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W:\REAJUSTE\Concessionárias de Distribuição\2022\11 - D23 - CHESP (Érika)\Estrutura\"/>
    </mc:Choice>
  </mc:AlternateContent>
  <xr:revisionPtr revIDLastSave="0" documentId="13_ncr:1_{59CA17D2-19EC-4C82-85F5-F3D512A8C834}" xr6:coauthVersionLast="47" xr6:coauthVersionMax="47" xr10:uidLastSave="{00000000-0000-0000-0000-000000000000}"/>
  <bookViews>
    <workbookView xWindow="-105" yWindow="-13080" windowWidth="23280" windowHeight="12600" firstSheet="17" activeTab="19" xr2:uid="{21915627-9D58-4685-842D-EE9963CB7070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33" r:id="rId20"/>
    <sheet name="CONSISTENCIA" sheetId="21" r:id="rId21"/>
    <sheet name="TUSD" sheetId="28" r:id="rId22"/>
    <sheet name="TE" sheetId="29" r:id="rId23"/>
    <sheet name="RESUMO TUSD" sheetId="30" r:id="rId24"/>
    <sheet name="RESUMO TE" sheetId="31" r:id="rId25"/>
    <sheet name="TUSD BF_350" sheetId="23" r:id="rId26"/>
    <sheet name="TE BF_350" sheetId="24" r:id="rId27"/>
    <sheet name="TabDinEfeito_350" sheetId="26" r:id="rId28"/>
    <sheet name="EFEITO_350" sheetId="25" r:id="rId29"/>
    <sheet name="TarifaMedia" sheetId="22" r:id="rId30"/>
    <sheet name="Descontos" sheetId="20" r:id="rId31"/>
    <sheet name="ERD" sheetId="32" r:id="rId32"/>
    <sheet name="TA - Aplicação" sheetId="34" r:id="rId33"/>
    <sheet name="TA - BE" sheetId="35" r:id="rId34"/>
    <sheet name="TA - CVA" sheetId="36" r:id="rId35"/>
  </sheets>
  <definedNames>
    <definedName name="DadosExternos_1" localSheetId="32" hidden="1">'TA - Aplicação'!$B$3:$AT$66</definedName>
    <definedName name="DadosExternos_1" localSheetId="33" hidden="1">'TA - BE'!$B$3:$AT$66</definedName>
    <definedName name="DadosExternos_1" localSheetId="34" hidden="1">'TA - CVA'!$B$3:$AT$66</definedName>
  </definedNames>
  <calcPr calcId="191029" iterate="1"/>
  <pivotCaches>
    <pivotCache cacheId="0" r:id="rId36"/>
    <pivotCache cacheId="1" r:id="rId37"/>
    <pivotCache cacheId="2" r:id="rId3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3" i="33" l="1"/>
  <c r="V32" i="33"/>
  <c r="V31" i="33"/>
  <c r="V30" i="33"/>
  <c r="V29" i="33"/>
  <c r="V28" i="33"/>
  <c r="V27" i="33"/>
  <c r="V26" i="33"/>
  <c r="V21" i="33"/>
  <c r="V16" i="33"/>
  <c r="V25" i="33"/>
  <c r="V20" i="33"/>
  <c r="V15" i="33"/>
  <c r="V24" i="33"/>
  <c r="V23" i="33"/>
  <c r="V22" i="33"/>
  <c r="V19" i="33"/>
  <c r="V18" i="33"/>
  <c r="V17" i="33"/>
  <c r="V14" i="33"/>
  <c r="V13" i="33"/>
  <c r="V12" i="33"/>
  <c r="V11" i="33"/>
  <c r="V9" i="33"/>
  <c r="V10" i="33"/>
  <c r="V8" i="33"/>
  <c r="V7" i="33"/>
  <c r="V6" i="33"/>
  <c r="V5" i="33"/>
  <c r="J22" i="33"/>
  <c r="J21" i="33"/>
  <c r="J17" i="33"/>
  <c r="J16" i="33"/>
  <c r="J11" i="33"/>
  <c r="J10" i="33"/>
  <c r="J6" i="33"/>
  <c r="J5" i="33"/>
  <c r="I3" i="32"/>
  <c r="I2" i="32" s="1"/>
  <c r="J3" i="32"/>
  <c r="J2" i="32" s="1"/>
  <c r="B2" i="32"/>
  <c r="C2" i="32"/>
  <c r="D2" i="32"/>
  <c r="E2" i="32"/>
  <c r="F2" i="32"/>
  <c r="G2" i="32"/>
  <c r="H2" i="32"/>
  <c r="K2" i="32"/>
  <c r="L2" i="32"/>
  <c r="B11" i="32"/>
  <c r="P11" i="5" l="1"/>
  <c r="R11" i="5" s="1"/>
  <c r="P10" i="5"/>
  <c r="R10" i="5" s="1"/>
  <c r="P9" i="5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D36" i="5" s="1"/>
  <c r="R9" i="5" l="1"/>
  <c r="E36" i="5"/>
  <c r="D30" i="5" s="1"/>
  <c r="F36" i="5"/>
  <c r="L5" i="31"/>
  <c r="K5" i="31"/>
  <c r="J5" i="31"/>
  <c r="I5" i="31"/>
  <c r="H5" i="31"/>
  <c r="G5" i="31"/>
  <c r="F5" i="31"/>
  <c r="E5" i="31"/>
  <c r="D5" i="31"/>
  <c r="C5" i="31"/>
  <c r="B5" i="31"/>
  <c r="I2" i="31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G5" i="30"/>
  <c r="F5" i="30"/>
  <c r="E5" i="30"/>
  <c r="D5" i="30"/>
  <c r="C5" i="30"/>
  <c r="B5" i="30"/>
  <c r="I2" i="30"/>
  <c r="AE886" i="25"/>
  <c r="X886" i="25"/>
  <c r="AD886" i="25" s="1"/>
  <c r="W886" i="25"/>
  <c r="AC886" i="25" s="1"/>
  <c r="V886" i="25"/>
  <c r="AB886" i="25" s="1"/>
  <c r="AE885" i="25"/>
  <c r="X885" i="25"/>
  <c r="AD885" i="25" s="1"/>
  <c r="W885" i="25"/>
  <c r="AC885" i="25" s="1"/>
  <c r="V885" i="25"/>
  <c r="AB885" i="25" s="1"/>
  <c r="AE884" i="25"/>
  <c r="X884" i="25"/>
  <c r="AD884" i="25" s="1"/>
  <c r="W884" i="25"/>
  <c r="AC884" i="25" s="1"/>
  <c r="V884" i="25"/>
  <c r="AB884" i="25" s="1"/>
  <c r="AE883" i="25"/>
  <c r="X883" i="25"/>
  <c r="AD883" i="25" s="1"/>
  <c r="W883" i="25"/>
  <c r="AC883" i="25" s="1"/>
  <c r="V883" i="25"/>
  <c r="AB883" i="25" s="1"/>
  <c r="AE882" i="25"/>
  <c r="X882" i="25"/>
  <c r="AD882" i="25" s="1"/>
  <c r="W882" i="25"/>
  <c r="AC882" i="25" s="1"/>
  <c r="V882" i="25"/>
  <c r="AB882" i="25" s="1"/>
  <c r="AE881" i="25"/>
  <c r="X881" i="25"/>
  <c r="AD881" i="25" s="1"/>
  <c r="W881" i="25"/>
  <c r="AC881" i="25" s="1"/>
  <c r="V881" i="25"/>
  <c r="AB881" i="25" s="1"/>
  <c r="AE880" i="25"/>
  <c r="X880" i="25"/>
  <c r="AD880" i="25" s="1"/>
  <c r="W880" i="25"/>
  <c r="AC880" i="25" s="1"/>
  <c r="V880" i="25"/>
  <c r="AB880" i="25" s="1"/>
  <c r="AE879" i="25"/>
  <c r="X879" i="25"/>
  <c r="AD879" i="25" s="1"/>
  <c r="W879" i="25"/>
  <c r="AC879" i="25" s="1"/>
  <c r="V879" i="25"/>
  <c r="AB879" i="25" s="1"/>
  <c r="AE878" i="25"/>
  <c r="X878" i="25"/>
  <c r="AD878" i="25" s="1"/>
  <c r="W878" i="25"/>
  <c r="AC878" i="25" s="1"/>
  <c r="V878" i="25"/>
  <c r="AB878" i="25" s="1"/>
  <c r="AE877" i="25"/>
  <c r="X877" i="25"/>
  <c r="AD877" i="25" s="1"/>
  <c r="W877" i="25"/>
  <c r="AC877" i="25" s="1"/>
  <c r="V877" i="25"/>
  <c r="AB877" i="25" s="1"/>
  <c r="AE876" i="25"/>
  <c r="X876" i="25"/>
  <c r="AD876" i="25" s="1"/>
  <c r="W876" i="25"/>
  <c r="AC876" i="25" s="1"/>
  <c r="V876" i="25"/>
  <c r="AB876" i="25" s="1"/>
  <c r="AE875" i="25"/>
  <c r="X875" i="25"/>
  <c r="AD875" i="25" s="1"/>
  <c r="W875" i="25"/>
  <c r="AC875" i="25" s="1"/>
  <c r="V875" i="25"/>
  <c r="AB875" i="25" s="1"/>
  <c r="AE874" i="25"/>
  <c r="X874" i="25"/>
  <c r="AD874" i="25" s="1"/>
  <c r="W874" i="25"/>
  <c r="AC874" i="25" s="1"/>
  <c r="V874" i="25"/>
  <c r="AB874" i="25" s="1"/>
  <c r="AE873" i="25"/>
  <c r="X873" i="25"/>
  <c r="AD873" i="25" s="1"/>
  <c r="W873" i="25"/>
  <c r="AC873" i="25" s="1"/>
  <c r="V873" i="25"/>
  <c r="AB873" i="25" s="1"/>
  <c r="AE872" i="25"/>
  <c r="AB872" i="25"/>
  <c r="X872" i="25"/>
  <c r="AD872" i="25" s="1"/>
  <c r="W872" i="25"/>
  <c r="AC872" i="25" s="1"/>
  <c r="V872" i="25"/>
  <c r="AE871" i="25"/>
  <c r="X871" i="25"/>
  <c r="AD871" i="25" s="1"/>
  <c r="W871" i="25"/>
  <c r="AC871" i="25" s="1"/>
  <c r="V871" i="25"/>
  <c r="AB871" i="25" s="1"/>
  <c r="AE870" i="25"/>
  <c r="X870" i="25"/>
  <c r="AD870" i="25" s="1"/>
  <c r="W870" i="25"/>
  <c r="AC870" i="25" s="1"/>
  <c r="V870" i="25"/>
  <c r="AB870" i="25" s="1"/>
  <c r="AE869" i="25"/>
  <c r="X869" i="25"/>
  <c r="AD869" i="25" s="1"/>
  <c r="W869" i="25"/>
  <c r="AC869" i="25" s="1"/>
  <c r="V869" i="25"/>
  <c r="AB869" i="25" s="1"/>
  <c r="AE868" i="25"/>
  <c r="X868" i="25"/>
  <c r="AD868" i="25" s="1"/>
  <c r="W868" i="25"/>
  <c r="AC868" i="25" s="1"/>
  <c r="V868" i="25"/>
  <c r="AB868" i="25" s="1"/>
  <c r="AE867" i="25"/>
  <c r="X867" i="25"/>
  <c r="AD867" i="25" s="1"/>
  <c r="W867" i="25"/>
  <c r="AC867" i="25" s="1"/>
  <c r="V867" i="25"/>
  <c r="AB867" i="25" s="1"/>
  <c r="AE866" i="25"/>
  <c r="X866" i="25"/>
  <c r="AD866" i="25" s="1"/>
  <c r="W866" i="25"/>
  <c r="AC866" i="25" s="1"/>
  <c r="V866" i="25"/>
  <c r="AB866" i="25" s="1"/>
  <c r="AE865" i="25"/>
  <c r="X865" i="25"/>
  <c r="AD865" i="25" s="1"/>
  <c r="W865" i="25"/>
  <c r="AC865" i="25" s="1"/>
  <c r="V865" i="25"/>
  <c r="AB865" i="25" s="1"/>
  <c r="AE864" i="25"/>
  <c r="X864" i="25"/>
  <c r="AD864" i="25" s="1"/>
  <c r="W864" i="25"/>
  <c r="AC864" i="25" s="1"/>
  <c r="V864" i="25"/>
  <c r="AB864" i="25" s="1"/>
  <c r="AE863" i="25"/>
  <c r="X863" i="25"/>
  <c r="AD863" i="25" s="1"/>
  <c r="W863" i="25"/>
  <c r="AC863" i="25" s="1"/>
  <c r="V863" i="25"/>
  <c r="AB863" i="25" s="1"/>
  <c r="AE862" i="25"/>
  <c r="AC862" i="25"/>
  <c r="X862" i="25"/>
  <c r="AD862" i="25" s="1"/>
  <c r="W862" i="25"/>
  <c r="V862" i="25"/>
  <c r="AB862" i="25" s="1"/>
  <c r="AE861" i="25"/>
  <c r="X861" i="25"/>
  <c r="AD861" i="25" s="1"/>
  <c r="W861" i="25"/>
  <c r="AC861" i="25" s="1"/>
  <c r="V861" i="25"/>
  <c r="AB861" i="25" s="1"/>
  <c r="AE860" i="25"/>
  <c r="X860" i="25"/>
  <c r="AD860" i="25" s="1"/>
  <c r="W860" i="25"/>
  <c r="AC860" i="25" s="1"/>
  <c r="V860" i="25"/>
  <c r="AB860" i="25" s="1"/>
  <c r="AE859" i="25"/>
  <c r="X859" i="25"/>
  <c r="AD859" i="25" s="1"/>
  <c r="W859" i="25"/>
  <c r="AC859" i="25" s="1"/>
  <c r="V859" i="25"/>
  <c r="AB859" i="25" s="1"/>
  <c r="AE858" i="25"/>
  <c r="X858" i="25"/>
  <c r="AD858" i="25" s="1"/>
  <c r="W858" i="25"/>
  <c r="AC858" i="25" s="1"/>
  <c r="V858" i="25"/>
  <c r="AB858" i="25" s="1"/>
  <c r="AE857" i="25"/>
  <c r="X857" i="25"/>
  <c r="AD857" i="25" s="1"/>
  <c r="W857" i="25"/>
  <c r="AC857" i="25" s="1"/>
  <c r="V857" i="25"/>
  <c r="AB857" i="25" s="1"/>
  <c r="AE856" i="25"/>
  <c r="X856" i="25"/>
  <c r="AD856" i="25" s="1"/>
  <c r="W856" i="25"/>
  <c r="AC856" i="25" s="1"/>
  <c r="V856" i="25"/>
  <c r="AB856" i="25" s="1"/>
  <c r="AE855" i="25"/>
  <c r="X855" i="25"/>
  <c r="AD855" i="25" s="1"/>
  <c r="W855" i="25"/>
  <c r="AC855" i="25" s="1"/>
  <c r="V855" i="25"/>
  <c r="AB855" i="25" s="1"/>
  <c r="AE854" i="25"/>
  <c r="X854" i="25"/>
  <c r="AD854" i="25" s="1"/>
  <c r="W854" i="25"/>
  <c r="AC854" i="25" s="1"/>
  <c r="V854" i="25"/>
  <c r="AB854" i="25" s="1"/>
  <c r="AE853" i="25"/>
  <c r="X853" i="25"/>
  <c r="AD853" i="25" s="1"/>
  <c r="W853" i="25"/>
  <c r="AC853" i="25" s="1"/>
  <c r="V853" i="25"/>
  <c r="AB853" i="25" s="1"/>
  <c r="AE852" i="25"/>
  <c r="X852" i="25"/>
  <c r="AD852" i="25" s="1"/>
  <c r="W852" i="25"/>
  <c r="AC852" i="25" s="1"/>
  <c r="V852" i="25"/>
  <c r="AB852" i="25" s="1"/>
  <c r="AE851" i="25"/>
  <c r="X851" i="25"/>
  <c r="AD851" i="25" s="1"/>
  <c r="W851" i="25"/>
  <c r="AC851" i="25" s="1"/>
  <c r="V851" i="25"/>
  <c r="AB851" i="25" s="1"/>
  <c r="AE850" i="25"/>
  <c r="X850" i="25"/>
  <c r="AD850" i="25" s="1"/>
  <c r="W850" i="25"/>
  <c r="AC850" i="25" s="1"/>
  <c r="V850" i="25"/>
  <c r="AB850" i="25" s="1"/>
  <c r="AE849" i="25"/>
  <c r="X849" i="25"/>
  <c r="AD849" i="25" s="1"/>
  <c r="W849" i="25"/>
  <c r="AC849" i="25" s="1"/>
  <c r="V849" i="25"/>
  <c r="AB849" i="25" s="1"/>
  <c r="AE848" i="25"/>
  <c r="X848" i="25"/>
  <c r="AD848" i="25" s="1"/>
  <c r="W848" i="25"/>
  <c r="AC848" i="25" s="1"/>
  <c r="V848" i="25"/>
  <c r="AB848" i="25" s="1"/>
  <c r="AE847" i="25"/>
  <c r="X847" i="25"/>
  <c r="AD847" i="25" s="1"/>
  <c r="W847" i="25"/>
  <c r="AC847" i="25" s="1"/>
  <c r="V847" i="25"/>
  <c r="AB847" i="25" s="1"/>
  <c r="AE846" i="25"/>
  <c r="X846" i="25"/>
  <c r="AD846" i="25" s="1"/>
  <c r="W846" i="25"/>
  <c r="AC846" i="25" s="1"/>
  <c r="V846" i="25"/>
  <c r="AB846" i="25" s="1"/>
  <c r="AE845" i="25"/>
  <c r="X845" i="25"/>
  <c r="AD845" i="25" s="1"/>
  <c r="W845" i="25"/>
  <c r="AC845" i="25" s="1"/>
  <c r="V845" i="25"/>
  <c r="AB845" i="25" s="1"/>
  <c r="AE844" i="25"/>
  <c r="X844" i="25"/>
  <c r="AD844" i="25" s="1"/>
  <c r="W844" i="25"/>
  <c r="AC844" i="25" s="1"/>
  <c r="V844" i="25"/>
  <c r="AB844" i="25" s="1"/>
  <c r="AE843" i="25"/>
  <c r="X843" i="25"/>
  <c r="AD843" i="25" s="1"/>
  <c r="W843" i="25"/>
  <c r="AC843" i="25" s="1"/>
  <c r="V843" i="25"/>
  <c r="AB843" i="25" s="1"/>
  <c r="AE842" i="25"/>
  <c r="X842" i="25"/>
  <c r="AD842" i="25" s="1"/>
  <c r="W842" i="25"/>
  <c r="AC842" i="25" s="1"/>
  <c r="V842" i="25"/>
  <c r="AB842" i="25" s="1"/>
  <c r="AE841" i="25"/>
  <c r="X841" i="25"/>
  <c r="AD841" i="25" s="1"/>
  <c r="W841" i="25"/>
  <c r="AC841" i="25" s="1"/>
  <c r="V841" i="25"/>
  <c r="AB841" i="25" s="1"/>
  <c r="AE840" i="25"/>
  <c r="X840" i="25"/>
  <c r="AD840" i="25" s="1"/>
  <c r="W840" i="25"/>
  <c r="AC840" i="25" s="1"/>
  <c r="V840" i="25"/>
  <c r="AB840" i="25" s="1"/>
  <c r="AE839" i="25"/>
  <c r="X839" i="25"/>
  <c r="AD839" i="25" s="1"/>
  <c r="W839" i="25"/>
  <c r="AC839" i="25" s="1"/>
  <c r="V839" i="25"/>
  <c r="AB839" i="25" s="1"/>
  <c r="AE838" i="25"/>
  <c r="X838" i="25"/>
  <c r="AD838" i="25" s="1"/>
  <c r="W838" i="25"/>
  <c r="AC838" i="25" s="1"/>
  <c r="V838" i="25"/>
  <c r="AB838" i="25" s="1"/>
  <c r="AE837" i="25"/>
  <c r="X837" i="25"/>
  <c r="AD837" i="25" s="1"/>
  <c r="W837" i="25"/>
  <c r="AC837" i="25" s="1"/>
  <c r="V837" i="25"/>
  <c r="AB837" i="25" s="1"/>
  <c r="AE836" i="25"/>
  <c r="X836" i="25"/>
  <c r="AD836" i="25" s="1"/>
  <c r="W836" i="25"/>
  <c r="AC836" i="25" s="1"/>
  <c r="V836" i="25"/>
  <c r="AB836" i="25" s="1"/>
  <c r="AE835" i="25"/>
  <c r="X835" i="25"/>
  <c r="AD835" i="25" s="1"/>
  <c r="W835" i="25"/>
  <c r="AC835" i="25" s="1"/>
  <c r="V835" i="25"/>
  <c r="AB835" i="25" s="1"/>
  <c r="AE834" i="25"/>
  <c r="X834" i="25"/>
  <c r="AD834" i="25" s="1"/>
  <c r="W834" i="25"/>
  <c r="AC834" i="25" s="1"/>
  <c r="V834" i="25"/>
  <c r="AB834" i="25" s="1"/>
  <c r="AE833" i="25"/>
  <c r="X833" i="25"/>
  <c r="AD833" i="25" s="1"/>
  <c r="W833" i="25"/>
  <c r="AC833" i="25" s="1"/>
  <c r="V833" i="25"/>
  <c r="AB833" i="25" s="1"/>
  <c r="AE832" i="25"/>
  <c r="X832" i="25"/>
  <c r="AD832" i="25" s="1"/>
  <c r="W832" i="25"/>
  <c r="AC832" i="25" s="1"/>
  <c r="V832" i="25"/>
  <c r="AB832" i="25" s="1"/>
  <c r="AE831" i="25"/>
  <c r="X831" i="25"/>
  <c r="AD831" i="25" s="1"/>
  <c r="W831" i="25"/>
  <c r="AC831" i="25" s="1"/>
  <c r="V831" i="25"/>
  <c r="AB831" i="25" s="1"/>
  <c r="AE830" i="25"/>
  <c r="X830" i="25"/>
  <c r="AD830" i="25" s="1"/>
  <c r="W830" i="25"/>
  <c r="AC830" i="25" s="1"/>
  <c r="V830" i="25"/>
  <c r="AB830" i="25" s="1"/>
  <c r="AE829" i="25"/>
  <c r="X829" i="25"/>
  <c r="AD829" i="25" s="1"/>
  <c r="W829" i="25"/>
  <c r="AC829" i="25" s="1"/>
  <c r="V829" i="25"/>
  <c r="AB829" i="25" s="1"/>
  <c r="AE828" i="25"/>
  <c r="AC828" i="25"/>
  <c r="X828" i="25"/>
  <c r="AD828" i="25" s="1"/>
  <c r="W828" i="25"/>
  <c r="V828" i="25"/>
  <c r="AB828" i="25" s="1"/>
  <c r="AE827" i="25"/>
  <c r="X827" i="25"/>
  <c r="AD827" i="25" s="1"/>
  <c r="W827" i="25"/>
  <c r="AC827" i="25" s="1"/>
  <c r="V827" i="25"/>
  <c r="AB827" i="25" s="1"/>
  <c r="AE826" i="25"/>
  <c r="X826" i="25"/>
  <c r="AD826" i="25" s="1"/>
  <c r="W826" i="25"/>
  <c r="AC826" i="25" s="1"/>
  <c r="V826" i="25"/>
  <c r="AB826" i="25" s="1"/>
  <c r="AE825" i="25"/>
  <c r="X825" i="25"/>
  <c r="AD825" i="25" s="1"/>
  <c r="W825" i="25"/>
  <c r="AC825" i="25" s="1"/>
  <c r="V825" i="25"/>
  <c r="AB825" i="25" s="1"/>
  <c r="AE824" i="25"/>
  <c r="X824" i="25"/>
  <c r="AD824" i="25" s="1"/>
  <c r="W824" i="25"/>
  <c r="AC824" i="25" s="1"/>
  <c r="V824" i="25"/>
  <c r="AB824" i="25" s="1"/>
  <c r="AE823" i="25"/>
  <c r="X823" i="25"/>
  <c r="AD823" i="25" s="1"/>
  <c r="W823" i="25"/>
  <c r="AC823" i="25" s="1"/>
  <c r="V823" i="25"/>
  <c r="AB823" i="25" s="1"/>
  <c r="AE822" i="25"/>
  <c r="X822" i="25"/>
  <c r="AD822" i="25" s="1"/>
  <c r="W822" i="25"/>
  <c r="AC822" i="25" s="1"/>
  <c r="V822" i="25"/>
  <c r="AB822" i="25" s="1"/>
  <c r="AE821" i="25"/>
  <c r="X821" i="25"/>
  <c r="AD821" i="25" s="1"/>
  <c r="W821" i="25"/>
  <c r="AC821" i="25" s="1"/>
  <c r="V821" i="25"/>
  <c r="AB821" i="25" s="1"/>
  <c r="AE820" i="25"/>
  <c r="X820" i="25"/>
  <c r="AD820" i="25" s="1"/>
  <c r="W820" i="25"/>
  <c r="AC820" i="25" s="1"/>
  <c r="V820" i="25"/>
  <c r="AB820" i="25" s="1"/>
  <c r="AE819" i="25"/>
  <c r="X819" i="25"/>
  <c r="AD819" i="25" s="1"/>
  <c r="W819" i="25"/>
  <c r="AC819" i="25" s="1"/>
  <c r="V819" i="25"/>
  <c r="AB819" i="25" s="1"/>
  <c r="AE818" i="25"/>
  <c r="X818" i="25"/>
  <c r="AD818" i="25" s="1"/>
  <c r="W818" i="25"/>
  <c r="AC818" i="25" s="1"/>
  <c r="V818" i="25"/>
  <c r="AB818" i="25" s="1"/>
  <c r="AE817" i="25"/>
  <c r="X817" i="25"/>
  <c r="AD817" i="25" s="1"/>
  <c r="W817" i="25"/>
  <c r="AC817" i="25" s="1"/>
  <c r="V817" i="25"/>
  <c r="AB817" i="25" s="1"/>
  <c r="AE816" i="25"/>
  <c r="X816" i="25"/>
  <c r="AD816" i="25" s="1"/>
  <c r="W816" i="25"/>
  <c r="AC816" i="25" s="1"/>
  <c r="V816" i="25"/>
  <c r="AB816" i="25" s="1"/>
  <c r="AE815" i="25"/>
  <c r="X815" i="25"/>
  <c r="AD815" i="25" s="1"/>
  <c r="W815" i="25"/>
  <c r="AC815" i="25" s="1"/>
  <c r="V815" i="25"/>
  <c r="AB815" i="25" s="1"/>
  <c r="AE814" i="25"/>
  <c r="X814" i="25"/>
  <c r="AD814" i="25" s="1"/>
  <c r="W814" i="25"/>
  <c r="AC814" i="25" s="1"/>
  <c r="V814" i="25"/>
  <c r="AB814" i="25" s="1"/>
  <c r="AE813" i="25"/>
  <c r="X813" i="25"/>
  <c r="AD813" i="25" s="1"/>
  <c r="W813" i="25"/>
  <c r="AC813" i="25" s="1"/>
  <c r="V813" i="25"/>
  <c r="AB813" i="25" s="1"/>
  <c r="AE812" i="25"/>
  <c r="X812" i="25"/>
  <c r="AD812" i="25" s="1"/>
  <c r="W812" i="25"/>
  <c r="AC812" i="25" s="1"/>
  <c r="V812" i="25"/>
  <c r="AB812" i="25" s="1"/>
  <c r="AE811" i="25"/>
  <c r="X811" i="25"/>
  <c r="AD811" i="25" s="1"/>
  <c r="W811" i="25"/>
  <c r="AC811" i="25" s="1"/>
  <c r="V811" i="25"/>
  <c r="AB811" i="25" s="1"/>
  <c r="AE810" i="25"/>
  <c r="X810" i="25"/>
  <c r="AD810" i="25" s="1"/>
  <c r="W810" i="25"/>
  <c r="AC810" i="25" s="1"/>
  <c r="V810" i="25"/>
  <c r="AB810" i="25" s="1"/>
  <c r="AE809" i="25"/>
  <c r="X809" i="25"/>
  <c r="AD809" i="25" s="1"/>
  <c r="W809" i="25"/>
  <c r="AC809" i="25" s="1"/>
  <c r="V809" i="25"/>
  <c r="AB809" i="25" s="1"/>
  <c r="AE808" i="25"/>
  <c r="X808" i="25"/>
  <c r="AD808" i="25" s="1"/>
  <c r="W808" i="25"/>
  <c r="AC808" i="25" s="1"/>
  <c r="V808" i="25"/>
  <c r="AB808" i="25" s="1"/>
  <c r="AE807" i="25"/>
  <c r="X807" i="25"/>
  <c r="AD807" i="25" s="1"/>
  <c r="W807" i="25"/>
  <c r="AC807" i="25" s="1"/>
  <c r="V807" i="25"/>
  <c r="AB807" i="25" s="1"/>
  <c r="AE806" i="25"/>
  <c r="X806" i="25"/>
  <c r="AD806" i="25" s="1"/>
  <c r="W806" i="25"/>
  <c r="AC806" i="25" s="1"/>
  <c r="V806" i="25"/>
  <c r="AB806" i="25" s="1"/>
  <c r="AE805" i="25"/>
  <c r="X805" i="25"/>
  <c r="AD805" i="25" s="1"/>
  <c r="W805" i="25"/>
  <c r="AC805" i="25" s="1"/>
  <c r="V805" i="25"/>
  <c r="AB805" i="25" s="1"/>
  <c r="AE804" i="25"/>
  <c r="X804" i="25"/>
  <c r="AD804" i="25" s="1"/>
  <c r="W804" i="25"/>
  <c r="AC804" i="25" s="1"/>
  <c r="V804" i="25"/>
  <c r="AB804" i="25" s="1"/>
  <c r="AE803" i="25"/>
  <c r="X803" i="25"/>
  <c r="AD803" i="25" s="1"/>
  <c r="W803" i="25"/>
  <c r="AC803" i="25" s="1"/>
  <c r="V803" i="25"/>
  <c r="AB803" i="25" s="1"/>
  <c r="AE802" i="25"/>
  <c r="X802" i="25"/>
  <c r="AD802" i="25" s="1"/>
  <c r="W802" i="25"/>
  <c r="AC802" i="25" s="1"/>
  <c r="V802" i="25"/>
  <c r="AB802" i="25" s="1"/>
  <c r="AE801" i="25"/>
  <c r="X801" i="25"/>
  <c r="AD801" i="25" s="1"/>
  <c r="W801" i="25"/>
  <c r="AC801" i="25" s="1"/>
  <c r="V801" i="25"/>
  <c r="AB801" i="25" s="1"/>
  <c r="AE800" i="25"/>
  <c r="X800" i="25"/>
  <c r="AD800" i="25" s="1"/>
  <c r="W800" i="25"/>
  <c r="AC800" i="25" s="1"/>
  <c r="V800" i="25"/>
  <c r="AB800" i="25" s="1"/>
  <c r="AE799" i="25"/>
  <c r="X799" i="25"/>
  <c r="AD799" i="25" s="1"/>
  <c r="W799" i="25"/>
  <c r="AC799" i="25" s="1"/>
  <c r="V799" i="25"/>
  <c r="AB799" i="25" s="1"/>
  <c r="AE798" i="25"/>
  <c r="X798" i="25"/>
  <c r="AD798" i="25" s="1"/>
  <c r="W798" i="25"/>
  <c r="AC798" i="25" s="1"/>
  <c r="V798" i="25"/>
  <c r="AB798" i="25" s="1"/>
  <c r="AE797" i="25"/>
  <c r="X797" i="25"/>
  <c r="AD797" i="25" s="1"/>
  <c r="W797" i="25"/>
  <c r="AC797" i="25" s="1"/>
  <c r="V797" i="25"/>
  <c r="AB797" i="25" s="1"/>
  <c r="AE796" i="25"/>
  <c r="X796" i="25"/>
  <c r="AD796" i="25" s="1"/>
  <c r="W796" i="25"/>
  <c r="AC796" i="25" s="1"/>
  <c r="V796" i="25"/>
  <c r="AB796" i="25" s="1"/>
  <c r="AE795" i="25"/>
  <c r="X795" i="25"/>
  <c r="AD795" i="25" s="1"/>
  <c r="W795" i="25"/>
  <c r="AC795" i="25" s="1"/>
  <c r="V795" i="25"/>
  <c r="AB795" i="25" s="1"/>
  <c r="AE794" i="25"/>
  <c r="X794" i="25"/>
  <c r="AD794" i="25" s="1"/>
  <c r="W794" i="25"/>
  <c r="AC794" i="25" s="1"/>
  <c r="V794" i="25"/>
  <c r="AB794" i="25" s="1"/>
  <c r="AE793" i="25"/>
  <c r="X793" i="25"/>
  <c r="AD793" i="25" s="1"/>
  <c r="W793" i="25"/>
  <c r="AC793" i="25" s="1"/>
  <c r="V793" i="25"/>
  <c r="AB793" i="25" s="1"/>
  <c r="AE792" i="25"/>
  <c r="X792" i="25"/>
  <c r="AD792" i="25" s="1"/>
  <c r="W792" i="25"/>
  <c r="AC792" i="25" s="1"/>
  <c r="V792" i="25"/>
  <c r="AB792" i="25" s="1"/>
  <c r="AE791" i="25"/>
  <c r="X791" i="25"/>
  <c r="AD791" i="25" s="1"/>
  <c r="W791" i="25"/>
  <c r="AC791" i="25" s="1"/>
  <c r="V791" i="25"/>
  <c r="AB791" i="25" s="1"/>
  <c r="AE790" i="25"/>
  <c r="X790" i="25"/>
  <c r="AD790" i="25" s="1"/>
  <c r="W790" i="25"/>
  <c r="AC790" i="25" s="1"/>
  <c r="V790" i="25"/>
  <c r="AB790" i="25" s="1"/>
  <c r="AE789" i="25"/>
  <c r="X789" i="25"/>
  <c r="AD789" i="25" s="1"/>
  <c r="W789" i="25"/>
  <c r="AC789" i="25" s="1"/>
  <c r="V789" i="25"/>
  <c r="AB789" i="25" s="1"/>
  <c r="AE788" i="25"/>
  <c r="X788" i="25"/>
  <c r="AD788" i="25" s="1"/>
  <c r="W788" i="25"/>
  <c r="AC788" i="25" s="1"/>
  <c r="V788" i="25"/>
  <c r="AB788" i="25" s="1"/>
  <c r="AE787" i="25"/>
  <c r="X787" i="25"/>
  <c r="AD787" i="25" s="1"/>
  <c r="W787" i="25"/>
  <c r="AC787" i="25" s="1"/>
  <c r="V787" i="25"/>
  <c r="AB787" i="25" s="1"/>
  <c r="AE786" i="25"/>
  <c r="X786" i="25"/>
  <c r="AD786" i="25" s="1"/>
  <c r="W786" i="25"/>
  <c r="AC786" i="25" s="1"/>
  <c r="V786" i="25"/>
  <c r="AB786" i="25" s="1"/>
  <c r="AE785" i="25"/>
  <c r="X785" i="25"/>
  <c r="AD785" i="25" s="1"/>
  <c r="W785" i="25"/>
  <c r="AC785" i="25" s="1"/>
  <c r="V785" i="25"/>
  <c r="AB785" i="25" s="1"/>
  <c r="AE784" i="25"/>
  <c r="X784" i="25"/>
  <c r="AD784" i="25" s="1"/>
  <c r="W784" i="25"/>
  <c r="AC784" i="25" s="1"/>
  <c r="V784" i="25"/>
  <c r="AB784" i="25" s="1"/>
  <c r="AE783" i="25"/>
  <c r="X783" i="25"/>
  <c r="AD783" i="25" s="1"/>
  <c r="W783" i="25"/>
  <c r="AC783" i="25" s="1"/>
  <c r="V783" i="25"/>
  <c r="AB783" i="25" s="1"/>
  <c r="AE782" i="25"/>
  <c r="X782" i="25"/>
  <c r="AD782" i="25" s="1"/>
  <c r="W782" i="25"/>
  <c r="AC782" i="25" s="1"/>
  <c r="V782" i="25"/>
  <c r="AB782" i="25" s="1"/>
  <c r="AE781" i="25"/>
  <c r="X781" i="25"/>
  <c r="AD781" i="25" s="1"/>
  <c r="W781" i="25"/>
  <c r="AC781" i="25" s="1"/>
  <c r="V781" i="25"/>
  <c r="AB781" i="25" s="1"/>
  <c r="AE780" i="25"/>
  <c r="X780" i="25"/>
  <c r="AD780" i="25" s="1"/>
  <c r="W780" i="25"/>
  <c r="AC780" i="25" s="1"/>
  <c r="V780" i="25"/>
  <c r="AB780" i="25" s="1"/>
  <c r="AE779" i="25"/>
  <c r="X779" i="25"/>
  <c r="AD779" i="25" s="1"/>
  <c r="W779" i="25"/>
  <c r="AC779" i="25" s="1"/>
  <c r="V779" i="25"/>
  <c r="AB779" i="25" s="1"/>
  <c r="AE778" i="25"/>
  <c r="X778" i="25"/>
  <c r="AD778" i="25" s="1"/>
  <c r="W778" i="25"/>
  <c r="AC778" i="25" s="1"/>
  <c r="V778" i="25"/>
  <c r="AB778" i="25" s="1"/>
  <c r="AE777" i="25"/>
  <c r="X777" i="25"/>
  <c r="AD777" i="25" s="1"/>
  <c r="W777" i="25"/>
  <c r="AC777" i="25" s="1"/>
  <c r="V777" i="25"/>
  <c r="AB777" i="25" s="1"/>
  <c r="AE776" i="25"/>
  <c r="X776" i="25"/>
  <c r="AD776" i="25" s="1"/>
  <c r="W776" i="25"/>
  <c r="AC776" i="25" s="1"/>
  <c r="V776" i="25"/>
  <c r="AB776" i="25" s="1"/>
  <c r="AE775" i="25"/>
  <c r="X775" i="25"/>
  <c r="AD775" i="25" s="1"/>
  <c r="W775" i="25"/>
  <c r="AC775" i="25" s="1"/>
  <c r="V775" i="25"/>
  <c r="AB775" i="25" s="1"/>
  <c r="AE774" i="25"/>
  <c r="X774" i="25"/>
  <c r="AD774" i="25" s="1"/>
  <c r="W774" i="25"/>
  <c r="AC774" i="25" s="1"/>
  <c r="V774" i="25"/>
  <c r="AB774" i="25" s="1"/>
  <c r="AE773" i="25"/>
  <c r="X773" i="25"/>
  <c r="AD773" i="25" s="1"/>
  <c r="W773" i="25"/>
  <c r="AC773" i="25" s="1"/>
  <c r="V773" i="25"/>
  <c r="AB773" i="25" s="1"/>
  <c r="AE772" i="25"/>
  <c r="X772" i="25"/>
  <c r="AD772" i="25" s="1"/>
  <c r="W772" i="25"/>
  <c r="AC772" i="25" s="1"/>
  <c r="V772" i="25"/>
  <c r="AB772" i="25" s="1"/>
  <c r="AE771" i="25"/>
  <c r="X771" i="25"/>
  <c r="AD771" i="25" s="1"/>
  <c r="W771" i="25"/>
  <c r="AC771" i="25" s="1"/>
  <c r="V771" i="25"/>
  <c r="AB771" i="25" s="1"/>
  <c r="AE770" i="25"/>
  <c r="X770" i="25"/>
  <c r="AD770" i="25" s="1"/>
  <c r="W770" i="25"/>
  <c r="AC770" i="25" s="1"/>
  <c r="V770" i="25"/>
  <c r="AB770" i="25" s="1"/>
  <c r="AE769" i="25"/>
  <c r="X769" i="25"/>
  <c r="AD769" i="25" s="1"/>
  <c r="W769" i="25"/>
  <c r="AC769" i="25" s="1"/>
  <c r="V769" i="25"/>
  <c r="AB769" i="25" s="1"/>
  <c r="AE768" i="25"/>
  <c r="X768" i="25"/>
  <c r="AD768" i="25" s="1"/>
  <c r="W768" i="25"/>
  <c r="AC768" i="25" s="1"/>
  <c r="V768" i="25"/>
  <c r="AB768" i="25" s="1"/>
  <c r="AE767" i="25"/>
  <c r="X767" i="25"/>
  <c r="AD767" i="25" s="1"/>
  <c r="W767" i="25"/>
  <c r="AC767" i="25" s="1"/>
  <c r="V767" i="25"/>
  <c r="AB767" i="25" s="1"/>
  <c r="AE766" i="25"/>
  <c r="X766" i="25"/>
  <c r="AD766" i="25" s="1"/>
  <c r="W766" i="25"/>
  <c r="AC766" i="25" s="1"/>
  <c r="V766" i="25"/>
  <c r="AB766" i="25" s="1"/>
  <c r="AE765" i="25"/>
  <c r="X765" i="25"/>
  <c r="AD765" i="25" s="1"/>
  <c r="W765" i="25"/>
  <c r="AC765" i="25" s="1"/>
  <c r="V765" i="25"/>
  <c r="AB765" i="25" s="1"/>
  <c r="AE764" i="25"/>
  <c r="X764" i="25"/>
  <c r="AD764" i="25" s="1"/>
  <c r="W764" i="25"/>
  <c r="AC764" i="25" s="1"/>
  <c r="V764" i="25"/>
  <c r="AB764" i="25" s="1"/>
  <c r="AE763" i="25"/>
  <c r="X763" i="25"/>
  <c r="AD763" i="25" s="1"/>
  <c r="W763" i="25"/>
  <c r="AC763" i="25" s="1"/>
  <c r="V763" i="25"/>
  <c r="AB763" i="25" s="1"/>
  <c r="AE762" i="25"/>
  <c r="X762" i="25"/>
  <c r="AD762" i="25" s="1"/>
  <c r="W762" i="25"/>
  <c r="AC762" i="25" s="1"/>
  <c r="V762" i="25"/>
  <c r="AB762" i="25" s="1"/>
  <c r="AE761" i="25"/>
  <c r="X761" i="25"/>
  <c r="AD761" i="25" s="1"/>
  <c r="W761" i="25"/>
  <c r="AC761" i="25" s="1"/>
  <c r="V761" i="25"/>
  <c r="AB761" i="25" s="1"/>
  <c r="AE760" i="25"/>
  <c r="X760" i="25"/>
  <c r="AD760" i="25" s="1"/>
  <c r="W760" i="25"/>
  <c r="AC760" i="25" s="1"/>
  <c r="V760" i="25"/>
  <c r="AB760" i="25" s="1"/>
  <c r="AE759" i="25"/>
  <c r="X759" i="25"/>
  <c r="AD759" i="25" s="1"/>
  <c r="W759" i="25"/>
  <c r="AC759" i="25" s="1"/>
  <c r="V759" i="25"/>
  <c r="AB759" i="25" s="1"/>
  <c r="AE758" i="25"/>
  <c r="X758" i="25"/>
  <c r="AD758" i="25" s="1"/>
  <c r="W758" i="25"/>
  <c r="AC758" i="25" s="1"/>
  <c r="V758" i="25"/>
  <c r="AB758" i="25" s="1"/>
  <c r="AE757" i="25"/>
  <c r="X757" i="25"/>
  <c r="AD757" i="25" s="1"/>
  <c r="W757" i="25"/>
  <c r="AC757" i="25" s="1"/>
  <c r="V757" i="25"/>
  <c r="AB757" i="25" s="1"/>
  <c r="AE756" i="25"/>
  <c r="X756" i="25"/>
  <c r="AD756" i="25" s="1"/>
  <c r="W756" i="25"/>
  <c r="AC756" i="25" s="1"/>
  <c r="V756" i="25"/>
  <c r="AB756" i="25" s="1"/>
  <c r="AE755" i="25"/>
  <c r="AD755" i="25"/>
  <c r="AC755" i="25"/>
  <c r="X755" i="25"/>
  <c r="W755" i="25"/>
  <c r="V755" i="25"/>
  <c r="AB755" i="25" s="1"/>
  <c r="AE754" i="25"/>
  <c r="X754" i="25"/>
  <c r="AD754" i="25" s="1"/>
  <c r="W754" i="25"/>
  <c r="AC754" i="25" s="1"/>
  <c r="V754" i="25"/>
  <c r="AB754" i="25" s="1"/>
  <c r="AE753" i="25"/>
  <c r="X753" i="25"/>
  <c r="AD753" i="25" s="1"/>
  <c r="W753" i="25"/>
  <c r="AC753" i="25" s="1"/>
  <c r="V753" i="25"/>
  <c r="AB753" i="25" s="1"/>
  <c r="AE752" i="25"/>
  <c r="X752" i="25"/>
  <c r="AD752" i="25" s="1"/>
  <c r="W752" i="25"/>
  <c r="AC752" i="25" s="1"/>
  <c r="V752" i="25"/>
  <c r="AB752" i="25" s="1"/>
  <c r="AE751" i="25"/>
  <c r="X751" i="25"/>
  <c r="AD751" i="25" s="1"/>
  <c r="W751" i="25"/>
  <c r="AC751" i="25" s="1"/>
  <c r="V751" i="25"/>
  <c r="AB751" i="25" s="1"/>
  <c r="AE750" i="25"/>
  <c r="X750" i="25"/>
  <c r="AD750" i="25" s="1"/>
  <c r="W750" i="25"/>
  <c r="AC750" i="25" s="1"/>
  <c r="V750" i="25"/>
  <c r="AB750" i="25" s="1"/>
  <c r="AE749" i="25"/>
  <c r="X749" i="25"/>
  <c r="AD749" i="25" s="1"/>
  <c r="W749" i="25"/>
  <c r="AC749" i="25" s="1"/>
  <c r="V749" i="25"/>
  <c r="AB749" i="25" s="1"/>
  <c r="AE748" i="25"/>
  <c r="X748" i="25"/>
  <c r="AD748" i="25" s="1"/>
  <c r="W748" i="25"/>
  <c r="AC748" i="25" s="1"/>
  <c r="V748" i="25"/>
  <c r="AB748" i="25" s="1"/>
  <c r="AE747" i="25"/>
  <c r="X747" i="25"/>
  <c r="AD747" i="25" s="1"/>
  <c r="W747" i="25"/>
  <c r="AC747" i="25" s="1"/>
  <c r="V747" i="25"/>
  <c r="AB747" i="25" s="1"/>
  <c r="AE746" i="25"/>
  <c r="AD746" i="25"/>
  <c r="X746" i="25"/>
  <c r="W746" i="25"/>
  <c r="AC746" i="25" s="1"/>
  <c r="V746" i="25"/>
  <c r="AB746" i="25" s="1"/>
  <c r="AE745" i="25"/>
  <c r="X745" i="25"/>
  <c r="AD745" i="25" s="1"/>
  <c r="W745" i="25"/>
  <c r="AC745" i="25" s="1"/>
  <c r="V745" i="25"/>
  <c r="AB745" i="25" s="1"/>
  <c r="AE744" i="25"/>
  <c r="X744" i="25"/>
  <c r="AD744" i="25" s="1"/>
  <c r="W744" i="25"/>
  <c r="AC744" i="25" s="1"/>
  <c r="V744" i="25"/>
  <c r="AB744" i="25" s="1"/>
  <c r="AE743" i="25"/>
  <c r="X743" i="25"/>
  <c r="AD743" i="25" s="1"/>
  <c r="W743" i="25"/>
  <c r="AC743" i="25" s="1"/>
  <c r="V743" i="25"/>
  <c r="AB743" i="25" s="1"/>
  <c r="AE742" i="25"/>
  <c r="X742" i="25"/>
  <c r="AD742" i="25" s="1"/>
  <c r="W742" i="25"/>
  <c r="AC742" i="25" s="1"/>
  <c r="V742" i="25"/>
  <c r="AB742" i="25" s="1"/>
  <c r="AE741" i="25"/>
  <c r="X741" i="25"/>
  <c r="AD741" i="25" s="1"/>
  <c r="W741" i="25"/>
  <c r="AC741" i="25" s="1"/>
  <c r="V741" i="25"/>
  <c r="AB741" i="25" s="1"/>
  <c r="AE740" i="25"/>
  <c r="X740" i="25"/>
  <c r="AD740" i="25" s="1"/>
  <c r="W740" i="25"/>
  <c r="AC740" i="25" s="1"/>
  <c r="V740" i="25"/>
  <c r="AB740" i="25" s="1"/>
  <c r="AE739" i="25"/>
  <c r="X739" i="25"/>
  <c r="AD739" i="25" s="1"/>
  <c r="W739" i="25"/>
  <c r="AC739" i="25" s="1"/>
  <c r="V739" i="25"/>
  <c r="AB739" i="25" s="1"/>
  <c r="AE738" i="25"/>
  <c r="X738" i="25"/>
  <c r="AD738" i="25" s="1"/>
  <c r="W738" i="25"/>
  <c r="AC738" i="25" s="1"/>
  <c r="V738" i="25"/>
  <c r="AB738" i="25" s="1"/>
  <c r="AE737" i="25"/>
  <c r="X737" i="25"/>
  <c r="AD737" i="25" s="1"/>
  <c r="W737" i="25"/>
  <c r="AC737" i="25" s="1"/>
  <c r="V737" i="25"/>
  <c r="AB737" i="25" s="1"/>
  <c r="AE736" i="25"/>
  <c r="X736" i="25"/>
  <c r="AD736" i="25" s="1"/>
  <c r="W736" i="25"/>
  <c r="AC736" i="25" s="1"/>
  <c r="V736" i="25"/>
  <c r="AB736" i="25" s="1"/>
  <c r="AE735" i="25"/>
  <c r="X735" i="25"/>
  <c r="AD735" i="25" s="1"/>
  <c r="W735" i="25"/>
  <c r="AC735" i="25" s="1"/>
  <c r="V735" i="25"/>
  <c r="AB735" i="25" s="1"/>
  <c r="AE734" i="25"/>
  <c r="X734" i="25"/>
  <c r="AD734" i="25" s="1"/>
  <c r="W734" i="25"/>
  <c r="AC734" i="25" s="1"/>
  <c r="V734" i="25"/>
  <c r="AB734" i="25" s="1"/>
  <c r="AE733" i="25"/>
  <c r="X733" i="25"/>
  <c r="AD733" i="25" s="1"/>
  <c r="W733" i="25"/>
  <c r="AC733" i="25" s="1"/>
  <c r="V733" i="25"/>
  <c r="AB733" i="25" s="1"/>
  <c r="AE732" i="25"/>
  <c r="X732" i="25"/>
  <c r="AD732" i="25" s="1"/>
  <c r="W732" i="25"/>
  <c r="AC732" i="25" s="1"/>
  <c r="V732" i="25"/>
  <c r="AB732" i="25" s="1"/>
  <c r="AE731" i="25"/>
  <c r="X731" i="25"/>
  <c r="AD731" i="25" s="1"/>
  <c r="W731" i="25"/>
  <c r="AC731" i="25" s="1"/>
  <c r="V731" i="25"/>
  <c r="AB731" i="25" s="1"/>
  <c r="AE730" i="25"/>
  <c r="X730" i="25"/>
  <c r="AD730" i="25" s="1"/>
  <c r="W730" i="25"/>
  <c r="AC730" i="25" s="1"/>
  <c r="V730" i="25"/>
  <c r="AB730" i="25" s="1"/>
  <c r="AE729" i="25"/>
  <c r="X729" i="25"/>
  <c r="AD729" i="25" s="1"/>
  <c r="W729" i="25"/>
  <c r="AC729" i="25" s="1"/>
  <c r="V729" i="25"/>
  <c r="AB729" i="25" s="1"/>
  <c r="AE728" i="25"/>
  <c r="X728" i="25"/>
  <c r="AD728" i="25" s="1"/>
  <c r="W728" i="25"/>
  <c r="AC728" i="25" s="1"/>
  <c r="V728" i="25"/>
  <c r="AB728" i="25" s="1"/>
  <c r="AE727" i="25"/>
  <c r="X727" i="25"/>
  <c r="AD727" i="25" s="1"/>
  <c r="W727" i="25"/>
  <c r="AC727" i="25" s="1"/>
  <c r="V727" i="25"/>
  <c r="AB727" i="25" s="1"/>
  <c r="AE726" i="25"/>
  <c r="X726" i="25"/>
  <c r="AD726" i="25" s="1"/>
  <c r="W726" i="25"/>
  <c r="AC726" i="25" s="1"/>
  <c r="V726" i="25"/>
  <c r="AB726" i="25" s="1"/>
  <c r="AE725" i="25"/>
  <c r="X725" i="25"/>
  <c r="AD725" i="25" s="1"/>
  <c r="W725" i="25"/>
  <c r="AC725" i="25" s="1"/>
  <c r="V725" i="25"/>
  <c r="AB725" i="25" s="1"/>
  <c r="AE724" i="25"/>
  <c r="X724" i="25"/>
  <c r="AD724" i="25" s="1"/>
  <c r="W724" i="25"/>
  <c r="AC724" i="25" s="1"/>
  <c r="V724" i="25"/>
  <c r="AB724" i="25" s="1"/>
  <c r="AE723" i="25"/>
  <c r="X723" i="25"/>
  <c r="AD723" i="25" s="1"/>
  <c r="W723" i="25"/>
  <c r="AC723" i="25" s="1"/>
  <c r="V723" i="25"/>
  <c r="AB723" i="25" s="1"/>
  <c r="AE722" i="25"/>
  <c r="X722" i="25"/>
  <c r="AD722" i="25" s="1"/>
  <c r="W722" i="25"/>
  <c r="AC722" i="25" s="1"/>
  <c r="V722" i="25"/>
  <c r="AB722" i="25" s="1"/>
  <c r="AE721" i="25"/>
  <c r="X721" i="25"/>
  <c r="AD721" i="25" s="1"/>
  <c r="W721" i="25"/>
  <c r="AC721" i="25" s="1"/>
  <c r="V721" i="25"/>
  <c r="AB721" i="25" s="1"/>
  <c r="AE720" i="25"/>
  <c r="X720" i="25"/>
  <c r="AD720" i="25" s="1"/>
  <c r="W720" i="25"/>
  <c r="AC720" i="25" s="1"/>
  <c r="V720" i="25"/>
  <c r="AB720" i="25" s="1"/>
  <c r="AE719" i="25"/>
  <c r="X719" i="25"/>
  <c r="AD719" i="25" s="1"/>
  <c r="W719" i="25"/>
  <c r="AC719" i="25" s="1"/>
  <c r="V719" i="25"/>
  <c r="AB719" i="25" s="1"/>
  <c r="AE718" i="25"/>
  <c r="X718" i="25"/>
  <c r="AD718" i="25" s="1"/>
  <c r="W718" i="25"/>
  <c r="AC718" i="25" s="1"/>
  <c r="V718" i="25"/>
  <c r="AB718" i="25" s="1"/>
  <c r="AE717" i="25"/>
  <c r="X717" i="25"/>
  <c r="AD717" i="25" s="1"/>
  <c r="W717" i="25"/>
  <c r="AC717" i="25" s="1"/>
  <c r="V717" i="25"/>
  <c r="AB717" i="25" s="1"/>
  <c r="AE716" i="25"/>
  <c r="X716" i="25"/>
  <c r="AD716" i="25" s="1"/>
  <c r="W716" i="25"/>
  <c r="AC716" i="25" s="1"/>
  <c r="V716" i="25"/>
  <c r="AB716" i="25" s="1"/>
  <c r="AE715" i="25"/>
  <c r="X715" i="25"/>
  <c r="AD715" i="25" s="1"/>
  <c r="W715" i="25"/>
  <c r="AC715" i="25" s="1"/>
  <c r="V715" i="25"/>
  <c r="AB715" i="25" s="1"/>
  <c r="AE714" i="25"/>
  <c r="X714" i="25"/>
  <c r="AD714" i="25" s="1"/>
  <c r="W714" i="25"/>
  <c r="AC714" i="25" s="1"/>
  <c r="V714" i="25"/>
  <c r="AB714" i="25" s="1"/>
  <c r="AE713" i="25"/>
  <c r="X713" i="25"/>
  <c r="AD713" i="25" s="1"/>
  <c r="W713" i="25"/>
  <c r="AC713" i="25" s="1"/>
  <c r="V713" i="25"/>
  <c r="AB713" i="25" s="1"/>
  <c r="AE712" i="25"/>
  <c r="X712" i="25"/>
  <c r="AD712" i="25" s="1"/>
  <c r="W712" i="25"/>
  <c r="AC712" i="25" s="1"/>
  <c r="V712" i="25"/>
  <c r="AB712" i="25" s="1"/>
  <c r="AE711" i="25"/>
  <c r="X711" i="25"/>
  <c r="AD711" i="25" s="1"/>
  <c r="W711" i="25"/>
  <c r="AC711" i="25" s="1"/>
  <c r="V711" i="25"/>
  <c r="AB711" i="25" s="1"/>
  <c r="AE710" i="25"/>
  <c r="X710" i="25"/>
  <c r="AD710" i="25" s="1"/>
  <c r="W710" i="25"/>
  <c r="AC710" i="25" s="1"/>
  <c r="V710" i="25"/>
  <c r="AB710" i="25" s="1"/>
  <c r="AE709" i="25"/>
  <c r="X709" i="25"/>
  <c r="AD709" i="25" s="1"/>
  <c r="W709" i="25"/>
  <c r="AC709" i="25" s="1"/>
  <c r="V709" i="25"/>
  <c r="AB709" i="25" s="1"/>
  <c r="AE708" i="25"/>
  <c r="X708" i="25"/>
  <c r="AD708" i="25" s="1"/>
  <c r="W708" i="25"/>
  <c r="AC708" i="25" s="1"/>
  <c r="V708" i="25"/>
  <c r="AB708" i="25" s="1"/>
  <c r="AE707" i="25"/>
  <c r="X707" i="25"/>
  <c r="AD707" i="25" s="1"/>
  <c r="W707" i="25"/>
  <c r="AC707" i="25" s="1"/>
  <c r="V707" i="25"/>
  <c r="AB707" i="25" s="1"/>
  <c r="AE706" i="25"/>
  <c r="X706" i="25"/>
  <c r="AD706" i="25" s="1"/>
  <c r="W706" i="25"/>
  <c r="AC706" i="25" s="1"/>
  <c r="V706" i="25"/>
  <c r="AB706" i="25" s="1"/>
  <c r="AE705" i="25"/>
  <c r="X705" i="25"/>
  <c r="AD705" i="25" s="1"/>
  <c r="W705" i="25"/>
  <c r="AC705" i="25" s="1"/>
  <c r="V705" i="25"/>
  <c r="AB705" i="25" s="1"/>
  <c r="AE704" i="25"/>
  <c r="X704" i="25"/>
  <c r="AD704" i="25" s="1"/>
  <c r="W704" i="25"/>
  <c r="AC704" i="25" s="1"/>
  <c r="V704" i="25"/>
  <c r="AB704" i="25" s="1"/>
  <c r="AE703" i="25"/>
  <c r="X703" i="25"/>
  <c r="AD703" i="25" s="1"/>
  <c r="W703" i="25"/>
  <c r="AC703" i="25" s="1"/>
  <c r="V703" i="25"/>
  <c r="AB703" i="25" s="1"/>
  <c r="AE702" i="25"/>
  <c r="X702" i="25"/>
  <c r="AD702" i="25" s="1"/>
  <c r="W702" i="25"/>
  <c r="AC702" i="25" s="1"/>
  <c r="V702" i="25"/>
  <c r="AB702" i="25" s="1"/>
  <c r="AE701" i="25"/>
  <c r="X701" i="25"/>
  <c r="AD701" i="25" s="1"/>
  <c r="W701" i="25"/>
  <c r="AC701" i="25" s="1"/>
  <c r="V701" i="25"/>
  <c r="AB701" i="25" s="1"/>
  <c r="AE700" i="25"/>
  <c r="X700" i="25"/>
  <c r="AD700" i="25" s="1"/>
  <c r="W700" i="25"/>
  <c r="AC700" i="25" s="1"/>
  <c r="V700" i="25"/>
  <c r="AB700" i="25" s="1"/>
  <c r="AE699" i="25"/>
  <c r="X699" i="25"/>
  <c r="AD699" i="25" s="1"/>
  <c r="W699" i="25"/>
  <c r="AC699" i="25" s="1"/>
  <c r="V699" i="25"/>
  <c r="AB699" i="25" s="1"/>
  <c r="AE698" i="25"/>
  <c r="X698" i="25"/>
  <c r="AD698" i="25" s="1"/>
  <c r="W698" i="25"/>
  <c r="AC698" i="25" s="1"/>
  <c r="V698" i="25"/>
  <c r="AB698" i="25" s="1"/>
  <c r="AE697" i="25"/>
  <c r="X697" i="25"/>
  <c r="AD697" i="25" s="1"/>
  <c r="W697" i="25"/>
  <c r="AC697" i="25" s="1"/>
  <c r="V697" i="25"/>
  <c r="AB697" i="25" s="1"/>
  <c r="AE696" i="25"/>
  <c r="X696" i="25"/>
  <c r="AD696" i="25" s="1"/>
  <c r="W696" i="25"/>
  <c r="AC696" i="25" s="1"/>
  <c r="V696" i="25"/>
  <c r="AB696" i="25" s="1"/>
  <c r="AE695" i="25"/>
  <c r="X695" i="25"/>
  <c r="AD695" i="25" s="1"/>
  <c r="W695" i="25"/>
  <c r="AC695" i="25" s="1"/>
  <c r="V695" i="25"/>
  <c r="AB695" i="25" s="1"/>
  <c r="AE694" i="25"/>
  <c r="X694" i="25"/>
  <c r="AD694" i="25" s="1"/>
  <c r="W694" i="25"/>
  <c r="AC694" i="25" s="1"/>
  <c r="V694" i="25"/>
  <c r="AB694" i="25" s="1"/>
  <c r="AE693" i="25"/>
  <c r="X693" i="25"/>
  <c r="AD693" i="25" s="1"/>
  <c r="W693" i="25"/>
  <c r="AC693" i="25" s="1"/>
  <c r="V693" i="25"/>
  <c r="AB693" i="25" s="1"/>
  <c r="AE692" i="25"/>
  <c r="X692" i="25"/>
  <c r="AD692" i="25" s="1"/>
  <c r="W692" i="25"/>
  <c r="AC692" i="25" s="1"/>
  <c r="V692" i="25"/>
  <c r="AB692" i="25" s="1"/>
  <c r="AE691" i="25"/>
  <c r="X691" i="25"/>
  <c r="AD691" i="25" s="1"/>
  <c r="W691" i="25"/>
  <c r="AC691" i="25" s="1"/>
  <c r="V691" i="25"/>
  <c r="AB691" i="25" s="1"/>
  <c r="AE690" i="25"/>
  <c r="X690" i="25"/>
  <c r="AD690" i="25" s="1"/>
  <c r="W690" i="25"/>
  <c r="AC690" i="25" s="1"/>
  <c r="V690" i="25"/>
  <c r="AB690" i="25" s="1"/>
  <c r="AE689" i="25"/>
  <c r="X689" i="25"/>
  <c r="AD689" i="25" s="1"/>
  <c r="W689" i="25"/>
  <c r="AC689" i="25" s="1"/>
  <c r="V689" i="25"/>
  <c r="AB689" i="25" s="1"/>
  <c r="AE688" i="25"/>
  <c r="X688" i="25"/>
  <c r="AD688" i="25" s="1"/>
  <c r="W688" i="25"/>
  <c r="AC688" i="25" s="1"/>
  <c r="V688" i="25"/>
  <c r="AB688" i="25" s="1"/>
  <c r="AE687" i="25"/>
  <c r="X687" i="25"/>
  <c r="AD687" i="25" s="1"/>
  <c r="W687" i="25"/>
  <c r="AC687" i="25" s="1"/>
  <c r="V687" i="25"/>
  <c r="AB687" i="25" s="1"/>
  <c r="AE686" i="25"/>
  <c r="X686" i="25"/>
  <c r="AD686" i="25" s="1"/>
  <c r="W686" i="25"/>
  <c r="AC686" i="25" s="1"/>
  <c r="V686" i="25"/>
  <c r="AB686" i="25" s="1"/>
  <c r="AE685" i="25"/>
  <c r="X685" i="25"/>
  <c r="AD685" i="25" s="1"/>
  <c r="W685" i="25"/>
  <c r="AC685" i="25" s="1"/>
  <c r="V685" i="25"/>
  <c r="AB685" i="25" s="1"/>
  <c r="AE684" i="25"/>
  <c r="X684" i="25"/>
  <c r="AD684" i="25" s="1"/>
  <c r="W684" i="25"/>
  <c r="AC684" i="25" s="1"/>
  <c r="V684" i="25"/>
  <c r="AB684" i="25" s="1"/>
  <c r="AE683" i="25"/>
  <c r="X683" i="25"/>
  <c r="AD683" i="25" s="1"/>
  <c r="W683" i="25"/>
  <c r="AC683" i="25" s="1"/>
  <c r="V683" i="25"/>
  <c r="AB683" i="25" s="1"/>
  <c r="AE682" i="25"/>
  <c r="X682" i="25"/>
  <c r="AD682" i="25" s="1"/>
  <c r="W682" i="25"/>
  <c r="AC682" i="25" s="1"/>
  <c r="V682" i="25"/>
  <c r="AB682" i="25" s="1"/>
  <c r="AE681" i="25"/>
  <c r="X681" i="25"/>
  <c r="AD681" i="25" s="1"/>
  <c r="W681" i="25"/>
  <c r="AC681" i="25" s="1"/>
  <c r="V681" i="25"/>
  <c r="AB681" i="25" s="1"/>
  <c r="AE680" i="25"/>
  <c r="X680" i="25"/>
  <c r="AD680" i="25" s="1"/>
  <c r="W680" i="25"/>
  <c r="AC680" i="25" s="1"/>
  <c r="V680" i="25"/>
  <c r="AB680" i="25" s="1"/>
  <c r="AE679" i="25"/>
  <c r="X679" i="25"/>
  <c r="AD679" i="25" s="1"/>
  <c r="W679" i="25"/>
  <c r="AC679" i="25" s="1"/>
  <c r="V679" i="25"/>
  <c r="AB679" i="25" s="1"/>
  <c r="AE678" i="25"/>
  <c r="X678" i="25"/>
  <c r="AD678" i="25" s="1"/>
  <c r="W678" i="25"/>
  <c r="AC678" i="25" s="1"/>
  <c r="V678" i="25"/>
  <c r="AB678" i="25" s="1"/>
  <c r="AE677" i="25"/>
  <c r="X677" i="25"/>
  <c r="AD677" i="25" s="1"/>
  <c r="W677" i="25"/>
  <c r="AC677" i="25" s="1"/>
  <c r="V677" i="25"/>
  <c r="AB677" i="25" s="1"/>
  <c r="AE676" i="25"/>
  <c r="X676" i="25"/>
  <c r="AD676" i="25" s="1"/>
  <c r="W676" i="25"/>
  <c r="AC676" i="25" s="1"/>
  <c r="V676" i="25"/>
  <c r="AB676" i="25" s="1"/>
  <c r="AE675" i="25"/>
  <c r="X675" i="25"/>
  <c r="AD675" i="25" s="1"/>
  <c r="W675" i="25"/>
  <c r="AC675" i="25" s="1"/>
  <c r="V675" i="25"/>
  <c r="AB675" i="25" s="1"/>
  <c r="AE674" i="25"/>
  <c r="X674" i="25"/>
  <c r="AD674" i="25" s="1"/>
  <c r="W674" i="25"/>
  <c r="AC674" i="25" s="1"/>
  <c r="V674" i="25"/>
  <c r="AB674" i="25" s="1"/>
  <c r="AE673" i="25"/>
  <c r="X673" i="25"/>
  <c r="AD673" i="25" s="1"/>
  <c r="W673" i="25"/>
  <c r="AC673" i="25" s="1"/>
  <c r="V673" i="25"/>
  <c r="AB673" i="25" s="1"/>
  <c r="AE672" i="25"/>
  <c r="X672" i="25"/>
  <c r="AD672" i="25" s="1"/>
  <c r="W672" i="25"/>
  <c r="AC672" i="25" s="1"/>
  <c r="V672" i="25"/>
  <c r="AB672" i="25" s="1"/>
  <c r="AE671" i="25"/>
  <c r="X671" i="25"/>
  <c r="AD671" i="25" s="1"/>
  <c r="W671" i="25"/>
  <c r="AC671" i="25" s="1"/>
  <c r="V671" i="25"/>
  <c r="AB671" i="25" s="1"/>
  <c r="AE670" i="25"/>
  <c r="X670" i="25"/>
  <c r="AD670" i="25" s="1"/>
  <c r="W670" i="25"/>
  <c r="AC670" i="25" s="1"/>
  <c r="V670" i="25"/>
  <c r="AB670" i="25" s="1"/>
  <c r="AE669" i="25"/>
  <c r="X669" i="25"/>
  <c r="AD669" i="25" s="1"/>
  <c r="W669" i="25"/>
  <c r="AC669" i="25" s="1"/>
  <c r="V669" i="25"/>
  <c r="AB669" i="25" s="1"/>
  <c r="AE668" i="25"/>
  <c r="X668" i="25"/>
  <c r="AD668" i="25" s="1"/>
  <c r="W668" i="25"/>
  <c r="AC668" i="25" s="1"/>
  <c r="V668" i="25"/>
  <c r="AB668" i="25" s="1"/>
  <c r="AE667" i="25"/>
  <c r="X667" i="25"/>
  <c r="AD667" i="25" s="1"/>
  <c r="W667" i="25"/>
  <c r="AC667" i="25" s="1"/>
  <c r="V667" i="25"/>
  <c r="AB667" i="25" s="1"/>
  <c r="AE666" i="25"/>
  <c r="X666" i="25"/>
  <c r="AD666" i="25" s="1"/>
  <c r="W666" i="25"/>
  <c r="AC666" i="25" s="1"/>
  <c r="V666" i="25"/>
  <c r="AB666" i="25" s="1"/>
  <c r="AE665" i="25"/>
  <c r="X665" i="25"/>
  <c r="AD665" i="25" s="1"/>
  <c r="W665" i="25"/>
  <c r="AC665" i="25" s="1"/>
  <c r="V665" i="25"/>
  <c r="AB665" i="25" s="1"/>
  <c r="AE664" i="25"/>
  <c r="X664" i="25"/>
  <c r="AD664" i="25" s="1"/>
  <c r="W664" i="25"/>
  <c r="AC664" i="25" s="1"/>
  <c r="V664" i="25"/>
  <c r="AB664" i="25" s="1"/>
  <c r="AE663" i="25"/>
  <c r="X663" i="25"/>
  <c r="AD663" i="25" s="1"/>
  <c r="W663" i="25"/>
  <c r="AC663" i="25" s="1"/>
  <c r="V663" i="25"/>
  <c r="AB663" i="25" s="1"/>
  <c r="AE662" i="25"/>
  <c r="X662" i="25"/>
  <c r="AD662" i="25" s="1"/>
  <c r="W662" i="25"/>
  <c r="AC662" i="25" s="1"/>
  <c r="V662" i="25"/>
  <c r="AB662" i="25" s="1"/>
  <c r="AE661" i="25"/>
  <c r="X661" i="25"/>
  <c r="AD661" i="25" s="1"/>
  <c r="W661" i="25"/>
  <c r="AC661" i="25" s="1"/>
  <c r="V661" i="25"/>
  <c r="AB661" i="25" s="1"/>
  <c r="AE660" i="25"/>
  <c r="X660" i="25"/>
  <c r="AD660" i="25" s="1"/>
  <c r="W660" i="25"/>
  <c r="AC660" i="25" s="1"/>
  <c r="V660" i="25"/>
  <c r="AB660" i="25" s="1"/>
  <c r="AE659" i="25"/>
  <c r="X659" i="25"/>
  <c r="AD659" i="25" s="1"/>
  <c r="W659" i="25"/>
  <c r="AC659" i="25" s="1"/>
  <c r="V659" i="25"/>
  <c r="AB659" i="25" s="1"/>
  <c r="AE658" i="25"/>
  <c r="X658" i="25"/>
  <c r="AD658" i="25" s="1"/>
  <c r="W658" i="25"/>
  <c r="AC658" i="25" s="1"/>
  <c r="V658" i="25"/>
  <c r="AB658" i="25" s="1"/>
  <c r="AE657" i="25"/>
  <c r="X657" i="25"/>
  <c r="AD657" i="25" s="1"/>
  <c r="W657" i="25"/>
  <c r="AC657" i="25" s="1"/>
  <c r="V657" i="25"/>
  <c r="AB657" i="25" s="1"/>
  <c r="AE656" i="25"/>
  <c r="X656" i="25"/>
  <c r="AD656" i="25" s="1"/>
  <c r="W656" i="25"/>
  <c r="AC656" i="25" s="1"/>
  <c r="V656" i="25"/>
  <c r="AB656" i="25" s="1"/>
  <c r="AE655" i="25"/>
  <c r="X655" i="25"/>
  <c r="AD655" i="25" s="1"/>
  <c r="W655" i="25"/>
  <c r="AC655" i="25" s="1"/>
  <c r="V655" i="25"/>
  <c r="AB655" i="25" s="1"/>
  <c r="AE654" i="25"/>
  <c r="X654" i="25"/>
  <c r="AD654" i="25" s="1"/>
  <c r="W654" i="25"/>
  <c r="AC654" i="25" s="1"/>
  <c r="V654" i="25"/>
  <c r="AB654" i="25" s="1"/>
  <c r="AE653" i="25"/>
  <c r="X653" i="25"/>
  <c r="AD653" i="25" s="1"/>
  <c r="W653" i="25"/>
  <c r="AC653" i="25" s="1"/>
  <c r="V653" i="25"/>
  <c r="AB653" i="25" s="1"/>
  <c r="AE652" i="25"/>
  <c r="X652" i="25"/>
  <c r="AD652" i="25" s="1"/>
  <c r="W652" i="25"/>
  <c r="AC652" i="25" s="1"/>
  <c r="V652" i="25"/>
  <c r="AB652" i="25" s="1"/>
  <c r="AE651" i="25"/>
  <c r="X651" i="25"/>
  <c r="AD651" i="25" s="1"/>
  <c r="W651" i="25"/>
  <c r="AC651" i="25" s="1"/>
  <c r="V651" i="25"/>
  <c r="AB651" i="25" s="1"/>
  <c r="AE650" i="25"/>
  <c r="X650" i="25"/>
  <c r="AD650" i="25" s="1"/>
  <c r="W650" i="25"/>
  <c r="AC650" i="25" s="1"/>
  <c r="V650" i="25"/>
  <c r="AB650" i="25" s="1"/>
  <c r="AE649" i="25"/>
  <c r="X649" i="25"/>
  <c r="AD649" i="25" s="1"/>
  <c r="W649" i="25"/>
  <c r="AC649" i="25" s="1"/>
  <c r="V649" i="25"/>
  <c r="AB649" i="25" s="1"/>
  <c r="AE648" i="25"/>
  <c r="X648" i="25"/>
  <c r="AD648" i="25" s="1"/>
  <c r="W648" i="25"/>
  <c r="AC648" i="25" s="1"/>
  <c r="V648" i="25"/>
  <c r="AB648" i="25" s="1"/>
  <c r="AE647" i="25"/>
  <c r="X647" i="25"/>
  <c r="AD647" i="25" s="1"/>
  <c r="W647" i="25"/>
  <c r="AC647" i="25" s="1"/>
  <c r="V647" i="25"/>
  <c r="AB647" i="25" s="1"/>
  <c r="AE646" i="25"/>
  <c r="X646" i="25"/>
  <c r="AD646" i="25" s="1"/>
  <c r="W646" i="25"/>
  <c r="AC646" i="25" s="1"/>
  <c r="V646" i="25"/>
  <c r="AB646" i="25" s="1"/>
  <c r="AE645" i="25"/>
  <c r="X645" i="25"/>
  <c r="AD645" i="25" s="1"/>
  <c r="W645" i="25"/>
  <c r="AC645" i="25" s="1"/>
  <c r="V645" i="25"/>
  <c r="AB645" i="25" s="1"/>
  <c r="AE644" i="25"/>
  <c r="X644" i="25"/>
  <c r="AD644" i="25" s="1"/>
  <c r="W644" i="25"/>
  <c r="AC644" i="25" s="1"/>
  <c r="V644" i="25"/>
  <c r="AB644" i="25" s="1"/>
  <c r="AE643" i="25"/>
  <c r="X643" i="25"/>
  <c r="AD643" i="25" s="1"/>
  <c r="W643" i="25"/>
  <c r="AC643" i="25" s="1"/>
  <c r="V643" i="25"/>
  <c r="AB643" i="25" s="1"/>
  <c r="AE642" i="25"/>
  <c r="X642" i="25"/>
  <c r="AD642" i="25" s="1"/>
  <c r="W642" i="25"/>
  <c r="AC642" i="25" s="1"/>
  <c r="V642" i="25"/>
  <c r="AB642" i="25" s="1"/>
  <c r="AE641" i="25"/>
  <c r="X641" i="25"/>
  <c r="AD641" i="25" s="1"/>
  <c r="W641" i="25"/>
  <c r="AC641" i="25" s="1"/>
  <c r="V641" i="25"/>
  <c r="AB641" i="25" s="1"/>
  <c r="AE640" i="25"/>
  <c r="X640" i="25"/>
  <c r="AD640" i="25" s="1"/>
  <c r="W640" i="25"/>
  <c r="AC640" i="25" s="1"/>
  <c r="V640" i="25"/>
  <c r="AB640" i="25" s="1"/>
  <c r="AE639" i="25"/>
  <c r="X639" i="25"/>
  <c r="AD639" i="25" s="1"/>
  <c r="W639" i="25"/>
  <c r="AC639" i="25" s="1"/>
  <c r="V639" i="25"/>
  <c r="AB639" i="25" s="1"/>
  <c r="AE638" i="25"/>
  <c r="X638" i="25"/>
  <c r="AD638" i="25" s="1"/>
  <c r="W638" i="25"/>
  <c r="AC638" i="25" s="1"/>
  <c r="V638" i="25"/>
  <c r="AB638" i="25" s="1"/>
  <c r="AE637" i="25"/>
  <c r="X637" i="25"/>
  <c r="AD637" i="25" s="1"/>
  <c r="W637" i="25"/>
  <c r="AC637" i="25" s="1"/>
  <c r="V637" i="25"/>
  <c r="AB637" i="25" s="1"/>
  <c r="AE636" i="25"/>
  <c r="X636" i="25"/>
  <c r="AD636" i="25" s="1"/>
  <c r="W636" i="25"/>
  <c r="AC636" i="25" s="1"/>
  <c r="V636" i="25"/>
  <c r="AB636" i="25" s="1"/>
  <c r="AE635" i="25"/>
  <c r="X635" i="25"/>
  <c r="AD635" i="25" s="1"/>
  <c r="W635" i="25"/>
  <c r="AC635" i="25" s="1"/>
  <c r="V635" i="25"/>
  <c r="AB635" i="25" s="1"/>
  <c r="AE634" i="25"/>
  <c r="X634" i="25"/>
  <c r="AD634" i="25" s="1"/>
  <c r="W634" i="25"/>
  <c r="AC634" i="25" s="1"/>
  <c r="V634" i="25"/>
  <c r="AB634" i="25" s="1"/>
  <c r="AE633" i="25"/>
  <c r="X633" i="25"/>
  <c r="AD633" i="25" s="1"/>
  <c r="W633" i="25"/>
  <c r="AC633" i="25" s="1"/>
  <c r="V633" i="25"/>
  <c r="AB633" i="25" s="1"/>
  <c r="AE632" i="25"/>
  <c r="X632" i="25"/>
  <c r="AD632" i="25" s="1"/>
  <c r="W632" i="25"/>
  <c r="AC632" i="25" s="1"/>
  <c r="V632" i="25"/>
  <c r="AB632" i="25" s="1"/>
  <c r="AE631" i="25"/>
  <c r="X631" i="25"/>
  <c r="AD631" i="25" s="1"/>
  <c r="W631" i="25"/>
  <c r="AC631" i="25" s="1"/>
  <c r="V631" i="25"/>
  <c r="AB631" i="25" s="1"/>
  <c r="AE630" i="25"/>
  <c r="X630" i="25"/>
  <c r="AD630" i="25" s="1"/>
  <c r="W630" i="25"/>
  <c r="AC630" i="25" s="1"/>
  <c r="V630" i="25"/>
  <c r="AB630" i="25" s="1"/>
  <c r="AE629" i="25"/>
  <c r="X629" i="25"/>
  <c r="AD629" i="25" s="1"/>
  <c r="W629" i="25"/>
  <c r="AC629" i="25" s="1"/>
  <c r="V629" i="25"/>
  <c r="AB629" i="25" s="1"/>
  <c r="AE628" i="25"/>
  <c r="X628" i="25"/>
  <c r="AD628" i="25" s="1"/>
  <c r="W628" i="25"/>
  <c r="AC628" i="25" s="1"/>
  <c r="V628" i="25"/>
  <c r="AB628" i="25" s="1"/>
  <c r="AE627" i="25"/>
  <c r="X627" i="25"/>
  <c r="AD627" i="25" s="1"/>
  <c r="W627" i="25"/>
  <c r="AC627" i="25" s="1"/>
  <c r="V627" i="25"/>
  <c r="AB627" i="25" s="1"/>
  <c r="AE626" i="25"/>
  <c r="X626" i="25"/>
  <c r="AD626" i="25" s="1"/>
  <c r="W626" i="25"/>
  <c r="AC626" i="25" s="1"/>
  <c r="V626" i="25"/>
  <c r="AB626" i="25" s="1"/>
  <c r="AE625" i="25"/>
  <c r="X625" i="25"/>
  <c r="AD625" i="25" s="1"/>
  <c r="W625" i="25"/>
  <c r="AC625" i="25" s="1"/>
  <c r="V625" i="25"/>
  <c r="AB625" i="25" s="1"/>
  <c r="AE624" i="25"/>
  <c r="X624" i="25"/>
  <c r="AD624" i="25" s="1"/>
  <c r="W624" i="25"/>
  <c r="AC624" i="25" s="1"/>
  <c r="V624" i="25"/>
  <c r="AB624" i="25" s="1"/>
  <c r="AE623" i="25"/>
  <c r="X623" i="25"/>
  <c r="AD623" i="25" s="1"/>
  <c r="W623" i="25"/>
  <c r="AC623" i="25" s="1"/>
  <c r="V623" i="25"/>
  <c r="AB623" i="25" s="1"/>
  <c r="AE622" i="25"/>
  <c r="X622" i="25"/>
  <c r="AD622" i="25" s="1"/>
  <c r="W622" i="25"/>
  <c r="AC622" i="25" s="1"/>
  <c r="V622" i="25"/>
  <c r="AB622" i="25" s="1"/>
  <c r="AE621" i="25"/>
  <c r="X621" i="25"/>
  <c r="AD621" i="25" s="1"/>
  <c r="W621" i="25"/>
  <c r="AC621" i="25" s="1"/>
  <c r="V621" i="25"/>
  <c r="AB621" i="25" s="1"/>
  <c r="AE620" i="25"/>
  <c r="X620" i="25"/>
  <c r="AD620" i="25" s="1"/>
  <c r="W620" i="25"/>
  <c r="AC620" i="25" s="1"/>
  <c r="V620" i="25"/>
  <c r="AB620" i="25" s="1"/>
  <c r="AE619" i="25"/>
  <c r="X619" i="25"/>
  <c r="AD619" i="25" s="1"/>
  <c r="W619" i="25"/>
  <c r="AC619" i="25" s="1"/>
  <c r="V619" i="25"/>
  <c r="AB619" i="25" s="1"/>
  <c r="AE618" i="25"/>
  <c r="X618" i="25"/>
  <c r="AD618" i="25" s="1"/>
  <c r="W618" i="25"/>
  <c r="AC618" i="25" s="1"/>
  <c r="V618" i="25"/>
  <c r="AB618" i="25" s="1"/>
  <c r="AE617" i="25"/>
  <c r="X617" i="25"/>
  <c r="AD617" i="25" s="1"/>
  <c r="W617" i="25"/>
  <c r="AC617" i="25" s="1"/>
  <c r="V617" i="25"/>
  <c r="AB617" i="25" s="1"/>
  <c r="AE616" i="25"/>
  <c r="X616" i="25"/>
  <c r="AD616" i="25" s="1"/>
  <c r="W616" i="25"/>
  <c r="AC616" i="25" s="1"/>
  <c r="V616" i="25"/>
  <c r="AB616" i="25" s="1"/>
  <c r="AE615" i="25"/>
  <c r="X615" i="25"/>
  <c r="AD615" i="25" s="1"/>
  <c r="W615" i="25"/>
  <c r="AC615" i="25" s="1"/>
  <c r="V615" i="25"/>
  <c r="AB615" i="25" s="1"/>
  <c r="AE614" i="25"/>
  <c r="X614" i="25"/>
  <c r="AD614" i="25" s="1"/>
  <c r="W614" i="25"/>
  <c r="AC614" i="25" s="1"/>
  <c r="V614" i="25"/>
  <c r="AB614" i="25" s="1"/>
  <c r="AE613" i="25"/>
  <c r="X613" i="25"/>
  <c r="AD613" i="25" s="1"/>
  <c r="W613" i="25"/>
  <c r="AC613" i="25" s="1"/>
  <c r="V613" i="25"/>
  <c r="AB613" i="25" s="1"/>
  <c r="AE612" i="25"/>
  <c r="X612" i="25"/>
  <c r="AD612" i="25" s="1"/>
  <c r="W612" i="25"/>
  <c r="AC612" i="25" s="1"/>
  <c r="V612" i="25"/>
  <c r="AB612" i="25" s="1"/>
  <c r="AE611" i="25"/>
  <c r="X611" i="25"/>
  <c r="AD611" i="25" s="1"/>
  <c r="W611" i="25"/>
  <c r="AC611" i="25" s="1"/>
  <c r="V611" i="25"/>
  <c r="AB611" i="25" s="1"/>
  <c r="AE610" i="25"/>
  <c r="X610" i="25"/>
  <c r="AD610" i="25" s="1"/>
  <c r="W610" i="25"/>
  <c r="AC610" i="25" s="1"/>
  <c r="V610" i="25"/>
  <c r="AB610" i="25" s="1"/>
  <c r="AE609" i="25"/>
  <c r="X609" i="25"/>
  <c r="AD609" i="25" s="1"/>
  <c r="W609" i="25"/>
  <c r="AC609" i="25" s="1"/>
  <c r="V609" i="25"/>
  <c r="AB609" i="25" s="1"/>
  <c r="AE608" i="25"/>
  <c r="X608" i="25"/>
  <c r="AD608" i="25" s="1"/>
  <c r="W608" i="25"/>
  <c r="AC608" i="25" s="1"/>
  <c r="V608" i="25"/>
  <c r="AB608" i="25" s="1"/>
  <c r="AE607" i="25"/>
  <c r="X607" i="25"/>
  <c r="AD607" i="25" s="1"/>
  <c r="W607" i="25"/>
  <c r="AC607" i="25" s="1"/>
  <c r="V607" i="25"/>
  <c r="AB607" i="25" s="1"/>
  <c r="AE606" i="25"/>
  <c r="X606" i="25"/>
  <c r="AD606" i="25" s="1"/>
  <c r="W606" i="25"/>
  <c r="AC606" i="25" s="1"/>
  <c r="V606" i="25"/>
  <c r="AB606" i="25" s="1"/>
  <c r="AE605" i="25"/>
  <c r="X605" i="25"/>
  <c r="AD605" i="25" s="1"/>
  <c r="W605" i="25"/>
  <c r="AC605" i="25" s="1"/>
  <c r="V605" i="25"/>
  <c r="AB605" i="25" s="1"/>
  <c r="AE604" i="25"/>
  <c r="X604" i="25"/>
  <c r="AD604" i="25" s="1"/>
  <c r="W604" i="25"/>
  <c r="AC604" i="25" s="1"/>
  <c r="V604" i="25"/>
  <c r="AB604" i="25" s="1"/>
  <c r="AE603" i="25"/>
  <c r="X603" i="25"/>
  <c r="AD603" i="25" s="1"/>
  <c r="W603" i="25"/>
  <c r="AC603" i="25" s="1"/>
  <c r="V603" i="25"/>
  <c r="AB603" i="25" s="1"/>
  <c r="AE602" i="25"/>
  <c r="X602" i="25"/>
  <c r="AD602" i="25" s="1"/>
  <c r="W602" i="25"/>
  <c r="AC602" i="25" s="1"/>
  <c r="V602" i="25"/>
  <c r="AB602" i="25" s="1"/>
  <c r="AE601" i="25"/>
  <c r="X601" i="25"/>
  <c r="AD601" i="25" s="1"/>
  <c r="W601" i="25"/>
  <c r="AC601" i="25" s="1"/>
  <c r="V601" i="25"/>
  <c r="AB601" i="25" s="1"/>
  <c r="AE600" i="25"/>
  <c r="X600" i="25"/>
  <c r="AD600" i="25" s="1"/>
  <c r="W600" i="25"/>
  <c r="AC600" i="25" s="1"/>
  <c r="V600" i="25"/>
  <c r="AB600" i="25" s="1"/>
  <c r="AE599" i="25"/>
  <c r="X599" i="25"/>
  <c r="AD599" i="25" s="1"/>
  <c r="W599" i="25"/>
  <c r="AC599" i="25" s="1"/>
  <c r="V599" i="25"/>
  <c r="AB599" i="25" s="1"/>
  <c r="AE598" i="25"/>
  <c r="X598" i="25"/>
  <c r="AD598" i="25" s="1"/>
  <c r="W598" i="25"/>
  <c r="AC598" i="25" s="1"/>
  <c r="V598" i="25"/>
  <c r="AB598" i="25" s="1"/>
  <c r="AE597" i="25"/>
  <c r="X597" i="25"/>
  <c r="AD597" i="25" s="1"/>
  <c r="W597" i="25"/>
  <c r="AC597" i="25" s="1"/>
  <c r="V597" i="25"/>
  <c r="AB597" i="25" s="1"/>
  <c r="AE596" i="25"/>
  <c r="X596" i="25"/>
  <c r="AD596" i="25" s="1"/>
  <c r="W596" i="25"/>
  <c r="AC596" i="25" s="1"/>
  <c r="V596" i="25"/>
  <c r="AB596" i="25" s="1"/>
  <c r="AE595" i="25"/>
  <c r="X595" i="25"/>
  <c r="AD595" i="25" s="1"/>
  <c r="W595" i="25"/>
  <c r="AC595" i="25" s="1"/>
  <c r="V595" i="25"/>
  <c r="AB595" i="25" s="1"/>
  <c r="AE594" i="25"/>
  <c r="X594" i="25"/>
  <c r="AD594" i="25" s="1"/>
  <c r="W594" i="25"/>
  <c r="AC594" i="25" s="1"/>
  <c r="V594" i="25"/>
  <c r="AB594" i="25" s="1"/>
  <c r="AE593" i="25"/>
  <c r="X593" i="25"/>
  <c r="AD593" i="25" s="1"/>
  <c r="W593" i="25"/>
  <c r="AC593" i="25" s="1"/>
  <c r="V593" i="25"/>
  <c r="AB593" i="25" s="1"/>
  <c r="AE592" i="25"/>
  <c r="X592" i="25"/>
  <c r="AD592" i="25" s="1"/>
  <c r="W592" i="25"/>
  <c r="AC592" i="25" s="1"/>
  <c r="V592" i="25"/>
  <c r="AB592" i="25" s="1"/>
  <c r="AE591" i="25"/>
  <c r="X591" i="25"/>
  <c r="AD591" i="25" s="1"/>
  <c r="W591" i="25"/>
  <c r="AC591" i="25" s="1"/>
  <c r="V591" i="25"/>
  <c r="AB591" i="25" s="1"/>
  <c r="AE590" i="25"/>
  <c r="X590" i="25"/>
  <c r="AD590" i="25" s="1"/>
  <c r="W590" i="25"/>
  <c r="AC590" i="25" s="1"/>
  <c r="V590" i="25"/>
  <c r="AB590" i="25" s="1"/>
  <c r="AE589" i="25"/>
  <c r="X589" i="25"/>
  <c r="AD589" i="25" s="1"/>
  <c r="W589" i="25"/>
  <c r="AC589" i="25" s="1"/>
  <c r="V589" i="25"/>
  <c r="AB589" i="25" s="1"/>
  <c r="AE588" i="25"/>
  <c r="X588" i="25"/>
  <c r="AD588" i="25" s="1"/>
  <c r="W588" i="25"/>
  <c r="AC588" i="25" s="1"/>
  <c r="V588" i="25"/>
  <c r="AB588" i="25" s="1"/>
  <c r="AE587" i="25"/>
  <c r="X587" i="25"/>
  <c r="AD587" i="25" s="1"/>
  <c r="W587" i="25"/>
  <c r="AC587" i="25" s="1"/>
  <c r="V587" i="25"/>
  <c r="AB587" i="25" s="1"/>
  <c r="AE586" i="25"/>
  <c r="X586" i="25"/>
  <c r="AD586" i="25" s="1"/>
  <c r="W586" i="25"/>
  <c r="AC586" i="25" s="1"/>
  <c r="V586" i="25"/>
  <c r="AB586" i="25" s="1"/>
  <c r="AE585" i="25"/>
  <c r="X585" i="25"/>
  <c r="AD585" i="25" s="1"/>
  <c r="W585" i="25"/>
  <c r="AC585" i="25" s="1"/>
  <c r="V585" i="25"/>
  <c r="AB585" i="25" s="1"/>
  <c r="AE584" i="25"/>
  <c r="X584" i="25"/>
  <c r="AD584" i="25" s="1"/>
  <c r="W584" i="25"/>
  <c r="AC584" i="25" s="1"/>
  <c r="V584" i="25"/>
  <c r="AB584" i="25" s="1"/>
  <c r="AE583" i="25"/>
  <c r="X583" i="25"/>
  <c r="AD583" i="25" s="1"/>
  <c r="W583" i="25"/>
  <c r="AC583" i="25" s="1"/>
  <c r="V583" i="25"/>
  <c r="AB583" i="25" s="1"/>
  <c r="AE582" i="25"/>
  <c r="X582" i="25"/>
  <c r="AD582" i="25" s="1"/>
  <c r="W582" i="25"/>
  <c r="AC582" i="25" s="1"/>
  <c r="V582" i="25"/>
  <c r="AB582" i="25" s="1"/>
  <c r="AE581" i="25"/>
  <c r="X581" i="25"/>
  <c r="AD581" i="25" s="1"/>
  <c r="W581" i="25"/>
  <c r="AC581" i="25" s="1"/>
  <c r="V581" i="25"/>
  <c r="AB581" i="25" s="1"/>
  <c r="AE580" i="25"/>
  <c r="X580" i="25"/>
  <c r="AD580" i="25" s="1"/>
  <c r="W580" i="25"/>
  <c r="AC580" i="25" s="1"/>
  <c r="V580" i="25"/>
  <c r="AB580" i="25" s="1"/>
  <c r="AE579" i="25"/>
  <c r="X579" i="25"/>
  <c r="AD579" i="25" s="1"/>
  <c r="W579" i="25"/>
  <c r="AC579" i="25" s="1"/>
  <c r="V579" i="25"/>
  <c r="AB579" i="25" s="1"/>
  <c r="AE578" i="25"/>
  <c r="X578" i="25"/>
  <c r="AD578" i="25" s="1"/>
  <c r="W578" i="25"/>
  <c r="AC578" i="25" s="1"/>
  <c r="V578" i="25"/>
  <c r="AB578" i="25" s="1"/>
  <c r="AE577" i="25"/>
  <c r="X577" i="25"/>
  <c r="AD577" i="25" s="1"/>
  <c r="W577" i="25"/>
  <c r="AC577" i="25" s="1"/>
  <c r="V577" i="25"/>
  <c r="AB577" i="25" s="1"/>
  <c r="AE576" i="25"/>
  <c r="X576" i="25"/>
  <c r="AD576" i="25" s="1"/>
  <c r="W576" i="25"/>
  <c r="AC576" i="25" s="1"/>
  <c r="V576" i="25"/>
  <c r="AB576" i="25" s="1"/>
  <c r="AE575" i="25"/>
  <c r="X575" i="25"/>
  <c r="AD575" i="25" s="1"/>
  <c r="W575" i="25"/>
  <c r="AC575" i="25" s="1"/>
  <c r="V575" i="25"/>
  <c r="AB575" i="25" s="1"/>
  <c r="AE574" i="25"/>
  <c r="X574" i="25"/>
  <c r="AD574" i="25" s="1"/>
  <c r="W574" i="25"/>
  <c r="AC574" i="25" s="1"/>
  <c r="V574" i="25"/>
  <c r="AB574" i="25" s="1"/>
  <c r="AE573" i="25"/>
  <c r="X573" i="25"/>
  <c r="AD573" i="25" s="1"/>
  <c r="W573" i="25"/>
  <c r="AC573" i="25" s="1"/>
  <c r="V573" i="25"/>
  <c r="AB573" i="25" s="1"/>
  <c r="AE572" i="25"/>
  <c r="X572" i="25"/>
  <c r="AD572" i="25" s="1"/>
  <c r="W572" i="25"/>
  <c r="AC572" i="25" s="1"/>
  <c r="V572" i="25"/>
  <c r="AB572" i="25" s="1"/>
  <c r="AE571" i="25"/>
  <c r="X571" i="25"/>
  <c r="AD571" i="25" s="1"/>
  <c r="W571" i="25"/>
  <c r="AC571" i="25" s="1"/>
  <c r="V571" i="25"/>
  <c r="AB571" i="25" s="1"/>
  <c r="AE570" i="25"/>
  <c r="X570" i="25"/>
  <c r="AD570" i="25" s="1"/>
  <c r="W570" i="25"/>
  <c r="AC570" i="25" s="1"/>
  <c r="V570" i="25"/>
  <c r="AB570" i="25" s="1"/>
  <c r="AE569" i="25"/>
  <c r="X569" i="25"/>
  <c r="AD569" i="25" s="1"/>
  <c r="W569" i="25"/>
  <c r="AC569" i="25" s="1"/>
  <c r="V569" i="25"/>
  <c r="AB569" i="25" s="1"/>
  <c r="AE568" i="25"/>
  <c r="X568" i="25"/>
  <c r="AD568" i="25" s="1"/>
  <c r="W568" i="25"/>
  <c r="AC568" i="25" s="1"/>
  <c r="V568" i="25"/>
  <c r="AB568" i="25" s="1"/>
  <c r="AE567" i="25"/>
  <c r="X567" i="25"/>
  <c r="AD567" i="25" s="1"/>
  <c r="W567" i="25"/>
  <c r="AC567" i="25" s="1"/>
  <c r="V567" i="25"/>
  <c r="AB567" i="25" s="1"/>
  <c r="AE566" i="25"/>
  <c r="X566" i="25"/>
  <c r="AD566" i="25" s="1"/>
  <c r="W566" i="25"/>
  <c r="AC566" i="25" s="1"/>
  <c r="V566" i="25"/>
  <c r="AB566" i="25" s="1"/>
  <c r="AE565" i="25"/>
  <c r="X565" i="25"/>
  <c r="AD565" i="25" s="1"/>
  <c r="W565" i="25"/>
  <c r="AC565" i="25" s="1"/>
  <c r="V565" i="25"/>
  <c r="AB565" i="25" s="1"/>
  <c r="AE564" i="25"/>
  <c r="X564" i="25"/>
  <c r="AD564" i="25" s="1"/>
  <c r="W564" i="25"/>
  <c r="AC564" i="25" s="1"/>
  <c r="V564" i="25"/>
  <c r="AB564" i="25" s="1"/>
  <c r="AE563" i="25"/>
  <c r="X563" i="25"/>
  <c r="AD563" i="25" s="1"/>
  <c r="W563" i="25"/>
  <c r="AC563" i="25" s="1"/>
  <c r="V563" i="25"/>
  <c r="AB563" i="25" s="1"/>
  <c r="AE562" i="25"/>
  <c r="X562" i="25"/>
  <c r="AD562" i="25" s="1"/>
  <c r="W562" i="25"/>
  <c r="AC562" i="25" s="1"/>
  <c r="V562" i="25"/>
  <c r="AB562" i="25" s="1"/>
  <c r="AE561" i="25"/>
  <c r="X561" i="25"/>
  <c r="AD561" i="25" s="1"/>
  <c r="W561" i="25"/>
  <c r="AC561" i="25" s="1"/>
  <c r="V561" i="25"/>
  <c r="AB561" i="25" s="1"/>
  <c r="AE560" i="25"/>
  <c r="X560" i="25"/>
  <c r="AD560" i="25" s="1"/>
  <c r="W560" i="25"/>
  <c r="AC560" i="25" s="1"/>
  <c r="V560" i="25"/>
  <c r="AB560" i="25" s="1"/>
  <c r="AE559" i="25"/>
  <c r="X559" i="25"/>
  <c r="AD559" i="25" s="1"/>
  <c r="W559" i="25"/>
  <c r="AC559" i="25" s="1"/>
  <c r="V559" i="25"/>
  <c r="AB559" i="25" s="1"/>
  <c r="AE558" i="25"/>
  <c r="X558" i="25"/>
  <c r="AD558" i="25" s="1"/>
  <c r="W558" i="25"/>
  <c r="AC558" i="25" s="1"/>
  <c r="V558" i="25"/>
  <c r="AB558" i="25" s="1"/>
  <c r="AE557" i="25"/>
  <c r="X557" i="25"/>
  <c r="AD557" i="25" s="1"/>
  <c r="W557" i="25"/>
  <c r="AC557" i="25" s="1"/>
  <c r="V557" i="25"/>
  <c r="AB557" i="25" s="1"/>
  <c r="AE556" i="25"/>
  <c r="X556" i="25"/>
  <c r="AD556" i="25" s="1"/>
  <c r="W556" i="25"/>
  <c r="AC556" i="25" s="1"/>
  <c r="V556" i="25"/>
  <c r="AB556" i="25" s="1"/>
  <c r="AE555" i="25"/>
  <c r="X555" i="25"/>
  <c r="AD555" i="25" s="1"/>
  <c r="W555" i="25"/>
  <c r="AC555" i="25" s="1"/>
  <c r="V555" i="25"/>
  <c r="AB555" i="25" s="1"/>
  <c r="AE554" i="25"/>
  <c r="X554" i="25"/>
  <c r="AD554" i="25" s="1"/>
  <c r="W554" i="25"/>
  <c r="AC554" i="25" s="1"/>
  <c r="V554" i="25"/>
  <c r="AB554" i="25" s="1"/>
  <c r="AE553" i="25"/>
  <c r="X553" i="25"/>
  <c r="AD553" i="25" s="1"/>
  <c r="W553" i="25"/>
  <c r="AC553" i="25" s="1"/>
  <c r="V553" i="25"/>
  <c r="AB553" i="25" s="1"/>
  <c r="AE552" i="25"/>
  <c r="X552" i="25"/>
  <c r="AD552" i="25" s="1"/>
  <c r="W552" i="25"/>
  <c r="AC552" i="25" s="1"/>
  <c r="V552" i="25"/>
  <c r="AB552" i="25" s="1"/>
  <c r="AE551" i="25"/>
  <c r="X551" i="25"/>
  <c r="AD551" i="25" s="1"/>
  <c r="W551" i="25"/>
  <c r="AC551" i="25" s="1"/>
  <c r="V551" i="25"/>
  <c r="AB551" i="25" s="1"/>
  <c r="AE550" i="25"/>
  <c r="X550" i="25"/>
  <c r="AD550" i="25" s="1"/>
  <c r="W550" i="25"/>
  <c r="AC550" i="25" s="1"/>
  <c r="V550" i="25"/>
  <c r="AB550" i="25" s="1"/>
  <c r="AE549" i="25"/>
  <c r="X549" i="25"/>
  <c r="AD549" i="25" s="1"/>
  <c r="W549" i="25"/>
  <c r="AC549" i="25" s="1"/>
  <c r="V549" i="25"/>
  <c r="AB549" i="25" s="1"/>
  <c r="AE548" i="25"/>
  <c r="X548" i="25"/>
  <c r="AD548" i="25" s="1"/>
  <c r="W548" i="25"/>
  <c r="AC548" i="25" s="1"/>
  <c r="V548" i="25"/>
  <c r="AB548" i="25" s="1"/>
  <c r="AE547" i="25"/>
  <c r="X547" i="25"/>
  <c r="AD547" i="25" s="1"/>
  <c r="W547" i="25"/>
  <c r="AC547" i="25" s="1"/>
  <c r="V547" i="25"/>
  <c r="AB547" i="25" s="1"/>
  <c r="AE546" i="25"/>
  <c r="X546" i="25"/>
  <c r="AD546" i="25" s="1"/>
  <c r="W546" i="25"/>
  <c r="AC546" i="25" s="1"/>
  <c r="V546" i="25"/>
  <c r="AB546" i="25" s="1"/>
  <c r="AE545" i="25"/>
  <c r="X545" i="25"/>
  <c r="AD545" i="25" s="1"/>
  <c r="W545" i="25"/>
  <c r="AC545" i="25" s="1"/>
  <c r="V545" i="25"/>
  <c r="AB545" i="25" s="1"/>
  <c r="AE544" i="25"/>
  <c r="X544" i="25"/>
  <c r="AD544" i="25" s="1"/>
  <c r="W544" i="25"/>
  <c r="AC544" i="25" s="1"/>
  <c r="V544" i="25"/>
  <c r="AB544" i="25" s="1"/>
  <c r="AE543" i="25"/>
  <c r="X543" i="25"/>
  <c r="AD543" i="25" s="1"/>
  <c r="W543" i="25"/>
  <c r="AC543" i="25" s="1"/>
  <c r="V543" i="25"/>
  <c r="AB543" i="25" s="1"/>
  <c r="AE542" i="25"/>
  <c r="X542" i="25"/>
  <c r="AD542" i="25" s="1"/>
  <c r="W542" i="25"/>
  <c r="AC542" i="25" s="1"/>
  <c r="V542" i="25"/>
  <c r="AB542" i="25" s="1"/>
  <c r="AE541" i="25"/>
  <c r="X541" i="25"/>
  <c r="AD541" i="25" s="1"/>
  <c r="W541" i="25"/>
  <c r="AC541" i="25" s="1"/>
  <c r="V541" i="25"/>
  <c r="AB541" i="25" s="1"/>
  <c r="AE540" i="25"/>
  <c r="X540" i="25"/>
  <c r="AD540" i="25" s="1"/>
  <c r="W540" i="25"/>
  <c r="AC540" i="25" s="1"/>
  <c r="V540" i="25"/>
  <c r="AB540" i="25" s="1"/>
  <c r="AE539" i="25"/>
  <c r="X539" i="25"/>
  <c r="AD539" i="25" s="1"/>
  <c r="W539" i="25"/>
  <c r="AC539" i="25" s="1"/>
  <c r="V539" i="25"/>
  <c r="AB539" i="25" s="1"/>
  <c r="AE538" i="25"/>
  <c r="X538" i="25"/>
  <c r="AD538" i="25" s="1"/>
  <c r="W538" i="25"/>
  <c r="AC538" i="25" s="1"/>
  <c r="V538" i="25"/>
  <c r="AB538" i="25" s="1"/>
  <c r="AE537" i="25"/>
  <c r="X537" i="25"/>
  <c r="AD537" i="25" s="1"/>
  <c r="W537" i="25"/>
  <c r="AC537" i="25" s="1"/>
  <c r="V537" i="25"/>
  <c r="AB537" i="25" s="1"/>
  <c r="AE536" i="25"/>
  <c r="X536" i="25"/>
  <c r="AD536" i="25" s="1"/>
  <c r="W536" i="25"/>
  <c r="AC536" i="25" s="1"/>
  <c r="V536" i="25"/>
  <c r="AB536" i="25" s="1"/>
  <c r="AE535" i="25"/>
  <c r="X535" i="25"/>
  <c r="AD535" i="25" s="1"/>
  <c r="W535" i="25"/>
  <c r="AC535" i="25" s="1"/>
  <c r="V535" i="25"/>
  <c r="AB535" i="25" s="1"/>
  <c r="AE534" i="25"/>
  <c r="X534" i="25"/>
  <c r="AD534" i="25" s="1"/>
  <c r="W534" i="25"/>
  <c r="AC534" i="25" s="1"/>
  <c r="V534" i="25"/>
  <c r="AB534" i="25" s="1"/>
  <c r="AE533" i="25"/>
  <c r="X533" i="25"/>
  <c r="AD533" i="25" s="1"/>
  <c r="W533" i="25"/>
  <c r="AC533" i="25" s="1"/>
  <c r="V533" i="25"/>
  <c r="AB533" i="25" s="1"/>
  <c r="AE532" i="25"/>
  <c r="X532" i="25"/>
  <c r="AD532" i="25" s="1"/>
  <c r="W532" i="25"/>
  <c r="AC532" i="25" s="1"/>
  <c r="V532" i="25"/>
  <c r="AB532" i="25" s="1"/>
  <c r="AE531" i="25"/>
  <c r="X531" i="25"/>
  <c r="AD531" i="25" s="1"/>
  <c r="W531" i="25"/>
  <c r="AC531" i="25" s="1"/>
  <c r="V531" i="25"/>
  <c r="AB531" i="25" s="1"/>
  <c r="AE530" i="25"/>
  <c r="X530" i="25"/>
  <c r="AD530" i="25" s="1"/>
  <c r="W530" i="25"/>
  <c r="AC530" i="25" s="1"/>
  <c r="V530" i="25"/>
  <c r="AB530" i="25" s="1"/>
  <c r="AE529" i="25"/>
  <c r="X529" i="25"/>
  <c r="AD529" i="25" s="1"/>
  <c r="W529" i="25"/>
  <c r="AC529" i="25" s="1"/>
  <c r="V529" i="25"/>
  <c r="AB529" i="25" s="1"/>
  <c r="AE528" i="25"/>
  <c r="X528" i="25"/>
  <c r="AD528" i="25" s="1"/>
  <c r="W528" i="25"/>
  <c r="AC528" i="25" s="1"/>
  <c r="V528" i="25"/>
  <c r="AB528" i="25" s="1"/>
  <c r="AE527" i="25"/>
  <c r="X527" i="25"/>
  <c r="AD527" i="25" s="1"/>
  <c r="W527" i="25"/>
  <c r="AC527" i="25" s="1"/>
  <c r="V527" i="25"/>
  <c r="AB527" i="25" s="1"/>
  <c r="AE526" i="25"/>
  <c r="X526" i="25"/>
  <c r="AD526" i="25" s="1"/>
  <c r="W526" i="25"/>
  <c r="AC526" i="25" s="1"/>
  <c r="V526" i="25"/>
  <c r="AB526" i="25" s="1"/>
  <c r="AE525" i="25"/>
  <c r="X525" i="25"/>
  <c r="AD525" i="25" s="1"/>
  <c r="W525" i="25"/>
  <c r="AC525" i="25" s="1"/>
  <c r="V525" i="25"/>
  <c r="AB525" i="25" s="1"/>
  <c r="AE524" i="25"/>
  <c r="X524" i="25"/>
  <c r="AD524" i="25" s="1"/>
  <c r="W524" i="25"/>
  <c r="AC524" i="25" s="1"/>
  <c r="V524" i="25"/>
  <c r="AB524" i="25" s="1"/>
  <c r="AE523" i="25"/>
  <c r="X523" i="25"/>
  <c r="AD523" i="25" s="1"/>
  <c r="W523" i="25"/>
  <c r="AC523" i="25" s="1"/>
  <c r="V523" i="25"/>
  <c r="AB523" i="25" s="1"/>
  <c r="AE522" i="25"/>
  <c r="X522" i="25"/>
  <c r="AD522" i="25" s="1"/>
  <c r="W522" i="25"/>
  <c r="AC522" i="25" s="1"/>
  <c r="V522" i="25"/>
  <c r="AB522" i="25" s="1"/>
  <c r="AE521" i="25"/>
  <c r="X521" i="25"/>
  <c r="AD521" i="25" s="1"/>
  <c r="W521" i="25"/>
  <c r="AC521" i="25" s="1"/>
  <c r="V521" i="25"/>
  <c r="AB521" i="25" s="1"/>
  <c r="AE520" i="25"/>
  <c r="X520" i="25"/>
  <c r="AD520" i="25" s="1"/>
  <c r="W520" i="25"/>
  <c r="AC520" i="25" s="1"/>
  <c r="V520" i="25"/>
  <c r="AB520" i="25" s="1"/>
  <c r="AE519" i="25"/>
  <c r="X519" i="25"/>
  <c r="AD519" i="25" s="1"/>
  <c r="W519" i="25"/>
  <c r="AC519" i="25" s="1"/>
  <c r="V519" i="25"/>
  <c r="AB519" i="25" s="1"/>
  <c r="AE518" i="25"/>
  <c r="X518" i="25"/>
  <c r="AD518" i="25" s="1"/>
  <c r="W518" i="25"/>
  <c r="AC518" i="25" s="1"/>
  <c r="V518" i="25"/>
  <c r="AB518" i="25" s="1"/>
  <c r="AE517" i="25"/>
  <c r="X517" i="25"/>
  <c r="AD517" i="25" s="1"/>
  <c r="W517" i="25"/>
  <c r="AC517" i="25" s="1"/>
  <c r="V517" i="25"/>
  <c r="AB517" i="25" s="1"/>
  <c r="AE516" i="25"/>
  <c r="X516" i="25"/>
  <c r="AD516" i="25" s="1"/>
  <c r="W516" i="25"/>
  <c r="AC516" i="25" s="1"/>
  <c r="V516" i="25"/>
  <c r="AB516" i="25" s="1"/>
  <c r="AE515" i="25"/>
  <c r="X515" i="25"/>
  <c r="AD515" i="25" s="1"/>
  <c r="W515" i="25"/>
  <c r="AC515" i="25" s="1"/>
  <c r="V515" i="25"/>
  <c r="AB515" i="25" s="1"/>
  <c r="AE514" i="25"/>
  <c r="X514" i="25"/>
  <c r="AD514" i="25" s="1"/>
  <c r="W514" i="25"/>
  <c r="AC514" i="25" s="1"/>
  <c r="V514" i="25"/>
  <c r="AB514" i="25" s="1"/>
  <c r="AE513" i="25"/>
  <c r="X513" i="25"/>
  <c r="AD513" i="25" s="1"/>
  <c r="W513" i="25"/>
  <c r="AC513" i="25" s="1"/>
  <c r="V513" i="25"/>
  <c r="AB513" i="25" s="1"/>
  <c r="AE512" i="25"/>
  <c r="X512" i="25"/>
  <c r="AD512" i="25" s="1"/>
  <c r="W512" i="25"/>
  <c r="AC512" i="25" s="1"/>
  <c r="V512" i="25"/>
  <c r="AB512" i="25" s="1"/>
  <c r="AE511" i="25"/>
  <c r="X511" i="25"/>
  <c r="AD511" i="25" s="1"/>
  <c r="W511" i="25"/>
  <c r="AC511" i="25" s="1"/>
  <c r="V511" i="25"/>
  <c r="AB511" i="25" s="1"/>
  <c r="AE510" i="25"/>
  <c r="X510" i="25"/>
  <c r="AD510" i="25" s="1"/>
  <c r="W510" i="25"/>
  <c r="AC510" i="25" s="1"/>
  <c r="V510" i="25"/>
  <c r="AB510" i="25" s="1"/>
  <c r="AE509" i="25"/>
  <c r="X509" i="25"/>
  <c r="AD509" i="25" s="1"/>
  <c r="W509" i="25"/>
  <c r="AC509" i="25" s="1"/>
  <c r="V509" i="25"/>
  <c r="AB509" i="25" s="1"/>
  <c r="AE508" i="25"/>
  <c r="X508" i="25"/>
  <c r="AD508" i="25" s="1"/>
  <c r="W508" i="25"/>
  <c r="AC508" i="25" s="1"/>
  <c r="V508" i="25"/>
  <c r="AB508" i="25" s="1"/>
  <c r="AE507" i="25"/>
  <c r="X507" i="25"/>
  <c r="AD507" i="25" s="1"/>
  <c r="W507" i="25"/>
  <c r="AC507" i="25" s="1"/>
  <c r="V507" i="25"/>
  <c r="AB507" i="25" s="1"/>
  <c r="AE506" i="25"/>
  <c r="X506" i="25"/>
  <c r="AD506" i="25" s="1"/>
  <c r="W506" i="25"/>
  <c r="AC506" i="25" s="1"/>
  <c r="V506" i="25"/>
  <c r="AB506" i="25" s="1"/>
  <c r="AE505" i="25"/>
  <c r="X505" i="25"/>
  <c r="AD505" i="25" s="1"/>
  <c r="W505" i="25"/>
  <c r="AC505" i="25" s="1"/>
  <c r="V505" i="25"/>
  <c r="AB505" i="25" s="1"/>
  <c r="AE504" i="25"/>
  <c r="X504" i="25"/>
  <c r="AD504" i="25" s="1"/>
  <c r="W504" i="25"/>
  <c r="AC504" i="25" s="1"/>
  <c r="V504" i="25"/>
  <c r="AB504" i="25" s="1"/>
  <c r="AE503" i="25"/>
  <c r="X503" i="25"/>
  <c r="AD503" i="25" s="1"/>
  <c r="W503" i="25"/>
  <c r="AC503" i="25" s="1"/>
  <c r="V503" i="25"/>
  <c r="AB503" i="25" s="1"/>
  <c r="AE502" i="25"/>
  <c r="X502" i="25"/>
  <c r="AD502" i="25" s="1"/>
  <c r="W502" i="25"/>
  <c r="AC502" i="25" s="1"/>
  <c r="V502" i="25"/>
  <c r="AB502" i="25" s="1"/>
  <c r="AE501" i="25"/>
  <c r="X501" i="25"/>
  <c r="AD501" i="25" s="1"/>
  <c r="W501" i="25"/>
  <c r="AC501" i="25" s="1"/>
  <c r="V501" i="25"/>
  <c r="AB501" i="25" s="1"/>
  <c r="AE500" i="25"/>
  <c r="X500" i="25"/>
  <c r="AD500" i="25" s="1"/>
  <c r="W500" i="25"/>
  <c r="AC500" i="25" s="1"/>
  <c r="V500" i="25"/>
  <c r="AB500" i="25" s="1"/>
  <c r="AE499" i="25"/>
  <c r="X499" i="25"/>
  <c r="AD499" i="25" s="1"/>
  <c r="W499" i="25"/>
  <c r="AC499" i="25" s="1"/>
  <c r="V499" i="25"/>
  <c r="AB499" i="25" s="1"/>
  <c r="AE498" i="25"/>
  <c r="X498" i="25"/>
  <c r="AD498" i="25" s="1"/>
  <c r="W498" i="25"/>
  <c r="AC498" i="25" s="1"/>
  <c r="V498" i="25"/>
  <c r="AB498" i="25" s="1"/>
  <c r="AE497" i="25"/>
  <c r="X497" i="25"/>
  <c r="AD497" i="25" s="1"/>
  <c r="W497" i="25"/>
  <c r="AC497" i="25" s="1"/>
  <c r="V497" i="25"/>
  <c r="AB497" i="25" s="1"/>
  <c r="AE496" i="25"/>
  <c r="X496" i="25"/>
  <c r="AD496" i="25" s="1"/>
  <c r="W496" i="25"/>
  <c r="AC496" i="25" s="1"/>
  <c r="V496" i="25"/>
  <c r="AB496" i="25" s="1"/>
  <c r="AE495" i="25"/>
  <c r="X495" i="25"/>
  <c r="AD495" i="25" s="1"/>
  <c r="W495" i="25"/>
  <c r="AC495" i="25" s="1"/>
  <c r="V495" i="25"/>
  <c r="AB495" i="25" s="1"/>
  <c r="AE494" i="25"/>
  <c r="X494" i="25"/>
  <c r="AD494" i="25" s="1"/>
  <c r="W494" i="25"/>
  <c r="AC494" i="25" s="1"/>
  <c r="V494" i="25"/>
  <c r="AB494" i="25" s="1"/>
  <c r="AE493" i="25"/>
  <c r="X493" i="25"/>
  <c r="AD493" i="25" s="1"/>
  <c r="W493" i="25"/>
  <c r="AC493" i="25" s="1"/>
  <c r="V493" i="25"/>
  <c r="AB493" i="25" s="1"/>
  <c r="AE492" i="25"/>
  <c r="X492" i="25"/>
  <c r="AD492" i="25" s="1"/>
  <c r="W492" i="25"/>
  <c r="AC492" i="25" s="1"/>
  <c r="V492" i="25"/>
  <c r="AB492" i="25" s="1"/>
  <c r="AE491" i="25"/>
  <c r="X491" i="25"/>
  <c r="AD491" i="25" s="1"/>
  <c r="W491" i="25"/>
  <c r="AC491" i="25" s="1"/>
  <c r="V491" i="25"/>
  <c r="AB491" i="25" s="1"/>
  <c r="AE490" i="25"/>
  <c r="X490" i="25"/>
  <c r="AD490" i="25" s="1"/>
  <c r="W490" i="25"/>
  <c r="AC490" i="25" s="1"/>
  <c r="V490" i="25"/>
  <c r="AB490" i="25" s="1"/>
  <c r="AE489" i="25"/>
  <c r="X489" i="25"/>
  <c r="AD489" i="25" s="1"/>
  <c r="W489" i="25"/>
  <c r="AC489" i="25" s="1"/>
  <c r="V489" i="25"/>
  <c r="AB489" i="25" s="1"/>
  <c r="AE488" i="25"/>
  <c r="X488" i="25"/>
  <c r="AD488" i="25" s="1"/>
  <c r="W488" i="25"/>
  <c r="AC488" i="25" s="1"/>
  <c r="V488" i="25"/>
  <c r="AB488" i="25" s="1"/>
  <c r="AE487" i="25"/>
  <c r="X487" i="25"/>
  <c r="AD487" i="25" s="1"/>
  <c r="W487" i="25"/>
  <c r="AC487" i="25" s="1"/>
  <c r="V487" i="25"/>
  <c r="AB487" i="25" s="1"/>
  <c r="AE486" i="25"/>
  <c r="X486" i="25"/>
  <c r="AD486" i="25" s="1"/>
  <c r="W486" i="25"/>
  <c r="AC486" i="25" s="1"/>
  <c r="V486" i="25"/>
  <c r="AB486" i="25" s="1"/>
  <c r="AE485" i="25"/>
  <c r="X485" i="25"/>
  <c r="AD485" i="25" s="1"/>
  <c r="W485" i="25"/>
  <c r="AC485" i="25" s="1"/>
  <c r="V485" i="25"/>
  <c r="AB485" i="25" s="1"/>
  <c r="AE484" i="25"/>
  <c r="X484" i="25"/>
  <c r="AD484" i="25" s="1"/>
  <c r="W484" i="25"/>
  <c r="AC484" i="25" s="1"/>
  <c r="V484" i="25"/>
  <c r="AB484" i="25" s="1"/>
  <c r="AE483" i="25"/>
  <c r="X483" i="25"/>
  <c r="AD483" i="25" s="1"/>
  <c r="W483" i="25"/>
  <c r="AC483" i="25" s="1"/>
  <c r="V483" i="25"/>
  <c r="AB483" i="25" s="1"/>
  <c r="AE482" i="25"/>
  <c r="X482" i="25"/>
  <c r="AD482" i="25" s="1"/>
  <c r="W482" i="25"/>
  <c r="AC482" i="25" s="1"/>
  <c r="V482" i="25"/>
  <c r="AB482" i="25" s="1"/>
  <c r="AE481" i="25"/>
  <c r="X481" i="25"/>
  <c r="AD481" i="25" s="1"/>
  <c r="W481" i="25"/>
  <c r="AC481" i="25" s="1"/>
  <c r="V481" i="25"/>
  <c r="AB481" i="25" s="1"/>
  <c r="AE480" i="25"/>
  <c r="X480" i="25"/>
  <c r="AD480" i="25" s="1"/>
  <c r="W480" i="25"/>
  <c r="AC480" i="25" s="1"/>
  <c r="V480" i="25"/>
  <c r="AB480" i="25" s="1"/>
  <c r="AE479" i="25"/>
  <c r="X479" i="25"/>
  <c r="AD479" i="25" s="1"/>
  <c r="W479" i="25"/>
  <c r="AC479" i="25" s="1"/>
  <c r="V479" i="25"/>
  <c r="AB479" i="25" s="1"/>
  <c r="AE478" i="25"/>
  <c r="X478" i="25"/>
  <c r="AD478" i="25" s="1"/>
  <c r="W478" i="25"/>
  <c r="AC478" i="25" s="1"/>
  <c r="V478" i="25"/>
  <c r="AB478" i="25" s="1"/>
  <c r="AE477" i="25"/>
  <c r="X477" i="25"/>
  <c r="AD477" i="25" s="1"/>
  <c r="W477" i="25"/>
  <c r="AC477" i="25" s="1"/>
  <c r="V477" i="25"/>
  <c r="AB477" i="25" s="1"/>
  <c r="AG476" i="25"/>
  <c r="AF476" i="25"/>
  <c r="X476" i="25"/>
  <c r="AD476" i="25" s="1"/>
  <c r="W476" i="25"/>
  <c r="AC476" i="25" s="1"/>
  <c r="V476" i="25"/>
  <c r="AB476" i="25" s="1"/>
  <c r="AG475" i="25"/>
  <c r="AF475" i="25"/>
  <c r="X475" i="25"/>
  <c r="AD475" i="25" s="1"/>
  <c r="W475" i="25"/>
  <c r="AC475" i="25" s="1"/>
  <c r="V475" i="25"/>
  <c r="AB475" i="25" s="1"/>
  <c r="AG474" i="25"/>
  <c r="AF474" i="25"/>
  <c r="X474" i="25"/>
  <c r="AD474" i="25" s="1"/>
  <c r="W474" i="25"/>
  <c r="AC474" i="25" s="1"/>
  <c r="V474" i="25"/>
  <c r="AB474" i="25" s="1"/>
  <c r="AG473" i="25"/>
  <c r="AF473" i="25"/>
  <c r="X473" i="25"/>
  <c r="AD473" i="25" s="1"/>
  <c r="W473" i="25"/>
  <c r="AC473" i="25" s="1"/>
  <c r="V473" i="25"/>
  <c r="AB473" i="25" s="1"/>
  <c r="AG472" i="25"/>
  <c r="AF472" i="25"/>
  <c r="X472" i="25"/>
  <c r="AD472" i="25" s="1"/>
  <c r="W472" i="25"/>
  <c r="AC472" i="25" s="1"/>
  <c r="V472" i="25"/>
  <c r="AB472" i="25" s="1"/>
  <c r="AG471" i="25"/>
  <c r="AF471" i="25"/>
  <c r="X471" i="25"/>
  <c r="AD471" i="25" s="1"/>
  <c r="W471" i="25"/>
  <c r="AC471" i="25" s="1"/>
  <c r="V471" i="25"/>
  <c r="AB471" i="25" s="1"/>
  <c r="AG470" i="25"/>
  <c r="AF470" i="25"/>
  <c r="X470" i="25"/>
  <c r="AD470" i="25" s="1"/>
  <c r="W470" i="25"/>
  <c r="AC470" i="25" s="1"/>
  <c r="V470" i="25"/>
  <c r="AB470" i="25" s="1"/>
  <c r="AG469" i="25"/>
  <c r="AF469" i="25"/>
  <c r="X469" i="25"/>
  <c r="AD469" i="25" s="1"/>
  <c r="W469" i="25"/>
  <c r="AC469" i="25" s="1"/>
  <c r="V469" i="25"/>
  <c r="AB469" i="25" s="1"/>
  <c r="AG468" i="25"/>
  <c r="AF468" i="25"/>
  <c r="X468" i="25"/>
  <c r="AD468" i="25" s="1"/>
  <c r="W468" i="25"/>
  <c r="AC468" i="25" s="1"/>
  <c r="V468" i="25"/>
  <c r="AB468" i="25" s="1"/>
  <c r="AG467" i="25"/>
  <c r="AF467" i="25"/>
  <c r="X467" i="25"/>
  <c r="AD467" i="25" s="1"/>
  <c r="W467" i="25"/>
  <c r="AC467" i="25" s="1"/>
  <c r="V467" i="25"/>
  <c r="AB467" i="25" s="1"/>
  <c r="AG466" i="25"/>
  <c r="AF466" i="25"/>
  <c r="X466" i="25"/>
  <c r="AD466" i="25" s="1"/>
  <c r="W466" i="25"/>
  <c r="AC466" i="25" s="1"/>
  <c r="V466" i="25"/>
  <c r="AB466" i="25" s="1"/>
  <c r="AG465" i="25"/>
  <c r="AF465" i="25"/>
  <c r="X465" i="25"/>
  <c r="AD465" i="25" s="1"/>
  <c r="W465" i="25"/>
  <c r="AC465" i="25" s="1"/>
  <c r="V465" i="25"/>
  <c r="AB465" i="25" s="1"/>
  <c r="AE464" i="25"/>
  <c r="X464" i="25"/>
  <c r="AD464" i="25" s="1"/>
  <c r="W464" i="25"/>
  <c r="AC464" i="25" s="1"/>
  <c r="V464" i="25"/>
  <c r="AB464" i="25" s="1"/>
  <c r="AE463" i="25"/>
  <c r="X463" i="25"/>
  <c r="AD463" i="25" s="1"/>
  <c r="W463" i="25"/>
  <c r="AC463" i="25" s="1"/>
  <c r="V463" i="25"/>
  <c r="AB463" i="25" s="1"/>
  <c r="AE462" i="25"/>
  <c r="X462" i="25"/>
  <c r="AD462" i="25" s="1"/>
  <c r="W462" i="25"/>
  <c r="AC462" i="25" s="1"/>
  <c r="V462" i="25"/>
  <c r="AB462" i="25" s="1"/>
  <c r="AE461" i="25"/>
  <c r="X461" i="25"/>
  <c r="AD461" i="25" s="1"/>
  <c r="W461" i="25"/>
  <c r="AC461" i="25" s="1"/>
  <c r="V461" i="25"/>
  <c r="AB461" i="25" s="1"/>
  <c r="AE460" i="25"/>
  <c r="X460" i="25"/>
  <c r="AD460" i="25" s="1"/>
  <c r="W460" i="25"/>
  <c r="AC460" i="25" s="1"/>
  <c r="V460" i="25"/>
  <c r="AB460" i="25" s="1"/>
  <c r="AE459" i="25"/>
  <c r="X459" i="25"/>
  <c r="AD459" i="25" s="1"/>
  <c r="W459" i="25"/>
  <c r="AC459" i="25" s="1"/>
  <c r="V459" i="25"/>
  <c r="AB459" i="25" s="1"/>
  <c r="AE458" i="25"/>
  <c r="X458" i="25"/>
  <c r="AD458" i="25" s="1"/>
  <c r="W458" i="25"/>
  <c r="AC458" i="25" s="1"/>
  <c r="V458" i="25"/>
  <c r="AB458" i="25" s="1"/>
  <c r="AE457" i="25"/>
  <c r="X457" i="25"/>
  <c r="AD457" i="25" s="1"/>
  <c r="W457" i="25"/>
  <c r="AC457" i="25" s="1"/>
  <c r="V457" i="25"/>
  <c r="AB457" i="25" s="1"/>
  <c r="AE456" i="25"/>
  <c r="X456" i="25"/>
  <c r="AD456" i="25" s="1"/>
  <c r="W456" i="25"/>
  <c r="AC456" i="25" s="1"/>
  <c r="V456" i="25"/>
  <c r="AB456" i="25" s="1"/>
  <c r="AE455" i="25"/>
  <c r="X455" i="25"/>
  <c r="AD455" i="25" s="1"/>
  <c r="W455" i="25"/>
  <c r="AC455" i="25" s="1"/>
  <c r="V455" i="25"/>
  <c r="AB455" i="25" s="1"/>
  <c r="AE454" i="25"/>
  <c r="X454" i="25"/>
  <c r="AD454" i="25" s="1"/>
  <c r="W454" i="25"/>
  <c r="AC454" i="25" s="1"/>
  <c r="V454" i="25"/>
  <c r="AB454" i="25" s="1"/>
  <c r="AE453" i="25"/>
  <c r="X453" i="25"/>
  <c r="AD453" i="25" s="1"/>
  <c r="W453" i="25"/>
  <c r="AC453" i="25" s="1"/>
  <c r="V453" i="25"/>
  <c r="AB453" i="25" s="1"/>
  <c r="AE452" i="25"/>
  <c r="X452" i="25"/>
  <c r="AD452" i="25" s="1"/>
  <c r="W452" i="25"/>
  <c r="AC452" i="25" s="1"/>
  <c r="V452" i="25"/>
  <c r="AB452" i="25" s="1"/>
  <c r="AE451" i="25"/>
  <c r="X451" i="25"/>
  <c r="AD451" i="25" s="1"/>
  <c r="W451" i="25"/>
  <c r="AC451" i="25" s="1"/>
  <c r="V451" i="25"/>
  <c r="AB451" i="25" s="1"/>
  <c r="AE450" i="25"/>
  <c r="X450" i="25"/>
  <c r="AD450" i="25" s="1"/>
  <c r="W450" i="25"/>
  <c r="AC450" i="25" s="1"/>
  <c r="V450" i="25"/>
  <c r="AB450" i="25" s="1"/>
  <c r="AE449" i="25"/>
  <c r="X449" i="25"/>
  <c r="AD449" i="25" s="1"/>
  <c r="W449" i="25"/>
  <c r="AC449" i="25" s="1"/>
  <c r="V449" i="25"/>
  <c r="AB449" i="25" s="1"/>
  <c r="AG448" i="25"/>
  <c r="AF448" i="25"/>
  <c r="X448" i="25"/>
  <c r="AD448" i="25" s="1"/>
  <c r="W448" i="25"/>
  <c r="AC448" i="25" s="1"/>
  <c r="V448" i="25"/>
  <c r="AB448" i="25" s="1"/>
  <c r="AG447" i="25"/>
  <c r="AF447" i="25"/>
  <c r="X447" i="25"/>
  <c r="AD447" i="25" s="1"/>
  <c r="W447" i="25"/>
  <c r="AC447" i="25" s="1"/>
  <c r="V447" i="25"/>
  <c r="AB447" i="25" s="1"/>
  <c r="AG446" i="25"/>
  <c r="AF446" i="25"/>
  <c r="X446" i="25"/>
  <c r="AD446" i="25" s="1"/>
  <c r="W446" i="25"/>
  <c r="AC446" i="25" s="1"/>
  <c r="V446" i="25"/>
  <c r="AB446" i="25" s="1"/>
  <c r="AG445" i="25"/>
  <c r="AF445" i="25"/>
  <c r="X445" i="25"/>
  <c r="AD445" i="25" s="1"/>
  <c r="W445" i="25"/>
  <c r="AC445" i="25" s="1"/>
  <c r="V445" i="25"/>
  <c r="AB445" i="25" s="1"/>
  <c r="AE444" i="25"/>
  <c r="X444" i="25"/>
  <c r="AD444" i="25" s="1"/>
  <c r="W444" i="25"/>
  <c r="AC444" i="25" s="1"/>
  <c r="V444" i="25"/>
  <c r="AB444" i="25" s="1"/>
  <c r="AE443" i="25"/>
  <c r="X443" i="25"/>
  <c r="AD443" i="25" s="1"/>
  <c r="W443" i="25"/>
  <c r="AC443" i="25" s="1"/>
  <c r="V443" i="25"/>
  <c r="AB443" i="25" s="1"/>
  <c r="AE442" i="25"/>
  <c r="X442" i="25"/>
  <c r="AD442" i="25" s="1"/>
  <c r="W442" i="25"/>
  <c r="AC442" i="25" s="1"/>
  <c r="V442" i="25"/>
  <c r="AB442" i="25" s="1"/>
  <c r="AE441" i="25"/>
  <c r="X441" i="25"/>
  <c r="AD441" i="25" s="1"/>
  <c r="W441" i="25"/>
  <c r="AC441" i="25" s="1"/>
  <c r="V441" i="25"/>
  <c r="AB441" i="25" s="1"/>
  <c r="AE440" i="25"/>
  <c r="X440" i="25"/>
  <c r="AD440" i="25" s="1"/>
  <c r="W440" i="25"/>
  <c r="AC440" i="25" s="1"/>
  <c r="V440" i="25"/>
  <c r="AB440" i="25" s="1"/>
  <c r="AE439" i="25"/>
  <c r="X439" i="25"/>
  <c r="AD439" i="25" s="1"/>
  <c r="W439" i="25"/>
  <c r="AC439" i="25" s="1"/>
  <c r="V439" i="25"/>
  <c r="AB439" i="25" s="1"/>
  <c r="AE438" i="25"/>
  <c r="X438" i="25"/>
  <c r="AD438" i="25" s="1"/>
  <c r="W438" i="25"/>
  <c r="AC438" i="25" s="1"/>
  <c r="V438" i="25"/>
  <c r="AB438" i="25" s="1"/>
  <c r="AG437" i="25"/>
  <c r="AF437" i="25"/>
  <c r="X437" i="25"/>
  <c r="AD437" i="25" s="1"/>
  <c r="W437" i="25"/>
  <c r="AC437" i="25" s="1"/>
  <c r="V437" i="25"/>
  <c r="AB437" i="25" s="1"/>
  <c r="AG436" i="25"/>
  <c r="AF436" i="25"/>
  <c r="X436" i="25"/>
  <c r="AD436" i="25" s="1"/>
  <c r="W436" i="25"/>
  <c r="AC436" i="25" s="1"/>
  <c r="V436" i="25"/>
  <c r="AB436" i="25" s="1"/>
  <c r="AG435" i="25"/>
  <c r="AF435" i="25"/>
  <c r="X435" i="25"/>
  <c r="AD435" i="25" s="1"/>
  <c r="W435" i="25"/>
  <c r="AC435" i="25" s="1"/>
  <c r="V435" i="25"/>
  <c r="AB435" i="25" s="1"/>
  <c r="AE434" i="25"/>
  <c r="X434" i="25"/>
  <c r="AD434" i="25" s="1"/>
  <c r="W434" i="25"/>
  <c r="AC434" i="25" s="1"/>
  <c r="V434" i="25"/>
  <c r="AB434" i="25" s="1"/>
  <c r="AE433" i="25"/>
  <c r="X433" i="25"/>
  <c r="AD433" i="25" s="1"/>
  <c r="W433" i="25"/>
  <c r="AC433" i="25" s="1"/>
  <c r="V433" i="25"/>
  <c r="AB433" i="25" s="1"/>
  <c r="AE432" i="25"/>
  <c r="X432" i="25"/>
  <c r="AD432" i="25" s="1"/>
  <c r="W432" i="25"/>
  <c r="AC432" i="25" s="1"/>
  <c r="V432" i="25"/>
  <c r="AB432" i="25" s="1"/>
  <c r="AE431" i="25"/>
  <c r="X431" i="25"/>
  <c r="AD431" i="25" s="1"/>
  <c r="W431" i="25"/>
  <c r="AC431" i="25" s="1"/>
  <c r="V431" i="25"/>
  <c r="AB431" i="25" s="1"/>
  <c r="AE430" i="25"/>
  <c r="X430" i="25"/>
  <c r="AD430" i="25" s="1"/>
  <c r="W430" i="25"/>
  <c r="AC430" i="25" s="1"/>
  <c r="V430" i="25"/>
  <c r="AB430" i="25" s="1"/>
  <c r="AE429" i="25"/>
  <c r="X429" i="25"/>
  <c r="AD429" i="25" s="1"/>
  <c r="W429" i="25"/>
  <c r="AC429" i="25" s="1"/>
  <c r="V429" i="25"/>
  <c r="AB429" i="25" s="1"/>
  <c r="AE428" i="25"/>
  <c r="X428" i="25"/>
  <c r="AD428" i="25" s="1"/>
  <c r="W428" i="25"/>
  <c r="AC428" i="25" s="1"/>
  <c r="V428" i="25"/>
  <c r="AB428" i="25" s="1"/>
  <c r="AE427" i="25"/>
  <c r="X427" i="25"/>
  <c r="AD427" i="25" s="1"/>
  <c r="W427" i="25"/>
  <c r="AC427" i="25" s="1"/>
  <c r="V427" i="25"/>
  <c r="AB427" i="25" s="1"/>
  <c r="AE426" i="25"/>
  <c r="X426" i="25"/>
  <c r="AD426" i="25" s="1"/>
  <c r="W426" i="25"/>
  <c r="AC426" i="25" s="1"/>
  <c r="V426" i="25"/>
  <c r="AB426" i="25" s="1"/>
  <c r="AE425" i="25"/>
  <c r="X425" i="25"/>
  <c r="AD425" i="25" s="1"/>
  <c r="W425" i="25"/>
  <c r="AC425" i="25" s="1"/>
  <c r="V425" i="25"/>
  <c r="AB425" i="25" s="1"/>
  <c r="AE424" i="25"/>
  <c r="X424" i="25"/>
  <c r="AD424" i="25" s="1"/>
  <c r="W424" i="25"/>
  <c r="AC424" i="25" s="1"/>
  <c r="V424" i="25"/>
  <c r="AB424" i="25" s="1"/>
  <c r="AE423" i="25"/>
  <c r="X423" i="25"/>
  <c r="AD423" i="25" s="1"/>
  <c r="W423" i="25"/>
  <c r="AC423" i="25" s="1"/>
  <c r="V423" i="25"/>
  <c r="AB423" i="25" s="1"/>
  <c r="AE422" i="25"/>
  <c r="X422" i="25"/>
  <c r="AD422" i="25" s="1"/>
  <c r="W422" i="25"/>
  <c r="AC422" i="25" s="1"/>
  <c r="V422" i="25"/>
  <c r="AB422" i="25" s="1"/>
  <c r="AE421" i="25"/>
  <c r="X421" i="25"/>
  <c r="AD421" i="25" s="1"/>
  <c r="W421" i="25"/>
  <c r="AC421" i="25" s="1"/>
  <c r="V421" i="25"/>
  <c r="AB421" i="25" s="1"/>
  <c r="AE420" i="25"/>
  <c r="X420" i="25"/>
  <c r="AD420" i="25" s="1"/>
  <c r="W420" i="25"/>
  <c r="AC420" i="25" s="1"/>
  <c r="V420" i="25"/>
  <c r="AB420" i="25" s="1"/>
  <c r="AG419" i="25"/>
  <c r="AF419" i="25"/>
  <c r="X419" i="25"/>
  <c r="AD419" i="25" s="1"/>
  <c r="W419" i="25"/>
  <c r="AC419" i="25" s="1"/>
  <c r="V419" i="25"/>
  <c r="AB419" i="25" s="1"/>
  <c r="AG418" i="25"/>
  <c r="AF418" i="25"/>
  <c r="X418" i="25"/>
  <c r="AD418" i="25" s="1"/>
  <c r="W418" i="25"/>
  <c r="AC418" i="25" s="1"/>
  <c r="V418" i="25"/>
  <c r="AB418" i="25" s="1"/>
  <c r="AG417" i="25"/>
  <c r="AF417" i="25"/>
  <c r="X417" i="25"/>
  <c r="AD417" i="25" s="1"/>
  <c r="W417" i="25"/>
  <c r="AC417" i="25" s="1"/>
  <c r="V417" i="25"/>
  <c r="AB417" i="25" s="1"/>
  <c r="AG416" i="25"/>
  <c r="AF416" i="25"/>
  <c r="X416" i="25"/>
  <c r="AD416" i="25" s="1"/>
  <c r="W416" i="25"/>
  <c r="AC416" i="25" s="1"/>
  <c r="V416" i="25"/>
  <c r="AB416" i="25" s="1"/>
  <c r="AG415" i="25"/>
  <c r="AF415" i="25"/>
  <c r="X415" i="25"/>
  <c r="AD415" i="25" s="1"/>
  <c r="W415" i="25"/>
  <c r="AC415" i="25" s="1"/>
  <c r="V415" i="25"/>
  <c r="AB415" i="25" s="1"/>
  <c r="AG414" i="25"/>
  <c r="AF414" i="25"/>
  <c r="X414" i="25"/>
  <c r="AD414" i="25" s="1"/>
  <c r="W414" i="25"/>
  <c r="AC414" i="25" s="1"/>
  <c r="V414" i="25"/>
  <c r="AB414" i="25" s="1"/>
  <c r="AG413" i="25"/>
  <c r="AF413" i="25"/>
  <c r="X413" i="25"/>
  <c r="AD413" i="25" s="1"/>
  <c r="W413" i="25"/>
  <c r="AC413" i="25" s="1"/>
  <c r="V413" i="25"/>
  <c r="AB413" i="25" s="1"/>
  <c r="AG412" i="25"/>
  <c r="AF412" i="25"/>
  <c r="X412" i="25"/>
  <c r="AD412" i="25" s="1"/>
  <c r="W412" i="25"/>
  <c r="AC412" i="25" s="1"/>
  <c r="V412" i="25"/>
  <c r="AB412" i="25" s="1"/>
  <c r="AG411" i="25"/>
  <c r="AF411" i="25"/>
  <c r="X411" i="25"/>
  <c r="AD411" i="25" s="1"/>
  <c r="W411" i="25"/>
  <c r="AC411" i="25" s="1"/>
  <c r="V411" i="25"/>
  <c r="AB411" i="25" s="1"/>
  <c r="AG410" i="25"/>
  <c r="AF410" i="25"/>
  <c r="X410" i="25"/>
  <c r="AD410" i="25" s="1"/>
  <c r="W410" i="25"/>
  <c r="AC410" i="25" s="1"/>
  <c r="V410" i="25"/>
  <c r="AB410" i="25" s="1"/>
  <c r="AG409" i="25"/>
  <c r="AF409" i="25"/>
  <c r="X409" i="25"/>
  <c r="AD409" i="25" s="1"/>
  <c r="W409" i="25"/>
  <c r="AC409" i="25" s="1"/>
  <c r="V409" i="25"/>
  <c r="AB409" i="25" s="1"/>
  <c r="AG408" i="25"/>
  <c r="AF408" i="25"/>
  <c r="X408" i="25"/>
  <c r="AD408" i="25" s="1"/>
  <c r="W408" i="25"/>
  <c r="AC408" i="25" s="1"/>
  <c r="V408" i="25"/>
  <c r="AB408" i="25" s="1"/>
  <c r="AE407" i="25"/>
  <c r="X407" i="25"/>
  <c r="AD407" i="25" s="1"/>
  <c r="W407" i="25"/>
  <c r="AC407" i="25" s="1"/>
  <c r="V407" i="25"/>
  <c r="AB407" i="25" s="1"/>
  <c r="AE406" i="25"/>
  <c r="X406" i="25"/>
  <c r="AD406" i="25" s="1"/>
  <c r="W406" i="25"/>
  <c r="AC406" i="25" s="1"/>
  <c r="V406" i="25"/>
  <c r="AB406" i="25" s="1"/>
  <c r="AE405" i="25"/>
  <c r="X405" i="25"/>
  <c r="AD405" i="25" s="1"/>
  <c r="W405" i="25"/>
  <c r="AC405" i="25" s="1"/>
  <c r="V405" i="25"/>
  <c r="AB405" i="25" s="1"/>
  <c r="AE404" i="25"/>
  <c r="X404" i="25"/>
  <c r="AD404" i="25" s="1"/>
  <c r="W404" i="25"/>
  <c r="AC404" i="25" s="1"/>
  <c r="V404" i="25"/>
  <c r="AB404" i="25" s="1"/>
  <c r="AE403" i="25"/>
  <c r="X403" i="25"/>
  <c r="AD403" i="25" s="1"/>
  <c r="W403" i="25"/>
  <c r="AC403" i="25" s="1"/>
  <c r="V403" i="25"/>
  <c r="AB403" i="25" s="1"/>
  <c r="AE402" i="25"/>
  <c r="X402" i="25"/>
  <c r="AD402" i="25" s="1"/>
  <c r="W402" i="25"/>
  <c r="AC402" i="25" s="1"/>
  <c r="V402" i="25"/>
  <c r="AB402" i="25" s="1"/>
  <c r="AE401" i="25"/>
  <c r="X401" i="25"/>
  <c r="AD401" i="25" s="1"/>
  <c r="W401" i="25"/>
  <c r="AC401" i="25" s="1"/>
  <c r="V401" i="25"/>
  <c r="AB401" i="25" s="1"/>
  <c r="AE400" i="25"/>
  <c r="X400" i="25"/>
  <c r="AD400" i="25" s="1"/>
  <c r="W400" i="25"/>
  <c r="AC400" i="25" s="1"/>
  <c r="V400" i="25"/>
  <c r="AB400" i="25" s="1"/>
  <c r="AE399" i="25"/>
  <c r="X399" i="25"/>
  <c r="AD399" i="25" s="1"/>
  <c r="W399" i="25"/>
  <c r="AC399" i="25" s="1"/>
  <c r="V399" i="25"/>
  <c r="AB399" i="25" s="1"/>
  <c r="AE398" i="25"/>
  <c r="X398" i="25"/>
  <c r="AD398" i="25" s="1"/>
  <c r="W398" i="25"/>
  <c r="AC398" i="25" s="1"/>
  <c r="V398" i="25"/>
  <c r="AB398" i="25" s="1"/>
  <c r="AE397" i="25"/>
  <c r="X397" i="25"/>
  <c r="AD397" i="25" s="1"/>
  <c r="W397" i="25"/>
  <c r="AC397" i="25" s="1"/>
  <c r="V397" i="25"/>
  <c r="AB397" i="25" s="1"/>
  <c r="AE396" i="25"/>
  <c r="X396" i="25"/>
  <c r="AD396" i="25" s="1"/>
  <c r="W396" i="25"/>
  <c r="AC396" i="25" s="1"/>
  <c r="V396" i="25"/>
  <c r="AB396" i="25" s="1"/>
  <c r="AE395" i="25"/>
  <c r="X395" i="25"/>
  <c r="AD395" i="25" s="1"/>
  <c r="W395" i="25"/>
  <c r="AC395" i="25" s="1"/>
  <c r="V395" i="25"/>
  <c r="AB395" i="25" s="1"/>
  <c r="AE394" i="25"/>
  <c r="X394" i="25"/>
  <c r="AD394" i="25" s="1"/>
  <c r="W394" i="25"/>
  <c r="AC394" i="25" s="1"/>
  <c r="V394" i="25"/>
  <c r="AB394" i="25" s="1"/>
  <c r="AE393" i="25"/>
  <c r="X393" i="25"/>
  <c r="AD393" i="25" s="1"/>
  <c r="W393" i="25"/>
  <c r="AC393" i="25" s="1"/>
  <c r="V393" i="25"/>
  <c r="AB393" i="25" s="1"/>
  <c r="AE392" i="25"/>
  <c r="X392" i="25"/>
  <c r="AD392" i="25" s="1"/>
  <c r="W392" i="25"/>
  <c r="AC392" i="25" s="1"/>
  <c r="V392" i="25"/>
  <c r="AB392" i="25" s="1"/>
  <c r="AE391" i="25"/>
  <c r="X391" i="25"/>
  <c r="AD391" i="25" s="1"/>
  <c r="W391" i="25"/>
  <c r="AC391" i="25" s="1"/>
  <c r="V391" i="25"/>
  <c r="AB391" i="25" s="1"/>
  <c r="AE390" i="25"/>
  <c r="X390" i="25"/>
  <c r="AD390" i="25" s="1"/>
  <c r="W390" i="25"/>
  <c r="AC390" i="25" s="1"/>
  <c r="V390" i="25"/>
  <c r="AB390" i="25" s="1"/>
  <c r="AE389" i="25"/>
  <c r="X389" i="25"/>
  <c r="AD389" i="25" s="1"/>
  <c r="W389" i="25"/>
  <c r="AC389" i="25" s="1"/>
  <c r="V389" i="25"/>
  <c r="AB389" i="25" s="1"/>
  <c r="AE388" i="25"/>
  <c r="X388" i="25"/>
  <c r="AD388" i="25" s="1"/>
  <c r="W388" i="25"/>
  <c r="AC388" i="25" s="1"/>
  <c r="V388" i="25"/>
  <c r="AB388" i="25" s="1"/>
  <c r="AE387" i="25"/>
  <c r="X387" i="25"/>
  <c r="AD387" i="25" s="1"/>
  <c r="W387" i="25"/>
  <c r="AC387" i="25" s="1"/>
  <c r="V387" i="25"/>
  <c r="AB387" i="25" s="1"/>
  <c r="AE386" i="25"/>
  <c r="X386" i="25"/>
  <c r="AD386" i="25" s="1"/>
  <c r="W386" i="25"/>
  <c r="AC386" i="25" s="1"/>
  <c r="V386" i="25"/>
  <c r="AB386" i="25" s="1"/>
  <c r="AE385" i="25"/>
  <c r="X385" i="25"/>
  <c r="AD385" i="25" s="1"/>
  <c r="W385" i="25"/>
  <c r="AC385" i="25" s="1"/>
  <c r="V385" i="25"/>
  <c r="AB385" i="25" s="1"/>
  <c r="AE384" i="25"/>
  <c r="X384" i="25"/>
  <c r="AD384" i="25" s="1"/>
  <c r="W384" i="25"/>
  <c r="AC384" i="25" s="1"/>
  <c r="V384" i="25"/>
  <c r="AB384" i="25" s="1"/>
  <c r="AE383" i="25"/>
  <c r="X383" i="25"/>
  <c r="AD383" i="25" s="1"/>
  <c r="W383" i="25"/>
  <c r="AC383" i="25" s="1"/>
  <c r="V383" i="25"/>
  <c r="AB383" i="25" s="1"/>
  <c r="AE382" i="25"/>
  <c r="X382" i="25"/>
  <c r="AD382" i="25" s="1"/>
  <c r="W382" i="25"/>
  <c r="AC382" i="25" s="1"/>
  <c r="V382" i="25"/>
  <c r="AB382" i="25" s="1"/>
  <c r="AE381" i="25"/>
  <c r="X381" i="25"/>
  <c r="AD381" i="25" s="1"/>
  <c r="W381" i="25"/>
  <c r="AC381" i="25" s="1"/>
  <c r="V381" i="25"/>
  <c r="AB381" i="25" s="1"/>
  <c r="AE380" i="25"/>
  <c r="X380" i="25"/>
  <c r="AD380" i="25" s="1"/>
  <c r="W380" i="25"/>
  <c r="AC380" i="25" s="1"/>
  <c r="V380" i="25"/>
  <c r="AB380" i="25" s="1"/>
  <c r="AE379" i="25"/>
  <c r="X379" i="25"/>
  <c r="AD379" i="25" s="1"/>
  <c r="W379" i="25"/>
  <c r="AC379" i="25" s="1"/>
  <c r="V379" i="25"/>
  <c r="AB379" i="25" s="1"/>
  <c r="AE378" i="25"/>
  <c r="X378" i="25"/>
  <c r="AD378" i="25" s="1"/>
  <c r="W378" i="25"/>
  <c r="AC378" i="25" s="1"/>
  <c r="V378" i="25"/>
  <c r="AB378" i="25" s="1"/>
  <c r="AE377" i="25"/>
  <c r="X377" i="25"/>
  <c r="AD377" i="25" s="1"/>
  <c r="W377" i="25"/>
  <c r="AC377" i="25" s="1"/>
  <c r="V377" i="25"/>
  <c r="AB377" i="25" s="1"/>
  <c r="AE376" i="25"/>
  <c r="X376" i="25"/>
  <c r="AD376" i="25" s="1"/>
  <c r="W376" i="25"/>
  <c r="AC376" i="25" s="1"/>
  <c r="V376" i="25"/>
  <c r="AB376" i="25" s="1"/>
  <c r="AE375" i="25"/>
  <c r="X375" i="25"/>
  <c r="AD375" i="25" s="1"/>
  <c r="W375" i="25"/>
  <c r="AC375" i="25" s="1"/>
  <c r="V375" i="25"/>
  <c r="AB375" i="25" s="1"/>
  <c r="AE374" i="25"/>
  <c r="X374" i="25"/>
  <c r="AD374" i="25" s="1"/>
  <c r="W374" i="25"/>
  <c r="AC374" i="25" s="1"/>
  <c r="V374" i="25"/>
  <c r="AB374" i="25" s="1"/>
  <c r="AE373" i="25"/>
  <c r="X373" i="25"/>
  <c r="AD373" i="25" s="1"/>
  <c r="W373" i="25"/>
  <c r="AC373" i="25" s="1"/>
  <c r="V373" i="25"/>
  <c r="AB373" i="25" s="1"/>
  <c r="AE372" i="25"/>
  <c r="X372" i="25"/>
  <c r="AD372" i="25" s="1"/>
  <c r="W372" i="25"/>
  <c r="AC372" i="25" s="1"/>
  <c r="V372" i="25"/>
  <c r="AB372" i="25" s="1"/>
  <c r="AE371" i="25"/>
  <c r="X371" i="25"/>
  <c r="AD371" i="25" s="1"/>
  <c r="W371" i="25"/>
  <c r="AC371" i="25" s="1"/>
  <c r="V371" i="25"/>
  <c r="AB371" i="25" s="1"/>
  <c r="AE370" i="25"/>
  <c r="X370" i="25"/>
  <c r="AD370" i="25" s="1"/>
  <c r="W370" i="25"/>
  <c r="AC370" i="25" s="1"/>
  <c r="V370" i="25"/>
  <c r="AB370" i="25" s="1"/>
  <c r="AE369" i="25"/>
  <c r="X369" i="25"/>
  <c r="AD369" i="25" s="1"/>
  <c r="W369" i="25"/>
  <c r="AC369" i="25" s="1"/>
  <c r="V369" i="25"/>
  <c r="AB369" i="25" s="1"/>
  <c r="AE368" i="25"/>
  <c r="X368" i="25"/>
  <c r="AD368" i="25" s="1"/>
  <c r="W368" i="25"/>
  <c r="AC368" i="25" s="1"/>
  <c r="V368" i="25"/>
  <c r="AB368" i="25" s="1"/>
  <c r="AE367" i="25"/>
  <c r="X367" i="25"/>
  <c r="AD367" i="25" s="1"/>
  <c r="W367" i="25"/>
  <c r="AC367" i="25" s="1"/>
  <c r="V367" i="25"/>
  <c r="AB367" i="25" s="1"/>
  <c r="AE366" i="25"/>
  <c r="X366" i="25"/>
  <c r="AD366" i="25" s="1"/>
  <c r="W366" i="25"/>
  <c r="AC366" i="25" s="1"/>
  <c r="V366" i="25"/>
  <c r="AB366" i="25" s="1"/>
  <c r="AE365" i="25"/>
  <c r="X365" i="25"/>
  <c r="AD365" i="25" s="1"/>
  <c r="W365" i="25"/>
  <c r="AC365" i="25" s="1"/>
  <c r="V365" i="25"/>
  <c r="AB365" i="25" s="1"/>
  <c r="AE364" i="25"/>
  <c r="X364" i="25"/>
  <c r="AD364" i="25" s="1"/>
  <c r="W364" i="25"/>
  <c r="AC364" i="25" s="1"/>
  <c r="V364" i="25"/>
  <c r="AB364" i="25" s="1"/>
  <c r="AE363" i="25"/>
  <c r="X363" i="25"/>
  <c r="AD363" i="25" s="1"/>
  <c r="W363" i="25"/>
  <c r="AC363" i="25" s="1"/>
  <c r="V363" i="25"/>
  <c r="AB363" i="25" s="1"/>
  <c r="AE362" i="25"/>
  <c r="X362" i="25"/>
  <c r="AD362" i="25" s="1"/>
  <c r="W362" i="25"/>
  <c r="AC362" i="25" s="1"/>
  <c r="V362" i="25"/>
  <c r="AB362" i="25" s="1"/>
  <c r="AE361" i="25"/>
  <c r="X361" i="25"/>
  <c r="AD361" i="25" s="1"/>
  <c r="W361" i="25"/>
  <c r="AC361" i="25" s="1"/>
  <c r="V361" i="25"/>
  <c r="AB361" i="25" s="1"/>
  <c r="AE360" i="25"/>
  <c r="X360" i="25"/>
  <c r="AD360" i="25" s="1"/>
  <c r="W360" i="25"/>
  <c r="AC360" i="25" s="1"/>
  <c r="V360" i="25"/>
  <c r="AB360" i="25" s="1"/>
  <c r="AG359" i="25"/>
  <c r="AF359" i="25"/>
  <c r="X359" i="25"/>
  <c r="AD359" i="25" s="1"/>
  <c r="W359" i="25"/>
  <c r="AC359" i="25" s="1"/>
  <c r="V359" i="25"/>
  <c r="AB359" i="25" s="1"/>
  <c r="AG358" i="25"/>
  <c r="AF358" i="25"/>
  <c r="X358" i="25"/>
  <c r="AD358" i="25" s="1"/>
  <c r="W358" i="25"/>
  <c r="AC358" i="25" s="1"/>
  <c r="V358" i="25"/>
  <c r="AB358" i="25" s="1"/>
  <c r="AG357" i="25"/>
  <c r="AF357" i="25"/>
  <c r="X357" i="25"/>
  <c r="AD357" i="25" s="1"/>
  <c r="W357" i="25"/>
  <c r="AC357" i="25" s="1"/>
  <c r="V357" i="25"/>
  <c r="AB357" i="25" s="1"/>
  <c r="AG356" i="25"/>
  <c r="AF356" i="25"/>
  <c r="X356" i="25"/>
  <c r="AD356" i="25" s="1"/>
  <c r="W356" i="25"/>
  <c r="AC356" i="25" s="1"/>
  <c r="V356" i="25"/>
  <c r="AB356" i="25" s="1"/>
  <c r="AG355" i="25"/>
  <c r="AF355" i="25"/>
  <c r="X355" i="25"/>
  <c r="AD355" i="25" s="1"/>
  <c r="W355" i="25"/>
  <c r="AC355" i="25" s="1"/>
  <c r="V355" i="25"/>
  <c r="AB355" i="25" s="1"/>
  <c r="AG354" i="25"/>
  <c r="AF354" i="25"/>
  <c r="X354" i="25"/>
  <c r="AD354" i="25" s="1"/>
  <c r="W354" i="25"/>
  <c r="AC354" i="25" s="1"/>
  <c r="V354" i="25"/>
  <c r="AB354" i="25" s="1"/>
  <c r="AG353" i="25"/>
  <c r="AF353" i="25"/>
  <c r="X353" i="25"/>
  <c r="AD353" i="25" s="1"/>
  <c r="W353" i="25"/>
  <c r="AC353" i="25" s="1"/>
  <c r="V353" i="25"/>
  <c r="AB353" i="25" s="1"/>
  <c r="AG352" i="25"/>
  <c r="AF352" i="25"/>
  <c r="X352" i="25"/>
  <c r="AD352" i="25" s="1"/>
  <c r="W352" i="25"/>
  <c r="AC352" i="25" s="1"/>
  <c r="V352" i="25"/>
  <c r="AB352" i="25" s="1"/>
  <c r="AG351" i="25"/>
  <c r="AF351" i="25"/>
  <c r="X351" i="25"/>
  <c r="AD351" i="25" s="1"/>
  <c r="W351" i="25"/>
  <c r="AC351" i="25" s="1"/>
  <c r="V351" i="25"/>
  <c r="AB351" i="25" s="1"/>
  <c r="AG350" i="25"/>
  <c r="AF350" i="25"/>
  <c r="X350" i="25"/>
  <c r="AD350" i="25" s="1"/>
  <c r="W350" i="25"/>
  <c r="AC350" i="25" s="1"/>
  <c r="V350" i="25"/>
  <c r="AB350" i="25" s="1"/>
  <c r="AG349" i="25"/>
  <c r="AF349" i="25"/>
  <c r="X349" i="25"/>
  <c r="AD349" i="25" s="1"/>
  <c r="W349" i="25"/>
  <c r="AC349" i="25" s="1"/>
  <c r="V349" i="25"/>
  <c r="AB349" i="25" s="1"/>
  <c r="AG348" i="25"/>
  <c r="AF348" i="25"/>
  <c r="X348" i="25"/>
  <c r="AD348" i="25" s="1"/>
  <c r="W348" i="25"/>
  <c r="AC348" i="25" s="1"/>
  <c r="V348" i="25"/>
  <c r="AB348" i="25" s="1"/>
  <c r="AG347" i="25"/>
  <c r="AF347" i="25"/>
  <c r="X347" i="25"/>
  <c r="AD347" i="25" s="1"/>
  <c r="W347" i="25"/>
  <c r="AC347" i="25" s="1"/>
  <c r="V347" i="25"/>
  <c r="AB347" i="25" s="1"/>
  <c r="AG346" i="25"/>
  <c r="AF346" i="25"/>
  <c r="X346" i="25"/>
  <c r="AD346" i="25" s="1"/>
  <c r="W346" i="25"/>
  <c r="AC346" i="25" s="1"/>
  <c r="V346" i="25"/>
  <c r="AB346" i="25" s="1"/>
  <c r="AG345" i="25"/>
  <c r="AF345" i="25"/>
  <c r="X345" i="25"/>
  <c r="AD345" i="25" s="1"/>
  <c r="W345" i="25"/>
  <c r="AC345" i="25" s="1"/>
  <c r="V345" i="25"/>
  <c r="AB345" i="25" s="1"/>
  <c r="AG344" i="25"/>
  <c r="AF344" i="25"/>
  <c r="X344" i="25"/>
  <c r="AD344" i="25" s="1"/>
  <c r="W344" i="25"/>
  <c r="AC344" i="25" s="1"/>
  <c r="V344" i="25"/>
  <c r="AB344" i="25" s="1"/>
  <c r="AG343" i="25"/>
  <c r="AF343" i="25"/>
  <c r="X343" i="25"/>
  <c r="AD343" i="25" s="1"/>
  <c r="W343" i="25"/>
  <c r="AC343" i="25" s="1"/>
  <c r="V343" i="25"/>
  <c r="AB343" i="25" s="1"/>
  <c r="AG342" i="25"/>
  <c r="AF342" i="25"/>
  <c r="X342" i="25"/>
  <c r="AD342" i="25" s="1"/>
  <c r="W342" i="25"/>
  <c r="AC342" i="25" s="1"/>
  <c r="V342" i="25"/>
  <c r="AB342" i="25" s="1"/>
  <c r="AG341" i="25"/>
  <c r="AF341" i="25"/>
  <c r="X341" i="25"/>
  <c r="AD341" i="25" s="1"/>
  <c r="W341" i="25"/>
  <c r="AC341" i="25" s="1"/>
  <c r="V341" i="25"/>
  <c r="AB341" i="25" s="1"/>
  <c r="AG340" i="25"/>
  <c r="AF340" i="25"/>
  <c r="X340" i="25"/>
  <c r="AD340" i="25" s="1"/>
  <c r="W340" i="25"/>
  <c r="AC340" i="25" s="1"/>
  <c r="V340" i="25"/>
  <c r="AB340" i="25" s="1"/>
  <c r="AG339" i="25"/>
  <c r="AF339" i="25"/>
  <c r="X339" i="25"/>
  <c r="AD339" i="25" s="1"/>
  <c r="W339" i="25"/>
  <c r="AC339" i="25" s="1"/>
  <c r="V339" i="25"/>
  <c r="AB339" i="25" s="1"/>
  <c r="AG338" i="25"/>
  <c r="AF338" i="25"/>
  <c r="X338" i="25"/>
  <c r="AD338" i="25" s="1"/>
  <c r="W338" i="25"/>
  <c r="AC338" i="25" s="1"/>
  <c r="V338" i="25"/>
  <c r="AB338" i="25" s="1"/>
  <c r="AG337" i="25"/>
  <c r="AF337" i="25"/>
  <c r="X337" i="25"/>
  <c r="AD337" i="25" s="1"/>
  <c r="W337" i="25"/>
  <c r="AC337" i="25" s="1"/>
  <c r="V337" i="25"/>
  <c r="AB337" i="25" s="1"/>
  <c r="AG336" i="25"/>
  <c r="AF336" i="25"/>
  <c r="X336" i="25"/>
  <c r="AD336" i="25" s="1"/>
  <c r="W336" i="25"/>
  <c r="AC336" i="25" s="1"/>
  <c r="V336" i="25"/>
  <c r="AB336" i="25" s="1"/>
  <c r="AE335" i="25"/>
  <c r="X335" i="25"/>
  <c r="AD335" i="25" s="1"/>
  <c r="W335" i="25"/>
  <c r="AC335" i="25" s="1"/>
  <c r="V335" i="25"/>
  <c r="AB335" i="25" s="1"/>
  <c r="AE334" i="25"/>
  <c r="X334" i="25"/>
  <c r="AD334" i="25" s="1"/>
  <c r="W334" i="25"/>
  <c r="AC334" i="25" s="1"/>
  <c r="V334" i="25"/>
  <c r="AB334" i="25" s="1"/>
  <c r="AE333" i="25"/>
  <c r="X333" i="25"/>
  <c r="AD333" i="25" s="1"/>
  <c r="W333" i="25"/>
  <c r="AC333" i="25" s="1"/>
  <c r="V333" i="25"/>
  <c r="AB333" i="25" s="1"/>
  <c r="AE332" i="25"/>
  <c r="X332" i="25"/>
  <c r="AD332" i="25" s="1"/>
  <c r="W332" i="25"/>
  <c r="AC332" i="25" s="1"/>
  <c r="V332" i="25"/>
  <c r="AB332" i="25" s="1"/>
  <c r="AE331" i="25"/>
  <c r="X331" i="25"/>
  <c r="AD331" i="25" s="1"/>
  <c r="W331" i="25"/>
  <c r="AC331" i="25" s="1"/>
  <c r="V331" i="25"/>
  <c r="AB331" i="25" s="1"/>
  <c r="AE330" i="25"/>
  <c r="X330" i="25"/>
  <c r="AD330" i="25" s="1"/>
  <c r="W330" i="25"/>
  <c r="AC330" i="25" s="1"/>
  <c r="V330" i="25"/>
  <c r="AB330" i="25" s="1"/>
  <c r="AE329" i="25"/>
  <c r="X329" i="25"/>
  <c r="AD329" i="25" s="1"/>
  <c r="W329" i="25"/>
  <c r="AC329" i="25" s="1"/>
  <c r="V329" i="25"/>
  <c r="AB329" i="25" s="1"/>
  <c r="AE328" i="25"/>
  <c r="X328" i="25"/>
  <c r="AD328" i="25" s="1"/>
  <c r="W328" i="25"/>
  <c r="AC328" i="25" s="1"/>
  <c r="V328" i="25"/>
  <c r="AB328" i="25" s="1"/>
  <c r="AE327" i="25"/>
  <c r="X327" i="25"/>
  <c r="AD327" i="25" s="1"/>
  <c r="W327" i="25"/>
  <c r="AC327" i="25" s="1"/>
  <c r="V327" i="25"/>
  <c r="AB327" i="25" s="1"/>
  <c r="AE326" i="25"/>
  <c r="X326" i="25"/>
  <c r="AD326" i="25" s="1"/>
  <c r="W326" i="25"/>
  <c r="AC326" i="25" s="1"/>
  <c r="V326" i="25"/>
  <c r="AB326" i="25" s="1"/>
  <c r="AE325" i="25"/>
  <c r="X325" i="25"/>
  <c r="AD325" i="25" s="1"/>
  <c r="W325" i="25"/>
  <c r="AC325" i="25" s="1"/>
  <c r="V325" i="25"/>
  <c r="AB325" i="25" s="1"/>
  <c r="AE324" i="25"/>
  <c r="X324" i="25"/>
  <c r="AD324" i="25" s="1"/>
  <c r="W324" i="25"/>
  <c r="AC324" i="25" s="1"/>
  <c r="V324" i="25"/>
  <c r="AB324" i="25" s="1"/>
  <c r="AE323" i="25"/>
  <c r="X323" i="25"/>
  <c r="AD323" i="25" s="1"/>
  <c r="W323" i="25"/>
  <c r="AC323" i="25" s="1"/>
  <c r="V323" i="25"/>
  <c r="AB323" i="25" s="1"/>
  <c r="AE322" i="25"/>
  <c r="X322" i="25"/>
  <c r="AD322" i="25" s="1"/>
  <c r="W322" i="25"/>
  <c r="AC322" i="25" s="1"/>
  <c r="V322" i="25"/>
  <c r="AB322" i="25" s="1"/>
  <c r="AE321" i="25"/>
  <c r="X321" i="25"/>
  <c r="AD321" i="25" s="1"/>
  <c r="W321" i="25"/>
  <c r="AC321" i="25" s="1"/>
  <c r="V321" i="25"/>
  <c r="AB321" i="25" s="1"/>
  <c r="AE320" i="25"/>
  <c r="X320" i="25"/>
  <c r="AD320" i="25" s="1"/>
  <c r="W320" i="25"/>
  <c r="AC320" i="25" s="1"/>
  <c r="V320" i="25"/>
  <c r="AB320" i="25" s="1"/>
  <c r="AE319" i="25"/>
  <c r="X319" i="25"/>
  <c r="AD319" i="25" s="1"/>
  <c r="W319" i="25"/>
  <c r="AC319" i="25" s="1"/>
  <c r="V319" i="25"/>
  <c r="AB319" i="25" s="1"/>
  <c r="AE318" i="25"/>
  <c r="X318" i="25"/>
  <c r="AD318" i="25" s="1"/>
  <c r="W318" i="25"/>
  <c r="AC318" i="25" s="1"/>
  <c r="V318" i="25"/>
  <c r="AB318" i="25" s="1"/>
  <c r="AE317" i="25"/>
  <c r="X317" i="25"/>
  <c r="AD317" i="25" s="1"/>
  <c r="W317" i="25"/>
  <c r="AC317" i="25" s="1"/>
  <c r="V317" i="25"/>
  <c r="AB317" i="25" s="1"/>
  <c r="AE316" i="25"/>
  <c r="X316" i="25"/>
  <c r="AD316" i="25" s="1"/>
  <c r="W316" i="25"/>
  <c r="AC316" i="25" s="1"/>
  <c r="V316" i="25"/>
  <c r="AB316" i="25" s="1"/>
  <c r="AE315" i="25"/>
  <c r="X315" i="25"/>
  <c r="AD315" i="25" s="1"/>
  <c r="W315" i="25"/>
  <c r="AC315" i="25" s="1"/>
  <c r="V315" i="25"/>
  <c r="AB315" i="25" s="1"/>
  <c r="AE314" i="25"/>
  <c r="X314" i="25"/>
  <c r="AD314" i="25" s="1"/>
  <c r="W314" i="25"/>
  <c r="AC314" i="25" s="1"/>
  <c r="V314" i="25"/>
  <c r="AB314" i="25" s="1"/>
  <c r="AE313" i="25"/>
  <c r="X313" i="25"/>
  <c r="AD313" i="25" s="1"/>
  <c r="W313" i="25"/>
  <c r="AC313" i="25" s="1"/>
  <c r="V313" i="25"/>
  <c r="AB313" i="25" s="1"/>
  <c r="AE312" i="25"/>
  <c r="X312" i="25"/>
  <c r="AD312" i="25" s="1"/>
  <c r="W312" i="25"/>
  <c r="AC312" i="25" s="1"/>
  <c r="V312" i="25"/>
  <c r="AB312" i="25" s="1"/>
  <c r="AE311" i="25"/>
  <c r="X311" i="25"/>
  <c r="AD311" i="25" s="1"/>
  <c r="W311" i="25"/>
  <c r="AC311" i="25" s="1"/>
  <c r="V311" i="25"/>
  <c r="AB311" i="25" s="1"/>
  <c r="AE310" i="25"/>
  <c r="X310" i="25"/>
  <c r="AD310" i="25" s="1"/>
  <c r="W310" i="25"/>
  <c r="AC310" i="25" s="1"/>
  <c r="V310" i="25"/>
  <c r="AB310" i="25" s="1"/>
  <c r="AE309" i="25"/>
  <c r="X309" i="25"/>
  <c r="AD309" i="25" s="1"/>
  <c r="W309" i="25"/>
  <c r="AC309" i="25" s="1"/>
  <c r="V309" i="25"/>
  <c r="AB309" i="25" s="1"/>
  <c r="AE308" i="25"/>
  <c r="X308" i="25"/>
  <c r="AD308" i="25" s="1"/>
  <c r="W308" i="25"/>
  <c r="AC308" i="25" s="1"/>
  <c r="V308" i="25"/>
  <c r="AB308" i="25" s="1"/>
  <c r="AE307" i="25"/>
  <c r="X307" i="25"/>
  <c r="AD307" i="25" s="1"/>
  <c r="W307" i="25"/>
  <c r="AC307" i="25" s="1"/>
  <c r="V307" i="25"/>
  <c r="AB307" i="25" s="1"/>
  <c r="AE306" i="25"/>
  <c r="X306" i="25"/>
  <c r="AD306" i="25" s="1"/>
  <c r="W306" i="25"/>
  <c r="AC306" i="25" s="1"/>
  <c r="V306" i="25"/>
  <c r="AB306" i="25" s="1"/>
  <c r="AE305" i="25"/>
  <c r="X305" i="25"/>
  <c r="AD305" i="25" s="1"/>
  <c r="W305" i="25"/>
  <c r="AC305" i="25" s="1"/>
  <c r="V305" i="25"/>
  <c r="AB305" i="25" s="1"/>
  <c r="AE304" i="25"/>
  <c r="X304" i="25"/>
  <c r="AD304" i="25" s="1"/>
  <c r="W304" i="25"/>
  <c r="AC304" i="25" s="1"/>
  <c r="V304" i="25"/>
  <c r="AB304" i="25" s="1"/>
  <c r="AE303" i="25"/>
  <c r="X303" i="25"/>
  <c r="AD303" i="25" s="1"/>
  <c r="W303" i="25"/>
  <c r="AC303" i="25" s="1"/>
  <c r="V303" i="25"/>
  <c r="AB303" i="25" s="1"/>
  <c r="AE302" i="25"/>
  <c r="X302" i="25"/>
  <c r="AD302" i="25" s="1"/>
  <c r="W302" i="25"/>
  <c r="AC302" i="25" s="1"/>
  <c r="V302" i="25"/>
  <c r="AB302" i="25" s="1"/>
  <c r="AE301" i="25"/>
  <c r="X301" i="25"/>
  <c r="AD301" i="25" s="1"/>
  <c r="W301" i="25"/>
  <c r="AC301" i="25" s="1"/>
  <c r="V301" i="25"/>
  <c r="AB301" i="25" s="1"/>
  <c r="AE300" i="25"/>
  <c r="X300" i="25"/>
  <c r="AD300" i="25" s="1"/>
  <c r="W300" i="25"/>
  <c r="AC300" i="25" s="1"/>
  <c r="V300" i="25"/>
  <c r="AB300" i="25" s="1"/>
  <c r="AE299" i="25"/>
  <c r="X299" i="25"/>
  <c r="AD299" i="25" s="1"/>
  <c r="W299" i="25"/>
  <c r="AC299" i="25" s="1"/>
  <c r="V299" i="25"/>
  <c r="AB299" i="25" s="1"/>
  <c r="AE298" i="25"/>
  <c r="X298" i="25"/>
  <c r="AD298" i="25" s="1"/>
  <c r="W298" i="25"/>
  <c r="AC298" i="25" s="1"/>
  <c r="V298" i="25"/>
  <c r="AB298" i="25" s="1"/>
  <c r="AE297" i="25"/>
  <c r="X297" i="25"/>
  <c r="AD297" i="25" s="1"/>
  <c r="W297" i="25"/>
  <c r="AC297" i="25" s="1"/>
  <c r="V297" i="25"/>
  <c r="AB297" i="25" s="1"/>
  <c r="AE296" i="25"/>
  <c r="X296" i="25"/>
  <c r="AD296" i="25" s="1"/>
  <c r="W296" i="25"/>
  <c r="AC296" i="25" s="1"/>
  <c r="V296" i="25"/>
  <c r="AB296" i="25" s="1"/>
  <c r="AE295" i="25"/>
  <c r="X295" i="25"/>
  <c r="AD295" i="25" s="1"/>
  <c r="W295" i="25"/>
  <c r="AC295" i="25" s="1"/>
  <c r="V295" i="25"/>
  <c r="AB295" i="25" s="1"/>
  <c r="AE294" i="25"/>
  <c r="X294" i="25"/>
  <c r="AD294" i="25" s="1"/>
  <c r="W294" i="25"/>
  <c r="AC294" i="25" s="1"/>
  <c r="V294" i="25"/>
  <c r="AB294" i="25" s="1"/>
  <c r="AE293" i="25"/>
  <c r="X293" i="25"/>
  <c r="AD293" i="25" s="1"/>
  <c r="W293" i="25"/>
  <c r="AC293" i="25" s="1"/>
  <c r="V293" i="25"/>
  <c r="AB293" i="25" s="1"/>
  <c r="AE292" i="25"/>
  <c r="X292" i="25"/>
  <c r="AD292" i="25" s="1"/>
  <c r="W292" i="25"/>
  <c r="AC292" i="25" s="1"/>
  <c r="V292" i="25"/>
  <c r="AB292" i="25" s="1"/>
  <c r="AE291" i="25"/>
  <c r="X291" i="25"/>
  <c r="AD291" i="25" s="1"/>
  <c r="W291" i="25"/>
  <c r="AC291" i="25" s="1"/>
  <c r="V291" i="25"/>
  <c r="AB291" i="25" s="1"/>
  <c r="AE290" i="25"/>
  <c r="X290" i="25"/>
  <c r="AD290" i="25" s="1"/>
  <c r="W290" i="25"/>
  <c r="AC290" i="25" s="1"/>
  <c r="V290" i="25"/>
  <c r="AB290" i="25" s="1"/>
  <c r="AE289" i="25"/>
  <c r="X289" i="25"/>
  <c r="AD289" i="25" s="1"/>
  <c r="W289" i="25"/>
  <c r="AC289" i="25" s="1"/>
  <c r="V289" i="25"/>
  <c r="AB289" i="25" s="1"/>
  <c r="AE288" i="25"/>
  <c r="X288" i="25"/>
  <c r="AD288" i="25" s="1"/>
  <c r="W288" i="25"/>
  <c r="AC288" i="25" s="1"/>
  <c r="V288" i="25"/>
  <c r="AB288" i="25" s="1"/>
  <c r="AG287" i="25"/>
  <c r="AF287" i="25"/>
  <c r="X287" i="25"/>
  <c r="AD287" i="25" s="1"/>
  <c r="W287" i="25"/>
  <c r="AC287" i="25" s="1"/>
  <c r="V287" i="25"/>
  <c r="AB287" i="25" s="1"/>
  <c r="AG286" i="25"/>
  <c r="AF286" i="25"/>
  <c r="X286" i="25"/>
  <c r="AD286" i="25" s="1"/>
  <c r="W286" i="25"/>
  <c r="AC286" i="25" s="1"/>
  <c r="V286" i="25"/>
  <c r="AB286" i="25" s="1"/>
  <c r="AG285" i="25"/>
  <c r="AF285" i="25"/>
  <c r="X285" i="25"/>
  <c r="AD285" i="25" s="1"/>
  <c r="W285" i="25"/>
  <c r="AC285" i="25" s="1"/>
  <c r="V285" i="25"/>
  <c r="AB285" i="25" s="1"/>
  <c r="AG284" i="25"/>
  <c r="AF284" i="25"/>
  <c r="X284" i="25"/>
  <c r="AD284" i="25" s="1"/>
  <c r="W284" i="25"/>
  <c r="AC284" i="25" s="1"/>
  <c r="V284" i="25"/>
  <c r="AB284" i="25" s="1"/>
  <c r="AG283" i="25"/>
  <c r="AF283" i="25"/>
  <c r="X283" i="25"/>
  <c r="AD283" i="25" s="1"/>
  <c r="W283" i="25"/>
  <c r="AC283" i="25" s="1"/>
  <c r="V283" i="25"/>
  <c r="AB283" i="25" s="1"/>
  <c r="AG282" i="25"/>
  <c r="AF282" i="25"/>
  <c r="X282" i="25"/>
  <c r="AD282" i="25" s="1"/>
  <c r="W282" i="25"/>
  <c r="AC282" i="25" s="1"/>
  <c r="V282" i="25"/>
  <c r="AB282" i="25" s="1"/>
  <c r="AG281" i="25"/>
  <c r="AF281" i="25"/>
  <c r="X281" i="25"/>
  <c r="AD281" i="25" s="1"/>
  <c r="W281" i="25"/>
  <c r="AC281" i="25" s="1"/>
  <c r="V281" i="25"/>
  <c r="AB281" i="25" s="1"/>
  <c r="AG280" i="25"/>
  <c r="AF280" i="25"/>
  <c r="X280" i="25"/>
  <c r="AD280" i="25" s="1"/>
  <c r="W280" i="25"/>
  <c r="AC280" i="25" s="1"/>
  <c r="V280" i="25"/>
  <c r="AB280" i="25" s="1"/>
  <c r="AG279" i="25"/>
  <c r="AF279" i="25"/>
  <c r="X279" i="25"/>
  <c r="AD279" i="25" s="1"/>
  <c r="W279" i="25"/>
  <c r="AC279" i="25" s="1"/>
  <c r="V279" i="25"/>
  <c r="AB279" i="25" s="1"/>
  <c r="AG278" i="25"/>
  <c r="AF278" i="25"/>
  <c r="X278" i="25"/>
  <c r="AD278" i="25" s="1"/>
  <c r="W278" i="25"/>
  <c r="AC278" i="25" s="1"/>
  <c r="V278" i="25"/>
  <c r="AB278" i="25" s="1"/>
  <c r="AG277" i="25"/>
  <c r="AF277" i="25"/>
  <c r="X277" i="25"/>
  <c r="AD277" i="25" s="1"/>
  <c r="W277" i="25"/>
  <c r="AC277" i="25" s="1"/>
  <c r="V277" i="25"/>
  <c r="AB277" i="25" s="1"/>
  <c r="AG276" i="25"/>
  <c r="AF276" i="25"/>
  <c r="X276" i="25"/>
  <c r="AD276" i="25" s="1"/>
  <c r="W276" i="25"/>
  <c r="AC276" i="25" s="1"/>
  <c r="V276" i="25"/>
  <c r="AB276" i="25" s="1"/>
  <c r="AG275" i="25"/>
  <c r="AF275" i="25"/>
  <c r="X275" i="25"/>
  <c r="AD275" i="25" s="1"/>
  <c r="W275" i="25"/>
  <c r="AC275" i="25" s="1"/>
  <c r="V275" i="25"/>
  <c r="AB275" i="25" s="1"/>
  <c r="AG274" i="25"/>
  <c r="AF274" i="25"/>
  <c r="X274" i="25"/>
  <c r="AD274" i="25" s="1"/>
  <c r="W274" i="25"/>
  <c r="AC274" i="25" s="1"/>
  <c r="V274" i="25"/>
  <c r="AB274" i="25" s="1"/>
  <c r="AG273" i="25"/>
  <c r="AF273" i="25"/>
  <c r="X273" i="25"/>
  <c r="AD273" i="25" s="1"/>
  <c r="W273" i="25"/>
  <c r="AC273" i="25" s="1"/>
  <c r="V273" i="25"/>
  <c r="AB273" i="25" s="1"/>
  <c r="AG272" i="25"/>
  <c r="AF272" i="25"/>
  <c r="X272" i="25"/>
  <c r="AD272" i="25" s="1"/>
  <c r="W272" i="25"/>
  <c r="AC272" i="25" s="1"/>
  <c r="V272" i="25"/>
  <c r="AB272" i="25" s="1"/>
  <c r="AG271" i="25"/>
  <c r="AF271" i="25"/>
  <c r="X271" i="25"/>
  <c r="AD271" i="25" s="1"/>
  <c r="W271" i="25"/>
  <c r="AC271" i="25" s="1"/>
  <c r="V271" i="25"/>
  <c r="AB271" i="25" s="1"/>
  <c r="AG270" i="25"/>
  <c r="AF270" i="25"/>
  <c r="X270" i="25"/>
  <c r="AD270" i="25" s="1"/>
  <c r="W270" i="25"/>
  <c r="AC270" i="25" s="1"/>
  <c r="V270" i="25"/>
  <c r="AB270" i="25" s="1"/>
  <c r="AG269" i="25"/>
  <c r="AF269" i="25"/>
  <c r="X269" i="25"/>
  <c r="AD269" i="25" s="1"/>
  <c r="W269" i="25"/>
  <c r="AC269" i="25" s="1"/>
  <c r="V269" i="25"/>
  <c r="AB269" i="25" s="1"/>
  <c r="AG268" i="25"/>
  <c r="AF268" i="25"/>
  <c r="X268" i="25"/>
  <c r="AD268" i="25" s="1"/>
  <c r="W268" i="25"/>
  <c r="AC268" i="25" s="1"/>
  <c r="V268" i="25"/>
  <c r="AB268" i="25" s="1"/>
  <c r="AG267" i="25"/>
  <c r="AF267" i="25"/>
  <c r="X267" i="25"/>
  <c r="AD267" i="25" s="1"/>
  <c r="W267" i="25"/>
  <c r="AC267" i="25" s="1"/>
  <c r="V267" i="25"/>
  <c r="AB267" i="25" s="1"/>
  <c r="AG266" i="25"/>
  <c r="AF266" i="25"/>
  <c r="X266" i="25"/>
  <c r="AD266" i="25" s="1"/>
  <c r="W266" i="25"/>
  <c r="AC266" i="25" s="1"/>
  <c r="V266" i="25"/>
  <c r="AB266" i="25" s="1"/>
  <c r="AG265" i="25"/>
  <c r="AF265" i="25"/>
  <c r="X265" i="25"/>
  <c r="AD265" i="25" s="1"/>
  <c r="W265" i="25"/>
  <c r="AC265" i="25" s="1"/>
  <c r="V265" i="25"/>
  <c r="AB265" i="25" s="1"/>
  <c r="AG264" i="25"/>
  <c r="AF264" i="25"/>
  <c r="X264" i="25"/>
  <c r="AD264" i="25" s="1"/>
  <c r="W264" i="25"/>
  <c r="AC264" i="25" s="1"/>
  <c r="V264" i="25"/>
  <c r="AB264" i="25" s="1"/>
  <c r="AE263" i="25"/>
  <c r="X263" i="25"/>
  <c r="AD263" i="25" s="1"/>
  <c r="W263" i="25"/>
  <c r="AC263" i="25" s="1"/>
  <c r="V263" i="25"/>
  <c r="AB263" i="25" s="1"/>
  <c r="AE262" i="25"/>
  <c r="X262" i="25"/>
  <c r="AD262" i="25" s="1"/>
  <c r="W262" i="25"/>
  <c r="AC262" i="25" s="1"/>
  <c r="V262" i="25"/>
  <c r="AB262" i="25" s="1"/>
  <c r="AE261" i="25"/>
  <c r="X261" i="25"/>
  <c r="AD261" i="25" s="1"/>
  <c r="W261" i="25"/>
  <c r="AC261" i="25" s="1"/>
  <c r="V261" i="25"/>
  <c r="AB261" i="25" s="1"/>
  <c r="AE260" i="25"/>
  <c r="X260" i="25"/>
  <c r="AD260" i="25" s="1"/>
  <c r="W260" i="25"/>
  <c r="AC260" i="25" s="1"/>
  <c r="V260" i="25"/>
  <c r="AB260" i="25" s="1"/>
  <c r="AE259" i="25"/>
  <c r="X259" i="25"/>
  <c r="AD259" i="25" s="1"/>
  <c r="W259" i="25"/>
  <c r="AC259" i="25" s="1"/>
  <c r="V259" i="25"/>
  <c r="AB259" i="25" s="1"/>
  <c r="AE258" i="25"/>
  <c r="X258" i="25"/>
  <c r="AD258" i="25" s="1"/>
  <c r="W258" i="25"/>
  <c r="AC258" i="25" s="1"/>
  <c r="V258" i="25"/>
  <c r="AB258" i="25" s="1"/>
  <c r="AE257" i="25"/>
  <c r="X257" i="25"/>
  <c r="AD257" i="25" s="1"/>
  <c r="W257" i="25"/>
  <c r="AC257" i="25" s="1"/>
  <c r="V257" i="25"/>
  <c r="AB257" i="25" s="1"/>
  <c r="AE256" i="25"/>
  <c r="X256" i="25"/>
  <c r="AD256" i="25" s="1"/>
  <c r="W256" i="25"/>
  <c r="AC256" i="25" s="1"/>
  <c r="V256" i="25"/>
  <c r="AB256" i="25" s="1"/>
  <c r="AE255" i="25"/>
  <c r="X255" i="25"/>
  <c r="AD255" i="25" s="1"/>
  <c r="W255" i="25"/>
  <c r="AC255" i="25" s="1"/>
  <c r="V255" i="25"/>
  <c r="AB255" i="25" s="1"/>
  <c r="AE254" i="25"/>
  <c r="X254" i="25"/>
  <c r="AD254" i="25" s="1"/>
  <c r="W254" i="25"/>
  <c r="AC254" i="25" s="1"/>
  <c r="V254" i="25"/>
  <c r="AB254" i="25" s="1"/>
  <c r="AE253" i="25"/>
  <c r="X253" i="25"/>
  <c r="AD253" i="25" s="1"/>
  <c r="W253" i="25"/>
  <c r="AC253" i="25" s="1"/>
  <c r="V253" i="25"/>
  <c r="AB253" i="25" s="1"/>
  <c r="AE252" i="25"/>
  <c r="X252" i="25"/>
  <c r="AD252" i="25" s="1"/>
  <c r="W252" i="25"/>
  <c r="AC252" i="25" s="1"/>
  <c r="V252" i="25"/>
  <c r="AB252" i="25" s="1"/>
  <c r="AE251" i="25"/>
  <c r="X251" i="25"/>
  <c r="AD251" i="25" s="1"/>
  <c r="W251" i="25"/>
  <c r="AC251" i="25" s="1"/>
  <c r="V251" i="25"/>
  <c r="AB251" i="25" s="1"/>
  <c r="AE250" i="25"/>
  <c r="X250" i="25"/>
  <c r="AD250" i="25" s="1"/>
  <c r="W250" i="25"/>
  <c r="AC250" i="25" s="1"/>
  <c r="V250" i="25"/>
  <c r="AB250" i="25" s="1"/>
  <c r="AE249" i="25"/>
  <c r="X249" i="25"/>
  <c r="AD249" i="25" s="1"/>
  <c r="W249" i="25"/>
  <c r="AC249" i="25" s="1"/>
  <c r="V249" i="25"/>
  <c r="AB249" i="25" s="1"/>
  <c r="AE248" i="25"/>
  <c r="X248" i="25"/>
  <c r="AD248" i="25" s="1"/>
  <c r="W248" i="25"/>
  <c r="AC248" i="25" s="1"/>
  <c r="V248" i="25"/>
  <c r="AB248" i="25" s="1"/>
  <c r="AE247" i="25"/>
  <c r="X247" i="25"/>
  <c r="AD247" i="25" s="1"/>
  <c r="W247" i="25"/>
  <c r="AC247" i="25" s="1"/>
  <c r="V247" i="25"/>
  <c r="AB247" i="25" s="1"/>
  <c r="AE246" i="25"/>
  <c r="X246" i="25"/>
  <c r="AD246" i="25" s="1"/>
  <c r="W246" i="25"/>
  <c r="AC246" i="25" s="1"/>
  <c r="V246" i="25"/>
  <c r="AB246" i="25" s="1"/>
  <c r="AE245" i="25"/>
  <c r="X245" i="25"/>
  <c r="AD245" i="25" s="1"/>
  <c r="W245" i="25"/>
  <c r="AC245" i="25" s="1"/>
  <c r="V245" i="25"/>
  <c r="AB245" i="25" s="1"/>
  <c r="AE244" i="25"/>
  <c r="X244" i="25"/>
  <c r="AD244" i="25" s="1"/>
  <c r="W244" i="25"/>
  <c r="AC244" i="25" s="1"/>
  <c r="V244" i="25"/>
  <c r="AB244" i="25" s="1"/>
  <c r="AE243" i="25"/>
  <c r="X243" i="25"/>
  <c r="AD243" i="25" s="1"/>
  <c r="W243" i="25"/>
  <c r="AC243" i="25" s="1"/>
  <c r="V243" i="25"/>
  <c r="AB243" i="25" s="1"/>
  <c r="AE242" i="25"/>
  <c r="X242" i="25"/>
  <c r="AD242" i="25" s="1"/>
  <c r="W242" i="25"/>
  <c r="AC242" i="25" s="1"/>
  <c r="V242" i="25"/>
  <c r="AB242" i="25" s="1"/>
  <c r="AE241" i="25"/>
  <c r="X241" i="25"/>
  <c r="AD241" i="25" s="1"/>
  <c r="W241" i="25"/>
  <c r="AC241" i="25" s="1"/>
  <c r="V241" i="25"/>
  <c r="AB241" i="25" s="1"/>
  <c r="AE240" i="25"/>
  <c r="X240" i="25"/>
  <c r="AD240" i="25" s="1"/>
  <c r="W240" i="25"/>
  <c r="AC240" i="25" s="1"/>
  <c r="V240" i="25"/>
  <c r="AB240" i="25" s="1"/>
  <c r="AG239" i="25"/>
  <c r="AE239" i="25"/>
  <c r="X239" i="25"/>
  <c r="AD239" i="25" s="1"/>
  <c r="W239" i="25"/>
  <c r="AC239" i="25" s="1"/>
  <c r="V239" i="25"/>
  <c r="AB239" i="25" s="1"/>
  <c r="AG238" i="25"/>
  <c r="AE238" i="25"/>
  <c r="X238" i="25"/>
  <c r="AD238" i="25" s="1"/>
  <c r="W238" i="25"/>
  <c r="AC238" i="25" s="1"/>
  <c r="V238" i="25"/>
  <c r="AB238" i="25" s="1"/>
  <c r="AG237" i="25"/>
  <c r="AE237" i="25"/>
  <c r="X237" i="25"/>
  <c r="AD237" i="25" s="1"/>
  <c r="W237" i="25"/>
  <c r="AC237" i="25" s="1"/>
  <c r="V237" i="25"/>
  <c r="AB237" i="25" s="1"/>
  <c r="AG236" i="25"/>
  <c r="AE236" i="25"/>
  <c r="X236" i="25"/>
  <c r="AD236" i="25" s="1"/>
  <c r="W236" i="25"/>
  <c r="AC236" i="25" s="1"/>
  <c r="V236" i="25"/>
  <c r="AB236" i="25" s="1"/>
  <c r="AG235" i="25"/>
  <c r="AE235" i="25"/>
  <c r="X235" i="25"/>
  <c r="AD235" i="25" s="1"/>
  <c r="W235" i="25"/>
  <c r="AC235" i="25" s="1"/>
  <c r="V235" i="25"/>
  <c r="AB235" i="25" s="1"/>
  <c r="AG234" i="25"/>
  <c r="AE234" i="25"/>
  <c r="X234" i="25"/>
  <c r="AD234" i="25" s="1"/>
  <c r="W234" i="25"/>
  <c r="AC234" i="25" s="1"/>
  <c r="V234" i="25"/>
  <c r="AB234" i="25" s="1"/>
  <c r="AG233" i="25"/>
  <c r="AE233" i="25"/>
  <c r="X233" i="25"/>
  <c r="AD233" i="25" s="1"/>
  <c r="W233" i="25"/>
  <c r="AC233" i="25" s="1"/>
  <c r="V233" i="25"/>
  <c r="AB233" i="25" s="1"/>
  <c r="AG232" i="25"/>
  <c r="AE232" i="25"/>
  <c r="X232" i="25"/>
  <c r="AD232" i="25" s="1"/>
  <c r="W232" i="25"/>
  <c r="AC232" i="25" s="1"/>
  <c r="V232" i="25"/>
  <c r="AB232" i="25" s="1"/>
  <c r="AG231" i="25"/>
  <c r="AE231" i="25"/>
  <c r="X231" i="25"/>
  <c r="AD231" i="25" s="1"/>
  <c r="W231" i="25"/>
  <c r="AC231" i="25" s="1"/>
  <c r="V231" i="25"/>
  <c r="AB231" i="25" s="1"/>
  <c r="AG230" i="25"/>
  <c r="AE230" i="25"/>
  <c r="X230" i="25"/>
  <c r="AD230" i="25" s="1"/>
  <c r="W230" i="25"/>
  <c r="AC230" i="25" s="1"/>
  <c r="V230" i="25"/>
  <c r="AB230" i="25" s="1"/>
  <c r="AG229" i="25"/>
  <c r="AE229" i="25"/>
  <c r="X229" i="25"/>
  <c r="AD229" i="25" s="1"/>
  <c r="W229" i="25"/>
  <c r="AC229" i="25" s="1"/>
  <c r="V229" i="25"/>
  <c r="AB229" i="25" s="1"/>
  <c r="AG228" i="25"/>
  <c r="AE228" i="25"/>
  <c r="X228" i="25"/>
  <c r="AD228" i="25" s="1"/>
  <c r="W228" i="25"/>
  <c r="AC228" i="25" s="1"/>
  <c r="V228" i="25"/>
  <c r="AB228" i="25" s="1"/>
  <c r="AG227" i="25"/>
  <c r="AF227" i="25"/>
  <c r="X227" i="25"/>
  <c r="AD227" i="25" s="1"/>
  <c r="W227" i="25"/>
  <c r="AC227" i="25" s="1"/>
  <c r="V227" i="25"/>
  <c r="AB227" i="25" s="1"/>
  <c r="AG226" i="25"/>
  <c r="AF226" i="25"/>
  <c r="X226" i="25"/>
  <c r="AD226" i="25" s="1"/>
  <c r="W226" i="25"/>
  <c r="AC226" i="25" s="1"/>
  <c r="V226" i="25"/>
  <c r="AB226" i="25" s="1"/>
  <c r="AG225" i="25"/>
  <c r="AF225" i="25"/>
  <c r="X225" i="25"/>
  <c r="AD225" i="25" s="1"/>
  <c r="W225" i="25"/>
  <c r="AC225" i="25" s="1"/>
  <c r="V225" i="25"/>
  <c r="AB225" i="25" s="1"/>
  <c r="AG224" i="25"/>
  <c r="AF224" i="25"/>
  <c r="X224" i="25"/>
  <c r="AD224" i="25" s="1"/>
  <c r="W224" i="25"/>
  <c r="AC224" i="25" s="1"/>
  <c r="V224" i="25"/>
  <c r="AB224" i="25" s="1"/>
  <c r="AG223" i="25"/>
  <c r="AF223" i="25"/>
  <c r="X223" i="25"/>
  <c r="AD223" i="25" s="1"/>
  <c r="W223" i="25"/>
  <c r="AC223" i="25" s="1"/>
  <c r="V223" i="25"/>
  <c r="AB223" i="25" s="1"/>
  <c r="AG222" i="25"/>
  <c r="AF222" i="25"/>
  <c r="X222" i="25"/>
  <c r="AD222" i="25" s="1"/>
  <c r="W222" i="25"/>
  <c r="AC222" i="25" s="1"/>
  <c r="V222" i="25"/>
  <c r="AB222" i="25" s="1"/>
  <c r="AG221" i="25"/>
  <c r="AF221" i="25"/>
  <c r="X221" i="25"/>
  <c r="AD221" i="25" s="1"/>
  <c r="W221" i="25"/>
  <c r="AC221" i="25" s="1"/>
  <c r="V221" i="25"/>
  <c r="AB221" i="25" s="1"/>
  <c r="AG220" i="25"/>
  <c r="AF220" i="25"/>
  <c r="X220" i="25"/>
  <c r="AD220" i="25" s="1"/>
  <c r="W220" i="25"/>
  <c r="AC220" i="25" s="1"/>
  <c r="V220" i="25"/>
  <c r="AB220" i="25" s="1"/>
  <c r="AG219" i="25"/>
  <c r="AF219" i="25"/>
  <c r="X219" i="25"/>
  <c r="AD219" i="25" s="1"/>
  <c r="W219" i="25"/>
  <c r="AC219" i="25" s="1"/>
  <c r="V219" i="25"/>
  <c r="AB219" i="25" s="1"/>
  <c r="AG218" i="25"/>
  <c r="AF218" i="25"/>
  <c r="X218" i="25"/>
  <c r="AD218" i="25" s="1"/>
  <c r="W218" i="25"/>
  <c r="AC218" i="25" s="1"/>
  <c r="V218" i="25"/>
  <c r="AB218" i="25" s="1"/>
  <c r="AG217" i="25"/>
  <c r="AF217" i="25"/>
  <c r="X217" i="25"/>
  <c r="AD217" i="25" s="1"/>
  <c r="W217" i="25"/>
  <c r="AC217" i="25" s="1"/>
  <c r="V217" i="25"/>
  <c r="AB217" i="25" s="1"/>
  <c r="AG216" i="25"/>
  <c r="AF216" i="25"/>
  <c r="X216" i="25"/>
  <c r="AD216" i="25" s="1"/>
  <c r="W216" i="25"/>
  <c r="AC216" i="25" s="1"/>
  <c r="V216" i="25"/>
  <c r="AB216" i="25" s="1"/>
  <c r="AG215" i="25"/>
  <c r="AE215" i="25"/>
  <c r="X215" i="25"/>
  <c r="AD215" i="25" s="1"/>
  <c r="W215" i="25"/>
  <c r="AC215" i="25" s="1"/>
  <c r="V215" i="25"/>
  <c r="AB215" i="25" s="1"/>
  <c r="AG214" i="25"/>
  <c r="AE214" i="25"/>
  <c r="X214" i="25"/>
  <c r="AD214" i="25" s="1"/>
  <c r="W214" i="25"/>
  <c r="AC214" i="25" s="1"/>
  <c r="V214" i="25"/>
  <c r="AB214" i="25" s="1"/>
  <c r="AG213" i="25"/>
  <c r="AE213" i="25"/>
  <c r="X213" i="25"/>
  <c r="AD213" i="25" s="1"/>
  <c r="W213" i="25"/>
  <c r="AC213" i="25" s="1"/>
  <c r="V213" i="25"/>
  <c r="AB213" i="25" s="1"/>
  <c r="AG212" i="25"/>
  <c r="AE212" i="25"/>
  <c r="X212" i="25"/>
  <c r="AD212" i="25" s="1"/>
  <c r="W212" i="25"/>
  <c r="AC212" i="25" s="1"/>
  <c r="V212" i="25"/>
  <c r="AB212" i="25" s="1"/>
  <c r="AG211" i="25"/>
  <c r="AE211" i="25"/>
  <c r="X211" i="25"/>
  <c r="AD211" i="25" s="1"/>
  <c r="W211" i="25"/>
  <c r="AC211" i="25" s="1"/>
  <c r="V211" i="25"/>
  <c r="AB211" i="25" s="1"/>
  <c r="AG210" i="25"/>
  <c r="AE210" i="25"/>
  <c r="X210" i="25"/>
  <c r="AD210" i="25" s="1"/>
  <c r="W210" i="25"/>
  <c r="AC210" i="25" s="1"/>
  <c r="V210" i="25"/>
  <c r="AB210" i="25" s="1"/>
  <c r="AG209" i="25"/>
  <c r="AE209" i="25"/>
  <c r="X209" i="25"/>
  <c r="AD209" i="25" s="1"/>
  <c r="W209" i="25"/>
  <c r="AC209" i="25" s="1"/>
  <c r="V209" i="25"/>
  <c r="AB209" i="25" s="1"/>
  <c r="AG208" i="25"/>
  <c r="AE208" i="25"/>
  <c r="X208" i="25"/>
  <c r="AD208" i="25" s="1"/>
  <c r="W208" i="25"/>
  <c r="AC208" i="25" s="1"/>
  <c r="V208" i="25"/>
  <c r="AB208" i="25" s="1"/>
  <c r="AG207" i="25"/>
  <c r="AE207" i="25"/>
  <c r="X207" i="25"/>
  <c r="AD207" i="25" s="1"/>
  <c r="W207" i="25"/>
  <c r="AC207" i="25" s="1"/>
  <c r="V207" i="25"/>
  <c r="AB207" i="25" s="1"/>
  <c r="AG206" i="25"/>
  <c r="AE206" i="25"/>
  <c r="X206" i="25"/>
  <c r="AD206" i="25" s="1"/>
  <c r="W206" i="25"/>
  <c r="AC206" i="25" s="1"/>
  <c r="V206" i="25"/>
  <c r="AB206" i="25" s="1"/>
  <c r="AG205" i="25"/>
  <c r="AE205" i="25"/>
  <c r="X205" i="25"/>
  <c r="AD205" i="25" s="1"/>
  <c r="W205" i="25"/>
  <c r="AC205" i="25" s="1"/>
  <c r="V205" i="25"/>
  <c r="AB205" i="25" s="1"/>
  <c r="AG204" i="25"/>
  <c r="AE204" i="25"/>
  <c r="X204" i="25"/>
  <c r="AD204" i="25" s="1"/>
  <c r="W204" i="25"/>
  <c r="AC204" i="25" s="1"/>
  <c r="V204" i="25"/>
  <c r="AB204" i="25" s="1"/>
  <c r="AE203" i="25"/>
  <c r="X203" i="25"/>
  <c r="AD203" i="25" s="1"/>
  <c r="W203" i="25"/>
  <c r="AC203" i="25" s="1"/>
  <c r="V203" i="25"/>
  <c r="AB203" i="25" s="1"/>
  <c r="AE202" i="25"/>
  <c r="X202" i="25"/>
  <c r="AD202" i="25" s="1"/>
  <c r="W202" i="25"/>
  <c r="AC202" i="25" s="1"/>
  <c r="V202" i="25"/>
  <c r="AB202" i="25" s="1"/>
  <c r="AE201" i="25"/>
  <c r="X201" i="25"/>
  <c r="AD201" i="25" s="1"/>
  <c r="W201" i="25"/>
  <c r="AC201" i="25" s="1"/>
  <c r="V201" i="25"/>
  <c r="AB201" i="25" s="1"/>
  <c r="AE200" i="25"/>
  <c r="X200" i="25"/>
  <c r="AD200" i="25" s="1"/>
  <c r="W200" i="25"/>
  <c r="AC200" i="25" s="1"/>
  <c r="V200" i="25"/>
  <c r="AB200" i="25" s="1"/>
  <c r="AE199" i="25"/>
  <c r="X199" i="25"/>
  <c r="AD199" i="25" s="1"/>
  <c r="W199" i="25"/>
  <c r="AC199" i="25" s="1"/>
  <c r="V199" i="25"/>
  <c r="AB199" i="25" s="1"/>
  <c r="AE198" i="25"/>
  <c r="X198" i="25"/>
  <c r="AD198" i="25" s="1"/>
  <c r="W198" i="25"/>
  <c r="AC198" i="25" s="1"/>
  <c r="V198" i="25"/>
  <c r="AB198" i="25" s="1"/>
  <c r="AE197" i="25"/>
  <c r="X197" i="25"/>
  <c r="AD197" i="25" s="1"/>
  <c r="W197" i="25"/>
  <c r="AC197" i="25" s="1"/>
  <c r="V197" i="25"/>
  <c r="AB197" i="25" s="1"/>
  <c r="AE196" i="25"/>
  <c r="X196" i="25"/>
  <c r="AD196" i="25" s="1"/>
  <c r="W196" i="25"/>
  <c r="AC196" i="25" s="1"/>
  <c r="V196" i="25"/>
  <c r="AB196" i="25" s="1"/>
  <c r="AE195" i="25"/>
  <c r="X195" i="25"/>
  <c r="AD195" i="25" s="1"/>
  <c r="W195" i="25"/>
  <c r="AC195" i="25" s="1"/>
  <c r="V195" i="25"/>
  <c r="AB195" i="25" s="1"/>
  <c r="AE194" i="25"/>
  <c r="X194" i="25"/>
  <c r="AD194" i="25" s="1"/>
  <c r="W194" i="25"/>
  <c r="AC194" i="25" s="1"/>
  <c r="V194" i="25"/>
  <c r="AB194" i="25" s="1"/>
  <c r="AE193" i="25"/>
  <c r="X193" i="25"/>
  <c r="AD193" i="25" s="1"/>
  <c r="W193" i="25"/>
  <c r="AC193" i="25" s="1"/>
  <c r="V193" i="25"/>
  <c r="AB193" i="25" s="1"/>
  <c r="AE192" i="25"/>
  <c r="X192" i="25"/>
  <c r="AD192" i="25" s="1"/>
  <c r="W192" i="25"/>
  <c r="AC192" i="25" s="1"/>
  <c r="V192" i="25"/>
  <c r="AB192" i="25" s="1"/>
  <c r="AE191" i="25"/>
  <c r="X191" i="25"/>
  <c r="AD191" i="25" s="1"/>
  <c r="W191" i="25"/>
  <c r="AC191" i="25" s="1"/>
  <c r="V191" i="25"/>
  <c r="AB191" i="25" s="1"/>
  <c r="AE190" i="25"/>
  <c r="X190" i="25"/>
  <c r="AD190" i="25" s="1"/>
  <c r="W190" i="25"/>
  <c r="AC190" i="25" s="1"/>
  <c r="V190" i="25"/>
  <c r="AB190" i="25" s="1"/>
  <c r="AE189" i="25"/>
  <c r="X189" i="25"/>
  <c r="AD189" i="25" s="1"/>
  <c r="W189" i="25"/>
  <c r="AC189" i="25" s="1"/>
  <c r="V189" i="25"/>
  <c r="AB189" i="25" s="1"/>
  <c r="AE188" i="25"/>
  <c r="X188" i="25"/>
  <c r="AD188" i="25" s="1"/>
  <c r="W188" i="25"/>
  <c r="AC188" i="25" s="1"/>
  <c r="V188" i="25"/>
  <c r="AB188" i="25" s="1"/>
  <c r="AE187" i="25"/>
  <c r="X187" i="25"/>
  <c r="AD187" i="25" s="1"/>
  <c r="W187" i="25"/>
  <c r="AC187" i="25" s="1"/>
  <c r="V187" i="25"/>
  <c r="AB187" i="25" s="1"/>
  <c r="AE186" i="25"/>
  <c r="X186" i="25"/>
  <c r="AD186" i="25" s="1"/>
  <c r="W186" i="25"/>
  <c r="AC186" i="25" s="1"/>
  <c r="V186" i="25"/>
  <c r="AB186" i="25" s="1"/>
  <c r="AE185" i="25"/>
  <c r="X185" i="25"/>
  <c r="AD185" i="25" s="1"/>
  <c r="W185" i="25"/>
  <c r="AC185" i="25" s="1"/>
  <c r="V185" i="25"/>
  <c r="AB185" i="25" s="1"/>
  <c r="AE184" i="25"/>
  <c r="X184" i="25"/>
  <c r="AD184" i="25" s="1"/>
  <c r="W184" i="25"/>
  <c r="AC184" i="25" s="1"/>
  <c r="V184" i="25"/>
  <c r="AB184" i="25" s="1"/>
  <c r="AE183" i="25"/>
  <c r="X183" i="25"/>
  <c r="AD183" i="25" s="1"/>
  <c r="W183" i="25"/>
  <c r="AC183" i="25" s="1"/>
  <c r="V183" i="25"/>
  <c r="AB183" i="25" s="1"/>
  <c r="AE182" i="25"/>
  <c r="X182" i="25"/>
  <c r="AD182" i="25" s="1"/>
  <c r="W182" i="25"/>
  <c r="AC182" i="25" s="1"/>
  <c r="V182" i="25"/>
  <c r="AB182" i="25" s="1"/>
  <c r="AE181" i="25"/>
  <c r="X181" i="25"/>
  <c r="AD181" i="25" s="1"/>
  <c r="W181" i="25"/>
  <c r="AC181" i="25" s="1"/>
  <c r="V181" i="25"/>
  <c r="AB181" i="25" s="1"/>
  <c r="AE180" i="25"/>
  <c r="X180" i="25"/>
  <c r="AD180" i="25" s="1"/>
  <c r="W180" i="25"/>
  <c r="AC180" i="25" s="1"/>
  <c r="V180" i="25"/>
  <c r="AB180" i="25" s="1"/>
  <c r="AG179" i="25"/>
  <c r="AF179" i="25"/>
  <c r="X179" i="25"/>
  <c r="AD179" i="25" s="1"/>
  <c r="W179" i="25"/>
  <c r="AC179" i="25" s="1"/>
  <c r="V179" i="25"/>
  <c r="AB179" i="25" s="1"/>
  <c r="AG178" i="25"/>
  <c r="AF178" i="25"/>
  <c r="X178" i="25"/>
  <c r="AD178" i="25" s="1"/>
  <c r="W178" i="25"/>
  <c r="AC178" i="25" s="1"/>
  <c r="V178" i="25"/>
  <c r="AB178" i="25" s="1"/>
  <c r="AG177" i="25"/>
  <c r="AF177" i="25"/>
  <c r="X177" i="25"/>
  <c r="AD177" i="25" s="1"/>
  <c r="W177" i="25"/>
  <c r="AC177" i="25" s="1"/>
  <c r="V177" i="25"/>
  <c r="AB177" i="25" s="1"/>
  <c r="AG176" i="25"/>
  <c r="AF176" i="25"/>
  <c r="X176" i="25"/>
  <c r="AD176" i="25" s="1"/>
  <c r="W176" i="25"/>
  <c r="AC176" i="25" s="1"/>
  <c r="V176" i="25"/>
  <c r="AB176" i="25" s="1"/>
  <c r="AG175" i="25"/>
  <c r="AF175" i="25"/>
  <c r="X175" i="25"/>
  <c r="AD175" i="25" s="1"/>
  <c r="W175" i="25"/>
  <c r="AC175" i="25" s="1"/>
  <c r="V175" i="25"/>
  <c r="AB175" i="25" s="1"/>
  <c r="AG174" i="25"/>
  <c r="AF174" i="25"/>
  <c r="X174" i="25"/>
  <c r="AD174" i="25" s="1"/>
  <c r="W174" i="25"/>
  <c r="AC174" i="25" s="1"/>
  <c r="V174" i="25"/>
  <c r="AB174" i="25" s="1"/>
  <c r="AG173" i="25"/>
  <c r="AF173" i="25"/>
  <c r="X173" i="25"/>
  <c r="AD173" i="25" s="1"/>
  <c r="W173" i="25"/>
  <c r="AC173" i="25" s="1"/>
  <c r="V173" i="25"/>
  <c r="AB173" i="25" s="1"/>
  <c r="AG172" i="25"/>
  <c r="AF172" i="25"/>
  <c r="X172" i="25"/>
  <c r="AD172" i="25" s="1"/>
  <c r="W172" i="25"/>
  <c r="AC172" i="25" s="1"/>
  <c r="V172" i="25"/>
  <c r="AB172" i="25" s="1"/>
  <c r="AG171" i="25"/>
  <c r="AF171" i="25"/>
  <c r="X171" i="25"/>
  <c r="AD171" i="25" s="1"/>
  <c r="W171" i="25"/>
  <c r="AC171" i="25" s="1"/>
  <c r="V171" i="25"/>
  <c r="AB171" i="25" s="1"/>
  <c r="AG170" i="25"/>
  <c r="AF170" i="25"/>
  <c r="X170" i="25"/>
  <c r="AD170" i="25" s="1"/>
  <c r="W170" i="25"/>
  <c r="AC170" i="25" s="1"/>
  <c r="V170" i="25"/>
  <c r="AB170" i="25" s="1"/>
  <c r="AG169" i="25"/>
  <c r="AF169" i="25"/>
  <c r="X169" i="25"/>
  <c r="AD169" i="25" s="1"/>
  <c r="W169" i="25"/>
  <c r="AC169" i="25" s="1"/>
  <c r="V169" i="25"/>
  <c r="AB169" i="25" s="1"/>
  <c r="AG168" i="25"/>
  <c r="AF168" i="25"/>
  <c r="X168" i="25"/>
  <c r="AD168" i="25" s="1"/>
  <c r="W168" i="25"/>
  <c r="AC168" i="25" s="1"/>
  <c r="V168" i="25"/>
  <c r="AB168" i="25" s="1"/>
  <c r="AG167" i="25"/>
  <c r="AF167" i="25"/>
  <c r="X167" i="25"/>
  <c r="AD167" i="25" s="1"/>
  <c r="W167" i="25"/>
  <c r="AC167" i="25" s="1"/>
  <c r="V167" i="25"/>
  <c r="AB167" i="25" s="1"/>
  <c r="AG166" i="25"/>
  <c r="AF166" i="25"/>
  <c r="X166" i="25"/>
  <c r="AD166" i="25" s="1"/>
  <c r="W166" i="25"/>
  <c r="AC166" i="25" s="1"/>
  <c r="V166" i="25"/>
  <c r="AB166" i="25" s="1"/>
  <c r="AG165" i="25"/>
  <c r="AF165" i="25"/>
  <c r="X165" i="25"/>
  <c r="AD165" i="25" s="1"/>
  <c r="W165" i="25"/>
  <c r="AC165" i="25" s="1"/>
  <c r="V165" i="25"/>
  <c r="AB165" i="25" s="1"/>
  <c r="AG164" i="25"/>
  <c r="AF164" i="25"/>
  <c r="X164" i="25"/>
  <c r="AD164" i="25" s="1"/>
  <c r="W164" i="25"/>
  <c r="AC164" i="25" s="1"/>
  <c r="V164" i="25"/>
  <c r="AB164" i="25" s="1"/>
  <c r="AG163" i="25"/>
  <c r="AF163" i="25"/>
  <c r="X163" i="25"/>
  <c r="AD163" i="25" s="1"/>
  <c r="W163" i="25"/>
  <c r="AC163" i="25" s="1"/>
  <c r="V163" i="25"/>
  <c r="AB163" i="25" s="1"/>
  <c r="AG162" i="25"/>
  <c r="AF162" i="25"/>
  <c r="X162" i="25"/>
  <c r="AD162" i="25" s="1"/>
  <c r="W162" i="25"/>
  <c r="AC162" i="25" s="1"/>
  <c r="V162" i="25"/>
  <c r="AB162" i="25" s="1"/>
  <c r="AG161" i="25"/>
  <c r="AF161" i="25"/>
  <c r="X161" i="25"/>
  <c r="AD161" i="25" s="1"/>
  <c r="W161" i="25"/>
  <c r="AC161" i="25" s="1"/>
  <c r="V161" i="25"/>
  <c r="AB161" i="25" s="1"/>
  <c r="AG160" i="25"/>
  <c r="AF160" i="25"/>
  <c r="X160" i="25"/>
  <c r="AD160" i="25" s="1"/>
  <c r="W160" i="25"/>
  <c r="AC160" i="25" s="1"/>
  <c r="V160" i="25"/>
  <c r="AB160" i="25" s="1"/>
  <c r="AG159" i="25"/>
  <c r="AF159" i="25"/>
  <c r="X159" i="25"/>
  <c r="AD159" i="25" s="1"/>
  <c r="W159" i="25"/>
  <c r="AC159" i="25" s="1"/>
  <c r="V159" i="25"/>
  <c r="AB159" i="25" s="1"/>
  <c r="AG158" i="25"/>
  <c r="AF158" i="25"/>
  <c r="X158" i="25"/>
  <c r="AD158" i="25" s="1"/>
  <c r="W158" i="25"/>
  <c r="AC158" i="25" s="1"/>
  <c r="V158" i="25"/>
  <c r="AB158" i="25" s="1"/>
  <c r="AG157" i="25"/>
  <c r="AF157" i="25"/>
  <c r="X157" i="25"/>
  <c r="AD157" i="25" s="1"/>
  <c r="W157" i="25"/>
  <c r="AC157" i="25" s="1"/>
  <c r="V157" i="25"/>
  <c r="AB157" i="25" s="1"/>
  <c r="AG156" i="25"/>
  <c r="AF156" i="25"/>
  <c r="X156" i="25"/>
  <c r="AD156" i="25" s="1"/>
  <c r="W156" i="25"/>
  <c r="AC156" i="25" s="1"/>
  <c r="V156" i="25"/>
  <c r="AB156" i="25" s="1"/>
  <c r="AE155" i="25"/>
  <c r="X155" i="25"/>
  <c r="AD155" i="25" s="1"/>
  <c r="W155" i="25"/>
  <c r="AC155" i="25" s="1"/>
  <c r="V155" i="25"/>
  <c r="AB155" i="25" s="1"/>
  <c r="AE154" i="25"/>
  <c r="X154" i="25"/>
  <c r="AD154" i="25" s="1"/>
  <c r="W154" i="25"/>
  <c r="AC154" i="25" s="1"/>
  <c r="V154" i="25"/>
  <c r="AB154" i="25" s="1"/>
  <c r="AE153" i="25"/>
  <c r="X153" i="25"/>
  <c r="AD153" i="25" s="1"/>
  <c r="W153" i="25"/>
  <c r="AC153" i="25" s="1"/>
  <c r="V153" i="25"/>
  <c r="AB153" i="25" s="1"/>
  <c r="AE152" i="25"/>
  <c r="X152" i="25"/>
  <c r="AD152" i="25" s="1"/>
  <c r="W152" i="25"/>
  <c r="AC152" i="25" s="1"/>
  <c r="V152" i="25"/>
  <c r="AB152" i="25" s="1"/>
  <c r="AE151" i="25"/>
  <c r="X151" i="25"/>
  <c r="AD151" i="25" s="1"/>
  <c r="W151" i="25"/>
  <c r="AC151" i="25" s="1"/>
  <c r="V151" i="25"/>
  <c r="AB151" i="25" s="1"/>
  <c r="AE150" i="25"/>
  <c r="X150" i="25"/>
  <c r="AD150" i="25" s="1"/>
  <c r="W150" i="25"/>
  <c r="AC150" i="25" s="1"/>
  <c r="V150" i="25"/>
  <c r="AB150" i="25" s="1"/>
  <c r="AE149" i="25"/>
  <c r="X149" i="25"/>
  <c r="AD149" i="25" s="1"/>
  <c r="W149" i="25"/>
  <c r="AC149" i="25" s="1"/>
  <c r="V149" i="25"/>
  <c r="AB149" i="25" s="1"/>
  <c r="AE148" i="25"/>
  <c r="X148" i="25"/>
  <c r="AD148" i="25" s="1"/>
  <c r="W148" i="25"/>
  <c r="AC148" i="25" s="1"/>
  <c r="V148" i="25"/>
  <c r="AB148" i="25" s="1"/>
  <c r="AE147" i="25"/>
  <c r="X147" i="25"/>
  <c r="AD147" i="25" s="1"/>
  <c r="W147" i="25"/>
  <c r="AC147" i="25" s="1"/>
  <c r="V147" i="25"/>
  <c r="AB147" i="25" s="1"/>
  <c r="AE146" i="25"/>
  <c r="X146" i="25"/>
  <c r="AD146" i="25" s="1"/>
  <c r="W146" i="25"/>
  <c r="AC146" i="25" s="1"/>
  <c r="V146" i="25"/>
  <c r="AB146" i="25" s="1"/>
  <c r="AE145" i="25"/>
  <c r="X145" i="25"/>
  <c r="AD145" i="25" s="1"/>
  <c r="W145" i="25"/>
  <c r="AC145" i="25" s="1"/>
  <c r="V145" i="25"/>
  <c r="AB145" i="25" s="1"/>
  <c r="AE144" i="25"/>
  <c r="X144" i="25"/>
  <c r="AD144" i="25" s="1"/>
  <c r="W144" i="25"/>
  <c r="AC144" i="25" s="1"/>
  <c r="V144" i="25"/>
  <c r="AB144" i="25" s="1"/>
  <c r="AE143" i="25"/>
  <c r="X143" i="25"/>
  <c r="AD143" i="25" s="1"/>
  <c r="W143" i="25"/>
  <c r="AC143" i="25" s="1"/>
  <c r="V143" i="25"/>
  <c r="AB143" i="25" s="1"/>
  <c r="AE142" i="25"/>
  <c r="X142" i="25"/>
  <c r="AD142" i="25" s="1"/>
  <c r="W142" i="25"/>
  <c r="AC142" i="25" s="1"/>
  <c r="V142" i="25"/>
  <c r="AB142" i="25" s="1"/>
  <c r="AE141" i="25"/>
  <c r="X141" i="25"/>
  <c r="AD141" i="25" s="1"/>
  <c r="W141" i="25"/>
  <c r="AC141" i="25" s="1"/>
  <c r="V141" i="25"/>
  <c r="AB141" i="25" s="1"/>
  <c r="AE140" i="25"/>
  <c r="X140" i="25"/>
  <c r="AD140" i="25" s="1"/>
  <c r="W140" i="25"/>
  <c r="AC140" i="25" s="1"/>
  <c r="V140" i="25"/>
  <c r="AB140" i="25" s="1"/>
  <c r="AE139" i="25"/>
  <c r="X139" i="25"/>
  <c r="AD139" i="25" s="1"/>
  <c r="W139" i="25"/>
  <c r="AC139" i="25" s="1"/>
  <c r="V139" i="25"/>
  <c r="AB139" i="25" s="1"/>
  <c r="AE138" i="25"/>
  <c r="X138" i="25"/>
  <c r="AD138" i="25" s="1"/>
  <c r="W138" i="25"/>
  <c r="AC138" i="25" s="1"/>
  <c r="V138" i="25"/>
  <c r="AB138" i="25" s="1"/>
  <c r="AE137" i="25"/>
  <c r="X137" i="25"/>
  <c r="AD137" i="25" s="1"/>
  <c r="W137" i="25"/>
  <c r="AC137" i="25" s="1"/>
  <c r="V137" i="25"/>
  <c r="AB137" i="25" s="1"/>
  <c r="AE136" i="25"/>
  <c r="X136" i="25"/>
  <c r="AD136" i="25" s="1"/>
  <c r="W136" i="25"/>
  <c r="AC136" i="25" s="1"/>
  <c r="V136" i="25"/>
  <c r="AB136" i="25" s="1"/>
  <c r="AE135" i="25"/>
  <c r="X135" i="25"/>
  <c r="AD135" i="25" s="1"/>
  <c r="W135" i="25"/>
  <c r="AC135" i="25" s="1"/>
  <c r="V135" i="25"/>
  <c r="AB135" i="25" s="1"/>
  <c r="AE134" i="25"/>
  <c r="X134" i="25"/>
  <c r="AD134" i="25" s="1"/>
  <c r="W134" i="25"/>
  <c r="AC134" i="25" s="1"/>
  <c r="V134" i="25"/>
  <c r="AB134" i="25" s="1"/>
  <c r="AE133" i="25"/>
  <c r="X133" i="25"/>
  <c r="AD133" i="25" s="1"/>
  <c r="W133" i="25"/>
  <c r="AC133" i="25" s="1"/>
  <c r="V133" i="25"/>
  <c r="AB133" i="25" s="1"/>
  <c r="AE132" i="25"/>
  <c r="X132" i="25"/>
  <c r="AD132" i="25" s="1"/>
  <c r="W132" i="25"/>
  <c r="AC132" i="25" s="1"/>
  <c r="V132" i="25"/>
  <c r="AB132" i="25" s="1"/>
  <c r="X131" i="25"/>
  <c r="AD131" i="25" s="1"/>
  <c r="W131" i="25"/>
  <c r="AC131" i="25" s="1"/>
  <c r="V131" i="25"/>
  <c r="AB131" i="25" s="1"/>
  <c r="X130" i="25"/>
  <c r="AD130" i="25" s="1"/>
  <c r="W130" i="25"/>
  <c r="AC130" i="25" s="1"/>
  <c r="V130" i="25"/>
  <c r="AB130" i="25" s="1"/>
  <c r="X129" i="25"/>
  <c r="AD129" i="25" s="1"/>
  <c r="W129" i="25"/>
  <c r="AC129" i="25" s="1"/>
  <c r="V129" i="25"/>
  <c r="AB129" i="25" s="1"/>
  <c r="X128" i="25"/>
  <c r="AD128" i="25" s="1"/>
  <c r="W128" i="25"/>
  <c r="AC128" i="25" s="1"/>
  <c r="V128" i="25"/>
  <c r="AB128" i="25" s="1"/>
  <c r="X127" i="25"/>
  <c r="AD127" i="25" s="1"/>
  <c r="W127" i="25"/>
  <c r="AC127" i="25" s="1"/>
  <c r="V127" i="25"/>
  <c r="AB127" i="25" s="1"/>
  <c r="X126" i="25"/>
  <c r="AD126" i="25" s="1"/>
  <c r="W126" i="25"/>
  <c r="AC126" i="25" s="1"/>
  <c r="V126" i="25"/>
  <c r="AB126" i="25" s="1"/>
  <c r="X125" i="25"/>
  <c r="AD125" i="25" s="1"/>
  <c r="W125" i="25"/>
  <c r="AC125" i="25" s="1"/>
  <c r="V125" i="25"/>
  <c r="AB125" i="25" s="1"/>
  <c r="X124" i="25"/>
  <c r="AD124" i="25" s="1"/>
  <c r="W124" i="25"/>
  <c r="AC124" i="25" s="1"/>
  <c r="V124" i="25"/>
  <c r="AB124" i="25" s="1"/>
  <c r="X123" i="25"/>
  <c r="AD123" i="25" s="1"/>
  <c r="W123" i="25"/>
  <c r="AC123" i="25" s="1"/>
  <c r="V123" i="25"/>
  <c r="AB123" i="25" s="1"/>
  <c r="X122" i="25"/>
  <c r="AD122" i="25" s="1"/>
  <c r="W122" i="25"/>
  <c r="AC122" i="25" s="1"/>
  <c r="V122" i="25"/>
  <c r="AB122" i="25" s="1"/>
  <c r="X121" i="25"/>
  <c r="AD121" i="25" s="1"/>
  <c r="W121" i="25"/>
  <c r="AC121" i="25" s="1"/>
  <c r="V121" i="25"/>
  <c r="AB121" i="25" s="1"/>
  <c r="X120" i="25"/>
  <c r="AD120" i="25" s="1"/>
  <c r="W120" i="25"/>
  <c r="AC120" i="25" s="1"/>
  <c r="V120" i="25"/>
  <c r="AB120" i="25" s="1"/>
  <c r="X119" i="25"/>
  <c r="AD119" i="25" s="1"/>
  <c r="W119" i="25"/>
  <c r="AC119" i="25" s="1"/>
  <c r="V119" i="25"/>
  <c r="AB119" i="25" s="1"/>
  <c r="X118" i="25"/>
  <c r="AD118" i="25" s="1"/>
  <c r="W118" i="25"/>
  <c r="AC118" i="25" s="1"/>
  <c r="V118" i="25"/>
  <c r="AB118" i="25" s="1"/>
  <c r="X117" i="25"/>
  <c r="AD117" i="25" s="1"/>
  <c r="W117" i="25"/>
  <c r="AC117" i="25" s="1"/>
  <c r="V117" i="25"/>
  <c r="AB117" i="25" s="1"/>
  <c r="X116" i="25"/>
  <c r="AD116" i="25" s="1"/>
  <c r="W116" i="25"/>
  <c r="AC116" i="25" s="1"/>
  <c r="V116" i="25"/>
  <c r="AB116" i="25" s="1"/>
  <c r="X115" i="25"/>
  <c r="AD115" i="25" s="1"/>
  <c r="W115" i="25"/>
  <c r="AC115" i="25" s="1"/>
  <c r="V115" i="25"/>
  <c r="AB115" i="25" s="1"/>
  <c r="X114" i="25"/>
  <c r="AD114" i="25" s="1"/>
  <c r="W114" i="25"/>
  <c r="AC114" i="25" s="1"/>
  <c r="V114" i="25"/>
  <c r="AB114" i="25" s="1"/>
  <c r="X113" i="25"/>
  <c r="AD113" i="25" s="1"/>
  <c r="W113" i="25"/>
  <c r="AC113" i="25" s="1"/>
  <c r="V113" i="25"/>
  <c r="AB113" i="25" s="1"/>
  <c r="X112" i="25"/>
  <c r="AD112" i="25" s="1"/>
  <c r="W112" i="25"/>
  <c r="AC112" i="25" s="1"/>
  <c r="V112" i="25"/>
  <c r="AB112" i="25" s="1"/>
  <c r="X111" i="25"/>
  <c r="AD111" i="25" s="1"/>
  <c r="W111" i="25"/>
  <c r="AC111" i="25" s="1"/>
  <c r="V111" i="25"/>
  <c r="AB111" i="25" s="1"/>
  <c r="X110" i="25"/>
  <c r="AD110" i="25" s="1"/>
  <c r="W110" i="25"/>
  <c r="AC110" i="25" s="1"/>
  <c r="V110" i="25"/>
  <c r="AB110" i="25" s="1"/>
  <c r="X109" i="25"/>
  <c r="AD109" i="25" s="1"/>
  <c r="W109" i="25"/>
  <c r="AC109" i="25" s="1"/>
  <c r="V109" i="25"/>
  <c r="AB109" i="25" s="1"/>
  <c r="X108" i="25"/>
  <c r="AD108" i="25" s="1"/>
  <c r="W108" i="25"/>
  <c r="AC108" i="25" s="1"/>
  <c r="V108" i="25"/>
  <c r="AB108" i="25" s="1"/>
  <c r="X107" i="25"/>
  <c r="AD107" i="25" s="1"/>
  <c r="W107" i="25"/>
  <c r="AC107" i="25" s="1"/>
  <c r="V107" i="25"/>
  <c r="AB107" i="25" s="1"/>
  <c r="X106" i="25"/>
  <c r="AD106" i="25" s="1"/>
  <c r="W106" i="25"/>
  <c r="AC106" i="25" s="1"/>
  <c r="V106" i="25"/>
  <c r="AB106" i="25" s="1"/>
  <c r="X105" i="25"/>
  <c r="AD105" i="25" s="1"/>
  <c r="W105" i="25"/>
  <c r="AC105" i="25" s="1"/>
  <c r="V105" i="25"/>
  <c r="AB105" i="25" s="1"/>
  <c r="X104" i="25"/>
  <c r="AD104" i="25" s="1"/>
  <c r="W104" i="25"/>
  <c r="AC104" i="25" s="1"/>
  <c r="V104" i="25"/>
  <c r="AB104" i="25" s="1"/>
  <c r="X103" i="25"/>
  <c r="AD103" i="25" s="1"/>
  <c r="W103" i="25"/>
  <c r="AC103" i="25" s="1"/>
  <c r="V103" i="25"/>
  <c r="AB103" i="25" s="1"/>
  <c r="X102" i="25"/>
  <c r="AD102" i="25" s="1"/>
  <c r="W102" i="25"/>
  <c r="AC102" i="25" s="1"/>
  <c r="V102" i="25"/>
  <c r="AB102" i="25" s="1"/>
  <c r="X101" i="25"/>
  <c r="AD101" i="25" s="1"/>
  <c r="W101" i="25"/>
  <c r="AC101" i="25" s="1"/>
  <c r="V101" i="25"/>
  <c r="AB101" i="25" s="1"/>
  <c r="X100" i="25"/>
  <c r="AD100" i="25" s="1"/>
  <c r="W100" i="25"/>
  <c r="AC100" i="25" s="1"/>
  <c r="V100" i="25"/>
  <c r="AB100" i="25" s="1"/>
  <c r="X99" i="25"/>
  <c r="AD99" i="25" s="1"/>
  <c r="W99" i="25"/>
  <c r="AC99" i="25" s="1"/>
  <c r="V99" i="25"/>
  <c r="AB99" i="25" s="1"/>
  <c r="X98" i="25"/>
  <c r="AD98" i="25" s="1"/>
  <c r="W98" i="25"/>
  <c r="AC98" i="25" s="1"/>
  <c r="V98" i="25"/>
  <c r="AB98" i="25" s="1"/>
  <c r="X97" i="25"/>
  <c r="AD97" i="25" s="1"/>
  <c r="W97" i="25"/>
  <c r="AC97" i="25" s="1"/>
  <c r="V97" i="25"/>
  <c r="AB97" i="25" s="1"/>
  <c r="X96" i="25"/>
  <c r="AD96" i="25" s="1"/>
  <c r="W96" i="25"/>
  <c r="AC96" i="25" s="1"/>
  <c r="V96" i="25"/>
  <c r="AB96" i="25" s="1"/>
  <c r="X95" i="25"/>
  <c r="AD95" i="25" s="1"/>
  <c r="W95" i="25"/>
  <c r="AC95" i="25" s="1"/>
  <c r="V95" i="25"/>
  <c r="AB95" i="25" s="1"/>
  <c r="X94" i="25"/>
  <c r="AD94" i="25" s="1"/>
  <c r="W94" i="25"/>
  <c r="AC94" i="25" s="1"/>
  <c r="V94" i="25"/>
  <c r="AB94" i="25" s="1"/>
  <c r="X93" i="25"/>
  <c r="AD93" i="25" s="1"/>
  <c r="W93" i="25"/>
  <c r="AC93" i="25" s="1"/>
  <c r="V93" i="25"/>
  <c r="AB93" i="25" s="1"/>
  <c r="X92" i="25"/>
  <c r="AD92" i="25" s="1"/>
  <c r="W92" i="25"/>
  <c r="AC92" i="25" s="1"/>
  <c r="V92" i="25"/>
  <c r="AB92" i="25" s="1"/>
  <c r="X91" i="25"/>
  <c r="AD91" i="25" s="1"/>
  <c r="W91" i="25"/>
  <c r="AC91" i="25" s="1"/>
  <c r="V91" i="25"/>
  <c r="AB91" i="25" s="1"/>
  <c r="X90" i="25"/>
  <c r="AD90" i="25" s="1"/>
  <c r="W90" i="25"/>
  <c r="AC90" i="25" s="1"/>
  <c r="V90" i="25"/>
  <c r="AB90" i="25" s="1"/>
  <c r="X89" i="25"/>
  <c r="AD89" i="25" s="1"/>
  <c r="W89" i="25"/>
  <c r="AC89" i="25" s="1"/>
  <c r="V89" i="25"/>
  <c r="AB89" i="25" s="1"/>
  <c r="X88" i="25"/>
  <c r="AD88" i="25" s="1"/>
  <c r="W88" i="25"/>
  <c r="AC88" i="25" s="1"/>
  <c r="V88" i="25"/>
  <c r="AB88" i="25" s="1"/>
  <c r="X87" i="25"/>
  <c r="AD87" i="25" s="1"/>
  <c r="W87" i="25"/>
  <c r="AC87" i="25" s="1"/>
  <c r="V87" i="25"/>
  <c r="AB87" i="25" s="1"/>
  <c r="X86" i="25"/>
  <c r="AD86" i="25" s="1"/>
  <c r="W86" i="25"/>
  <c r="AC86" i="25" s="1"/>
  <c r="V86" i="25"/>
  <c r="AB86" i="25" s="1"/>
  <c r="X85" i="25"/>
  <c r="AD85" i="25" s="1"/>
  <c r="W85" i="25"/>
  <c r="AC85" i="25" s="1"/>
  <c r="V85" i="25"/>
  <c r="AB85" i="25" s="1"/>
  <c r="X84" i="25"/>
  <c r="AD84" i="25" s="1"/>
  <c r="W84" i="25"/>
  <c r="AC84" i="25" s="1"/>
  <c r="V84" i="25"/>
  <c r="AB84" i="25" s="1"/>
  <c r="AG83" i="25"/>
  <c r="AF83" i="25"/>
  <c r="X83" i="25"/>
  <c r="AD83" i="25" s="1"/>
  <c r="W83" i="25"/>
  <c r="AC83" i="25" s="1"/>
  <c r="V83" i="25"/>
  <c r="AB83" i="25" s="1"/>
  <c r="AG82" i="25"/>
  <c r="AF82" i="25"/>
  <c r="X82" i="25"/>
  <c r="AD82" i="25" s="1"/>
  <c r="W82" i="25"/>
  <c r="AC82" i="25" s="1"/>
  <c r="V82" i="25"/>
  <c r="AB82" i="25" s="1"/>
  <c r="AG81" i="25"/>
  <c r="AF81" i="25"/>
  <c r="X81" i="25"/>
  <c r="AD81" i="25" s="1"/>
  <c r="W81" i="25"/>
  <c r="AC81" i="25" s="1"/>
  <c r="V81" i="25"/>
  <c r="AB81" i="25" s="1"/>
  <c r="AG80" i="25"/>
  <c r="AF80" i="25"/>
  <c r="X80" i="25"/>
  <c r="AD80" i="25" s="1"/>
  <c r="W80" i="25"/>
  <c r="AC80" i="25" s="1"/>
  <c r="V80" i="25"/>
  <c r="AB80" i="25" s="1"/>
  <c r="AG79" i="25"/>
  <c r="AF79" i="25"/>
  <c r="X79" i="25"/>
  <c r="AD79" i="25" s="1"/>
  <c r="W79" i="25"/>
  <c r="AC79" i="25" s="1"/>
  <c r="V79" i="25"/>
  <c r="AB79" i="25" s="1"/>
  <c r="AG78" i="25"/>
  <c r="AF78" i="25"/>
  <c r="X78" i="25"/>
  <c r="AD78" i="25" s="1"/>
  <c r="W78" i="25"/>
  <c r="AC78" i="25" s="1"/>
  <c r="V78" i="25"/>
  <c r="AB78" i="25" s="1"/>
  <c r="AG77" i="25"/>
  <c r="AF77" i="25"/>
  <c r="X77" i="25"/>
  <c r="AD77" i="25" s="1"/>
  <c r="W77" i="25"/>
  <c r="AC77" i="25" s="1"/>
  <c r="V77" i="25"/>
  <c r="AB77" i="25" s="1"/>
  <c r="AG76" i="25"/>
  <c r="AF76" i="25"/>
  <c r="X76" i="25"/>
  <c r="AD76" i="25" s="1"/>
  <c r="W76" i="25"/>
  <c r="AC76" i="25" s="1"/>
  <c r="V76" i="25"/>
  <c r="AB76" i="25" s="1"/>
  <c r="AE75" i="25"/>
  <c r="X75" i="25"/>
  <c r="AD75" i="25" s="1"/>
  <c r="W75" i="25"/>
  <c r="AC75" i="25" s="1"/>
  <c r="V75" i="25"/>
  <c r="AB75" i="25" s="1"/>
  <c r="AE74" i="25"/>
  <c r="X74" i="25"/>
  <c r="AD74" i="25" s="1"/>
  <c r="W74" i="25"/>
  <c r="AC74" i="25" s="1"/>
  <c r="V74" i="25"/>
  <c r="AB74" i="25" s="1"/>
  <c r="AE73" i="25"/>
  <c r="X73" i="25"/>
  <c r="AD73" i="25" s="1"/>
  <c r="W73" i="25"/>
  <c r="AC73" i="25" s="1"/>
  <c r="V73" i="25"/>
  <c r="AB73" i="25" s="1"/>
  <c r="AE72" i="25"/>
  <c r="X72" i="25"/>
  <c r="AD72" i="25" s="1"/>
  <c r="W72" i="25"/>
  <c r="AC72" i="25" s="1"/>
  <c r="V72" i="25"/>
  <c r="AB72" i="25" s="1"/>
  <c r="AE71" i="25"/>
  <c r="X71" i="25"/>
  <c r="AD71" i="25" s="1"/>
  <c r="W71" i="25"/>
  <c r="AC71" i="25" s="1"/>
  <c r="V71" i="25"/>
  <c r="AB71" i="25" s="1"/>
  <c r="AE70" i="25"/>
  <c r="X70" i="25"/>
  <c r="AD70" i="25" s="1"/>
  <c r="W70" i="25"/>
  <c r="AC70" i="25" s="1"/>
  <c r="V70" i="25"/>
  <c r="AB70" i="25" s="1"/>
  <c r="AE69" i="25"/>
  <c r="X69" i="25"/>
  <c r="AD69" i="25" s="1"/>
  <c r="W69" i="25"/>
  <c r="AC69" i="25" s="1"/>
  <c r="V69" i="25"/>
  <c r="AB69" i="25" s="1"/>
  <c r="AE68" i="25"/>
  <c r="X68" i="25"/>
  <c r="AD68" i="25" s="1"/>
  <c r="W68" i="25"/>
  <c r="AC68" i="25" s="1"/>
  <c r="V68" i="25"/>
  <c r="AB68" i="25" s="1"/>
  <c r="AE67" i="25"/>
  <c r="X67" i="25"/>
  <c r="AD67" i="25" s="1"/>
  <c r="W67" i="25"/>
  <c r="AC67" i="25" s="1"/>
  <c r="V67" i="25"/>
  <c r="AB67" i="25" s="1"/>
  <c r="AG66" i="25"/>
  <c r="AF66" i="25"/>
  <c r="X66" i="25"/>
  <c r="AD66" i="25" s="1"/>
  <c r="W66" i="25"/>
  <c r="AC66" i="25" s="1"/>
  <c r="V66" i="25"/>
  <c r="AB66" i="25" s="1"/>
  <c r="AG65" i="25"/>
  <c r="AF65" i="25"/>
  <c r="X65" i="25"/>
  <c r="AD65" i="25" s="1"/>
  <c r="W65" i="25"/>
  <c r="AC65" i="25" s="1"/>
  <c r="V65" i="25"/>
  <c r="AB65" i="25" s="1"/>
  <c r="AG64" i="25"/>
  <c r="AF64" i="25"/>
  <c r="X64" i="25"/>
  <c r="AD64" i="25" s="1"/>
  <c r="W64" i="25"/>
  <c r="AC64" i="25" s="1"/>
  <c r="V64" i="25"/>
  <c r="AB64" i="25" s="1"/>
  <c r="AG63" i="25"/>
  <c r="AF63" i="25"/>
  <c r="X63" i="25"/>
  <c r="AD63" i="25" s="1"/>
  <c r="W63" i="25"/>
  <c r="AC63" i="25" s="1"/>
  <c r="V63" i="25"/>
  <c r="AB63" i="25" s="1"/>
  <c r="AG62" i="25"/>
  <c r="AF62" i="25"/>
  <c r="X62" i="25"/>
  <c r="AD62" i="25" s="1"/>
  <c r="W62" i="25"/>
  <c r="AC62" i="25" s="1"/>
  <c r="V62" i="25"/>
  <c r="AB62" i="25" s="1"/>
  <c r="AG61" i="25"/>
  <c r="AF61" i="25"/>
  <c r="X61" i="25"/>
  <c r="AD61" i="25" s="1"/>
  <c r="W61" i="25"/>
  <c r="AC61" i="25" s="1"/>
  <c r="V61" i="25"/>
  <c r="AB61" i="25" s="1"/>
  <c r="AG60" i="25"/>
  <c r="AF60" i="25"/>
  <c r="X60" i="25"/>
  <c r="AD60" i="25" s="1"/>
  <c r="W60" i="25"/>
  <c r="AC60" i="25" s="1"/>
  <c r="V60" i="25"/>
  <c r="AB60" i="25" s="1"/>
  <c r="AG59" i="25"/>
  <c r="AF59" i="25"/>
  <c r="X59" i="25"/>
  <c r="AD59" i="25" s="1"/>
  <c r="W59" i="25"/>
  <c r="AC59" i="25" s="1"/>
  <c r="V59" i="25"/>
  <c r="AB59" i="25" s="1"/>
  <c r="AG58" i="25"/>
  <c r="AF58" i="25"/>
  <c r="X58" i="25"/>
  <c r="AD58" i="25" s="1"/>
  <c r="W58" i="25"/>
  <c r="AC58" i="25" s="1"/>
  <c r="V58" i="25"/>
  <c r="AB58" i="25" s="1"/>
  <c r="AE57" i="25"/>
  <c r="X57" i="25"/>
  <c r="AD57" i="25" s="1"/>
  <c r="W57" i="25"/>
  <c r="AC57" i="25" s="1"/>
  <c r="V57" i="25"/>
  <c r="AB57" i="25" s="1"/>
  <c r="AE56" i="25"/>
  <c r="X56" i="25"/>
  <c r="AD56" i="25" s="1"/>
  <c r="W56" i="25"/>
  <c r="AC56" i="25" s="1"/>
  <c r="V56" i="25"/>
  <c r="AB56" i="25" s="1"/>
  <c r="AE55" i="25"/>
  <c r="X55" i="25"/>
  <c r="AD55" i="25" s="1"/>
  <c r="W55" i="25"/>
  <c r="AC55" i="25" s="1"/>
  <c r="V55" i="25"/>
  <c r="AB55" i="25" s="1"/>
  <c r="AE54" i="25"/>
  <c r="X54" i="25"/>
  <c r="AD54" i="25" s="1"/>
  <c r="W54" i="25"/>
  <c r="AC54" i="25" s="1"/>
  <c r="V54" i="25"/>
  <c r="AB54" i="25" s="1"/>
  <c r="AE53" i="25"/>
  <c r="X53" i="25"/>
  <c r="AD53" i="25" s="1"/>
  <c r="W53" i="25"/>
  <c r="AC53" i="25" s="1"/>
  <c r="V53" i="25"/>
  <c r="AB53" i="25" s="1"/>
  <c r="AE52" i="25"/>
  <c r="X52" i="25"/>
  <c r="AD52" i="25" s="1"/>
  <c r="W52" i="25"/>
  <c r="AC52" i="25" s="1"/>
  <c r="V52" i="25"/>
  <c r="AB52" i="25" s="1"/>
  <c r="AE51" i="25"/>
  <c r="X51" i="25"/>
  <c r="AD51" i="25" s="1"/>
  <c r="W51" i="25"/>
  <c r="AC51" i="25" s="1"/>
  <c r="V51" i="25"/>
  <c r="AB51" i="25" s="1"/>
  <c r="AE50" i="25"/>
  <c r="X50" i="25"/>
  <c r="AD50" i="25" s="1"/>
  <c r="W50" i="25"/>
  <c r="AC50" i="25" s="1"/>
  <c r="V50" i="25"/>
  <c r="AB50" i="25" s="1"/>
  <c r="AE49" i="25"/>
  <c r="X49" i="25"/>
  <c r="AD49" i="25" s="1"/>
  <c r="W49" i="25"/>
  <c r="AC49" i="25" s="1"/>
  <c r="V49" i="25"/>
  <c r="AB49" i="25" s="1"/>
  <c r="AE48" i="25"/>
  <c r="X48" i="25"/>
  <c r="AD48" i="25" s="1"/>
  <c r="W48" i="25"/>
  <c r="AC48" i="25" s="1"/>
  <c r="V48" i="25"/>
  <c r="AB48" i="25" s="1"/>
  <c r="AE47" i="25"/>
  <c r="X47" i="25"/>
  <c r="AD47" i="25" s="1"/>
  <c r="W47" i="25"/>
  <c r="AC47" i="25" s="1"/>
  <c r="V47" i="25"/>
  <c r="AB47" i="25" s="1"/>
  <c r="AG46" i="25"/>
  <c r="AF46" i="25"/>
  <c r="X46" i="25"/>
  <c r="AD46" i="25" s="1"/>
  <c r="W46" i="25"/>
  <c r="AC46" i="25" s="1"/>
  <c r="V46" i="25"/>
  <c r="AB46" i="25" s="1"/>
  <c r="AG45" i="25"/>
  <c r="AF45" i="25"/>
  <c r="X45" i="25"/>
  <c r="AD45" i="25" s="1"/>
  <c r="W45" i="25"/>
  <c r="AC45" i="25" s="1"/>
  <c r="V45" i="25"/>
  <c r="AB45" i="25" s="1"/>
  <c r="AE44" i="25"/>
  <c r="X44" i="25"/>
  <c r="AD44" i="25" s="1"/>
  <c r="W44" i="25"/>
  <c r="AC44" i="25" s="1"/>
  <c r="V44" i="25"/>
  <c r="AB44" i="25" s="1"/>
  <c r="AE43" i="25"/>
  <c r="X43" i="25"/>
  <c r="AD43" i="25" s="1"/>
  <c r="W43" i="25"/>
  <c r="AC43" i="25" s="1"/>
  <c r="V43" i="25"/>
  <c r="AB43" i="25" s="1"/>
  <c r="AE42" i="25"/>
  <c r="X42" i="25"/>
  <c r="AD42" i="25" s="1"/>
  <c r="W42" i="25"/>
  <c r="AC42" i="25" s="1"/>
  <c r="V42" i="25"/>
  <c r="AB42" i="25" s="1"/>
  <c r="AE41" i="25"/>
  <c r="X41" i="25"/>
  <c r="AD41" i="25" s="1"/>
  <c r="W41" i="25"/>
  <c r="AC41" i="25" s="1"/>
  <c r="V41" i="25"/>
  <c r="AB41" i="25" s="1"/>
  <c r="AG40" i="25"/>
  <c r="AF40" i="25"/>
  <c r="X40" i="25"/>
  <c r="AD40" i="25" s="1"/>
  <c r="W40" i="25"/>
  <c r="AC40" i="25" s="1"/>
  <c r="V40" i="25"/>
  <c r="AB40" i="25" s="1"/>
  <c r="AG39" i="25"/>
  <c r="AF39" i="25"/>
  <c r="X39" i="25"/>
  <c r="AD39" i="25" s="1"/>
  <c r="W39" i="25"/>
  <c r="AC39" i="25" s="1"/>
  <c r="V39" i="25"/>
  <c r="AB39" i="25" s="1"/>
  <c r="AG38" i="25"/>
  <c r="AF38" i="25"/>
  <c r="X38" i="25"/>
  <c r="AD38" i="25" s="1"/>
  <c r="W38" i="25"/>
  <c r="AC38" i="25" s="1"/>
  <c r="V38" i="25"/>
  <c r="AB38" i="25" s="1"/>
  <c r="AG37" i="25"/>
  <c r="AF37" i="25"/>
  <c r="X37" i="25"/>
  <c r="AD37" i="25" s="1"/>
  <c r="W37" i="25"/>
  <c r="AC37" i="25" s="1"/>
  <c r="V37" i="25"/>
  <c r="AB37" i="25" s="1"/>
  <c r="AG36" i="25"/>
  <c r="AF36" i="25"/>
  <c r="X36" i="25"/>
  <c r="AD36" i="25" s="1"/>
  <c r="W36" i="25"/>
  <c r="AC36" i="25" s="1"/>
  <c r="V36" i="25"/>
  <c r="AB36" i="25" s="1"/>
  <c r="AG35" i="25"/>
  <c r="AF35" i="25"/>
  <c r="X35" i="25"/>
  <c r="AD35" i="25" s="1"/>
  <c r="W35" i="25"/>
  <c r="AC35" i="25" s="1"/>
  <c r="V35" i="25"/>
  <c r="AB35" i="25" s="1"/>
  <c r="AG34" i="25"/>
  <c r="AF34" i="25"/>
  <c r="X34" i="25"/>
  <c r="AD34" i="25" s="1"/>
  <c r="W34" i="25"/>
  <c r="AC34" i="25" s="1"/>
  <c r="V34" i="25"/>
  <c r="AB34" i="25" s="1"/>
  <c r="AG33" i="25"/>
  <c r="AF33" i="25"/>
  <c r="X33" i="25"/>
  <c r="AD33" i="25" s="1"/>
  <c r="W33" i="25"/>
  <c r="AC33" i="25" s="1"/>
  <c r="V33" i="25"/>
  <c r="AB33" i="25" s="1"/>
  <c r="AG32" i="25"/>
  <c r="AF32" i="25"/>
  <c r="X32" i="25"/>
  <c r="AD32" i="25" s="1"/>
  <c r="W32" i="25"/>
  <c r="AC32" i="25" s="1"/>
  <c r="V32" i="25"/>
  <c r="AB32" i="25" s="1"/>
  <c r="AG31" i="25"/>
  <c r="AF31" i="25"/>
  <c r="X31" i="25"/>
  <c r="AD31" i="25" s="1"/>
  <c r="W31" i="25"/>
  <c r="AC31" i="25" s="1"/>
  <c r="V31" i="25"/>
  <c r="AB31" i="25" s="1"/>
  <c r="AG30" i="25"/>
  <c r="AF30" i="25"/>
  <c r="X30" i="25"/>
  <c r="AD30" i="25" s="1"/>
  <c r="W30" i="25"/>
  <c r="AC30" i="25" s="1"/>
  <c r="V30" i="25"/>
  <c r="AB30" i="25" s="1"/>
  <c r="AG29" i="25"/>
  <c r="AF29" i="25"/>
  <c r="X29" i="25"/>
  <c r="AD29" i="25" s="1"/>
  <c r="W29" i="25"/>
  <c r="AC29" i="25" s="1"/>
  <c r="V29" i="25"/>
  <c r="AB29" i="25" s="1"/>
  <c r="X28" i="25"/>
  <c r="AD28" i="25" s="1"/>
  <c r="W28" i="25"/>
  <c r="AC28" i="25" s="1"/>
  <c r="V28" i="25"/>
  <c r="AB28" i="25" s="1"/>
  <c r="X27" i="25"/>
  <c r="AD27" i="25" s="1"/>
  <c r="W27" i="25"/>
  <c r="AC27" i="25" s="1"/>
  <c r="V27" i="25"/>
  <c r="AB27" i="25" s="1"/>
  <c r="X26" i="25"/>
  <c r="AD26" i="25" s="1"/>
  <c r="W26" i="25"/>
  <c r="AC26" i="25" s="1"/>
  <c r="V26" i="25"/>
  <c r="AB26" i="25" s="1"/>
  <c r="X25" i="25"/>
  <c r="AD25" i="25" s="1"/>
  <c r="W25" i="25"/>
  <c r="AC25" i="25" s="1"/>
  <c r="V25" i="25"/>
  <c r="AB25" i="25" s="1"/>
  <c r="X24" i="25"/>
  <c r="AD24" i="25" s="1"/>
  <c r="W24" i="25"/>
  <c r="AC24" i="25" s="1"/>
  <c r="V24" i="25"/>
  <c r="AB24" i="25" s="1"/>
  <c r="X23" i="25"/>
  <c r="AD23" i="25" s="1"/>
  <c r="W23" i="25"/>
  <c r="AC23" i="25" s="1"/>
  <c r="V23" i="25"/>
  <c r="AB23" i="25" s="1"/>
  <c r="X22" i="25"/>
  <c r="AD22" i="25" s="1"/>
  <c r="W22" i="25"/>
  <c r="AC22" i="25" s="1"/>
  <c r="V22" i="25"/>
  <c r="AB22" i="25" s="1"/>
  <c r="X21" i="25"/>
  <c r="AD21" i="25" s="1"/>
  <c r="W21" i="25"/>
  <c r="AC21" i="25" s="1"/>
  <c r="V21" i="25"/>
  <c r="AB21" i="25" s="1"/>
  <c r="X20" i="25"/>
  <c r="AD20" i="25" s="1"/>
  <c r="W20" i="25"/>
  <c r="AC20" i="25" s="1"/>
  <c r="V20" i="25"/>
  <c r="AB20" i="25" s="1"/>
  <c r="X19" i="25"/>
  <c r="AD19" i="25" s="1"/>
  <c r="W19" i="25"/>
  <c r="AC19" i="25" s="1"/>
  <c r="V19" i="25"/>
  <c r="AB19" i="25" s="1"/>
  <c r="X18" i="25"/>
  <c r="AD18" i="25" s="1"/>
  <c r="W18" i="25"/>
  <c r="AC18" i="25" s="1"/>
  <c r="V18" i="25"/>
  <c r="AB18" i="25" s="1"/>
  <c r="X17" i="25"/>
  <c r="AD17" i="25" s="1"/>
  <c r="W17" i="25"/>
  <c r="AC17" i="25" s="1"/>
  <c r="V17" i="25"/>
  <c r="AB17" i="25" s="1"/>
  <c r="X16" i="25"/>
  <c r="AD16" i="25" s="1"/>
  <c r="W16" i="25"/>
  <c r="AC16" i="25" s="1"/>
  <c r="V16" i="25"/>
  <c r="AB16" i="25" s="1"/>
  <c r="X15" i="25"/>
  <c r="AD15" i="25" s="1"/>
  <c r="W15" i="25"/>
  <c r="AC15" i="25" s="1"/>
  <c r="V15" i="25"/>
  <c r="AB15" i="25" s="1"/>
  <c r="X14" i="25"/>
  <c r="AD14" i="25" s="1"/>
  <c r="W14" i="25"/>
  <c r="AC14" i="25" s="1"/>
  <c r="V14" i="25"/>
  <c r="AB14" i="25" s="1"/>
  <c r="X13" i="25"/>
  <c r="AD13" i="25" s="1"/>
  <c r="W13" i="25"/>
  <c r="AC13" i="25" s="1"/>
  <c r="V13" i="25"/>
  <c r="AB13" i="25" s="1"/>
  <c r="X12" i="25"/>
  <c r="AD12" i="25" s="1"/>
  <c r="W12" i="25"/>
  <c r="AC12" i="25" s="1"/>
  <c r="V12" i="25"/>
  <c r="AB12" i="25" s="1"/>
  <c r="X11" i="25"/>
  <c r="AD11" i="25" s="1"/>
  <c r="W11" i="25"/>
  <c r="AC11" i="25" s="1"/>
  <c r="V11" i="25"/>
  <c r="AB11" i="25" s="1"/>
  <c r="X10" i="25"/>
  <c r="AD10" i="25" s="1"/>
  <c r="W10" i="25"/>
  <c r="AC10" i="25" s="1"/>
  <c r="V10" i="25"/>
  <c r="AB10" i="25" s="1"/>
  <c r="X9" i="25"/>
  <c r="AD9" i="25" s="1"/>
  <c r="W9" i="25"/>
  <c r="AC9" i="25" s="1"/>
  <c r="V9" i="25"/>
  <c r="AB9" i="25" s="1"/>
  <c r="X8" i="25"/>
  <c r="AD8" i="25" s="1"/>
  <c r="W8" i="25"/>
  <c r="AC8" i="25" s="1"/>
  <c r="V8" i="25"/>
  <c r="AB8" i="25" s="1"/>
  <c r="X7" i="25"/>
  <c r="AD7" i="25" s="1"/>
  <c r="W7" i="25"/>
  <c r="AC7" i="25" s="1"/>
  <c r="V7" i="25"/>
  <c r="AB7" i="25" s="1"/>
  <c r="X6" i="25"/>
  <c r="AD6" i="25" s="1"/>
  <c r="W6" i="25"/>
  <c r="AC6" i="25" s="1"/>
  <c r="V6" i="25"/>
  <c r="AB6" i="25" s="1"/>
  <c r="X5" i="25"/>
  <c r="AD5" i="25" s="1"/>
  <c r="W5" i="25"/>
  <c r="AC5" i="25" s="1"/>
  <c r="V5" i="25"/>
  <c r="AB5" i="25" s="1"/>
  <c r="X4" i="25"/>
  <c r="AD4" i="25" s="1"/>
  <c r="W4" i="25"/>
  <c r="AC4" i="25" s="1"/>
  <c r="V4" i="25"/>
  <c r="AB4" i="25" s="1"/>
  <c r="X3" i="25"/>
  <c r="AD3" i="25" s="1"/>
  <c r="W3" i="25"/>
  <c r="AC3" i="25" s="1"/>
  <c r="V3" i="25"/>
  <c r="AB3" i="25" s="1"/>
  <c r="X2" i="25"/>
  <c r="AD2" i="25" s="1"/>
  <c r="W2" i="25"/>
  <c r="AC2" i="25" s="1"/>
  <c r="V2" i="25"/>
  <c r="AB2" i="25" s="1"/>
  <c r="AG44" i="24"/>
  <c r="AF44" i="24"/>
  <c r="AG43" i="24"/>
  <c r="AF43" i="24"/>
  <c r="AE43" i="24"/>
  <c r="AE44" i="24" s="1"/>
  <c r="AD43" i="24"/>
  <c r="AD44" i="24" s="1"/>
  <c r="AC43" i="24"/>
  <c r="AC44" i="24" s="1"/>
  <c r="AG42" i="24"/>
  <c r="AF42" i="24"/>
  <c r="AE42" i="24"/>
  <c r="AD42" i="24"/>
  <c r="AG41" i="24"/>
  <c r="AF41" i="24"/>
  <c r="AE41" i="24"/>
  <c r="AD41" i="24"/>
  <c r="AD40" i="24"/>
  <c r="AC39" i="24"/>
  <c r="AC40" i="24" s="1"/>
  <c r="AC41" i="24" s="1"/>
  <c r="AC42" i="24" s="1"/>
  <c r="AG38" i="24"/>
  <c r="AG39" i="24" s="1"/>
  <c r="AG40" i="24" s="1"/>
  <c r="AF38" i="24"/>
  <c r="AF39" i="24" s="1"/>
  <c r="AF40" i="24" s="1"/>
  <c r="AE38" i="24"/>
  <c r="AE39" i="24" s="1"/>
  <c r="AE40" i="24" s="1"/>
  <c r="AD38" i="24"/>
  <c r="AD39" i="24" s="1"/>
  <c r="AC38" i="24"/>
  <c r="AG37" i="24"/>
  <c r="AF37" i="24"/>
  <c r="AG36" i="24"/>
  <c r="AF36" i="24"/>
  <c r="AE36" i="24"/>
  <c r="AE37" i="24" s="1"/>
  <c r="AD36" i="24"/>
  <c r="AD37" i="24" s="1"/>
  <c r="AG35" i="24"/>
  <c r="AF35" i="24"/>
  <c r="AE35" i="24"/>
  <c r="AD35" i="24"/>
  <c r="AG34" i="24"/>
  <c r="AF34" i="24"/>
  <c r="AE34" i="24"/>
  <c r="AD34" i="24"/>
  <c r="AD32" i="24"/>
  <c r="AD33" i="24" s="1"/>
  <c r="AG31" i="24"/>
  <c r="AG32" i="24" s="1"/>
  <c r="AG33" i="24" s="1"/>
  <c r="AF31" i="24"/>
  <c r="AF32" i="24" s="1"/>
  <c r="AF33" i="24" s="1"/>
  <c r="AE31" i="24"/>
  <c r="AE32" i="24" s="1"/>
  <c r="AE33" i="24" s="1"/>
  <c r="AD31" i="24"/>
  <c r="AG30" i="24"/>
  <c r="AF30" i="24"/>
  <c r="AE30" i="24"/>
  <c r="AD30" i="24"/>
  <c r="AE28" i="24"/>
  <c r="AE29" i="24" s="1"/>
  <c r="AG27" i="24"/>
  <c r="AG28" i="24" s="1"/>
  <c r="AG29" i="24" s="1"/>
  <c r="AF27" i="24"/>
  <c r="AF28" i="24" s="1"/>
  <c r="AF29" i="24" s="1"/>
  <c r="AE27" i="24"/>
  <c r="AD27" i="24"/>
  <c r="AD28" i="24" s="1"/>
  <c r="AD29" i="24" s="1"/>
  <c r="AG26" i="24"/>
  <c r="AF26" i="24"/>
  <c r="AE26" i="24"/>
  <c r="AD26" i="24"/>
  <c r="AG24" i="24"/>
  <c r="AG25" i="24" s="1"/>
  <c r="AG23" i="24"/>
  <c r="AF23" i="24"/>
  <c r="AF24" i="24" s="1"/>
  <c r="AF25" i="24" s="1"/>
  <c r="AE23" i="24"/>
  <c r="AE24" i="24" s="1"/>
  <c r="AE25" i="24" s="1"/>
  <c r="AD23" i="24"/>
  <c r="AD24" i="24" s="1"/>
  <c r="AD25" i="24" s="1"/>
  <c r="AC23" i="24"/>
  <c r="AC24" i="24" s="1"/>
  <c r="AC25" i="24" s="1"/>
  <c r="AC26" i="24" s="1"/>
  <c r="AC27" i="24" s="1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G22" i="24"/>
  <c r="AF22" i="24"/>
  <c r="AG21" i="24"/>
  <c r="AF21" i="24"/>
  <c r="AG20" i="24"/>
  <c r="AF20" i="24"/>
  <c r="AG19" i="24"/>
  <c r="AF19" i="24"/>
  <c r="AG18" i="24"/>
  <c r="AF18" i="24"/>
  <c r="AE18" i="24"/>
  <c r="AE19" i="24" s="1"/>
  <c r="AE20" i="24" s="1"/>
  <c r="AE21" i="24" s="1"/>
  <c r="AE22" i="24" s="1"/>
  <c r="AD18" i="24"/>
  <c r="AD19" i="24" s="1"/>
  <c r="AD20" i="24" s="1"/>
  <c r="AD21" i="24" s="1"/>
  <c r="AD22" i="24" s="1"/>
  <c r="AG17" i="24"/>
  <c r="AF17" i="24"/>
  <c r="AG16" i="24"/>
  <c r="AF16" i="24"/>
  <c r="AG15" i="24"/>
  <c r="AF15" i="24"/>
  <c r="AG14" i="24"/>
  <c r="AF14" i="24"/>
  <c r="AG13" i="24"/>
  <c r="AF13" i="24"/>
  <c r="AE13" i="24"/>
  <c r="AE14" i="24" s="1"/>
  <c r="AE15" i="24" s="1"/>
  <c r="AE16" i="24" s="1"/>
  <c r="AE17" i="24" s="1"/>
  <c r="AD13" i="24"/>
  <c r="AD14" i="24" s="1"/>
  <c r="AD15" i="24" s="1"/>
  <c r="AD16" i="24" s="1"/>
  <c r="AD17" i="24" s="1"/>
  <c r="AG11" i="24"/>
  <c r="AG12" i="24" s="1"/>
  <c r="AD11" i="24"/>
  <c r="AD12" i="24" s="1"/>
  <c r="AG10" i="24"/>
  <c r="AF10" i="24"/>
  <c r="AF11" i="24" s="1"/>
  <c r="AF12" i="24" s="1"/>
  <c r="AE10" i="24"/>
  <c r="AE11" i="24" s="1"/>
  <c r="AE12" i="24" s="1"/>
  <c r="AD10" i="24"/>
  <c r="AC10" i="24"/>
  <c r="AC11" i="24" s="1"/>
  <c r="AC12" i="24" s="1"/>
  <c r="AC13" i="24" s="1"/>
  <c r="AC14" i="24" s="1"/>
  <c r="AC15" i="24" s="1"/>
  <c r="AC16" i="24" s="1"/>
  <c r="AC17" i="24" s="1"/>
  <c r="AC18" i="24" s="1"/>
  <c r="AC19" i="24" s="1"/>
  <c r="AC20" i="24" s="1"/>
  <c r="AC21" i="24" s="1"/>
  <c r="AC22" i="24" s="1"/>
  <c r="AG9" i="24"/>
  <c r="AD9" i="24"/>
  <c r="AG8" i="24"/>
  <c r="AF8" i="24"/>
  <c r="AF9" i="24" s="1"/>
  <c r="AE8" i="24"/>
  <c r="AE9" i="24" s="1"/>
  <c r="AD8" i="24"/>
  <c r="AC8" i="24"/>
  <c r="AC9" i="24" s="1"/>
  <c r="AG7" i="24"/>
  <c r="AF7" i="24"/>
  <c r="AE7" i="24"/>
  <c r="AD7" i="24"/>
  <c r="AG6" i="24"/>
  <c r="AE6" i="24"/>
  <c r="AD6" i="24"/>
  <c r="AC6" i="24"/>
  <c r="AC7" i="24" s="1"/>
  <c r="AG5" i="24"/>
  <c r="AF5" i="24"/>
  <c r="AF6" i="24" s="1"/>
  <c r="AE5" i="24"/>
  <c r="AD5" i="24"/>
  <c r="AC5" i="24"/>
  <c r="Z49" i="24"/>
  <c r="X49" i="24"/>
  <c r="V49" i="24"/>
  <c r="U49" i="24"/>
  <c r="T49" i="24"/>
  <c r="R49" i="24"/>
  <c r="P49" i="24"/>
  <c r="O49" i="24"/>
  <c r="N49" i="24"/>
  <c r="M49" i="24"/>
  <c r="Z48" i="24"/>
  <c r="V48" i="24"/>
  <c r="U48" i="24"/>
  <c r="T48" i="24"/>
  <c r="R48" i="24"/>
  <c r="P48" i="24"/>
  <c r="O48" i="24"/>
  <c r="N48" i="24"/>
  <c r="M48" i="24"/>
  <c r="Z47" i="24"/>
  <c r="Z51" i="24" s="1"/>
  <c r="X47" i="24"/>
  <c r="V47" i="24"/>
  <c r="V51" i="24" s="1"/>
  <c r="U47" i="24"/>
  <c r="T47" i="24"/>
  <c r="T51" i="24" s="1"/>
  <c r="R47" i="24"/>
  <c r="R51" i="24" s="1"/>
  <c r="P47" i="24"/>
  <c r="P51" i="24" s="1"/>
  <c r="O47" i="24"/>
  <c r="N47" i="24"/>
  <c r="N51" i="24" s="1"/>
  <c r="M47" i="24"/>
  <c r="M51" i="24" s="1"/>
  <c r="AU63" i="23"/>
  <c r="AT63" i="23"/>
  <c r="AS63" i="23"/>
  <c r="AR63" i="23"/>
  <c r="AV63" i="23" s="1"/>
  <c r="AV62" i="23"/>
  <c r="AU62" i="23"/>
  <c r="AT62" i="23"/>
  <c r="AS62" i="23"/>
  <c r="AR62" i="23"/>
  <c r="AQ62" i="23"/>
  <c r="AQ63" i="23" s="1"/>
  <c r="AV61" i="23"/>
  <c r="AU61" i="23"/>
  <c r="AT61" i="23"/>
  <c r="AS61" i="23"/>
  <c r="AR61" i="23"/>
  <c r="AU60" i="23"/>
  <c r="AT60" i="23"/>
  <c r="AS60" i="23"/>
  <c r="AR60" i="23"/>
  <c r="AV60" i="23" s="1"/>
  <c r="AU58" i="23"/>
  <c r="AU59" i="23" s="1"/>
  <c r="AV57" i="23"/>
  <c r="AU57" i="23"/>
  <c r="AT57" i="23"/>
  <c r="AT58" i="23" s="1"/>
  <c r="AT59" i="23" s="1"/>
  <c r="AS57" i="23"/>
  <c r="AS58" i="23" s="1"/>
  <c r="AS59" i="23" s="1"/>
  <c r="AR57" i="23"/>
  <c r="AR58" i="23" s="1"/>
  <c r="AV58" i="23" s="1"/>
  <c r="AQ57" i="23"/>
  <c r="AQ58" i="23" s="1"/>
  <c r="AQ59" i="23" s="1"/>
  <c r="AQ60" i="23" s="1"/>
  <c r="AQ61" i="23" s="1"/>
  <c r="AU56" i="23"/>
  <c r="AT56" i="23"/>
  <c r="AU55" i="23"/>
  <c r="AT55" i="23"/>
  <c r="AS55" i="23"/>
  <c r="AS56" i="23" s="1"/>
  <c r="AR55" i="23"/>
  <c r="AU54" i="23"/>
  <c r="AT54" i="23"/>
  <c r="AS54" i="23"/>
  <c r="AR54" i="23"/>
  <c r="AV54" i="23" s="1"/>
  <c r="AU53" i="23"/>
  <c r="AT53" i="23"/>
  <c r="AS53" i="23"/>
  <c r="AR53" i="23"/>
  <c r="AV53" i="23" s="1"/>
  <c r="AU51" i="23"/>
  <c r="AU52" i="23" s="1"/>
  <c r="AT51" i="23"/>
  <c r="AT52" i="23" s="1"/>
  <c r="AS51" i="23"/>
  <c r="AS52" i="23" s="1"/>
  <c r="AU50" i="23"/>
  <c r="AT50" i="23"/>
  <c r="AS50" i="23"/>
  <c r="AR50" i="23"/>
  <c r="AR51" i="23" s="1"/>
  <c r="AV51" i="23" s="1"/>
  <c r="AU49" i="23"/>
  <c r="AT49" i="23"/>
  <c r="AS49" i="23"/>
  <c r="AR49" i="23"/>
  <c r="AV49" i="23" s="1"/>
  <c r="AU46" i="23"/>
  <c r="AU47" i="23" s="1"/>
  <c r="AU48" i="23" s="1"/>
  <c r="AT46" i="23"/>
  <c r="AT47" i="23" s="1"/>
  <c r="AT48" i="23" s="1"/>
  <c r="AS46" i="23"/>
  <c r="AS47" i="23" s="1"/>
  <c r="AS48" i="23" s="1"/>
  <c r="AR46" i="23"/>
  <c r="AV45" i="23"/>
  <c r="AU45" i="23"/>
  <c r="AT45" i="23"/>
  <c r="AS45" i="23"/>
  <c r="AR45" i="23"/>
  <c r="AR43" i="23"/>
  <c r="AV42" i="23"/>
  <c r="AU42" i="23"/>
  <c r="AU43" i="23" s="1"/>
  <c r="AU44" i="23" s="1"/>
  <c r="AT42" i="23"/>
  <c r="AT43" i="23" s="1"/>
  <c r="AT44" i="23" s="1"/>
  <c r="AS42" i="23"/>
  <c r="AS43" i="23" s="1"/>
  <c r="AS44" i="23" s="1"/>
  <c r="AR42" i="23"/>
  <c r="AQ42" i="23"/>
  <c r="AQ43" i="23" s="1"/>
  <c r="AQ44" i="23" s="1"/>
  <c r="AQ45" i="23" s="1"/>
  <c r="AQ46" i="23" s="1"/>
  <c r="AQ47" i="23" s="1"/>
  <c r="AQ48" i="23" s="1"/>
  <c r="AQ49" i="23" s="1"/>
  <c r="AQ50" i="23" s="1"/>
  <c r="AQ51" i="23" s="1"/>
  <c r="AQ52" i="23" s="1"/>
  <c r="AQ53" i="23" s="1"/>
  <c r="AQ54" i="23" s="1"/>
  <c r="AQ55" i="23" s="1"/>
  <c r="AQ56" i="23" s="1"/>
  <c r="AU41" i="23"/>
  <c r="AT41" i="23"/>
  <c r="AU40" i="23"/>
  <c r="AT40" i="23"/>
  <c r="AR40" i="23"/>
  <c r="AU39" i="23"/>
  <c r="AT39" i="23"/>
  <c r="AV38" i="23"/>
  <c r="AU38" i="23"/>
  <c r="AT38" i="23"/>
  <c r="AV37" i="23"/>
  <c r="AU37" i="23"/>
  <c r="AT37" i="23"/>
  <c r="AS37" i="23"/>
  <c r="AS38" i="23" s="1"/>
  <c r="AS39" i="23" s="1"/>
  <c r="AS40" i="23" s="1"/>
  <c r="AS41" i="23" s="1"/>
  <c r="AR37" i="23"/>
  <c r="AR38" i="23" s="1"/>
  <c r="AR39" i="23" s="1"/>
  <c r="AV39" i="23" s="1"/>
  <c r="AU36" i="23"/>
  <c r="AT36" i="23"/>
  <c r="AU35" i="23"/>
  <c r="AT35" i="23"/>
  <c r="AU34" i="23"/>
  <c r="AT34" i="23"/>
  <c r="AU33" i="23"/>
  <c r="AT33" i="23"/>
  <c r="AU32" i="23"/>
  <c r="AT32" i="23"/>
  <c r="AS32" i="23"/>
  <c r="AS33" i="23" s="1"/>
  <c r="AS34" i="23" s="1"/>
  <c r="AS35" i="23" s="1"/>
  <c r="AS36" i="23" s="1"/>
  <c r="AR32" i="23"/>
  <c r="AV30" i="23"/>
  <c r="AV29" i="23"/>
  <c r="AU29" i="23"/>
  <c r="AU30" i="23" s="1"/>
  <c r="AU31" i="23" s="1"/>
  <c r="AT29" i="23"/>
  <c r="AT30" i="23" s="1"/>
  <c r="AT31" i="23" s="1"/>
  <c r="AS29" i="23"/>
  <c r="AS30" i="23" s="1"/>
  <c r="AS31" i="23" s="1"/>
  <c r="AR29" i="23"/>
  <c r="AR30" i="23" s="1"/>
  <c r="AR31" i="23" s="1"/>
  <c r="AV31" i="23" s="1"/>
  <c r="AQ29" i="23"/>
  <c r="AQ30" i="23" s="1"/>
  <c r="AQ31" i="23" s="1"/>
  <c r="AQ32" i="23" s="1"/>
  <c r="AQ33" i="23" s="1"/>
  <c r="AQ34" i="23" s="1"/>
  <c r="AQ35" i="23" s="1"/>
  <c r="AQ36" i="23" s="1"/>
  <c r="AQ37" i="23" s="1"/>
  <c r="AQ38" i="23" s="1"/>
  <c r="AQ39" i="23" s="1"/>
  <c r="AQ40" i="23" s="1"/>
  <c r="AQ41" i="23" s="1"/>
  <c r="AU28" i="23"/>
  <c r="AR28" i="23"/>
  <c r="AV28" i="23" s="1"/>
  <c r="AQ28" i="23"/>
  <c r="AU27" i="23"/>
  <c r="AT27" i="23"/>
  <c r="AT28" i="23" s="1"/>
  <c r="AS27" i="23"/>
  <c r="AS28" i="23" s="1"/>
  <c r="AR27" i="23"/>
  <c r="AV27" i="23" s="1"/>
  <c r="AQ27" i="23"/>
  <c r="AU26" i="23"/>
  <c r="AU25" i="23"/>
  <c r="AT23" i="23"/>
  <c r="AT24" i="23" s="1"/>
  <c r="AT25" i="23" s="1"/>
  <c r="AT26" i="23" s="1"/>
  <c r="AU22" i="23"/>
  <c r="AU23" i="23" s="1"/>
  <c r="AU24" i="23" s="1"/>
  <c r="AT22" i="23"/>
  <c r="AS22" i="23"/>
  <c r="AS23" i="23" s="1"/>
  <c r="AS24" i="23" s="1"/>
  <c r="AS25" i="23" s="1"/>
  <c r="AS26" i="23" s="1"/>
  <c r="AR22" i="23"/>
  <c r="AR23" i="23" s="1"/>
  <c r="AV23" i="23" s="1"/>
  <c r="AU21" i="23"/>
  <c r="AT21" i="23"/>
  <c r="AS21" i="23"/>
  <c r="AR21" i="23"/>
  <c r="AV21" i="23" s="1"/>
  <c r="AU20" i="23"/>
  <c r="AR20" i="23"/>
  <c r="AV20" i="23" s="1"/>
  <c r="AU18" i="23"/>
  <c r="AU19" i="23" s="1"/>
  <c r="AR18" i="23"/>
  <c r="AR19" i="23" s="1"/>
  <c r="AV19" i="23" s="1"/>
  <c r="AU17" i="23"/>
  <c r="AT17" i="23"/>
  <c r="AT18" i="23" s="1"/>
  <c r="AT19" i="23" s="1"/>
  <c r="AT20" i="23" s="1"/>
  <c r="AS17" i="23"/>
  <c r="AS18" i="23" s="1"/>
  <c r="AS19" i="23" s="1"/>
  <c r="AS20" i="23" s="1"/>
  <c r="AR17" i="23"/>
  <c r="AV17" i="23" s="1"/>
  <c r="AQ17" i="23"/>
  <c r="AQ18" i="23" s="1"/>
  <c r="AR16" i="23"/>
  <c r="AV16" i="23" s="1"/>
  <c r="AU15" i="23"/>
  <c r="AU16" i="23" s="1"/>
  <c r="AT15" i="23"/>
  <c r="AT16" i="23" s="1"/>
  <c r="AS15" i="23"/>
  <c r="AS16" i="23" s="1"/>
  <c r="AR15" i="23"/>
  <c r="AV15" i="23" s="1"/>
  <c r="AU14" i="23"/>
  <c r="AU13" i="23"/>
  <c r="AS11" i="23"/>
  <c r="AS12" i="23" s="1"/>
  <c r="AS13" i="23" s="1"/>
  <c r="AS14" i="23" s="1"/>
  <c r="AU10" i="23"/>
  <c r="AU11" i="23" s="1"/>
  <c r="AU12" i="23" s="1"/>
  <c r="AT10" i="23"/>
  <c r="AT11" i="23" s="1"/>
  <c r="AT12" i="23" s="1"/>
  <c r="AT13" i="23" s="1"/>
  <c r="AT14" i="23" s="1"/>
  <c r="AS10" i="23"/>
  <c r="AR10" i="23"/>
  <c r="AR11" i="23" s="1"/>
  <c r="AV11" i="23" s="1"/>
  <c r="AV9" i="23"/>
  <c r="AU9" i="23"/>
  <c r="AT9" i="23"/>
  <c r="AS9" i="23"/>
  <c r="AR9" i="23"/>
  <c r="AU8" i="23"/>
  <c r="AT7" i="23"/>
  <c r="AT8" i="23" s="1"/>
  <c r="AR6" i="23"/>
  <c r="AR7" i="23" s="1"/>
  <c r="AV7" i="23" s="1"/>
  <c r="AU5" i="23"/>
  <c r="AU6" i="23" s="1"/>
  <c r="AU7" i="23" s="1"/>
  <c r="AT5" i="23"/>
  <c r="AT6" i="23" s="1"/>
  <c r="AS5" i="23"/>
  <c r="AS6" i="23" s="1"/>
  <c r="AS7" i="23" s="1"/>
  <c r="AS8" i="23" s="1"/>
  <c r="AR5" i="23"/>
  <c r="AV5" i="23" s="1"/>
  <c r="AQ5" i="23"/>
  <c r="AQ6" i="23" s="1"/>
  <c r="AL69" i="23"/>
  <c r="AG69" i="23"/>
  <c r="AD69" i="23"/>
  <c r="AB69" i="23"/>
  <c r="T69" i="23"/>
  <c r="AK68" i="23"/>
  <c r="AJ68" i="23"/>
  <c r="AI68" i="23"/>
  <c r="AH68" i="23"/>
  <c r="AF68" i="23"/>
  <c r="AE68" i="23"/>
  <c r="AC68" i="23"/>
  <c r="AA68" i="23"/>
  <c r="Z68" i="23"/>
  <c r="Y68" i="23"/>
  <c r="X68" i="23"/>
  <c r="W68" i="23"/>
  <c r="V68" i="23"/>
  <c r="U68" i="23"/>
  <c r="S68" i="23"/>
  <c r="R68" i="23"/>
  <c r="Q68" i="23"/>
  <c r="P68" i="23"/>
  <c r="O68" i="23"/>
  <c r="M68" i="23"/>
  <c r="L68" i="23"/>
  <c r="AK67" i="23"/>
  <c r="AJ67" i="23"/>
  <c r="AI67" i="23"/>
  <c r="AH67" i="23"/>
  <c r="AF67" i="23"/>
  <c r="AP66" i="23" s="1"/>
  <c r="AC67" i="23"/>
  <c r="AA67" i="23"/>
  <c r="Z67" i="23"/>
  <c r="Y67" i="23"/>
  <c r="X67" i="23"/>
  <c r="W67" i="23"/>
  <c r="V67" i="23"/>
  <c r="U67" i="23"/>
  <c r="S67" i="23"/>
  <c r="R67" i="23"/>
  <c r="Q67" i="23"/>
  <c r="P67" i="23"/>
  <c r="O67" i="23"/>
  <c r="M67" i="23"/>
  <c r="L67" i="23"/>
  <c r="I17" i="22"/>
  <c r="J14" i="22"/>
  <c r="J9" i="22"/>
  <c r="J6" i="22"/>
  <c r="F27" i="22"/>
  <c r="J27" i="22" s="1"/>
  <c r="F26" i="22"/>
  <c r="J26" i="22" s="1"/>
  <c r="F25" i="22"/>
  <c r="J25" i="22" s="1"/>
  <c r="F24" i="22"/>
  <c r="J24" i="22" s="1"/>
  <c r="F23" i="22"/>
  <c r="J23" i="22" s="1"/>
  <c r="F22" i="22"/>
  <c r="J22" i="22" s="1"/>
  <c r="F21" i="22"/>
  <c r="J21" i="22" s="1"/>
  <c r="F20" i="22"/>
  <c r="J20" i="22" s="1"/>
  <c r="F19" i="22"/>
  <c r="J19" i="22" s="1"/>
  <c r="F18" i="22"/>
  <c r="J18" i="22" s="1"/>
  <c r="F17" i="22"/>
  <c r="J17" i="22" s="1"/>
  <c r="F16" i="22"/>
  <c r="J16" i="22" s="1"/>
  <c r="F15" i="22"/>
  <c r="J15" i="22" s="1"/>
  <c r="F14" i="22"/>
  <c r="F13" i="22"/>
  <c r="J13" i="22" s="1"/>
  <c r="F12" i="22"/>
  <c r="J12" i="22" s="1"/>
  <c r="F11" i="22"/>
  <c r="J11" i="22" s="1"/>
  <c r="F10" i="22"/>
  <c r="J10" i="22" s="1"/>
  <c r="F9" i="22"/>
  <c r="F8" i="22"/>
  <c r="F7" i="22"/>
  <c r="J7" i="22" s="1"/>
  <c r="F6" i="22"/>
  <c r="F5" i="22"/>
  <c r="J5" i="22" s="1"/>
  <c r="AE13" i="21"/>
  <c r="AD13" i="21"/>
  <c r="AC13" i="21"/>
  <c r="AB13" i="21"/>
  <c r="AA13" i="21"/>
  <c r="W13" i="21"/>
  <c r="V13" i="21"/>
  <c r="U13" i="21"/>
  <c r="AI13" i="21" s="1"/>
  <c r="T13" i="21"/>
  <c r="S13" i="21"/>
  <c r="R13" i="21"/>
  <c r="AE12" i="21"/>
  <c r="AD12" i="21"/>
  <c r="AE8" i="21"/>
  <c r="AD8" i="21"/>
  <c r="AC8" i="21"/>
  <c r="AB8" i="21"/>
  <c r="AA8" i="21"/>
  <c r="W8" i="21"/>
  <c r="V8" i="21"/>
  <c r="U8" i="21"/>
  <c r="T8" i="21"/>
  <c r="S8" i="21"/>
  <c r="R8" i="21"/>
  <c r="AE5" i="21"/>
  <c r="AD5" i="21"/>
  <c r="AC5" i="21"/>
  <c r="AB5" i="21"/>
  <c r="AA5" i="21"/>
  <c r="W5" i="21"/>
  <c r="V5" i="21"/>
  <c r="U5" i="21"/>
  <c r="T5" i="21"/>
  <c r="S5" i="21"/>
  <c r="R5" i="21"/>
  <c r="AE4" i="21"/>
  <c r="AD4" i="21"/>
  <c r="AC4" i="21"/>
  <c r="AB4" i="21"/>
  <c r="AA4" i="21"/>
  <c r="W4" i="21"/>
  <c r="V4" i="21"/>
  <c r="U4" i="21"/>
  <c r="AI4" i="21" s="1"/>
  <c r="T4" i="21"/>
  <c r="S4" i="21"/>
  <c r="R4" i="21"/>
  <c r="AE3" i="21"/>
  <c r="AD3" i="21"/>
  <c r="AC3" i="21"/>
  <c r="AB3" i="21"/>
  <c r="AA3" i="21"/>
  <c r="W3" i="21"/>
  <c r="V3" i="21"/>
  <c r="U3" i="21"/>
  <c r="AI3" i="21" s="1"/>
  <c r="T3" i="21"/>
  <c r="S3" i="21"/>
  <c r="R3" i="21"/>
  <c r="J874" i="21"/>
  <c r="J873" i="21"/>
  <c r="M873" i="21" s="1"/>
  <c r="J872" i="21"/>
  <c r="M872" i="21" s="1"/>
  <c r="J871" i="21"/>
  <c r="J870" i="21"/>
  <c r="M870" i="21" s="1"/>
  <c r="J869" i="21"/>
  <c r="J868" i="21"/>
  <c r="J867" i="21"/>
  <c r="M867" i="21" s="1"/>
  <c r="J866" i="21"/>
  <c r="J865" i="21"/>
  <c r="M865" i="21" s="1"/>
  <c r="J864" i="21"/>
  <c r="M864" i="21" s="1"/>
  <c r="J863" i="21"/>
  <c r="J488" i="21"/>
  <c r="M488" i="21" s="1"/>
  <c r="J487" i="21"/>
  <c r="M487" i="21" s="1"/>
  <c r="J486" i="21"/>
  <c r="J485" i="21"/>
  <c r="M485" i="21" s="1"/>
  <c r="J484" i="21"/>
  <c r="J483" i="21"/>
  <c r="M483" i="21" s="1"/>
  <c r="J482" i="21"/>
  <c r="J481" i="21"/>
  <c r="J480" i="21"/>
  <c r="J479" i="21"/>
  <c r="J478" i="21"/>
  <c r="J477" i="21"/>
  <c r="L476" i="21"/>
  <c r="K476" i="21"/>
  <c r="N476" i="21" s="1"/>
  <c r="L475" i="21"/>
  <c r="O475" i="21" s="1"/>
  <c r="K475" i="21"/>
  <c r="L474" i="21"/>
  <c r="O474" i="21" s="1"/>
  <c r="K474" i="21"/>
  <c r="L473" i="21"/>
  <c r="K473" i="21"/>
  <c r="N473" i="21" s="1"/>
  <c r="L472" i="21"/>
  <c r="K472" i="21"/>
  <c r="N472" i="21" s="1"/>
  <c r="L471" i="21"/>
  <c r="O471" i="21" s="1"/>
  <c r="K471" i="21"/>
  <c r="L470" i="21"/>
  <c r="O470" i="21" s="1"/>
  <c r="K470" i="21"/>
  <c r="L469" i="21"/>
  <c r="K469" i="21"/>
  <c r="L468" i="21"/>
  <c r="O468" i="21" s="1"/>
  <c r="K468" i="21"/>
  <c r="N468" i="21" s="1"/>
  <c r="L467" i="21"/>
  <c r="O467" i="21" s="1"/>
  <c r="K467" i="21"/>
  <c r="L466" i="21"/>
  <c r="O466" i="21" s="1"/>
  <c r="K466" i="21"/>
  <c r="L465" i="21"/>
  <c r="K465" i="21"/>
  <c r="J464" i="21"/>
  <c r="J463" i="21"/>
  <c r="M463" i="21" s="1"/>
  <c r="J462" i="21"/>
  <c r="M462" i="21" s="1"/>
  <c r="J461" i="21"/>
  <c r="J460" i="21"/>
  <c r="M460" i="21" s="1"/>
  <c r="J459" i="21"/>
  <c r="J458" i="21"/>
  <c r="J457" i="21"/>
  <c r="J456" i="21"/>
  <c r="J455" i="21"/>
  <c r="M455" i="21" s="1"/>
  <c r="J454" i="21"/>
  <c r="M454" i="21" s="1"/>
  <c r="J453" i="21"/>
  <c r="J452" i="21"/>
  <c r="M452" i="21" s="1"/>
  <c r="J451" i="21"/>
  <c r="M451" i="21" s="1"/>
  <c r="J450" i="21"/>
  <c r="J449" i="21"/>
  <c r="L448" i="21"/>
  <c r="K448" i="21"/>
  <c r="N448" i="21" s="1"/>
  <c r="L447" i="21"/>
  <c r="K447" i="21"/>
  <c r="L446" i="21"/>
  <c r="O446" i="21" s="1"/>
  <c r="K446" i="21"/>
  <c r="L445" i="21"/>
  <c r="K445" i="21"/>
  <c r="J444" i="21"/>
  <c r="J443" i="21"/>
  <c r="M443" i="21" s="1"/>
  <c r="J442" i="21"/>
  <c r="M442" i="21" s="1"/>
  <c r="J441" i="21"/>
  <c r="J440" i="21"/>
  <c r="M440" i="21" s="1"/>
  <c r="J439" i="21"/>
  <c r="M439" i="21" s="1"/>
  <c r="J438" i="21"/>
  <c r="L437" i="21"/>
  <c r="O437" i="21" s="1"/>
  <c r="K437" i="21"/>
  <c r="L436" i="21"/>
  <c r="O436" i="21" s="1"/>
  <c r="K436" i="21"/>
  <c r="L435" i="21"/>
  <c r="K435" i="21"/>
  <c r="J434" i="21"/>
  <c r="J433" i="21"/>
  <c r="J432" i="21"/>
  <c r="J431" i="21"/>
  <c r="J430" i="21"/>
  <c r="M430" i="21" s="1"/>
  <c r="J429" i="21"/>
  <c r="M429" i="21" s="1"/>
  <c r="J428" i="21"/>
  <c r="J427" i="21"/>
  <c r="M427" i="21" s="1"/>
  <c r="J426" i="21"/>
  <c r="J425" i="21"/>
  <c r="J424" i="21"/>
  <c r="M424" i="21" s="1"/>
  <c r="J423" i="21"/>
  <c r="J422" i="21"/>
  <c r="M422" i="21" s="1"/>
  <c r="J421" i="21"/>
  <c r="M421" i="21" s="1"/>
  <c r="J420" i="21"/>
  <c r="L419" i="21"/>
  <c r="O419" i="21" s="1"/>
  <c r="K419" i="21"/>
  <c r="L418" i="21"/>
  <c r="K418" i="21"/>
  <c r="L417" i="21"/>
  <c r="O417" i="21" s="1"/>
  <c r="K417" i="21"/>
  <c r="N417" i="21" s="1"/>
  <c r="L416" i="21"/>
  <c r="O416" i="21" s="1"/>
  <c r="K416" i="21"/>
  <c r="L415" i="21"/>
  <c r="O415" i="21" s="1"/>
  <c r="K415" i="21"/>
  <c r="L414" i="21"/>
  <c r="K414" i="21"/>
  <c r="L413" i="21"/>
  <c r="K413" i="21"/>
  <c r="N413" i="21" s="1"/>
  <c r="L412" i="21"/>
  <c r="O412" i="21" s="1"/>
  <c r="K412" i="21"/>
  <c r="L411" i="21"/>
  <c r="O411" i="21" s="1"/>
  <c r="K411" i="21"/>
  <c r="L410" i="21"/>
  <c r="K410" i="21"/>
  <c r="L409" i="21"/>
  <c r="K409" i="21"/>
  <c r="N409" i="21" s="1"/>
  <c r="L408" i="21"/>
  <c r="O408" i="21" s="1"/>
  <c r="K408" i="21"/>
  <c r="J407" i="21"/>
  <c r="M407" i="21" s="1"/>
  <c r="J406" i="21"/>
  <c r="M406" i="21" s="1"/>
  <c r="J405" i="21"/>
  <c r="J404" i="21"/>
  <c r="J403" i="21"/>
  <c r="J402" i="21"/>
  <c r="M402" i="21" s="1"/>
  <c r="J401" i="21"/>
  <c r="J400" i="21"/>
  <c r="J399" i="21"/>
  <c r="M399" i="21" s="1"/>
  <c r="J398" i="21"/>
  <c r="J397" i="21"/>
  <c r="J396" i="21"/>
  <c r="J395" i="21"/>
  <c r="J394" i="21"/>
  <c r="M394" i="21" s="1"/>
  <c r="J393" i="21"/>
  <c r="M393" i="21" s="1"/>
  <c r="J392" i="21"/>
  <c r="J391" i="21"/>
  <c r="M391" i="21" s="1"/>
  <c r="J390" i="21"/>
  <c r="M390" i="21" s="1"/>
  <c r="J389" i="21"/>
  <c r="J388" i="21"/>
  <c r="M388" i="21" s="1"/>
  <c r="J387" i="21"/>
  <c r="J386" i="21"/>
  <c r="M386" i="21" s="1"/>
  <c r="J385" i="21"/>
  <c r="J384" i="21"/>
  <c r="L83" i="21"/>
  <c r="O83" i="21" s="1"/>
  <c r="K83" i="21"/>
  <c r="N83" i="21" s="1"/>
  <c r="J83" i="21"/>
  <c r="L82" i="21"/>
  <c r="O82" i="21" s="1"/>
  <c r="K82" i="21"/>
  <c r="J82" i="21"/>
  <c r="L81" i="21"/>
  <c r="O81" i="21" s="1"/>
  <c r="K81" i="21"/>
  <c r="N81" i="21" s="1"/>
  <c r="J81" i="21"/>
  <c r="L80" i="21"/>
  <c r="K80" i="21"/>
  <c r="N80" i="21" s="1"/>
  <c r="J80" i="21"/>
  <c r="L79" i="21"/>
  <c r="O79" i="21" s="1"/>
  <c r="K79" i="21"/>
  <c r="N79" i="21" s="1"/>
  <c r="J79" i="21"/>
  <c r="L78" i="21"/>
  <c r="O78" i="21" s="1"/>
  <c r="K78" i="21"/>
  <c r="N78" i="21" s="1"/>
  <c r="J78" i="21"/>
  <c r="L77" i="21"/>
  <c r="O77" i="21" s="1"/>
  <c r="K77" i="21"/>
  <c r="N77" i="21" s="1"/>
  <c r="J77" i="21"/>
  <c r="L76" i="21"/>
  <c r="K76" i="21"/>
  <c r="N76" i="21" s="1"/>
  <c r="J76" i="21"/>
  <c r="L75" i="21"/>
  <c r="K75" i="21"/>
  <c r="J75" i="21"/>
  <c r="M75" i="21" s="1"/>
  <c r="L74" i="21"/>
  <c r="K74" i="21"/>
  <c r="J74" i="21"/>
  <c r="M74" i="21" s="1"/>
  <c r="L73" i="21"/>
  <c r="K73" i="21"/>
  <c r="J73" i="21"/>
  <c r="M73" i="21" s="1"/>
  <c r="L72" i="21"/>
  <c r="K72" i="21"/>
  <c r="J72" i="21"/>
  <c r="M72" i="21" s="1"/>
  <c r="L71" i="21"/>
  <c r="K71" i="21"/>
  <c r="J71" i="21"/>
  <c r="M71" i="21" s="1"/>
  <c r="L70" i="21"/>
  <c r="K70" i="21"/>
  <c r="J70" i="21"/>
  <c r="L69" i="21"/>
  <c r="K69" i="21"/>
  <c r="J69" i="21"/>
  <c r="M69" i="21" s="1"/>
  <c r="L68" i="21"/>
  <c r="K68" i="21"/>
  <c r="J68" i="21"/>
  <c r="M68" i="21" s="1"/>
  <c r="L67" i="21"/>
  <c r="K67" i="21"/>
  <c r="J67" i="21"/>
  <c r="M67" i="21" s="1"/>
  <c r="L66" i="21"/>
  <c r="K66" i="21"/>
  <c r="N66" i="21" s="1"/>
  <c r="J66" i="21"/>
  <c r="L65" i="21"/>
  <c r="O65" i="21" s="1"/>
  <c r="K65" i="21"/>
  <c r="N65" i="21" s="1"/>
  <c r="J65" i="21"/>
  <c r="L64" i="21"/>
  <c r="O64" i="21" s="1"/>
  <c r="K64" i="21"/>
  <c r="N64" i="21" s="1"/>
  <c r="J64" i="21"/>
  <c r="L63" i="21"/>
  <c r="O63" i="21" s="1"/>
  <c r="K63" i="21"/>
  <c r="N63" i="21" s="1"/>
  <c r="J63" i="21"/>
  <c r="L62" i="21"/>
  <c r="O62" i="21" s="1"/>
  <c r="K62" i="21"/>
  <c r="N62" i="21" s="1"/>
  <c r="J62" i="21"/>
  <c r="L61" i="21"/>
  <c r="O61" i="21" s="1"/>
  <c r="K61" i="21"/>
  <c r="N61" i="21" s="1"/>
  <c r="J61" i="21"/>
  <c r="L60" i="21"/>
  <c r="K60" i="21"/>
  <c r="N60" i="21" s="1"/>
  <c r="J60" i="21"/>
  <c r="L59" i="21"/>
  <c r="O59" i="21" s="1"/>
  <c r="K59" i="21"/>
  <c r="N59" i="21" s="1"/>
  <c r="J59" i="21"/>
  <c r="L58" i="21"/>
  <c r="K58" i="21"/>
  <c r="J58" i="21"/>
  <c r="L57" i="21"/>
  <c r="K57" i="21"/>
  <c r="J57" i="21"/>
  <c r="M57" i="21" s="1"/>
  <c r="L56" i="21"/>
  <c r="K56" i="21"/>
  <c r="J56" i="21"/>
  <c r="M56" i="21" s="1"/>
  <c r="L55" i="21"/>
  <c r="K55" i="21"/>
  <c r="J55" i="21"/>
  <c r="M55" i="21" s="1"/>
  <c r="L54" i="21"/>
  <c r="K54" i="21"/>
  <c r="J54" i="21"/>
  <c r="M54" i="21" s="1"/>
  <c r="L53" i="21"/>
  <c r="K53" i="21"/>
  <c r="J53" i="21"/>
  <c r="L52" i="21"/>
  <c r="K52" i="21"/>
  <c r="J52" i="21"/>
  <c r="M52" i="21" s="1"/>
  <c r="L51" i="21"/>
  <c r="K51" i="21"/>
  <c r="J51" i="21"/>
  <c r="M51" i="21" s="1"/>
  <c r="L50" i="21"/>
  <c r="K50" i="21"/>
  <c r="J50" i="21"/>
  <c r="M50" i="21" s="1"/>
  <c r="L49" i="21"/>
  <c r="K49" i="21"/>
  <c r="J49" i="21"/>
  <c r="M49" i="21" s="1"/>
  <c r="L48" i="21"/>
  <c r="K48" i="21"/>
  <c r="J48" i="21"/>
  <c r="M48" i="21" s="1"/>
  <c r="L47" i="21"/>
  <c r="K47" i="21"/>
  <c r="J47" i="21"/>
  <c r="M47" i="21" s="1"/>
  <c r="L46" i="21"/>
  <c r="O46" i="21" s="1"/>
  <c r="K46" i="21"/>
  <c r="N46" i="21" s="1"/>
  <c r="J46" i="21"/>
  <c r="L45" i="21"/>
  <c r="O45" i="21" s="1"/>
  <c r="K45" i="21"/>
  <c r="J45" i="21"/>
  <c r="L44" i="21"/>
  <c r="K44" i="21"/>
  <c r="J44" i="21"/>
  <c r="M44" i="21" s="1"/>
  <c r="L43" i="21"/>
  <c r="K43" i="21"/>
  <c r="J43" i="21"/>
  <c r="L42" i="21"/>
  <c r="K42" i="21"/>
  <c r="J42" i="21"/>
  <c r="M42" i="21" s="1"/>
  <c r="L41" i="21"/>
  <c r="K41" i="21"/>
  <c r="J41" i="21"/>
  <c r="M41" i="21" s="1"/>
  <c r="M886" i="21"/>
  <c r="J886" i="21"/>
  <c r="J885" i="21"/>
  <c r="M885" i="21" s="1"/>
  <c r="J884" i="21"/>
  <c r="M884" i="21" s="1"/>
  <c r="J883" i="21"/>
  <c r="M883" i="21" s="1"/>
  <c r="J882" i="21"/>
  <c r="M882" i="21" s="1"/>
  <c r="J881" i="21"/>
  <c r="M881" i="21" s="1"/>
  <c r="M880" i="21"/>
  <c r="J880" i="21"/>
  <c r="J879" i="21"/>
  <c r="M879" i="21" s="1"/>
  <c r="J878" i="21"/>
  <c r="M878" i="21" s="1"/>
  <c r="J877" i="21"/>
  <c r="M877" i="21" s="1"/>
  <c r="J876" i="21"/>
  <c r="M876" i="21" s="1"/>
  <c r="J875" i="21"/>
  <c r="M874" i="21"/>
  <c r="M871" i="21"/>
  <c r="M869" i="21"/>
  <c r="M868" i="21"/>
  <c r="M866" i="21"/>
  <c r="M863" i="21"/>
  <c r="J862" i="21"/>
  <c r="M862" i="21" s="1"/>
  <c r="J861" i="21"/>
  <c r="M861" i="21" s="1"/>
  <c r="M860" i="21"/>
  <c r="J860" i="21"/>
  <c r="J859" i="21"/>
  <c r="M859" i="21" s="1"/>
  <c r="J858" i="21"/>
  <c r="M858" i="21" s="1"/>
  <c r="J857" i="21"/>
  <c r="M857" i="21" s="1"/>
  <c r="M856" i="21"/>
  <c r="J856" i="21"/>
  <c r="J855" i="21"/>
  <c r="M855" i="21" s="1"/>
  <c r="M854" i="21"/>
  <c r="J854" i="21"/>
  <c r="M853" i="21"/>
  <c r="J853" i="21"/>
  <c r="J852" i="21"/>
  <c r="M852" i="21" s="1"/>
  <c r="J851" i="21"/>
  <c r="M851" i="21" s="1"/>
  <c r="J850" i="21"/>
  <c r="M850" i="21" s="1"/>
  <c r="J849" i="21"/>
  <c r="M849" i="21" s="1"/>
  <c r="M848" i="21"/>
  <c r="J848" i="21"/>
  <c r="J847" i="21"/>
  <c r="M847" i="21" s="1"/>
  <c r="J846" i="21"/>
  <c r="M846" i="21" s="1"/>
  <c r="J845" i="21"/>
  <c r="M845" i="21" s="1"/>
  <c r="M844" i="21"/>
  <c r="J844" i="21"/>
  <c r="J843" i="21"/>
  <c r="M843" i="21" s="1"/>
  <c r="J842" i="21"/>
  <c r="M842" i="21" s="1"/>
  <c r="J841" i="21"/>
  <c r="M841" i="21" s="1"/>
  <c r="J840" i="21"/>
  <c r="M840" i="21" s="1"/>
  <c r="J839" i="21"/>
  <c r="M839" i="21" s="1"/>
  <c r="M838" i="21"/>
  <c r="J838" i="21"/>
  <c r="J837" i="21"/>
  <c r="M837" i="21" s="1"/>
  <c r="J836" i="21"/>
  <c r="M836" i="21" s="1"/>
  <c r="J835" i="21"/>
  <c r="M835" i="21" s="1"/>
  <c r="M834" i="21"/>
  <c r="J834" i="21"/>
  <c r="J833" i="21"/>
  <c r="M833" i="21" s="1"/>
  <c r="M832" i="21"/>
  <c r="J832" i="21"/>
  <c r="J831" i="21"/>
  <c r="M831" i="21" s="1"/>
  <c r="J830" i="21"/>
  <c r="M830" i="21" s="1"/>
  <c r="J829" i="21"/>
  <c r="M829" i="21" s="1"/>
  <c r="J828" i="21"/>
  <c r="M828" i="21" s="1"/>
  <c r="J827" i="21"/>
  <c r="M827" i="21" s="1"/>
  <c r="J826" i="21"/>
  <c r="M826" i="21" s="1"/>
  <c r="J825" i="21"/>
  <c r="M825" i="21" s="1"/>
  <c r="J824" i="21"/>
  <c r="M824" i="21" s="1"/>
  <c r="J823" i="21"/>
  <c r="M823" i="21" s="1"/>
  <c r="J822" i="21"/>
  <c r="M822" i="21" s="1"/>
  <c r="M821" i="21"/>
  <c r="J821" i="21"/>
  <c r="M820" i="21"/>
  <c r="J820" i="21"/>
  <c r="J819" i="21"/>
  <c r="M819" i="21" s="1"/>
  <c r="M818" i="21"/>
  <c r="J818" i="21"/>
  <c r="J817" i="21"/>
  <c r="M817" i="21" s="1"/>
  <c r="J816" i="21"/>
  <c r="M816" i="21" s="1"/>
  <c r="J815" i="21"/>
  <c r="M815" i="21" s="1"/>
  <c r="J814" i="21"/>
  <c r="M814" i="21" s="1"/>
  <c r="J813" i="21"/>
  <c r="M813" i="21" s="1"/>
  <c r="J812" i="21"/>
  <c r="M812" i="21" s="1"/>
  <c r="J811" i="21"/>
  <c r="M811" i="21" s="1"/>
  <c r="J810" i="21"/>
  <c r="M810" i="21" s="1"/>
  <c r="M809" i="21"/>
  <c r="J809" i="21"/>
  <c r="J808" i="21"/>
  <c r="M808" i="21" s="1"/>
  <c r="M807" i="21"/>
  <c r="J807" i="21"/>
  <c r="J806" i="21"/>
  <c r="M806" i="21" s="1"/>
  <c r="J805" i="21"/>
  <c r="M805" i="21" s="1"/>
  <c r="J804" i="21"/>
  <c r="M804" i="21" s="1"/>
  <c r="J803" i="21"/>
  <c r="M803" i="21" s="1"/>
  <c r="J802" i="21"/>
  <c r="M802" i="21" s="1"/>
  <c r="J801" i="21"/>
  <c r="M801" i="21" s="1"/>
  <c r="J800" i="21"/>
  <c r="M800" i="21" s="1"/>
  <c r="M799" i="21"/>
  <c r="J799" i="21"/>
  <c r="J798" i="21"/>
  <c r="M798" i="21" s="1"/>
  <c r="J797" i="21"/>
  <c r="M797" i="21" s="1"/>
  <c r="J796" i="21"/>
  <c r="M796" i="21" s="1"/>
  <c r="J795" i="21"/>
  <c r="M795" i="21" s="1"/>
  <c r="J794" i="21"/>
  <c r="M794" i="21" s="1"/>
  <c r="M793" i="21"/>
  <c r="J793" i="21"/>
  <c r="J792" i="21"/>
  <c r="M792" i="21" s="1"/>
  <c r="M791" i="21"/>
  <c r="J791" i="21"/>
  <c r="J790" i="21"/>
  <c r="M790" i="21" s="1"/>
  <c r="M789" i="21"/>
  <c r="J789" i="21"/>
  <c r="J788" i="21"/>
  <c r="M788" i="21" s="1"/>
  <c r="J787" i="21"/>
  <c r="M787" i="21" s="1"/>
  <c r="J786" i="21"/>
  <c r="M786" i="21" s="1"/>
  <c r="J785" i="21"/>
  <c r="M785" i="21" s="1"/>
  <c r="J784" i="21"/>
  <c r="M784" i="21" s="1"/>
  <c r="J783" i="21"/>
  <c r="M783" i="21" s="1"/>
  <c r="J782" i="21"/>
  <c r="M782" i="21" s="1"/>
  <c r="J781" i="21"/>
  <c r="M781" i="21" s="1"/>
  <c r="J780" i="21"/>
  <c r="M780" i="21" s="1"/>
  <c r="J779" i="21"/>
  <c r="M779" i="21" s="1"/>
  <c r="J778" i="21"/>
  <c r="M778" i="21" s="1"/>
  <c r="M777" i="21"/>
  <c r="J777" i="21"/>
  <c r="J776" i="21"/>
  <c r="M776" i="21" s="1"/>
  <c r="M775" i="21"/>
  <c r="J775" i="21"/>
  <c r="J774" i="21"/>
  <c r="M774" i="21" s="1"/>
  <c r="J773" i="21"/>
  <c r="M773" i="21" s="1"/>
  <c r="J772" i="21"/>
  <c r="M772" i="21" s="1"/>
  <c r="J771" i="21"/>
  <c r="M771" i="21" s="1"/>
  <c r="J770" i="21"/>
  <c r="M770" i="21" s="1"/>
  <c r="M769" i="21"/>
  <c r="J769" i="21"/>
  <c r="M768" i="21"/>
  <c r="J768" i="21"/>
  <c r="J767" i="21"/>
  <c r="M767" i="21" s="1"/>
  <c r="J766" i="21"/>
  <c r="M766" i="21" s="1"/>
  <c r="J765" i="21"/>
  <c r="M765" i="21" s="1"/>
  <c r="J764" i="21"/>
  <c r="M764" i="21" s="1"/>
  <c r="M763" i="21"/>
  <c r="J763" i="21"/>
  <c r="J762" i="21"/>
  <c r="M762" i="21" s="1"/>
  <c r="J761" i="21"/>
  <c r="M761" i="21" s="1"/>
  <c r="M760" i="21"/>
  <c r="J760" i="21"/>
  <c r="M759" i="21"/>
  <c r="J759" i="21"/>
  <c r="J758" i="21"/>
  <c r="M758" i="21" s="1"/>
  <c r="J757" i="21"/>
  <c r="M757" i="21" s="1"/>
  <c r="J756" i="21"/>
  <c r="M756" i="21" s="1"/>
  <c r="J755" i="21"/>
  <c r="M755" i="21" s="1"/>
  <c r="J754" i="21"/>
  <c r="M754" i="21" s="1"/>
  <c r="J753" i="21"/>
  <c r="M753" i="21" s="1"/>
  <c r="M752" i="21"/>
  <c r="J752" i="21"/>
  <c r="J751" i="21"/>
  <c r="M751" i="21" s="1"/>
  <c r="M750" i="21"/>
  <c r="J750" i="21"/>
  <c r="J749" i="21"/>
  <c r="M749" i="21" s="1"/>
  <c r="M748" i="21"/>
  <c r="J748" i="21"/>
  <c r="J747" i="21"/>
  <c r="M747" i="21" s="1"/>
  <c r="M746" i="21"/>
  <c r="J746" i="21"/>
  <c r="J745" i="21"/>
  <c r="M745" i="21" s="1"/>
  <c r="J744" i="21"/>
  <c r="M744" i="21" s="1"/>
  <c r="J743" i="21"/>
  <c r="M743" i="21" s="1"/>
  <c r="J742" i="21"/>
  <c r="M742" i="21" s="1"/>
  <c r="M741" i="21"/>
  <c r="J741" i="21"/>
  <c r="J740" i="21"/>
  <c r="M740" i="21" s="1"/>
  <c r="J739" i="21"/>
  <c r="M739" i="21" s="1"/>
  <c r="M738" i="21"/>
  <c r="J738" i="21"/>
  <c r="J737" i="21"/>
  <c r="M737" i="21" s="1"/>
  <c r="J736" i="21"/>
  <c r="M736" i="21" s="1"/>
  <c r="J735" i="21"/>
  <c r="M735" i="21" s="1"/>
  <c r="M734" i="21"/>
  <c r="J734" i="21"/>
  <c r="J733" i="21"/>
  <c r="M733" i="21" s="1"/>
  <c r="M732" i="21"/>
  <c r="J732" i="21"/>
  <c r="J731" i="21"/>
  <c r="M731" i="21" s="1"/>
  <c r="M730" i="21"/>
  <c r="J730" i="21"/>
  <c r="M729" i="21"/>
  <c r="J729" i="21"/>
  <c r="J728" i="21"/>
  <c r="M728" i="21" s="1"/>
  <c r="J727" i="21"/>
  <c r="M727" i="21" s="1"/>
  <c r="M726" i="21"/>
  <c r="J726" i="21"/>
  <c r="J725" i="21"/>
  <c r="M725" i="21" s="1"/>
  <c r="J724" i="21"/>
  <c r="M724" i="21" s="1"/>
  <c r="J723" i="21"/>
  <c r="M723" i="21" s="1"/>
  <c r="J722" i="21"/>
  <c r="M722" i="21" s="1"/>
  <c r="J721" i="21"/>
  <c r="M721" i="21" s="1"/>
  <c r="M720" i="21"/>
  <c r="J720" i="21"/>
  <c r="J719" i="21"/>
  <c r="M719" i="21" s="1"/>
  <c r="M718" i="21"/>
  <c r="J718" i="21"/>
  <c r="J717" i="21"/>
  <c r="M717" i="21" s="1"/>
  <c r="J716" i="21"/>
  <c r="M716" i="21" s="1"/>
  <c r="J715" i="21"/>
  <c r="M715" i="21" s="1"/>
  <c r="J714" i="21"/>
  <c r="M714" i="21" s="1"/>
  <c r="M713" i="21"/>
  <c r="J713" i="21"/>
  <c r="J712" i="21"/>
  <c r="M712" i="21" s="1"/>
  <c r="J711" i="21"/>
  <c r="M711" i="21" s="1"/>
  <c r="M710" i="21"/>
  <c r="J710" i="21"/>
  <c r="J709" i="21"/>
  <c r="M709" i="21" s="1"/>
  <c r="M708" i="21"/>
  <c r="J708" i="21"/>
  <c r="J707" i="21"/>
  <c r="M707" i="21" s="1"/>
  <c r="M706" i="21"/>
  <c r="J706" i="21"/>
  <c r="M705" i="21"/>
  <c r="J705" i="21"/>
  <c r="J704" i="21"/>
  <c r="M704" i="21" s="1"/>
  <c r="J703" i="21"/>
  <c r="M703" i="21" s="1"/>
  <c r="J702" i="21"/>
  <c r="M702" i="21" s="1"/>
  <c r="J701" i="21"/>
  <c r="M701" i="21" s="1"/>
  <c r="J700" i="21"/>
  <c r="M700" i="21" s="1"/>
  <c r="M699" i="21"/>
  <c r="J699" i="21"/>
  <c r="M698" i="21"/>
  <c r="J698" i="21"/>
  <c r="J697" i="21"/>
  <c r="M697" i="21" s="1"/>
  <c r="J696" i="21"/>
  <c r="M696" i="21" s="1"/>
  <c r="M695" i="21"/>
  <c r="J695" i="21"/>
  <c r="J694" i="21"/>
  <c r="M694" i="21" s="1"/>
  <c r="J693" i="21"/>
  <c r="M693" i="21" s="1"/>
  <c r="M692" i="21"/>
  <c r="J692" i="21"/>
  <c r="J691" i="21"/>
  <c r="M691" i="21" s="1"/>
  <c r="J690" i="21"/>
  <c r="M690" i="21" s="1"/>
  <c r="J689" i="21"/>
  <c r="M689" i="21" s="1"/>
  <c r="M688" i="21"/>
  <c r="J688" i="21"/>
  <c r="M687" i="21"/>
  <c r="J687" i="21"/>
  <c r="J686" i="21"/>
  <c r="M686" i="21" s="1"/>
  <c r="J685" i="21"/>
  <c r="M685" i="21" s="1"/>
  <c r="J684" i="21"/>
  <c r="M684" i="21" s="1"/>
  <c r="J683" i="21"/>
  <c r="M683" i="21" s="1"/>
  <c r="M682" i="21"/>
  <c r="J682" i="21"/>
  <c r="J681" i="21"/>
  <c r="M681" i="21" s="1"/>
  <c r="M680" i="21"/>
  <c r="J680" i="21"/>
  <c r="J679" i="21"/>
  <c r="M679" i="21" s="1"/>
  <c r="M678" i="21"/>
  <c r="J678" i="21"/>
  <c r="J677" i="21"/>
  <c r="M677" i="21" s="1"/>
  <c r="J676" i="21"/>
  <c r="M676" i="21" s="1"/>
  <c r="M675" i="21"/>
  <c r="J675" i="21"/>
  <c r="M674" i="21"/>
  <c r="J674" i="21"/>
  <c r="J673" i="21"/>
  <c r="M673" i="21" s="1"/>
  <c r="M672" i="21"/>
  <c r="J672" i="21"/>
  <c r="J671" i="21"/>
  <c r="M671" i="21" s="1"/>
  <c r="M670" i="21"/>
  <c r="J670" i="21"/>
  <c r="M669" i="21"/>
  <c r="J669" i="21"/>
  <c r="J668" i="21"/>
  <c r="M668" i="21" s="1"/>
  <c r="J667" i="21"/>
  <c r="M667" i="21" s="1"/>
  <c r="J666" i="21"/>
  <c r="M666" i="21" s="1"/>
  <c r="M665" i="21"/>
  <c r="J665" i="21"/>
  <c r="J664" i="21"/>
  <c r="M664" i="21" s="1"/>
  <c r="J663" i="21"/>
  <c r="M663" i="21" s="1"/>
  <c r="J662" i="21"/>
  <c r="M662" i="21" s="1"/>
  <c r="J661" i="21"/>
  <c r="M661" i="21" s="1"/>
  <c r="J660" i="21"/>
  <c r="M660" i="21" s="1"/>
  <c r="J659" i="21"/>
  <c r="M659" i="21" s="1"/>
  <c r="J658" i="21"/>
  <c r="M658" i="21" s="1"/>
  <c r="J657" i="21"/>
  <c r="M657" i="21" s="1"/>
  <c r="J656" i="21"/>
  <c r="M656" i="21" s="1"/>
  <c r="J655" i="21"/>
  <c r="M655" i="21" s="1"/>
  <c r="J654" i="21"/>
  <c r="M654" i="21" s="1"/>
  <c r="J653" i="21"/>
  <c r="M653" i="21" s="1"/>
  <c r="J652" i="21"/>
  <c r="M652" i="21" s="1"/>
  <c r="J651" i="21"/>
  <c r="M651" i="21" s="1"/>
  <c r="J650" i="21"/>
  <c r="M650" i="21" s="1"/>
  <c r="M649" i="21"/>
  <c r="J649" i="21"/>
  <c r="J648" i="21"/>
  <c r="M648" i="21" s="1"/>
  <c r="J647" i="21"/>
  <c r="M647" i="21" s="1"/>
  <c r="J646" i="21"/>
  <c r="M646" i="21" s="1"/>
  <c r="M645" i="21"/>
  <c r="J645" i="21"/>
  <c r="J644" i="21"/>
  <c r="M644" i="21" s="1"/>
  <c r="J643" i="21"/>
  <c r="M643" i="21" s="1"/>
  <c r="J642" i="21"/>
  <c r="M642" i="21" s="1"/>
  <c r="J641" i="21"/>
  <c r="M641" i="21" s="1"/>
  <c r="J640" i="21"/>
  <c r="M640" i="21" s="1"/>
  <c r="J639" i="21"/>
  <c r="M639" i="21" s="1"/>
  <c r="J638" i="21"/>
  <c r="M638" i="21" s="1"/>
  <c r="M637" i="21"/>
  <c r="J637" i="21"/>
  <c r="J636" i="21"/>
  <c r="M636" i="21" s="1"/>
  <c r="J635" i="21"/>
  <c r="M635" i="21" s="1"/>
  <c r="J634" i="21"/>
  <c r="M634" i="21" s="1"/>
  <c r="M633" i="21"/>
  <c r="J633" i="21"/>
  <c r="J632" i="21"/>
  <c r="M632" i="21" s="1"/>
  <c r="J631" i="21"/>
  <c r="M631" i="21" s="1"/>
  <c r="J630" i="21"/>
  <c r="M630" i="21" s="1"/>
  <c r="J629" i="21"/>
  <c r="M629" i="21" s="1"/>
  <c r="J628" i="21"/>
  <c r="M628" i="21" s="1"/>
  <c r="J627" i="21"/>
  <c r="M627" i="21" s="1"/>
  <c r="J626" i="21"/>
  <c r="M626" i="21" s="1"/>
  <c r="J625" i="21"/>
  <c r="M625" i="21" s="1"/>
  <c r="J624" i="21"/>
  <c r="M624" i="21" s="1"/>
  <c r="J623" i="21"/>
  <c r="M623" i="21" s="1"/>
  <c r="J622" i="21"/>
  <c r="M622" i="21" s="1"/>
  <c r="M621" i="21"/>
  <c r="J621" i="21"/>
  <c r="J620" i="21"/>
  <c r="M620" i="21" s="1"/>
  <c r="J619" i="21"/>
  <c r="M619" i="21" s="1"/>
  <c r="J618" i="21"/>
  <c r="M618" i="21" s="1"/>
  <c r="M617" i="21"/>
  <c r="J617" i="21"/>
  <c r="J616" i="21"/>
  <c r="M616" i="21" s="1"/>
  <c r="J615" i="21"/>
  <c r="M615" i="21" s="1"/>
  <c r="J614" i="21"/>
  <c r="M614" i="21" s="1"/>
  <c r="M613" i="21"/>
  <c r="J613" i="21"/>
  <c r="J612" i="21"/>
  <c r="M612" i="21" s="1"/>
  <c r="J611" i="21"/>
  <c r="M611" i="21" s="1"/>
  <c r="J610" i="21"/>
  <c r="M610" i="21" s="1"/>
  <c r="J609" i="21"/>
  <c r="M609" i="21" s="1"/>
  <c r="J608" i="21"/>
  <c r="M608" i="21" s="1"/>
  <c r="J607" i="21"/>
  <c r="M607" i="21" s="1"/>
  <c r="J606" i="21"/>
  <c r="J605" i="21"/>
  <c r="M605" i="21" s="1"/>
  <c r="J604" i="21"/>
  <c r="M604" i="21" s="1"/>
  <c r="J603" i="21"/>
  <c r="M603" i="21" s="1"/>
  <c r="J602" i="21"/>
  <c r="M602" i="21" s="1"/>
  <c r="J601" i="21"/>
  <c r="M601" i="21" s="1"/>
  <c r="J600" i="21"/>
  <c r="M600" i="21" s="1"/>
  <c r="J599" i="21"/>
  <c r="M599" i="21" s="1"/>
  <c r="J598" i="21"/>
  <c r="M598" i="21" s="1"/>
  <c r="J597" i="21"/>
  <c r="M597" i="21" s="1"/>
  <c r="J596" i="21"/>
  <c r="M596" i="21" s="1"/>
  <c r="M595" i="21"/>
  <c r="J595" i="21"/>
  <c r="J594" i="21"/>
  <c r="M594" i="21" s="1"/>
  <c r="J593" i="21"/>
  <c r="M593" i="21" s="1"/>
  <c r="J592" i="21"/>
  <c r="M592" i="21" s="1"/>
  <c r="M591" i="21"/>
  <c r="J591" i="21"/>
  <c r="J590" i="21"/>
  <c r="M590" i="21" s="1"/>
  <c r="J589" i="21"/>
  <c r="M589" i="21" s="1"/>
  <c r="J588" i="21"/>
  <c r="M588" i="21" s="1"/>
  <c r="M587" i="21"/>
  <c r="J587" i="21"/>
  <c r="J586" i="21"/>
  <c r="M586" i="21" s="1"/>
  <c r="M585" i="21"/>
  <c r="J585" i="21"/>
  <c r="J584" i="21"/>
  <c r="M584" i="21" s="1"/>
  <c r="M583" i="21"/>
  <c r="J583" i="21"/>
  <c r="J582" i="21"/>
  <c r="M582" i="21" s="1"/>
  <c r="J581" i="21"/>
  <c r="M581" i="21" s="1"/>
  <c r="J580" i="21"/>
  <c r="M580" i="21" s="1"/>
  <c r="M579" i="21"/>
  <c r="J579" i="21"/>
  <c r="J578" i="21"/>
  <c r="M578" i="21" s="1"/>
  <c r="M577" i="21"/>
  <c r="J577" i="21"/>
  <c r="J576" i="21"/>
  <c r="M576" i="21" s="1"/>
  <c r="M575" i="21"/>
  <c r="J575" i="21"/>
  <c r="J574" i="21"/>
  <c r="M574" i="21" s="1"/>
  <c r="J573" i="21"/>
  <c r="M573" i="21" s="1"/>
  <c r="J572" i="21"/>
  <c r="M572" i="21" s="1"/>
  <c r="M571" i="21"/>
  <c r="J571" i="21"/>
  <c r="J570" i="21"/>
  <c r="M570" i="21" s="1"/>
  <c r="M569" i="21"/>
  <c r="J569" i="21"/>
  <c r="J568" i="21"/>
  <c r="M568" i="21" s="1"/>
  <c r="M567" i="21"/>
  <c r="J567" i="21"/>
  <c r="J566" i="21"/>
  <c r="M566" i="21" s="1"/>
  <c r="J565" i="21"/>
  <c r="M565" i="21" s="1"/>
  <c r="J564" i="21"/>
  <c r="M564" i="21" s="1"/>
  <c r="M563" i="21"/>
  <c r="J563" i="21"/>
  <c r="J562" i="21"/>
  <c r="M562" i="21" s="1"/>
  <c r="M561" i="21"/>
  <c r="J561" i="21"/>
  <c r="J560" i="21"/>
  <c r="M560" i="21" s="1"/>
  <c r="J559" i="21"/>
  <c r="M559" i="21" s="1"/>
  <c r="J558" i="21"/>
  <c r="M558" i="21" s="1"/>
  <c r="J557" i="21"/>
  <c r="M557" i="21" s="1"/>
  <c r="J556" i="21"/>
  <c r="M556" i="21" s="1"/>
  <c r="M555" i="21"/>
  <c r="J555" i="21"/>
  <c r="J554" i="21"/>
  <c r="M554" i="21" s="1"/>
  <c r="J553" i="21"/>
  <c r="M553" i="21" s="1"/>
  <c r="J552" i="21"/>
  <c r="M552" i="21" s="1"/>
  <c r="J551" i="21"/>
  <c r="M551" i="21" s="1"/>
  <c r="M550" i="21"/>
  <c r="J550" i="21"/>
  <c r="J549" i="21"/>
  <c r="M549" i="21" s="1"/>
  <c r="M548" i="21"/>
  <c r="J548" i="21"/>
  <c r="J547" i="21"/>
  <c r="M547" i="21" s="1"/>
  <c r="J546" i="21"/>
  <c r="M546" i="21" s="1"/>
  <c r="J545" i="21"/>
  <c r="M545" i="21" s="1"/>
  <c r="J544" i="21"/>
  <c r="M544" i="21" s="1"/>
  <c r="J543" i="21"/>
  <c r="M543" i="21" s="1"/>
  <c r="M542" i="21"/>
  <c r="J542" i="21"/>
  <c r="J541" i="21"/>
  <c r="M541" i="21" s="1"/>
  <c r="J540" i="21"/>
  <c r="M540" i="21" s="1"/>
  <c r="J539" i="21"/>
  <c r="M539" i="21" s="1"/>
  <c r="J538" i="21"/>
  <c r="M538" i="21" s="1"/>
  <c r="J537" i="21"/>
  <c r="M537" i="21" s="1"/>
  <c r="J536" i="21"/>
  <c r="M536" i="21" s="1"/>
  <c r="J535" i="21"/>
  <c r="M535" i="21" s="1"/>
  <c r="M534" i="21"/>
  <c r="J534" i="21"/>
  <c r="J533" i="21"/>
  <c r="M533" i="21" s="1"/>
  <c r="J532" i="21"/>
  <c r="M532" i="21" s="1"/>
  <c r="J531" i="21"/>
  <c r="M531" i="21" s="1"/>
  <c r="J530" i="21"/>
  <c r="M530" i="21" s="1"/>
  <c r="J529" i="21"/>
  <c r="M529" i="21" s="1"/>
  <c r="J528" i="21"/>
  <c r="M528" i="21" s="1"/>
  <c r="J527" i="21"/>
  <c r="M527" i="21" s="1"/>
  <c r="J526" i="21"/>
  <c r="M526" i="21" s="1"/>
  <c r="J525" i="21"/>
  <c r="M525" i="21" s="1"/>
  <c r="J524" i="21"/>
  <c r="M524" i="21" s="1"/>
  <c r="J523" i="21"/>
  <c r="M523" i="21" s="1"/>
  <c r="J522" i="21"/>
  <c r="M522" i="21" s="1"/>
  <c r="J521" i="21"/>
  <c r="M521" i="21" s="1"/>
  <c r="M520" i="21"/>
  <c r="J520" i="21"/>
  <c r="J519" i="21"/>
  <c r="M519" i="21" s="1"/>
  <c r="M518" i="21"/>
  <c r="J518" i="21"/>
  <c r="M517" i="21"/>
  <c r="J517" i="21"/>
  <c r="M516" i="21"/>
  <c r="J516" i="21"/>
  <c r="J515" i="21"/>
  <c r="M515" i="21" s="1"/>
  <c r="M514" i="21"/>
  <c r="J514" i="21"/>
  <c r="J513" i="21"/>
  <c r="M513" i="21" s="1"/>
  <c r="J512" i="21"/>
  <c r="M512" i="21" s="1"/>
  <c r="J511" i="21"/>
  <c r="M511" i="21" s="1"/>
  <c r="M510" i="21"/>
  <c r="J510" i="21"/>
  <c r="J509" i="21"/>
  <c r="M509" i="21" s="1"/>
  <c r="M508" i="21"/>
  <c r="J508" i="21"/>
  <c r="J507" i="21"/>
  <c r="M507" i="21" s="1"/>
  <c r="M506" i="21"/>
  <c r="J506" i="21"/>
  <c r="M505" i="21"/>
  <c r="J505" i="21"/>
  <c r="J504" i="21"/>
  <c r="M504" i="21" s="1"/>
  <c r="J503" i="21"/>
  <c r="M503" i="21" s="1"/>
  <c r="M502" i="21"/>
  <c r="J502" i="21"/>
  <c r="J501" i="21"/>
  <c r="M501" i="21" s="1"/>
  <c r="J500" i="21"/>
  <c r="M500" i="21" s="1"/>
  <c r="J499" i="21"/>
  <c r="M499" i="21" s="1"/>
  <c r="M498" i="21"/>
  <c r="J498" i="21"/>
  <c r="M497" i="21"/>
  <c r="J497" i="21"/>
  <c r="M496" i="21"/>
  <c r="J496" i="21"/>
  <c r="J495" i="21"/>
  <c r="M495" i="21" s="1"/>
  <c r="M494" i="21"/>
  <c r="J494" i="21"/>
  <c r="M493" i="21"/>
  <c r="J493" i="21"/>
  <c r="J492" i="21"/>
  <c r="M492" i="21" s="1"/>
  <c r="J491" i="21"/>
  <c r="M491" i="21" s="1"/>
  <c r="M490" i="21"/>
  <c r="J490" i="21"/>
  <c r="J489" i="21"/>
  <c r="M489" i="21" s="1"/>
  <c r="U9" i="21" s="1"/>
  <c r="M486" i="21"/>
  <c r="M484" i="21"/>
  <c r="M482" i="21"/>
  <c r="M481" i="21"/>
  <c r="M480" i="21"/>
  <c r="M479" i="21"/>
  <c r="M478" i="21"/>
  <c r="M477" i="21"/>
  <c r="O476" i="21"/>
  <c r="N475" i="21"/>
  <c r="N474" i="21"/>
  <c r="O473" i="21"/>
  <c r="O472" i="21"/>
  <c r="N471" i="21"/>
  <c r="N470" i="21"/>
  <c r="O469" i="21"/>
  <c r="N469" i="21"/>
  <c r="N467" i="21"/>
  <c r="N466" i="21"/>
  <c r="O465" i="21"/>
  <c r="N465" i="21"/>
  <c r="M464" i="21"/>
  <c r="M461" i="21"/>
  <c r="M459" i="21"/>
  <c r="M458" i="21"/>
  <c r="M457" i="21"/>
  <c r="M456" i="21"/>
  <c r="M453" i="21"/>
  <c r="M450" i="21"/>
  <c r="M449" i="21"/>
  <c r="O448" i="21"/>
  <c r="O447" i="21"/>
  <c r="N447" i="21"/>
  <c r="N446" i="21"/>
  <c r="O445" i="21"/>
  <c r="N445" i="21"/>
  <c r="M444" i="21"/>
  <c r="M441" i="21"/>
  <c r="M438" i="21"/>
  <c r="N437" i="21"/>
  <c r="N436" i="21"/>
  <c r="O435" i="21"/>
  <c r="N435" i="21"/>
  <c r="M434" i="21"/>
  <c r="M433" i="21"/>
  <c r="M432" i="21"/>
  <c r="M431" i="21"/>
  <c r="M428" i="21"/>
  <c r="M426" i="21"/>
  <c r="M425" i="21"/>
  <c r="M423" i="21"/>
  <c r="M420" i="21"/>
  <c r="N419" i="21"/>
  <c r="O418" i="21"/>
  <c r="N418" i="21"/>
  <c r="N416" i="21"/>
  <c r="N415" i="21"/>
  <c r="O414" i="21"/>
  <c r="N414" i="21"/>
  <c r="O413" i="21"/>
  <c r="N412" i="21"/>
  <c r="N411" i="21"/>
  <c r="O410" i="21"/>
  <c r="N410" i="21"/>
  <c r="O409" i="21"/>
  <c r="N408" i="21"/>
  <c r="M405" i="21"/>
  <c r="M404" i="21"/>
  <c r="M403" i="21"/>
  <c r="M401" i="21"/>
  <c r="M400" i="21"/>
  <c r="M398" i="21"/>
  <c r="M397" i="21"/>
  <c r="M396" i="21"/>
  <c r="M395" i="21"/>
  <c r="M392" i="21"/>
  <c r="M389" i="21"/>
  <c r="M387" i="21"/>
  <c r="M385" i="21"/>
  <c r="M384" i="21"/>
  <c r="M383" i="21"/>
  <c r="J383" i="21"/>
  <c r="J382" i="21"/>
  <c r="M382" i="21" s="1"/>
  <c r="M381" i="21"/>
  <c r="J381" i="21"/>
  <c r="J380" i="21"/>
  <c r="M380" i="21" s="1"/>
  <c r="M379" i="21"/>
  <c r="J379" i="21"/>
  <c r="J378" i="21"/>
  <c r="M378" i="21" s="1"/>
  <c r="J377" i="21"/>
  <c r="M377" i="21" s="1"/>
  <c r="J376" i="21"/>
  <c r="M376" i="21" s="1"/>
  <c r="J375" i="21"/>
  <c r="M375" i="21" s="1"/>
  <c r="J374" i="21"/>
  <c r="M374" i="21" s="1"/>
  <c r="M373" i="21"/>
  <c r="J373" i="21"/>
  <c r="J372" i="21"/>
  <c r="M372" i="21" s="1"/>
  <c r="M371" i="21"/>
  <c r="J371" i="21"/>
  <c r="J370" i="21"/>
  <c r="M370" i="21" s="1"/>
  <c r="J369" i="21"/>
  <c r="M369" i="21" s="1"/>
  <c r="J368" i="21"/>
  <c r="M368" i="21" s="1"/>
  <c r="J367" i="21"/>
  <c r="M367" i="21" s="1"/>
  <c r="J366" i="21"/>
  <c r="M366" i="21" s="1"/>
  <c r="J365" i="21"/>
  <c r="M365" i="21" s="1"/>
  <c r="J364" i="21"/>
  <c r="M364" i="21" s="1"/>
  <c r="J363" i="21"/>
  <c r="M363" i="21" s="1"/>
  <c r="J362" i="21"/>
  <c r="M362" i="21" s="1"/>
  <c r="J361" i="21"/>
  <c r="M361" i="21" s="1"/>
  <c r="J360" i="21"/>
  <c r="M360" i="21" s="1"/>
  <c r="L359" i="21"/>
  <c r="O359" i="21" s="1"/>
  <c r="K359" i="21"/>
  <c r="N359" i="21" s="1"/>
  <c r="L358" i="21"/>
  <c r="O358" i="21" s="1"/>
  <c r="K358" i="21"/>
  <c r="N358" i="21" s="1"/>
  <c r="N357" i="21"/>
  <c r="L357" i="21"/>
  <c r="O357" i="21" s="1"/>
  <c r="K357" i="21"/>
  <c r="L356" i="21"/>
  <c r="O356" i="21" s="1"/>
  <c r="K356" i="21"/>
  <c r="N356" i="21" s="1"/>
  <c r="L355" i="21"/>
  <c r="O355" i="21" s="1"/>
  <c r="K355" i="21"/>
  <c r="N355" i="21" s="1"/>
  <c r="N354" i="21"/>
  <c r="L354" i="21"/>
  <c r="O354" i="21" s="1"/>
  <c r="K354" i="21"/>
  <c r="N353" i="21"/>
  <c r="L353" i="21"/>
  <c r="O353" i="21" s="1"/>
  <c r="K353" i="21"/>
  <c r="L352" i="21"/>
  <c r="O352" i="21" s="1"/>
  <c r="K352" i="21"/>
  <c r="N352" i="21" s="1"/>
  <c r="N351" i="21"/>
  <c r="L351" i="21"/>
  <c r="O351" i="21" s="1"/>
  <c r="K351" i="21"/>
  <c r="N350" i="21"/>
  <c r="L350" i="21"/>
  <c r="O350" i="21" s="1"/>
  <c r="K350" i="21"/>
  <c r="N349" i="21"/>
  <c r="L349" i="21"/>
  <c r="O349" i="21" s="1"/>
  <c r="K349" i="21"/>
  <c r="L348" i="21"/>
  <c r="O348" i="21" s="1"/>
  <c r="K348" i="21"/>
  <c r="N348" i="21" s="1"/>
  <c r="L347" i="21"/>
  <c r="O347" i="21" s="1"/>
  <c r="K347" i="21"/>
  <c r="N347" i="21" s="1"/>
  <c r="N346" i="21"/>
  <c r="L346" i="21"/>
  <c r="O346" i="21" s="1"/>
  <c r="K346" i="21"/>
  <c r="N345" i="21"/>
  <c r="L345" i="21"/>
  <c r="O345" i="21" s="1"/>
  <c r="K345" i="21"/>
  <c r="N344" i="21"/>
  <c r="L344" i="21"/>
  <c r="O344" i="21" s="1"/>
  <c r="K344" i="21"/>
  <c r="N343" i="21"/>
  <c r="L343" i="21"/>
  <c r="O343" i="21" s="1"/>
  <c r="K343" i="21"/>
  <c r="L342" i="21"/>
  <c r="O342" i="21" s="1"/>
  <c r="K342" i="21"/>
  <c r="N342" i="21" s="1"/>
  <c r="L341" i="21"/>
  <c r="O341" i="21" s="1"/>
  <c r="K341" i="21"/>
  <c r="N341" i="21" s="1"/>
  <c r="L340" i="21"/>
  <c r="O340" i="21" s="1"/>
  <c r="K340" i="21"/>
  <c r="N340" i="21" s="1"/>
  <c r="L339" i="21"/>
  <c r="O339" i="21" s="1"/>
  <c r="K339" i="21"/>
  <c r="N339" i="21" s="1"/>
  <c r="N338" i="21"/>
  <c r="L338" i="21"/>
  <c r="O338" i="21" s="1"/>
  <c r="K338" i="21"/>
  <c r="N337" i="21"/>
  <c r="L337" i="21"/>
  <c r="O337" i="21" s="1"/>
  <c r="K337" i="21"/>
  <c r="L336" i="21"/>
  <c r="O336" i="21" s="1"/>
  <c r="K336" i="21"/>
  <c r="N336" i="21" s="1"/>
  <c r="J335" i="21"/>
  <c r="M335" i="21" s="1"/>
  <c r="J334" i="21"/>
  <c r="M334" i="21" s="1"/>
  <c r="J333" i="21"/>
  <c r="M333" i="21" s="1"/>
  <c r="J332" i="21"/>
  <c r="M332" i="21" s="1"/>
  <c r="J331" i="21"/>
  <c r="M331" i="21" s="1"/>
  <c r="J330" i="21"/>
  <c r="M330" i="21" s="1"/>
  <c r="J329" i="21"/>
  <c r="M329" i="21" s="1"/>
  <c r="J328" i="21"/>
  <c r="M328" i="21" s="1"/>
  <c r="J327" i="21"/>
  <c r="M327" i="21" s="1"/>
  <c r="J326" i="21"/>
  <c r="M326" i="21" s="1"/>
  <c r="J325" i="21"/>
  <c r="M325" i="21" s="1"/>
  <c r="J324" i="21"/>
  <c r="M324" i="21" s="1"/>
  <c r="J323" i="21"/>
  <c r="M323" i="21" s="1"/>
  <c r="J322" i="21"/>
  <c r="M322" i="21" s="1"/>
  <c r="J321" i="21"/>
  <c r="M321" i="21" s="1"/>
  <c r="J320" i="21"/>
  <c r="M320" i="21" s="1"/>
  <c r="J319" i="21"/>
  <c r="M319" i="21" s="1"/>
  <c r="J318" i="21"/>
  <c r="M318" i="21" s="1"/>
  <c r="J317" i="21"/>
  <c r="M317" i="21" s="1"/>
  <c r="J316" i="21"/>
  <c r="M316" i="21" s="1"/>
  <c r="J315" i="21"/>
  <c r="M315" i="21" s="1"/>
  <c r="J314" i="21"/>
  <c r="M314" i="21" s="1"/>
  <c r="J313" i="21"/>
  <c r="M313" i="21" s="1"/>
  <c r="J312" i="21"/>
  <c r="M312" i="21" s="1"/>
  <c r="J311" i="21"/>
  <c r="M311" i="21" s="1"/>
  <c r="J310" i="21"/>
  <c r="M310" i="21" s="1"/>
  <c r="J309" i="21"/>
  <c r="M309" i="21" s="1"/>
  <c r="J308" i="21"/>
  <c r="M308" i="21" s="1"/>
  <c r="J307" i="21"/>
  <c r="M307" i="21" s="1"/>
  <c r="J306" i="21"/>
  <c r="M306" i="21" s="1"/>
  <c r="J305" i="21"/>
  <c r="M305" i="21" s="1"/>
  <c r="J304" i="21"/>
  <c r="M304" i="21" s="1"/>
  <c r="J303" i="21"/>
  <c r="M303" i="21" s="1"/>
  <c r="J302" i="21"/>
  <c r="M302" i="21" s="1"/>
  <c r="J301" i="21"/>
  <c r="M301" i="21" s="1"/>
  <c r="J300" i="21"/>
  <c r="M300" i="21" s="1"/>
  <c r="J299" i="21"/>
  <c r="M299" i="21" s="1"/>
  <c r="J298" i="21"/>
  <c r="M298" i="21" s="1"/>
  <c r="J297" i="21"/>
  <c r="M297" i="21" s="1"/>
  <c r="J296" i="21"/>
  <c r="M296" i="21" s="1"/>
  <c r="J295" i="21"/>
  <c r="M295" i="21" s="1"/>
  <c r="J294" i="21"/>
  <c r="M294" i="21" s="1"/>
  <c r="J293" i="21"/>
  <c r="M293" i="21" s="1"/>
  <c r="J292" i="21"/>
  <c r="M292" i="21" s="1"/>
  <c r="J291" i="21"/>
  <c r="M291" i="21" s="1"/>
  <c r="J290" i="21"/>
  <c r="M290" i="21" s="1"/>
  <c r="J289" i="21"/>
  <c r="M289" i="21" s="1"/>
  <c r="J288" i="21"/>
  <c r="M288" i="21" s="1"/>
  <c r="L287" i="21"/>
  <c r="O287" i="21" s="1"/>
  <c r="K287" i="21"/>
  <c r="N287" i="21" s="1"/>
  <c r="L286" i="21"/>
  <c r="O286" i="21" s="1"/>
  <c r="K286" i="21"/>
  <c r="N286" i="21" s="1"/>
  <c r="L285" i="21"/>
  <c r="O285" i="21" s="1"/>
  <c r="K285" i="21"/>
  <c r="N285" i="21" s="1"/>
  <c r="L284" i="21"/>
  <c r="O284" i="21" s="1"/>
  <c r="K284" i="21"/>
  <c r="N284" i="21" s="1"/>
  <c r="N283" i="21"/>
  <c r="L283" i="21"/>
  <c r="O283" i="21" s="1"/>
  <c r="K283" i="21"/>
  <c r="N282" i="21"/>
  <c r="L282" i="21"/>
  <c r="O282" i="21" s="1"/>
  <c r="K282" i="21"/>
  <c r="N281" i="21"/>
  <c r="L281" i="21"/>
  <c r="O281" i="21" s="1"/>
  <c r="K281" i="21"/>
  <c r="L280" i="21"/>
  <c r="O280" i="21" s="1"/>
  <c r="K280" i="21"/>
  <c r="N280" i="21" s="1"/>
  <c r="L279" i="21"/>
  <c r="O279" i="21" s="1"/>
  <c r="K279" i="21"/>
  <c r="N279" i="21" s="1"/>
  <c r="L278" i="21"/>
  <c r="O278" i="21" s="1"/>
  <c r="K278" i="21"/>
  <c r="N278" i="21" s="1"/>
  <c r="L277" i="21"/>
  <c r="O277" i="21" s="1"/>
  <c r="K277" i="21"/>
  <c r="N277" i="21" s="1"/>
  <c r="L276" i="21"/>
  <c r="O276" i="21" s="1"/>
  <c r="K276" i="21"/>
  <c r="N276" i="21" s="1"/>
  <c r="N275" i="21"/>
  <c r="L275" i="21"/>
  <c r="O275" i="21" s="1"/>
  <c r="K275" i="21"/>
  <c r="N274" i="21"/>
  <c r="L274" i="21"/>
  <c r="O274" i="21" s="1"/>
  <c r="K274" i="21"/>
  <c r="N273" i="21"/>
  <c r="L273" i="21"/>
  <c r="O273" i="21" s="1"/>
  <c r="K273" i="21"/>
  <c r="L272" i="21"/>
  <c r="O272" i="21" s="1"/>
  <c r="K272" i="21"/>
  <c r="N272" i="21" s="1"/>
  <c r="L271" i="21"/>
  <c r="O271" i="21" s="1"/>
  <c r="K271" i="21"/>
  <c r="N271" i="21" s="1"/>
  <c r="L270" i="21"/>
  <c r="O270" i="21" s="1"/>
  <c r="K270" i="21"/>
  <c r="N270" i="21" s="1"/>
  <c r="L269" i="21"/>
  <c r="O269" i="21" s="1"/>
  <c r="K269" i="21"/>
  <c r="N269" i="21" s="1"/>
  <c r="L268" i="21"/>
  <c r="O268" i="21" s="1"/>
  <c r="K268" i="21"/>
  <c r="N268" i="21" s="1"/>
  <c r="N267" i="21"/>
  <c r="L267" i="21"/>
  <c r="O267" i="21" s="1"/>
  <c r="K267" i="21"/>
  <c r="N266" i="21"/>
  <c r="L266" i="21"/>
  <c r="O266" i="21" s="1"/>
  <c r="K266" i="21"/>
  <c r="N265" i="21"/>
  <c r="L265" i="21"/>
  <c r="O265" i="21" s="1"/>
  <c r="K265" i="21"/>
  <c r="L264" i="21"/>
  <c r="O264" i="21" s="1"/>
  <c r="K264" i="21"/>
  <c r="N264" i="21" s="1"/>
  <c r="J263" i="21"/>
  <c r="M263" i="21" s="1"/>
  <c r="J262" i="21"/>
  <c r="M262" i="21" s="1"/>
  <c r="J261" i="21"/>
  <c r="M261" i="21" s="1"/>
  <c r="J260" i="21"/>
  <c r="M260" i="21" s="1"/>
  <c r="J259" i="21"/>
  <c r="M259" i="21" s="1"/>
  <c r="J258" i="21"/>
  <c r="M258" i="21" s="1"/>
  <c r="J257" i="21"/>
  <c r="M257" i="21" s="1"/>
  <c r="M256" i="21"/>
  <c r="J256" i="21"/>
  <c r="M255" i="21"/>
  <c r="J255" i="21"/>
  <c r="J254" i="21"/>
  <c r="M254" i="21" s="1"/>
  <c r="J253" i="21"/>
  <c r="M253" i="21" s="1"/>
  <c r="J252" i="21"/>
  <c r="M252" i="21" s="1"/>
  <c r="M251" i="21"/>
  <c r="J251" i="21"/>
  <c r="J250" i="21"/>
  <c r="M250" i="21" s="1"/>
  <c r="J249" i="21"/>
  <c r="M249" i="21" s="1"/>
  <c r="J248" i="21"/>
  <c r="M248" i="21" s="1"/>
  <c r="J247" i="21"/>
  <c r="M247" i="21" s="1"/>
  <c r="J246" i="21"/>
  <c r="M246" i="21" s="1"/>
  <c r="J245" i="21"/>
  <c r="M245" i="21" s="1"/>
  <c r="M244" i="21"/>
  <c r="J244" i="21"/>
  <c r="J243" i="21"/>
  <c r="M243" i="21" s="1"/>
  <c r="J242" i="21"/>
  <c r="M242" i="21" s="1"/>
  <c r="J241" i="21"/>
  <c r="M241" i="21" s="1"/>
  <c r="M240" i="21"/>
  <c r="J240" i="21"/>
  <c r="M239" i="21"/>
  <c r="L239" i="21"/>
  <c r="O239" i="21" s="1"/>
  <c r="J239" i="21"/>
  <c r="L238" i="21"/>
  <c r="O238" i="21" s="1"/>
  <c r="J238" i="21"/>
  <c r="M238" i="21" s="1"/>
  <c r="O237" i="21"/>
  <c r="L237" i="21"/>
  <c r="J237" i="21"/>
  <c r="M237" i="21" s="1"/>
  <c r="O236" i="21"/>
  <c r="L236" i="21"/>
  <c r="J236" i="21"/>
  <c r="M236" i="21" s="1"/>
  <c r="L235" i="21"/>
  <c r="O235" i="21" s="1"/>
  <c r="J235" i="21"/>
  <c r="M235" i="21" s="1"/>
  <c r="L234" i="21"/>
  <c r="O234" i="21" s="1"/>
  <c r="J234" i="21"/>
  <c r="M234" i="21" s="1"/>
  <c r="L233" i="21"/>
  <c r="O233" i="21" s="1"/>
  <c r="J233" i="21"/>
  <c r="M233" i="21" s="1"/>
  <c r="M232" i="21"/>
  <c r="L232" i="21"/>
  <c r="O232" i="21" s="1"/>
  <c r="J232" i="21"/>
  <c r="M231" i="21"/>
  <c r="L231" i="21"/>
  <c r="O231" i="21" s="1"/>
  <c r="J231" i="21"/>
  <c r="L230" i="21"/>
  <c r="O230" i="21" s="1"/>
  <c r="J230" i="21"/>
  <c r="M230" i="21" s="1"/>
  <c r="O229" i="21"/>
  <c r="L229" i="21"/>
  <c r="J229" i="21"/>
  <c r="M229" i="21" s="1"/>
  <c r="O228" i="21"/>
  <c r="L228" i="21"/>
  <c r="J228" i="21"/>
  <c r="M228" i="21" s="1"/>
  <c r="L227" i="21"/>
  <c r="O227" i="21" s="1"/>
  <c r="K227" i="21"/>
  <c r="N227" i="21" s="1"/>
  <c r="L226" i="21"/>
  <c r="O226" i="21" s="1"/>
  <c r="K226" i="21"/>
  <c r="N226" i="21" s="1"/>
  <c r="O225" i="21"/>
  <c r="L225" i="21"/>
  <c r="K225" i="21"/>
  <c r="N225" i="21" s="1"/>
  <c r="N224" i="21"/>
  <c r="L224" i="21"/>
  <c r="O224" i="21" s="1"/>
  <c r="K224" i="21"/>
  <c r="L223" i="21"/>
  <c r="O223" i="21" s="1"/>
  <c r="K223" i="21"/>
  <c r="N223" i="21" s="1"/>
  <c r="L222" i="21"/>
  <c r="O222" i="21" s="1"/>
  <c r="K222" i="21"/>
  <c r="N222" i="21" s="1"/>
  <c r="N221" i="21"/>
  <c r="L221" i="21"/>
  <c r="O221" i="21" s="1"/>
  <c r="K221" i="21"/>
  <c r="O220" i="21"/>
  <c r="L220" i="21"/>
  <c r="K220" i="21"/>
  <c r="N220" i="21" s="1"/>
  <c r="L219" i="21"/>
  <c r="O219" i="21" s="1"/>
  <c r="K219" i="21"/>
  <c r="N219" i="21" s="1"/>
  <c r="L218" i="21"/>
  <c r="O218" i="21" s="1"/>
  <c r="K218" i="21"/>
  <c r="N218" i="21" s="1"/>
  <c r="O217" i="21"/>
  <c r="L217" i="21"/>
  <c r="K217" i="21"/>
  <c r="N217" i="21" s="1"/>
  <c r="N216" i="21"/>
  <c r="L216" i="21"/>
  <c r="O216" i="21" s="1"/>
  <c r="K216" i="21"/>
  <c r="M215" i="21"/>
  <c r="L215" i="21"/>
  <c r="O215" i="21" s="1"/>
  <c r="J215" i="21"/>
  <c r="L214" i="21"/>
  <c r="O214" i="21" s="1"/>
  <c r="J214" i="21"/>
  <c r="M214" i="21" s="1"/>
  <c r="O213" i="21"/>
  <c r="L213" i="21"/>
  <c r="J213" i="21"/>
  <c r="M213" i="21" s="1"/>
  <c r="O212" i="21"/>
  <c r="L212" i="21"/>
  <c r="J212" i="21"/>
  <c r="M212" i="21" s="1"/>
  <c r="L211" i="21"/>
  <c r="O211" i="21" s="1"/>
  <c r="J211" i="21"/>
  <c r="M211" i="21" s="1"/>
  <c r="L210" i="21"/>
  <c r="O210" i="21" s="1"/>
  <c r="J210" i="21"/>
  <c r="M210" i="21" s="1"/>
  <c r="L209" i="21"/>
  <c r="O209" i="21" s="1"/>
  <c r="J209" i="21"/>
  <c r="M209" i="21" s="1"/>
  <c r="M208" i="21"/>
  <c r="L208" i="21"/>
  <c r="O208" i="21" s="1"/>
  <c r="J208" i="21"/>
  <c r="M207" i="21"/>
  <c r="L207" i="21"/>
  <c r="O207" i="21" s="1"/>
  <c r="J207" i="21"/>
  <c r="L206" i="21"/>
  <c r="O206" i="21" s="1"/>
  <c r="J206" i="21"/>
  <c r="M206" i="21" s="1"/>
  <c r="O205" i="21"/>
  <c r="L205" i="21"/>
  <c r="J205" i="21"/>
  <c r="M205" i="21" s="1"/>
  <c r="O204" i="21"/>
  <c r="L204" i="21"/>
  <c r="J204" i="21"/>
  <c r="M204" i="21" s="1"/>
  <c r="J203" i="21"/>
  <c r="M203" i="21" s="1"/>
  <c r="J202" i="21"/>
  <c r="M202" i="21" s="1"/>
  <c r="J201" i="21"/>
  <c r="M201" i="21" s="1"/>
  <c r="M200" i="21"/>
  <c r="J200" i="21"/>
  <c r="J199" i="21"/>
  <c r="M199" i="21" s="1"/>
  <c r="J198" i="21"/>
  <c r="M198" i="21" s="1"/>
  <c r="J197" i="21"/>
  <c r="M197" i="21" s="1"/>
  <c r="M196" i="21"/>
  <c r="J196" i="21"/>
  <c r="M195" i="21"/>
  <c r="J195" i="21"/>
  <c r="J194" i="21"/>
  <c r="M194" i="21" s="1"/>
  <c r="J193" i="21"/>
  <c r="M193" i="21" s="1"/>
  <c r="J192" i="21"/>
  <c r="M192" i="21" s="1"/>
  <c r="M191" i="21"/>
  <c r="J191" i="21"/>
  <c r="J190" i="21"/>
  <c r="M190" i="21" s="1"/>
  <c r="J189" i="21"/>
  <c r="M189" i="21" s="1"/>
  <c r="J188" i="21"/>
  <c r="M188" i="21" s="1"/>
  <c r="J187" i="21"/>
  <c r="M187" i="21" s="1"/>
  <c r="J186" i="21"/>
  <c r="M186" i="21" s="1"/>
  <c r="J185" i="21"/>
  <c r="M185" i="21" s="1"/>
  <c r="M184" i="21"/>
  <c r="J184" i="21"/>
  <c r="J183" i="21"/>
  <c r="M183" i="21" s="1"/>
  <c r="J182" i="21"/>
  <c r="M182" i="21" s="1"/>
  <c r="J181" i="21"/>
  <c r="M181" i="21" s="1"/>
  <c r="M180" i="21"/>
  <c r="J180" i="21"/>
  <c r="L179" i="21"/>
  <c r="O179" i="21" s="1"/>
  <c r="K179" i="21"/>
  <c r="N179" i="21" s="1"/>
  <c r="L178" i="21"/>
  <c r="O178" i="21" s="1"/>
  <c r="K178" i="21"/>
  <c r="N178" i="21" s="1"/>
  <c r="L177" i="21"/>
  <c r="O177" i="21" s="1"/>
  <c r="K177" i="21"/>
  <c r="N177" i="21" s="1"/>
  <c r="N176" i="21"/>
  <c r="L176" i="21"/>
  <c r="O176" i="21" s="1"/>
  <c r="K176" i="21"/>
  <c r="L175" i="21"/>
  <c r="O175" i="21" s="1"/>
  <c r="K175" i="21"/>
  <c r="N175" i="21" s="1"/>
  <c r="L174" i="21"/>
  <c r="O174" i="21" s="1"/>
  <c r="K174" i="21"/>
  <c r="N174" i="21" s="1"/>
  <c r="L173" i="21"/>
  <c r="O173" i="21" s="1"/>
  <c r="K173" i="21"/>
  <c r="N173" i="21" s="1"/>
  <c r="O172" i="21"/>
  <c r="L172" i="21"/>
  <c r="K172" i="21"/>
  <c r="N172" i="21" s="1"/>
  <c r="L171" i="21"/>
  <c r="O171" i="21" s="1"/>
  <c r="K171" i="21"/>
  <c r="N171" i="21" s="1"/>
  <c r="L170" i="21"/>
  <c r="O170" i="21" s="1"/>
  <c r="K170" i="21"/>
  <c r="N170" i="21" s="1"/>
  <c r="O169" i="21"/>
  <c r="L169" i="21"/>
  <c r="K169" i="21"/>
  <c r="N169" i="21" s="1"/>
  <c r="L168" i="21"/>
  <c r="O168" i="21" s="1"/>
  <c r="K168" i="21"/>
  <c r="N168" i="21" s="1"/>
  <c r="L167" i="21"/>
  <c r="O167" i="21" s="1"/>
  <c r="K167" i="21"/>
  <c r="N167" i="21" s="1"/>
  <c r="L166" i="21"/>
  <c r="O166" i="21" s="1"/>
  <c r="K166" i="21"/>
  <c r="N166" i="21" s="1"/>
  <c r="L165" i="21"/>
  <c r="O165" i="21" s="1"/>
  <c r="K165" i="21"/>
  <c r="N165" i="21" s="1"/>
  <c r="O164" i="21"/>
  <c r="L164" i="21"/>
  <c r="K164" i="21"/>
  <c r="N164" i="21" s="1"/>
  <c r="L163" i="21"/>
  <c r="O163" i="21" s="1"/>
  <c r="K163" i="21"/>
  <c r="N163" i="21" s="1"/>
  <c r="L162" i="21"/>
  <c r="O162" i="21" s="1"/>
  <c r="K162" i="21"/>
  <c r="N162" i="21" s="1"/>
  <c r="O161" i="21"/>
  <c r="L161" i="21"/>
  <c r="K161" i="21"/>
  <c r="N161" i="21" s="1"/>
  <c r="L160" i="21"/>
  <c r="O160" i="21" s="1"/>
  <c r="K160" i="21"/>
  <c r="N160" i="21" s="1"/>
  <c r="L159" i="21"/>
  <c r="O159" i="21" s="1"/>
  <c r="K159" i="21"/>
  <c r="N159" i="21" s="1"/>
  <c r="L158" i="21"/>
  <c r="O158" i="21" s="1"/>
  <c r="K158" i="21"/>
  <c r="N158" i="21" s="1"/>
  <c r="L157" i="21"/>
  <c r="O157" i="21" s="1"/>
  <c r="K157" i="21"/>
  <c r="N157" i="21" s="1"/>
  <c r="O156" i="21"/>
  <c r="L156" i="21"/>
  <c r="K156" i="21"/>
  <c r="N156" i="21" s="1"/>
  <c r="M155" i="21"/>
  <c r="J155" i="21"/>
  <c r="J154" i="21"/>
  <c r="M154" i="21" s="1"/>
  <c r="J153" i="21"/>
  <c r="M153" i="21" s="1"/>
  <c r="J152" i="21"/>
  <c r="M152" i="21" s="1"/>
  <c r="J151" i="21"/>
  <c r="M151" i="21" s="1"/>
  <c r="J150" i="21"/>
  <c r="M150" i="21" s="1"/>
  <c r="J149" i="21"/>
  <c r="M149" i="21" s="1"/>
  <c r="M148" i="21"/>
  <c r="J148" i="21"/>
  <c r="J147" i="21"/>
  <c r="M147" i="21" s="1"/>
  <c r="J146" i="21"/>
  <c r="M146" i="21" s="1"/>
  <c r="J145" i="21"/>
  <c r="M145" i="21" s="1"/>
  <c r="M144" i="21"/>
  <c r="J144" i="21"/>
  <c r="M143" i="21"/>
  <c r="J143" i="21"/>
  <c r="J142" i="21"/>
  <c r="M142" i="21" s="1"/>
  <c r="J141" i="21"/>
  <c r="M141" i="21" s="1"/>
  <c r="J140" i="21"/>
  <c r="M140" i="21" s="1"/>
  <c r="M139" i="21"/>
  <c r="J139" i="21"/>
  <c r="J138" i="21"/>
  <c r="M138" i="21" s="1"/>
  <c r="J137" i="21"/>
  <c r="M137" i="21" s="1"/>
  <c r="J136" i="21"/>
  <c r="M136" i="21" s="1"/>
  <c r="J135" i="21"/>
  <c r="M135" i="21" s="1"/>
  <c r="J134" i="21"/>
  <c r="M134" i="21" s="1"/>
  <c r="J133" i="21"/>
  <c r="M133" i="21" s="1"/>
  <c r="M132" i="21"/>
  <c r="J132" i="21"/>
  <c r="N82" i="21"/>
  <c r="O80" i="21"/>
  <c r="O76" i="21"/>
  <c r="M70" i="21"/>
  <c r="O66" i="21"/>
  <c r="O60" i="21"/>
  <c r="O58" i="21"/>
  <c r="N58" i="21"/>
  <c r="M53" i="21"/>
  <c r="N45" i="21"/>
  <c r="M43" i="21"/>
  <c r="N40" i="21"/>
  <c r="L40" i="21"/>
  <c r="O40" i="21" s="1"/>
  <c r="K40" i="21"/>
  <c r="O39" i="21"/>
  <c r="L39" i="21"/>
  <c r="K39" i="21"/>
  <c r="N39" i="21" s="1"/>
  <c r="O38" i="21"/>
  <c r="L38" i="21"/>
  <c r="K38" i="21"/>
  <c r="N38" i="21" s="1"/>
  <c r="L37" i="21"/>
  <c r="O37" i="21" s="1"/>
  <c r="K37" i="21"/>
  <c r="N37" i="21" s="1"/>
  <c r="L36" i="21"/>
  <c r="O36" i="21" s="1"/>
  <c r="K36" i="21"/>
  <c r="N36" i="21" s="1"/>
  <c r="L35" i="21"/>
  <c r="O35" i="21" s="1"/>
  <c r="K35" i="21"/>
  <c r="N35" i="21" s="1"/>
  <c r="L34" i="21"/>
  <c r="O34" i="21" s="1"/>
  <c r="K34" i="21"/>
  <c r="N34" i="21" s="1"/>
  <c r="L33" i="21"/>
  <c r="O33" i="21" s="1"/>
  <c r="K33" i="21"/>
  <c r="N33" i="21" s="1"/>
  <c r="L32" i="21"/>
  <c r="O32" i="21" s="1"/>
  <c r="K32" i="21"/>
  <c r="N32" i="21" s="1"/>
  <c r="L31" i="21"/>
  <c r="O31" i="21" s="1"/>
  <c r="K31" i="21"/>
  <c r="N31" i="21" s="1"/>
  <c r="L30" i="21"/>
  <c r="O30" i="21" s="1"/>
  <c r="K30" i="21"/>
  <c r="N30" i="21" s="1"/>
  <c r="N29" i="21"/>
  <c r="L29" i="21"/>
  <c r="O29" i="21" s="1"/>
  <c r="K29" i="21"/>
  <c r="X874" i="16"/>
  <c r="W874" i="16"/>
  <c r="X873" i="16"/>
  <c r="W873" i="16"/>
  <c r="X872" i="16"/>
  <c r="W872" i="16"/>
  <c r="AC872" i="16" s="1"/>
  <c r="X871" i="16"/>
  <c r="W871" i="16"/>
  <c r="X870" i="16"/>
  <c r="W870" i="16"/>
  <c r="X869" i="16"/>
  <c r="W869" i="16"/>
  <c r="X868" i="16"/>
  <c r="W868" i="16"/>
  <c r="AC868" i="16" s="1"/>
  <c r="X867" i="16"/>
  <c r="W867" i="16"/>
  <c r="X866" i="16"/>
  <c r="W866" i="16"/>
  <c r="X865" i="16"/>
  <c r="W865" i="16"/>
  <c r="X864" i="16"/>
  <c r="W864" i="16"/>
  <c r="AC864" i="16" s="1"/>
  <c r="X863" i="16"/>
  <c r="W863" i="16"/>
  <c r="X488" i="16"/>
  <c r="W488" i="16"/>
  <c r="X487" i="16"/>
  <c r="W487" i="16"/>
  <c r="X486" i="16"/>
  <c r="W486" i="16"/>
  <c r="X485" i="16"/>
  <c r="W485" i="16"/>
  <c r="X484" i="16"/>
  <c r="W484" i="16"/>
  <c r="X483" i="16"/>
  <c r="W483" i="16"/>
  <c r="X482" i="16"/>
  <c r="W482" i="16"/>
  <c r="X481" i="16"/>
  <c r="W481" i="16"/>
  <c r="X480" i="16"/>
  <c r="W480" i="16"/>
  <c r="X479" i="16"/>
  <c r="W479" i="16"/>
  <c r="X478" i="16"/>
  <c r="W478" i="16"/>
  <c r="X477" i="16"/>
  <c r="W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X464" i="16"/>
  <c r="W464" i="16"/>
  <c r="X463" i="16"/>
  <c r="W463" i="16"/>
  <c r="X462" i="16"/>
  <c r="W462" i="16"/>
  <c r="X461" i="16"/>
  <c r="W461" i="16"/>
  <c r="X460" i="16"/>
  <c r="W460" i="16"/>
  <c r="X459" i="16"/>
  <c r="W459" i="16"/>
  <c r="X458" i="16"/>
  <c r="W458" i="16"/>
  <c r="X457" i="16"/>
  <c r="W457" i="16"/>
  <c r="X456" i="16"/>
  <c r="W456" i="16"/>
  <c r="X455" i="16"/>
  <c r="W455" i="16"/>
  <c r="X454" i="16"/>
  <c r="W454" i="16"/>
  <c r="X453" i="16"/>
  <c r="W453" i="16"/>
  <c r="X452" i="16"/>
  <c r="W452" i="16"/>
  <c r="X451" i="16"/>
  <c r="W451" i="16"/>
  <c r="X450" i="16"/>
  <c r="W450" i="16"/>
  <c r="X449" i="16"/>
  <c r="W449" i="16"/>
  <c r="V448" i="16"/>
  <c r="V447" i="16"/>
  <c r="V446" i="16"/>
  <c r="V445" i="16"/>
  <c r="X444" i="16"/>
  <c r="W444" i="16"/>
  <c r="X443" i="16"/>
  <c r="W443" i="16"/>
  <c r="X442" i="16"/>
  <c r="W442" i="16"/>
  <c r="X441" i="16"/>
  <c r="W441" i="16"/>
  <c r="X440" i="16"/>
  <c r="W440" i="16"/>
  <c r="X439" i="16"/>
  <c r="W439" i="16"/>
  <c r="X438" i="16"/>
  <c r="W438" i="16"/>
  <c r="V437" i="16"/>
  <c r="V436" i="16"/>
  <c r="V435" i="16"/>
  <c r="X434" i="16"/>
  <c r="W434" i="16"/>
  <c r="X433" i="16"/>
  <c r="W433" i="16"/>
  <c r="X432" i="16"/>
  <c r="W432" i="16"/>
  <c r="X431" i="16"/>
  <c r="W431" i="16"/>
  <c r="X430" i="16"/>
  <c r="W430" i="16"/>
  <c r="X429" i="16"/>
  <c r="W429" i="16"/>
  <c r="X428" i="16"/>
  <c r="W428" i="16"/>
  <c r="X427" i="16"/>
  <c r="W427" i="16"/>
  <c r="X426" i="16"/>
  <c r="W426" i="16"/>
  <c r="X425" i="16"/>
  <c r="W425" i="16"/>
  <c r="X424" i="16"/>
  <c r="W424" i="16"/>
  <c r="X423" i="16"/>
  <c r="W423" i="16"/>
  <c r="X422" i="16"/>
  <c r="W422" i="16"/>
  <c r="X421" i="16"/>
  <c r="W421" i="16"/>
  <c r="X420" i="16"/>
  <c r="W420" i="16"/>
  <c r="V419" i="16"/>
  <c r="V418" i="16"/>
  <c r="V417" i="16"/>
  <c r="AD416" i="17"/>
  <c r="X416" i="17"/>
  <c r="W416" i="17"/>
  <c r="AC416" i="17" s="1"/>
  <c r="V416" i="16"/>
  <c r="AD415" i="17"/>
  <c r="X415" i="17"/>
  <c r="W415" i="17"/>
  <c r="AC415" i="17" s="1"/>
  <c r="V415" i="16"/>
  <c r="AD414" i="17"/>
  <c r="AB414" i="17"/>
  <c r="X414" i="17"/>
  <c r="W414" i="17"/>
  <c r="V414" i="16"/>
  <c r="AD413" i="17"/>
  <c r="AB413" i="17"/>
  <c r="X413" i="17"/>
  <c r="W413" i="17"/>
  <c r="V413" i="16"/>
  <c r="AD412" i="17"/>
  <c r="X412" i="17"/>
  <c r="W412" i="17"/>
  <c r="V412" i="16"/>
  <c r="AD411" i="17"/>
  <c r="X411" i="17"/>
  <c r="W411" i="17"/>
  <c r="V411" i="16"/>
  <c r="AD410" i="17"/>
  <c r="X410" i="17"/>
  <c r="W410" i="17"/>
  <c r="AC410" i="17" s="1"/>
  <c r="V410" i="16"/>
  <c r="AD409" i="17"/>
  <c r="X409" i="17"/>
  <c r="W409" i="17"/>
  <c r="AC409" i="17" s="1"/>
  <c r="V409" i="16"/>
  <c r="AD408" i="17"/>
  <c r="X408" i="17"/>
  <c r="W408" i="17"/>
  <c r="AC408" i="17" s="1"/>
  <c r="V408" i="16"/>
  <c r="AD407" i="17"/>
  <c r="X407" i="17"/>
  <c r="W407" i="17"/>
  <c r="AC407" i="17" s="1"/>
  <c r="X407" i="16"/>
  <c r="W407" i="16"/>
  <c r="AD406" i="17"/>
  <c r="X406" i="17"/>
  <c r="AC406" i="17" s="1"/>
  <c r="W406" i="17"/>
  <c r="X406" i="16"/>
  <c r="W406" i="16"/>
  <c r="AD405" i="17"/>
  <c r="AC405" i="17"/>
  <c r="AB405" i="17"/>
  <c r="X405" i="17"/>
  <c r="W405" i="17"/>
  <c r="X405" i="16"/>
  <c r="W405" i="16"/>
  <c r="X404" i="16"/>
  <c r="W404" i="16"/>
  <c r="X403" i="16"/>
  <c r="W403" i="16"/>
  <c r="X402" i="16"/>
  <c r="W402" i="16"/>
  <c r="X401" i="16"/>
  <c r="W401" i="16"/>
  <c r="X400" i="16"/>
  <c r="W400" i="16"/>
  <c r="X399" i="16"/>
  <c r="W399" i="16"/>
  <c r="X398" i="16"/>
  <c r="W398" i="16"/>
  <c r="X397" i="16"/>
  <c r="W397" i="16"/>
  <c r="X396" i="16"/>
  <c r="W396" i="16"/>
  <c r="AD246" i="17"/>
  <c r="X246" i="17"/>
  <c r="W246" i="17"/>
  <c r="AC246" i="17" s="1"/>
  <c r="AD245" i="17"/>
  <c r="X245" i="17"/>
  <c r="W245" i="17"/>
  <c r="AD244" i="17"/>
  <c r="X244" i="17"/>
  <c r="W244" i="17"/>
  <c r="AC244" i="17" s="1"/>
  <c r="AD243" i="17"/>
  <c r="X243" i="17"/>
  <c r="W243" i="17"/>
  <c r="AD242" i="17"/>
  <c r="X242" i="17"/>
  <c r="W242" i="17"/>
  <c r="AD241" i="17"/>
  <c r="X241" i="17"/>
  <c r="W241" i="17"/>
  <c r="AC241" i="17" s="1"/>
  <c r="AD240" i="17"/>
  <c r="X240" i="17"/>
  <c r="W240" i="17"/>
  <c r="AD239" i="17"/>
  <c r="X239" i="17"/>
  <c r="AC239" i="17" s="1"/>
  <c r="W239" i="17"/>
  <c r="AD238" i="17"/>
  <c r="X238" i="17"/>
  <c r="W238" i="17"/>
  <c r="AC238" i="17" s="1"/>
  <c r="AD237" i="17"/>
  <c r="X237" i="17"/>
  <c r="W237" i="17"/>
  <c r="AD236" i="17"/>
  <c r="X236" i="17"/>
  <c r="W236" i="17"/>
  <c r="AC236" i="17" s="1"/>
  <c r="AD235" i="17"/>
  <c r="X235" i="17"/>
  <c r="W235" i="17"/>
  <c r="AE234" i="17"/>
  <c r="V234" i="17"/>
  <c r="AB234" i="17" s="1"/>
  <c r="AE233" i="17"/>
  <c r="V233" i="17"/>
  <c r="AB233" i="17" s="1"/>
  <c r="AE232" i="17"/>
  <c r="V232" i="17"/>
  <c r="AB232" i="17" s="1"/>
  <c r="AE231" i="17"/>
  <c r="V231" i="17"/>
  <c r="AB231" i="17" s="1"/>
  <c r="AE230" i="17"/>
  <c r="V230" i="17"/>
  <c r="AB230" i="17" s="1"/>
  <c r="AE229" i="17"/>
  <c r="V229" i="17"/>
  <c r="AB229" i="17" s="1"/>
  <c r="AE228" i="17"/>
  <c r="V228" i="17"/>
  <c r="AB228" i="17" s="1"/>
  <c r="AE227" i="17"/>
  <c r="V227" i="17"/>
  <c r="AB227" i="17" s="1"/>
  <c r="AE226" i="17"/>
  <c r="V226" i="17"/>
  <c r="AB226" i="17" s="1"/>
  <c r="AE225" i="17"/>
  <c r="V225" i="17"/>
  <c r="AB225" i="17" s="1"/>
  <c r="AE224" i="17"/>
  <c r="V224" i="17"/>
  <c r="AB224" i="17" s="1"/>
  <c r="AE223" i="17"/>
  <c r="V223" i="17"/>
  <c r="AB223" i="17" s="1"/>
  <c r="AD222" i="17"/>
  <c r="X222" i="17"/>
  <c r="W222" i="17"/>
  <c r="AD221" i="17"/>
  <c r="X221" i="17"/>
  <c r="W221" i="17"/>
  <c r="AC221" i="17" s="1"/>
  <c r="AD220" i="17"/>
  <c r="X220" i="17"/>
  <c r="W220" i="17"/>
  <c r="AD219" i="17"/>
  <c r="X219" i="17"/>
  <c r="W219" i="17"/>
  <c r="AC219" i="17" s="1"/>
  <c r="AD218" i="17"/>
  <c r="AC218" i="17"/>
  <c r="X218" i="17"/>
  <c r="W218" i="17"/>
  <c r="AD217" i="17"/>
  <c r="X217" i="17"/>
  <c r="W217" i="17"/>
  <c r="AC217" i="17" s="1"/>
  <c r="AD216" i="17"/>
  <c r="X216" i="17"/>
  <c r="W216" i="17"/>
  <c r="AD215" i="17"/>
  <c r="X215" i="17"/>
  <c r="W215" i="17"/>
  <c r="AC215" i="17" s="1"/>
  <c r="AD214" i="17"/>
  <c r="X214" i="17"/>
  <c r="W214" i="17"/>
  <c r="AD213" i="17"/>
  <c r="X213" i="17"/>
  <c r="W213" i="17"/>
  <c r="AC213" i="17" s="1"/>
  <c r="AD212" i="17"/>
  <c r="X212" i="17"/>
  <c r="W212" i="17"/>
  <c r="AD211" i="17"/>
  <c r="X211" i="17"/>
  <c r="W211" i="17"/>
  <c r="AC211" i="17" s="1"/>
  <c r="AD210" i="17"/>
  <c r="X210" i="17"/>
  <c r="W210" i="17"/>
  <c r="AC210" i="17" s="1"/>
  <c r="AD209" i="17"/>
  <c r="AC209" i="17"/>
  <c r="X209" i="17"/>
  <c r="W209" i="17"/>
  <c r="AD208" i="17"/>
  <c r="X208" i="17"/>
  <c r="W208" i="17"/>
  <c r="AD207" i="17"/>
  <c r="AC207" i="17"/>
  <c r="X207" i="17"/>
  <c r="W207" i="17"/>
  <c r="AE206" i="17"/>
  <c r="V206" i="17"/>
  <c r="AB206" i="17" s="1"/>
  <c r="AE205" i="17"/>
  <c r="V205" i="17"/>
  <c r="AB205" i="17" s="1"/>
  <c r="AE204" i="17"/>
  <c r="V204" i="17"/>
  <c r="AB204" i="17" s="1"/>
  <c r="AE203" i="17"/>
  <c r="V203" i="17"/>
  <c r="AB203" i="17" s="1"/>
  <c r="AD202" i="17"/>
  <c r="X202" i="17"/>
  <c r="AC202" i="17" s="1"/>
  <c r="W202" i="17"/>
  <c r="AD201" i="17"/>
  <c r="X201" i="17"/>
  <c r="AC201" i="17" s="1"/>
  <c r="W201" i="17"/>
  <c r="AD200" i="17"/>
  <c r="X200" i="17"/>
  <c r="W200" i="17"/>
  <c r="AC200" i="17" s="1"/>
  <c r="AD199" i="17"/>
  <c r="AC199" i="17"/>
  <c r="X199" i="17"/>
  <c r="W199" i="17"/>
  <c r="AD198" i="17"/>
  <c r="X198" i="17"/>
  <c r="W198" i="17"/>
  <c r="AC198" i="17" s="1"/>
  <c r="AD197" i="17"/>
  <c r="X197" i="17"/>
  <c r="W197" i="17"/>
  <c r="AD196" i="17"/>
  <c r="X196" i="17"/>
  <c r="W196" i="17"/>
  <c r="AC196" i="17" s="1"/>
  <c r="AE195" i="17"/>
  <c r="V195" i="17"/>
  <c r="AB195" i="17" s="1"/>
  <c r="AE194" i="17"/>
  <c r="V194" i="17"/>
  <c r="AB194" i="17" s="1"/>
  <c r="AE193" i="17"/>
  <c r="V193" i="17"/>
  <c r="AB193" i="17" s="1"/>
  <c r="AD192" i="17"/>
  <c r="X192" i="17"/>
  <c r="W192" i="17"/>
  <c r="AC192" i="17" s="1"/>
  <c r="AD191" i="17"/>
  <c r="X191" i="17"/>
  <c r="W191" i="17"/>
  <c r="AD190" i="17"/>
  <c r="X190" i="17"/>
  <c r="AC190" i="17" s="1"/>
  <c r="W190" i="17"/>
  <c r="AD189" i="17"/>
  <c r="X189" i="17"/>
  <c r="AC189" i="17" s="1"/>
  <c r="W189" i="17"/>
  <c r="AD188" i="17"/>
  <c r="X188" i="17"/>
  <c r="W188" i="17"/>
  <c r="AC188" i="17" s="1"/>
  <c r="AD187" i="17"/>
  <c r="AC187" i="17"/>
  <c r="X187" i="17"/>
  <c r="W187" i="17"/>
  <c r="AD186" i="17"/>
  <c r="X186" i="17"/>
  <c r="W186" i="17"/>
  <c r="AC186" i="17" s="1"/>
  <c r="AD185" i="17"/>
  <c r="X185" i="17"/>
  <c r="W185" i="17"/>
  <c r="AD184" i="17"/>
  <c r="X184" i="17"/>
  <c r="W184" i="17"/>
  <c r="AC184" i="17" s="1"/>
  <c r="AD183" i="17"/>
  <c r="X183" i="17"/>
  <c r="W183" i="17"/>
  <c r="AD182" i="17"/>
  <c r="X182" i="17"/>
  <c r="W182" i="17"/>
  <c r="AC182" i="17" s="1"/>
  <c r="AD181" i="17"/>
  <c r="X181" i="17"/>
  <c r="AC181" i="17" s="1"/>
  <c r="W181" i="17"/>
  <c r="AD180" i="17"/>
  <c r="X180" i="17"/>
  <c r="W180" i="17"/>
  <c r="AC180" i="17" s="1"/>
  <c r="AD179" i="17"/>
  <c r="X179" i="17"/>
  <c r="W179" i="17"/>
  <c r="AC179" i="17" s="1"/>
  <c r="AD178" i="17"/>
  <c r="X178" i="17"/>
  <c r="W178" i="17"/>
  <c r="AE177" i="17"/>
  <c r="V177" i="17"/>
  <c r="AB177" i="17" s="1"/>
  <c r="AE176" i="17"/>
  <c r="V176" i="17"/>
  <c r="AB176" i="17" s="1"/>
  <c r="AE175" i="17"/>
  <c r="V175" i="17"/>
  <c r="AB175" i="17" s="1"/>
  <c r="AE174" i="17"/>
  <c r="V174" i="17"/>
  <c r="AB174" i="17" s="1"/>
  <c r="AE173" i="17"/>
  <c r="V173" i="17"/>
  <c r="AB173" i="17" s="1"/>
  <c r="AE172" i="17"/>
  <c r="V172" i="17"/>
  <c r="AB172" i="17" s="1"/>
  <c r="AE171" i="17"/>
  <c r="V171" i="17"/>
  <c r="AB171" i="17" s="1"/>
  <c r="AE170" i="17"/>
  <c r="V170" i="17"/>
  <c r="AB170" i="17" s="1"/>
  <c r="AE169" i="17"/>
  <c r="V169" i="17"/>
  <c r="AB169" i="17" s="1"/>
  <c r="AE168" i="17"/>
  <c r="AB168" i="17"/>
  <c r="V168" i="17"/>
  <c r="AE167" i="17"/>
  <c r="V167" i="17"/>
  <c r="AB167" i="17" s="1"/>
  <c r="AE166" i="17"/>
  <c r="V166" i="17"/>
  <c r="AB166" i="17" s="1"/>
  <c r="AD165" i="17"/>
  <c r="X165" i="17"/>
  <c r="W165" i="17"/>
  <c r="AD164" i="17"/>
  <c r="X164" i="17"/>
  <c r="W164" i="17"/>
  <c r="AC164" i="17" s="1"/>
  <c r="AD163" i="17"/>
  <c r="X163" i="17"/>
  <c r="W163" i="17"/>
  <c r="AD162" i="17"/>
  <c r="X162" i="17"/>
  <c r="W162" i="17"/>
  <c r="AD161" i="17"/>
  <c r="X161" i="17"/>
  <c r="W161" i="17"/>
  <c r="AD160" i="17"/>
  <c r="X160" i="17"/>
  <c r="W160" i="17"/>
  <c r="AC160" i="17" s="1"/>
  <c r="AD159" i="17"/>
  <c r="X159" i="17"/>
  <c r="W159" i="17"/>
  <c r="AC159" i="17" s="1"/>
  <c r="AD158" i="17"/>
  <c r="X158" i="17"/>
  <c r="W158" i="17"/>
  <c r="AD157" i="17"/>
  <c r="X157" i="17"/>
  <c r="W157" i="17"/>
  <c r="AD156" i="17"/>
  <c r="AC156" i="17"/>
  <c r="X156" i="17"/>
  <c r="W156" i="17"/>
  <c r="AD155" i="17"/>
  <c r="X155" i="17"/>
  <c r="W155" i="17"/>
  <c r="AC155" i="17" s="1"/>
  <c r="AD154" i="17"/>
  <c r="X154" i="17"/>
  <c r="AC154" i="17" s="1"/>
  <c r="W154" i="17"/>
  <c r="X131" i="16"/>
  <c r="W131" i="16"/>
  <c r="V131" i="16"/>
  <c r="X130" i="16"/>
  <c r="W130" i="16"/>
  <c r="V130" i="16"/>
  <c r="X129" i="16"/>
  <c r="W129" i="16"/>
  <c r="V129" i="16"/>
  <c r="X128" i="16"/>
  <c r="W128" i="16"/>
  <c r="V128" i="16"/>
  <c r="X127" i="16"/>
  <c r="W127" i="16"/>
  <c r="V127" i="16"/>
  <c r="X126" i="16"/>
  <c r="W126" i="16"/>
  <c r="V126" i="16"/>
  <c r="X125" i="16"/>
  <c r="W125" i="16"/>
  <c r="V125" i="16"/>
  <c r="X124" i="16"/>
  <c r="W124" i="16"/>
  <c r="V124" i="16"/>
  <c r="X123" i="16"/>
  <c r="W123" i="16"/>
  <c r="V123" i="16"/>
  <c r="X122" i="16"/>
  <c r="W122" i="16"/>
  <c r="V122" i="16"/>
  <c r="X121" i="16"/>
  <c r="W121" i="16"/>
  <c r="V121" i="16"/>
  <c r="X120" i="16"/>
  <c r="W120" i="16"/>
  <c r="V120" i="16"/>
  <c r="X119" i="16"/>
  <c r="W119" i="16"/>
  <c r="V119" i="16"/>
  <c r="X118" i="16"/>
  <c r="W118" i="16"/>
  <c r="V118" i="16"/>
  <c r="X117" i="16"/>
  <c r="W117" i="16"/>
  <c r="V117" i="16"/>
  <c r="X116" i="16"/>
  <c r="W116" i="16"/>
  <c r="V116" i="16"/>
  <c r="X115" i="16"/>
  <c r="W115" i="16"/>
  <c r="V115" i="16"/>
  <c r="X114" i="16"/>
  <c r="W114" i="16"/>
  <c r="V114" i="16"/>
  <c r="X113" i="16"/>
  <c r="W113" i="16"/>
  <c r="V113" i="16"/>
  <c r="X112" i="16"/>
  <c r="W112" i="16"/>
  <c r="V112" i="16"/>
  <c r="X111" i="16"/>
  <c r="W111" i="16"/>
  <c r="V111" i="16"/>
  <c r="X110" i="16"/>
  <c r="W110" i="16"/>
  <c r="V110" i="16"/>
  <c r="X109" i="16"/>
  <c r="W109" i="16"/>
  <c r="V109" i="16"/>
  <c r="X108" i="16"/>
  <c r="W108" i="16"/>
  <c r="V108" i="16"/>
  <c r="X105" i="17"/>
  <c r="W105" i="17"/>
  <c r="V105" i="17"/>
  <c r="AB105" i="17" s="1"/>
  <c r="X104" i="17"/>
  <c r="W104" i="17"/>
  <c r="V104" i="17"/>
  <c r="AB104" i="17" s="1"/>
  <c r="X103" i="17"/>
  <c r="W103" i="17"/>
  <c r="V103" i="17"/>
  <c r="AB103" i="17" s="1"/>
  <c r="X102" i="17"/>
  <c r="W102" i="17"/>
  <c r="AC102" i="17" s="1"/>
  <c r="V102" i="17"/>
  <c r="AB102" i="17" s="1"/>
  <c r="X101" i="17"/>
  <c r="W101" i="17"/>
  <c r="AC101" i="17" s="1"/>
  <c r="V101" i="17"/>
  <c r="AB101" i="17" s="1"/>
  <c r="X100" i="17"/>
  <c r="W100" i="17"/>
  <c r="AC100" i="17" s="1"/>
  <c r="V100" i="17"/>
  <c r="AB100" i="17" s="1"/>
  <c r="X99" i="17"/>
  <c r="W99" i="17"/>
  <c r="AC99" i="17" s="1"/>
  <c r="V99" i="17"/>
  <c r="AB99" i="17" s="1"/>
  <c r="X98" i="17"/>
  <c r="W98" i="17"/>
  <c r="V98" i="17"/>
  <c r="AB98" i="17" s="1"/>
  <c r="X97" i="17"/>
  <c r="W97" i="17"/>
  <c r="V97" i="17"/>
  <c r="AB97" i="17" s="1"/>
  <c r="X96" i="17"/>
  <c r="W96" i="17"/>
  <c r="V96" i="17"/>
  <c r="AB96" i="17" s="1"/>
  <c r="X95" i="17"/>
  <c r="W95" i="17"/>
  <c r="V95" i="17"/>
  <c r="AB95" i="17" s="1"/>
  <c r="X94" i="17"/>
  <c r="W94" i="17"/>
  <c r="AC94" i="17" s="1"/>
  <c r="V94" i="17"/>
  <c r="AB94" i="17" s="1"/>
  <c r="X93" i="17"/>
  <c r="W93" i="17"/>
  <c r="AC93" i="17" s="1"/>
  <c r="V93" i="17"/>
  <c r="AB93" i="17" s="1"/>
  <c r="X92" i="17"/>
  <c r="W92" i="17"/>
  <c r="AC92" i="17" s="1"/>
  <c r="V92" i="17"/>
  <c r="AB92" i="17" s="1"/>
  <c r="X91" i="17"/>
  <c r="W91" i="17"/>
  <c r="AC91" i="17" s="1"/>
  <c r="V91" i="17"/>
  <c r="AB91" i="17" s="1"/>
  <c r="X90" i="17"/>
  <c r="W90" i="17"/>
  <c r="V90" i="17"/>
  <c r="AB90" i="17" s="1"/>
  <c r="X89" i="17"/>
  <c r="W89" i="17"/>
  <c r="V89" i="17"/>
  <c r="AB89" i="17" s="1"/>
  <c r="X88" i="17"/>
  <c r="W88" i="17"/>
  <c r="V88" i="17"/>
  <c r="AB88" i="17" s="1"/>
  <c r="X87" i="17"/>
  <c r="W87" i="17"/>
  <c r="V87" i="17"/>
  <c r="AB87" i="17" s="1"/>
  <c r="X86" i="17"/>
  <c r="W86" i="17"/>
  <c r="AC86" i="17" s="1"/>
  <c r="V86" i="17"/>
  <c r="AB86" i="17" s="1"/>
  <c r="X85" i="17"/>
  <c r="W85" i="17"/>
  <c r="AC85" i="17" s="1"/>
  <c r="V85" i="17"/>
  <c r="AB85" i="17" s="1"/>
  <c r="X84" i="17"/>
  <c r="W84" i="17"/>
  <c r="AC84" i="17" s="1"/>
  <c r="V84" i="17"/>
  <c r="AB84" i="17" s="1"/>
  <c r="X83" i="17"/>
  <c r="W83" i="17"/>
  <c r="AC83" i="17" s="1"/>
  <c r="V83" i="17"/>
  <c r="AB83" i="17" s="1"/>
  <c r="V83" i="16"/>
  <c r="X82" i="17"/>
  <c r="W82" i="17"/>
  <c r="AC82" i="17" s="1"/>
  <c r="V82" i="17"/>
  <c r="AB82" i="17" s="1"/>
  <c r="V82" i="16"/>
  <c r="AE81" i="17"/>
  <c r="V81" i="17"/>
  <c r="AB81" i="17" s="1"/>
  <c r="V81" i="16"/>
  <c r="AE80" i="17"/>
  <c r="V80" i="17"/>
  <c r="AB80" i="17" s="1"/>
  <c r="V80" i="16"/>
  <c r="AE79" i="17"/>
  <c r="V79" i="17"/>
  <c r="AB79" i="17" s="1"/>
  <c r="V79" i="16"/>
  <c r="AE78" i="17"/>
  <c r="V78" i="17"/>
  <c r="AB78" i="17" s="1"/>
  <c r="V78" i="16"/>
  <c r="AE77" i="17"/>
  <c r="V77" i="17"/>
  <c r="AB77" i="17" s="1"/>
  <c r="V77" i="16"/>
  <c r="AE76" i="17"/>
  <c r="V76" i="17"/>
  <c r="AB76" i="17" s="1"/>
  <c r="V76" i="16"/>
  <c r="AE75" i="17"/>
  <c r="V75" i="17"/>
  <c r="AB75" i="17" s="1"/>
  <c r="X75" i="16"/>
  <c r="W75" i="16"/>
  <c r="AE74" i="17"/>
  <c r="V74" i="17"/>
  <c r="AB74" i="17" s="1"/>
  <c r="X74" i="16"/>
  <c r="W74" i="16"/>
  <c r="AD73" i="17"/>
  <c r="X73" i="17"/>
  <c r="AC73" i="17" s="1"/>
  <c r="W73" i="17"/>
  <c r="X73" i="16"/>
  <c r="W73" i="16"/>
  <c r="AD72" i="17"/>
  <c r="AB72" i="17"/>
  <c r="X72" i="17"/>
  <c r="AC72" i="17" s="1"/>
  <c r="W72" i="17"/>
  <c r="X72" i="16"/>
  <c r="W72" i="16"/>
  <c r="AD71" i="17"/>
  <c r="X71" i="17"/>
  <c r="W71" i="17"/>
  <c r="AC71" i="17" s="1"/>
  <c r="X71" i="16"/>
  <c r="W71" i="16"/>
  <c r="AD70" i="17"/>
  <c r="X70" i="17"/>
  <c r="W70" i="17"/>
  <c r="AC70" i="17" s="1"/>
  <c r="X70" i="16"/>
  <c r="W70" i="16"/>
  <c r="AD69" i="17"/>
  <c r="X69" i="17"/>
  <c r="W69" i="17"/>
  <c r="AC69" i="17" s="1"/>
  <c r="X69" i="16"/>
  <c r="W69" i="16"/>
  <c r="AD68" i="17"/>
  <c r="X68" i="17"/>
  <c r="W68" i="17"/>
  <c r="X68" i="16"/>
  <c r="W68" i="16"/>
  <c r="AD67" i="17"/>
  <c r="X67" i="17"/>
  <c r="W67" i="17"/>
  <c r="X67" i="16"/>
  <c r="W67" i="16"/>
  <c r="AD66" i="17"/>
  <c r="X66" i="17"/>
  <c r="W66" i="17"/>
  <c r="V66" i="16"/>
  <c r="AD65" i="17"/>
  <c r="X65" i="17"/>
  <c r="W65" i="17"/>
  <c r="V65" i="16"/>
  <c r="AE64" i="17"/>
  <c r="V64" i="17"/>
  <c r="AB64" i="17" s="1"/>
  <c r="V64" i="16"/>
  <c r="AE63" i="17"/>
  <c r="V63" i="17"/>
  <c r="AB63" i="17" s="1"/>
  <c r="V63" i="16"/>
  <c r="AE62" i="17"/>
  <c r="V62" i="17"/>
  <c r="AB62" i="17" s="1"/>
  <c r="V62" i="16"/>
  <c r="AE61" i="17"/>
  <c r="V61" i="17"/>
  <c r="AB61" i="17" s="1"/>
  <c r="V61" i="16"/>
  <c r="AE60" i="17"/>
  <c r="V60" i="17"/>
  <c r="AB60" i="17" s="1"/>
  <c r="V60" i="16"/>
  <c r="AE59" i="17"/>
  <c r="V59" i="17"/>
  <c r="AB59" i="17" s="1"/>
  <c r="V59" i="16"/>
  <c r="AE58" i="17"/>
  <c r="V58" i="17"/>
  <c r="AB58" i="17" s="1"/>
  <c r="V58" i="16"/>
  <c r="AE57" i="17"/>
  <c r="V57" i="17"/>
  <c r="AB57" i="17" s="1"/>
  <c r="X57" i="16"/>
  <c r="W57" i="16"/>
  <c r="AE56" i="17"/>
  <c r="V56" i="17"/>
  <c r="AB56" i="17" s="1"/>
  <c r="X56" i="16"/>
  <c r="W56" i="16"/>
  <c r="AD55" i="17"/>
  <c r="X55" i="17"/>
  <c r="W55" i="17"/>
  <c r="X55" i="16"/>
  <c r="W55" i="16"/>
  <c r="AD54" i="17"/>
  <c r="X54" i="17"/>
  <c r="W54" i="17"/>
  <c r="AC54" i="17" s="1"/>
  <c r="X54" i="16"/>
  <c r="W54" i="16"/>
  <c r="AD53" i="17"/>
  <c r="X53" i="17"/>
  <c r="AC53" i="17" s="1"/>
  <c r="W53" i="17"/>
  <c r="X53" i="16"/>
  <c r="W53" i="16"/>
  <c r="AD52" i="17"/>
  <c r="X52" i="17"/>
  <c r="W52" i="17"/>
  <c r="X52" i="16"/>
  <c r="W52" i="16"/>
  <c r="AD51" i="17"/>
  <c r="X51" i="17"/>
  <c r="W51" i="17"/>
  <c r="AC51" i="17" s="1"/>
  <c r="X51" i="16"/>
  <c r="W51" i="16"/>
  <c r="AD50" i="17"/>
  <c r="X50" i="17"/>
  <c r="W50" i="17"/>
  <c r="AC50" i="17" s="1"/>
  <c r="X50" i="16"/>
  <c r="W50" i="16"/>
  <c r="AD49" i="17"/>
  <c r="X49" i="17"/>
  <c r="W49" i="17"/>
  <c r="X49" i="16"/>
  <c r="W49" i="16"/>
  <c r="AD48" i="17"/>
  <c r="X48" i="17"/>
  <c r="W48" i="17"/>
  <c r="AC48" i="17" s="1"/>
  <c r="X48" i="16"/>
  <c r="W48" i="16"/>
  <c r="AD47" i="17"/>
  <c r="X47" i="17"/>
  <c r="AC47" i="17" s="1"/>
  <c r="W47" i="17"/>
  <c r="X47" i="16"/>
  <c r="W47" i="16"/>
  <c r="AD46" i="17"/>
  <c r="X46" i="17"/>
  <c r="W46" i="17"/>
  <c r="AC46" i="17" s="1"/>
  <c r="V46" i="16"/>
  <c r="AD45" i="17"/>
  <c r="X45" i="17"/>
  <c r="W45" i="17"/>
  <c r="AC45" i="17" s="1"/>
  <c r="V45" i="16"/>
  <c r="AE44" i="17"/>
  <c r="V44" i="17"/>
  <c r="AB44" i="17" s="1"/>
  <c r="X44" i="16"/>
  <c r="W44" i="16"/>
  <c r="AE43" i="17"/>
  <c r="V43" i="17"/>
  <c r="AB43" i="17" s="1"/>
  <c r="X43" i="16"/>
  <c r="W43" i="16"/>
  <c r="AD42" i="17"/>
  <c r="X42" i="17"/>
  <c r="W42" i="17"/>
  <c r="AD41" i="17"/>
  <c r="X41" i="17"/>
  <c r="W41" i="17"/>
  <c r="AC41" i="17" s="1"/>
  <c r="X28" i="16"/>
  <c r="W28" i="16"/>
  <c r="V28" i="16"/>
  <c r="X27" i="16"/>
  <c r="W27" i="16"/>
  <c r="V27" i="16"/>
  <c r="X26" i="17"/>
  <c r="W26" i="17"/>
  <c r="AC26" i="17" s="1"/>
  <c r="V26" i="17"/>
  <c r="AB26" i="17" s="1"/>
  <c r="X26" i="16"/>
  <c r="W26" i="16"/>
  <c r="V26" i="16"/>
  <c r="X25" i="17"/>
  <c r="W25" i="17"/>
  <c r="AC25" i="17" s="1"/>
  <c r="V25" i="17"/>
  <c r="AB25" i="17" s="1"/>
  <c r="X25" i="16"/>
  <c r="W25" i="16"/>
  <c r="V25" i="16"/>
  <c r="X24" i="17"/>
  <c r="AC24" i="17" s="1"/>
  <c r="W24" i="17"/>
  <c r="V24" i="17"/>
  <c r="AB24" i="17" s="1"/>
  <c r="X24" i="16"/>
  <c r="W24" i="16"/>
  <c r="V24" i="16"/>
  <c r="X23" i="17"/>
  <c r="W23" i="17"/>
  <c r="AC23" i="17" s="1"/>
  <c r="V23" i="17"/>
  <c r="AB23" i="17" s="1"/>
  <c r="X23" i="16"/>
  <c r="W23" i="16"/>
  <c r="V23" i="16"/>
  <c r="X22" i="17"/>
  <c r="W22" i="17"/>
  <c r="AC22" i="17" s="1"/>
  <c r="V22" i="17"/>
  <c r="AB22" i="17" s="1"/>
  <c r="X22" i="16"/>
  <c r="W22" i="16"/>
  <c r="V22" i="16"/>
  <c r="X21" i="17"/>
  <c r="W21" i="17"/>
  <c r="AC21" i="17" s="1"/>
  <c r="V21" i="17"/>
  <c r="AB21" i="17" s="1"/>
  <c r="X21" i="16"/>
  <c r="W21" i="16"/>
  <c r="V21" i="16"/>
  <c r="X20" i="17"/>
  <c r="W20" i="17"/>
  <c r="AC20" i="17" s="1"/>
  <c r="V20" i="17"/>
  <c r="AB20" i="17" s="1"/>
  <c r="X20" i="16"/>
  <c r="W20" i="16"/>
  <c r="V20" i="16"/>
  <c r="AC19" i="17"/>
  <c r="X19" i="17"/>
  <c r="W19" i="17"/>
  <c r="V19" i="17"/>
  <c r="AB19" i="17" s="1"/>
  <c r="X19" i="16"/>
  <c r="W19" i="16"/>
  <c r="V19" i="16"/>
  <c r="X18" i="17"/>
  <c r="W18" i="17"/>
  <c r="V18" i="17"/>
  <c r="AB18" i="17" s="1"/>
  <c r="X18" i="16"/>
  <c r="W18" i="16"/>
  <c r="V18" i="16"/>
  <c r="X17" i="17"/>
  <c r="W17" i="17"/>
  <c r="AC17" i="17" s="1"/>
  <c r="V17" i="17"/>
  <c r="AB17" i="17" s="1"/>
  <c r="X17" i="16"/>
  <c r="W17" i="16"/>
  <c r="V17" i="16"/>
  <c r="X16" i="17"/>
  <c r="AC16" i="17" s="1"/>
  <c r="W16" i="17"/>
  <c r="V16" i="17"/>
  <c r="AB16" i="17" s="1"/>
  <c r="X16" i="16"/>
  <c r="W16" i="16"/>
  <c r="V16" i="16"/>
  <c r="X15" i="17"/>
  <c r="W15" i="17"/>
  <c r="AC15" i="17" s="1"/>
  <c r="V15" i="17"/>
  <c r="AB15" i="17" s="1"/>
  <c r="X15" i="16"/>
  <c r="W15" i="16"/>
  <c r="V15" i="16"/>
  <c r="X14" i="17"/>
  <c r="W14" i="17"/>
  <c r="AC14" i="17" s="1"/>
  <c r="V14" i="17"/>
  <c r="AB14" i="17" s="1"/>
  <c r="X14" i="16"/>
  <c r="W14" i="16"/>
  <c r="V14" i="16"/>
  <c r="X13" i="17"/>
  <c r="W13" i="17"/>
  <c r="AC13" i="17" s="1"/>
  <c r="V13" i="17"/>
  <c r="AB13" i="17" s="1"/>
  <c r="X13" i="16"/>
  <c r="W13" i="16"/>
  <c r="V13" i="16"/>
  <c r="X12" i="17"/>
  <c r="W12" i="17"/>
  <c r="AC12" i="17" s="1"/>
  <c r="V12" i="17"/>
  <c r="AB12" i="17" s="1"/>
  <c r="X12" i="16"/>
  <c r="W12" i="16"/>
  <c r="V12" i="16"/>
  <c r="AC11" i="17"/>
  <c r="X11" i="17"/>
  <c r="W11" i="17"/>
  <c r="V11" i="17"/>
  <c r="AB11" i="17" s="1"/>
  <c r="X11" i="16"/>
  <c r="W11" i="16"/>
  <c r="V11" i="16"/>
  <c r="X10" i="17"/>
  <c r="W10" i="17"/>
  <c r="V10" i="17"/>
  <c r="AB10" i="17" s="1"/>
  <c r="X10" i="16"/>
  <c r="W10" i="16"/>
  <c r="V10" i="16"/>
  <c r="X9" i="17"/>
  <c r="W9" i="17"/>
  <c r="AC9" i="17" s="1"/>
  <c r="V9" i="17"/>
  <c r="AB9" i="17" s="1"/>
  <c r="X9" i="16"/>
  <c r="W9" i="16"/>
  <c r="V9" i="16"/>
  <c r="X8" i="17"/>
  <c r="W8" i="17"/>
  <c r="V8" i="17"/>
  <c r="AB8" i="17" s="1"/>
  <c r="X8" i="16"/>
  <c r="W8" i="16"/>
  <c r="V8" i="16"/>
  <c r="X7" i="17"/>
  <c r="AC7" i="17" s="1"/>
  <c r="W7" i="17"/>
  <c r="V7" i="17"/>
  <c r="AB7" i="17" s="1"/>
  <c r="X7" i="16"/>
  <c r="W7" i="16"/>
  <c r="V7" i="16"/>
  <c r="X6" i="17"/>
  <c r="AC6" i="17" s="1"/>
  <c r="W6" i="17"/>
  <c r="V6" i="17"/>
  <c r="AB6" i="17" s="1"/>
  <c r="X5" i="17"/>
  <c r="W5" i="17"/>
  <c r="AC5" i="17" s="1"/>
  <c r="V5" i="17"/>
  <c r="AB5" i="17" s="1"/>
  <c r="M40" i="5"/>
  <c r="M39" i="5"/>
  <c r="M38" i="5"/>
  <c r="AI9" i="17"/>
  <c r="AJ4" i="17"/>
  <c r="AI4" i="17"/>
  <c r="AD404" i="17"/>
  <c r="AD403" i="17"/>
  <c r="AD402" i="17"/>
  <c r="AD401" i="17"/>
  <c r="AD400" i="17"/>
  <c r="AD399" i="17"/>
  <c r="AD398" i="17"/>
  <c r="AD397" i="17"/>
  <c r="AD396" i="17"/>
  <c r="AD395" i="17"/>
  <c r="AD394" i="17"/>
  <c r="AD393" i="17"/>
  <c r="AD392" i="17"/>
  <c r="AD391" i="17"/>
  <c r="AD390" i="17"/>
  <c r="AD389" i="17"/>
  <c r="AD388" i="17"/>
  <c r="AD387" i="17"/>
  <c r="AD386" i="17"/>
  <c r="AD385" i="17"/>
  <c r="AD384" i="17"/>
  <c r="AD383" i="17"/>
  <c r="AD382" i="17"/>
  <c r="AD381" i="17"/>
  <c r="AD380" i="17"/>
  <c r="AD379" i="17"/>
  <c r="AD378" i="17"/>
  <c r="AD377" i="17"/>
  <c r="AD376" i="17"/>
  <c r="AD375" i="17"/>
  <c r="AD374" i="17"/>
  <c r="AD373" i="17"/>
  <c r="AD372" i="17"/>
  <c r="AD371" i="17"/>
  <c r="AD370" i="17"/>
  <c r="AD369" i="17"/>
  <c r="AD368" i="17"/>
  <c r="AD367" i="17"/>
  <c r="AD366" i="17"/>
  <c r="AD365" i="17"/>
  <c r="AD364" i="17"/>
  <c r="AD363" i="17"/>
  <c r="AD362" i="17"/>
  <c r="AD361" i="17"/>
  <c r="AD360" i="17"/>
  <c r="AD359" i="17"/>
  <c r="AD358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329" i="17"/>
  <c r="AD328" i="17"/>
  <c r="AD327" i="17"/>
  <c r="AD326" i="17"/>
  <c r="AD325" i="17"/>
  <c r="AD324" i="17"/>
  <c r="AD323" i="17"/>
  <c r="AD322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293" i="17"/>
  <c r="AD292" i="17"/>
  <c r="AD291" i="17"/>
  <c r="AD290" i="17"/>
  <c r="AD289" i="17"/>
  <c r="AD288" i="17"/>
  <c r="AD287" i="17"/>
  <c r="AD286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57" i="17"/>
  <c r="AD256" i="17"/>
  <c r="AD255" i="17"/>
  <c r="AD254" i="17"/>
  <c r="AD253" i="17"/>
  <c r="AD252" i="17"/>
  <c r="AD251" i="17"/>
  <c r="AD250" i="17"/>
  <c r="AD249" i="17"/>
  <c r="AD248" i="17"/>
  <c r="AD247" i="17"/>
  <c r="AD153" i="17"/>
  <c r="AD152" i="17"/>
  <c r="AD151" i="17"/>
  <c r="AD150" i="17"/>
  <c r="AD149" i="17"/>
  <c r="AD148" i="17"/>
  <c r="AD147" i="17"/>
  <c r="AD146" i="17"/>
  <c r="AD145" i="17"/>
  <c r="AD144" i="17"/>
  <c r="AD143" i="17"/>
  <c r="AD142" i="17"/>
  <c r="AD141" i="17"/>
  <c r="AD140" i="17"/>
  <c r="AD139" i="17"/>
  <c r="AD138" i="17"/>
  <c r="AD137" i="17"/>
  <c r="AD136" i="17"/>
  <c r="AD135" i="17"/>
  <c r="AD134" i="17"/>
  <c r="AD133" i="17"/>
  <c r="AD132" i="17"/>
  <c r="AD131" i="17"/>
  <c r="AD130" i="17"/>
  <c r="AE129" i="17"/>
  <c r="AE128" i="17"/>
  <c r="AE127" i="17"/>
  <c r="AE126" i="17"/>
  <c r="AE125" i="17"/>
  <c r="AE124" i="17"/>
  <c r="AE123" i="17"/>
  <c r="AE122" i="17"/>
  <c r="AE121" i="17"/>
  <c r="AE120" i="17"/>
  <c r="AE119" i="17"/>
  <c r="AE118" i="17"/>
  <c r="AD117" i="17"/>
  <c r="AD116" i="17"/>
  <c r="AD115" i="17"/>
  <c r="AD114" i="17"/>
  <c r="AD113" i="17"/>
  <c r="AD112" i="17"/>
  <c r="AD111" i="17"/>
  <c r="AD110" i="17"/>
  <c r="AD109" i="17"/>
  <c r="AD108" i="17"/>
  <c r="AD107" i="17"/>
  <c r="AD106" i="17"/>
  <c r="AD40" i="17"/>
  <c r="AD39" i="17"/>
  <c r="AE38" i="17"/>
  <c r="AE37" i="17"/>
  <c r="AE36" i="17"/>
  <c r="AE35" i="17"/>
  <c r="AE34" i="17"/>
  <c r="AE33" i="17"/>
  <c r="AE32" i="17"/>
  <c r="AE31" i="17"/>
  <c r="AE30" i="17"/>
  <c r="AE29" i="17"/>
  <c r="AE28" i="17"/>
  <c r="AE27" i="17"/>
  <c r="V416" i="17"/>
  <c r="AB416" i="17" s="1"/>
  <c r="V415" i="17"/>
  <c r="AB415" i="17" s="1"/>
  <c r="V414" i="17"/>
  <c r="V413" i="17"/>
  <c r="V412" i="17"/>
  <c r="AB412" i="17" s="1"/>
  <c r="V411" i="17"/>
  <c r="AB411" i="17" s="1"/>
  <c r="V410" i="17"/>
  <c r="AB410" i="17" s="1"/>
  <c r="V409" i="17"/>
  <c r="AB409" i="17" s="1"/>
  <c r="V408" i="17"/>
  <c r="AB408" i="17" s="1"/>
  <c r="V407" i="17"/>
  <c r="AB407" i="17" s="1"/>
  <c r="V406" i="17"/>
  <c r="AB406" i="17" s="1"/>
  <c r="V405" i="17"/>
  <c r="X404" i="17"/>
  <c r="W404" i="17"/>
  <c r="V404" i="17"/>
  <c r="AB404" i="17" s="1"/>
  <c r="X403" i="17"/>
  <c r="W403" i="17"/>
  <c r="V403" i="17"/>
  <c r="AB403" i="17" s="1"/>
  <c r="X402" i="17"/>
  <c r="W402" i="17"/>
  <c r="V402" i="17"/>
  <c r="AB402" i="17" s="1"/>
  <c r="X401" i="17"/>
  <c r="W401" i="17"/>
  <c r="V401" i="17"/>
  <c r="AB401" i="17" s="1"/>
  <c r="X400" i="17"/>
  <c r="W400" i="17"/>
  <c r="V400" i="17"/>
  <c r="AB400" i="17" s="1"/>
  <c r="X399" i="17"/>
  <c r="W399" i="17"/>
  <c r="V399" i="17"/>
  <c r="AB399" i="17" s="1"/>
  <c r="X398" i="17"/>
  <c r="W398" i="17"/>
  <c r="V398" i="17"/>
  <c r="AB398" i="17" s="1"/>
  <c r="X397" i="17"/>
  <c r="W397" i="17"/>
  <c r="V397" i="17"/>
  <c r="AB397" i="17" s="1"/>
  <c r="X396" i="17"/>
  <c r="W396" i="17"/>
  <c r="V396" i="17"/>
  <c r="AB396" i="17" s="1"/>
  <c r="X395" i="17"/>
  <c r="W395" i="17"/>
  <c r="V395" i="17"/>
  <c r="AB395" i="17" s="1"/>
  <c r="X394" i="17"/>
  <c r="W394" i="17"/>
  <c r="V394" i="17"/>
  <c r="AB394" i="17" s="1"/>
  <c r="X393" i="17"/>
  <c r="W393" i="17"/>
  <c r="V393" i="17"/>
  <c r="AB393" i="17" s="1"/>
  <c r="X392" i="17"/>
  <c r="W392" i="17"/>
  <c r="V392" i="17"/>
  <c r="AB392" i="17" s="1"/>
  <c r="X391" i="17"/>
  <c r="W391" i="17"/>
  <c r="V391" i="17"/>
  <c r="AB391" i="17" s="1"/>
  <c r="X390" i="17"/>
  <c r="W390" i="17"/>
  <c r="V390" i="17"/>
  <c r="AB390" i="17" s="1"/>
  <c r="X389" i="17"/>
  <c r="W389" i="17"/>
  <c r="V389" i="17"/>
  <c r="AB389" i="17" s="1"/>
  <c r="X388" i="17"/>
  <c r="W388" i="17"/>
  <c r="V388" i="17"/>
  <c r="AB388" i="17" s="1"/>
  <c r="X387" i="17"/>
  <c r="W387" i="17"/>
  <c r="V387" i="17"/>
  <c r="AB387" i="17" s="1"/>
  <c r="X386" i="17"/>
  <c r="W386" i="17"/>
  <c r="V386" i="17"/>
  <c r="AB386" i="17" s="1"/>
  <c r="X385" i="17"/>
  <c r="W385" i="17"/>
  <c r="V385" i="17"/>
  <c r="AB385" i="17" s="1"/>
  <c r="X384" i="17"/>
  <c r="W384" i="17"/>
  <c r="V384" i="17"/>
  <c r="AB384" i="17" s="1"/>
  <c r="X383" i="17"/>
  <c r="W383" i="17"/>
  <c r="V383" i="17"/>
  <c r="AB383" i="17" s="1"/>
  <c r="X382" i="17"/>
  <c r="W382" i="17"/>
  <c r="V382" i="17"/>
  <c r="AB382" i="17" s="1"/>
  <c r="X381" i="17"/>
  <c r="W381" i="17"/>
  <c r="V381" i="17"/>
  <c r="AB381" i="17" s="1"/>
  <c r="X380" i="17"/>
  <c r="W380" i="17"/>
  <c r="V380" i="17"/>
  <c r="AB380" i="17" s="1"/>
  <c r="X379" i="17"/>
  <c r="W379" i="17"/>
  <c r="V379" i="17"/>
  <c r="AB379" i="17" s="1"/>
  <c r="X378" i="17"/>
  <c r="W378" i="17"/>
  <c r="V378" i="17"/>
  <c r="AB378" i="17" s="1"/>
  <c r="X377" i="17"/>
  <c r="W377" i="17"/>
  <c r="V377" i="17"/>
  <c r="AB377" i="17" s="1"/>
  <c r="X376" i="17"/>
  <c r="W376" i="17"/>
  <c r="V376" i="17"/>
  <c r="AB376" i="17" s="1"/>
  <c r="X375" i="17"/>
  <c r="W375" i="17"/>
  <c r="V375" i="17"/>
  <c r="AB375" i="17" s="1"/>
  <c r="X374" i="17"/>
  <c r="W374" i="17"/>
  <c r="V374" i="17"/>
  <c r="AB374" i="17" s="1"/>
  <c r="X373" i="17"/>
  <c r="W373" i="17"/>
  <c r="V373" i="17"/>
  <c r="AB373" i="17" s="1"/>
  <c r="X372" i="17"/>
  <c r="W372" i="17"/>
  <c r="V372" i="17"/>
  <c r="AB372" i="17" s="1"/>
  <c r="X371" i="17"/>
  <c r="W371" i="17"/>
  <c r="V371" i="17"/>
  <c r="AB371" i="17" s="1"/>
  <c r="X370" i="17"/>
  <c r="W370" i="17"/>
  <c r="V370" i="17"/>
  <c r="AB370" i="17" s="1"/>
  <c r="X369" i="17"/>
  <c r="W369" i="17"/>
  <c r="V369" i="17"/>
  <c r="AB369" i="17" s="1"/>
  <c r="X368" i="17"/>
  <c r="W368" i="17"/>
  <c r="V368" i="17"/>
  <c r="AB368" i="17" s="1"/>
  <c r="X367" i="17"/>
  <c r="W367" i="17"/>
  <c r="V367" i="17"/>
  <c r="AB367" i="17" s="1"/>
  <c r="X366" i="17"/>
  <c r="W366" i="17"/>
  <c r="V366" i="17"/>
  <c r="AB366" i="17" s="1"/>
  <c r="X365" i="17"/>
  <c r="W365" i="17"/>
  <c r="V365" i="17"/>
  <c r="AB365" i="17" s="1"/>
  <c r="X364" i="17"/>
  <c r="W364" i="17"/>
  <c r="V364" i="17"/>
  <c r="AB364" i="17" s="1"/>
  <c r="X363" i="17"/>
  <c r="W363" i="17"/>
  <c r="V363" i="17"/>
  <c r="AB363" i="17" s="1"/>
  <c r="X362" i="17"/>
  <c r="W362" i="17"/>
  <c r="V362" i="17"/>
  <c r="AB362" i="17" s="1"/>
  <c r="X361" i="17"/>
  <c r="W361" i="17"/>
  <c r="V361" i="17"/>
  <c r="AB361" i="17" s="1"/>
  <c r="X360" i="17"/>
  <c r="W360" i="17"/>
  <c r="V360" i="17"/>
  <c r="AB360" i="17" s="1"/>
  <c r="X359" i="17"/>
  <c r="W359" i="17"/>
  <c r="V359" i="17"/>
  <c r="AB359" i="17" s="1"/>
  <c r="X358" i="17"/>
  <c r="W358" i="17"/>
  <c r="V358" i="17"/>
  <c r="AB358" i="17" s="1"/>
  <c r="X357" i="17"/>
  <c r="W357" i="17"/>
  <c r="V357" i="17"/>
  <c r="AB357" i="17" s="1"/>
  <c r="X356" i="17"/>
  <c r="W356" i="17"/>
  <c r="V356" i="17"/>
  <c r="AB356" i="17" s="1"/>
  <c r="X355" i="17"/>
  <c r="W355" i="17"/>
  <c r="V355" i="17"/>
  <c r="AB355" i="17" s="1"/>
  <c r="X354" i="17"/>
  <c r="W354" i="17"/>
  <c r="V354" i="17"/>
  <c r="AB354" i="17" s="1"/>
  <c r="X353" i="17"/>
  <c r="W353" i="17"/>
  <c r="V353" i="17"/>
  <c r="AB353" i="17" s="1"/>
  <c r="X352" i="17"/>
  <c r="W352" i="17"/>
  <c r="V352" i="17"/>
  <c r="AB352" i="17" s="1"/>
  <c r="X351" i="17"/>
  <c r="W351" i="17"/>
  <c r="V351" i="17"/>
  <c r="AB351" i="17" s="1"/>
  <c r="X350" i="17"/>
  <c r="W350" i="17"/>
  <c r="V350" i="17"/>
  <c r="AB350" i="17" s="1"/>
  <c r="X349" i="17"/>
  <c r="W349" i="17"/>
  <c r="V349" i="17"/>
  <c r="AB349" i="17" s="1"/>
  <c r="X348" i="17"/>
  <c r="W348" i="17"/>
  <c r="V348" i="17"/>
  <c r="AB348" i="17" s="1"/>
  <c r="X347" i="17"/>
  <c r="W347" i="17"/>
  <c r="V347" i="17"/>
  <c r="AB347" i="17" s="1"/>
  <c r="X346" i="17"/>
  <c r="W346" i="17"/>
  <c r="V346" i="17"/>
  <c r="AB346" i="17" s="1"/>
  <c r="X345" i="17"/>
  <c r="W345" i="17"/>
  <c r="V345" i="17"/>
  <c r="AB345" i="17" s="1"/>
  <c r="X344" i="17"/>
  <c r="W344" i="17"/>
  <c r="V344" i="17"/>
  <c r="AB344" i="17" s="1"/>
  <c r="X343" i="17"/>
  <c r="W343" i="17"/>
  <c r="V343" i="17"/>
  <c r="AB343" i="17" s="1"/>
  <c r="X342" i="17"/>
  <c r="W342" i="17"/>
  <c r="V342" i="17"/>
  <c r="AB342" i="17" s="1"/>
  <c r="X341" i="17"/>
  <c r="W341" i="17"/>
  <c r="V341" i="17"/>
  <c r="AB341" i="17" s="1"/>
  <c r="X340" i="17"/>
  <c r="W340" i="17"/>
  <c r="V340" i="17"/>
  <c r="AB340" i="17" s="1"/>
  <c r="X339" i="17"/>
  <c r="W339" i="17"/>
  <c r="V339" i="17"/>
  <c r="AB339" i="17" s="1"/>
  <c r="X338" i="17"/>
  <c r="W338" i="17"/>
  <c r="V338" i="17"/>
  <c r="AB338" i="17" s="1"/>
  <c r="X337" i="17"/>
  <c r="W337" i="17"/>
  <c r="V337" i="17"/>
  <c r="AB337" i="17" s="1"/>
  <c r="X336" i="17"/>
  <c r="W336" i="17"/>
  <c r="V336" i="17"/>
  <c r="AB336" i="17" s="1"/>
  <c r="X335" i="17"/>
  <c r="W335" i="17"/>
  <c r="V335" i="17"/>
  <c r="AB335" i="17" s="1"/>
  <c r="X334" i="17"/>
  <c r="W334" i="17"/>
  <c r="V334" i="17"/>
  <c r="AB334" i="17" s="1"/>
  <c r="X333" i="17"/>
  <c r="W333" i="17"/>
  <c r="V333" i="17"/>
  <c r="AB333" i="17" s="1"/>
  <c r="X332" i="17"/>
  <c r="W332" i="17"/>
  <c r="V332" i="17"/>
  <c r="AB332" i="17" s="1"/>
  <c r="X331" i="17"/>
  <c r="W331" i="17"/>
  <c r="V331" i="17"/>
  <c r="AB331" i="17" s="1"/>
  <c r="X330" i="17"/>
  <c r="W330" i="17"/>
  <c r="V330" i="17"/>
  <c r="AB330" i="17" s="1"/>
  <c r="X329" i="17"/>
  <c r="W329" i="17"/>
  <c r="V329" i="17"/>
  <c r="AB329" i="17" s="1"/>
  <c r="X328" i="17"/>
  <c r="W328" i="17"/>
  <c r="V328" i="17"/>
  <c r="AB328" i="17" s="1"/>
  <c r="X327" i="17"/>
  <c r="W327" i="17"/>
  <c r="V327" i="17"/>
  <c r="AB327" i="17" s="1"/>
  <c r="X326" i="17"/>
  <c r="W326" i="17"/>
  <c r="V326" i="17"/>
  <c r="AB326" i="17" s="1"/>
  <c r="X325" i="17"/>
  <c r="W325" i="17"/>
  <c r="V325" i="17"/>
  <c r="AB325" i="17" s="1"/>
  <c r="X324" i="17"/>
  <c r="W324" i="17"/>
  <c r="V324" i="17"/>
  <c r="AB324" i="17" s="1"/>
  <c r="X323" i="17"/>
  <c r="W323" i="17"/>
  <c r="V323" i="17"/>
  <c r="AB323" i="17" s="1"/>
  <c r="X322" i="17"/>
  <c r="W322" i="17"/>
  <c r="V322" i="17"/>
  <c r="AB322" i="17" s="1"/>
  <c r="X321" i="17"/>
  <c r="W321" i="17"/>
  <c r="V321" i="17"/>
  <c r="AB321" i="17" s="1"/>
  <c r="X320" i="17"/>
  <c r="W320" i="17"/>
  <c r="V320" i="17"/>
  <c r="AB320" i="17" s="1"/>
  <c r="X319" i="17"/>
  <c r="W319" i="17"/>
  <c r="V319" i="17"/>
  <c r="AB319" i="17" s="1"/>
  <c r="X318" i="17"/>
  <c r="W318" i="17"/>
  <c r="V318" i="17"/>
  <c r="AB318" i="17" s="1"/>
  <c r="X317" i="17"/>
  <c r="W317" i="17"/>
  <c r="V317" i="17"/>
  <c r="AB317" i="17" s="1"/>
  <c r="X316" i="17"/>
  <c r="W316" i="17"/>
  <c r="V316" i="17"/>
  <c r="AB316" i="17" s="1"/>
  <c r="X315" i="17"/>
  <c r="W315" i="17"/>
  <c r="V315" i="17"/>
  <c r="AB315" i="17" s="1"/>
  <c r="X314" i="17"/>
  <c r="W314" i="17"/>
  <c r="V314" i="17"/>
  <c r="AB314" i="17" s="1"/>
  <c r="X313" i="17"/>
  <c r="W313" i="17"/>
  <c r="V313" i="17"/>
  <c r="AB313" i="17" s="1"/>
  <c r="X312" i="17"/>
  <c r="W312" i="17"/>
  <c r="V312" i="17"/>
  <c r="AB312" i="17" s="1"/>
  <c r="X311" i="17"/>
  <c r="W311" i="17"/>
  <c r="V311" i="17"/>
  <c r="AB311" i="17" s="1"/>
  <c r="X310" i="17"/>
  <c r="W310" i="17"/>
  <c r="V310" i="17"/>
  <c r="AB310" i="17" s="1"/>
  <c r="X309" i="17"/>
  <c r="W309" i="17"/>
  <c r="V309" i="17"/>
  <c r="AB309" i="17" s="1"/>
  <c r="X308" i="17"/>
  <c r="W308" i="17"/>
  <c r="V308" i="17"/>
  <c r="AB308" i="17" s="1"/>
  <c r="X307" i="17"/>
  <c r="W307" i="17"/>
  <c r="V307" i="17"/>
  <c r="AB307" i="17" s="1"/>
  <c r="X306" i="17"/>
  <c r="W306" i="17"/>
  <c r="V306" i="17"/>
  <c r="AB306" i="17" s="1"/>
  <c r="X305" i="17"/>
  <c r="W305" i="17"/>
  <c r="V305" i="17"/>
  <c r="AB305" i="17" s="1"/>
  <c r="X304" i="17"/>
  <c r="W304" i="17"/>
  <c r="V304" i="17"/>
  <c r="AB304" i="17" s="1"/>
  <c r="X303" i="17"/>
  <c r="W303" i="17"/>
  <c r="V303" i="17"/>
  <c r="AB303" i="17" s="1"/>
  <c r="X302" i="17"/>
  <c r="W302" i="17"/>
  <c r="V302" i="17"/>
  <c r="AB302" i="17" s="1"/>
  <c r="X301" i="17"/>
  <c r="W301" i="17"/>
  <c r="V301" i="17"/>
  <c r="AB301" i="17" s="1"/>
  <c r="X300" i="17"/>
  <c r="W300" i="17"/>
  <c r="V300" i="17"/>
  <c r="AB300" i="17" s="1"/>
  <c r="X299" i="17"/>
  <c r="W299" i="17"/>
  <c r="V299" i="17"/>
  <c r="AB299" i="17" s="1"/>
  <c r="X298" i="17"/>
  <c r="W298" i="17"/>
  <c r="V298" i="17"/>
  <c r="AB298" i="17" s="1"/>
  <c r="X297" i="17"/>
  <c r="W297" i="17"/>
  <c r="V297" i="17"/>
  <c r="AB297" i="17" s="1"/>
  <c r="X296" i="17"/>
  <c r="W296" i="17"/>
  <c r="V296" i="17"/>
  <c r="AB296" i="17" s="1"/>
  <c r="X295" i="17"/>
  <c r="W295" i="17"/>
  <c r="V295" i="17"/>
  <c r="AB295" i="17" s="1"/>
  <c r="X294" i="17"/>
  <c r="W294" i="17"/>
  <c r="V294" i="17"/>
  <c r="AB294" i="17" s="1"/>
  <c r="X293" i="17"/>
  <c r="W293" i="17"/>
  <c r="V293" i="17"/>
  <c r="AB293" i="17" s="1"/>
  <c r="X292" i="17"/>
  <c r="W292" i="17"/>
  <c r="V292" i="17"/>
  <c r="AB292" i="17" s="1"/>
  <c r="X291" i="17"/>
  <c r="W291" i="17"/>
  <c r="V291" i="17"/>
  <c r="AB291" i="17" s="1"/>
  <c r="X290" i="17"/>
  <c r="W290" i="17"/>
  <c r="V290" i="17"/>
  <c r="AB290" i="17" s="1"/>
  <c r="X289" i="17"/>
  <c r="W289" i="17"/>
  <c r="V289" i="17"/>
  <c r="AB289" i="17" s="1"/>
  <c r="X288" i="17"/>
  <c r="W288" i="17"/>
  <c r="V288" i="17"/>
  <c r="AB288" i="17" s="1"/>
  <c r="X287" i="17"/>
  <c r="W287" i="17"/>
  <c r="V287" i="17"/>
  <c r="AB287" i="17" s="1"/>
  <c r="X286" i="17"/>
  <c r="W286" i="17"/>
  <c r="AC286" i="17" s="1"/>
  <c r="V286" i="17"/>
  <c r="AB286" i="17" s="1"/>
  <c r="X285" i="17"/>
  <c r="W285" i="17"/>
  <c r="V285" i="17"/>
  <c r="AB285" i="17" s="1"/>
  <c r="X284" i="17"/>
  <c r="W284" i="17"/>
  <c r="V284" i="17"/>
  <c r="AB284" i="17" s="1"/>
  <c r="X283" i="17"/>
  <c r="W283" i="17"/>
  <c r="V283" i="17"/>
  <c r="AB283" i="17" s="1"/>
  <c r="X282" i="17"/>
  <c r="W282" i="17"/>
  <c r="V282" i="17"/>
  <c r="AB282" i="17" s="1"/>
  <c r="X281" i="17"/>
  <c r="W281" i="17"/>
  <c r="V281" i="17"/>
  <c r="AB281" i="17" s="1"/>
  <c r="X280" i="17"/>
  <c r="W280" i="17"/>
  <c r="V280" i="17"/>
  <c r="AB280" i="17" s="1"/>
  <c r="X279" i="17"/>
  <c r="W279" i="17"/>
  <c r="V279" i="17"/>
  <c r="AB279" i="17" s="1"/>
  <c r="X278" i="17"/>
  <c r="W278" i="17"/>
  <c r="AC278" i="17" s="1"/>
  <c r="V278" i="17"/>
  <c r="AB278" i="17" s="1"/>
  <c r="X277" i="17"/>
  <c r="W277" i="17"/>
  <c r="V277" i="17"/>
  <c r="AB277" i="17" s="1"/>
  <c r="X276" i="17"/>
  <c r="W276" i="17"/>
  <c r="V276" i="17"/>
  <c r="AB276" i="17" s="1"/>
  <c r="X275" i="17"/>
  <c r="W275" i="17"/>
  <c r="V275" i="17"/>
  <c r="AB275" i="17" s="1"/>
  <c r="X274" i="17"/>
  <c r="W274" i="17"/>
  <c r="V274" i="17"/>
  <c r="AB274" i="17" s="1"/>
  <c r="X273" i="17"/>
  <c r="W273" i="17"/>
  <c r="V273" i="17"/>
  <c r="AB273" i="17" s="1"/>
  <c r="X272" i="17"/>
  <c r="W272" i="17"/>
  <c r="V272" i="17"/>
  <c r="AB272" i="17" s="1"/>
  <c r="X271" i="17"/>
  <c r="W271" i="17"/>
  <c r="V271" i="17"/>
  <c r="AB271" i="17" s="1"/>
  <c r="X270" i="17"/>
  <c r="W270" i="17"/>
  <c r="AC270" i="17" s="1"/>
  <c r="V270" i="17"/>
  <c r="AB270" i="17" s="1"/>
  <c r="X269" i="17"/>
  <c r="W269" i="17"/>
  <c r="V269" i="17"/>
  <c r="AB269" i="17" s="1"/>
  <c r="X268" i="17"/>
  <c r="W268" i="17"/>
  <c r="V268" i="17"/>
  <c r="AB268" i="17" s="1"/>
  <c r="X267" i="17"/>
  <c r="W267" i="17"/>
  <c r="V267" i="17"/>
  <c r="AB267" i="17" s="1"/>
  <c r="X266" i="17"/>
  <c r="W266" i="17"/>
  <c r="V266" i="17"/>
  <c r="AB266" i="17" s="1"/>
  <c r="X265" i="17"/>
  <c r="W265" i="17"/>
  <c r="V265" i="17"/>
  <c r="AB265" i="17" s="1"/>
  <c r="X264" i="17"/>
  <c r="W264" i="17"/>
  <c r="V264" i="17"/>
  <c r="AB264" i="17" s="1"/>
  <c r="X263" i="17"/>
  <c r="W263" i="17"/>
  <c r="V263" i="17"/>
  <c r="AB263" i="17" s="1"/>
  <c r="X262" i="17"/>
  <c r="W262" i="17"/>
  <c r="AC262" i="17" s="1"/>
  <c r="V262" i="17"/>
  <c r="AB262" i="17" s="1"/>
  <c r="X261" i="17"/>
  <c r="W261" i="17"/>
  <c r="V261" i="17"/>
  <c r="AB261" i="17" s="1"/>
  <c r="X260" i="17"/>
  <c r="W260" i="17"/>
  <c r="V260" i="17"/>
  <c r="AB260" i="17" s="1"/>
  <c r="X259" i="17"/>
  <c r="W259" i="17"/>
  <c r="V259" i="17"/>
  <c r="AB259" i="17" s="1"/>
  <c r="X258" i="17"/>
  <c r="W258" i="17"/>
  <c r="V258" i="17"/>
  <c r="AB258" i="17" s="1"/>
  <c r="X257" i="17"/>
  <c r="W257" i="17"/>
  <c r="V257" i="17"/>
  <c r="AB257" i="17" s="1"/>
  <c r="X256" i="17"/>
  <c r="W256" i="17"/>
  <c r="V256" i="17"/>
  <c r="AB256" i="17" s="1"/>
  <c r="X255" i="17"/>
  <c r="W255" i="17"/>
  <c r="V255" i="17"/>
  <c r="AB255" i="17" s="1"/>
  <c r="X254" i="17"/>
  <c r="W254" i="17"/>
  <c r="AC254" i="17" s="1"/>
  <c r="V254" i="17"/>
  <c r="AB254" i="17" s="1"/>
  <c r="X253" i="17"/>
  <c r="W253" i="17"/>
  <c r="V253" i="17"/>
  <c r="AB253" i="17" s="1"/>
  <c r="X252" i="17"/>
  <c r="W252" i="17"/>
  <c r="V252" i="17"/>
  <c r="AB252" i="17" s="1"/>
  <c r="X251" i="17"/>
  <c r="W251" i="17"/>
  <c r="V251" i="17"/>
  <c r="AB251" i="17" s="1"/>
  <c r="X250" i="17"/>
  <c r="W250" i="17"/>
  <c r="V250" i="17"/>
  <c r="AB250" i="17" s="1"/>
  <c r="X249" i="17"/>
  <c r="W249" i="17"/>
  <c r="V249" i="17"/>
  <c r="AB249" i="17" s="1"/>
  <c r="X248" i="17"/>
  <c r="W248" i="17"/>
  <c r="V248" i="17"/>
  <c r="AB248" i="17" s="1"/>
  <c r="X247" i="17"/>
  <c r="W247" i="17"/>
  <c r="V247" i="17"/>
  <c r="AB247" i="17" s="1"/>
  <c r="V246" i="17"/>
  <c r="AB246" i="17" s="1"/>
  <c r="V245" i="17"/>
  <c r="AB245" i="17" s="1"/>
  <c r="V244" i="17"/>
  <c r="AB244" i="17" s="1"/>
  <c r="V243" i="17"/>
  <c r="AB243" i="17" s="1"/>
  <c r="V242" i="17"/>
  <c r="AB242" i="17" s="1"/>
  <c r="V241" i="17"/>
  <c r="AB241" i="17" s="1"/>
  <c r="V240" i="17"/>
  <c r="AB240" i="17" s="1"/>
  <c r="V239" i="17"/>
  <c r="AB239" i="17" s="1"/>
  <c r="V238" i="17"/>
  <c r="AB238" i="17" s="1"/>
  <c r="V237" i="17"/>
  <c r="AB237" i="17" s="1"/>
  <c r="V236" i="17"/>
  <c r="AB236" i="17" s="1"/>
  <c r="V235" i="17"/>
  <c r="AB235" i="17" s="1"/>
  <c r="X234" i="17"/>
  <c r="W234" i="17"/>
  <c r="X233" i="17"/>
  <c r="W233" i="17"/>
  <c r="X232" i="17"/>
  <c r="W232" i="17"/>
  <c r="AC232" i="17" s="1"/>
  <c r="X231" i="17"/>
  <c r="W231" i="17"/>
  <c r="AC231" i="17" s="1"/>
  <c r="X230" i="17"/>
  <c r="W230" i="17"/>
  <c r="X229" i="17"/>
  <c r="W229" i="17"/>
  <c r="X228" i="17"/>
  <c r="W228" i="17"/>
  <c r="AC228" i="17" s="1"/>
  <c r="X227" i="17"/>
  <c r="W227" i="17"/>
  <c r="AC227" i="17" s="1"/>
  <c r="X226" i="17"/>
  <c r="W226" i="17"/>
  <c r="X225" i="17"/>
  <c r="W225" i="17"/>
  <c r="X224" i="17"/>
  <c r="W224" i="17"/>
  <c r="AC224" i="17" s="1"/>
  <c r="X223" i="17"/>
  <c r="W223" i="17"/>
  <c r="AC223" i="17" s="1"/>
  <c r="V222" i="17"/>
  <c r="AB222" i="17" s="1"/>
  <c r="V221" i="17"/>
  <c r="AB221" i="17" s="1"/>
  <c r="V220" i="17"/>
  <c r="AB220" i="17" s="1"/>
  <c r="V219" i="17"/>
  <c r="AB219" i="17" s="1"/>
  <c r="V218" i="17"/>
  <c r="AB218" i="17" s="1"/>
  <c r="V217" i="17"/>
  <c r="AB217" i="17" s="1"/>
  <c r="V216" i="17"/>
  <c r="AB216" i="17" s="1"/>
  <c r="V215" i="17"/>
  <c r="AB215" i="17" s="1"/>
  <c r="V214" i="17"/>
  <c r="AB214" i="17" s="1"/>
  <c r="V213" i="17"/>
  <c r="AB213" i="17" s="1"/>
  <c r="V212" i="17"/>
  <c r="AB212" i="17" s="1"/>
  <c r="V211" i="17"/>
  <c r="AB211" i="17" s="1"/>
  <c r="V210" i="17"/>
  <c r="AB210" i="17" s="1"/>
  <c r="V209" i="17"/>
  <c r="AB209" i="17" s="1"/>
  <c r="V208" i="17"/>
  <c r="AB208" i="17" s="1"/>
  <c r="V207" i="17"/>
  <c r="AB207" i="17" s="1"/>
  <c r="X206" i="17"/>
  <c r="W206" i="17"/>
  <c r="X205" i="17"/>
  <c r="W205" i="17"/>
  <c r="X204" i="17"/>
  <c r="W204" i="17"/>
  <c r="AC204" i="17" s="1"/>
  <c r="X203" i="17"/>
  <c r="W203" i="17"/>
  <c r="AC203" i="17" s="1"/>
  <c r="V202" i="17"/>
  <c r="AB202" i="17" s="1"/>
  <c r="V201" i="17"/>
  <c r="AB201" i="17" s="1"/>
  <c r="V200" i="17"/>
  <c r="AB200" i="17" s="1"/>
  <c r="V199" i="17"/>
  <c r="AB199" i="17" s="1"/>
  <c r="V198" i="17"/>
  <c r="AB198" i="17" s="1"/>
  <c r="V197" i="17"/>
  <c r="AB197" i="17" s="1"/>
  <c r="V196" i="17"/>
  <c r="AB196" i="17" s="1"/>
  <c r="X195" i="17"/>
  <c r="W195" i="17"/>
  <c r="X194" i="17"/>
  <c r="W194" i="17"/>
  <c r="AC194" i="17" s="1"/>
  <c r="X193" i="17"/>
  <c r="W193" i="17"/>
  <c r="V192" i="17"/>
  <c r="AB192" i="17" s="1"/>
  <c r="V191" i="17"/>
  <c r="AB191" i="17" s="1"/>
  <c r="V190" i="17"/>
  <c r="AB190" i="17" s="1"/>
  <c r="V189" i="17"/>
  <c r="AB189" i="17" s="1"/>
  <c r="V188" i="17"/>
  <c r="AB188" i="17" s="1"/>
  <c r="V187" i="17"/>
  <c r="AB187" i="17" s="1"/>
  <c r="V186" i="17"/>
  <c r="AB186" i="17" s="1"/>
  <c r="V185" i="17"/>
  <c r="AB185" i="17" s="1"/>
  <c r="V184" i="17"/>
  <c r="AB184" i="17" s="1"/>
  <c r="V183" i="17"/>
  <c r="AB183" i="17" s="1"/>
  <c r="V182" i="17"/>
  <c r="AB182" i="17" s="1"/>
  <c r="V181" i="17"/>
  <c r="AB181" i="17" s="1"/>
  <c r="V180" i="17"/>
  <c r="AB180" i="17" s="1"/>
  <c r="V179" i="17"/>
  <c r="AB179" i="17" s="1"/>
  <c r="V178" i="17"/>
  <c r="AB178" i="17" s="1"/>
  <c r="X177" i="17"/>
  <c r="W177" i="17"/>
  <c r="AC177" i="17" s="1"/>
  <c r="X176" i="17"/>
  <c r="W176" i="17"/>
  <c r="AC176" i="17" s="1"/>
  <c r="X175" i="17"/>
  <c r="W175" i="17"/>
  <c r="X174" i="17"/>
  <c r="W174" i="17"/>
  <c r="AC174" i="17" s="1"/>
  <c r="X173" i="17"/>
  <c r="W173" i="17"/>
  <c r="AC173" i="17" s="1"/>
  <c r="X172" i="17"/>
  <c r="W172" i="17"/>
  <c r="AC172" i="17" s="1"/>
  <c r="X171" i="17"/>
  <c r="W171" i="17"/>
  <c r="X170" i="17"/>
  <c r="W170" i="17"/>
  <c r="AC170" i="17" s="1"/>
  <c r="X169" i="17"/>
  <c r="W169" i="17"/>
  <c r="AC169" i="17" s="1"/>
  <c r="X168" i="17"/>
  <c r="W168" i="17"/>
  <c r="AC168" i="17" s="1"/>
  <c r="X167" i="17"/>
  <c r="W167" i="17"/>
  <c r="X166" i="17"/>
  <c r="W166" i="17"/>
  <c r="AC166" i="17" s="1"/>
  <c r="V165" i="17"/>
  <c r="AB165" i="17" s="1"/>
  <c r="V164" i="17"/>
  <c r="AB164" i="17" s="1"/>
  <c r="V163" i="17"/>
  <c r="AB163" i="17" s="1"/>
  <c r="V162" i="17"/>
  <c r="AB162" i="17" s="1"/>
  <c r="V161" i="17"/>
  <c r="AB161" i="17" s="1"/>
  <c r="V160" i="17"/>
  <c r="AB160" i="17" s="1"/>
  <c r="V159" i="17"/>
  <c r="AB159" i="17" s="1"/>
  <c r="V158" i="17"/>
  <c r="AB158" i="17" s="1"/>
  <c r="V157" i="17"/>
  <c r="AB157" i="17" s="1"/>
  <c r="V156" i="17"/>
  <c r="AB156" i="17" s="1"/>
  <c r="V155" i="17"/>
  <c r="AB155" i="17" s="1"/>
  <c r="V154" i="17"/>
  <c r="AB154" i="17" s="1"/>
  <c r="X153" i="17"/>
  <c r="W153" i="17"/>
  <c r="V153" i="17"/>
  <c r="AB153" i="17" s="1"/>
  <c r="X152" i="17"/>
  <c r="W152" i="17"/>
  <c r="V152" i="17"/>
  <c r="AB152" i="17" s="1"/>
  <c r="X151" i="17"/>
  <c r="W151" i="17"/>
  <c r="V151" i="17"/>
  <c r="AB151" i="17" s="1"/>
  <c r="X150" i="17"/>
  <c r="W150" i="17"/>
  <c r="AC150" i="17" s="1"/>
  <c r="V150" i="17"/>
  <c r="AB150" i="17" s="1"/>
  <c r="X149" i="17"/>
  <c r="W149" i="17"/>
  <c r="V149" i="17"/>
  <c r="AB149" i="17" s="1"/>
  <c r="X148" i="17"/>
  <c r="W148" i="17"/>
  <c r="V148" i="17"/>
  <c r="AB148" i="17" s="1"/>
  <c r="X147" i="17"/>
  <c r="W147" i="17"/>
  <c r="AC147" i="17" s="1"/>
  <c r="V147" i="17"/>
  <c r="AB147" i="17" s="1"/>
  <c r="X146" i="17"/>
  <c r="W146" i="17"/>
  <c r="V146" i="17"/>
  <c r="AB146" i="17" s="1"/>
  <c r="X145" i="17"/>
  <c r="W145" i="17"/>
  <c r="V145" i="17"/>
  <c r="AB145" i="17" s="1"/>
  <c r="X144" i="17"/>
  <c r="W144" i="17"/>
  <c r="V144" i="17"/>
  <c r="AB144" i="17" s="1"/>
  <c r="X143" i="17"/>
  <c r="W143" i="17"/>
  <c r="V143" i="17"/>
  <c r="AB143" i="17" s="1"/>
  <c r="X142" i="17"/>
  <c r="W142" i="17"/>
  <c r="AC142" i="17" s="1"/>
  <c r="V142" i="17"/>
  <c r="AB142" i="17" s="1"/>
  <c r="X141" i="17"/>
  <c r="W141" i="17"/>
  <c r="AC141" i="17" s="1"/>
  <c r="V141" i="17"/>
  <c r="AB141" i="17" s="1"/>
  <c r="X140" i="17"/>
  <c r="W140" i="17"/>
  <c r="V140" i="17"/>
  <c r="AB140" i="17" s="1"/>
  <c r="X139" i="17"/>
  <c r="W139" i="17"/>
  <c r="AC139" i="17" s="1"/>
  <c r="V139" i="17"/>
  <c r="AB139" i="17" s="1"/>
  <c r="X138" i="17"/>
  <c r="W138" i="17"/>
  <c r="V138" i="17"/>
  <c r="AB138" i="17" s="1"/>
  <c r="X137" i="17"/>
  <c r="W137" i="17"/>
  <c r="V137" i="17"/>
  <c r="AB137" i="17" s="1"/>
  <c r="X136" i="17"/>
  <c r="W136" i="17"/>
  <c r="V136" i="17"/>
  <c r="AB136" i="17" s="1"/>
  <c r="X135" i="17"/>
  <c r="W135" i="17"/>
  <c r="AC135" i="17" s="1"/>
  <c r="V135" i="17"/>
  <c r="AB135" i="17" s="1"/>
  <c r="X134" i="17"/>
  <c r="W134" i="17"/>
  <c r="AC134" i="17" s="1"/>
  <c r="V134" i="17"/>
  <c r="AB134" i="17" s="1"/>
  <c r="X133" i="17"/>
  <c r="W133" i="17"/>
  <c r="AC133" i="17" s="1"/>
  <c r="V133" i="17"/>
  <c r="AB133" i="17" s="1"/>
  <c r="X132" i="17"/>
  <c r="W132" i="17"/>
  <c r="V132" i="17"/>
  <c r="AB132" i="17" s="1"/>
  <c r="X131" i="17"/>
  <c r="W131" i="17"/>
  <c r="AC131" i="17" s="1"/>
  <c r="V131" i="17"/>
  <c r="AB131" i="17" s="1"/>
  <c r="X130" i="17"/>
  <c r="W130" i="17"/>
  <c r="V130" i="17"/>
  <c r="AB130" i="17" s="1"/>
  <c r="X129" i="17"/>
  <c r="W129" i="17"/>
  <c r="V129" i="17"/>
  <c r="AB129" i="17" s="1"/>
  <c r="X128" i="17"/>
  <c r="W128" i="17"/>
  <c r="V128" i="17"/>
  <c r="AB128" i="17" s="1"/>
  <c r="X127" i="17"/>
  <c r="W127" i="17"/>
  <c r="AC127" i="17" s="1"/>
  <c r="V127" i="17"/>
  <c r="AB127" i="17" s="1"/>
  <c r="X126" i="17"/>
  <c r="W126" i="17"/>
  <c r="AC126" i="17" s="1"/>
  <c r="V126" i="17"/>
  <c r="AB126" i="17" s="1"/>
  <c r="X125" i="17"/>
  <c r="W125" i="17"/>
  <c r="AC125" i="17" s="1"/>
  <c r="V125" i="17"/>
  <c r="AB125" i="17" s="1"/>
  <c r="X124" i="17"/>
  <c r="W124" i="17"/>
  <c r="V124" i="17"/>
  <c r="AB124" i="17" s="1"/>
  <c r="X123" i="17"/>
  <c r="W123" i="17"/>
  <c r="AC123" i="17" s="1"/>
  <c r="V123" i="17"/>
  <c r="AB123" i="17" s="1"/>
  <c r="X122" i="17"/>
  <c r="W122" i="17"/>
  <c r="V122" i="17"/>
  <c r="AB122" i="17" s="1"/>
  <c r="X121" i="17"/>
  <c r="W121" i="17"/>
  <c r="V121" i="17"/>
  <c r="AB121" i="17" s="1"/>
  <c r="X120" i="17"/>
  <c r="W120" i="17"/>
  <c r="V120" i="17"/>
  <c r="AB120" i="17" s="1"/>
  <c r="X119" i="17"/>
  <c r="W119" i="17"/>
  <c r="AC119" i="17" s="1"/>
  <c r="V119" i="17"/>
  <c r="AB119" i="17" s="1"/>
  <c r="X118" i="17"/>
  <c r="W118" i="17"/>
  <c r="AC118" i="17" s="1"/>
  <c r="V118" i="17"/>
  <c r="AB118" i="17" s="1"/>
  <c r="X117" i="17"/>
  <c r="W117" i="17"/>
  <c r="AC117" i="17" s="1"/>
  <c r="V117" i="17"/>
  <c r="AB117" i="17" s="1"/>
  <c r="X116" i="17"/>
  <c r="W116" i="17"/>
  <c r="V116" i="17"/>
  <c r="AB116" i="17" s="1"/>
  <c r="X115" i="17"/>
  <c r="W115" i="17"/>
  <c r="AC115" i="17" s="1"/>
  <c r="V115" i="17"/>
  <c r="AB115" i="17" s="1"/>
  <c r="X114" i="17"/>
  <c r="W114" i="17"/>
  <c r="V114" i="17"/>
  <c r="AB114" i="17" s="1"/>
  <c r="X113" i="17"/>
  <c r="W113" i="17"/>
  <c r="V113" i="17"/>
  <c r="AB113" i="17" s="1"/>
  <c r="X112" i="17"/>
  <c r="W112" i="17"/>
  <c r="V112" i="17"/>
  <c r="AB112" i="17" s="1"/>
  <c r="X111" i="17"/>
  <c r="W111" i="17"/>
  <c r="AC111" i="17" s="1"/>
  <c r="V111" i="17"/>
  <c r="AB111" i="17" s="1"/>
  <c r="X110" i="17"/>
  <c r="W110" i="17"/>
  <c r="AC110" i="17" s="1"/>
  <c r="V110" i="17"/>
  <c r="AB110" i="17" s="1"/>
  <c r="X109" i="17"/>
  <c r="W109" i="17"/>
  <c r="AC109" i="17" s="1"/>
  <c r="V109" i="17"/>
  <c r="AB109" i="17" s="1"/>
  <c r="X108" i="17"/>
  <c r="W108" i="17"/>
  <c r="V108" i="17"/>
  <c r="AB108" i="17" s="1"/>
  <c r="X107" i="17"/>
  <c r="W107" i="17"/>
  <c r="V107" i="17"/>
  <c r="AB107" i="17" s="1"/>
  <c r="X106" i="17"/>
  <c r="W106" i="17"/>
  <c r="V106" i="17"/>
  <c r="AB106" i="17" s="1"/>
  <c r="X81" i="17"/>
  <c r="W81" i="17"/>
  <c r="X80" i="17"/>
  <c r="W80" i="17"/>
  <c r="AC80" i="17" s="1"/>
  <c r="X79" i="17"/>
  <c r="W79" i="17"/>
  <c r="AC79" i="17" s="1"/>
  <c r="X78" i="17"/>
  <c r="W78" i="17"/>
  <c r="AC78" i="17" s="1"/>
  <c r="X77" i="17"/>
  <c r="W77" i="17"/>
  <c r="X76" i="17"/>
  <c r="W76" i="17"/>
  <c r="AC76" i="17" s="1"/>
  <c r="X75" i="17"/>
  <c r="W75" i="17"/>
  <c r="AC75" i="17" s="1"/>
  <c r="X74" i="17"/>
  <c r="W74" i="17"/>
  <c r="AC74" i="17" s="1"/>
  <c r="V73" i="17"/>
  <c r="AB73" i="17" s="1"/>
  <c r="V72" i="17"/>
  <c r="V71" i="17"/>
  <c r="AB71" i="17" s="1"/>
  <c r="V70" i="17"/>
  <c r="AB70" i="17" s="1"/>
  <c r="V69" i="17"/>
  <c r="AB69" i="17" s="1"/>
  <c r="V68" i="17"/>
  <c r="AB68" i="17" s="1"/>
  <c r="V67" i="17"/>
  <c r="AB67" i="17" s="1"/>
  <c r="V66" i="17"/>
  <c r="AB66" i="17" s="1"/>
  <c r="V65" i="17"/>
  <c r="AB65" i="17" s="1"/>
  <c r="X64" i="17"/>
  <c r="W64" i="17"/>
  <c r="AC64" i="17" s="1"/>
  <c r="X63" i="17"/>
  <c r="W63" i="17"/>
  <c r="X62" i="17"/>
  <c r="W62" i="17"/>
  <c r="X61" i="17"/>
  <c r="W61" i="17"/>
  <c r="X60" i="17"/>
  <c r="W60" i="17"/>
  <c r="AC60" i="17" s="1"/>
  <c r="X59" i="17"/>
  <c r="W59" i="17"/>
  <c r="X58" i="17"/>
  <c r="W58" i="17"/>
  <c r="X57" i="17"/>
  <c r="W57" i="17"/>
  <c r="X56" i="17"/>
  <c r="W56" i="17"/>
  <c r="AC56" i="17" s="1"/>
  <c r="V55" i="17"/>
  <c r="AB55" i="17" s="1"/>
  <c r="V54" i="17"/>
  <c r="AB54" i="17" s="1"/>
  <c r="V53" i="17"/>
  <c r="AB53" i="17" s="1"/>
  <c r="V52" i="17"/>
  <c r="AB52" i="17" s="1"/>
  <c r="V51" i="17"/>
  <c r="AB51" i="17" s="1"/>
  <c r="V50" i="17"/>
  <c r="AB50" i="17" s="1"/>
  <c r="V49" i="17"/>
  <c r="AB49" i="17" s="1"/>
  <c r="V48" i="17"/>
  <c r="AB48" i="17" s="1"/>
  <c r="V47" i="17"/>
  <c r="AB47" i="17" s="1"/>
  <c r="V46" i="17"/>
  <c r="AB46" i="17" s="1"/>
  <c r="V45" i="17"/>
  <c r="AB45" i="17" s="1"/>
  <c r="X44" i="17"/>
  <c r="W44" i="17"/>
  <c r="AC44" i="17" s="1"/>
  <c r="X43" i="17"/>
  <c r="W43" i="17"/>
  <c r="V42" i="17"/>
  <c r="AB42" i="17" s="1"/>
  <c r="V41" i="17"/>
  <c r="AB41" i="17" s="1"/>
  <c r="X40" i="17"/>
  <c r="W40" i="17"/>
  <c r="AC40" i="17" s="1"/>
  <c r="V40" i="17"/>
  <c r="AB40" i="17" s="1"/>
  <c r="X39" i="17"/>
  <c r="W39" i="17"/>
  <c r="V39" i="17"/>
  <c r="AB39" i="17" s="1"/>
  <c r="X38" i="17"/>
  <c r="W38" i="17"/>
  <c r="AC38" i="17" s="1"/>
  <c r="V38" i="17"/>
  <c r="AB38" i="17" s="1"/>
  <c r="X37" i="17"/>
  <c r="W37" i="17"/>
  <c r="V37" i="17"/>
  <c r="AB37" i="17" s="1"/>
  <c r="X36" i="17"/>
  <c r="W36" i="17"/>
  <c r="V36" i="17"/>
  <c r="AB36" i="17" s="1"/>
  <c r="X35" i="17"/>
  <c r="W35" i="17"/>
  <c r="V35" i="17"/>
  <c r="AB35" i="17" s="1"/>
  <c r="X34" i="17"/>
  <c r="W34" i="17"/>
  <c r="AC34" i="17" s="1"/>
  <c r="V34" i="17"/>
  <c r="AB34" i="17" s="1"/>
  <c r="X33" i="17"/>
  <c r="W33" i="17"/>
  <c r="AC33" i="17" s="1"/>
  <c r="V33" i="17"/>
  <c r="AB33" i="17" s="1"/>
  <c r="X32" i="17"/>
  <c r="W32" i="17"/>
  <c r="AC32" i="17" s="1"/>
  <c r="V32" i="17"/>
  <c r="AB32" i="17" s="1"/>
  <c r="X31" i="17"/>
  <c r="W31" i="17"/>
  <c r="V31" i="17"/>
  <c r="AB31" i="17" s="1"/>
  <c r="X30" i="17"/>
  <c r="W30" i="17"/>
  <c r="AC30" i="17" s="1"/>
  <c r="V30" i="17"/>
  <c r="AB30" i="17" s="1"/>
  <c r="X29" i="17"/>
  <c r="W29" i="17"/>
  <c r="V29" i="17"/>
  <c r="AB29" i="17" s="1"/>
  <c r="X28" i="17"/>
  <c r="W28" i="17"/>
  <c r="V28" i="17"/>
  <c r="AB28" i="17" s="1"/>
  <c r="X27" i="17"/>
  <c r="W27" i="17"/>
  <c r="V27" i="17"/>
  <c r="AB27" i="17" s="1"/>
  <c r="X4" i="17"/>
  <c r="W4" i="17"/>
  <c r="V4" i="17"/>
  <c r="AB4" i="17" s="1"/>
  <c r="X3" i="17"/>
  <c r="W3" i="17"/>
  <c r="AC3" i="17" s="1"/>
  <c r="V3" i="17"/>
  <c r="AB3" i="17" s="1"/>
  <c r="X2" i="17"/>
  <c r="W2" i="17"/>
  <c r="V2" i="17"/>
  <c r="AB2" i="17" s="1"/>
  <c r="AE886" i="16"/>
  <c r="AE885" i="16"/>
  <c r="AE884" i="16"/>
  <c r="AD884" i="16"/>
  <c r="AE883" i="16"/>
  <c r="AE882" i="16"/>
  <c r="AE881" i="16"/>
  <c r="AE880" i="16"/>
  <c r="AE879" i="16"/>
  <c r="AE878" i="16"/>
  <c r="AE877" i="16"/>
  <c r="AE876" i="16"/>
  <c r="AE875" i="16"/>
  <c r="AE874" i="16"/>
  <c r="AD874" i="16"/>
  <c r="AC874" i="16"/>
  <c r="AE873" i="16"/>
  <c r="AD873" i="16"/>
  <c r="AC873" i="16"/>
  <c r="AE872" i="16"/>
  <c r="AD872" i="16"/>
  <c r="AE871" i="16"/>
  <c r="AD871" i="16"/>
  <c r="AC871" i="16"/>
  <c r="AE870" i="16"/>
  <c r="AD870" i="16"/>
  <c r="AC870" i="16"/>
  <c r="AE869" i="16"/>
  <c r="AD869" i="16"/>
  <c r="AC869" i="16"/>
  <c r="AE868" i="16"/>
  <c r="AD868" i="16"/>
  <c r="AE867" i="16"/>
  <c r="AD867" i="16"/>
  <c r="AC867" i="16"/>
  <c r="AE866" i="16"/>
  <c r="AD866" i="16"/>
  <c r="AC866" i="16"/>
  <c r="AE865" i="16"/>
  <c r="AD865" i="16"/>
  <c r="AC865" i="16"/>
  <c r="AE864" i="16"/>
  <c r="AD864" i="16"/>
  <c r="AE863" i="16"/>
  <c r="AD863" i="16"/>
  <c r="AC863" i="16"/>
  <c r="AE862" i="16"/>
  <c r="AE861" i="16"/>
  <c r="AE860" i="16"/>
  <c r="AE859" i="16"/>
  <c r="AE858" i="16"/>
  <c r="AE857" i="16"/>
  <c r="AE856" i="16"/>
  <c r="AE855" i="16"/>
  <c r="AE854" i="16"/>
  <c r="AE853" i="16"/>
  <c r="AE852" i="16"/>
  <c r="AE851" i="16"/>
  <c r="AE850" i="16"/>
  <c r="AE849" i="16"/>
  <c r="AE848" i="16"/>
  <c r="AE847" i="16"/>
  <c r="AE846" i="16"/>
  <c r="AE845" i="16"/>
  <c r="AE844" i="16"/>
  <c r="AE843" i="16"/>
  <c r="AE842" i="16"/>
  <c r="AE841" i="16"/>
  <c r="AE840" i="16"/>
  <c r="AE839" i="16"/>
  <c r="AE838" i="16"/>
  <c r="AE837" i="16"/>
  <c r="AE836" i="16"/>
  <c r="AE835" i="16"/>
  <c r="AE834" i="16"/>
  <c r="AE833" i="16"/>
  <c r="AE832" i="16"/>
  <c r="AE831" i="16"/>
  <c r="AE830" i="16"/>
  <c r="AE829" i="16"/>
  <c r="AE828" i="16"/>
  <c r="AE827" i="16"/>
  <c r="AE826" i="16"/>
  <c r="AE825" i="16"/>
  <c r="AE824" i="16"/>
  <c r="AE823" i="16"/>
  <c r="AE822" i="16"/>
  <c r="AE821" i="16"/>
  <c r="AE820" i="16"/>
  <c r="AE819" i="16"/>
  <c r="AE818" i="16"/>
  <c r="AE817" i="16"/>
  <c r="AE816" i="16"/>
  <c r="AE815" i="16"/>
  <c r="AE814" i="16"/>
  <c r="AE813" i="16"/>
  <c r="AE812" i="16"/>
  <c r="AE811" i="16"/>
  <c r="AE810" i="16"/>
  <c r="AE809" i="16"/>
  <c r="AE808" i="16"/>
  <c r="AE807" i="16"/>
  <c r="AE806" i="16"/>
  <c r="AE805" i="16"/>
  <c r="AE804" i="16"/>
  <c r="AE803" i="16"/>
  <c r="AE802" i="16"/>
  <c r="AE801" i="16"/>
  <c r="AE800" i="16"/>
  <c r="AE799" i="16"/>
  <c r="AE798" i="16"/>
  <c r="AE797" i="16"/>
  <c r="AE796" i="16"/>
  <c r="AE795" i="16"/>
  <c r="AE794" i="16"/>
  <c r="AE793" i="16"/>
  <c r="AE792" i="16"/>
  <c r="AE791" i="16"/>
  <c r="AE790" i="16"/>
  <c r="AE789" i="16"/>
  <c r="AE788" i="16"/>
  <c r="AE787" i="16"/>
  <c r="AE786" i="16"/>
  <c r="AE785" i="16"/>
  <c r="AE784" i="16"/>
  <c r="AE783" i="16"/>
  <c r="AE782" i="16"/>
  <c r="AE781" i="16"/>
  <c r="AE780" i="16"/>
  <c r="AE779" i="16"/>
  <c r="AE778" i="16"/>
  <c r="AE777" i="16"/>
  <c r="AE776" i="16"/>
  <c r="AE775" i="16"/>
  <c r="AE774" i="16"/>
  <c r="AE773" i="16"/>
  <c r="AE772" i="16"/>
  <c r="AE771" i="16"/>
  <c r="AE770" i="16"/>
  <c r="AE769" i="16"/>
  <c r="AE768" i="16"/>
  <c r="AE767" i="16"/>
  <c r="AE766" i="16"/>
  <c r="AE765" i="16"/>
  <c r="AE764" i="16"/>
  <c r="AE763" i="16"/>
  <c r="AE762" i="16"/>
  <c r="AE761" i="16"/>
  <c r="AE760" i="16"/>
  <c r="AE759" i="16"/>
  <c r="AE758" i="16"/>
  <c r="AE757" i="16"/>
  <c r="AE756" i="16"/>
  <c r="AE755" i="16"/>
  <c r="AE754" i="16"/>
  <c r="AE753" i="16"/>
  <c r="AE752" i="16"/>
  <c r="AE751" i="16"/>
  <c r="AE750" i="16"/>
  <c r="AE749" i="16"/>
  <c r="AE748" i="16"/>
  <c r="AE747" i="16"/>
  <c r="AE746" i="16"/>
  <c r="AE745" i="16"/>
  <c r="AE744" i="16"/>
  <c r="AE743" i="16"/>
  <c r="AE742" i="16"/>
  <c r="AE741" i="16"/>
  <c r="AE740" i="16"/>
  <c r="AE739" i="16"/>
  <c r="AE738" i="16"/>
  <c r="AE737" i="16"/>
  <c r="AE736" i="16"/>
  <c r="AE735" i="16"/>
  <c r="AE734" i="16"/>
  <c r="AE733" i="16"/>
  <c r="AE732" i="16"/>
  <c r="AE731" i="16"/>
  <c r="AE730" i="16"/>
  <c r="AE729" i="16"/>
  <c r="AE728" i="16"/>
  <c r="AE727" i="16"/>
  <c r="AE726" i="16"/>
  <c r="AE725" i="16"/>
  <c r="AE724" i="16"/>
  <c r="AE723" i="16"/>
  <c r="AE722" i="16"/>
  <c r="AE721" i="16"/>
  <c r="AE720" i="16"/>
  <c r="AE719" i="16"/>
  <c r="AE718" i="16"/>
  <c r="AE717" i="16"/>
  <c r="AE716" i="16"/>
  <c r="AE715" i="16"/>
  <c r="AE714" i="16"/>
  <c r="AE713" i="16"/>
  <c r="AE712" i="16"/>
  <c r="AE711" i="16"/>
  <c r="AE710" i="16"/>
  <c r="AE709" i="16"/>
  <c r="AE708" i="16"/>
  <c r="AE707" i="16"/>
  <c r="AE706" i="16"/>
  <c r="AE705" i="16"/>
  <c r="AE704" i="16"/>
  <c r="AE703" i="16"/>
  <c r="AE702" i="16"/>
  <c r="AE701" i="16"/>
  <c r="AE700" i="16"/>
  <c r="AE699" i="16"/>
  <c r="AE698" i="16"/>
  <c r="AE697" i="16"/>
  <c r="AE696" i="16"/>
  <c r="AE695" i="16"/>
  <c r="AE694" i="16"/>
  <c r="AE693" i="16"/>
  <c r="AE692" i="16"/>
  <c r="AE691" i="16"/>
  <c r="AE690" i="16"/>
  <c r="AE689" i="16"/>
  <c r="AE688" i="16"/>
  <c r="AE687" i="16"/>
  <c r="AE686" i="16"/>
  <c r="AE685" i="16"/>
  <c r="AE684" i="16"/>
  <c r="AE683" i="16"/>
  <c r="AE682" i="16"/>
  <c r="AE681" i="16"/>
  <c r="AE680" i="16"/>
  <c r="AE679" i="16"/>
  <c r="AE678" i="16"/>
  <c r="AE677" i="16"/>
  <c r="AE676" i="16"/>
  <c r="AE675" i="16"/>
  <c r="AE674" i="16"/>
  <c r="AE673" i="16"/>
  <c r="AE672" i="16"/>
  <c r="AE671" i="16"/>
  <c r="AE670" i="16"/>
  <c r="AE669" i="16"/>
  <c r="AE668" i="16"/>
  <c r="AE667" i="16"/>
  <c r="AE666" i="16"/>
  <c r="AE665" i="16"/>
  <c r="AE664" i="16"/>
  <c r="AE663" i="16"/>
  <c r="AE662" i="16"/>
  <c r="AE661" i="16"/>
  <c r="AE660" i="16"/>
  <c r="AE659" i="16"/>
  <c r="AE658" i="16"/>
  <c r="AE657" i="16"/>
  <c r="AE656" i="16"/>
  <c r="AE655" i="16"/>
  <c r="AE654" i="16"/>
  <c r="AE653" i="16"/>
  <c r="AE652" i="16"/>
  <c r="AE651" i="16"/>
  <c r="AE650" i="16"/>
  <c r="AE649" i="16"/>
  <c r="AE648" i="16"/>
  <c r="AE647" i="16"/>
  <c r="AE646" i="16"/>
  <c r="AE645" i="16"/>
  <c r="AE644" i="16"/>
  <c r="AE643" i="16"/>
  <c r="AE642" i="16"/>
  <c r="AE641" i="16"/>
  <c r="AE640" i="16"/>
  <c r="AE639" i="16"/>
  <c r="AE638" i="16"/>
  <c r="AE637" i="16"/>
  <c r="AE636" i="16"/>
  <c r="AE635" i="16"/>
  <c r="AE634" i="16"/>
  <c r="AE633" i="16"/>
  <c r="AE632" i="16"/>
  <c r="AE631" i="16"/>
  <c r="AE630" i="16"/>
  <c r="AE629" i="16"/>
  <c r="AE628" i="16"/>
  <c r="AE627" i="16"/>
  <c r="AE626" i="16"/>
  <c r="AE625" i="16"/>
  <c r="AE624" i="16"/>
  <c r="AE623" i="16"/>
  <c r="AE622" i="16"/>
  <c r="AE621" i="16"/>
  <c r="AE620" i="16"/>
  <c r="AE619" i="16"/>
  <c r="AE618" i="16"/>
  <c r="AE617" i="16"/>
  <c r="AE616" i="16"/>
  <c r="AE615" i="16"/>
  <c r="AE614" i="16"/>
  <c r="AE613" i="16"/>
  <c r="AE612" i="16"/>
  <c r="AE611" i="16"/>
  <c r="AE610" i="16"/>
  <c r="AE609" i="16"/>
  <c r="AE608" i="16"/>
  <c r="AE607" i="16"/>
  <c r="AE606" i="16"/>
  <c r="AE605" i="16"/>
  <c r="AE604" i="16"/>
  <c r="AE603" i="16"/>
  <c r="AE602" i="16"/>
  <c r="AE601" i="16"/>
  <c r="AE600" i="16"/>
  <c r="AE599" i="16"/>
  <c r="AE598" i="16"/>
  <c r="AE597" i="16"/>
  <c r="AE596" i="16"/>
  <c r="AE595" i="16"/>
  <c r="AE594" i="16"/>
  <c r="AE593" i="16"/>
  <c r="AE592" i="16"/>
  <c r="AE591" i="16"/>
  <c r="AE590" i="16"/>
  <c r="AE589" i="16"/>
  <c r="AE588" i="16"/>
  <c r="AE587" i="16"/>
  <c r="AE586" i="16"/>
  <c r="AE585" i="16"/>
  <c r="AE584" i="16"/>
  <c r="AE583" i="16"/>
  <c r="AE582" i="16"/>
  <c r="AE581" i="16"/>
  <c r="AE580" i="16"/>
  <c r="AE579" i="16"/>
  <c r="AE578" i="16"/>
  <c r="AE577" i="16"/>
  <c r="AE576" i="16"/>
  <c r="AE575" i="16"/>
  <c r="AE574" i="16"/>
  <c r="AE573" i="16"/>
  <c r="AE572" i="16"/>
  <c r="AE571" i="16"/>
  <c r="AE570" i="16"/>
  <c r="AE569" i="16"/>
  <c r="AE568" i="16"/>
  <c r="AE567" i="16"/>
  <c r="AE566" i="16"/>
  <c r="AE565" i="16"/>
  <c r="AE564" i="16"/>
  <c r="AE563" i="16"/>
  <c r="AE562" i="16"/>
  <c r="AE561" i="16"/>
  <c r="AE560" i="16"/>
  <c r="AE559" i="16"/>
  <c r="AE558" i="16"/>
  <c r="AE557" i="16"/>
  <c r="AE556" i="16"/>
  <c r="AE555" i="16"/>
  <c r="AE554" i="16"/>
  <c r="AE553" i="16"/>
  <c r="AE552" i="16"/>
  <c r="AE551" i="16"/>
  <c r="AE550" i="16"/>
  <c r="AE549" i="16"/>
  <c r="AE548" i="16"/>
  <c r="AE547" i="16"/>
  <c r="AE546" i="16"/>
  <c r="AE545" i="16"/>
  <c r="AE544" i="16"/>
  <c r="AE543" i="16"/>
  <c r="AE542" i="16"/>
  <c r="AE541" i="16"/>
  <c r="AE540" i="16"/>
  <c r="AE539" i="16"/>
  <c r="AE538" i="16"/>
  <c r="AE537" i="16"/>
  <c r="AE536" i="16"/>
  <c r="AE535" i="16"/>
  <c r="AE534" i="16"/>
  <c r="AE533" i="16"/>
  <c r="AE532" i="16"/>
  <c r="AE531" i="16"/>
  <c r="AE530" i="16"/>
  <c r="AE529" i="16"/>
  <c r="AE528" i="16"/>
  <c r="AE527" i="16"/>
  <c r="AE526" i="16"/>
  <c r="AE525" i="16"/>
  <c r="AE524" i="16"/>
  <c r="AE523" i="16"/>
  <c r="AE522" i="16"/>
  <c r="AE521" i="16"/>
  <c r="AE520" i="16"/>
  <c r="AE519" i="16"/>
  <c r="AE518" i="16"/>
  <c r="AE517" i="16"/>
  <c r="AE516" i="16"/>
  <c r="AE515" i="16"/>
  <c r="AE514" i="16"/>
  <c r="AE513" i="16"/>
  <c r="AE512" i="16"/>
  <c r="AE511" i="16"/>
  <c r="AE510" i="16"/>
  <c r="AE509" i="16"/>
  <c r="AE508" i="16"/>
  <c r="AE507" i="16"/>
  <c r="AE506" i="16"/>
  <c r="AE505" i="16"/>
  <c r="AE504" i="16"/>
  <c r="AE503" i="16"/>
  <c r="AE502" i="16"/>
  <c r="AE501" i="16"/>
  <c r="AE500" i="16"/>
  <c r="AE499" i="16"/>
  <c r="AE498" i="16"/>
  <c r="AE497" i="16"/>
  <c r="AE496" i="16"/>
  <c r="AE495" i="16"/>
  <c r="AE494" i="16"/>
  <c r="AE493" i="16"/>
  <c r="AE492" i="16"/>
  <c r="AE491" i="16"/>
  <c r="AE490" i="16"/>
  <c r="AE489" i="16"/>
  <c r="AA9" i="21" s="1"/>
  <c r="AE488" i="16"/>
  <c r="AD488" i="16"/>
  <c r="AC488" i="16"/>
  <c r="AE487" i="16"/>
  <c r="AD487" i="16"/>
  <c r="AC487" i="16"/>
  <c r="AE486" i="16"/>
  <c r="AD486" i="16"/>
  <c r="AC486" i="16"/>
  <c r="AE485" i="16"/>
  <c r="AD485" i="16"/>
  <c r="AC485" i="16"/>
  <c r="AE484" i="16"/>
  <c r="AD484" i="16"/>
  <c r="AC484" i="16"/>
  <c r="AE483" i="16"/>
  <c r="AD483" i="16"/>
  <c r="AC483" i="16"/>
  <c r="AE482" i="16"/>
  <c r="AD482" i="16"/>
  <c r="AC482" i="16"/>
  <c r="AE481" i="16"/>
  <c r="AD481" i="16"/>
  <c r="AC481" i="16"/>
  <c r="AE480" i="16"/>
  <c r="AD480" i="16"/>
  <c r="AC480" i="16"/>
  <c r="AE479" i="16"/>
  <c r="AD479" i="16"/>
  <c r="AC479" i="16"/>
  <c r="AE478" i="16"/>
  <c r="AD478" i="16"/>
  <c r="AC478" i="16"/>
  <c r="AE477" i="16"/>
  <c r="AD477" i="16"/>
  <c r="AC477" i="16"/>
  <c r="AG476" i="16"/>
  <c r="AF476" i="16"/>
  <c r="AB476" i="16"/>
  <c r="AG475" i="16"/>
  <c r="AF475" i="16"/>
  <c r="AB475" i="16"/>
  <c r="AG474" i="16"/>
  <c r="AF474" i="16"/>
  <c r="AB474" i="16"/>
  <c r="AG473" i="16"/>
  <c r="AF473" i="16"/>
  <c r="AB473" i="16"/>
  <c r="AG472" i="16"/>
  <c r="AF472" i="16"/>
  <c r="AB472" i="16"/>
  <c r="AG471" i="16"/>
  <c r="AF471" i="16"/>
  <c r="AB471" i="16"/>
  <c r="AG470" i="16"/>
  <c r="AF470" i="16"/>
  <c r="AB470" i="16"/>
  <c r="AG469" i="16"/>
  <c r="AF469" i="16"/>
  <c r="AB469" i="16"/>
  <c r="AG468" i="16"/>
  <c r="AF468" i="16"/>
  <c r="AB468" i="16"/>
  <c r="AG467" i="16"/>
  <c r="AF467" i="16"/>
  <c r="AB467" i="16"/>
  <c r="AG466" i="16"/>
  <c r="AF466" i="16"/>
  <c r="AB466" i="16"/>
  <c r="AG465" i="16"/>
  <c r="AF465" i="16"/>
  <c r="AB465" i="16"/>
  <c r="AE464" i="16"/>
  <c r="AD464" i="16"/>
  <c r="AC464" i="16"/>
  <c r="AE463" i="16"/>
  <c r="AD463" i="16"/>
  <c r="AC463" i="16"/>
  <c r="AE462" i="16"/>
  <c r="AD462" i="16"/>
  <c r="AC462" i="16"/>
  <c r="AE461" i="16"/>
  <c r="AD461" i="16"/>
  <c r="AC461" i="16"/>
  <c r="AE460" i="16"/>
  <c r="AD460" i="16"/>
  <c r="AC460" i="16"/>
  <c r="AE459" i="16"/>
  <c r="AD459" i="16"/>
  <c r="AC459" i="16"/>
  <c r="AE458" i="16"/>
  <c r="AD458" i="16"/>
  <c r="AC458" i="16"/>
  <c r="AE457" i="16"/>
  <c r="AD457" i="16"/>
  <c r="AC457" i="16"/>
  <c r="AE456" i="16"/>
  <c r="AD456" i="16"/>
  <c r="AC456" i="16"/>
  <c r="AE455" i="16"/>
  <c r="AD455" i="16"/>
  <c r="AC455" i="16"/>
  <c r="AE454" i="16"/>
  <c r="AD454" i="16"/>
  <c r="AC454" i="16"/>
  <c r="AE453" i="16"/>
  <c r="AD453" i="16"/>
  <c r="AC453" i="16"/>
  <c r="AE452" i="16"/>
  <c r="AD452" i="16"/>
  <c r="AC452" i="16"/>
  <c r="AE451" i="16"/>
  <c r="AD451" i="16"/>
  <c r="AC451" i="16"/>
  <c r="AE450" i="16"/>
  <c r="AD450" i="16"/>
  <c r="AC450" i="16"/>
  <c r="AE449" i="16"/>
  <c r="AD449" i="16"/>
  <c r="AC449" i="16"/>
  <c r="AG448" i="16"/>
  <c r="AF448" i="16"/>
  <c r="AB448" i="16"/>
  <c r="AG447" i="16"/>
  <c r="AF447" i="16"/>
  <c r="AB447" i="16"/>
  <c r="AG446" i="16"/>
  <c r="AF446" i="16"/>
  <c r="AB446" i="16"/>
  <c r="AG445" i="16"/>
  <c r="AF445" i="16"/>
  <c r="AB445" i="16"/>
  <c r="AE444" i="16"/>
  <c r="AD444" i="16"/>
  <c r="AC444" i="16"/>
  <c r="AE443" i="16"/>
  <c r="AD443" i="16"/>
  <c r="AC443" i="16"/>
  <c r="AE442" i="16"/>
  <c r="AD442" i="16"/>
  <c r="AC442" i="16"/>
  <c r="AE441" i="16"/>
  <c r="AD441" i="16"/>
  <c r="AC441" i="16"/>
  <c r="AE440" i="16"/>
  <c r="AD440" i="16"/>
  <c r="AC440" i="16"/>
  <c r="AE439" i="16"/>
  <c r="AD439" i="16"/>
  <c r="AC439" i="16"/>
  <c r="AE438" i="16"/>
  <c r="AD438" i="16"/>
  <c r="AC438" i="16"/>
  <c r="AG437" i="16"/>
  <c r="AF437" i="16"/>
  <c r="AB437" i="16"/>
  <c r="AG436" i="16"/>
  <c r="AF436" i="16"/>
  <c r="AB436" i="16"/>
  <c r="AG435" i="16"/>
  <c r="AF435" i="16"/>
  <c r="AB435" i="16"/>
  <c r="AE434" i="16"/>
  <c r="AD434" i="16"/>
  <c r="AC434" i="16"/>
  <c r="AE433" i="16"/>
  <c r="AD433" i="16"/>
  <c r="AC433" i="16"/>
  <c r="AE432" i="16"/>
  <c r="AD432" i="16"/>
  <c r="AC432" i="16"/>
  <c r="AE431" i="16"/>
  <c r="AD431" i="16"/>
  <c r="AC431" i="16"/>
  <c r="AE430" i="16"/>
  <c r="AD430" i="16"/>
  <c r="AC430" i="16"/>
  <c r="AE429" i="16"/>
  <c r="AD429" i="16"/>
  <c r="AC429" i="16"/>
  <c r="AE428" i="16"/>
  <c r="AD428" i="16"/>
  <c r="AC428" i="16"/>
  <c r="AE427" i="16"/>
  <c r="AD427" i="16"/>
  <c r="AC427" i="16"/>
  <c r="AE426" i="16"/>
  <c r="AD426" i="16"/>
  <c r="AC426" i="16"/>
  <c r="AE425" i="16"/>
  <c r="AD425" i="16"/>
  <c r="AC425" i="16"/>
  <c r="AE424" i="16"/>
  <c r="AD424" i="16"/>
  <c r="AC424" i="16"/>
  <c r="AE423" i="16"/>
  <c r="AD423" i="16"/>
  <c r="AC423" i="16"/>
  <c r="AE422" i="16"/>
  <c r="AD422" i="16"/>
  <c r="AC422" i="16"/>
  <c r="AE421" i="16"/>
  <c r="AD421" i="16"/>
  <c r="AC421" i="16"/>
  <c r="AE420" i="16"/>
  <c r="AD420" i="16"/>
  <c r="AC420" i="16"/>
  <c r="AG419" i="16"/>
  <c r="AF419" i="16"/>
  <c r="AB419" i="16"/>
  <c r="AG418" i="16"/>
  <c r="AF418" i="16"/>
  <c r="AB418" i="16"/>
  <c r="AG417" i="16"/>
  <c r="AF417" i="16"/>
  <c r="AB417" i="16"/>
  <c r="AG416" i="16"/>
  <c r="AF416" i="16"/>
  <c r="AB416" i="16"/>
  <c r="AG415" i="16"/>
  <c r="AF415" i="16"/>
  <c r="AB415" i="16"/>
  <c r="AG414" i="16"/>
  <c r="AF414" i="16"/>
  <c r="AB414" i="16"/>
  <c r="AG413" i="16"/>
  <c r="AF413" i="16"/>
  <c r="AB413" i="16"/>
  <c r="AG412" i="16"/>
  <c r="AF412" i="16"/>
  <c r="AB412" i="16"/>
  <c r="AG411" i="16"/>
  <c r="AF411" i="16"/>
  <c r="AB411" i="16"/>
  <c r="AG410" i="16"/>
  <c r="AF410" i="16"/>
  <c r="AB410" i="16"/>
  <c r="AG409" i="16"/>
  <c r="AF409" i="16"/>
  <c r="AB409" i="16"/>
  <c r="AG408" i="16"/>
  <c r="AF408" i="16"/>
  <c r="AB408" i="16"/>
  <c r="AE407" i="16"/>
  <c r="AD407" i="16"/>
  <c r="AC407" i="16"/>
  <c r="AE406" i="16"/>
  <c r="AD406" i="16"/>
  <c r="AC406" i="16"/>
  <c r="AE405" i="16"/>
  <c r="AD405" i="16"/>
  <c r="AC405" i="16"/>
  <c r="AE404" i="16"/>
  <c r="AD404" i="16"/>
  <c r="AC404" i="16"/>
  <c r="AE403" i="16"/>
  <c r="AD403" i="16"/>
  <c r="AC403" i="16"/>
  <c r="AE402" i="16"/>
  <c r="AD402" i="16"/>
  <c r="AC402" i="16"/>
  <c r="AE401" i="16"/>
  <c r="AD401" i="16"/>
  <c r="AC401" i="16"/>
  <c r="AE400" i="16"/>
  <c r="AD400" i="16"/>
  <c r="AC400" i="16"/>
  <c r="AE399" i="16"/>
  <c r="AD399" i="16"/>
  <c r="AC399" i="16"/>
  <c r="AE398" i="16"/>
  <c r="AD398" i="16"/>
  <c r="AC398" i="16"/>
  <c r="AE397" i="16"/>
  <c r="AD397" i="16"/>
  <c r="AC397" i="16"/>
  <c r="AE396" i="16"/>
  <c r="AD396" i="16"/>
  <c r="AC396" i="16"/>
  <c r="AE395" i="16"/>
  <c r="AE394" i="16"/>
  <c r="AE393" i="16"/>
  <c r="AE392" i="16"/>
  <c r="AE391" i="16"/>
  <c r="AE390" i="16"/>
  <c r="AE389" i="16"/>
  <c r="AE388" i="16"/>
  <c r="AE387" i="16"/>
  <c r="AE386" i="16"/>
  <c r="AE385" i="16"/>
  <c r="AE384" i="16"/>
  <c r="AE383" i="16"/>
  <c r="AE382" i="16"/>
  <c r="AE381" i="16"/>
  <c r="AE380" i="16"/>
  <c r="AE379" i="16"/>
  <c r="AE378" i="16"/>
  <c r="AE377" i="16"/>
  <c r="AE376" i="16"/>
  <c r="AE375" i="16"/>
  <c r="AE374" i="16"/>
  <c r="AE373" i="16"/>
  <c r="AE372" i="16"/>
  <c r="AE371" i="16"/>
  <c r="AE370" i="16"/>
  <c r="AE369" i="16"/>
  <c r="AE368" i="16"/>
  <c r="AE367" i="16"/>
  <c r="AE366" i="16"/>
  <c r="AE365" i="16"/>
  <c r="AE364" i="16"/>
  <c r="AE363" i="16"/>
  <c r="AE362" i="16"/>
  <c r="AE361" i="16"/>
  <c r="AE360" i="16"/>
  <c r="AG359" i="16"/>
  <c r="AF359" i="16"/>
  <c r="AG358" i="16"/>
  <c r="AF358" i="16"/>
  <c r="AG357" i="16"/>
  <c r="AF357" i="16"/>
  <c r="AG356" i="16"/>
  <c r="AF356" i="16"/>
  <c r="AG355" i="16"/>
  <c r="AF355" i="16"/>
  <c r="AG354" i="16"/>
  <c r="AF354" i="16"/>
  <c r="AG353" i="16"/>
  <c r="AF353" i="16"/>
  <c r="AG352" i="16"/>
  <c r="AF352" i="16"/>
  <c r="AG351" i="16"/>
  <c r="AF351" i="16"/>
  <c r="AG350" i="16"/>
  <c r="AF350" i="16"/>
  <c r="AG349" i="16"/>
  <c r="AF349" i="16"/>
  <c r="AG348" i="16"/>
  <c r="AF348" i="16"/>
  <c r="AG347" i="16"/>
  <c r="AF347" i="16"/>
  <c r="AG346" i="16"/>
  <c r="AF346" i="16"/>
  <c r="AG345" i="16"/>
  <c r="AF345" i="16"/>
  <c r="AG344" i="16"/>
  <c r="AF344" i="16"/>
  <c r="AG343" i="16"/>
  <c r="AF343" i="16"/>
  <c r="AG342" i="16"/>
  <c r="AF342" i="16"/>
  <c r="AG341" i="16"/>
  <c r="AF341" i="16"/>
  <c r="AG340" i="16"/>
  <c r="AF340" i="16"/>
  <c r="AG339" i="16"/>
  <c r="AF339" i="16"/>
  <c r="AG338" i="16"/>
  <c r="AF338" i="16"/>
  <c r="AG337" i="16"/>
  <c r="AF337" i="16"/>
  <c r="AG336" i="16"/>
  <c r="AF336" i="16"/>
  <c r="AE335" i="16"/>
  <c r="AE334" i="16"/>
  <c r="AE333" i="16"/>
  <c r="AE332" i="16"/>
  <c r="AE331" i="16"/>
  <c r="AE330" i="16"/>
  <c r="AE329" i="16"/>
  <c r="AE328" i="16"/>
  <c r="AE327" i="16"/>
  <c r="AE326" i="16"/>
  <c r="AE325" i="16"/>
  <c r="AE324" i="16"/>
  <c r="AE323" i="16"/>
  <c r="AE322" i="16"/>
  <c r="AE321" i="16"/>
  <c r="AE320" i="16"/>
  <c r="AE319" i="16"/>
  <c r="AE318" i="16"/>
  <c r="AE317" i="16"/>
  <c r="AE316" i="16"/>
  <c r="AE315" i="16"/>
  <c r="AE314" i="16"/>
  <c r="AE313" i="16"/>
  <c r="AE312" i="16"/>
  <c r="AE311" i="16"/>
  <c r="AE310" i="16"/>
  <c r="AE309" i="16"/>
  <c r="AE308" i="16"/>
  <c r="AE307" i="16"/>
  <c r="AE306" i="16"/>
  <c r="AE305" i="16"/>
  <c r="AE304" i="16"/>
  <c r="AE303" i="16"/>
  <c r="AE302" i="16"/>
  <c r="AE301" i="16"/>
  <c r="AE300" i="16"/>
  <c r="AE299" i="16"/>
  <c r="AE298" i="16"/>
  <c r="AE297" i="16"/>
  <c r="AE296" i="16"/>
  <c r="AE295" i="16"/>
  <c r="AE294" i="16"/>
  <c r="AE293" i="16"/>
  <c r="AE292" i="16"/>
  <c r="AE291" i="16"/>
  <c r="AE290" i="16"/>
  <c r="AE289" i="16"/>
  <c r="AE288" i="16"/>
  <c r="AG287" i="16"/>
  <c r="AF287" i="16"/>
  <c r="AG286" i="16"/>
  <c r="AF286" i="16"/>
  <c r="AG285" i="16"/>
  <c r="AF285" i="16"/>
  <c r="AG284" i="16"/>
  <c r="AF284" i="16"/>
  <c r="AG283" i="16"/>
  <c r="AF283" i="16"/>
  <c r="AG282" i="16"/>
  <c r="AF282" i="16"/>
  <c r="AG281" i="16"/>
  <c r="AF281" i="16"/>
  <c r="AG280" i="16"/>
  <c r="AF280" i="16"/>
  <c r="AG279" i="16"/>
  <c r="AF279" i="16"/>
  <c r="AG278" i="16"/>
  <c r="AF278" i="16"/>
  <c r="AG277" i="16"/>
  <c r="AF277" i="16"/>
  <c r="AG276" i="16"/>
  <c r="AF276" i="16"/>
  <c r="AG275" i="16"/>
  <c r="AF275" i="16"/>
  <c r="AG274" i="16"/>
  <c r="AF274" i="16"/>
  <c r="AG273" i="16"/>
  <c r="AF273" i="16"/>
  <c r="AG272" i="16"/>
  <c r="AF272" i="16"/>
  <c r="AG271" i="16"/>
  <c r="AF271" i="16"/>
  <c r="AG270" i="16"/>
  <c r="AF270" i="16"/>
  <c r="AG269" i="16"/>
  <c r="AF269" i="16"/>
  <c r="AG268" i="16"/>
  <c r="AF268" i="16"/>
  <c r="AG267" i="16"/>
  <c r="AF267" i="16"/>
  <c r="AG266" i="16"/>
  <c r="AF266" i="16"/>
  <c r="AG265" i="16"/>
  <c r="AF265" i="16"/>
  <c r="AG264" i="16"/>
  <c r="AF264" i="16"/>
  <c r="AE263" i="16"/>
  <c r="AE262" i="16"/>
  <c r="AE261" i="16"/>
  <c r="AE260" i="16"/>
  <c r="AE259" i="16"/>
  <c r="AE258" i="16"/>
  <c r="AE257" i="16"/>
  <c r="AE256" i="16"/>
  <c r="AE255" i="16"/>
  <c r="AE254" i="16"/>
  <c r="AE253" i="16"/>
  <c r="AE252" i="16"/>
  <c r="AE251" i="16"/>
  <c r="AE250" i="16"/>
  <c r="AE249" i="16"/>
  <c r="AE248" i="16"/>
  <c r="AE247" i="16"/>
  <c r="AE246" i="16"/>
  <c r="AE245" i="16"/>
  <c r="AE244" i="16"/>
  <c r="AE243" i="16"/>
  <c r="AE242" i="16"/>
  <c r="AE241" i="16"/>
  <c r="AE240" i="16"/>
  <c r="AG239" i="16"/>
  <c r="AE239" i="16"/>
  <c r="AG238" i="16"/>
  <c r="AE238" i="16"/>
  <c r="AG237" i="16"/>
  <c r="AE237" i="16"/>
  <c r="AG236" i="16"/>
  <c r="AE236" i="16"/>
  <c r="AG235" i="16"/>
  <c r="AE235" i="16"/>
  <c r="AG234" i="16"/>
  <c r="AE234" i="16"/>
  <c r="AG233" i="16"/>
  <c r="AE233" i="16"/>
  <c r="AG232" i="16"/>
  <c r="AE232" i="16"/>
  <c r="AG231" i="16"/>
  <c r="AE231" i="16"/>
  <c r="AG230" i="16"/>
  <c r="AE230" i="16"/>
  <c r="AG229" i="16"/>
  <c r="AE229" i="16"/>
  <c r="AG228" i="16"/>
  <c r="AE228" i="16"/>
  <c r="AG227" i="16"/>
  <c r="AF227" i="16"/>
  <c r="AG226" i="16"/>
  <c r="AF226" i="16"/>
  <c r="AG225" i="16"/>
  <c r="AF225" i="16"/>
  <c r="AG224" i="16"/>
  <c r="AF224" i="16"/>
  <c r="AG223" i="16"/>
  <c r="AF223" i="16"/>
  <c r="AG222" i="16"/>
  <c r="AF222" i="16"/>
  <c r="AG221" i="16"/>
  <c r="AF221" i="16"/>
  <c r="AG220" i="16"/>
  <c r="AF220" i="16"/>
  <c r="AG219" i="16"/>
  <c r="AF219" i="16"/>
  <c r="AG218" i="16"/>
  <c r="AF218" i="16"/>
  <c r="AG217" i="16"/>
  <c r="AF217" i="16"/>
  <c r="AG216" i="16"/>
  <c r="AF216" i="16"/>
  <c r="AG215" i="16"/>
  <c r="AE215" i="16"/>
  <c r="AG214" i="16"/>
  <c r="AE214" i="16"/>
  <c r="AG213" i="16"/>
  <c r="AE213" i="16"/>
  <c r="AG212" i="16"/>
  <c r="AE212" i="16"/>
  <c r="AG211" i="16"/>
  <c r="AE211" i="16"/>
  <c r="AG210" i="16"/>
  <c r="AE210" i="16"/>
  <c r="AG209" i="16"/>
  <c r="AE209" i="16"/>
  <c r="AG208" i="16"/>
  <c r="AE208" i="16"/>
  <c r="AG207" i="16"/>
  <c r="AE207" i="16"/>
  <c r="AG206" i="16"/>
  <c r="AE206" i="16"/>
  <c r="AG205" i="16"/>
  <c r="AE205" i="16"/>
  <c r="AG204" i="16"/>
  <c r="AE204" i="16"/>
  <c r="AE203" i="16"/>
  <c r="AE202" i="16"/>
  <c r="AE201" i="16"/>
  <c r="AE200" i="16"/>
  <c r="AE199" i="16"/>
  <c r="AE198" i="16"/>
  <c r="AE197" i="16"/>
  <c r="AE196" i="16"/>
  <c r="AE195" i="16"/>
  <c r="AE194" i="16"/>
  <c r="AE193" i="16"/>
  <c r="AE192" i="16"/>
  <c r="AE191" i="16"/>
  <c r="AE190" i="16"/>
  <c r="AE189" i="16"/>
  <c r="AE188" i="16"/>
  <c r="AE187" i="16"/>
  <c r="AE186" i="16"/>
  <c r="AE185" i="16"/>
  <c r="AE184" i="16"/>
  <c r="AE183" i="16"/>
  <c r="AE182" i="16"/>
  <c r="AE181" i="16"/>
  <c r="AE180" i="16"/>
  <c r="AG179" i="16"/>
  <c r="AF179" i="16"/>
  <c r="AG178" i="16"/>
  <c r="AF178" i="16"/>
  <c r="AG177" i="16"/>
  <c r="AF177" i="16"/>
  <c r="AG176" i="16"/>
  <c r="AF176" i="16"/>
  <c r="AG175" i="16"/>
  <c r="AF175" i="16"/>
  <c r="AG174" i="16"/>
  <c r="AF174" i="16"/>
  <c r="AG173" i="16"/>
  <c r="AF173" i="16"/>
  <c r="AG172" i="16"/>
  <c r="AF172" i="16"/>
  <c r="AG171" i="16"/>
  <c r="AF171" i="16"/>
  <c r="AG170" i="16"/>
  <c r="AF170" i="16"/>
  <c r="AG169" i="16"/>
  <c r="AF169" i="16"/>
  <c r="AG168" i="16"/>
  <c r="AF168" i="16"/>
  <c r="AG167" i="16"/>
  <c r="AF167" i="16"/>
  <c r="AG166" i="16"/>
  <c r="AF166" i="16"/>
  <c r="AG165" i="16"/>
  <c r="AF165" i="16"/>
  <c r="AG164" i="16"/>
  <c r="AF164" i="16"/>
  <c r="AG163" i="16"/>
  <c r="AF163" i="16"/>
  <c r="AG162" i="16"/>
  <c r="AF162" i="16"/>
  <c r="AG161" i="16"/>
  <c r="AF161" i="16"/>
  <c r="AG160" i="16"/>
  <c r="AF160" i="16"/>
  <c r="AG159" i="16"/>
  <c r="AF159" i="16"/>
  <c r="AG158" i="16"/>
  <c r="AF158" i="16"/>
  <c r="AG157" i="16"/>
  <c r="AF157" i="16"/>
  <c r="AG156" i="16"/>
  <c r="AF156" i="16"/>
  <c r="AE155" i="16"/>
  <c r="AE154" i="16"/>
  <c r="AE153" i="16"/>
  <c r="AE152" i="16"/>
  <c r="AE151" i="16"/>
  <c r="AE150" i="16"/>
  <c r="AE149" i="16"/>
  <c r="AE148" i="16"/>
  <c r="AE147" i="16"/>
  <c r="AE146" i="16"/>
  <c r="AE145" i="16"/>
  <c r="AE144" i="16"/>
  <c r="AE143" i="16"/>
  <c r="AE142" i="16"/>
  <c r="AE141" i="16"/>
  <c r="AE140" i="16"/>
  <c r="AE139" i="16"/>
  <c r="AE138" i="16"/>
  <c r="AE137" i="16"/>
  <c r="AE136" i="16"/>
  <c r="AE135" i="16"/>
  <c r="AE134" i="16"/>
  <c r="AE133" i="16"/>
  <c r="AE132" i="16"/>
  <c r="AD131" i="16"/>
  <c r="AC131" i="16"/>
  <c r="AB131" i="16"/>
  <c r="AD130" i="16"/>
  <c r="AC130" i="16"/>
  <c r="AB130" i="16"/>
  <c r="AD129" i="16"/>
  <c r="AC129" i="16"/>
  <c r="AB129" i="16"/>
  <c r="AD128" i="16"/>
  <c r="AC128" i="16"/>
  <c r="AB128" i="16"/>
  <c r="AD127" i="16"/>
  <c r="AC127" i="16"/>
  <c r="AB127" i="16"/>
  <c r="AD126" i="16"/>
  <c r="AC126" i="16"/>
  <c r="AB126" i="16"/>
  <c r="AD125" i="16"/>
  <c r="AC125" i="16"/>
  <c r="AB125" i="16"/>
  <c r="AD124" i="16"/>
  <c r="AC124" i="16"/>
  <c r="AB124" i="16"/>
  <c r="AD123" i="16"/>
  <c r="AC123" i="16"/>
  <c r="AB123" i="16"/>
  <c r="AD122" i="16"/>
  <c r="AC122" i="16"/>
  <c r="AB122" i="16"/>
  <c r="AD121" i="16"/>
  <c r="AC121" i="16"/>
  <c r="AB121" i="16"/>
  <c r="AD120" i="16"/>
  <c r="AC120" i="16"/>
  <c r="AB120" i="16"/>
  <c r="AD119" i="16"/>
  <c r="AC119" i="16"/>
  <c r="AB119" i="16"/>
  <c r="AD118" i="16"/>
  <c r="AC118" i="16"/>
  <c r="AB118" i="16"/>
  <c r="AD117" i="16"/>
  <c r="AC117" i="16"/>
  <c r="AB117" i="16"/>
  <c r="AD116" i="16"/>
  <c r="AC116" i="16"/>
  <c r="AB116" i="16"/>
  <c r="AD115" i="16"/>
  <c r="AC115" i="16"/>
  <c r="AB115" i="16"/>
  <c r="AD114" i="16"/>
  <c r="AC114" i="16"/>
  <c r="AB114" i="16"/>
  <c r="AD113" i="16"/>
  <c r="AC113" i="16"/>
  <c r="AB113" i="16"/>
  <c r="AD112" i="16"/>
  <c r="AC112" i="16"/>
  <c r="AB112" i="16"/>
  <c r="AD111" i="16"/>
  <c r="AC111" i="16"/>
  <c r="AB111" i="16"/>
  <c r="AD110" i="16"/>
  <c r="AC110" i="16"/>
  <c r="AB110" i="16"/>
  <c r="AD109" i="16"/>
  <c r="AC109" i="16"/>
  <c r="AB109" i="16"/>
  <c r="AD108" i="16"/>
  <c r="AC108" i="16"/>
  <c r="AB108" i="16"/>
  <c r="AG83" i="16"/>
  <c r="AF83" i="16"/>
  <c r="AB83" i="16"/>
  <c r="AG82" i="16"/>
  <c r="AF82" i="16"/>
  <c r="AB82" i="16"/>
  <c r="AG81" i="16"/>
  <c r="AF81" i="16"/>
  <c r="AB81" i="16"/>
  <c r="AG80" i="16"/>
  <c r="AF80" i="16"/>
  <c r="AB80" i="16"/>
  <c r="AG79" i="16"/>
  <c r="AF79" i="16"/>
  <c r="AB79" i="16"/>
  <c r="AG78" i="16"/>
  <c r="AF78" i="16"/>
  <c r="AB78" i="16"/>
  <c r="AG77" i="16"/>
  <c r="AF77" i="16"/>
  <c r="AB77" i="16"/>
  <c r="AG76" i="16"/>
  <c r="AF76" i="16"/>
  <c r="AB76" i="16"/>
  <c r="AE75" i="16"/>
  <c r="AD75" i="16"/>
  <c r="AC75" i="16"/>
  <c r="AE74" i="16"/>
  <c r="AD74" i="16"/>
  <c r="AC74" i="16"/>
  <c r="AE73" i="16"/>
  <c r="AD73" i="16"/>
  <c r="AC73" i="16"/>
  <c r="AE72" i="16"/>
  <c r="AD72" i="16"/>
  <c r="AC72" i="16"/>
  <c r="AE71" i="16"/>
  <c r="AD71" i="16"/>
  <c r="AC71" i="16"/>
  <c r="AE70" i="16"/>
  <c r="AD70" i="16"/>
  <c r="AC70" i="16"/>
  <c r="AE69" i="16"/>
  <c r="AD69" i="16"/>
  <c r="AC69" i="16"/>
  <c r="AE68" i="16"/>
  <c r="AD68" i="16"/>
  <c r="AC68" i="16"/>
  <c r="AE67" i="16"/>
  <c r="AD67" i="16"/>
  <c r="AC67" i="16"/>
  <c r="AG66" i="16"/>
  <c r="AF66" i="16"/>
  <c r="AB66" i="16"/>
  <c r="AG65" i="16"/>
  <c r="AF65" i="16"/>
  <c r="AB65" i="16"/>
  <c r="AG64" i="16"/>
  <c r="AF64" i="16"/>
  <c r="AB64" i="16"/>
  <c r="AG63" i="16"/>
  <c r="AF63" i="16"/>
  <c r="AB63" i="16"/>
  <c r="AG62" i="16"/>
  <c r="AF62" i="16"/>
  <c r="AB62" i="16"/>
  <c r="AG61" i="16"/>
  <c r="AF61" i="16"/>
  <c r="AB61" i="16"/>
  <c r="AG60" i="16"/>
  <c r="AF60" i="16"/>
  <c r="AB60" i="16"/>
  <c r="AG59" i="16"/>
  <c r="AF59" i="16"/>
  <c r="AB59" i="16"/>
  <c r="AG58" i="16"/>
  <c r="AF58" i="16"/>
  <c r="AB58" i="16"/>
  <c r="AE57" i="16"/>
  <c r="AD57" i="16"/>
  <c r="AC57" i="16"/>
  <c r="AE56" i="16"/>
  <c r="AD56" i="16"/>
  <c r="AC56" i="16"/>
  <c r="AE55" i="16"/>
  <c r="AD55" i="16"/>
  <c r="AC55" i="16"/>
  <c r="AE54" i="16"/>
  <c r="AD54" i="16"/>
  <c r="AC54" i="16"/>
  <c r="AE53" i="16"/>
  <c r="AD53" i="16"/>
  <c r="AC53" i="16"/>
  <c r="AE52" i="16"/>
  <c r="AD52" i="16"/>
  <c r="AC52" i="16"/>
  <c r="AE51" i="16"/>
  <c r="AD51" i="16"/>
  <c r="AC51" i="16"/>
  <c r="AE50" i="16"/>
  <c r="AD50" i="16"/>
  <c r="AC50" i="16"/>
  <c r="AE49" i="16"/>
  <c r="AD49" i="16"/>
  <c r="AC49" i="16"/>
  <c r="AE48" i="16"/>
  <c r="AD48" i="16"/>
  <c r="AC48" i="16"/>
  <c r="AE47" i="16"/>
  <c r="AD47" i="16"/>
  <c r="AC47" i="16"/>
  <c r="AG46" i="16"/>
  <c r="AF46" i="16"/>
  <c r="AB46" i="16"/>
  <c r="AG45" i="16"/>
  <c r="AF45" i="16"/>
  <c r="AB45" i="16"/>
  <c r="AE44" i="16"/>
  <c r="AD44" i="16"/>
  <c r="AC44" i="16"/>
  <c r="AE43" i="16"/>
  <c r="AD43" i="16"/>
  <c r="AC43" i="16"/>
  <c r="AE42" i="16"/>
  <c r="AE41" i="16"/>
  <c r="AG40" i="16"/>
  <c r="AF40" i="16"/>
  <c r="AG39" i="16"/>
  <c r="AF39" i="16"/>
  <c r="AG38" i="16"/>
  <c r="AF38" i="16"/>
  <c r="AG37" i="16"/>
  <c r="AF37" i="16"/>
  <c r="AG36" i="16"/>
  <c r="AF36" i="16"/>
  <c r="AG35" i="16"/>
  <c r="AF35" i="16"/>
  <c r="AG34" i="16"/>
  <c r="AF34" i="16"/>
  <c r="AG33" i="16"/>
  <c r="AF33" i="16"/>
  <c r="AG32" i="16"/>
  <c r="AF32" i="16"/>
  <c r="AG31" i="16"/>
  <c r="AF31" i="16"/>
  <c r="AG30" i="16"/>
  <c r="AF30" i="16"/>
  <c r="AG29" i="16"/>
  <c r="AF29" i="16"/>
  <c r="AD28" i="16"/>
  <c r="AC28" i="16"/>
  <c r="AB28" i="16"/>
  <c r="AD27" i="16"/>
  <c r="AC27" i="16"/>
  <c r="AB27" i="16"/>
  <c r="AD26" i="16"/>
  <c r="AC26" i="16"/>
  <c r="AB26" i="16"/>
  <c r="AD25" i="16"/>
  <c r="AC25" i="16"/>
  <c r="AB25" i="16"/>
  <c r="AD24" i="16"/>
  <c r="AC24" i="16"/>
  <c r="AB24" i="16"/>
  <c r="AD23" i="16"/>
  <c r="AC23" i="16"/>
  <c r="AB23" i="16"/>
  <c r="AD22" i="16"/>
  <c r="AC22" i="16"/>
  <c r="AB22" i="16"/>
  <c r="AD21" i="16"/>
  <c r="AC21" i="16"/>
  <c r="AB21" i="16"/>
  <c r="AD20" i="16"/>
  <c r="AC20" i="16"/>
  <c r="AB20" i="16"/>
  <c r="AD19" i="16"/>
  <c r="AC19" i="16"/>
  <c r="AB19" i="16"/>
  <c r="AD18" i="16"/>
  <c r="AC18" i="16"/>
  <c r="AB18" i="16"/>
  <c r="AD17" i="16"/>
  <c r="AC17" i="16"/>
  <c r="AB17" i="16"/>
  <c r="AD16" i="16"/>
  <c r="AC16" i="16"/>
  <c r="AB16" i="16"/>
  <c r="AD15" i="16"/>
  <c r="AC15" i="16"/>
  <c r="AB15" i="16"/>
  <c r="AD14" i="16"/>
  <c r="AC14" i="16"/>
  <c r="AB14" i="16"/>
  <c r="AD13" i="16"/>
  <c r="AC13" i="16"/>
  <c r="AB13" i="16"/>
  <c r="AD12" i="16"/>
  <c r="AC12" i="16"/>
  <c r="AB12" i="16"/>
  <c r="AD11" i="16"/>
  <c r="AC11" i="16"/>
  <c r="AB11" i="16"/>
  <c r="AD10" i="16"/>
  <c r="AC10" i="16"/>
  <c r="AB10" i="16"/>
  <c r="AD9" i="16"/>
  <c r="AC9" i="16"/>
  <c r="AB9" i="16"/>
  <c r="AD8" i="16"/>
  <c r="AC8" i="16"/>
  <c r="AB8" i="16"/>
  <c r="AD7" i="16"/>
  <c r="AC7" i="16"/>
  <c r="AB7" i="16"/>
  <c r="X886" i="16"/>
  <c r="AD886" i="16" s="1"/>
  <c r="W886" i="16"/>
  <c r="AC886" i="16" s="1"/>
  <c r="V886" i="16"/>
  <c r="AB886" i="16" s="1"/>
  <c r="X885" i="16"/>
  <c r="AD885" i="16" s="1"/>
  <c r="W885" i="16"/>
  <c r="AC885" i="16" s="1"/>
  <c r="V885" i="16"/>
  <c r="AB885" i="16" s="1"/>
  <c r="X884" i="16"/>
  <c r="W884" i="16"/>
  <c r="AC884" i="16" s="1"/>
  <c r="V884" i="16"/>
  <c r="AB884" i="16" s="1"/>
  <c r="X883" i="16"/>
  <c r="AD883" i="16" s="1"/>
  <c r="W883" i="16"/>
  <c r="AC883" i="16" s="1"/>
  <c r="V883" i="16"/>
  <c r="AB883" i="16" s="1"/>
  <c r="X882" i="16"/>
  <c r="AD882" i="16" s="1"/>
  <c r="W882" i="16"/>
  <c r="AC882" i="16" s="1"/>
  <c r="V882" i="16"/>
  <c r="AB882" i="16" s="1"/>
  <c r="X881" i="16"/>
  <c r="AD881" i="16" s="1"/>
  <c r="W881" i="16"/>
  <c r="AC881" i="16" s="1"/>
  <c r="V881" i="16"/>
  <c r="AB881" i="16" s="1"/>
  <c r="X880" i="16"/>
  <c r="AD880" i="16" s="1"/>
  <c r="W880" i="16"/>
  <c r="AC880" i="16" s="1"/>
  <c r="V880" i="16"/>
  <c r="AB880" i="16" s="1"/>
  <c r="X879" i="16"/>
  <c r="AD879" i="16" s="1"/>
  <c r="W879" i="16"/>
  <c r="AC879" i="16" s="1"/>
  <c r="V879" i="16"/>
  <c r="AB879" i="16" s="1"/>
  <c r="X878" i="16"/>
  <c r="AD878" i="16" s="1"/>
  <c r="W878" i="16"/>
  <c r="AC878" i="16" s="1"/>
  <c r="V878" i="16"/>
  <c r="AB878" i="16" s="1"/>
  <c r="X877" i="16"/>
  <c r="AD877" i="16" s="1"/>
  <c r="W877" i="16"/>
  <c r="AC877" i="16" s="1"/>
  <c r="V877" i="16"/>
  <c r="AB877" i="16" s="1"/>
  <c r="X876" i="16"/>
  <c r="AD876" i="16" s="1"/>
  <c r="W876" i="16"/>
  <c r="AC876" i="16" s="1"/>
  <c r="V876" i="16"/>
  <c r="AB876" i="16" s="1"/>
  <c r="X875" i="16"/>
  <c r="AD875" i="16" s="1"/>
  <c r="AO7" i="16" s="1"/>
  <c r="W875" i="16"/>
  <c r="AC875" i="16" s="1"/>
  <c r="V875" i="16"/>
  <c r="AB875" i="16" s="1"/>
  <c r="V874" i="16"/>
  <c r="AB874" i="16" s="1"/>
  <c r="V873" i="16"/>
  <c r="AB873" i="16" s="1"/>
  <c r="V872" i="16"/>
  <c r="AB872" i="16" s="1"/>
  <c r="V871" i="16"/>
  <c r="AB871" i="16" s="1"/>
  <c r="V870" i="16"/>
  <c r="AB870" i="16" s="1"/>
  <c r="V869" i="16"/>
  <c r="AB869" i="16" s="1"/>
  <c r="V868" i="16"/>
  <c r="AB868" i="16" s="1"/>
  <c r="V867" i="16"/>
  <c r="AB867" i="16" s="1"/>
  <c r="V866" i="16"/>
  <c r="AB866" i="16" s="1"/>
  <c r="V865" i="16"/>
  <c r="AB865" i="16" s="1"/>
  <c r="V864" i="16"/>
  <c r="AB864" i="16" s="1"/>
  <c r="V863" i="16"/>
  <c r="AB863" i="16" s="1"/>
  <c r="X862" i="16"/>
  <c r="AD862" i="16" s="1"/>
  <c r="W862" i="16"/>
  <c r="AC862" i="16" s="1"/>
  <c r="V862" i="16"/>
  <c r="AB862" i="16" s="1"/>
  <c r="X861" i="16"/>
  <c r="AD861" i="16" s="1"/>
  <c r="W861" i="16"/>
  <c r="AC861" i="16" s="1"/>
  <c r="V861" i="16"/>
  <c r="AB861" i="16" s="1"/>
  <c r="X860" i="16"/>
  <c r="AD860" i="16" s="1"/>
  <c r="W860" i="16"/>
  <c r="AC860" i="16" s="1"/>
  <c r="V860" i="16"/>
  <c r="AB860" i="16" s="1"/>
  <c r="X859" i="16"/>
  <c r="AD859" i="16" s="1"/>
  <c r="W859" i="16"/>
  <c r="AC859" i="16" s="1"/>
  <c r="V859" i="16"/>
  <c r="AB859" i="16" s="1"/>
  <c r="X858" i="16"/>
  <c r="AD858" i="16" s="1"/>
  <c r="W858" i="16"/>
  <c r="AC858" i="16" s="1"/>
  <c r="V858" i="16"/>
  <c r="AB858" i="16" s="1"/>
  <c r="X857" i="16"/>
  <c r="AD857" i="16" s="1"/>
  <c r="W857" i="16"/>
  <c r="AC857" i="16" s="1"/>
  <c r="V857" i="16"/>
  <c r="AB857" i="16" s="1"/>
  <c r="X856" i="16"/>
  <c r="AD856" i="16" s="1"/>
  <c r="W856" i="16"/>
  <c r="AC856" i="16" s="1"/>
  <c r="V856" i="16"/>
  <c r="AB856" i="16" s="1"/>
  <c r="X855" i="16"/>
  <c r="AD855" i="16" s="1"/>
  <c r="W855" i="16"/>
  <c r="AC855" i="16" s="1"/>
  <c r="V855" i="16"/>
  <c r="AB855" i="16" s="1"/>
  <c r="X854" i="16"/>
  <c r="AD854" i="16" s="1"/>
  <c r="W854" i="16"/>
  <c r="AC854" i="16" s="1"/>
  <c r="V854" i="16"/>
  <c r="AB854" i="16" s="1"/>
  <c r="X853" i="16"/>
  <c r="AD853" i="16" s="1"/>
  <c r="W853" i="16"/>
  <c r="AC853" i="16" s="1"/>
  <c r="V853" i="16"/>
  <c r="AB853" i="16" s="1"/>
  <c r="X852" i="16"/>
  <c r="AD852" i="16" s="1"/>
  <c r="W852" i="16"/>
  <c r="AC852" i="16" s="1"/>
  <c r="V852" i="16"/>
  <c r="AB852" i="16" s="1"/>
  <c r="X851" i="16"/>
  <c r="AD851" i="16" s="1"/>
  <c r="W851" i="16"/>
  <c r="AC851" i="16" s="1"/>
  <c r="V851" i="16"/>
  <c r="AB851" i="16" s="1"/>
  <c r="X850" i="16"/>
  <c r="AD850" i="16" s="1"/>
  <c r="W850" i="16"/>
  <c r="AC850" i="16" s="1"/>
  <c r="V850" i="16"/>
  <c r="AB850" i="16" s="1"/>
  <c r="X849" i="16"/>
  <c r="AD849" i="16" s="1"/>
  <c r="W849" i="16"/>
  <c r="AC849" i="16" s="1"/>
  <c r="V849" i="16"/>
  <c r="AB849" i="16" s="1"/>
  <c r="X848" i="16"/>
  <c r="AD848" i="16" s="1"/>
  <c r="W848" i="16"/>
  <c r="AC848" i="16" s="1"/>
  <c r="V848" i="16"/>
  <c r="AB848" i="16" s="1"/>
  <c r="X847" i="16"/>
  <c r="AD847" i="16" s="1"/>
  <c r="W847" i="16"/>
  <c r="AC847" i="16" s="1"/>
  <c r="V847" i="16"/>
  <c r="AB847" i="16" s="1"/>
  <c r="X846" i="16"/>
  <c r="AD846" i="16" s="1"/>
  <c r="W846" i="16"/>
  <c r="AC846" i="16" s="1"/>
  <c r="V846" i="16"/>
  <c r="AB846" i="16" s="1"/>
  <c r="X845" i="16"/>
  <c r="AD845" i="16" s="1"/>
  <c r="W845" i="16"/>
  <c r="AC845" i="16" s="1"/>
  <c r="V845" i="16"/>
  <c r="AB845" i="16" s="1"/>
  <c r="X844" i="16"/>
  <c r="AD844" i="16" s="1"/>
  <c r="W844" i="16"/>
  <c r="AC844" i="16" s="1"/>
  <c r="V844" i="16"/>
  <c r="AB844" i="16" s="1"/>
  <c r="X843" i="16"/>
  <c r="AD843" i="16" s="1"/>
  <c r="W843" i="16"/>
  <c r="AC843" i="16" s="1"/>
  <c r="V843" i="16"/>
  <c r="AB843" i="16" s="1"/>
  <c r="X842" i="16"/>
  <c r="AD842" i="16" s="1"/>
  <c r="W842" i="16"/>
  <c r="AC842" i="16" s="1"/>
  <c r="V842" i="16"/>
  <c r="AB842" i="16" s="1"/>
  <c r="X841" i="16"/>
  <c r="AD841" i="16" s="1"/>
  <c r="W841" i="16"/>
  <c r="AC841" i="16" s="1"/>
  <c r="V841" i="16"/>
  <c r="AB841" i="16" s="1"/>
  <c r="X840" i="16"/>
  <c r="AD840" i="16" s="1"/>
  <c r="W840" i="16"/>
  <c r="AC840" i="16" s="1"/>
  <c r="V840" i="16"/>
  <c r="AB840" i="16" s="1"/>
  <c r="X839" i="16"/>
  <c r="AD839" i="16" s="1"/>
  <c r="W839" i="16"/>
  <c r="AC839" i="16" s="1"/>
  <c r="V839" i="16"/>
  <c r="AB839" i="16" s="1"/>
  <c r="X838" i="16"/>
  <c r="AD838" i="16" s="1"/>
  <c r="W838" i="16"/>
  <c r="AC838" i="16" s="1"/>
  <c r="V838" i="16"/>
  <c r="AB838" i="16" s="1"/>
  <c r="X837" i="16"/>
  <c r="AD837" i="16" s="1"/>
  <c r="W837" i="16"/>
  <c r="AC837" i="16" s="1"/>
  <c r="V837" i="16"/>
  <c r="AB837" i="16" s="1"/>
  <c r="X836" i="16"/>
  <c r="AD836" i="16" s="1"/>
  <c r="W836" i="16"/>
  <c r="AC836" i="16" s="1"/>
  <c r="V836" i="16"/>
  <c r="AB836" i="16" s="1"/>
  <c r="X835" i="16"/>
  <c r="AD835" i="16" s="1"/>
  <c r="W835" i="16"/>
  <c r="AC835" i="16" s="1"/>
  <c r="V835" i="16"/>
  <c r="AB835" i="16" s="1"/>
  <c r="X834" i="16"/>
  <c r="AD834" i="16" s="1"/>
  <c r="W834" i="16"/>
  <c r="AC834" i="16" s="1"/>
  <c r="V834" i="16"/>
  <c r="AB834" i="16" s="1"/>
  <c r="X833" i="16"/>
  <c r="AD833" i="16" s="1"/>
  <c r="W833" i="16"/>
  <c r="AC833" i="16" s="1"/>
  <c r="V833" i="16"/>
  <c r="AB833" i="16" s="1"/>
  <c r="X832" i="16"/>
  <c r="AD832" i="16" s="1"/>
  <c r="W832" i="16"/>
  <c r="AC832" i="16" s="1"/>
  <c r="V832" i="16"/>
  <c r="AB832" i="16" s="1"/>
  <c r="X831" i="16"/>
  <c r="AD831" i="16" s="1"/>
  <c r="W831" i="16"/>
  <c r="AC831" i="16" s="1"/>
  <c r="V831" i="16"/>
  <c r="AB831" i="16" s="1"/>
  <c r="X830" i="16"/>
  <c r="AD830" i="16" s="1"/>
  <c r="W830" i="16"/>
  <c r="AC830" i="16" s="1"/>
  <c r="V830" i="16"/>
  <c r="AB830" i="16" s="1"/>
  <c r="X829" i="16"/>
  <c r="AD829" i="16" s="1"/>
  <c r="W829" i="16"/>
  <c r="AC829" i="16" s="1"/>
  <c r="V829" i="16"/>
  <c r="AB829" i="16" s="1"/>
  <c r="X828" i="16"/>
  <c r="AD828" i="16" s="1"/>
  <c r="W828" i="16"/>
  <c r="AC828" i="16" s="1"/>
  <c r="V828" i="16"/>
  <c r="AB828" i="16" s="1"/>
  <c r="X827" i="16"/>
  <c r="AD827" i="16" s="1"/>
  <c r="W827" i="16"/>
  <c r="AC827" i="16" s="1"/>
  <c r="V827" i="16"/>
  <c r="AB827" i="16" s="1"/>
  <c r="X826" i="16"/>
  <c r="AD826" i="16" s="1"/>
  <c r="W826" i="16"/>
  <c r="AC826" i="16" s="1"/>
  <c r="V826" i="16"/>
  <c r="AB826" i="16" s="1"/>
  <c r="X825" i="16"/>
  <c r="AD825" i="16" s="1"/>
  <c r="W825" i="16"/>
  <c r="AC825" i="16" s="1"/>
  <c r="V825" i="16"/>
  <c r="AB825" i="16" s="1"/>
  <c r="X824" i="16"/>
  <c r="AD824" i="16" s="1"/>
  <c r="W824" i="16"/>
  <c r="AC824" i="16" s="1"/>
  <c r="V824" i="16"/>
  <c r="AB824" i="16" s="1"/>
  <c r="X823" i="16"/>
  <c r="AD823" i="16" s="1"/>
  <c r="W823" i="16"/>
  <c r="AC823" i="16" s="1"/>
  <c r="V823" i="16"/>
  <c r="AB823" i="16" s="1"/>
  <c r="X822" i="16"/>
  <c r="AD822" i="16" s="1"/>
  <c r="W822" i="16"/>
  <c r="AC822" i="16" s="1"/>
  <c r="V822" i="16"/>
  <c r="AB822" i="16" s="1"/>
  <c r="X821" i="16"/>
  <c r="AD821" i="16" s="1"/>
  <c r="W821" i="16"/>
  <c r="AC821" i="16" s="1"/>
  <c r="V821" i="16"/>
  <c r="AB821" i="16" s="1"/>
  <c r="X820" i="16"/>
  <c r="AD820" i="16" s="1"/>
  <c r="W820" i="16"/>
  <c r="AC820" i="16" s="1"/>
  <c r="V820" i="16"/>
  <c r="AB820" i="16" s="1"/>
  <c r="X819" i="16"/>
  <c r="AD819" i="16" s="1"/>
  <c r="W819" i="16"/>
  <c r="AC819" i="16" s="1"/>
  <c r="V819" i="16"/>
  <c r="AB819" i="16" s="1"/>
  <c r="X818" i="16"/>
  <c r="AD818" i="16" s="1"/>
  <c r="W818" i="16"/>
  <c r="AC818" i="16" s="1"/>
  <c r="V818" i="16"/>
  <c r="AB818" i="16" s="1"/>
  <c r="X817" i="16"/>
  <c r="AD817" i="16" s="1"/>
  <c r="W817" i="16"/>
  <c r="AC817" i="16" s="1"/>
  <c r="V817" i="16"/>
  <c r="AB817" i="16" s="1"/>
  <c r="X816" i="16"/>
  <c r="AD816" i="16" s="1"/>
  <c r="W816" i="16"/>
  <c r="AC816" i="16" s="1"/>
  <c r="V816" i="16"/>
  <c r="AB816" i="16" s="1"/>
  <c r="X815" i="16"/>
  <c r="AD815" i="16" s="1"/>
  <c r="W815" i="16"/>
  <c r="AC815" i="16" s="1"/>
  <c r="V815" i="16"/>
  <c r="AB815" i="16" s="1"/>
  <c r="X814" i="16"/>
  <c r="AD814" i="16" s="1"/>
  <c r="W814" i="16"/>
  <c r="AC814" i="16" s="1"/>
  <c r="V814" i="16"/>
  <c r="AB814" i="16" s="1"/>
  <c r="X813" i="16"/>
  <c r="AD813" i="16" s="1"/>
  <c r="W813" i="16"/>
  <c r="AC813" i="16" s="1"/>
  <c r="V813" i="16"/>
  <c r="AB813" i="16" s="1"/>
  <c r="X812" i="16"/>
  <c r="AD812" i="16" s="1"/>
  <c r="W812" i="16"/>
  <c r="AC812" i="16" s="1"/>
  <c r="V812" i="16"/>
  <c r="AB812" i="16" s="1"/>
  <c r="X811" i="16"/>
  <c r="AD811" i="16" s="1"/>
  <c r="W811" i="16"/>
  <c r="AC811" i="16" s="1"/>
  <c r="V811" i="16"/>
  <c r="AB811" i="16" s="1"/>
  <c r="X810" i="16"/>
  <c r="AD810" i="16" s="1"/>
  <c r="W810" i="16"/>
  <c r="AC810" i="16" s="1"/>
  <c r="V810" i="16"/>
  <c r="AB810" i="16" s="1"/>
  <c r="X809" i="16"/>
  <c r="AD809" i="16" s="1"/>
  <c r="W809" i="16"/>
  <c r="AC809" i="16" s="1"/>
  <c r="V809" i="16"/>
  <c r="AB809" i="16" s="1"/>
  <c r="X808" i="16"/>
  <c r="AD808" i="16" s="1"/>
  <c r="W808" i="16"/>
  <c r="AC808" i="16" s="1"/>
  <c r="V808" i="16"/>
  <c r="AB808" i="16" s="1"/>
  <c r="X807" i="16"/>
  <c r="AD807" i="16" s="1"/>
  <c r="W807" i="16"/>
  <c r="AC807" i="16" s="1"/>
  <c r="V807" i="16"/>
  <c r="AB807" i="16" s="1"/>
  <c r="X806" i="16"/>
  <c r="AD806" i="16" s="1"/>
  <c r="W806" i="16"/>
  <c r="AC806" i="16" s="1"/>
  <c r="V806" i="16"/>
  <c r="AB806" i="16" s="1"/>
  <c r="X805" i="16"/>
  <c r="AD805" i="16" s="1"/>
  <c r="W805" i="16"/>
  <c r="AC805" i="16" s="1"/>
  <c r="V805" i="16"/>
  <c r="AB805" i="16" s="1"/>
  <c r="X804" i="16"/>
  <c r="AD804" i="16" s="1"/>
  <c r="W804" i="16"/>
  <c r="AC804" i="16" s="1"/>
  <c r="V804" i="16"/>
  <c r="AB804" i="16" s="1"/>
  <c r="X803" i="16"/>
  <c r="AD803" i="16" s="1"/>
  <c r="W803" i="16"/>
  <c r="AC803" i="16" s="1"/>
  <c r="V803" i="16"/>
  <c r="AB803" i="16" s="1"/>
  <c r="X802" i="16"/>
  <c r="AD802" i="16" s="1"/>
  <c r="W802" i="16"/>
  <c r="AC802" i="16" s="1"/>
  <c r="V802" i="16"/>
  <c r="AB802" i="16" s="1"/>
  <c r="X801" i="16"/>
  <c r="AD801" i="16" s="1"/>
  <c r="W801" i="16"/>
  <c r="AC801" i="16" s="1"/>
  <c r="V801" i="16"/>
  <c r="AB801" i="16" s="1"/>
  <c r="X800" i="16"/>
  <c r="AD800" i="16" s="1"/>
  <c r="W800" i="16"/>
  <c r="AC800" i="16" s="1"/>
  <c r="V800" i="16"/>
  <c r="AB800" i="16" s="1"/>
  <c r="X799" i="16"/>
  <c r="AD799" i="16" s="1"/>
  <c r="W799" i="16"/>
  <c r="AC799" i="16" s="1"/>
  <c r="V799" i="16"/>
  <c r="AB799" i="16" s="1"/>
  <c r="X798" i="16"/>
  <c r="AD798" i="16" s="1"/>
  <c r="W798" i="16"/>
  <c r="AC798" i="16" s="1"/>
  <c r="V798" i="16"/>
  <c r="AB798" i="16" s="1"/>
  <c r="X797" i="16"/>
  <c r="AD797" i="16" s="1"/>
  <c r="W797" i="16"/>
  <c r="AC797" i="16" s="1"/>
  <c r="V797" i="16"/>
  <c r="AB797" i="16" s="1"/>
  <c r="X796" i="16"/>
  <c r="AD796" i="16" s="1"/>
  <c r="W796" i="16"/>
  <c r="AC796" i="16" s="1"/>
  <c r="V796" i="16"/>
  <c r="AB796" i="16" s="1"/>
  <c r="X795" i="16"/>
  <c r="AD795" i="16" s="1"/>
  <c r="W795" i="16"/>
  <c r="AC795" i="16" s="1"/>
  <c r="V795" i="16"/>
  <c r="AB795" i="16" s="1"/>
  <c r="X794" i="16"/>
  <c r="AD794" i="16" s="1"/>
  <c r="W794" i="16"/>
  <c r="AC794" i="16" s="1"/>
  <c r="V794" i="16"/>
  <c r="AB794" i="16" s="1"/>
  <c r="X793" i="16"/>
  <c r="AD793" i="16" s="1"/>
  <c r="W793" i="16"/>
  <c r="AC793" i="16" s="1"/>
  <c r="V793" i="16"/>
  <c r="AB793" i="16" s="1"/>
  <c r="X792" i="16"/>
  <c r="AD792" i="16" s="1"/>
  <c r="W792" i="16"/>
  <c r="AC792" i="16" s="1"/>
  <c r="V792" i="16"/>
  <c r="AB792" i="16" s="1"/>
  <c r="X791" i="16"/>
  <c r="AD791" i="16" s="1"/>
  <c r="W791" i="16"/>
  <c r="AC791" i="16" s="1"/>
  <c r="V791" i="16"/>
  <c r="AB791" i="16" s="1"/>
  <c r="X790" i="16"/>
  <c r="AD790" i="16" s="1"/>
  <c r="W790" i="16"/>
  <c r="AC790" i="16" s="1"/>
  <c r="V790" i="16"/>
  <c r="AB790" i="16" s="1"/>
  <c r="X789" i="16"/>
  <c r="AD789" i="16" s="1"/>
  <c r="W789" i="16"/>
  <c r="AC789" i="16" s="1"/>
  <c r="V789" i="16"/>
  <c r="AB789" i="16" s="1"/>
  <c r="X788" i="16"/>
  <c r="AD788" i="16" s="1"/>
  <c r="W788" i="16"/>
  <c r="AC788" i="16" s="1"/>
  <c r="V788" i="16"/>
  <c r="AB788" i="16" s="1"/>
  <c r="X787" i="16"/>
  <c r="AD787" i="16" s="1"/>
  <c r="W787" i="16"/>
  <c r="AC787" i="16" s="1"/>
  <c r="V787" i="16"/>
  <c r="AB787" i="16" s="1"/>
  <c r="X786" i="16"/>
  <c r="AD786" i="16" s="1"/>
  <c r="W786" i="16"/>
  <c r="AC786" i="16" s="1"/>
  <c r="V786" i="16"/>
  <c r="AB786" i="16" s="1"/>
  <c r="X785" i="16"/>
  <c r="AD785" i="16" s="1"/>
  <c r="W785" i="16"/>
  <c r="AC785" i="16" s="1"/>
  <c r="V785" i="16"/>
  <c r="AB785" i="16" s="1"/>
  <c r="X784" i="16"/>
  <c r="AD784" i="16" s="1"/>
  <c r="W784" i="16"/>
  <c r="AC784" i="16" s="1"/>
  <c r="V784" i="16"/>
  <c r="AB784" i="16" s="1"/>
  <c r="X783" i="16"/>
  <c r="AD783" i="16" s="1"/>
  <c r="W783" i="16"/>
  <c r="AC783" i="16" s="1"/>
  <c r="V783" i="16"/>
  <c r="AB783" i="16" s="1"/>
  <c r="X782" i="16"/>
  <c r="AD782" i="16" s="1"/>
  <c r="W782" i="16"/>
  <c r="AC782" i="16" s="1"/>
  <c r="V782" i="16"/>
  <c r="AB782" i="16" s="1"/>
  <c r="X781" i="16"/>
  <c r="AD781" i="16" s="1"/>
  <c r="W781" i="16"/>
  <c r="AC781" i="16" s="1"/>
  <c r="V781" i="16"/>
  <c r="AB781" i="16" s="1"/>
  <c r="X780" i="16"/>
  <c r="AD780" i="16" s="1"/>
  <c r="W780" i="16"/>
  <c r="AC780" i="16" s="1"/>
  <c r="V780" i="16"/>
  <c r="AB780" i="16" s="1"/>
  <c r="X779" i="16"/>
  <c r="AD779" i="16" s="1"/>
  <c r="W779" i="16"/>
  <c r="AC779" i="16" s="1"/>
  <c r="V779" i="16"/>
  <c r="AB779" i="16" s="1"/>
  <c r="X778" i="16"/>
  <c r="AD778" i="16" s="1"/>
  <c r="W778" i="16"/>
  <c r="AC778" i="16" s="1"/>
  <c r="V778" i="16"/>
  <c r="AB778" i="16" s="1"/>
  <c r="X777" i="16"/>
  <c r="AD777" i="16" s="1"/>
  <c r="W777" i="16"/>
  <c r="AC777" i="16" s="1"/>
  <c r="V777" i="16"/>
  <c r="AB777" i="16" s="1"/>
  <c r="X776" i="16"/>
  <c r="AD776" i="16" s="1"/>
  <c r="W776" i="16"/>
  <c r="AC776" i="16" s="1"/>
  <c r="V776" i="16"/>
  <c r="AB776" i="16" s="1"/>
  <c r="X775" i="16"/>
  <c r="AD775" i="16" s="1"/>
  <c r="W775" i="16"/>
  <c r="AC775" i="16" s="1"/>
  <c r="V775" i="16"/>
  <c r="AB775" i="16" s="1"/>
  <c r="X774" i="16"/>
  <c r="AD774" i="16" s="1"/>
  <c r="W774" i="16"/>
  <c r="AC774" i="16" s="1"/>
  <c r="V774" i="16"/>
  <c r="AB774" i="16" s="1"/>
  <c r="X773" i="16"/>
  <c r="AD773" i="16" s="1"/>
  <c r="W773" i="16"/>
  <c r="AC773" i="16" s="1"/>
  <c r="V773" i="16"/>
  <c r="AB773" i="16" s="1"/>
  <c r="X772" i="16"/>
  <c r="AD772" i="16" s="1"/>
  <c r="W772" i="16"/>
  <c r="AC772" i="16" s="1"/>
  <c r="V772" i="16"/>
  <c r="AB772" i="16" s="1"/>
  <c r="X771" i="16"/>
  <c r="AD771" i="16" s="1"/>
  <c r="W771" i="16"/>
  <c r="AC771" i="16" s="1"/>
  <c r="V771" i="16"/>
  <c r="AB771" i="16" s="1"/>
  <c r="X770" i="16"/>
  <c r="AD770" i="16" s="1"/>
  <c r="W770" i="16"/>
  <c r="AC770" i="16" s="1"/>
  <c r="V770" i="16"/>
  <c r="AB770" i="16" s="1"/>
  <c r="X769" i="16"/>
  <c r="AD769" i="16" s="1"/>
  <c r="W769" i="16"/>
  <c r="AC769" i="16" s="1"/>
  <c r="V769" i="16"/>
  <c r="AB769" i="16" s="1"/>
  <c r="X768" i="16"/>
  <c r="AD768" i="16" s="1"/>
  <c r="W768" i="16"/>
  <c r="AC768" i="16" s="1"/>
  <c r="V768" i="16"/>
  <c r="AB768" i="16" s="1"/>
  <c r="X767" i="16"/>
  <c r="AD767" i="16" s="1"/>
  <c r="W767" i="16"/>
  <c r="AC767" i="16" s="1"/>
  <c r="V767" i="16"/>
  <c r="AB767" i="16" s="1"/>
  <c r="X766" i="16"/>
  <c r="AD766" i="16" s="1"/>
  <c r="W766" i="16"/>
  <c r="AC766" i="16" s="1"/>
  <c r="V766" i="16"/>
  <c r="AB766" i="16" s="1"/>
  <c r="X765" i="16"/>
  <c r="AD765" i="16" s="1"/>
  <c r="W765" i="16"/>
  <c r="AC765" i="16" s="1"/>
  <c r="V765" i="16"/>
  <c r="AB765" i="16" s="1"/>
  <c r="X764" i="16"/>
  <c r="AD764" i="16" s="1"/>
  <c r="W764" i="16"/>
  <c r="AC764" i="16" s="1"/>
  <c r="V764" i="16"/>
  <c r="AB764" i="16" s="1"/>
  <c r="X763" i="16"/>
  <c r="AD763" i="16" s="1"/>
  <c r="W763" i="16"/>
  <c r="AC763" i="16" s="1"/>
  <c r="V763" i="16"/>
  <c r="AB763" i="16" s="1"/>
  <c r="X762" i="16"/>
  <c r="AD762" i="16" s="1"/>
  <c r="W762" i="16"/>
  <c r="AC762" i="16" s="1"/>
  <c r="V762" i="16"/>
  <c r="AB762" i="16" s="1"/>
  <c r="X761" i="16"/>
  <c r="AD761" i="16" s="1"/>
  <c r="W761" i="16"/>
  <c r="AC761" i="16" s="1"/>
  <c r="V761" i="16"/>
  <c r="AB761" i="16" s="1"/>
  <c r="X760" i="16"/>
  <c r="AD760" i="16" s="1"/>
  <c r="W760" i="16"/>
  <c r="AC760" i="16" s="1"/>
  <c r="V760" i="16"/>
  <c r="AB760" i="16" s="1"/>
  <c r="X759" i="16"/>
  <c r="AD759" i="16" s="1"/>
  <c r="W759" i="16"/>
  <c r="AC759" i="16" s="1"/>
  <c r="V759" i="16"/>
  <c r="AB759" i="16" s="1"/>
  <c r="X758" i="16"/>
  <c r="AD758" i="16" s="1"/>
  <c r="W758" i="16"/>
  <c r="AC758" i="16" s="1"/>
  <c r="V758" i="16"/>
  <c r="AB758" i="16" s="1"/>
  <c r="X757" i="16"/>
  <c r="AD757" i="16" s="1"/>
  <c r="W757" i="16"/>
  <c r="AC757" i="16" s="1"/>
  <c r="V757" i="16"/>
  <c r="AB757" i="16" s="1"/>
  <c r="X756" i="16"/>
  <c r="AD756" i="16" s="1"/>
  <c r="W756" i="16"/>
  <c r="AC756" i="16" s="1"/>
  <c r="V756" i="16"/>
  <c r="AB756" i="16" s="1"/>
  <c r="X755" i="16"/>
  <c r="AD755" i="16" s="1"/>
  <c r="W755" i="16"/>
  <c r="AC755" i="16" s="1"/>
  <c r="V755" i="16"/>
  <c r="AB755" i="16" s="1"/>
  <c r="X754" i="16"/>
  <c r="AD754" i="16" s="1"/>
  <c r="W754" i="16"/>
  <c r="AC754" i="16" s="1"/>
  <c r="V754" i="16"/>
  <c r="AB754" i="16" s="1"/>
  <c r="X753" i="16"/>
  <c r="AD753" i="16" s="1"/>
  <c r="W753" i="16"/>
  <c r="AC753" i="16" s="1"/>
  <c r="V753" i="16"/>
  <c r="AB753" i="16" s="1"/>
  <c r="X752" i="16"/>
  <c r="AD752" i="16" s="1"/>
  <c r="W752" i="16"/>
  <c r="AC752" i="16" s="1"/>
  <c r="V752" i="16"/>
  <c r="AB752" i="16" s="1"/>
  <c r="X751" i="16"/>
  <c r="AD751" i="16" s="1"/>
  <c r="W751" i="16"/>
  <c r="AC751" i="16" s="1"/>
  <c r="V751" i="16"/>
  <c r="AB751" i="16" s="1"/>
  <c r="X750" i="16"/>
  <c r="AD750" i="16" s="1"/>
  <c r="W750" i="16"/>
  <c r="AC750" i="16" s="1"/>
  <c r="V750" i="16"/>
  <c r="AB750" i="16" s="1"/>
  <c r="X749" i="16"/>
  <c r="AD749" i="16" s="1"/>
  <c r="W749" i="16"/>
  <c r="AC749" i="16" s="1"/>
  <c r="V749" i="16"/>
  <c r="AB749" i="16" s="1"/>
  <c r="X748" i="16"/>
  <c r="AD748" i="16" s="1"/>
  <c r="W748" i="16"/>
  <c r="AC748" i="16" s="1"/>
  <c r="V748" i="16"/>
  <c r="AB748" i="16" s="1"/>
  <c r="X747" i="16"/>
  <c r="AD747" i="16" s="1"/>
  <c r="W747" i="16"/>
  <c r="AC747" i="16" s="1"/>
  <c r="V747" i="16"/>
  <c r="AB747" i="16" s="1"/>
  <c r="X746" i="16"/>
  <c r="AD746" i="16" s="1"/>
  <c r="W746" i="16"/>
  <c r="AC746" i="16" s="1"/>
  <c r="V746" i="16"/>
  <c r="AB746" i="16" s="1"/>
  <c r="X745" i="16"/>
  <c r="AD745" i="16" s="1"/>
  <c r="W745" i="16"/>
  <c r="AC745" i="16" s="1"/>
  <c r="V745" i="16"/>
  <c r="AB745" i="16" s="1"/>
  <c r="X744" i="16"/>
  <c r="AD744" i="16" s="1"/>
  <c r="W744" i="16"/>
  <c r="AC744" i="16" s="1"/>
  <c r="V744" i="16"/>
  <c r="AB744" i="16" s="1"/>
  <c r="X743" i="16"/>
  <c r="AD743" i="16" s="1"/>
  <c r="W743" i="16"/>
  <c r="AC743" i="16" s="1"/>
  <c r="V743" i="16"/>
  <c r="AB743" i="16" s="1"/>
  <c r="X742" i="16"/>
  <c r="AD742" i="16" s="1"/>
  <c r="W742" i="16"/>
  <c r="AC742" i="16" s="1"/>
  <c r="V742" i="16"/>
  <c r="AB742" i="16" s="1"/>
  <c r="X741" i="16"/>
  <c r="AD741" i="16" s="1"/>
  <c r="W741" i="16"/>
  <c r="AC741" i="16" s="1"/>
  <c r="V741" i="16"/>
  <c r="AB741" i="16" s="1"/>
  <c r="X740" i="16"/>
  <c r="AD740" i="16" s="1"/>
  <c r="W740" i="16"/>
  <c r="AC740" i="16" s="1"/>
  <c r="V740" i="16"/>
  <c r="AB740" i="16" s="1"/>
  <c r="X739" i="16"/>
  <c r="AD739" i="16" s="1"/>
  <c r="W739" i="16"/>
  <c r="AC739" i="16" s="1"/>
  <c r="V739" i="16"/>
  <c r="AB739" i="16" s="1"/>
  <c r="X738" i="16"/>
  <c r="AD738" i="16" s="1"/>
  <c r="W738" i="16"/>
  <c r="AC738" i="16" s="1"/>
  <c r="V738" i="16"/>
  <c r="AB738" i="16" s="1"/>
  <c r="X737" i="16"/>
  <c r="AD737" i="16" s="1"/>
  <c r="W737" i="16"/>
  <c r="AC737" i="16" s="1"/>
  <c r="V737" i="16"/>
  <c r="AB737" i="16" s="1"/>
  <c r="X736" i="16"/>
  <c r="AD736" i="16" s="1"/>
  <c r="W736" i="16"/>
  <c r="AC736" i="16" s="1"/>
  <c r="V736" i="16"/>
  <c r="AB736" i="16" s="1"/>
  <c r="X735" i="16"/>
  <c r="AD735" i="16" s="1"/>
  <c r="W735" i="16"/>
  <c r="AC735" i="16" s="1"/>
  <c r="V735" i="16"/>
  <c r="AB735" i="16" s="1"/>
  <c r="X734" i="16"/>
  <c r="AD734" i="16" s="1"/>
  <c r="W734" i="16"/>
  <c r="AC734" i="16" s="1"/>
  <c r="V734" i="16"/>
  <c r="AB734" i="16" s="1"/>
  <c r="X733" i="16"/>
  <c r="AD733" i="16" s="1"/>
  <c r="W733" i="16"/>
  <c r="AC733" i="16" s="1"/>
  <c r="V733" i="16"/>
  <c r="AB733" i="16" s="1"/>
  <c r="X732" i="16"/>
  <c r="AD732" i="16" s="1"/>
  <c r="W732" i="16"/>
  <c r="AC732" i="16" s="1"/>
  <c r="V732" i="16"/>
  <c r="AB732" i="16" s="1"/>
  <c r="X731" i="16"/>
  <c r="AD731" i="16" s="1"/>
  <c r="W731" i="16"/>
  <c r="AC731" i="16" s="1"/>
  <c r="V731" i="16"/>
  <c r="AB731" i="16" s="1"/>
  <c r="X730" i="16"/>
  <c r="AD730" i="16" s="1"/>
  <c r="W730" i="16"/>
  <c r="AC730" i="16" s="1"/>
  <c r="V730" i="16"/>
  <c r="AB730" i="16" s="1"/>
  <c r="X729" i="16"/>
  <c r="AD729" i="16" s="1"/>
  <c r="W729" i="16"/>
  <c r="AC729" i="16" s="1"/>
  <c r="V729" i="16"/>
  <c r="AB729" i="16" s="1"/>
  <c r="X728" i="16"/>
  <c r="AD728" i="16" s="1"/>
  <c r="W728" i="16"/>
  <c r="AC728" i="16" s="1"/>
  <c r="V728" i="16"/>
  <c r="AB728" i="16" s="1"/>
  <c r="X727" i="16"/>
  <c r="AD727" i="16" s="1"/>
  <c r="W727" i="16"/>
  <c r="AC727" i="16" s="1"/>
  <c r="V727" i="16"/>
  <c r="AB727" i="16" s="1"/>
  <c r="X726" i="16"/>
  <c r="AD726" i="16" s="1"/>
  <c r="W726" i="16"/>
  <c r="AC726" i="16" s="1"/>
  <c r="V726" i="16"/>
  <c r="AB726" i="16" s="1"/>
  <c r="X725" i="16"/>
  <c r="AD725" i="16" s="1"/>
  <c r="W725" i="16"/>
  <c r="AC725" i="16" s="1"/>
  <c r="V725" i="16"/>
  <c r="AB725" i="16" s="1"/>
  <c r="X724" i="16"/>
  <c r="AD724" i="16" s="1"/>
  <c r="W724" i="16"/>
  <c r="AC724" i="16" s="1"/>
  <c r="V724" i="16"/>
  <c r="AB724" i="16" s="1"/>
  <c r="X723" i="16"/>
  <c r="AD723" i="16" s="1"/>
  <c r="W723" i="16"/>
  <c r="AC723" i="16" s="1"/>
  <c r="V723" i="16"/>
  <c r="AB723" i="16" s="1"/>
  <c r="X722" i="16"/>
  <c r="AD722" i="16" s="1"/>
  <c r="W722" i="16"/>
  <c r="AC722" i="16" s="1"/>
  <c r="V722" i="16"/>
  <c r="AB722" i="16" s="1"/>
  <c r="X721" i="16"/>
  <c r="AD721" i="16" s="1"/>
  <c r="W721" i="16"/>
  <c r="AC721" i="16" s="1"/>
  <c r="V721" i="16"/>
  <c r="AB721" i="16" s="1"/>
  <c r="X720" i="16"/>
  <c r="AD720" i="16" s="1"/>
  <c r="W720" i="16"/>
  <c r="AC720" i="16" s="1"/>
  <c r="V720" i="16"/>
  <c r="AB720" i="16" s="1"/>
  <c r="X719" i="16"/>
  <c r="AD719" i="16" s="1"/>
  <c r="W719" i="16"/>
  <c r="AC719" i="16" s="1"/>
  <c r="V719" i="16"/>
  <c r="AB719" i="16" s="1"/>
  <c r="X718" i="16"/>
  <c r="AD718" i="16" s="1"/>
  <c r="W718" i="16"/>
  <c r="AC718" i="16" s="1"/>
  <c r="V718" i="16"/>
  <c r="AB718" i="16" s="1"/>
  <c r="X717" i="16"/>
  <c r="AD717" i="16" s="1"/>
  <c r="W717" i="16"/>
  <c r="AC717" i="16" s="1"/>
  <c r="V717" i="16"/>
  <c r="AB717" i="16" s="1"/>
  <c r="X716" i="16"/>
  <c r="AD716" i="16" s="1"/>
  <c r="W716" i="16"/>
  <c r="AC716" i="16" s="1"/>
  <c r="V716" i="16"/>
  <c r="AB716" i="16" s="1"/>
  <c r="X715" i="16"/>
  <c r="AD715" i="16" s="1"/>
  <c r="W715" i="16"/>
  <c r="AC715" i="16" s="1"/>
  <c r="V715" i="16"/>
  <c r="AB715" i="16" s="1"/>
  <c r="X714" i="16"/>
  <c r="AD714" i="16" s="1"/>
  <c r="W714" i="16"/>
  <c r="AC714" i="16" s="1"/>
  <c r="V714" i="16"/>
  <c r="AB714" i="16" s="1"/>
  <c r="X713" i="16"/>
  <c r="AD713" i="16" s="1"/>
  <c r="W713" i="16"/>
  <c r="AC713" i="16" s="1"/>
  <c r="V713" i="16"/>
  <c r="AB713" i="16" s="1"/>
  <c r="X712" i="16"/>
  <c r="AD712" i="16" s="1"/>
  <c r="W712" i="16"/>
  <c r="AC712" i="16" s="1"/>
  <c r="V712" i="16"/>
  <c r="AB712" i="16" s="1"/>
  <c r="X711" i="16"/>
  <c r="AD711" i="16" s="1"/>
  <c r="W711" i="16"/>
  <c r="AC711" i="16" s="1"/>
  <c r="V711" i="16"/>
  <c r="AB711" i="16" s="1"/>
  <c r="X710" i="16"/>
  <c r="AD710" i="16" s="1"/>
  <c r="W710" i="16"/>
  <c r="AC710" i="16" s="1"/>
  <c r="V710" i="16"/>
  <c r="AB710" i="16" s="1"/>
  <c r="X709" i="16"/>
  <c r="AD709" i="16" s="1"/>
  <c r="W709" i="16"/>
  <c r="AC709" i="16" s="1"/>
  <c r="V709" i="16"/>
  <c r="AB709" i="16" s="1"/>
  <c r="X708" i="16"/>
  <c r="AD708" i="16" s="1"/>
  <c r="W708" i="16"/>
  <c r="AC708" i="16" s="1"/>
  <c r="V708" i="16"/>
  <c r="AB708" i="16" s="1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X694" i="16"/>
  <c r="AD694" i="16" s="1"/>
  <c r="W694" i="16"/>
  <c r="AC694" i="16" s="1"/>
  <c r="V694" i="16"/>
  <c r="AB694" i="16" s="1"/>
  <c r="X693" i="16"/>
  <c r="AD693" i="16" s="1"/>
  <c r="W693" i="16"/>
  <c r="AC693" i="16" s="1"/>
  <c r="V693" i="16"/>
  <c r="AB693" i="16" s="1"/>
  <c r="X692" i="16"/>
  <c r="AD692" i="16" s="1"/>
  <c r="W692" i="16"/>
  <c r="AC692" i="16" s="1"/>
  <c r="V692" i="16"/>
  <c r="AB692" i="16" s="1"/>
  <c r="X691" i="16"/>
  <c r="AD691" i="16" s="1"/>
  <c r="W691" i="16"/>
  <c r="AC691" i="16" s="1"/>
  <c r="V691" i="16"/>
  <c r="AB691" i="16" s="1"/>
  <c r="X690" i="16"/>
  <c r="AD690" i="16" s="1"/>
  <c r="W690" i="16"/>
  <c r="AC690" i="16" s="1"/>
  <c r="V690" i="16"/>
  <c r="AB690" i="16" s="1"/>
  <c r="X689" i="16"/>
  <c r="AD689" i="16" s="1"/>
  <c r="W689" i="16"/>
  <c r="AC689" i="16" s="1"/>
  <c r="V689" i="16"/>
  <c r="AB689" i="16" s="1"/>
  <c r="X688" i="16"/>
  <c r="AD688" i="16" s="1"/>
  <c r="W688" i="16"/>
  <c r="AC688" i="16" s="1"/>
  <c r="V688" i="16"/>
  <c r="AB688" i="16" s="1"/>
  <c r="X687" i="16"/>
  <c r="AD687" i="16" s="1"/>
  <c r="W687" i="16"/>
  <c r="AC687" i="16" s="1"/>
  <c r="V687" i="16"/>
  <c r="AB687" i="16" s="1"/>
  <c r="X686" i="16"/>
  <c r="AD686" i="16" s="1"/>
  <c r="W686" i="16"/>
  <c r="AC686" i="16" s="1"/>
  <c r="V686" i="16"/>
  <c r="AB686" i="16" s="1"/>
  <c r="X685" i="16"/>
  <c r="AD685" i="16" s="1"/>
  <c r="W685" i="16"/>
  <c r="AC685" i="16" s="1"/>
  <c r="V685" i="16"/>
  <c r="AB685" i="16" s="1"/>
  <c r="X684" i="16"/>
  <c r="AD684" i="16" s="1"/>
  <c r="W684" i="16"/>
  <c r="AC684" i="16" s="1"/>
  <c r="V684" i="16"/>
  <c r="AB684" i="16" s="1"/>
  <c r="X683" i="16"/>
  <c r="AD683" i="16" s="1"/>
  <c r="W683" i="16"/>
  <c r="AC683" i="16" s="1"/>
  <c r="V683" i="16"/>
  <c r="AB683" i="16" s="1"/>
  <c r="X682" i="16"/>
  <c r="AD682" i="16" s="1"/>
  <c r="W682" i="16"/>
  <c r="AC682" i="16" s="1"/>
  <c r="V682" i="16"/>
  <c r="AB682" i="16" s="1"/>
  <c r="X681" i="16"/>
  <c r="AD681" i="16" s="1"/>
  <c r="W681" i="16"/>
  <c r="AC681" i="16" s="1"/>
  <c r="V681" i="16"/>
  <c r="AB681" i="16" s="1"/>
  <c r="X680" i="16"/>
  <c r="AD680" i="16" s="1"/>
  <c r="W680" i="16"/>
  <c r="AC680" i="16" s="1"/>
  <c r="V680" i="16"/>
  <c r="AB680" i="16" s="1"/>
  <c r="X679" i="16"/>
  <c r="AD679" i="16" s="1"/>
  <c r="W679" i="16"/>
  <c r="AC679" i="16" s="1"/>
  <c r="V679" i="16"/>
  <c r="AB679" i="16" s="1"/>
  <c r="X678" i="16"/>
  <c r="AD678" i="16" s="1"/>
  <c r="W678" i="16"/>
  <c r="AC678" i="16" s="1"/>
  <c r="V678" i="16"/>
  <c r="AB678" i="16" s="1"/>
  <c r="X677" i="16"/>
  <c r="AD677" i="16" s="1"/>
  <c r="W677" i="16"/>
  <c r="AC677" i="16" s="1"/>
  <c r="V677" i="16"/>
  <c r="AB677" i="16" s="1"/>
  <c r="X676" i="16"/>
  <c r="AD676" i="16" s="1"/>
  <c r="W676" i="16"/>
  <c r="AC676" i="16" s="1"/>
  <c r="V676" i="16"/>
  <c r="AB676" i="16" s="1"/>
  <c r="X675" i="16"/>
  <c r="AD675" i="16" s="1"/>
  <c r="W675" i="16"/>
  <c r="AC675" i="16" s="1"/>
  <c r="V675" i="16"/>
  <c r="AB675" i="16" s="1"/>
  <c r="X674" i="16"/>
  <c r="AD674" i="16" s="1"/>
  <c r="W674" i="16"/>
  <c r="AC674" i="16" s="1"/>
  <c r="V674" i="16"/>
  <c r="AB674" i="16" s="1"/>
  <c r="X673" i="16"/>
  <c r="AD673" i="16" s="1"/>
  <c r="W673" i="16"/>
  <c r="AC673" i="16" s="1"/>
  <c r="V673" i="16"/>
  <c r="AB673" i="16" s="1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AD669" i="16" s="1"/>
  <c r="W669" i="16"/>
  <c r="AC669" i="16" s="1"/>
  <c r="V669" i="16"/>
  <c r="AB669" i="16" s="1"/>
  <c r="X668" i="16"/>
  <c r="AD668" i="16" s="1"/>
  <c r="W668" i="16"/>
  <c r="AC668" i="16" s="1"/>
  <c r="V668" i="16"/>
  <c r="AB668" i="16" s="1"/>
  <c r="X667" i="16"/>
  <c r="AD667" i="16" s="1"/>
  <c r="W667" i="16"/>
  <c r="AC667" i="16" s="1"/>
  <c r="V667" i="16"/>
  <c r="AB667" i="16" s="1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AB662" i="16" s="1"/>
  <c r="X661" i="16"/>
  <c r="AD661" i="16" s="1"/>
  <c r="W661" i="16"/>
  <c r="AC661" i="16" s="1"/>
  <c r="V661" i="16"/>
  <c r="AB661" i="16" s="1"/>
  <c r="X660" i="16"/>
  <c r="AD660" i="16" s="1"/>
  <c r="W660" i="16"/>
  <c r="AC660" i="16" s="1"/>
  <c r="V660" i="16"/>
  <c r="AB660" i="16" s="1"/>
  <c r="X659" i="16"/>
  <c r="AD659" i="16" s="1"/>
  <c r="W659" i="16"/>
  <c r="AC659" i="16" s="1"/>
  <c r="V659" i="16"/>
  <c r="AB659" i="16" s="1"/>
  <c r="X658" i="16"/>
  <c r="AD658" i="16" s="1"/>
  <c r="W658" i="16"/>
  <c r="AC658" i="16" s="1"/>
  <c r="V658" i="16"/>
  <c r="AB658" i="16" s="1"/>
  <c r="X657" i="16"/>
  <c r="AD657" i="16" s="1"/>
  <c r="W657" i="16"/>
  <c r="AC657" i="16" s="1"/>
  <c r="V657" i="16"/>
  <c r="AB657" i="16" s="1"/>
  <c r="X656" i="16"/>
  <c r="AD656" i="16" s="1"/>
  <c r="W656" i="16"/>
  <c r="AC656" i="16" s="1"/>
  <c r="V656" i="16"/>
  <c r="AB656" i="16" s="1"/>
  <c r="X655" i="16"/>
  <c r="AD655" i="16" s="1"/>
  <c r="W655" i="16"/>
  <c r="AC655" i="16" s="1"/>
  <c r="V655" i="16"/>
  <c r="AB655" i="16" s="1"/>
  <c r="X654" i="16"/>
  <c r="AD654" i="16" s="1"/>
  <c r="W654" i="16"/>
  <c r="AC654" i="16" s="1"/>
  <c r="V654" i="16"/>
  <c r="AB654" i="16" s="1"/>
  <c r="X653" i="16"/>
  <c r="AD653" i="16" s="1"/>
  <c r="W653" i="16"/>
  <c r="AC653" i="16" s="1"/>
  <c r="V653" i="16"/>
  <c r="AB653" i="16" s="1"/>
  <c r="X652" i="16"/>
  <c r="AD652" i="16" s="1"/>
  <c r="W652" i="16"/>
  <c r="AC652" i="16" s="1"/>
  <c r="V652" i="16"/>
  <c r="AB652" i="16" s="1"/>
  <c r="X651" i="16"/>
  <c r="AD651" i="16" s="1"/>
  <c r="W651" i="16"/>
  <c r="AC651" i="16" s="1"/>
  <c r="V651" i="16"/>
  <c r="AB651" i="16" s="1"/>
  <c r="X650" i="16"/>
  <c r="AD650" i="16" s="1"/>
  <c r="W650" i="16"/>
  <c r="AC650" i="16" s="1"/>
  <c r="V650" i="16"/>
  <c r="AB650" i="16" s="1"/>
  <c r="X649" i="16"/>
  <c r="AD649" i="16" s="1"/>
  <c r="W649" i="16"/>
  <c r="AC649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AD620" i="16" s="1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AO5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X592" i="16"/>
  <c r="AD592" i="16" s="1"/>
  <c r="W592" i="16"/>
  <c r="AC592" i="16" s="1"/>
  <c r="V592" i="16"/>
  <c r="AB592" i="16" s="1"/>
  <c r="X591" i="16"/>
  <c r="AD591" i="16" s="1"/>
  <c r="W591" i="16"/>
  <c r="AC591" i="16" s="1"/>
  <c r="V591" i="16"/>
  <c r="AB591" i="16" s="1"/>
  <c r="X590" i="16"/>
  <c r="AD590" i="16" s="1"/>
  <c r="W590" i="16"/>
  <c r="AC590" i="16" s="1"/>
  <c r="V590" i="16"/>
  <c r="AB590" i="16" s="1"/>
  <c r="X589" i="16"/>
  <c r="AD589" i="16" s="1"/>
  <c r="W589" i="16"/>
  <c r="AC589" i="16" s="1"/>
  <c r="V589" i="16"/>
  <c r="AB589" i="16" s="1"/>
  <c r="X588" i="16"/>
  <c r="AD588" i="16" s="1"/>
  <c r="W588" i="16"/>
  <c r="AC588" i="16" s="1"/>
  <c r="V588" i="16"/>
  <c r="AB588" i="16" s="1"/>
  <c r="X587" i="16"/>
  <c r="AD587" i="16" s="1"/>
  <c r="W587" i="16"/>
  <c r="AC587" i="16" s="1"/>
  <c r="V587" i="16"/>
  <c r="AB587" i="16" s="1"/>
  <c r="X586" i="16"/>
  <c r="AD586" i="16" s="1"/>
  <c r="W586" i="16"/>
  <c r="AC586" i="16" s="1"/>
  <c r="V586" i="16"/>
  <c r="AB586" i="16" s="1"/>
  <c r="X585" i="16"/>
  <c r="AD585" i="16" s="1"/>
  <c r="W585" i="16"/>
  <c r="AC585" i="16" s="1"/>
  <c r="V585" i="16"/>
  <c r="AB585" i="16" s="1"/>
  <c r="X584" i="16"/>
  <c r="AD584" i="16" s="1"/>
  <c r="W584" i="16"/>
  <c r="AC584" i="16" s="1"/>
  <c r="V584" i="16"/>
  <c r="AB584" i="16" s="1"/>
  <c r="X583" i="16"/>
  <c r="AD583" i="16" s="1"/>
  <c r="W583" i="16"/>
  <c r="AC583" i="16" s="1"/>
  <c r="V583" i="16"/>
  <c r="AB583" i="16" s="1"/>
  <c r="X582" i="16"/>
  <c r="AD582" i="16" s="1"/>
  <c r="W582" i="16"/>
  <c r="AC582" i="16" s="1"/>
  <c r="V582" i="16"/>
  <c r="AB582" i="16" s="1"/>
  <c r="X581" i="16"/>
  <c r="AD581" i="16" s="1"/>
  <c r="W581" i="16"/>
  <c r="AC581" i="16" s="1"/>
  <c r="V581" i="16"/>
  <c r="AB581" i="16" s="1"/>
  <c r="X580" i="16"/>
  <c r="AD580" i="16" s="1"/>
  <c r="W580" i="16"/>
  <c r="AC580" i="16" s="1"/>
  <c r="V580" i="16"/>
  <c r="AB580" i="16" s="1"/>
  <c r="X579" i="16"/>
  <c r="AD579" i="16" s="1"/>
  <c r="W579" i="16"/>
  <c r="AC579" i="16" s="1"/>
  <c r="V579" i="16"/>
  <c r="AB579" i="16" s="1"/>
  <c r="X578" i="16"/>
  <c r="AD578" i="16" s="1"/>
  <c r="W578" i="16"/>
  <c r="AC578" i="16" s="1"/>
  <c r="V578" i="16"/>
  <c r="AB578" i="16" s="1"/>
  <c r="X577" i="16"/>
  <c r="AD577" i="16" s="1"/>
  <c r="W577" i="16"/>
  <c r="AC577" i="16" s="1"/>
  <c r="V577" i="16"/>
  <c r="AB577" i="16" s="1"/>
  <c r="X576" i="16"/>
  <c r="AD576" i="16" s="1"/>
  <c r="W576" i="16"/>
  <c r="AC576" i="16" s="1"/>
  <c r="V576" i="16"/>
  <c r="AB576" i="16" s="1"/>
  <c r="X575" i="16"/>
  <c r="AD575" i="16" s="1"/>
  <c r="W575" i="16"/>
  <c r="AC575" i="16" s="1"/>
  <c r="V575" i="16"/>
  <c r="AB575" i="16" s="1"/>
  <c r="X574" i="16"/>
  <c r="AD574" i="16" s="1"/>
  <c r="W574" i="16"/>
  <c r="AC574" i="16" s="1"/>
  <c r="V574" i="16"/>
  <c r="AB574" i="16" s="1"/>
  <c r="X573" i="16"/>
  <c r="AD573" i="16" s="1"/>
  <c r="W573" i="16"/>
  <c r="AC573" i="16" s="1"/>
  <c r="V573" i="16"/>
  <c r="AB573" i="16" s="1"/>
  <c r="X572" i="16"/>
  <c r="AD572" i="16" s="1"/>
  <c r="W572" i="16"/>
  <c r="AC572" i="16" s="1"/>
  <c r="V572" i="16"/>
  <c r="AB572" i="16" s="1"/>
  <c r="X571" i="16"/>
  <c r="AD571" i="16" s="1"/>
  <c r="W571" i="16"/>
  <c r="AC571" i="16" s="1"/>
  <c r="V571" i="16"/>
  <c r="AB571" i="16" s="1"/>
  <c r="X570" i="16"/>
  <c r="AD570" i="16" s="1"/>
  <c r="W570" i="16"/>
  <c r="AC570" i="16" s="1"/>
  <c r="V570" i="16"/>
  <c r="AB570" i="16" s="1"/>
  <c r="X569" i="16"/>
  <c r="AD569" i="16" s="1"/>
  <c r="W569" i="16"/>
  <c r="AC569" i="16" s="1"/>
  <c r="V569" i="16"/>
  <c r="AB569" i="16" s="1"/>
  <c r="X568" i="16"/>
  <c r="AD568" i="16" s="1"/>
  <c r="W568" i="16"/>
  <c r="AC568" i="16" s="1"/>
  <c r="V568" i="16"/>
  <c r="AB568" i="16" s="1"/>
  <c r="X567" i="16"/>
  <c r="AD567" i="16" s="1"/>
  <c r="W567" i="16"/>
  <c r="AC567" i="16" s="1"/>
  <c r="V567" i="16"/>
  <c r="AB567" i="16" s="1"/>
  <c r="X566" i="16"/>
  <c r="AD566" i="16" s="1"/>
  <c r="W566" i="16"/>
  <c r="AC566" i="16" s="1"/>
  <c r="V566" i="16"/>
  <c r="AB566" i="16" s="1"/>
  <c r="X565" i="16"/>
  <c r="AD565" i="16" s="1"/>
  <c r="W565" i="16"/>
  <c r="AC565" i="16" s="1"/>
  <c r="V565" i="16"/>
  <c r="AB565" i="16" s="1"/>
  <c r="X564" i="16"/>
  <c r="AD564" i="16" s="1"/>
  <c r="W564" i="16"/>
  <c r="AC564" i="16" s="1"/>
  <c r="V564" i="16"/>
  <c r="AB564" i="16" s="1"/>
  <c r="X563" i="16"/>
  <c r="AD563" i="16" s="1"/>
  <c r="W563" i="16"/>
  <c r="AC563" i="16" s="1"/>
  <c r="V563" i="16"/>
  <c r="AB563" i="16" s="1"/>
  <c r="X562" i="16"/>
  <c r="AD562" i="16" s="1"/>
  <c r="W562" i="16"/>
  <c r="AC562" i="16" s="1"/>
  <c r="V562" i="16"/>
  <c r="AB562" i="16" s="1"/>
  <c r="X561" i="16"/>
  <c r="AD561" i="16" s="1"/>
  <c r="W561" i="16"/>
  <c r="AC561" i="16" s="1"/>
  <c r="V561" i="16"/>
  <c r="AB561" i="16" s="1"/>
  <c r="X560" i="16"/>
  <c r="AD560" i="16" s="1"/>
  <c r="W560" i="16"/>
  <c r="AC560" i="16" s="1"/>
  <c r="V560" i="16"/>
  <c r="AB560" i="16" s="1"/>
  <c r="X559" i="16"/>
  <c r="AD559" i="16" s="1"/>
  <c r="W559" i="16"/>
  <c r="AC559" i="16" s="1"/>
  <c r="V559" i="16"/>
  <c r="AB559" i="16" s="1"/>
  <c r="X558" i="16"/>
  <c r="AD558" i="16" s="1"/>
  <c r="W558" i="16"/>
  <c r="AC558" i="16" s="1"/>
  <c r="V558" i="16"/>
  <c r="AB558" i="16" s="1"/>
  <c r="X557" i="16"/>
  <c r="AD557" i="16" s="1"/>
  <c r="W557" i="16"/>
  <c r="AC557" i="16" s="1"/>
  <c r="V557" i="16"/>
  <c r="AB557" i="16" s="1"/>
  <c r="X556" i="16"/>
  <c r="AD556" i="16" s="1"/>
  <c r="W556" i="16"/>
  <c r="AC556" i="16" s="1"/>
  <c r="V556" i="16"/>
  <c r="AB556" i="16" s="1"/>
  <c r="X555" i="16"/>
  <c r="AD555" i="16" s="1"/>
  <c r="W555" i="16"/>
  <c r="AC555" i="16" s="1"/>
  <c r="V555" i="16"/>
  <c r="AB555" i="16" s="1"/>
  <c r="X554" i="16"/>
  <c r="AD554" i="16" s="1"/>
  <c r="W554" i="16"/>
  <c r="AC554" i="16" s="1"/>
  <c r="V554" i="16"/>
  <c r="AB554" i="16" s="1"/>
  <c r="X553" i="16"/>
  <c r="AD553" i="16" s="1"/>
  <c r="W553" i="16"/>
  <c r="AC553" i="16" s="1"/>
  <c r="V553" i="16"/>
  <c r="AB553" i="16" s="1"/>
  <c r="X552" i="16"/>
  <c r="AD552" i="16" s="1"/>
  <c r="W552" i="16"/>
  <c r="AC552" i="16" s="1"/>
  <c r="V552" i="16"/>
  <c r="AB552" i="16" s="1"/>
  <c r="X551" i="16"/>
  <c r="AD551" i="16" s="1"/>
  <c r="W551" i="16"/>
  <c r="AC551" i="16" s="1"/>
  <c r="V551" i="16"/>
  <c r="AB551" i="16" s="1"/>
  <c r="X550" i="16"/>
  <c r="AD550" i="16" s="1"/>
  <c r="W550" i="16"/>
  <c r="AC550" i="16" s="1"/>
  <c r="V550" i="16"/>
  <c r="AB550" i="16" s="1"/>
  <c r="X549" i="16"/>
  <c r="AD549" i="16" s="1"/>
  <c r="W549" i="16"/>
  <c r="AC549" i="16" s="1"/>
  <c r="V549" i="16"/>
  <c r="AB549" i="16" s="1"/>
  <c r="X548" i="16"/>
  <c r="AD548" i="16" s="1"/>
  <c r="W548" i="16"/>
  <c r="AC548" i="16" s="1"/>
  <c r="V548" i="16"/>
  <c r="AB548" i="16" s="1"/>
  <c r="X547" i="16"/>
  <c r="AD547" i="16" s="1"/>
  <c r="W547" i="16"/>
  <c r="AC547" i="16" s="1"/>
  <c r="V547" i="16"/>
  <c r="AB547" i="16" s="1"/>
  <c r="X546" i="16"/>
  <c r="AD546" i="16" s="1"/>
  <c r="W546" i="16"/>
  <c r="AC546" i="16" s="1"/>
  <c r="V546" i="16"/>
  <c r="AB546" i="16" s="1"/>
  <c r="X545" i="16"/>
  <c r="AD545" i="16" s="1"/>
  <c r="W545" i="16"/>
  <c r="AC545" i="16" s="1"/>
  <c r="V545" i="16"/>
  <c r="AB545" i="16" s="1"/>
  <c r="X544" i="16"/>
  <c r="AD544" i="16" s="1"/>
  <c r="W544" i="16"/>
  <c r="AC544" i="16" s="1"/>
  <c r="V544" i="16"/>
  <c r="AB544" i="16" s="1"/>
  <c r="X543" i="16"/>
  <c r="AD543" i="16" s="1"/>
  <c r="W543" i="16"/>
  <c r="AC543" i="16" s="1"/>
  <c r="V543" i="16"/>
  <c r="AB543" i="16" s="1"/>
  <c r="X542" i="16"/>
  <c r="AD542" i="16" s="1"/>
  <c r="W542" i="16"/>
  <c r="AC542" i="16" s="1"/>
  <c r="V542" i="16"/>
  <c r="AB542" i="16" s="1"/>
  <c r="X541" i="16"/>
  <c r="AD541" i="16" s="1"/>
  <c r="W541" i="16"/>
  <c r="AC541" i="16" s="1"/>
  <c r="V541" i="16"/>
  <c r="AB541" i="16" s="1"/>
  <c r="X540" i="16"/>
  <c r="AD540" i="16" s="1"/>
  <c r="W540" i="16"/>
  <c r="AC540" i="16" s="1"/>
  <c r="V540" i="16"/>
  <c r="AB540" i="16" s="1"/>
  <c r="X539" i="16"/>
  <c r="AD539" i="16" s="1"/>
  <c r="W539" i="16"/>
  <c r="AC539" i="16" s="1"/>
  <c r="V539" i="16"/>
  <c r="AB539" i="16" s="1"/>
  <c r="X538" i="16"/>
  <c r="AD538" i="16" s="1"/>
  <c r="W538" i="16"/>
  <c r="AC538" i="16" s="1"/>
  <c r="V538" i="16"/>
  <c r="AB538" i="16" s="1"/>
  <c r="X537" i="16"/>
  <c r="AD537" i="16" s="1"/>
  <c r="W537" i="16"/>
  <c r="AC537" i="16" s="1"/>
  <c r="V537" i="16"/>
  <c r="AB537" i="16" s="1"/>
  <c r="X536" i="16"/>
  <c r="AD536" i="16" s="1"/>
  <c r="W536" i="16"/>
  <c r="AC536" i="16" s="1"/>
  <c r="V536" i="16"/>
  <c r="AB536" i="16" s="1"/>
  <c r="X535" i="16"/>
  <c r="AD535" i="16" s="1"/>
  <c r="W535" i="16"/>
  <c r="AC535" i="16" s="1"/>
  <c r="V535" i="16"/>
  <c r="AB535" i="16" s="1"/>
  <c r="X534" i="16"/>
  <c r="AD534" i="16" s="1"/>
  <c r="W534" i="16"/>
  <c r="AC534" i="16" s="1"/>
  <c r="V534" i="16"/>
  <c r="AB534" i="16" s="1"/>
  <c r="X533" i="16"/>
  <c r="AD533" i="16" s="1"/>
  <c r="W533" i="16"/>
  <c r="AC533" i="16" s="1"/>
  <c r="V533" i="16"/>
  <c r="AB533" i="16" s="1"/>
  <c r="X532" i="16"/>
  <c r="AD532" i="16" s="1"/>
  <c r="W532" i="16"/>
  <c r="AC532" i="16" s="1"/>
  <c r="V532" i="16"/>
  <c r="AB532" i="16" s="1"/>
  <c r="X531" i="16"/>
  <c r="AD531" i="16" s="1"/>
  <c r="W531" i="16"/>
  <c r="AC531" i="16" s="1"/>
  <c r="V531" i="16"/>
  <c r="AB531" i="16" s="1"/>
  <c r="X530" i="16"/>
  <c r="AD530" i="16" s="1"/>
  <c r="W530" i="16"/>
  <c r="AC530" i="16" s="1"/>
  <c r="V530" i="16"/>
  <c r="AB530" i="16" s="1"/>
  <c r="X529" i="16"/>
  <c r="AD529" i="16" s="1"/>
  <c r="W529" i="16"/>
  <c r="AC529" i="16" s="1"/>
  <c r="V529" i="16"/>
  <c r="AB529" i="16" s="1"/>
  <c r="X528" i="16"/>
  <c r="AD528" i="16" s="1"/>
  <c r="W528" i="16"/>
  <c r="AC528" i="16" s="1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AB524" i="16" s="1"/>
  <c r="X523" i="16"/>
  <c r="AD523" i="16" s="1"/>
  <c r="W523" i="16"/>
  <c r="AC523" i="16" s="1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V488" i="16"/>
  <c r="AB488" i="16" s="1"/>
  <c r="V487" i="16"/>
  <c r="AB487" i="16" s="1"/>
  <c r="V486" i="16"/>
  <c r="AB486" i="16" s="1"/>
  <c r="V485" i="16"/>
  <c r="AB485" i="16" s="1"/>
  <c r="V484" i="16"/>
  <c r="AB484" i="16" s="1"/>
  <c r="V483" i="16"/>
  <c r="AB483" i="16" s="1"/>
  <c r="V482" i="16"/>
  <c r="AB482" i="16" s="1"/>
  <c r="V481" i="16"/>
  <c r="AB481" i="16" s="1"/>
  <c r="V480" i="16"/>
  <c r="AB480" i="16" s="1"/>
  <c r="V479" i="16"/>
  <c r="AB479" i="16" s="1"/>
  <c r="V478" i="16"/>
  <c r="AB478" i="16" s="1"/>
  <c r="V477" i="16"/>
  <c r="AB477" i="16" s="1"/>
  <c r="X476" i="16"/>
  <c r="AD476" i="16" s="1"/>
  <c r="W476" i="16"/>
  <c r="AC476" i="16" s="1"/>
  <c r="X475" i="16"/>
  <c r="AD475" i="16" s="1"/>
  <c r="W475" i="16"/>
  <c r="AC475" i="16" s="1"/>
  <c r="X474" i="16"/>
  <c r="AD474" i="16" s="1"/>
  <c r="W474" i="16"/>
  <c r="AC474" i="16" s="1"/>
  <c r="X473" i="16"/>
  <c r="AD473" i="16" s="1"/>
  <c r="W473" i="16"/>
  <c r="AC473" i="16" s="1"/>
  <c r="X472" i="16"/>
  <c r="AD472" i="16" s="1"/>
  <c r="W472" i="16"/>
  <c r="AC472" i="16" s="1"/>
  <c r="X471" i="16"/>
  <c r="AD471" i="16" s="1"/>
  <c r="W471" i="16"/>
  <c r="AC471" i="16" s="1"/>
  <c r="X470" i="16"/>
  <c r="AD470" i="16" s="1"/>
  <c r="W470" i="16"/>
  <c r="AC470" i="16" s="1"/>
  <c r="X469" i="16"/>
  <c r="AD469" i="16" s="1"/>
  <c r="W469" i="16"/>
  <c r="AC469" i="16" s="1"/>
  <c r="X468" i="16"/>
  <c r="AD468" i="16" s="1"/>
  <c r="W468" i="16"/>
  <c r="AC468" i="16" s="1"/>
  <c r="X467" i="16"/>
  <c r="AD467" i="16" s="1"/>
  <c r="W467" i="16"/>
  <c r="AC467" i="16" s="1"/>
  <c r="X466" i="16"/>
  <c r="AD466" i="16" s="1"/>
  <c r="W466" i="16"/>
  <c r="AC466" i="16" s="1"/>
  <c r="X465" i="16"/>
  <c r="AD465" i="16" s="1"/>
  <c r="W465" i="16"/>
  <c r="AC465" i="16" s="1"/>
  <c r="V464" i="16"/>
  <c r="AB464" i="16" s="1"/>
  <c r="V463" i="16"/>
  <c r="AB463" i="16" s="1"/>
  <c r="V462" i="16"/>
  <c r="AB462" i="16" s="1"/>
  <c r="V461" i="16"/>
  <c r="AB461" i="16" s="1"/>
  <c r="V460" i="16"/>
  <c r="AB460" i="16" s="1"/>
  <c r="V459" i="16"/>
  <c r="AB459" i="16" s="1"/>
  <c r="V458" i="16"/>
  <c r="AB458" i="16" s="1"/>
  <c r="V457" i="16"/>
  <c r="AB457" i="16" s="1"/>
  <c r="V456" i="16"/>
  <c r="AB456" i="16" s="1"/>
  <c r="V455" i="16"/>
  <c r="AB455" i="16" s="1"/>
  <c r="V454" i="16"/>
  <c r="AB454" i="16" s="1"/>
  <c r="V453" i="16"/>
  <c r="AB453" i="16" s="1"/>
  <c r="V452" i="16"/>
  <c r="AB452" i="16" s="1"/>
  <c r="V451" i="16"/>
  <c r="AB451" i="16" s="1"/>
  <c r="V450" i="16"/>
  <c r="AB450" i="16" s="1"/>
  <c r="V449" i="16"/>
  <c r="AB449" i="16" s="1"/>
  <c r="X448" i="16"/>
  <c r="AD448" i="16" s="1"/>
  <c r="W448" i="16"/>
  <c r="AC448" i="16" s="1"/>
  <c r="X447" i="16"/>
  <c r="AD447" i="16" s="1"/>
  <c r="W447" i="16"/>
  <c r="AC447" i="16" s="1"/>
  <c r="X446" i="16"/>
  <c r="AD446" i="16" s="1"/>
  <c r="W446" i="16"/>
  <c r="AC446" i="16" s="1"/>
  <c r="X445" i="16"/>
  <c r="AD445" i="16" s="1"/>
  <c r="W445" i="16"/>
  <c r="AC445" i="16" s="1"/>
  <c r="V444" i="16"/>
  <c r="AB444" i="16" s="1"/>
  <c r="V443" i="16"/>
  <c r="AB443" i="16" s="1"/>
  <c r="V442" i="16"/>
  <c r="AB442" i="16" s="1"/>
  <c r="V441" i="16"/>
  <c r="AB441" i="16" s="1"/>
  <c r="V440" i="16"/>
  <c r="AB440" i="16" s="1"/>
  <c r="V439" i="16"/>
  <c r="AB439" i="16" s="1"/>
  <c r="V438" i="16"/>
  <c r="AB438" i="16" s="1"/>
  <c r="X437" i="16"/>
  <c r="AD437" i="16" s="1"/>
  <c r="W437" i="16"/>
  <c r="AC437" i="16" s="1"/>
  <c r="X436" i="16"/>
  <c r="AD436" i="16" s="1"/>
  <c r="W436" i="16"/>
  <c r="AC436" i="16" s="1"/>
  <c r="X435" i="16"/>
  <c r="AD435" i="16" s="1"/>
  <c r="W435" i="16"/>
  <c r="AC435" i="16" s="1"/>
  <c r="V434" i="16"/>
  <c r="AB434" i="16" s="1"/>
  <c r="V433" i="16"/>
  <c r="AB433" i="16" s="1"/>
  <c r="V432" i="16"/>
  <c r="AB432" i="16" s="1"/>
  <c r="V431" i="16"/>
  <c r="AB431" i="16" s="1"/>
  <c r="V430" i="16"/>
  <c r="AB430" i="16" s="1"/>
  <c r="V429" i="16"/>
  <c r="AB429" i="16" s="1"/>
  <c r="V428" i="16"/>
  <c r="AB428" i="16" s="1"/>
  <c r="V427" i="16"/>
  <c r="AB427" i="16" s="1"/>
  <c r="V426" i="16"/>
  <c r="AB426" i="16" s="1"/>
  <c r="V425" i="16"/>
  <c r="AB425" i="16" s="1"/>
  <c r="V424" i="16"/>
  <c r="AB424" i="16" s="1"/>
  <c r="V423" i="16"/>
  <c r="AB423" i="16" s="1"/>
  <c r="V422" i="16"/>
  <c r="AB422" i="16" s="1"/>
  <c r="V421" i="16"/>
  <c r="AB421" i="16" s="1"/>
  <c r="V420" i="16"/>
  <c r="AB420" i="16" s="1"/>
  <c r="X419" i="16"/>
  <c r="AD419" i="16" s="1"/>
  <c r="W419" i="16"/>
  <c r="AC419" i="16" s="1"/>
  <c r="X418" i="16"/>
  <c r="AD418" i="16" s="1"/>
  <c r="W418" i="16"/>
  <c r="AC418" i="16" s="1"/>
  <c r="X417" i="16"/>
  <c r="AD417" i="16" s="1"/>
  <c r="W417" i="16"/>
  <c r="AC417" i="16" s="1"/>
  <c r="X416" i="16"/>
  <c r="AD416" i="16" s="1"/>
  <c r="W416" i="16"/>
  <c r="AC416" i="16" s="1"/>
  <c r="X415" i="16"/>
  <c r="AD415" i="16" s="1"/>
  <c r="W415" i="16"/>
  <c r="AC415" i="16" s="1"/>
  <c r="X414" i="16"/>
  <c r="AD414" i="16" s="1"/>
  <c r="W414" i="16"/>
  <c r="AC414" i="16" s="1"/>
  <c r="X413" i="16"/>
  <c r="AD413" i="16" s="1"/>
  <c r="W413" i="16"/>
  <c r="AC413" i="16" s="1"/>
  <c r="X412" i="16"/>
  <c r="AD412" i="16" s="1"/>
  <c r="W412" i="16"/>
  <c r="AC412" i="16" s="1"/>
  <c r="X411" i="16"/>
  <c r="AD411" i="16" s="1"/>
  <c r="W411" i="16"/>
  <c r="AC411" i="16" s="1"/>
  <c r="X410" i="16"/>
  <c r="AD410" i="16" s="1"/>
  <c r="W410" i="16"/>
  <c r="AC410" i="16" s="1"/>
  <c r="X409" i="16"/>
  <c r="AD409" i="16" s="1"/>
  <c r="W409" i="16"/>
  <c r="AC409" i="16" s="1"/>
  <c r="X408" i="16"/>
  <c r="AD408" i="16" s="1"/>
  <c r="W408" i="16"/>
  <c r="AC408" i="16" s="1"/>
  <c r="V407" i="16"/>
  <c r="AB407" i="16" s="1"/>
  <c r="V406" i="16"/>
  <c r="AB406" i="16" s="1"/>
  <c r="V405" i="16"/>
  <c r="AB405" i="16" s="1"/>
  <c r="V404" i="16"/>
  <c r="AB404" i="16" s="1"/>
  <c r="V403" i="16"/>
  <c r="AB403" i="16" s="1"/>
  <c r="V402" i="16"/>
  <c r="AB402" i="16" s="1"/>
  <c r="V401" i="16"/>
  <c r="AB401" i="16" s="1"/>
  <c r="V400" i="16"/>
  <c r="AB400" i="16" s="1"/>
  <c r="V399" i="16"/>
  <c r="AB399" i="16" s="1"/>
  <c r="V398" i="16"/>
  <c r="AB398" i="16" s="1"/>
  <c r="V397" i="16"/>
  <c r="AB397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AC362" i="16" s="1"/>
  <c r="V362" i="16"/>
  <c r="AB362" i="16" s="1"/>
  <c r="X361" i="16"/>
  <c r="AD361" i="16" s="1"/>
  <c r="W361" i="16"/>
  <c r="AC361" i="16" s="1"/>
  <c r="V361" i="16"/>
  <c r="AB361" i="16" s="1"/>
  <c r="X360" i="16"/>
  <c r="AD360" i="16" s="1"/>
  <c r="W360" i="16"/>
  <c r="AC360" i="16" s="1"/>
  <c r="V360" i="16"/>
  <c r="AB360" i="16" s="1"/>
  <c r="X359" i="16"/>
  <c r="AD359" i="16" s="1"/>
  <c r="W359" i="16"/>
  <c r="AC359" i="16" s="1"/>
  <c r="V359" i="16"/>
  <c r="AB359" i="16" s="1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AB357" i="16" s="1"/>
  <c r="X356" i="16"/>
  <c r="AD356" i="16" s="1"/>
  <c r="W356" i="16"/>
  <c r="AC356" i="16" s="1"/>
  <c r="V356" i="16"/>
  <c r="AB356" i="16" s="1"/>
  <c r="X355" i="16"/>
  <c r="AD355" i="16" s="1"/>
  <c r="W355" i="16"/>
  <c r="AC355" i="16" s="1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AD348" i="16" s="1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AB299" i="16" s="1"/>
  <c r="X298" i="16"/>
  <c r="AD298" i="16" s="1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AD292" i="16" s="1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AC287" i="16" s="1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AD284" i="16" s="1"/>
  <c r="W284" i="16"/>
  <c r="AC284" i="16" s="1"/>
  <c r="V284" i="16"/>
  <c r="AB284" i="16" s="1"/>
  <c r="X283" i="16"/>
  <c r="AD283" i="16" s="1"/>
  <c r="W283" i="16"/>
  <c r="AC283" i="16" s="1"/>
  <c r="V283" i="16"/>
  <c r="AB283" i="16" s="1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AC279" i="16" s="1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AD276" i="16" s="1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AC271" i="16" s="1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AD268" i="16" s="1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AC263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45" i="16"/>
  <c r="AD245" i="16" s="1"/>
  <c r="W245" i="16"/>
  <c r="AC245" i="16" s="1"/>
  <c r="V245" i="16"/>
  <c r="AB245" i="16" s="1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41" i="16"/>
  <c r="AD241" i="16" s="1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AC239" i="16" s="1"/>
  <c r="V239" i="16"/>
  <c r="AB239" i="16" s="1"/>
  <c r="X238" i="16"/>
  <c r="AD238" i="16" s="1"/>
  <c r="W238" i="16"/>
  <c r="AC238" i="16" s="1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AD233" i="16" s="1"/>
  <c r="W233" i="16"/>
  <c r="AC233" i="16" s="1"/>
  <c r="V233" i="16"/>
  <c r="AB233" i="16" s="1"/>
  <c r="X232" i="16"/>
  <c r="AD232" i="16" s="1"/>
  <c r="W232" i="16"/>
  <c r="AC232" i="16" s="1"/>
  <c r="V232" i="16"/>
  <c r="AB232" i="16" s="1"/>
  <c r="X231" i="16"/>
  <c r="AD231" i="16" s="1"/>
  <c r="W231" i="16"/>
  <c r="AC231" i="16" s="1"/>
  <c r="V231" i="16"/>
  <c r="AB231" i="16" s="1"/>
  <c r="X230" i="16"/>
  <c r="AD230" i="16" s="1"/>
  <c r="W230" i="16"/>
  <c r="AC230" i="16" s="1"/>
  <c r="V230" i="16"/>
  <c r="AB230" i="16" s="1"/>
  <c r="X229" i="16"/>
  <c r="AD229" i="16" s="1"/>
  <c r="W229" i="16"/>
  <c r="AC229" i="16" s="1"/>
  <c r="V229" i="16"/>
  <c r="AB229" i="16" s="1"/>
  <c r="X228" i="16"/>
  <c r="AD228" i="16" s="1"/>
  <c r="W228" i="16"/>
  <c r="AC228" i="16" s="1"/>
  <c r="V228" i="16"/>
  <c r="AB228" i="16" s="1"/>
  <c r="X227" i="16"/>
  <c r="AD227" i="16" s="1"/>
  <c r="W227" i="16"/>
  <c r="AC227" i="16" s="1"/>
  <c r="V227" i="16"/>
  <c r="AB227" i="16" s="1"/>
  <c r="X226" i="16"/>
  <c r="AD226" i="16" s="1"/>
  <c r="W226" i="16"/>
  <c r="AC226" i="16" s="1"/>
  <c r="V226" i="16"/>
  <c r="AB226" i="16" s="1"/>
  <c r="X225" i="16"/>
  <c r="AD225" i="16" s="1"/>
  <c r="W225" i="16"/>
  <c r="AC225" i="16" s="1"/>
  <c r="V225" i="16"/>
  <c r="AB225" i="16" s="1"/>
  <c r="X224" i="16"/>
  <c r="AD224" i="16" s="1"/>
  <c r="W224" i="16"/>
  <c r="AC224" i="16" s="1"/>
  <c r="V224" i="16"/>
  <c r="AB224" i="16" s="1"/>
  <c r="X223" i="16"/>
  <c r="AD223" i="16" s="1"/>
  <c r="W223" i="16"/>
  <c r="AC223" i="16" s="1"/>
  <c r="V223" i="16"/>
  <c r="AB223" i="16" s="1"/>
  <c r="X222" i="16"/>
  <c r="AD222" i="16" s="1"/>
  <c r="W222" i="16"/>
  <c r="AC222" i="16" s="1"/>
  <c r="V222" i="16"/>
  <c r="AB222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AB197" i="16" s="1"/>
  <c r="X196" i="16"/>
  <c r="AD196" i="16" s="1"/>
  <c r="W196" i="16"/>
  <c r="AC196" i="16" s="1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93" i="16"/>
  <c r="AD193" i="16" s="1"/>
  <c r="W193" i="16"/>
  <c r="AC193" i="16" s="1"/>
  <c r="V193" i="16"/>
  <c r="AB193" i="16" s="1"/>
  <c r="X192" i="16"/>
  <c r="AD192" i="16" s="1"/>
  <c r="W192" i="16"/>
  <c r="AC192" i="16" s="1"/>
  <c r="V192" i="16"/>
  <c r="AB192" i="16" s="1"/>
  <c r="X191" i="16"/>
  <c r="AD191" i="16" s="1"/>
  <c r="W191" i="16"/>
  <c r="AC191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AC189" i="16" s="1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AB183" i="16" s="1"/>
  <c r="X182" i="16"/>
  <c r="AD182" i="16" s="1"/>
  <c r="W182" i="16"/>
  <c r="AC182" i="16" s="1"/>
  <c r="V182" i="16"/>
  <c r="AB182" i="16" s="1"/>
  <c r="X181" i="16"/>
  <c r="AD181" i="16" s="1"/>
  <c r="W181" i="16"/>
  <c r="AC181" i="16" s="1"/>
  <c r="V181" i="16"/>
  <c r="AB181" i="16" s="1"/>
  <c r="X180" i="16"/>
  <c r="AD180" i="16" s="1"/>
  <c r="W180" i="16"/>
  <c r="AC180" i="16" s="1"/>
  <c r="V180" i="16"/>
  <c r="AB180" i="16" s="1"/>
  <c r="X179" i="16"/>
  <c r="AD179" i="16" s="1"/>
  <c r="W179" i="16"/>
  <c r="AC179" i="16" s="1"/>
  <c r="V179" i="16"/>
  <c r="AB179" i="16" s="1"/>
  <c r="X178" i="16"/>
  <c r="AD178" i="16" s="1"/>
  <c r="W178" i="16"/>
  <c r="AC178" i="16" s="1"/>
  <c r="V178" i="16"/>
  <c r="AB178" i="16" s="1"/>
  <c r="X177" i="16"/>
  <c r="AD177" i="16" s="1"/>
  <c r="W177" i="16"/>
  <c r="AC177" i="16" s="1"/>
  <c r="V177" i="16"/>
  <c r="AB177" i="16" s="1"/>
  <c r="X176" i="16"/>
  <c r="AD176" i="16" s="1"/>
  <c r="W176" i="16"/>
  <c r="AC176" i="16" s="1"/>
  <c r="V176" i="16"/>
  <c r="AB176" i="16" s="1"/>
  <c r="X175" i="16"/>
  <c r="AD175" i="16" s="1"/>
  <c r="W175" i="16"/>
  <c r="AC175" i="16" s="1"/>
  <c r="V175" i="16"/>
  <c r="AB175" i="16" s="1"/>
  <c r="X174" i="16"/>
  <c r="AD174" i="16" s="1"/>
  <c r="W174" i="16"/>
  <c r="AC174" i="16" s="1"/>
  <c r="V174" i="16"/>
  <c r="AB174" i="16" s="1"/>
  <c r="X173" i="16"/>
  <c r="AD173" i="16" s="1"/>
  <c r="W173" i="16"/>
  <c r="AC173" i="16" s="1"/>
  <c r="V173" i="16"/>
  <c r="AB173" i="16" s="1"/>
  <c r="X172" i="16"/>
  <c r="AD172" i="16" s="1"/>
  <c r="W172" i="16"/>
  <c r="AC172" i="16" s="1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AB169" i="16" s="1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AB164" i="16" s="1"/>
  <c r="X163" i="16"/>
  <c r="AD163" i="16" s="1"/>
  <c r="W163" i="16"/>
  <c r="AC163" i="16" s="1"/>
  <c r="V163" i="16"/>
  <c r="AB163" i="16" s="1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AD159" i="16" s="1"/>
  <c r="W159" i="16"/>
  <c r="AC159" i="16" s="1"/>
  <c r="V159" i="16"/>
  <c r="AB159" i="16" s="1"/>
  <c r="X158" i="16"/>
  <c r="AD158" i="16" s="1"/>
  <c r="W158" i="16"/>
  <c r="AC158" i="16" s="1"/>
  <c r="V158" i="16"/>
  <c r="AB158" i="16" s="1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X82" i="16"/>
  <c r="AD82" i="16" s="1"/>
  <c r="W82" i="16"/>
  <c r="AC82" i="16" s="1"/>
  <c r="X81" i="16"/>
  <c r="AD81" i="16" s="1"/>
  <c r="W81" i="16"/>
  <c r="AC81" i="16" s="1"/>
  <c r="X80" i="16"/>
  <c r="AD80" i="16" s="1"/>
  <c r="W80" i="16"/>
  <c r="AC80" i="16" s="1"/>
  <c r="X79" i="16"/>
  <c r="AD79" i="16" s="1"/>
  <c r="W79" i="16"/>
  <c r="AC79" i="16" s="1"/>
  <c r="X78" i="16"/>
  <c r="AD78" i="16" s="1"/>
  <c r="W78" i="16"/>
  <c r="AC78" i="16" s="1"/>
  <c r="X77" i="16"/>
  <c r="AD77" i="16" s="1"/>
  <c r="W77" i="16"/>
  <c r="AC77" i="16" s="1"/>
  <c r="X76" i="16"/>
  <c r="AD76" i="16" s="1"/>
  <c r="W76" i="16"/>
  <c r="AC76" i="16" s="1"/>
  <c r="V75" i="16"/>
  <c r="AB75" i="16" s="1"/>
  <c r="V74" i="16"/>
  <c r="AB74" i="16" s="1"/>
  <c r="V73" i="16"/>
  <c r="AB73" i="16" s="1"/>
  <c r="V72" i="16"/>
  <c r="AB72" i="16" s="1"/>
  <c r="V71" i="16"/>
  <c r="AB71" i="16" s="1"/>
  <c r="V70" i="16"/>
  <c r="AB70" i="16" s="1"/>
  <c r="V69" i="16"/>
  <c r="AB69" i="16" s="1"/>
  <c r="V68" i="16"/>
  <c r="AB68" i="16" s="1"/>
  <c r="V67" i="16"/>
  <c r="AB67" i="16" s="1"/>
  <c r="X66" i="16"/>
  <c r="AD66" i="16" s="1"/>
  <c r="W66" i="16"/>
  <c r="AC66" i="16" s="1"/>
  <c r="X65" i="16"/>
  <c r="AD65" i="16" s="1"/>
  <c r="W65" i="16"/>
  <c r="AC65" i="16" s="1"/>
  <c r="X64" i="16"/>
  <c r="AD64" i="16" s="1"/>
  <c r="W64" i="16"/>
  <c r="AC64" i="16" s="1"/>
  <c r="X63" i="16"/>
  <c r="AD63" i="16" s="1"/>
  <c r="W63" i="16"/>
  <c r="AC63" i="16" s="1"/>
  <c r="X62" i="16"/>
  <c r="AD62" i="16" s="1"/>
  <c r="W62" i="16"/>
  <c r="AC62" i="16" s="1"/>
  <c r="X61" i="16"/>
  <c r="AD61" i="16" s="1"/>
  <c r="W61" i="16"/>
  <c r="AC61" i="16" s="1"/>
  <c r="X60" i="16"/>
  <c r="AD60" i="16" s="1"/>
  <c r="W60" i="16"/>
  <c r="AC60" i="16" s="1"/>
  <c r="X59" i="16"/>
  <c r="AD59" i="16" s="1"/>
  <c r="W59" i="16"/>
  <c r="AC59" i="16" s="1"/>
  <c r="X58" i="16"/>
  <c r="AD58" i="16" s="1"/>
  <c r="W58" i="16"/>
  <c r="AC58" i="16" s="1"/>
  <c r="V57" i="16"/>
  <c r="AB57" i="16" s="1"/>
  <c r="V56" i="16"/>
  <c r="AB56" i="16" s="1"/>
  <c r="V55" i="16"/>
  <c r="AB55" i="16" s="1"/>
  <c r="V54" i="16"/>
  <c r="AB54" i="16" s="1"/>
  <c r="V53" i="16"/>
  <c r="AB53" i="16" s="1"/>
  <c r="V52" i="16"/>
  <c r="AB52" i="16" s="1"/>
  <c r="V51" i="16"/>
  <c r="AB51" i="16" s="1"/>
  <c r="V50" i="16"/>
  <c r="AB50" i="16" s="1"/>
  <c r="V49" i="16"/>
  <c r="AB49" i="16" s="1"/>
  <c r="V48" i="16"/>
  <c r="AB48" i="16" s="1"/>
  <c r="V47" i="16"/>
  <c r="AB47" i="16" s="1"/>
  <c r="X46" i="16"/>
  <c r="AD46" i="16" s="1"/>
  <c r="W46" i="16"/>
  <c r="AC46" i="16" s="1"/>
  <c r="X45" i="16"/>
  <c r="AD45" i="16" s="1"/>
  <c r="W45" i="16"/>
  <c r="AC45" i="16" s="1"/>
  <c r="V44" i="16"/>
  <c r="AB44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63" i="6"/>
  <c r="AB63" i="6"/>
  <c r="AA63" i="6"/>
  <c r="Z63" i="6"/>
  <c r="Y63" i="6"/>
  <c r="X63" i="6"/>
  <c r="W63" i="6"/>
  <c r="AD62" i="6"/>
  <c r="AB62" i="6"/>
  <c r="AA62" i="6"/>
  <c r="Z62" i="6"/>
  <c r="Y62" i="6"/>
  <c r="X62" i="6"/>
  <c r="W62" i="6"/>
  <c r="AD61" i="6"/>
  <c r="AB61" i="6"/>
  <c r="AA61" i="6"/>
  <c r="AA61" i="7" s="1"/>
  <c r="Z61" i="6"/>
  <c r="Y61" i="6"/>
  <c r="X61" i="6"/>
  <c r="W61" i="6"/>
  <c r="AD60" i="6"/>
  <c r="AC60" i="6"/>
  <c r="AB60" i="6"/>
  <c r="AA60" i="6"/>
  <c r="Z60" i="6"/>
  <c r="Y60" i="6"/>
  <c r="X60" i="6"/>
  <c r="W60" i="6"/>
  <c r="AD59" i="6"/>
  <c r="AB59" i="6"/>
  <c r="AA59" i="6"/>
  <c r="Z59" i="6"/>
  <c r="Y59" i="6"/>
  <c r="X59" i="6"/>
  <c r="W59" i="6"/>
  <c r="AD58" i="6"/>
  <c r="AB58" i="6"/>
  <c r="AA58" i="6"/>
  <c r="Z58" i="6"/>
  <c r="Y58" i="6"/>
  <c r="X58" i="6"/>
  <c r="W58" i="6"/>
  <c r="AD57" i="6"/>
  <c r="AB57" i="6"/>
  <c r="AA57" i="6"/>
  <c r="AA57" i="7" s="1"/>
  <c r="Z57" i="6"/>
  <c r="Y57" i="6"/>
  <c r="X57" i="6"/>
  <c r="W57" i="6"/>
  <c r="AD56" i="6"/>
  <c r="AB56" i="6"/>
  <c r="AA56" i="6"/>
  <c r="Z56" i="6"/>
  <c r="Y56" i="6"/>
  <c r="X56" i="6"/>
  <c r="W56" i="6"/>
  <c r="AD55" i="6"/>
  <c r="AB55" i="6"/>
  <c r="AA55" i="6"/>
  <c r="Z55" i="6"/>
  <c r="Y55" i="6"/>
  <c r="X55" i="6"/>
  <c r="W55" i="6"/>
  <c r="AD54" i="6"/>
  <c r="AB54" i="6"/>
  <c r="AA54" i="6"/>
  <c r="Z54" i="6"/>
  <c r="Y54" i="6"/>
  <c r="X54" i="6"/>
  <c r="W54" i="6"/>
  <c r="AD53" i="6"/>
  <c r="AB53" i="6"/>
  <c r="AA53" i="6"/>
  <c r="AA53" i="7" s="1"/>
  <c r="Z53" i="6"/>
  <c r="Y53" i="6"/>
  <c r="X53" i="6"/>
  <c r="W53" i="6"/>
  <c r="AD52" i="6"/>
  <c r="AB52" i="6"/>
  <c r="AA52" i="6"/>
  <c r="Z52" i="6"/>
  <c r="Y52" i="6"/>
  <c r="X52" i="6"/>
  <c r="W52" i="6"/>
  <c r="AD51" i="6"/>
  <c r="AB51" i="6"/>
  <c r="AA51" i="6"/>
  <c r="Z51" i="6"/>
  <c r="Y51" i="6"/>
  <c r="X51" i="6"/>
  <c r="W51" i="6"/>
  <c r="AD50" i="6"/>
  <c r="AB50" i="6"/>
  <c r="AA50" i="6"/>
  <c r="Z50" i="6"/>
  <c r="Y50" i="6"/>
  <c r="X50" i="6"/>
  <c r="W50" i="6"/>
  <c r="AD49" i="6"/>
  <c r="AB49" i="6"/>
  <c r="AA49" i="6"/>
  <c r="AA49" i="7" s="1"/>
  <c r="Z49" i="6"/>
  <c r="Y49" i="6"/>
  <c r="X49" i="6"/>
  <c r="W49" i="6"/>
  <c r="AD48" i="6"/>
  <c r="AB48" i="6"/>
  <c r="AA48" i="6"/>
  <c r="Z48" i="6"/>
  <c r="Y48" i="6"/>
  <c r="X48" i="6"/>
  <c r="W48" i="6"/>
  <c r="AD47" i="6"/>
  <c r="AB47" i="6"/>
  <c r="AA47" i="6"/>
  <c r="Z47" i="6"/>
  <c r="Y47" i="6"/>
  <c r="X47" i="6"/>
  <c r="W47" i="6"/>
  <c r="AD46" i="6"/>
  <c r="AB46" i="6"/>
  <c r="AA46" i="6"/>
  <c r="Z46" i="6"/>
  <c r="Y46" i="6"/>
  <c r="X46" i="6"/>
  <c r="W46" i="6"/>
  <c r="AD45" i="6"/>
  <c r="AB45" i="6"/>
  <c r="AA45" i="6"/>
  <c r="AA45" i="7" s="1"/>
  <c r="Z45" i="6"/>
  <c r="Y45" i="6"/>
  <c r="X45" i="6"/>
  <c r="W45" i="6"/>
  <c r="AD44" i="6"/>
  <c r="AC44" i="6"/>
  <c r="AB44" i="6"/>
  <c r="AA44" i="6"/>
  <c r="Z44" i="6"/>
  <c r="Y44" i="6"/>
  <c r="X44" i="6"/>
  <c r="W44" i="6"/>
  <c r="AD43" i="6"/>
  <c r="AB43" i="6"/>
  <c r="AA43" i="6"/>
  <c r="Z43" i="6"/>
  <c r="Y43" i="6"/>
  <c r="X43" i="6"/>
  <c r="W43" i="6"/>
  <c r="AD42" i="6"/>
  <c r="AB42" i="6"/>
  <c r="AA42" i="6"/>
  <c r="Z42" i="6"/>
  <c r="Y42" i="6"/>
  <c r="X42" i="6"/>
  <c r="W42" i="6"/>
  <c r="AD41" i="6"/>
  <c r="AB41" i="6"/>
  <c r="AA41" i="6"/>
  <c r="AA41" i="7" s="1"/>
  <c r="Z41" i="6"/>
  <c r="Y41" i="6"/>
  <c r="X41" i="6"/>
  <c r="W41" i="6"/>
  <c r="AD40" i="6"/>
  <c r="AB40" i="6"/>
  <c r="AA40" i="6"/>
  <c r="Z40" i="6"/>
  <c r="Y40" i="6"/>
  <c r="X40" i="6"/>
  <c r="W40" i="6"/>
  <c r="AD39" i="6"/>
  <c r="AB39" i="6"/>
  <c r="AA39" i="6"/>
  <c r="Z39" i="6"/>
  <c r="Y39" i="6"/>
  <c r="X39" i="6"/>
  <c r="W39" i="6"/>
  <c r="AD38" i="6"/>
  <c r="AB38" i="6"/>
  <c r="AA38" i="6"/>
  <c r="Z38" i="6"/>
  <c r="Y38" i="6"/>
  <c r="X38" i="6"/>
  <c r="W38" i="6"/>
  <c r="AD37" i="6"/>
  <c r="AC37" i="6"/>
  <c r="AB37" i="6"/>
  <c r="AA37" i="6"/>
  <c r="AA37" i="7" s="1"/>
  <c r="Z37" i="6"/>
  <c r="Y37" i="6"/>
  <c r="X37" i="6"/>
  <c r="W37" i="6"/>
  <c r="V37" i="6"/>
  <c r="U37" i="6"/>
  <c r="AD36" i="6"/>
  <c r="AB36" i="6"/>
  <c r="AA36" i="6"/>
  <c r="Z36" i="6"/>
  <c r="Y36" i="6"/>
  <c r="X36" i="6"/>
  <c r="W36" i="6"/>
  <c r="U36" i="6"/>
  <c r="AD35" i="6"/>
  <c r="AB35" i="6"/>
  <c r="AA35" i="6"/>
  <c r="Z35" i="6"/>
  <c r="Y35" i="6"/>
  <c r="X35" i="6"/>
  <c r="W35" i="6"/>
  <c r="AD34" i="6"/>
  <c r="AB34" i="6"/>
  <c r="AA34" i="6"/>
  <c r="Z34" i="6"/>
  <c r="Y34" i="6"/>
  <c r="X34" i="6"/>
  <c r="W34" i="6"/>
  <c r="AD33" i="6"/>
  <c r="AB33" i="6"/>
  <c r="AA33" i="6"/>
  <c r="AA33" i="7" s="1"/>
  <c r="Z33" i="6"/>
  <c r="Y33" i="6"/>
  <c r="X33" i="6"/>
  <c r="W33" i="6"/>
  <c r="AD32" i="6"/>
  <c r="AC32" i="6"/>
  <c r="AB32" i="6"/>
  <c r="AA32" i="6"/>
  <c r="Z32" i="6"/>
  <c r="Y32" i="6"/>
  <c r="X32" i="6"/>
  <c r="W32" i="6"/>
  <c r="V32" i="6"/>
  <c r="U32" i="6"/>
  <c r="AD31" i="6"/>
  <c r="AC31" i="6"/>
  <c r="AB31" i="6"/>
  <c r="AA31" i="6"/>
  <c r="Z31" i="6"/>
  <c r="Y31" i="6"/>
  <c r="X31" i="6"/>
  <c r="W31" i="6"/>
  <c r="V31" i="6"/>
  <c r="U31" i="6"/>
  <c r="AD30" i="6"/>
  <c r="AC30" i="6"/>
  <c r="AB30" i="6"/>
  <c r="AA30" i="6"/>
  <c r="Z30" i="6"/>
  <c r="Y30" i="6"/>
  <c r="X30" i="6"/>
  <c r="W30" i="6"/>
  <c r="V30" i="6"/>
  <c r="U30" i="6"/>
  <c r="AD29" i="6"/>
  <c r="AC29" i="6"/>
  <c r="AB29" i="6"/>
  <c r="AA29" i="6"/>
  <c r="AA29" i="7" s="1"/>
  <c r="Z29" i="6"/>
  <c r="Y29" i="6"/>
  <c r="X29" i="6"/>
  <c r="W29" i="6"/>
  <c r="V29" i="6"/>
  <c r="U29" i="6"/>
  <c r="AD28" i="6"/>
  <c r="AC28" i="6"/>
  <c r="AB28" i="6"/>
  <c r="AA28" i="6"/>
  <c r="Z28" i="6"/>
  <c r="Y28" i="6"/>
  <c r="X28" i="6"/>
  <c r="W28" i="6"/>
  <c r="V28" i="6"/>
  <c r="U28" i="6"/>
  <c r="AD27" i="6"/>
  <c r="AC27" i="6"/>
  <c r="AB27" i="6"/>
  <c r="AA27" i="6"/>
  <c r="Z27" i="6"/>
  <c r="Y27" i="6"/>
  <c r="X27" i="6"/>
  <c r="W27" i="6"/>
  <c r="V27" i="6"/>
  <c r="U27" i="6"/>
  <c r="AD26" i="6"/>
  <c r="AC26" i="6"/>
  <c r="AB26" i="6"/>
  <c r="AA26" i="6"/>
  <c r="Z26" i="6"/>
  <c r="Y26" i="6"/>
  <c r="X26" i="6"/>
  <c r="W26" i="6"/>
  <c r="V26" i="6"/>
  <c r="U26" i="6"/>
  <c r="AD25" i="6"/>
  <c r="AC25" i="6"/>
  <c r="AB25" i="6"/>
  <c r="AA25" i="6"/>
  <c r="AA25" i="7" s="1"/>
  <c r="Z25" i="6"/>
  <c r="Y25" i="6"/>
  <c r="X25" i="6"/>
  <c r="W25" i="6"/>
  <c r="V25" i="6"/>
  <c r="U25" i="6"/>
  <c r="AD24" i="6"/>
  <c r="AC24" i="6"/>
  <c r="AB24" i="6"/>
  <c r="AA24" i="6"/>
  <c r="Z24" i="6"/>
  <c r="Y24" i="6"/>
  <c r="X24" i="6"/>
  <c r="W24" i="6"/>
  <c r="V24" i="6"/>
  <c r="U24" i="6"/>
  <c r="AD23" i="6"/>
  <c r="AC23" i="6"/>
  <c r="AB23" i="6"/>
  <c r="AA23" i="6"/>
  <c r="Z23" i="6"/>
  <c r="Y23" i="6"/>
  <c r="X23" i="6"/>
  <c r="W23" i="6"/>
  <c r="V23" i="6"/>
  <c r="U23" i="6"/>
  <c r="AD22" i="6"/>
  <c r="AC22" i="6"/>
  <c r="AB22" i="6"/>
  <c r="AA22" i="6"/>
  <c r="Z22" i="6"/>
  <c r="Y22" i="6"/>
  <c r="X22" i="6"/>
  <c r="W22" i="6"/>
  <c r="V22" i="6"/>
  <c r="U22" i="6"/>
  <c r="AD21" i="6"/>
  <c r="AC21" i="6"/>
  <c r="AB21" i="6"/>
  <c r="AA21" i="6"/>
  <c r="AA21" i="7" s="1"/>
  <c r="Z21" i="6"/>
  <c r="Y21" i="6"/>
  <c r="X21" i="6"/>
  <c r="W21" i="6"/>
  <c r="V21" i="6"/>
  <c r="U21" i="6"/>
  <c r="AD20" i="6"/>
  <c r="AC20" i="6"/>
  <c r="AB20" i="6"/>
  <c r="AA20" i="6"/>
  <c r="Z20" i="6"/>
  <c r="Y20" i="6"/>
  <c r="X20" i="6"/>
  <c r="W20" i="6"/>
  <c r="V20" i="6"/>
  <c r="U20" i="6"/>
  <c r="AD19" i="6"/>
  <c r="AC19" i="6"/>
  <c r="AB19" i="6"/>
  <c r="AA19" i="6"/>
  <c r="Z19" i="6"/>
  <c r="Y19" i="6"/>
  <c r="X19" i="6"/>
  <c r="W19" i="6"/>
  <c r="V19" i="6"/>
  <c r="U19" i="6"/>
  <c r="AD18" i="6"/>
  <c r="AC18" i="6"/>
  <c r="AB18" i="6"/>
  <c r="AA18" i="6"/>
  <c r="Z18" i="6"/>
  <c r="Y18" i="6"/>
  <c r="X18" i="6"/>
  <c r="W18" i="6"/>
  <c r="V18" i="6"/>
  <c r="U18" i="6"/>
  <c r="AD17" i="6"/>
  <c r="AC17" i="6"/>
  <c r="AB17" i="6"/>
  <c r="AA17" i="6"/>
  <c r="AA17" i="7" s="1"/>
  <c r="Z17" i="6"/>
  <c r="Y17" i="6"/>
  <c r="X17" i="6"/>
  <c r="W17" i="6"/>
  <c r="V17" i="6"/>
  <c r="U17" i="6"/>
  <c r="AD16" i="6"/>
  <c r="AC16" i="6"/>
  <c r="AB16" i="6"/>
  <c r="AA16" i="6"/>
  <c r="Z16" i="6"/>
  <c r="Y16" i="6"/>
  <c r="X16" i="6"/>
  <c r="W16" i="6"/>
  <c r="V16" i="6"/>
  <c r="U16" i="6"/>
  <c r="AD15" i="6"/>
  <c r="AC15" i="6"/>
  <c r="AB15" i="6"/>
  <c r="AA15" i="6"/>
  <c r="Z15" i="6"/>
  <c r="Y15" i="6"/>
  <c r="X15" i="6"/>
  <c r="W15" i="6"/>
  <c r="V15" i="6"/>
  <c r="U15" i="6"/>
  <c r="AD14" i="6"/>
  <c r="AC14" i="6"/>
  <c r="AB14" i="6"/>
  <c r="AA14" i="6"/>
  <c r="Z14" i="6"/>
  <c r="Y14" i="6"/>
  <c r="X14" i="6"/>
  <c r="W14" i="6"/>
  <c r="V14" i="6"/>
  <c r="U14" i="6"/>
  <c r="AD13" i="6"/>
  <c r="AC13" i="6"/>
  <c r="AB13" i="6"/>
  <c r="AA13" i="6"/>
  <c r="AA13" i="7" s="1"/>
  <c r="Z13" i="6"/>
  <c r="Y13" i="6"/>
  <c r="X13" i="6"/>
  <c r="W13" i="6"/>
  <c r="V13" i="6"/>
  <c r="U13" i="6"/>
  <c r="AD12" i="6"/>
  <c r="AC12" i="6"/>
  <c r="AB12" i="6"/>
  <c r="AA12" i="6"/>
  <c r="Z12" i="6"/>
  <c r="Y12" i="6"/>
  <c r="X12" i="6"/>
  <c r="W12" i="6"/>
  <c r="V12" i="6"/>
  <c r="U12" i="6"/>
  <c r="AD11" i="6"/>
  <c r="AC11" i="6"/>
  <c r="AB11" i="6"/>
  <c r="AA11" i="6"/>
  <c r="Z11" i="6"/>
  <c r="Y11" i="6"/>
  <c r="X11" i="6"/>
  <c r="W11" i="6"/>
  <c r="V11" i="6"/>
  <c r="U11" i="6"/>
  <c r="AD10" i="6"/>
  <c r="AC10" i="6"/>
  <c r="AB10" i="6"/>
  <c r="AA10" i="6"/>
  <c r="Z10" i="6"/>
  <c r="Y10" i="6"/>
  <c r="X10" i="6"/>
  <c r="W10" i="6"/>
  <c r="V10" i="6"/>
  <c r="U10" i="6"/>
  <c r="AD9" i="6"/>
  <c r="AC9" i="6"/>
  <c r="AB9" i="6"/>
  <c r="AA9" i="6"/>
  <c r="AA9" i="7" s="1"/>
  <c r="Z9" i="6"/>
  <c r="Y9" i="6"/>
  <c r="X9" i="6"/>
  <c r="W9" i="6"/>
  <c r="V9" i="6"/>
  <c r="U9" i="6"/>
  <c r="AD8" i="6"/>
  <c r="AC8" i="6"/>
  <c r="AB8" i="6"/>
  <c r="AA8" i="6"/>
  <c r="Z8" i="6"/>
  <c r="Y8" i="6"/>
  <c r="X8" i="6"/>
  <c r="W8" i="6"/>
  <c r="V8" i="6"/>
  <c r="U8" i="6"/>
  <c r="AD7" i="6"/>
  <c r="AC7" i="6"/>
  <c r="AB7" i="6"/>
  <c r="AA7" i="6"/>
  <c r="Z7" i="6"/>
  <c r="Y7" i="6"/>
  <c r="X7" i="6"/>
  <c r="W7" i="6"/>
  <c r="V7" i="6"/>
  <c r="U7" i="6"/>
  <c r="AD6" i="6"/>
  <c r="AC6" i="6"/>
  <c r="AB6" i="6"/>
  <c r="AA6" i="6"/>
  <c r="Z6" i="6"/>
  <c r="Y6" i="6"/>
  <c r="X6" i="6"/>
  <c r="W6" i="6"/>
  <c r="V6" i="6"/>
  <c r="U6" i="6"/>
  <c r="AD5" i="6"/>
  <c r="AC5" i="6"/>
  <c r="AB5" i="6"/>
  <c r="AA5" i="6"/>
  <c r="AA5" i="7" s="1"/>
  <c r="Z5" i="6"/>
  <c r="Y5" i="6"/>
  <c r="X5" i="6"/>
  <c r="W5" i="6"/>
  <c r="V5" i="6"/>
  <c r="U5" i="6"/>
  <c r="AP63" i="14"/>
  <c r="AC63" i="14"/>
  <c r="AC63" i="6" s="1"/>
  <c r="V63" i="14"/>
  <c r="V63" i="6" s="1"/>
  <c r="U63" i="14"/>
  <c r="U63" i="6" s="1"/>
  <c r="AP62" i="14"/>
  <c r="AC62" i="14"/>
  <c r="AC62" i="6" s="1"/>
  <c r="V62" i="14"/>
  <c r="V62" i="6" s="1"/>
  <c r="U62" i="14"/>
  <c r="U62" i="6" s="1"/>
  <c r="AP61" i="14"/>
  <c r="AC61" i="14"/>
  <c r="AC61" i="6" s="1"/>
  <c r="V61" i="14"/>
  <c r="V61" i="6" s="1"/>
  <c r="U61" i="14"/>
  <c r="U61" i="6" s="1"/>
  <c r="AP60" i="14"/>
  <c r="AC60" i="14"/>
  <c r="V60" i="14"/>
  <c r="V60" i="6" s="1"/>
  <c r="U60" i="14"/>
  <c r="U60" i="6" s="1"/>
  <c r="AP59" i="14"/>
  <c r="AC59" i="14"/>
  <c r="AC59" i="6" s="1"/>
  <c r="V59" i="14"/>
  <c r="V59" i="6" s="1"/>
  <c r="U59" i="14"/>
  <c r="U59" i="6" s="1"/>
  <c r="AP58" i="14"/>
  <c r="AC58" i="14"/>
  <c r="AC58" i="6" s="1"/>
  <c r="V58" i="14"/>
  <c r="V58" i="6" s="1"/>
  <c r="U58" i="14"/>
  <c r="U58" i="6" s="1"/>
  <c r="AP57" i="14"/>
  <c r="AC57" i="14"/>
  <c r="AC57" i="6" s="1"/>
  <c r="V57" i="14"/>
  <c r="V57" i="6" s="1"/>
  <c r="U57" i="14"/>
  <c r="U57" i="6" s="1"/>
  <c r="AP56" i="14"/>
  <c r="AC56" i="14"/>
  <c r="AC56" i="6" s="1"/>
  <c r="V56" i="14"/>
  <c r="V56" i="6" s="1"/>
  <c r="U56" i="14"/>
  <c r="U56" i="6" s="1"/>
  <c r="AP55" i="14"/>
  <c r="AC55" i="14"/>
  <c r="AC55" i="6" s="1"/>
  <c r="V55" i="14"/>
  <c r="V55" i="6" s="1"/>
  <c r="U55" i="14"/>
  <c r="U55" i="6" s="1"/>
  <c r="AP54" i="14"/>
  <c r="AC54" i="14"/>
  <c r="AC54" i="6" s="1"/>
  <c r="V54" i="14"/>
  <c r="V54" i="6" s="1"/>
  <c r="U54" i="14"/>
  <c r="U54" i="6" s="1"/>
  <c r="AP53" i="14"/>
  <c r="AC53" i="14"/>
  <c r="AC53" i="6" s="1"/>
  <c r="V53" i="14"/>
  <c r="V53" i="6" s="1"/>
  <c r="U53" i="14"/>
  <c r="U53" i="6" s="1"/>
  <c r="AP52" i="14"/>
  <c r="AC52" i="14"/>
  <c r="AC52" i="6" s="1"/>
  <c r="V52" i="14"/>
  <c r="V52" i="6" s="1"/>
  <c r="U52" i="14"/>
  <c r="U52" i="6" s="1"/>
  <c r="AP51" i="14"/>
  <c r="AC51" i="14"/>
  <c r="AC51" i="6" s="1"/>
  <c r="V51" i="14"/>
  <c r="V51" i="6" s="1"/>
  <c r="U51" i="14"/>
  <c r="U51" i="6" s="1"/>
  <c r="AP50" i="14"/>
  <c r="AC50" i="14"/>
  <c r="AC50" i="6" s="1"/>
  <c r="V50" i="14"/>
  <c r="V50" i="6" s="1"/>
  <c r="U50" i="14"/>
  <c r="U50" i="6" s="1"/>
  <c r="AP49" i="14"/>
  <c r="AC49" i="14"/>
  <c r="AC49" i="6" s="1"/>
  <c r="V49" i="14"/>
  <c r="V49" i="6" s="1"/>
  <c r="U49" i="14"/>
  <c r="U49" i="6" s="1"/>
  <c r="AP48" i="14"/>
  <c r="AC48" i="14"/>
  <c r="AC48" i="6" s="1"/>
  <c r="V48" i="14"/>
  <c r="V48" i="6" s="1"/>
  <c r="U48" i="14"/>
  <c r="U48" i="6" s="1"/>
  <c r="AP47" i="14"/>
  <c r="AC47" i="14"/>
  <c r="AC47" i="6" s="1"/>
  <c r="V47" i="14"/>
  <c r="V47" i="6" s="1"/>
  <c r="U47" i="14"/>
  <c r="U47" i="6" s="1"/>
  <c r="AP46" i="14"/>
  <c r="AC46" i="14"/>
  <c r="AC46" i="6" s="1"/>
  <c r="V46" i="14"/>
  <c r="V46" i="6" s="1"/>
  <c r="U46" i="14"/>
  <c r="U46" i="6" s="1"/>
  <c r="AP45" i="14"/>
  <c r="AC45" i="14"/>
  <c r="AC45" i="6" s="1"/>
  <c r="V45" i="14"/>
  <c r="V45" i="6" s="1"/>
  <c r="U45" i="14"/>
  <c r="U45" i="6" s="1"/>
  <c r="AP44" i="14"/>
  <c r="AC44" i="14"/>
  <c r="V44" i="14"/>
  <c r="V44" i="6" s="1"/>
  <c r="U44" i="14"/>
  <c r="U44" i="6" s="1"/>
  <c r="AP43" i="14"/>
  <c r="AC43" i="14"/>
  <c r="AC43" i="6" s="1"/>
  <c r="V43" i="14"/>
  <c r="V43" i="6" s="1"/>
  <c r="U43" i="14"/>
  <c r="U43" i="6" s="1"/>
  <c r="AP42" i="14"/>
  <c r="AC42" i="14"/>
  <c r="AC42" i="6" s="1"/>
  <c r="V42" i="14"/>
  <c r="V42" i="6" s="1"/>
  <c r="U42" i="14"/>
  <c r="U42" i="6" s="1"/>
  <c r="AP41" i="14"/>
  <c r="AC41" i="14"/>
  <c r="AC41" i="6" s="1"/>
  <c r="V41" i="14"/>
  <c r="V41" i="6" s="1"/>
  <c r="U41" i="14"/>
  <c r="U41" i="6" s="1"/>
  <c r="AP40" i="14"/>
  <c r="AC40" i="14"/>
  <c r="AC40" i="6" s="1"/>
  <c r="V40" i="14"/>
  <c r="V40" i="6" s="1"/>
  <c r="U40" i="14"/>
  <c r="U40" i="6" s="1"/>
  <c r="AP39" i="14"/>
  <c r="AC39" i="14"/>
  <c r="AC39" i="6" s="1"/>
  <c r="V39" i="14"/>
  <c r="V39" i="6" s="1"/>
  <c r="U39" i="14"/>
  <c r="U39" i="6" s="1"/>
  <c r="AP38" i="14"/>
  <c r="AC38" i="14"/>
  <c r="AC38" i="6" s="1"/>
  <c r="V38" i="14"/>
  <c r="V38" i="6" s="1"/>
  <c r="U38" i="14"/>
  <c r="U38" i="6" s="1"/>
  <c r="AP36" i="14"/>
  <c r="AC36" i="14"/>
  <c r="AC36" i="6" s="1"/>
  <c r="V36" i="14"/>
  <c r="V36" i="6" s="1"/>
  <c r="U36" i="14"/>
  <c r="AP35" i="14"/>
  <c r="AC35" i="14"/>
  <c r="AC35" i="6" s="1"/>
  <c r="V35" i="14"/>
  <c r="V35" i="6" s="1"/>
  <c r="U35" i="14"/>
  <c r="U35" i="6" s="1"/>
  <c r="AP34" i="14"/>
  <c r="AC34" i="14"/>
  <c r="AC34" i="6" s="1"/>
  <c r="V34" i="14"/>
  <c r="V34" i="6" s="1"/>
  <c r="U34" i="14"/>
  <c r="U34" i="6" s="1"/>
  <c r="AP33" i="14"/>
  <c r="AC33" i="14"/>
  <c r="AC33" i="6" s="1"/>
  <c r="V33" i="14"/>
  <c r="V33" i="6" s="1"/>
  <c r="U33" i="14"/>
  <c r="U33" i="6" s="1"/>
  <c r="X49" i="13"/>
  <c r="V49" i="13"/>
  <c r="T49" i="13"/>
  <c r="P49" i="13"/>
  <c r="O49" i="13"/>
  <c r="N49" i="13"/>
  <c r="M49" i="13"/>
  <c r="V48" i="13"/>
  <c r="U48" i="13"/>
  <c r="T48" i="13"/>
  <c r="P48" i="13"/>
  <c r="O48" i="13"/>
  <c r="N48" i="13"/>
  <c r="M48" i="13"/>
  <c r="X47" i="13"/>
  <c r="V47" i="13"/>
  <c r="U47" i="13"/>
  <c r="T47" i="13"/>
  <c r="P47" i="13"/>
  <c r="O47" i="13"/>
  <c r="N47" i="13"/>
  <c r="M47" i="13"/>
  <c r="X49" i="12"/>
  <c r="V49" i="12"/>
  <c r="T49" i="12"/>
  <c r="P49" i="12"/>
  <c r="O49" i="12"/>
  <c r="N49" i="12"/>
  <c r="M49" i="12"/>
  <c r="V48" i="12"/>
  <c r="U48" i="12"/>
  <c r="T48" i="12"/>
  <c r="P48" i="12"/>
  <c r="O48" i="12"/>
  <c r="N48" i="12"/>
  <c r="M48" i="12"/>
  <c r="X47" i="12"/>
  <c r="V47" i="12"/>
  <c r="V51" i="12" s="1"/>
  <c r="U47" i="12"/>
  <c r="T47" i="12"/>
  <c r="P47" i="12"/>
  <c r="O47" i="12"/>
  <c r="N47" i="12"/>
  <c r="N51" i="12" s="1"/>
  <c r="M47" i="12"/>
  <c r="M51" i="12" s="1"/>
  <c r="Y44" i="11"/>
  <c r="Y43" i="11"/>
  <c r="Y42" i="11"/>
  <c r="Y41" i="11"/>
  <c r="Y40" i="11"/>
  <c r="Y39" i="11"/>
  <c r="Y38" i="11"/>
  <c r="Y37" i="11"/>
  <c r="Y36" i="11"/>
  <c r="Y35" i="11"/>
  <c r="Y34" i="11"/>
  <c r="Y33" i="11"/>
  <c r="Y32" i="11"/>
  <c r="Y31" i="11"/>
  <c r="Y30" i="11"/>
  <c r="Y29" i="11"/>
  <c r="Y28" i="11"/>
  <c r="Y27" i="11"/>
  <c r="Y26" i="11"/>
  <c r="Y25" i="11"/>
  <c r="Y24" i="11"/>
  <c r="Y23" i="11"/>
  <c r="Y22" i="11"/>
  <c r="Y21" i="11"/>
  <c r="Y20" i="11"/>
  <c r="Y19" i="11"/>
  <c r="Y18" i="11"/>
  <c r="Y17" i="11"/>
  <c r="Y16" i="11"/>
  <c r="Y15" i="11"/>
  <c r="Y14" i="11"/>
  <c r="Y13" i="11"/>
  <c r="Y12" i="11"/>
  <c r="Y11" i="11"/>
  <c r="Y10" i="11"/>
  <c r="Y9" i="11"/>
  <c r="Y8" i="11"/>
  <c r="Y7" i="11"/>
  <c r="Y6" i="11"/>
  <c r="Y5" i="11"/>
  <c r="X49" i="11"/>
  <c r="V49" i="11"/>
  <c r="T49" i="11"/>
  <c r="P49" i="11"/>
  <c r="O49" i="11"/>
  <c r="N49" i="11"/>
  <c r="M49" i="11"/>
  <c r="V48" i="11"/>
  <c r="U48" i="11"/>
  <c r="T48" i="11"/>
  <c r="P48" i="11"/>
  <c r="O48" i="11"/>
  <c r="N48" i="11"/>
  <c r="M48" i="11"/>
  <c r="X47" i="11"/>
  <c r="V47" i="11"/>
  <c r="V51" i="11" s="1"/>
  <c r="U47" i="11"/>
  <c r="T47" i="11"/>
  <c r="P47" i="11"/>
  <c r="O47" i="11"/>
  <c r="O51" i="11" s="1"/>
  <c r="N47" i="11"/>
  <c r="N51" i="11" s="1"/>
  <c r="M47" i="11"/>
  <c r="X49" i="10"/>
  <c r="X47" i="10"/>
  <c r="V49" i="10"/>
  <c r="V48" i="10"/>
  <c r="V47" i="10"/>
  <c r="U48" i="10"/>
  <c r="U47" i="10"/>
  <c r="T49" i="10"/>
  <c r="T48" i="10"/>
  <c r="T47" i="10"/>
  <c r="R50" i="10"/>
  <c r="R50" i="24" s="1"/>
  <c r="P49" i="10"/>
  <c r="P48" i="10"/>
  <c r="P47" i="10"/>
  <c r="O49" i="10"/>
  <c r="O48" i="10"/>
  <c r="O47" i="10"/>
  <c r="N49" i="10"/>
  <c r="N48" i="10"/>
  <c r="N47" i="10"/>
  <c r="M49" i="10"/>
  <c r="M48" i="10"/>
  <c r="M47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7" i="10"/>
  <c r="Z16" i="10"/>
  <c r="Z15" i="10"/>
  <c r="Z14" i="10"/>
  <c r="V44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7" i="10"/>
  <c r="V16" i="10"/>
  <c r="V15" i="10"/>
  <c r="V14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7" i="10"/>
  <c r="U16" i="10"/>
  <c r="U15" i="10"/>
  <c r="U14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7" i="10"/>
  <c r="T16" i="10"/>
  <c r="T15" i="10"/>
  <c r="T14" i="10"/>
  <c r="R44" i="10"/>
  <c r="R43" i="10"/>
  <c r="R42" i="10"/>
  <c r="R41" i="10"/>
  <c r="R40" i="10"/>
  <c r="R39" i="10"/>
  <c r="R38" i="10"/>
  <c r="R37" i="10"/>
  <c r="R36" i="10"/>
  <c r="R35" i="10"/>
  <c r="R34" i="10"/>
  <c r="R33" i="10"/>
  <c r="R32" i="10"/>
  <c r="R31" i="10"/>
  <c r="R30" i="10"/>
  <c r="R29" i="10"/>
  <c r="R28" i="10"/>
  <c r="R27" i="10"/>
  <c r="R26" i="10"/>
  <c r="R25" i="10"/>
  <c r="R24" i="10"/>
  <c r="R23" i="10"/>
  <c r="R22" i="10"/>
  <c r="R21" i="10"/>
  <c r="R20" i="10"/>
  <c r="R19" i="10"/>
  <c r="R17" i="10"/>
  <c r="R16" i="10"/>
  <c r="R15" i="10"/>
  <c r="R14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7" i="10"/>
  <c r="P16" i="10"/>
  <c r="P15" i="10"/>
  <c r="P14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7" i="10"/>
  <c r="O16" i="10"/>
  <c r="O15" i="10"/>
  <c r="O14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7" i="10"/>
  <c r="N16" i="10"/>
  <c r="N15" i="10"/>
  <c r="N14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7" i="10"/>
  <c r="M16" i="10"/>
  <c r="M15" i="10"/>
  <c r="M14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7" i="10"/>
  <c r="L16" i="10"/>
  <c r="L15" i="10"/>
  <c r="L14" i="10"/>
  <c r="AK68" i="9"/>
  <c r="AF68" i="9"/>
  <c r="AP66" i="9" s="1"/>
  <c r="AE68" i="9"/>
  <c r="AO66" i="9" s="1"/>
  <c r="AC68" i="9"/>
  <c r="Y68" i="9"/>
  <c r="X68" i="9"/>
  <c r="W68" i="9"/>
  <c r="S68" i="9"/>
  <c r="R68" i="9"/>
  <c r="Q68" i="9"/>
  <c r="P68" i="9"/>
  <c r="O68" i="9"/>
  <c r="M68" i="9"/>
  <c r="L68" i="9"/>
  <c r="AK67" i="9"/>
  <c r="AF67" i="9"/>
  <c r="AC67" i="9"/>
  <c r="AA67" i="9"/>
  <c r="Z67" i="9"/>
  <c r="Y67" i="9"/>
  <c r="X67" i="9"/>
  <c r="W67" i="9"/>
  <c r="V67" i="9"/>
  <c r="U67" i="9"/>
  <c r="S67" i="9"/>
  <c r="R67" i="9"/>
  <c r="Q67" i="9"/>
  <c r="P67" i="9"/>
  <c r="O67" i="9"/>
  <c r="M67" i="9"/>
  <c r="L67" i="9"/>
  <c r="AL69" i="8"/>
  <c r="AG69" i="8"/>
  <c r="AD69" i="8"/>
  <c r="AB69" i="8"/>
  <c r="T69" i="8"/>
  <c r="AK68" i="8"/>
  <c r="AF68" i="8"/>
  <c r="AE68" i="8"/>
  <c r="AC68" i="8"/>
  <c r="Y68" i="8"/>
  <c r="X68" i="8"/>
  <c r="W68" i="8"/>
  <c r="S68" i="8"/>
  <c r="R68" i="8"/>
  <c r="Q68" i="8"/>
  <c r="P68" i="8"/>
  <c r="O68" i="8"/>
  <c r="M68" i="8"/>
  <c r="L68" i="8"/>
  <c r="AK67" i="8"/>
  <c r="AF67" i="8"/>
  <c r="AP66" i="8" s="1"/>
  <c r="AC67" i="8"/>
  <c r="AA67" i="8"/>
  <c r="Z67" i="8"/>
  <c r="Y67" i="8"/>
  <c r="X67" i="8"/>
  <c r="W67" i="8"/>
  <c r="V67" i="8"/>
  <c r="U67" i="8"/>
  <c r="S67" i="8"/>
  <c r="R67" i="8"/>
  <c r="Q67" i="8"/>
  <c r="P67" i="8"/>
  <c r="O67" i="8"/>
  <c r="M67" i="8"/>
  <c r="L67" i="8"/>
  <c r="AL69" i="7"/>
  <c r="AG69" i="7"/>
  <c r="AD69" i="7"/>
  <c r="AB69" i="7"/>
  <c r="T69" i="7"/>
  <c r="AM69" i="7" s="1"/>
  <c r="AG63" i="7"/>
  <c r="AA63" i="7"/>
  <c r="Z63" i="7"/>
  <c r="AG62" i="7"/>
  <c r="AA62" i="7"/>
  <c r="Z62" i="7"/>
  <c r="AG61" i="7"/>
  <c r="Z61" i="7"/>
  <c r="AG60" i="7"/>
  <c r="AA60" i="7"/>
  <c r="Z60" i="7"/>
  <c r="AG59" i="7"/>
  <c r="AA59" i="7"/>
  <c r="Z59" i="7"/>
  <c r="AG58" i="7"/>
  <c r="AA58" i="7"/>
  <c r="Z58" i="7"/>
  <c r="AG57" i="7"/>
  <c r="Z57" i="7"/>
  <c r="AG56" i="7"/>
  <c r="AA56" i="7"/>
  <c r="Z56" i="7"/>
  <c r="AG55" i="7"/>
  <c r="AA55" i="7"/>
  <c r="Z55" i="7"/>
  <c r="AG54" i="7"/>
  <c r="AA54" i="7"/>
  <c r="Z54" i="7"/>
  <c r="AG53" i="7"/>
  <c r="Z53" i="7"/>
  <c r="AG52" i="7"/>
  <c r="AA52" i="7"/>
  <c r="Z52" i="7"/>
  <c r="AG51" i="7"/>
  <c r="AA51" i="7"/>
  <c r="Z51" i="7"/>
  <c r="AG50" i="7"/>
  <c r="AA50" i="7"/>
  <c r="Z50" i="7"/>
  <c r="AG49" i="7"/>
  <c r="Z49" i="7"/>
  <c r="AG48" i="7"/>
  <c r="AA48" i="7"/>
  <c r="Z48" i="7"/>
  <c r="AG47" i="7"/>
  <c r="AA47" i="7"/>
  <c r="Z47" i="7"/>
  <c r="AG46" i="7"/>
  <c r="AA46" i="7"/>
  <c r="Z46" i="7"/>
  <c r="AG45" i="7"/>
  <c r="Z45" i="7"/>
  <c r="AG44" i="7"/>
  <c r="AA44" i="7"/>
  <c r="Z44" i="7"/>
  <c r="AG43" i="7"/>
  <c r="AA43" i="7"/>
  <c r="Z43" i="7"/>
  <c r="AG42" i="7"/>
  <c r="AA42" i="7"/>
  <c r="Z42" i="7"/>
  <c r="AG41" i="7"/>
  <c r="Z41" i="7"/>
  <c r="AG40" i="7"/>
  <c r="AA40" i="7"/>
  <c r="Z40" i="7"/>
  <c r="AG39" i="7"/>
  <c r="AA39" i="7"/>
  <c r="Z39" i="7"/>
  <c r="AG38" i="7"/>
  <c r="AA38" i="7"/>
  <c r="Z38" i="7"/>
  <c r="AG37" i="7"/>
  <c r="Z37" i="7"/>
  <c r="AG36" i="7"/>
  <c r="AA36" i="7"/>
  <c r="Z36" i="7"/>
  <c r="AG35" i="7"/>
  <c r="AA35" i="7"/>
  <c r="Z35" i="7"/>
  <c r="AG34" i="7"/>
  <c r="AA34" i="7"/>
  <c r="Z34" i="7"/>
  <c r="AG33" i="7"/>
  <c r="Z33" i="7"/>
  <c r="AG32" i="7"/>
  <c r="AA32" i="7"/>
  <c r="Z32" i="7"/>
  <c r="AG31" i="7"/>
  <c r="AA31" i="7"/>
  <c r="Z31" i="7"/>
  <c r="AG30" i="7"/>
  <c r="AA30" i="7"/>
  <c r="Z30" i="7"/>
  <c r="AG29" i="7"/>
  <c r="Z29" i="7"/>
  <c r="AG28" i="7"/>
  <c r="AA28" i="7"/>
  <c r="Z28" i="7"/>
  <c r="AG27" i="7"/>
  <c r="AA27" i="7"/>
  <c r="Z27" i="7"/>
  <c r="AG26" i="7"/>
  <c r="AA26" i="7"/>
  <c r="Z26" i="7"/>
  <c r="AG25" i="7"/>
  <c r="Z25" i="7"/>
  <c r="AG24" i="7"/>
  <c r="AA24" i="7"/>
  <c r="Z24" i="7"/>
  <c r="AG23" i="7"/>
  <c r="AA23" i="7"/>
  <c r="Z23" i="7"/>
  <c r="AG22" i="7"/>
  <c r="AA22" i="7"/>
  <c r="Z22" i="7"/>
  <c r="AG21" i="7"/>
  <c r="Z21" i="7"/>
  <c r="AG20" i="7"/>
  <c r="AA20" i="7"/>
  <c r="Z20" i="7"/>
  <c r="AG19" i="7"/>
  <c r="AA19" i="7"/>
  <c r="Z19" i="7"/>
  <c r="AG18" i="7"/>
  <c r="AA18" i="7"/>
  <c r="Z18" i="7"/>
  <c r="AG17" i="7"/>
  <c r="Z17" i="7"/>
  <c r="AG16" i="7"/>
  <c r="AA16" i="7"/>
  <c r="Z16" i="7"/>
  <c r="AG15" i="7"/>
  <c r="AA15" i="7"/>
  <c r="Z15" i="7"/>
  <c r="AG14" i="7"/>
  <c r="AA14" i="7"/>
  <c r="Z14" i="7"/>
  <c r="AG13" i="7"/>
  <c r="Z13" i="7"/>
  <c r="AG12" i="7"/>
  <c r="AA12" i="7"/>
  <c r="Z12" i="7"/>
  <c r="AG11" i="7"/>
  <c r="AA11" i="7"/>
  <c r="Z11" i="7"/>
  <c r="AG10" i="7"/>
  <c r="AA10" i="7"/>
  <c r="Z10" i="7"/>
  <c r="AG9" i="7"/>
  <c r="Z9" i="7"/>
  <c r="AG8" i="7"/>
  <c r="AA8" i="7"/>
  <c r="Z8" i="7"/>
  <c r="AG7" i="7"/>
  <c r="AA7" i="7"/>
  <c r="Z7" i="7"/>
  <c r="AG6" i="7"/>
  <c r="AA6" i="7"/>
  <c r="Z6" i="7"/>
  <c r="AG5" i="7"/>
  <c r="Z5" i="7"/>
  <c r="AK68" i="7"/>
  <c r="AF68" i="7"/>
  <c r="AE68" i="7"/>
  <c r="AC68" i="7"/>
  <c r="Y68" i="7"/>
  <c r="X68" i="7"/>
  <c r="W68" i="7"/>
  <c r="S68" i="7"/>
  <c r="R68" i="7"/>
  <c r="Q68" i="7"/>
  <c r="P68" i="7"/>
  <c r="O68" i="7"/>
  <c r="M68" i="7"/>
  <c r="L68" i="7"/>
  <c r="AK67" i="7"/>
  <c r="AF67" i="7"/>
  <c r="AC67" i="7"/>
  <c r="AA67" i="7"/>
  <c r="Z67" i="7"/>
  <c r="Y67" i="7"/>
  <c r="X67" i="7"/>
  <c r="W67" i="7"/>
  <c r="V67" i="7"/>
  <c r="U67" i="7"/>
  <c r="S67" i="7"/>
  <c r="R67" i="7"/>
  <c r="Q67" i="7"/>
  <c r="P67" i="7"/>
  <c r="O67" i="7"/>
  <c r="M67" i="7"/>
  <c r="L67" i="7"/>
  <c r="AP63" i="7"/>
  <c r="AP62" i="7"/>
  <c r="AP61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6" i="7"/>
  <c r="AP35" i="7"/>
  <c r="AP34" i="7"/>
  <c r="AP33" i="7"/>
  <c r="AA68" i="6"/>
  <c r="AA66" i="23" s="1"/>
  <c r="AA70" i="23" s="1"/>
  <c r="Z68" i="6"/>
  <c r="Z66" i="23" s="1"/>
  <c r="Z70" i="23" s="1"/>
  <c r="AK70" i="6"/>
  <c r="AK69" i="6"/>
  <c r="AK68" i="6"/>
  <c r="AK66" i="23" s="1"/>
  <c r="AK70" i="23" s="1"/>
  <c r="AF70" i="6"/>
  <c r="AF69" i="6"/>
  <c r="AF68" i="6"/>
  <c r="AF66" i="23" s="1"/>
  <c r="AE70" i="6"/>
  <c r="AE68" i="6"/>
  <c r="AE66" i="23" s="1"/>
  <c r="AC70" i="6"/>
  <c r="AC69" i="6"/>
  <c r="AC68" i="6"/>
  <c r="AC66" i="23" s="1"/>
  <c r="AC70" i="23" s="1"/>
  <c r="AA69" i="6"/>
  <c r="Z69" i="6"/>
  <c r="Y70" i="6"/>
  <c r="Y69" i="6"/>
  <c r="X70" i="6"/>
  <c r="X69" i="6"/>
  <c r="X68" i="6"/>
  <c r="X66" i="23" s="1"/>
  <c r="X70" i="23" s="1"/>
  <c r="W70" i="6"/>
  <c r="W69" i="6"/>
  <c r="V69" i="6"/>
  <c r="U69" i="6"/>
  <c r="U68" i="6"/>
  <c r="U66" i="23" s="1"/>
  <c r="U70" i="23" s="1"/>
  <c r="S70" i="6"/>
  <c r="S69" i="6"/>
  <c r="S68" i="6"/>
  <c r="S66" i="23" s="1"/>
  <c r="R70" i="6"/>
  <c r="R69" i="6"/>
  <c r="R68" i="6"/>
  <c r="R66" i="23" s="1"/>
  <c r="R70" i="23" s="1"/>
  <c r="Q70" i="6"/>
  <c r="Q69" i="6"/>
  <c r="Q68" i="6"/>
  <c r="Q66" i="23" s="1"/>
  <c r="Q70" i="23" s="1"/>
  <c r="P70" i="6"/>
  <c r="P69" i="6"/>
  <c r="P68" i="6"/>
  <c r="P66" i="23" s="1"/>
  <c r="P70" i="23" s="1"/>
  <c r="O70" i="6"/>
  <c r="O69" i="6"/>
  <c r="O68" i="6"/>
  <c r="O66" i="23" s="1"/>
  <c r="O70" i="23" s="1"/>
  <c r="M70" i="6"/>
  <c r="M69" i="6"/>
  <c r="M68" i="6"/>
  <c r="M66" i="23" s="1"/>
  <c r="M70" i="23" s="1"/>
  <c r="L70" i="6"/>
  <c r="L69" i="6"/>
  <c r="L68" i="6"/>
  <c r="L66" i="23" s="1"/>
  <c r="L70" i="23" s="1"/>
  <c r="AK28" i="6"/>
  <c r="AK27" i="6"/>
  <c r="AK22" i="6"/>
  <c r="AK21" i="6"/>
  <c r="AK18" i="6"/>
  <c r="AK17" i="6"/>
  <c r="AK15" i="6"/>
  <c r="AK10" i="6"/>
  <c r="AK9" i="6"/>
  <c r="AK6" i="6"/>
  <c r="AK5" i="6"/>
  <c r="AI63" i="6"/>
  <c r="AI62" i="6"/>
  <c r="AI61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6" i="6"/>
  <c r="AI35" i="6"/>
  <c r="AI34" i="6"/>
  <c r="AI33" i="6"/>
  <c r="AH63" i="6"/>
  <c r="AH62" i="6"/>
  <c r="AH61" i="6"/>
  <c r="AH60" i="6"/>
  <c r="AH59" i="6"/>
  <c r="AH58" i="6"/>
  <c r="AH57" i="6"/>
  <c r="AH56" i="6"/>
  <c r="AH55" i="6"/>
  <c r="AH54" i="6"/>
  <c r="AH53" i="6"/>
  <c r="AH52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6" i="6"/>
  <c r="AH35" i="6"/>
  <c r="AH34" i="6"/>
  <c r="AH33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6" i="6"/>
  <c r="S35" i="6"/>
  <c r="S34" i="6"/>
  <c r="S33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Q63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37" i="6"/>
  <c r="Q32" i="6"/>
  <c r="Q31" i="6"/>
  <c r="Q30" i="6"/>
  <c r="Q29" i="6"/>
  <c r="Q24" i="6"/>
  <c r="Q23" i="6"/>
  <c r="Q19" i="6"/>
  <c r="Q16" i="6"/>
  <c r="Q12" i="6"/>
  <c r="Q11" i="6"/>
  <c r="Q7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O63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6" i="6"/>
  <c r="O35" i="6"/>
  <c r="O34" i="6"/>
  <c r="O33" i="6"/>
  <c r="N28" i="6"/>
  <c r="N27" i="6"/>
  <c r="N21" i="6"/>
  <c r="N9" i="6"/>
  <c r="AP63" i="6"/>
  <c r="AP62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6" i="6"/>
  <c r="AP35" i="6"/>
  <c r="AP34" i="6"/>
  <c r="AP33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37" i="6"/>
  <c r="L32" i="6"/>
  <c r="L31" i="6"/>
  <c r="L30" i="6"/>
  <c r="L29" i="6"/>
  <c r="L24" i="6"/>
  <c r="L23" i="6"/>
  <c r="L19" i="6"/>
  <c r="L16" i="6"/>
  <c r="L12" i="6"/>
  <c r="L11" i="6"/>
  <c r="L7" i="6"/>
  <c r="AJ68" i="6"/>
  <c r="AJ66" i="23" s="1"/>
  <c r="AJ70" i="23" s="1"/>
  <c r="AI68" i="6"/>
  <c r="AI66" i="23" s="1"/>
  <c r="AH68" i="6"/>
  <c r="AH66" i="23" s="1"/>
  <c r="AH70" i="23" s="1"/>
  <c r="W68" i="6"/>
  <c r="W66" i="23" s="1"/>
  <c r="W70" i="23" s="1"/>
  <c r="F41" i="5"/>
  <c r="W49" i="24" s="1"/>
  <c r="E45" i="5"/>
  <c r="AA48" i="24" s="1"/>
  <c r="D45" i="5"/>
  <c r="AA47" i="24" s="1"/>
  <c r="F43" i="5"/>
  <c r="Y49" i="24" s="1"/>
  <c r="D43" i="5"/>
  <c r="Y47" i="24" s="1"/>
  <c r="E41" i="5"/>
  <c r="W48" i="24" s="1"/>
  <c r="D41" i="5"/>
  <c r="W47" i="24" s="1"/>
  <c r="D28" i="5"/>
  <c r="AL68" i="6" s="1"/>
  <c r="AL66" i="23" s="1"/>
  <c r="F23" i="5"/>
  <c r="AG68" i="23" s="1"/>
  <c r="D23" i="5"/>
  <c r="AG68" i="6" s="1"/>
  <c r="AG66" i="23" s="1"/>
  <c r="F20" i="5"/>
  <c r="AD68" i="23" s="1"/>
  <c r="E20" i="5"/>
  <c r="AD67" i="23" s="1"/>
  <c r="D20" i="5"/>
  <c r="AD68" i="6" s="1"/>
  <c r="AD66" i="23" s="1"/>
  <c r="E18" i="5"/>
  <c r="AB67" i="23" s="1"/>
  <c r="D18" i="5"/>
  <c r="AB68" i="6" s="1"/>
  <c r="AB66" i="23" s="1"/>
  <c r="T41" i="4"/>
  <c r="S41" i="4"/>
  <c r="R41" i="4"/>
  <c r="Q41" i="4"/>
  <c r="P41" i="4"/>
  <c r="O41" i="4"/>
  <c r="N41" i="4"/>
  <c r="M41" i="4"/>
  <c r="L41" i="4"/>
  <c r="K41" i="4"/>
  <c r="J41" i="4"/>
  <c r="I41" i="4"/>
  <c r="U41" i="4" s="1"/>
  <c r="T40" i="4"/>
  <c r="S40" i="4"/>
  <c r="R40" i="4"/>
  <c r="Q40" i="4"/>
  <c r="P40" i="4"/>
  <c r="O40" i="4"/>
  <c r="N40" i="4"/>
  <c r="M40" i="4"/>
  <c r="L40" i="4"/>
  <c r="K40" i="4"/>
  <c r="J40" i="4"/>
  <c r="I40" i="4"/>
  <c r="U40" i="4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U35" i="4" s="1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U27" i="4" s="1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U19" i="4" s="1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U11" i="4" s="1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U3" i="4" s="1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U2" i="4" s="1"/>
  <c r="T60" i="3"/>
  <c r="S60" i="3"/>
  <c r="R60" i="3"/>
  <c r="Q60" i="3"/>
  <c r="P60" i="3"/>
  <c r="O60" i="3"/>
  <c r="N60" i="3"/>
  <c r="M60" i="3"/>
  <c r="L60" i="3"/>
  <c r="K60" i="3"/>
  <c r="J60" i="3"/>
  <c r="I60" i="3"/>
  <c r="U60" i="3" s="1"/>
  <c r="T59" i="3"/>
  <c r="S59" i="3"/>
  <c r="R59" i="3"/>
  <c r="Q59" i="3"/>
  <c r="P59" i="3"/>
  <c r="O59" i="3"/>
  <c r="N59" i="3"/>
  <c r="M59" i="3"/>
  <c r="L59" i="3"/>
  <c r="K59" i="3"/>
  <c r="J59" i="3"/>
  <c r="I59" i="3"/>
  <c r="U59" i="3" s="1"/>
  <c r="T58" i="3"/>
  <c r="S58" i="3"/>
  <c r="R58" i="3"/>
  <c r="Q58" i="3"/>
  <c r="P58" i="3"/>
  <c r="O58" i="3"/>
  <c r="N58" i="3"/>
  <c r="M58" i="3"/>
  <c r="L58" i="3"/>
  <c r="K58" i="3"/>
  <c r="J58" i="3"/>
  <c r="I58" i="3"/>
  <c r="U58" i="3" s="1"/>
  <c r="T57" i="3"/>
  <c r="S57" i="3"/>
  <c r="R57" i="3"/>
  <c r="Q57" i="3"/>
  <c r="P57" i="3"/>
  <c r="O57" i="3"/>
  <c r="N57" i="3"/>
  <c r="M57" i="3"/>
  <c r="L57" i="3"/>
  <c r="K57" i="3"/>
  <c r="J57" i="3"/>
  <c r="I57" i="3"/>
  <c r="U57" i="3" s="1"/>
  <c r="T56" i="3"/>
  <c r="S56" i="3"/>
  <c r="R56" i="3"/>
  <c r="Q56" i="3"/>
  <c r="P56" i="3"/>
  <c r="O56" i="3"/>
  <c r="N56" i="3"/>
  <c r="M56" i="3"/>
  <c r="L56" i="3"/>
  <c r="K56" i="3"/>
  <c r="J56" i="3"/>
  <c r="I56" i="3"/>
  <c r="U56" i="3" s="1"/>
  <c r="T55" i="3"/>
  <c r="S55" i="3"/>
  <c r="R55" i="3"/>
  <c r="Q55" i="3"/>
  <c r="P55" i="3"/>
  <c r="O55" i="3"/>
  <c r="N55" i="3"/>
  <c r="M55" i="3"/>
  <c r="L55" i="3"/>
  <c r="K55" i="3"/>
  <c r="U55" i="3" s="1"/>
  <c r="J55" i="3"/>
  <c r="I55" i="3"/>
  <c r="T54" i="3"/>
  <c r="S54" i="3"/>
  <c r="R54" i="3"/>
  <c r="Q54" i="3"/>
  <c r="P54" i="3"/>
  <c r="O54" i="3"/>
  <c r="N54" i="3"/>
  <c r="M54" i="3"/>
  <c r="L54" i="3"/>
  <c r="K54" i="3"/>
  <c r="U54" i="3" s="1"/>
  <c r="J54" i="3"/>
  <c r="I54" i="3"/>
  <c r="T53" i="3"/>
  <c r="S53" i="3"/>
  <c r="R53" i="3"/>
  <c r="Q53" i="3"/>
  <c r="P53" i="3"/>
  <c r="O53" i="3"/>
  <c r="N53" i="3"/>
  <c r="M53" i="3"/>
  <c r="L53" i="3"/>
  <c r="K53" i="3"/>
  <c r="J53" i="3"/>
  <c r="I53" i="3"/>
  <c r="U53" i="3" s="1"/>
  <c r="T52" i="3"/>
  <c r="S52" i="3"/>
  <c r="R52" i="3"/>
  <c r="Q52" i="3"/>
  <c r="P52" i="3"/>
  <c r="O52" i="3"/>
  <c r="N52" i="3"/>
  <c r="M52" i="3"/>
  <c r="U52" i="3" s="1"/>
  <c r="L52" i="3"/>
  <c r="K52" i="3"/>
  <c r="J52" i="3"/>
  <c r="I52" i="3"/>
  <c r="T51" i="3"/>
  <c r="S51" i="3"/>
  <c r="R51" i="3"/>
  <c r="Q51" i="3"/>
  <c r="P51" i="3"/>
  <c r="O51" i="3"/>
  <c r="N51" i="3"/>
  <c r="M51" i="3"/>
  <c r="L51" i="3"/>
  <c r="K51" i="3"/>
  <c r="J51" i="3"/>
  <c r="I51" i="3"/>
  <c r="U51" i="3" s="1"/>
  <c r="T50" i="3"/>
  <c r="S50" i="3"/>
  <c r="R50" i="3"/>
  <c r="Q50" i="3"/>
  <c r="P50" i="3"/>
  <c r="O50" i="3"/>
  <c r="N50" i="3"/>
  <c r="M50" i="3"/>
  <c r="L50" i="3"/>
  <c r="K50" i="3"/>
  <c r="J50" i="3"/>
  <c r="I50" i="3"/>
  <c r="U50" i="3" s="1"/>
  <c r="T49" i="3"/>
  <c r="S49" i="3"/>
  <c r="R49" i="3"/>
  <c r="Q49" i="3"/>
  <c r="P49" i="3"/>
  <c r="O49" i="3"/>
  <c r="N49" i="3"/>
  <c r="M49" i="3"/>
  <c r="L49" i="3"/>
  <c r="K49" i="3"/>
  <c r="J49" i="3"/>
  <c r="I49" i="3"/>
  <c r="U49" i="3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U47" i="3" s="1"/>
  <c r="I47" i="3"/>
  <c r="T46" i="3"/>
  <c r="S46" i="3"/>
  <c r="R46" i="3"/>
  <c r="Q46" i="3"/>
  <c r="P46" i="3"/>
  <c r="O46" i="3"/>
  <c r="N46" i="3"/>
  <c r="M46" i="3"/>
  <c r="L46" i="3"/>
  <c r="K46" i="3"/>
  <c r="U46" i="3" s="1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U45" i="3" s="1"/>
  <c r="I45" i="3"/>
  <c r="T44" i="3"/>
  <c r="S44" i="3"/>
  <c r="R44" i="3"/>
  <c r="Q44" i="3"/>
  <c r="P44" i="3"/>
  <c r="O44" i="3"/>
  <c r="N44" i="3"/>
  <c r="M44" i="3"/>
  <c r="U44" i="3" s="1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U39" i="3" s="1"/>
  <c r="I39" i="3"/>
  <c r="T38" i="3"/>
  <c r="S38" i="3"/>
  <c r="R38" i="3"/>
  <c r="Q38" i="3"/>
  <c r="P38" i="3"/>
  <c r="O38" i="3"/>
  <c r="N38" i="3"/>
  <c r="M38" i="3"/>
  <c r="L38" i="3"/>
  <c r="K38" i="3"/>
  <c r="U38" i="3" s="1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U36" i="3" s="1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U31" i="3" s="1"/>
  <c r="I31" i="3"/>
  <c r="T30" i="3"/>
  <c r="S30" i="3"/>
  <c r="R30" i="3"/>
  <c r="Q30" i="3"/>
  <c r="P30" i="3"/>
  <c r="O30" i="3"/>
  <c r="N30" i="3"/>
  <c r="M30" i="3"/>
  <c r="L30" i="3"/>
  <c r="K30" i="3"/>
  <c r="U30" i="3" s="1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U28" i="3" s="1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U23" i="3" s="1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U22" i="3" s="1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U20" i="3" s="1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U15" i="3" s="1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U14" i="3" s="1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U12" i="3" s="1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U9" i="3" s="1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U7" i="3" s="1"/>
  <c r="I7" i="3"/>
  <c r="T6" i="3"/>
  <c r="S6" i="3"/>
  <c r="R6" i="3"/>
  <c r="Q6" i="3"/>
  <c r="P6" i="3"/>
  <c r="O6" i="3"/>
  <c r="N6" i="3"/>
  <c r="M6" i="3"/>
  <c r="L6" i="3"/>
  <c r="K6" i="3"/>
  <c r="U6" i="3" s="1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U4" i="3" s="1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X4" i="21" l="1"/>
  <c r="AF4" i="21" s="1"/>
  <c r="P13" i="5"/>
  <c r="P16" i="5" s="1"/>
  <c r="I7" i="23"/>
  <c r="I7" i="28"/>
  <c r="I7" i="6"/>
  <c r="I7" i="8"/>
  <c r="I7" i="7"/>
  <c r="I7" i="9"/>
  <c r="I7" i="14"/>
  <c r="I14" i="23"/>
  <c r="I14" i="28"/>
  <c r="AZ78" i="28" s="1"/>
  <c r="I14" i="6"/>
  <c r="I14" i="8"/>
  <c r="I14" i="7"/>
  <c r="I14" i="9"/>
  <c r="I14" i="14"/>
  <c r="I22" i="23"/>
  <c r="I22" i="28"/>
  <c r="AM86" i="28" s="1"/>
  <c r="I22" i="6"/>
  <c r="I22" i="8"/>
  <c r="I22" i="7"/>
  <c r="I22" i="9"/>
  <c r="I22" i="14"/>
  <c r="I24" i="23"/>
  <c r="I24" i="28"/>
  <c r="AW88" i="28" s="1"/>
  <c r="I24" i="14"/>
  <c r="I24" i="6"/>
  <c r="I24" i="8"/>
  <c r="I24" i="7"/>
  <c r="I24" i="9"/>
  <c r="I32" i="23"/>
  <c r="I32" i="28"/>
  <c r="I32" i="14"/>
  <c r="I32" i="8"/>
  <c r="I32" i="7"/>
  <c r="I32" i="6"/>
  <c r="I32" i="9"/>
  <c r="I36" i="28"/>
  <c r="I36" i="23"/>
  <c r="I36" i="14"/>
  <c r="I36" i="9"/>
  <c r="I36" i="7"/>
  <c r="I36" i="8"/>
  <c r="I36" i="6"/>
  <c r="I39" i="23"/>
  <c r="I39" i="28"/>
  <c r="I39" i="14"/>
  <c r="I39" i="8"/>
  <c r="I39" i="6"/>
  <c r="I39" i="9"/>
  <c r="I39" i="7"/>
  <c r="I40" i="23"/>
  <c r="I40" i="28"/>
  <c r="I40" i="14"/>
  <c r="I40" i="8"/>
  <c r="I40" i="6"/>
  <c r="I40" i="9"/>
  <c r="I40" i="7"/>
  <c r="I44" i="28"/>
  <c r="I44" i="23"/>
  <c r="I44" i="14"/>
  <c r="I44" i="9"/>
  <c r="I44" i="7"/>
  <c r="I44" i="8"/>
  <c r="I44" i="6"/>
  <c r="I46" i="23"/>
  <c r="I46" i="28"/>
  <c r="I46" i="14"/>
  <c r="I46" i="7"/>
  <c r="I46" i="8"/>
  <c r="I46" i="6"/>
  <c r="I46" i="9"/>
  <c r="I47" i="23"/>
  <c r="I47" i="28"/>
  <c r="I47" i="8"/>
  <c r="I47" i="6"/>
  <c r="I47" i="9"/>
  <c r="I47" i="14"/>
  <c r="I47" i="7"/>
  <c r="I52" i="28"/>
  <c r="I52" i="23"/>
  <c r="I52" i="14"/>
  <c r="I52" i="9"/>
  <c r="I52" i="7"/>
  <c r="I52" i="8"/>
  <c r="I52" i="6"/>
  <c r="I54" i="23"/>
  <c r="I54" i="28"/>
  <c r="I54" i="14"/>
  <c r="I54" i="7"/>
  <c r="I54" i="8"/>
  <c r="I54" i="6"/>
  <c r="I54" i="9"/>
  <c r="I55" i="23"/>
  <c r="I55" i="28"/>
  <c r="I55" i="14"/>
  <c r="I55" i="8"/>
  <c r="I55" i="6"/>
  <c r="I55" i="9"/>
  <c r="I55" i="7"/>
  <c r="I56" i="23"/>
  <c r="I56" i="28"/>
  <c r="I56" i="14"/>
  <c r="I56" i="8"/>
  <c r="I56" i="6"/>
  <c r="I56" i="9"/>
  <c r="I56" i="7"/>
  <c r="I60" i="28"/>
  <c r="I60" i="23"/>
  <c r="I60" i="14"/>
  <c r="I60" i="9"/>
  <c r="I60" i="7"/>
  <c r="I60" i="8"/>
  <c r="I60" i="6"/>
  <c r="I62" i="23"/>
  <c r="I62" i="28"/>
  <c r="I62" i="14"/>
  <c r="I62" i="7"/>
  <c r="I62" i="8"/>
  <c r="I62" i="6"/>
  <c r="I62" i="9"/>
  <c r="P14" i="5"/>
  <c r="P17" i="5" s="1"/>
  <c r="I5" i="29"/>
  <c r="AG50" i="29" s="1"/>
  <c r="I5" i="24"/>
  <c r="I5" i="11"/>
  <c r="I5" i="12"/>
  <c r="I5" i="10"/>
  <c r="I5" i="13"/>
  <c r="I6" i="29"/>
  <c r="AA51" i="29" s="1"/>
  <c r="I6" i="24"/>
  <c r="I6" i="11"/>
  <c r="I6" i="12"/>
  <c r="I6" i="10"/>
  <c r="I6" i="13"/>
  <c r="I7" i="24"/>
  <c r="I7" i="29"/>
  <c r="AC52" i="29" s="1"/>
  <c r="I7" i="11"/>
  <c r="I7" i="12"/>
  <c r="I7" i="10"/>
  <c r="I7" i="13"/>
  <c r="I9" i="29"/>
  <c r="AG54" i="29" s="1"/>
  <c r="I9" i="24"/>
  <c r="I9" i="12"/>
  <c r="I9" i="10"/>
  <c r="I9" i="13"/>
  <c r="I9" i="11"/>
  <c r="I11" i="29"/>
  <c r="AC56" i="29" s="1"/>
  <c r="I11" i="24"/>
  <c r="I11" i="13"/>
  <c r="I11" i="11"/>
  <c r="I11" i="12"/>
  <c r="I11" i="10"/>
  <c r="I13" i="29"/>
  <c r="AG58" i="29" s="1"/>
  <c r="I13" i="24"/>
  <c r="I13" i="11"/>
  <c r="I13" i="12"/>
  <c r="I13" i="10"/>
  <c r="I13" i="13"/>
  <c r="I14" i="29"/>
  <c r="AA59" i="29" s="1"/>
  <c r="I14" i="24"/>
  <c r="I14" i="11"/>
  <c r="I14" i="12"/>
  <c r="I14" i="10"/>
  <c r="I14" i="13"/>
  <c r="I15" i="24"/>
  <c r="I15" i="29"/>
  <c r="AC60" i="29" s="1"/>
  <c r="I15" i="11"/>
  <c r="I15" i="12"/>
  <c r="I15" i="10"/>
  <c r="I15" i="13"/>
  <c r="I17" i="29"/>
  <c r="AG62" i="29" s="1"/>
  <c r="I17" i="24"/>
  <c r="I17" i="12"/>
  <c r="I17" i="10"/>
  <c r="I17" i="13"/>
  <c r="I17" i="11"/>
  <c r="I19" i="29"/>
  <c r="AC64" i="29" s="1"/>
  <c r="I19" i="24"/>
  <c r="I19" i="13"/>
  <c r="I19" i="11"/>
  <c r="I19" i="12"/>
  <c r="I19" i="10"/>
  <c r="I21" i="29"/>
  <c r="AG66" i="29" s="1"/>
  <c r="I21" i="24"/>
  <c r="I21" i="11"/>
  <c r="I21" i="12"/>
  <c r="I21" i="10"/>
  <c r="I21" i="13"/>
  <c r="I22" i="29"/>
  <c r="AA67" i="29" s="1"/>
  <c r="I22" i="24"/>
  <c r="I22" i="11"/>
  <c r="I22" i="12"/>
  <c r="I22" i="10"/>
  <c r="I22" i="13"/>
  <c r="I23" i="24"/>
  <c r="I23" i="29"/>
  <c r="AC68" i="29" s="1"/>
  <c r="I23" i="11"/>
  <c r="I23" i="12"/>
  <c r="I23" i="10"/>
  <c r="I23" i="13"/>
  <c r="I25" i="29"/>
  <c r="AG70" i="29" s="1"/>
  <c r="I25" i="24"/>
  <c r="I25" i="12"/>
  <c r="I25" i="10"/>
  <c r="I25" i="13"/>
  <c r="I25" i="11"/>
  <c r="I27" i="29"/>
  <c r="AC72" i="29" s="1"/>
  <c r="I27" i="24"/>
  <c r="I27" i="13"/>
  <c r="I27" i="11"/>
  <c r="I27" i="12"/>
  <c r="I27" i="10"/>
  <c r="I29" i="29"/>
  <c r="AC74" i="29" s="1"/>
  <c r="I29" i="24"/>
  <c r="I29" i="11"/>
  <c r="I29" i="12"/>
  <c r="I29" i="10"/>
  <c r="I29" i="13"/>
  <c r="I30" i="29"/>
  <c r="I30" i="24"/>
  <c r="I30" i="11"/>
  <c r="I30" i="12"/>
  <c r="I30" i="10"/>
  <c r="I30" i="13"/>
  <c r="I31" i="24"/>
  <c r="I31" i="29"/>
  <c r="X76" i="29" s="1"/>
  <c r="I31" i="11"/>
  <c r="I31" i="12"/>
  <c r="I31" i="10"/>
  <c r="I31" i="13"/>
  <c r="I33" i="29"/>
  <c r="AG78" i="29" s="1"/>
  <c r="I33" i="24"/>
  <c r="I33" i="12"/>
  <c r="I33" i="10"/>
  <c r="I33" i="13"/>
  <c r="I33" i="11"/>
  <c r="I35" i="29"/>
  <c r="I35" i="24"/>
  <c r="I35" i="13"/>
  <c r="I35" i="11"/>
  <c r="I35" i="12"/>
  <c r="I35" i="10"/>
  <c r="I37" i="29"/>
  <c r="AB82" i="29" s="1"/>
  <c r="I37" i="24"/>
  <c r="I37" i="11"/>
  <c r="I37" i="12"/>
  <c r="I37" i="10"/>
  <c r="I37" i="13"/>
  <c r="I38" i="29"/>
  <c r="AA83" i="29" s="1"/>
  <c r="I38" i="24"/>
  <c r="I38" i="11"/>
  <c r="I38" i="12"/>
  <c r="I38" i="10"/>
  <c r="I38" i="13"/>
  <c r="I39" i="24"/>
  <c r="I39" i="29"/>
  <c r="I39" i="11"/>
  <c r="I39" i="12"/>
  <c r="I39" i="10"/>
  <c r="I39" i="13"/>
  <c r="I41" i="29"/>
  <c r="AB86" i="29" s="1"/>
  <c r="I41" i="24"/>
  <c r="I41" i="12"/>
  <c r="I41" i="10"/>
  <c r="I41" i="13"/>
  <c r="I41" i="11"/>
  <c r="I43" i="29"/>
  <c r="I43" i="24"/>
  <c r="I43" i="13"/>
  <c r="I43" i="11"/>
  <c r="I43" i="12"/>
  <c r="I43" i="10"/>
  <c r="I10" i="28"/>
  <c r="AO74" i="28" s="1"/>
  <c r="I10" i="23"/>
  <c r="I10" i="8"/>
  <c r="I10" i="7"/>
  <c r="I10" i="9"/>
  <c r="I10" i="14"/>
  <c r="I10" i="6"/>
  <c r="I34" i="28"/>
  <c r="I34" i="23"/>
  <c r="I34" i="7"/>
  <c r="I34" i="8"/>
  <c r="I34" i="6"/>
  <c r="I34" i="9"/>
  <c r="I34" i="14"/>
  <c r="I42" i="28"/>
  <c r="I42" i="23"/>
  <c r="I42" i="14"/>
  <c r="I42" i="8"/>
  <c r="I42" i="7"/>
  <c r="I42" i="6"/>
  <c r="I42" i="9"/>
  <c r="I48" i="23"/>
  <c r="I48" i="28"/>
  <c r="I48" i="14"/>
  <c r="I48" i="8"/>
  <c r="I48" i="6"/>
  <c r="I48" i="9"/>
  <c r="I48" i="7"/>
  <c r="I50" i="28"/>
  <c r="I50" i="23"/>
  <c r="I50" i="14"/>
  <c r="I50" i="8"/>
  <c r="I50" i="7"/>
  <c r="I50" i="6"/>
  <c r="I50" i="9"/>
  <c r="I8" i="23"/>
  <c r="I8" i="28"/>
  <c r="I8" i="6"/>
  <c r="I8" i="8"/>
  <c r="I8" i="7"/>
  <c r="I8" i="9"/>
  <c r="I8" i="14"/>
  <c r="I16" i="23"/>
  <c r="I16" i="28"/>
  <c r="I16" i="6"/>
  <c r="I16" i="8"/>
  <c r="I16" i="7"/>
  <c r="I16" i="9"/>
  <c r="I16" i="14"/>
  <c r="I23" i="23"/>
  <c r="I23" i="28"/>
  <c r="I23" i="6"/>
  <c r="I23" i="8"/>
  <c r="I23" i="7"/>
  <c r="I23" i="9"/>
  <c r="I23" i="14"/>
  <c r="I30" i="23"/>
  <c r="I30" i="28"/>
  <c r="I30" i="14"/>
  <c r="I30" i="8"/>
  <c r="I30" i="7"/>
  <c r="I30" i="6"/>
  <c r="I30" i="9"/>
  <c r="I38" i="23"/>
  <c r="I38" i="28"/>
  <c r="BA102" i="28" s="1"/>
  <c r="I38" i="14"/>
  <c r="I38" i="7"/>
  <c r="I38" i="8"/>
  <c r="I38" i="6"/>
  <c r="I38" i="9"/>
  <c r="I12" i="28"/>
  <c r="I12" i="23"/>
  <c r="I12" i="9"/>
  <c r="I12" i="14"/>
  <c r="I12" i="6"/>
  <c r="I12" i="8"/>
  <c r="I12" i="7"/>
  <c r="I58" i="28"/>
  <c r="I58" i="23"/>
  <c r="I58" i="14"/>
  <c r="I58" i="8"/>
  <c r="I58" i="7"/>
  <c r="I58" i="6"/>
  <c r="I58" i="9"/>
  <c r="I11" i="28"/>
  <c r="I11" i="23"/>
  <c r="I11" i="8"/>
  <c r="I11" i="7"/>
  <c r="I11" i="9"/>
  <c r="I11" i="14"/>
  <c r="I11" i="6"/>
  <c r="I19" i="28"/>
  <c r="I19" i="23"/>
  <c r="I19" i="8"/>
  <c r="I19" i="7"/>
  <c r="I19" i="9"/>
  <c r="I19" i="14"/>
  <c r="I19" i="6"/>
  <c r="I26" i="28"/>
  <c r="I26" i="23"/>
  <c r="I26" i="8"/>
  <c r="I26" i="7"/>
  <c r="I26" i="9"/>
  <c r="I26" i="14"/>
  <c r="I26" i="6"/>
  <c r="AF67" i="6" s="1"/>
  <c r="AF72" i="6" s="1"/>
  <c r="I37" i="23"/>
  <c r="I37" i="28"/>
  <c r="I37" i="7"/>
  <c r="I37" i="14"/>
  <c r="I37" i="8"/>
  <c r="I37" i="6"/>
  <c r="I37" i="9"/>
  <c r="I53" i="23"/>
  <c r="I53" i="28"/>
  <c r="I53" i="14"/>
  <c r="I53" i="7"/>
  <c r="I53" i="8"/>
  <c r="I53" i="6"/>
  <c r="I53" i="9"/>
  <c r="I61" i="23"/>
  <c r="I61" i="28"/>
  <c r="BD125" i="28" s="1"/>
  <c r="I61" i="14"/>
  <c r="I61" i="7"/>
  <c r="I61" i="8"/>
  <c r="I61" i="6"/>
  <c r="I61" i="9"/>
  <c r="I8" i="24"/>
  <c r="I8" i="29"/>
  <c r="AE53" i="29" s="1"/>
  <c r="I8" i="12"/>
  <c r="I8" i="10"/>
  <c r="I8" i="13"/>
  <c r="I8" i="11"/>
  <c r="I18" i="29"/>
  <c r="I18" i="24"/>
  <c r="I18" i="10"/>
  <c r="I18" i="13"/>
  <c r="I18" i="11"/>
  <c r="I18" i="12"/>
  <c r="I28" i="29"/>
  <c r="AE73" i="29" s="1"/>
  <c r="I28" i="24"/>
  <c r="I28" i="11"/>
  <c r="I28" i="12"/>
  <c r="I28" i="10"/>
  <c r="I28" i="13"/>
  <c r="I34" i="29"/>
  <c r="AH79" i="29" s="1"/>
  <c r="I34" i="24"/>
  <c r="I34" i="10"/>
  <c r="I34" i="13"/>
  <c r="I34" i="11"/>
  <c r="I34" i="12"/>
  <c r="I44" i="29"/>
  <c r="I44" i="24"/>
  <c r="I44" i="11"/>
  <c r="I44" i="12"/>
  <c r="I44" i="10"/>
  <c r="I44" i="13"/>
  <c r="I15" i="23"/>
  <c r="I15" i="28"/>
  <c r="I15" i="6"/>
  <c r="I15" i="8"/>
  <c r="I15" i="7"/>
  <c r="I15" i="9"/>
  <c r="I15" i="14"/>
  <c r="I31" i="23"/>
  <c r="I31" i="28"/>
  <c r="I31" i="14"/>
  <c r="I31" i="8"/>
  <c r="I31" i="7"/>
  <c r="I31" i="6"/>
  <c r="M34" i="6" s="1"/>
  <c r="I31" i="9"/>
  <c r="P12" i="5"/>
  <c r="P15" i="5" s="1"/>
  <c r="I5" i="23"/>
  <c r="I5" i="28"/>
  <c r="BB69" i="28" s="1"/>
  <c r="I5" i="14"/>
  <c r="I5" i="6"/>
  <c r="I5" i="8"/>
  <c r="I5" i="7"/>
  <c r="AG65" i="7" s="1"/>
  <c r="I5" i="9"/>
  <c r="I13" i="23"/>
  <c r="I13" i="28"/>
  <c r="BC77" i="28" s="1"/>
  <c r="I13" i="14"/>
  <c r="I13" i="6"/>
  <c r="I13" i="8"/>
  <c r="I13" i="7"/>
  <c r="I13" i="9"/>
  <c r="I21" i="23"/>
  <c r="I21" i="28"/>
  <c r="I21" i="14"/>
  <c r="I21" i="6"/>
  <c r="I21" i="8"/>
  <c r="I21" i="7"/>
  <c r="I21" i="9"/>
  <c r="I27" i="28"/>
  <c r="AV91" i="28" s="1"/>
  <c r="I27" i="23"/>
  <c r="I27" i="8"/>
  <c r="I27" i="7"/>
  <c r="I27" i="9"/>
  <c r="I27" i="6"/>
  <c r="I27" i="14"/>
  <c r="I35" i="28"/>
  <c r="I35" i="23"/>
  <c r="I35" i="8"/>
  <c r="I35" i="6"/>
  <c r="I35" i="9"/>
  <c r="I35" i="14"/>
  <c r="I35" i="7"/>
  <c r="I45" i="23"/>
  <c r="I45" i="28"/>
  <c r="I45" i="14"/>
  <c r="I45" i="7"/>
  <c r="I45" i="8"/>
  <c r="I45" i="6"/>
  <c r="I45" i="9"/>
  <c r="I51" i="28"/>
  <c r="I51" i="23"/>
  <c r="I51" i="14"/>
  <c r="I51" i="8"/>
  <c r="I51" i="6"/>
  <c r="I51" i="9"/>
  <c r="I51" i="7"/>
  <c r="I59" i="28"/>
  <c r="I59" i="23"/>
  <c r="I59" i="14"/>
  <c r="I59" i="8"/>
  <c r="I59" i="6"/>
  <c r="I59" i="9"/>
  <c r="I59" i="7"/>
  <c r="I63" i="23"/>
  <c r="I63" i="28"/>
  <c r="I63" i="14"/>
  <c r="I63" i="8"/>
  <c r="I63" i="6"/>
  <c r="I63" i="9"/>
  <c r="I63" i="7"/>
  <c r="I12" i="29"/>
  <c r="AE57" i="29" s="1"/>
  <c r="I12" i="24"/>
  <c r="I12" i="11"/>
  <c r="I12" i="12"/>
  <c r="I12" i="10"/>
  <c r="I12" i="13"/>
  <c r="I20" i="29"/>
  <c r="AE65" i="29" s="1"/>
  <c r="I20" i="24"/>
  <c r="I20" i="11"/>
  <c r="I20" i="12"/>
  <c r="I20" i="10"/>
  <c r="I20" i="13"/>
  <c r="I42" i="29"/>
  <c r="I42" i="24"/>
  <c r="I42" i="10"/>
  <c r="I42" i="13"/>
  <c r="I42" i="11"/>
  <c r="I42" i="12"/>
  <c r="I6" i="23"/>
  <c r="I6" i="28"/>
  <c r="AX70" i="28" s="1"/>
  <c r="I6" i="6"/>
  <c r="I6" i="8"/>
  <c r="I6" i="7"/>
  <c r="I6" i="9"/>
  <c r="I6" i="14"/>
  <c r="I20" i="28"/>
  <c r="I20" i="23"/>
  <c r="I20" i="9"/>
  <c r="I20" i="14"/>
  <c r="I20" i="6"/>
  <c r="I20" i="8"/>
  <c r="I20" i="7"/>
  <c r="I28" i="28"/>
  <c r="AV92" i="28" s="1"/>
  <c r="I28" i="23"/>
  <c r="I28" i="9"/>
  <c r="I28" i="6"/>
  <c r="I28" i="14"/>
  <c r="I28" i="8"/>
  <c r="I28" i="7"/>
  <c r="I18" i="28"/>
  <c r="I18" i="23"/>
  <c r="I18" i="8"/>
  <c r="I18" i="7"/>
  <c r="I18" i="9"/>
  <c r="I18" i="14"/>
  <c r="I18" i="6"/>
  <c r="I29" i="23"/>
  <c r="I29" i="28"/>
  <c r="I29" i="14"/>
  <c r="I29" i="8"/>
  <c r="I29" i="7"/>
  <c r="I29" i="6"/>
  <c r="I29" i="9"/>
  <c r="I43" i="28"/>
  <c r="I43" i="23"/>
  <c r="I43" i="14"/>
  <c r="I43" i="8"/>
  <c r="I43" i="6"/>
  <c r="I43" i="9"/>
  <c r="I43" i="7"/>
  <c r="I10" i="29"/>
  <c r="I10" i="24"/>
  <c r="I10" i="10"/>
  <c r="V46" i="10" s="1"/>
  <c r="I10" i="13"/>
  <c r="I10" i="11"/>
  <c r="I10" i="12"/>
  <c r="I16" i="24"/>
  <c r="I16" i="29"/>
  <c r="AE61" i="29" s="1"/>
  <c r="I16" i="12"/>
  <c r="I16" i="10"/>
  <c r="I16" i="13"/>
  <c r="I16" i="11"/>
  <c r="I24" i="24"/>
  <c r="I24" i="29"/>
  <c r="AE69" i="29" s="1"/>
  <c r="I24" i="12"/>
  <c r="I24" i="10"/>
  <c r="I24" i="13"/>
  <c r="I24" i="11"/>
  <c r="I32" i="24"/>
  <c r="I32" i="29"/>
  <c r="Z77" i="29" s="1"/>
  <c r="I32" i="12"/>
  <c r="I32" i="10"/>
  <c r="I32" i="13"/>
  <c r="I32" i="11"/>
  <c r="I40" i="24"/>
  <c r="I40" i="29"/>
  <c r="AH85" i="29" s="1"/>
  <c r="I40" i="12"/>
  <c r="I40" i="10"/>
  <c r="I40" i="13"/>
  <c r="I40" i="11"/>
  <c r="I9" i="23"/>
  <c r="I9" i="28"/>
  <c r="I9" i="6"/>
  <c r="I9" i="8"/>
  <c r="I9" i="7"/>
  <c r="I9" i="9"/>
  <c r="I9" i="14"/>
  <c r="I17" i="23"/>
  <c r="I17" i="28"/>
  <c r="I17" i="6"/>
  <c r="I17" i="8"/>
  <c r="I17" i="7"/>
  <c r="I17" i="9"/>
  <c r="I17" i="14"/>
  <c r="I25" i="23"/>
  <c r="I25" i="28"/>
  <c r="I25" i="14"/>
  <c r="I25" i="6"/>
  <c r="I25" i="8"/>
  <c r="I25" i="7"/>
  <c r="I25" i="9"/>
  <c r="I41" i="23"/>
  <c r="I41" i="28"/>
  <c r="I41" i="8"/>
  <c r="I41" i="6"/>
  <c r="I41" i="9"/>
  <c r="I41" i="7"/>
  <c r="I41" i="14"/>
  <c r="I49" i="23"/>
  <c r="I49" i="28"/>
  <c r="I49" i="8"/>
  <c r="I49" i="6"/>
  <c r="I49" i="9"/>
  <c r="I49" i="7"/>
  <c r="I49" i="14"/>
  <c r="I57" i="23"/>
  <c r="I57" i="28"/>
  <c r="AV121" i="28" s="1"/>
  <c r="I57" i="8"/>
  <c r="I57" i="6"/>
  <c r="I57" i="14"/>
  <c r="I57" i="9"/>
  <c r="I57" i="7"/>
  <c r="I26" i="29"/>
  <c r="I26" i="24"/>
  <c r="I26" i="10"/>
  <c r="I26" i="13"/>
  <c r="I26" i="11"/>
  <c r="I26" i="12"/>
  <c r="I36" i="29"/>
  <c r="I36" i="24"/>
  <c r="I36" i="11"/>
  <c r="I36" i="12"/>
  <c r="I36" i="10"/>
  <c r="I36" i="13"/>
  <c r="I33" i="23"/>
  <c r="I33" i="28"/>
  <c r="I33" i="14"/>
  <c r="I33" i="8"/>
  <c r="I33" i="7"/>
  <c r="I33" i="6"/>
  <c r="I33" i="9"/>
  <c r="P51" i="12"/>
  <c r="AT2" i="16"/>
  <c r="AT7" i="16"/>
  <c r="AJ7" i="16"/>
  <c r="AJ5" i="16"/>
  <c r="AT5" i="16"/>
  <c r="AT4" i="16"/>
  <c r="AJ4" i="16"/>
  <c r="AO4" i="16"/>
  <c r="AO2" i="16"/>
  <c r="AJ2" i="16"/>
  <c r="AT3" i="16"/>
  <c r="AO3" i="16"/>
  <c r="AC29" i="17"/>
  <c r="AC37" i="17"/>
  <c r="AC58" i="17"/>
  <c r="AC62" i="17"/>
  <c r="AA10" i="21"/>
  <c r="AC27" i="17"/>
  <c r="AI3" i="17" s="1"/>
  <c r="AC35" i="17"/>
  <c r="AC59" i="17"/>
  <c r="AC63" i="17"/>
  <c r="AT6" i="16"/>
  <c r="AO6" i="16"/>
  <c r="AC31" i="17"/>
  <c r="AC39" i="17"/>
  <c r="AC57" i="17"/>
  <c r="AC61" i="17"/>
  <c r="AC132" i="17"/>
  <c r="AC140" i="17"/>
  <c r="AC106" i="17"/>
  <c r="AI2" i="17" s="1"/>
  <c r="AC114" i="17"/>
  <c r="AC122" i="17"/>
  <c r="AC130" i="17"/>
  <c r="AC138" i="17"/>
  <c r="AC146" i="17"/>
  <c r="AC294" i="17"/>
  <c r="AC136" i="17"/>
  <c r="AC193" i="17"/>
  <c r="AC249" i="17"/>
  <c r="AC257" i="17"/>
  <c r="AC265" i="17"/>
  <c r="AC273" i="17"/>
  <c r="AC281" i="17"/>
  <c r="AC289" i="17"/>
  <c r="AC297" i="17"/>
  <c r="AC305" i="17"/>
  <c r="AC205" i="17"/>
  <c r="AC225" i="17"/>
  <c r="AC229" i="17"/>
  <c r="AC233" i="17"/>
  <c r="AA12" i="21"/>
  <c r="AC195" i="17"/>
  <c r="AA11" i="21"/>
  <c r="AC43" i="17"/>
  <c r="AC77" i="17"/>
  <c r="AC81" i="17"/>
  <c r="AC167" i="17"/>
  <c r="AC171" i="17"/>
  <c r="AC175" i="17"/>
  <c r="AC206" i="17"/>
  <c r="AC226" i="17"/>
  <c r="AC230" i="17"/>
  <c r="AC234" i="17"/>
  <c r="AC253" i="17"/>
  <c r="AC261" i="17"/>
  <c r="AC269" i="17"/>
  <c r="AC277" i="17"/>
  <c r="AC285" i="17"/>
  <c r="AC293" i="17"/>
  <c r="AC301" i="17"/>
  <c r="AC18" i="17"/>
  <c r="AC10" i="17"/>
  <c r="AI9" i="21"/>
  <c r="AC67" i="17"/>
  <c r="AC90" i="17"/>
  <c r="AC98" i="17"/>
  <c r="AC158" i="17"/>
  <c r="AC178" i="17"/>
  <c r="AC220" i="17"/>
  <c r="AC222" i="17"/>
  <c r="AC235" i="17"/>
  <c r="AC237" i="17"/>
  <c r="AC411" i="17"/>
  <c r="AD9" i="21"/>
  <c r="AD10" i="21"/>
  <c r="AC55" i="17"/>
  <c r="AC66" i="17"/>
  <c r="AC88" i="17"/>
  <c r="AC96" i="17"/>
  <c r="AC104" i="17"/>
  <c r="AC162" i="17"/>
  <c r="AC191" i="17"/>
  <c r="AC243" i="17"/>
  <c r="AC245" i="17"/>
  <c r="AD11" i="21"/>
  <c r="AC413" i="17"/>
  <c r="E30" i="22"/>
  <c r="AC8" i="17"/>
  <c r="AC208" i="17"/>
  <c r="AC372" i="17"/>
  <c r="AC42" i="17"/>
  <c r="AC49" i="17"/>
  <c r="AC65" i="17"/>
  <c r="AC89" i="17"/>
  <c r="AC97" i="17"/>
  <c r="AC105" i="17"/>
  <c r="AC157" i="17"/>
  <c r="AC161" i="17"/>
  <c r="AC163" i="17"/>
  <c r="AC212" i="17"/>
  <c r="AC214" i="17"/>
  <c r="AC240" i="17"/>
  <c r="AC412" i="17"/>
  <c r="E32" i="22"/>
  <c r="AC28" i="17"/>
  <c r="AC36" i="17"/>
  <c r="AC113" i="17"/>
  <c r="AC121" i="17"/>
  <c r="AC129" i="17"/>
  <c r="AC137" i="17"/>
  <c r="AK31" i="24"/>
  <c r="AK24" i="24"/>
  <c r="AY42" i="23"/>
  <c r="AK29" i="24"/>
  <c r="AY44" i="23"/>
  <c r="AK28" i="24"/>
  <c r="AK23" i="24"/>
  <c r="AY52" i="23"/>
  <c r="AY50" i="23"/>
  <c r="AY43" i="23"/>
  <c r="AK33" i="24"/>
  <c r="AK27" i="24"/>
  <c r="AY48" i="23"/>
  <c r="AK32" i="24"/>
  <c r="AK25" i="24"/>
  <c r="AY51" i="23"/>
  <c r="AY47" i="23"/>
  <c r="AY46" i="23"/>
  <c r="AC52" i="17"/>
  <c r="AC68" i="17"/>
  <c r="AC87" i="17"/>
  <c r="AI5" i="17" s="1"/>
  <c r="AC95" i="17"/>
  <c r="AC103" i="17"/>
  <c r="AC165" i="17"/>
  <c r="AC183" i="17"/>
  <c r="AC185" i="17"/>
  <c r="AI6" i="17" s="1"/>
  <c r="AC197" i="17"/>
  <c r="AC216" i="17"/>
  <c r="AC242" i="17"/>
  <c r="AC414" i="17"/>
  <c r="E31" i="22"/>
  <c r="E35" i="22" s="1"/>
  <c r="J8" i="22"/>
  <c r="E33" i="22"/>
  <c r="AV6" i="23"/>
  <c r="Y4" i="21"/>
  <c r="AG4" i="21" s="1"/>
  <c r="AI8" i="21"/>
  <c r="AR8" i="23"/>
  <c r="AV8" i="23" s="1"/>
  <c r="U51" i="24"/>
  <c r="X13" i="21"/>
  <c r="AF13" i="21" s="1"/>
  <c r="AR52" i="23"/>
  <c r="AV52" i="23" s="1"/>
  <c r="AV22" i="23"/>
  <c r="AV50" i="23"/>
  <c r="AV10" i="23"/>
  <c r="AV18" i="23"/>
  <c r="D4" i="5"/>
  <c r="AO7" i="25"/>
  <c r="AO5" i="25"/>
  <c r="AJ7" i="25"/>
  <c r="AO4" i="25"/>
  <c r="AJ2" i="25"/>
  <c r="AT7" i="25"/>
  <c r="AT3" i="25"/>
  <c r="AO6" i="25"/>
  <c r="L47" i="24"/>
  <c r="O51" i="12"/>
  <c r="T51" i="12"/>
  <c r="AI70" i="23"/>
  <c r="O51" i="24"/>
  <c r="Z13" i="21"/>
  <c r="AH13" i="21" s="1"/>
  <c r="AW72" i="28"/>
  <c r="AO72" i="28"/>
  <c r="BD72" i="28"/>
  <c r="AV72" i="28"/>
  <c r="AN72" i="28"/>
  <c r="BC72" i="28"/>
  <c r="AU72" i="28"/>
  <c r="AM72" i="28"/>
  <c r="BB72" i="28"/>
  <c r="AT72" i="28"/>
  <c r="AL72" i="28"/>
  <c r="BA72" i="28"/>
  <c r="AS72" i="28"/>
  <c r="AK72" i="28"/>
  <c r="AZ72" i="28"/>
  <c r="AR72" i="28"/>
  <c r="AJ72" i="28"/>
  <c r="AY72" i="28"/>
  <c r="AQ72" i="28"/>
  <c r="AI72" i="28"/>
  <c r="AX80" i="28"/>
  <c r="AP80" i="28"/>
  <c r="AW80" i="28"/>
  <c r="AO80" i="28"/>
  <c r="BD80" i="28"/>
  <c r="AV80" i="28"/>
  <c r="AN80" i="28"/>
  <c r="BC80" i="28"/>
  <c r="AU80" i="28"/>
  <c r="AM80" i="28"/>
  <c r="BA80" i="28"/>
  <c r="AS80" i="28"/>
  <c r="AK80" i="28"/>
  <c r="AT80" i="28"/>
  <c r="AR80" i="28"/>
  <c r="AQ80" i="28"/>
  <c r="AL80" i="28"/>
  <c r="AJ80" i="28"/>
  <c r="BB80" i="28"/>
  <c r="AI80" i="28"/>
  <c r="AZ80" i="28"/>
  <c r="AZ88" i="28"/>
  <c r="AJ88" i="28"/>
  <c r="AP88" i="28"/>
  <c r="AN88" i="28"/>
  <c r="AK88" i="28"/>
  <c r="AI88" i="28"/>
  <c r="BC96" i="28"/>
  <c r="AU96" i="28"/>
  <c r="AM96" i="28"/>
  <c r="BB96" i="28"/>
  <c r="AT96" i="28"/>
  <c r="AL96" i="28"/>
  <c r="BA96" i="28"/>
  <c r="AS96" i="28"/>
  <c r="AK96" i="28"/>
  <c r="AZ96" i="28"/>
  <c r="AR96" i="28"/>
  <c r="AJ96" i="28"/>
  <c r="AY96" i="28"/>
  <c r="AQ96" i="28"/>
  <c r="AI96" i="28"/>
  <c r="AX96" i="28"/>
  <c r="AP96" i="28"/>
  <c r="AW96" i="28"/>
  <c r="AO96" i="28"/>
  <c r="BD96" i="28"/>
  <c r="AV96" i="28"/>
  <c r="AN96" i="28"/>
  <c r="BD104" i="28"/>
  <c r="AV104" i="28"/>
  <c r="AN104" i="28"/>
  <c r="BA104" i="28"/>
  <c r="AS104" i="28"/>
  <c r="AK104" i="28"/>
  <c r="AZ104" i="28"/>
  <c r="AR104" i="28"/>
  <c r="AJ104" i="28"/>
  <c r="BB104" i="28"/>
  <c r="AO104" i="28"/>
  <c r="AY104" i="28"/>
  <c r="AM104" i="28"/>
  <c r="AX104" i="28"/>
  <c r="AL104" i="28"/>
  <c r="AW104" i="28"/>
  <c r="AI104" i="28"/>
  <c r="AU104" i="28"/>
  <c r="AT104" i="28"/>
  <c r="R104" i="28"/>
  <c r="AQ104" i="28"/>
  <c r="BC104" i="28"/>
  <c r="AP104" i="28"/>
  <c r="P104" i="28"/>
  <c r="AX112" i="28"/>
  <c r="AP112" i="28"/>
  <c r="BB112" i="28"/>
  <c r="AT112" i="28"/>
  <c r="AL112" i="28"/>
  <c r="AY112" i="28"/>
  <c r="AN112" i="28"/>
  <c r="AW112" i="28"/>
  <c r="AM112" i="28"/>
  <c r="AV112" i="28"/>
  <c r="AK112" i="28"/>
  <c r="AU112" i="28"/>
  <c r="AJ112" i="28"/>
  <c r="BD112" i="28"/>
  <c r="AS112" i="28"/>
  <c r="AI112" i="28"/>
  <c r="BC112" i="28"/>
  <c r="AR112" i="28"/>
  <c r="BA112" i="28"/>
  <c r="AQ112" i="28"/>
  <c r="AZ112" i="28"/>
  <c r="AO112" i="28"/>
  <c r="AZ120" i="28"/>
  <c r="AR120" i="28"/>
  <c r="AJ120" i="28"/>
  <c r="AY120" i="28"/>
  <c r="AQ120" i="28"/>
  <c r="AI120" i="28"/>
  <c r="AX120" i="28"/>
  <c r="AP120" i="28"/>
  <c r="AW120" i="28"/>
  <c r="AO120" i="28"/>
  <c r="BD120" i="28"/>
  <c r="AV120" i="28"/>
  <c r="AN120" i="28"/>
  <c r="BB120" i="28"/>
  <c r="AT120" i="28"/>
  <c r="AL120" i="28"/>
  <c r="BA120" i="28"/>
  <c r="AS120" i="28"/>
  <c r="AK120" i="28"/>
  <c r="BC120" i="28"/>
  <c r="AU120" i="28"/>
  <c r="AM120" i="28"/>
  <c r="AX72" i="28"/>
  <c r="BA73" i="28"/>
  <c r="AS73" i="28"/>
  <c r="AK73" i="28"/>
  <c r="AZ73" i="28"/>
  <c r="AR73" i="28"/>
  <c r="AJ73" i="28"/>
  <c r="AY73" i="28"/>
  <c r="AQ73" i="28"/>
  <c r="AI73" i="28"/>
  <c r="AX73" i="28"/>
  <c r="AP73" i="28"/>
  <c r="AW73" i="28"/>
  <c r="AO73" i="28"/>
  <c r="BD73" i="28"/>
  <c r="AV73" i="28"/>
  <c r="AN73" i="28"/>
  <c r="BC73" i="28"/>
  <c r="AU73" i="28"/>
  <c r="AM73" i="28"/>
  <c r="BB81" i="28"/>
  <c r="AT81" i="28"/>
  <c r="AL81" i="28"/>
  <c r="BA81" i="28"/>
  <c r="AS81" i="28"/>
  <c r="AK81" i="28"/>
  <c r="AZ81" i="28"/>
  <c r="AR81" i="28"/>
  <c r="AJ81" i="28"/>
  <c r="AY81" i="28"/>
  <c r="AQ81" i="28"/>
  <c r="AI81" i="28"/>
  <c r="AW81" i="28"/>
  <c r="AO81" i="28"/>
  <c r="AU81" i="28"/>
  <c r="AP81" i="28"/>
  <c r="AN81" i="28"/>
  <c r="AM81" i="28"/>
  <c r="BD81" i="28"/>
  <c r="BC81" i="28"/>
  <c r="AX81" i="28"/>
  <c r="AY89" i="28"/>
  <c r="AQ89" i="28"/>
  <c r="AI89" i="28"/>
  <c r="BD89" i="28"/>
  <c r="AV89" i="28"/>
  <c r="AN89" i="28"/>
  <c r="BA89" i="28"/>
  <c r="AS89" i="28"/>
  <c r="AK89" i="28"/>
  <c r="AX89" i="28"/>
  <c r="AL89" i="28"/>
  <c r="AW89" i="28"/>
  <c r="AJ89" i="28"/>
  <c r="AU89" i="28"/>
  <c r="AT89" i="28"/>
  <c r="AR89" i="28"/>
  <c r="BC89" i="28"/>
  <c r="AP89" i="28"/>
  <c r="BB89" i="28"/>
  <c r="AO89" i="28"/>
  <c r="AZ89" i="28"/>
  <c r="AM89" i="28"/>
  <c r="AZ97" i="28"/>
  <c r="AR97" i="28"/>
  <c r="AJ97" i="28"/>
  <c r="BD97" i="28"/>
  <c r="AV97" i="28"/>
  <c r="AN97" i="28"/>
  <c r="AT97" i="28"/>
  <c r="AI97" i="28"/>
  <c r="R97" i="28"/>
  <c r="BC97" i="28"/>
  <c r="AS97" i="28"/>
  <c r="BB97" i="28"/>
  <c r="AQ97" i="28"/>
  <c r="P97" i="28"/>
  <c r="BA97" i="28"/>
  <c r="AP97" i="28"/>
  <c r="AY97" i="28"/>
  <c r="AO97" i="28"/>
  <c r="AX97" i="28"/>
  <c r="AM97" i="28"/>
  <c r="AW97" i="28"/>
  <c r="AL97" i="28"/>
  <c r="AU97" i="28"/>
  <c r="BB105" i="28"/>
  <c r="AT105" i="28"/>
  <c r="AZ105" i="28"/>
  <c r="AR105" i="28"/>
  <c r="AJ105" i="28"/>
  <c r="AY105" i="28"/>
  <c r="AW105" i="28"/>
  <c r="AO105" i="28"/>
  <c r="P105" i="28"/>
  <c r="BD105" i="28"/>
  <c r="AV105" i="28"/>
  <c r="AN105" i="28"/>
  <c r="AX105" i="28"/>
  <c r="AI105" i="28"/>
  <c r="AU105" i="28"/>
  <c r="AS105" i="28"/>
  <c r="R105" i="28"/>
  <c r="AQ105" i="28"/>
  <c r="AP105" i="28"/>
  <c r="AM105" i="28"/>
  <c r="BC105" i="28"/>
  <c r="AL105" i="28"/>
  <c r="BA105" i="28"/>
  <c r="AK105" i="28"/>
  <c r="BB113" i="28"/>
  <c r="AT113" i="28"/>
  <c r="AL113" i="28"/>
  <c r="AX113" i="28"/>
  <c r="AP113" i="28"/>
  <c r="AW113" i="28"/>
  <c r="AM113" i="28"/>
  <c r="AV113" i="28"/>
  <c r="AK113" i="28"/>
  <c r="AU113" i="28"/>
  <c r="AJ113" i="28"/>
  <c r="BD113" i="28"/>
  <c r="AS113" i="28"/>
  <c r="AI113" i="28"/>
  <c r="BC113" i="28"/>
  <c r="AR113" i="28"/>
  <c r="BA113" i="28"/>
  <c r="AQ113" i="28"/>
  <c r="AZ113" i="28"/>
  <c r="AO113" i="28"/>
  <c r="AY113" i="28"/>
  <c r="AN113" i="28"/>
  <c r="BD121" i="28"/>
  <c r="BB121" i="28"/>
  <c r="AL121" i="28"/>
  <c r="AJ121" i="28"/>
  <c r="AP121" i="28"/>
  <c r="AL71" i="28"/>
  <c r="AY80" i="28"/>
  <c r="AW74" i="28"/>
  <c r="AU74" i="28"/>
  <c r="BB74" i="28"/>
  <c r="AZ74" i="28"/>
  <c r="AJ74" i="28"/>
  <c r="AX82" i="28"/>
  <c r="AP82" i="28"/>
  <c r="AW82" i="28"/>
  <c r="AO82" i="28"/>
  <c r="BD82" i="28"/>
  <c r="AV82" i="28"/>
  <c r="AN82" i="28"/>
  <c r="BC82" i="28"/>
  <c r="AU82" i="28"/>
  <c r="AM82" i="28"/>
  <c r="BA82" i="28"/>
  <c r="AS82" i="28"/>
  <c r="AK82" i="28"/>
  <c r="AR82" i="28"/>
  <c r="AQ82" i="28"/>
  <c r="AL82" i="28"/>
  <c r="AJ82" i="28"/>
  <c r="BB82" i="28"/>
  <c r="AI82" i="28"/>
  <c r="AZ82" i="28"/>
  <c r="AY82" i="28"/>
  <c r="BC90" i="28"/>
  <c r="AU90" i="28"/>
  <c r="AM90" i="28"/>
  <c r="AZ90" i="28"/>
  <c r="AR90" i="28"/>
  <c r="AJ90" i="28"/>
  <c r="AW90" i="28"/>
  <c r="AO90" i="28"/>
  <c r="AS90" i="28"/>
  <c r="BD90" i="28"/>
  <c r="AQ90" i="28"/>
  <c r="BB90" i="28"/>
  <c r="AP90" i="28"/>
  <c r="BA90" i="28"/>
  <c r="AN90" i="28"/>
  <c r="AY90" i="28"/>
  <c r="AL90" i="28"/>
  <c r="AX90" i="28"/>
  <c r="AK90" i="28"/>
  <c r="AV90" i="28"/>
  <c r="AI90" i="28"/>
  <c r="AT90" i="28"/>
  <c r="BD98" i="28"/>
  <c r="AV98" i="28"/>
  <c r="AN98" i="28"/>
  <c r="AZ98" i="28"/>
  <c r="AR98" i="28"/>
  <c r="AJ98" i="28"/>
  <c r="BC98" i="28"/>
  <c r="AS98" i="28"/>
  <c r="BB98" i="28"/>
  <c r="AQ98" i="28"/>
  <c r="BA98" i="28"/>
  <c r="AP98" i="28"/>
  <c r="AY98" i="28"/>
  <c r="AO98" i="28"/>
  <c r="R98" i="28"/>
  <c r="AX98" i="28"/>
  <c r="AM98" i="28"/>
  <c r="AW98" i="28"/>
  <c r="AL98" i="28"/>
  <c r="P98" i="28"/>
  <c r="AU98" i="28"/>
  <c r="AK98" i="28"/>
  <c r="AT98" i="28"/>
  <c r="AI98" i="28"/>
  <c r="AX106" i="28"/>
  <c r="AP106" i="28"/>
  <c r="BD106" i="28"/>
  <c r="AV106" i="28"/>
  <c r="AN106" i="28"/>
  <c r="BC106" i="28"/>
  <c r="AU106" i="28"/>
  <c r="AM106" i="28"/>
  <c r="BA106" i="28"/>
  <c r="AS106" i="28"/>
  <c r="AK106" i="28"/>
  <c r="AZ106" i="28"/>
  <c r="AR106" i="28"/>
  <c r="AJ106" i="28"/>
  <c r="AW106" i="28"/>
  <c r="AT106" i="28"/>
  <c r="AQ106" i="28"/>
  <c r="AO106" i="28"/>
  <c r="AL106" i="28"/>
  <c r="AI106" i="28"/>
  <c r="BB106" i="28"/>
  <c r="AY106" i="28"/>
  <c r="AX114" i="28"/>
  <c r="AP114" i="28"/>
  <c r="BB114" i="28"/>
  <c r="AT114" i="28"/>
  <c r="AL114" i="28"/>
  <c r="AV114" i="28"/>
  <c r="AK114" i="28"/>
  <c r="AU114" i="28"/>
  <c r="AJ114" i="28"/>
  <c r="BD114" i="28"/>
  <c r="AS114" i="28"/>
  <c r="AI114" i="28"/>
  <c r="BC114" i="28"/>
  <c r="AR114" i="28"/>
  <c r="BA114" i="28"/>
  <c r="AQ114" i="28"/>
  <c r="AZ114" i="28"/>
  <c r="AO114" i="28"/>
  <c r="AY114" i="28"/>
  <c r="AN114" i="28"/>
  <c r="AW114" i="28"/>
  <c r="AM114" i="28"/>
  <c r="AZ122" i="28"/>
  <c r="AR122" i="28"/>
  <c r="AJ122" i="28"/>
  <c r="AY122" i="28"/>
  <c r="AQ122" i="28"/>
  <c r="AI122" i="28"/>
  <c r="AX122" i="28"/>
  <c r="AP122" i="28"/>
  <c r="AW122" i="28"/>
  <c r="AO122" i="28"/>
  <c r="BD122" i="28"/>
  <c r="AV122" i="28"/>
  <c r="AN122" i="28"/>
  <c r="BB122" i="28"/>
  <c r="AT122" i="28"/>
  <c r="AL122" i="28"/>
  <c r="BA122" i="28"/>
  <c r="AS122" i="28"/>
  <c r="AK122" i="28"/>
  <c r="BC122" i="28"/>
  <c r="AU122" i="28"/>
  <c r="AM122" i="28"/>
  <c r="AT71" i="28"/>
  <c r="AM77" i="28"/>
  <c r="BA75" i="28"/>
  <c r="AS75" i="28"/>
  <c r="AK75" i="28"/>
  <c r="AZ75" i="28"/>
  <c r="AR75" i="28"/>
  <c r="AJ75" i="28"/>
  <c r="AY75" i="28"/>
  <c r="AQ75" i="28"/>
  <c r="AI75" i="28"/>
  <c r="AX75" i="28"/>
  <c r="AP75" i="28"/>
  <c r="AW75" i="28"/>
  <c r="AO75" i="28"/>
  <c r="BD75" i="28"/>
  <c r="AV75" i="28"/>
  <c r="AN75" i="28"/>
  <c r="BC75" i="28"/>
  <c r="AU75" i="28"/>
  <c r="AM75" i="28"/>
  <c r="BC83" i="28"/>
  <c r="AU83" i="28"/>
  <c r="AM83" i="28"/>
  <c r="BB83" i="28"/>
  <c r="AT83" i="28"/>
  <c r="AL83" i="28"/>
  <c r="BA83" i="28"/>
  <c r="AS83" i="28"/>
  <c r="AK83" i="28"/>
  <c r="AZ83" i="28"/>
  <c r="AR83" i="28"/>
  <c r="AJ83" i="28"/>
  <c r="AY83" i="28"/>
  <c r="AQ83" i="28"/>
  <c r="AI83" i="28"/>
  <c r="AX83" i="28"/>
  <c r="AP83" i="28"/>
  <c r="AW83" i="28"/>
  <c r="AO83" i="28"/>
  <c r="BD83" i="28"/>
  <c r="AV83" i="28"/>
  <c r="AN83" i="28"/>
  <c r="AQ91" i="28"/>
  <c r="BD91" i="28"/>
  <c r="AZ91" i="28"/>
  <c r="AX91" i="28"/>
  <c r="AR91" i="28"/>
  <c r="AP91" i="28"/>
  <c r="AZ99" i="28"/>
  <c r="AR99" i="28"/>
  <c r="AJ99" i="28"/>
  <c r="BD99" i="28"/>
  <c r="AV99" i="28"/>
  <c r="AN99" i="28"/>
  <c r="BB99" i="28"/>
  <c r="AQ99" i="28"/>
  <c r="BA99" i="28"/>
  <c r="AP99" i="28"/>
  <c r="AY99" i="28"/>
  <c r="AO99" i="28"/>
  <c r="R99" i="28"/>
  <c r="AX99" i="28"/>
  <c r="AM99" i="28"/>
  <c r="AW99" i="28"/>
  <c r="AL99" i="28"/>
  <c r="P99" i="28"/>
  <c r="AU99" i="28"/>
  <c r="AK99" i="28"/>
  <c r="AT99" i="28"/>
  <c r="AI99" i="28"/>
  <c r="BC99" i="28"/>
  <c r="AS99" i="28"/>
  <c r="BB107" i="28"/>
  <c r="AT107" i="28"/>
  <c r="AL107" i="28"/>
  <c r="AZ107" i="28"/>
  <c r="AR107" i="28"/>
  <c r="AJ107" i="28"/>
  <c r="AY107" i="28"/>
  <c r="AQ107" i="28"/>
  <c r="AI107" i="28"/>
  <c r="AW107" i="28"/>
  <c r="AO107" i="28"/>
  <c r="BD107" i="28"/>
  <c r="AV107" i="28"/>
  <c r="AN107" i="28"/>
  <c r="AU107" i="28"/>
  <c r="AS107" i="28"/>
  <c r="AP107" i="28"/>
  <c r="AM107" i="28"/>
  <c r="AK107" i="28"/>
  <c r="BC107" i="28"/>
  <c r="BA107" i="28"/>
  <c r="AX107" i="28"/>
  <c r="BD115" i="28"/>
  <c r="BB115" i="28"/>
  <c r="AT115" i="28"/>
  <c r="AL115" i="28"/>
  <c r="BA115" i="28"/>
  <c r="AX115" i="28"/>
  <c r="AP115" i="28"/>
  <c r="AU115" i="28"/>
  <c r="AJ115" i="28"/>
  <c r="AS115" i="28"/>
  <c r="AI115" i="28"/>
  <c r="AR115" i="28"/>
  <c r="BC115" i="28"/>
  <c r="AQ115" i="28"/>
  <c r="AZ115" i="28"/>
  <c r="AO115" i="28"/>
  <c r="AY115" i="28"/>
  <c r="AN115" i="28"/>
  <c r="AW115" i="28"/>
  <c r="AM115" i="28"/>
  <c r="AV115" i="28"/>
  <c r="AK115" i="28"/>
  <c r="BD123" i="28"/>
  <c r="AV123" i="28"/>
  <c r="AN123" i="28"/>
  <c r="BC123" i="28"/>
  <c r="AU123" i="28"/>
  <c r="AM123" i="28"/>
  <c r="BB123" i="28"/>
  <c r="AT123" i="28"/>
  <c r="AL123" i="28"/>
  <c r="BA123" i="28"/>
  <c r="AS123" i="28"/>
  <c r="AK123" i="28"/>
  <c r="AZ123" i="28"/>
  <c r="AR123" i="28"/>
  <c r="AJ123" i="28"/>
  <c r="AX123" i="28"/>
  <c r="AP123" i="28"/>
  <c r="AW123" i="28"/>
  <c r="AO123" i="28"/>
  <c r="AY123" i="28"/>
  <c r="AQ123" i="28"/>
  <c r="AI123" i="28"/>
  <c r="BB71" i="28"/>
  <c r="AX74" i="28"/>
  <c r="AV81" i="28"/>
  <c r="X3" i="21"/>
  <c r="AF3" i="21" s="1"/>
  <c r="AW76" i="28"/>
  <c r="AO76" i="28"/>
  <c r="BD76" i="28"/>
  <c r="AV76" i="28"/>
  <c r="AN76" i="28"/>
  <c r="BC76" i="28"/>
  <c r="AU76" i="28"/>
  <c r="AM76" i="28"/>
  <c r="BB76" i="28"/>
  <c r="AT76" i="28"/>
  <c r="AL76" i="28"/>
  <c r="BA76" i="28"/>
  <c r="AS76" i="28"/>
  <c r="AK76" i="28"/>
  <c r="AZ76" i="28"/>
  <c r="AR76" i="28"/>
  <c r="AJ76" i="28"/>
  <c r="AY76" i="28"/>
  <c r="AQ76" i="28"/>
  <c r="AI76" i="28"/>
  <c r="AW84" i="28"/>
  <c r="AO84" i="28"/>
  <c r="BA84" i="28"/>
  <c r="AR84" i="28"/>
  <c r="AI84" i="28"/>
  <c r="AZ84" i="28"/>
  <c r="AQ84" i="28"/>
  <c r="AY84" i="28"/>
  <c r="AP84" i="28"/>
  <c r="AX84" i="28"/>
  <c r="AN84" i="28"/>
  <c r="AV84" i="28"/>
  <c r="AM84" i="28"/>
  <c r="BD84" i="28"/>
  <c r="AU84" i="28"/>
  <c r="AL84" i="28"/>
  <c r="BC84" i="28"/>
  <c r="AT84" i="28"/>
  <c r="AK84" i="28"/>
  <c r="AS84" i="28"/>
  <c r="AJ84" i="28"/>
  <c r="BC92" i="28"/>
  <c r="AU92" i="28"/>
  <c r="AM92" i="28"/>
  <c r="AZ92" i="28"/>
  <c r="AR92" i="28"/>
  <c r="AJ92" i="28"/>
  <c r="AW92" i="28"/>
  <c r="AO92" i="28"/>
  <c r="AT92" i="28"/>
  <c r="AS92" i="28"/>
  <c r="BD92" i="28"/>
  <c r="AQ92" i="28"/>
  <c r="BB92" i="28"/>
  <c r="AP92" i="28"/>
  <c r="BA92" i="28"/>
  <c r="AN92" i="28"/>
  <c r="AY92" i="28"/>
  <c r="AL92" i="28"/>
  <c r="AX92" i="28"/>
  <c r="AK92" i="28"/>
  <c r="AI92" i="28"/>
  <c r="BD100" i="28"/>
  <c r="AV100" i="28"/>
  <c r="AN100" i="28"/>
  <c r="AZ100" i="28"/>
  <c r="AR100" i="28"/>
  <c r="AJ100" i="28"/>
  <c r="BA100" i="28"/>
  <c r="AP100" i="28"/>
  <c r="AY100" i="28"/>
  <c r="AO100" i="28"/>
  <c r="R100" i="28"/>
  <c r="AX100" i="28"/>
  <c r="AM100" i="28"/>
  <c r="AW100" i="28"/>
  <c r="AL100" i="28"/>
  <c r="P100" i="28"/>
  <c r="AU100" i="28"/>
  <c r="AK100" i="28"/>
  <c r="AT100" i="28"/>
  <c r="AI100" i="28"/>
  <c r="BC100" i="28"/>
  <c r="AS100" i="28"/>
  <c r="BB100" i="28"/>
  <c r="AQ100" i="28"/>
  <c r="AX108" i="28"/>
  <c r="AP108" i="28"/>
  <c r="AW108" i="28"/>
  <c r="AO108" i="28"/>
  <c r="BD108" i="28"/>
  <c r="AV108" i="28"/>
  <c r="AN108" i="28"/>
  <c r="BC108" i="28"/>
  <c r="AU108" i="28"/>
  <c r="AM108" i="28"/>
  <c r="BB108" i="28"/>
  <c r="AT108" i="28"/>
  <c r="AL108" i="28"/>
  <c r="BA108" i="28"/>
  <c r="AS108" i="28"/>
  <c r="AK108" i="28"/>
  <c r="AZ108" i="28"/>
  <c r="AR108" i="28"/>
  <c r="AJ108" i="28"/>
  <c r="AY108" i="28"/>
  <c r="AQ108" i="28"/>
  <c r="AI108" i="28"/>
  <c r="AZ116" i="28"/>
  <c r="AR116" i="28"/>
  <c r="AJ116" i="28"/>
  <c r="AX116" i="28"/>
  <c r="AP116" i="28"/>
  <c r="AW116" i="28"/>
  <c r="AO116" i="28"/>
  <c r="BB116" i="28"/>
  <c r="AT116" i="28"/>
  <c r="AL116" i="28"/>
  <c r="BA116" i="28"/>
  <c r="AS116" i="28"/>
  <c r="AK116" i="28"/>
  <c r="AN116" i="28"/>
  <c r="AM116" i="28"/>
  <c r="BD116" i="28"/>
  <c r="AI116" i="28"/>
  <c r="BC116" i="28"/>
  <c r="AY116" i="28"/>
  <c r="AV116" i="28"/>
  <c r="AU116" i="28"/>
  <c r="AQ116" i="28"/>
  <c r="AZ124" i="28"/>
  <c r="AR124" i="28"/>
  <c r="AJ124" i="28"/>
  <c r="AY124" i="28"/>
  <c r="AQ124" i="28"/>
  <c r="AI124" i="28"/>
  <c r="AX124" i="28"/>
  <c r="AP124" i="28"/>
  <c r="AW124" i="28"/>
  <c r="AO124" i="28"/>
  <c r="BD124" i="28"/>
  <c r="AV124" i="28"/>
  <c r="AN124" i="28"/>
  <c r="BB124" i="28"/>
  <c r="AT124" i="28"/>
  <c r="AL124" i="28"/>
  <c r="BA124" i="28"/>
  <c r="AS124" i="28"/>
  <c r="AK124" i="28"/>
  <c r="BC124" i="28"/>
  <c r="AU124" i="28"/>
  <c r="AM124" i="28"/>
  <c r="AP70" i="28"/>
  <c r="AL73" i="28"/>
  <c r="AK97" i="28"/>
  <c r="BA69" i="28"/>
  <c r="AS69" i="28"/>
  <c r="AK69" i="28"/>
  <c r="AZ69" i="28"/>
  <c r="AR69" i="28"/>
  <c r="AJ69" i="28"/>
  <c r="AY69" i="28"/>
  <c r="AQ69" i="28"/>
  <c r="AI69" i="28"/>
  <c r="AX69" i="28"/>
  <c r="AP69" i="28"/>
  <c r="AW69" i="28"/>
  <c r="AO69" i="28"/>
  <c r="BD69" i="28"/>
  <c r="AV69" i="28"/>
  <c r="AN69" i="28"/>
  <c r="BC69" i="28"/>
  <c r="AU69" i="28"/>
  <c r="AM69" i="28"/>
  <c r="BB77" i="28"/>
  <c r="AT77" i="28"/>
  <c r="AL77" i="28"/>
  <c r="BA77" i="28"/>
  <c r="AS77" i="28"/>
  <c r="AZ77" i="28"/>
  <c r="AY77" i="28"/>
  <c r="AQ77" i="28"/>
  <c r="AW77" i="28"/>
  <c r="AX77" i="28"/>
  <c r="AK77" i="28"/>
  <c r="AV77" i="28"/>
  <c r="AJ77" i="28"/>
  <c r="AU77" i="28"/>
  <c r="AI77" i="28"/>
  <c r="AR77" i="28"/>
  <c r="AP77" i="28"/>
  <c r="AO77" i="28"/>
  <c r="BD77" i="28"/>
  <c r="AN77" i="28"/>
  <c r="BA85" i="28"/>
  <c r="AS85" i="28"/>
  <c r="AK85" i="28"/>
  <c r="BC85" i="28"/>
  <c r="AT85" i="28"/>
  <c r="AJ85" i="28"/>
  <c r="BB85" i="28"/>
  <c r="AR85" i="28"/>
  <c r="AI85" i="28"/>
  <c r="AZ85" i="28"/>
  <c r="AQ85" i="28"/>
  <c r="AY85" i="28"/>
  <c r="AP85" i="28"/>
  <c r="AX85" i="28"/>
  <c r="AO85" i="28"/>
  <c r="AW85" i="28"/>
  <c r="AN85" i="28"/>
  <c r="AV85" i="28"/>
  <c r="AM85" i="28"/>
  <c r="BD85" i="28"/>
  <c r="AU85" i="28"/>
  <c r="AL85" i="28"/>
  <c r="AY93" i="28"/>
  <c r="AQ93" i="28"/>
  <c r="AI93" i="28"/>
  <c r="AW93" i="28"/>
  <c r="AO93" i="28"/>
  <c r="BD93" i="28"/>
  <c r="AV93" i="28"/>
  <c r="AN93" i="28"/>
  <c r="BC93" i="28"/>
  <c r="AU93" i="28"/>
  <c r="AM93" i="28"/>
  <c r="BA93" i="28"/>
  <c r="AS93" i="28"/>
  <c r="AK93" i="28"/>
  <c r="BB93" i="28"/>
  <c r="AZ93" i="28"/>
  <c r="AX93" i="28"/>
  <c r="AT93" i="28"/>
  <c r="AR93" i="28"/>
  <c r="AP93" i="28"/>
  <c r="AL93" i="28"/>
  <c r="AJ93" i="28"/>
  <c r="AZ101" i="28"/>
  <c r="AR101" i="28"/>
  <c r="AJ101" i="28"/>
  <c r="AW101" i="28"/>
  <c r="AO101" i="28"/>
  <c r="BD101" i="28"/>
  <c r="AV101" i="28"/>
  <c r="AN101" i="28"/>
  <c r="AS101" i="28"/>
  <c r="BC101" i="28"/>
  <c r="AQ101" i="28"/>
  <c r="BB101" i="28"/>
  <c r="AP101" i="28"/>
  <c r="BA101" i="28"/>
  <c r="AM101" i="28"/>
  <c r="AY101" i="28"/>
  <c r="AL101" i="28"/>
  <c r="AX101" i="28"/>
  <c r="AK101" i="28"/>
  <c r="AU101" i="28"/>
  <c r="AI101" i="28"/>
  <c r="AT101" i="28"/>
  <c r="BB109" i="28"/>
  <c r="AT109" i="28"/>
  <c r="AL109" i="28"/>
  <c r="BA109" i="28"/>
  <c r="AS109" i="28"/>
  <c r="AK109" i="28"/>
  <c r="AZ109" i="28"/>
  <c r="AR109" i="28"/>
  <c r="AJ109" i="28"/>
  <c r="AY109" i="28"/>
  <c r="AQ109" i="28"/>
  <c r="AI109" i="28"/>
  <c r="AX109" i="28"/>
  <c r="AP109" i="28"/>
  <c r="AW109" i="28"/>
  <c r="AO109" i="28"/>
  <c r="BD109" i="28"/>
  <c r="AV109" i="28"/>
  <c r="AN109" i="28"/>
  <c r="BC109" i="28"/>
  <c r="AU109" i="28"/>
  <c r="AM109" i="28"/>
  <c r="BD117" i="28"/>
  <c r="AV117" i="28"/>
  <c r="AN117" i="28"/>
  <c r="BC117" i="28"/>
  <c r="BB117" i="28"/>
  <c r="AT117" i="28"/>
  <c r="AL117" i="28"/>
  <c r="BA117" i="28"/>
  <c r="AS117" i="28"/>
  <c r="AK117" i="28"/>
  <c r="AZ117" i="28"/>
  <c r="AX117" i="28"/>
  <c r="AP117" i="28"/>
  <c r="AW117" i="28"/>
  <c r="AO117" i="28"/>
  <c r="AM117" i="28"/>
  <c r="AJ117" i="28"/>
  <c r="AI117" i="28"/>
  <c r="AY117" i="28"/>
  <c r="AU117" i="28"/>
  <c r="AR117" i="28"/>
  <c r="AQ117" i="28"/>
  <c r="AM125" i="28"/>
  <c r="AT125" i="28"/>
  <c r="AR125" i="28"/>
  <c r="AX125" i="28"/>
  <c r="AI125" i="28"/>
  <c r="AT73" i="28"/>
  <c r="AP76" i="28"/>
  <c r="AT82" i="28"/>
  <c r="AW70" i="28"/>
  <c r="AO70" i="28"/>
  <c r="BD70" i="28"/>
  <c r="AV70" i="28"/>
  <c r="AN70" i="28"/>
  <c r="BC70" i="28"/>
  <c r="AU70" i="28"/>
  <c r="AM70" i="28"/>
  <c r="BB70" i="28"/>
  <c r="AT70" i="28"/>
  <c r="AL70" i="28"/>
  <c r="BA70" i="28"/>
  <c r="AS70" i="28"/>
  <c r="AK70" i="28"/>
  <c r="AZ70" i="28"/>
  <c r="AR70" i="28"/>
  <c r="AJ70" i="28"/>
  <c r="AY70" i="28"/>
  <c r="AQ70" i="28"/>
  <c r="AI70" i="28"/>
  <c r="AX78" i="28"/>
  <c r="AP78" i="28"/>
  <c r="AW78" i="28"/>
  <c r="AO78" i="28"/>
  <c r="BD78" i="28"/>
  <c r="AV78" i="28"/>
  <c r="AN78" i="28"/>
  <c r="BC78" i="28"/>
  <c r="AU78" i="28"/>
  <c r="AM78" i="28"/>
  <c r="BA78" i="28"/>
  <c r="AS78" i="28"/>
  <c r="AK78" i="28"/>
  <c r="AY78" i="28"/>
  <c r="AT78" i="28"/>
  <c r="AR78" i="28"/>
  <c r="AQ78" i="28"/>
  <c r="AL78" i="28"/>
  <c r="AJ78" i="28"/>
  <c r="BB78" i="28"/>
  <c r="AI78" i="28"/>
  <c r="AW86" i="28"/>
  <c r="AO86" i="28"/>
  <c r="BD86" i="28"/>
  <c r="AU86" i="28"/>
  <c r="AL86" i="28"/>
  <c r="BC86" i="28"/>
  <c r="AT86" i="28"/>
  <c r="AK86" i="28"/>
  <c r="BB86" i="28"/>
  <c r="AS86" i="28"/>
  <c r="AJ86" i="28"/>
  <c r="BA86" i="28"/>
  <c r="AR86" i="28"/>
  <c r="AI86" i="28"/>
  <c r="AZ86" i="28"/>
  <c r="AQ86" i="28"/>
  <c r="AY86" i="28"/>
  <c r="AP86" i="28"/>
  <c r="AX86" i="28"/>
  <c r="AN86" i="28"/>
  <c r="AV86" i="28"/>
  <c r="BC94" i="28"/>
  <c r="AU94" i="28"/>
  <c r="AM94" i="28"/>
  <c r="BA94" i="28"/>
  <c r="AS94" i="28"/>
  <c r="AK94" i="28"/>
  <c r="AZ94" i="28"/>
  <c r="AR94" i="28"/>
  <c r="AJ94" i="28"/>
  <c r="AY94" i="28"/>
  <c r="AQ94" i="28"/>
  <c r="AI94" i="28"/>
  <c r="AW94" i="28"/>
  <c r="AO94" i="28"/>
  <c r="BB94" i="28"/>
  <c r="AX94" i="28"/>
  <c r="AV94" i="28"/>
  <c r="AT94" i="28"/>
  <c r="AP94" i="28"/>
  <c r="AN94" i="28"/>
  <c r="AL94" i="28"/>
  <c r="BD94" i="28"/>
  <c r="BD102" i="28"/>
  <c r="AN102" i="28"/>
  <c r="AJ102" i="28"/>
  <c r="AM102" i="28"/>
  <c r="AT102" i="28"/>
  <c r="AQ102" i="28"/>
  <c r="AX110" i="28"/>
  <c r="AP110" i="28"/>
  <c r="AW110" i="28"/>
  <c r="AO110" i="28"/>
  <c r="BD110" i="28"/>
  <c r="AV110" i="28"/>
  <c r="AN110" i="28"/>
  <c r="BC110" i="28"/>
  <c r="AU110" i="28"/>
  <c r="AM110" i="28"/>
  <c r="BB110" i="28"/>
  <c r="AT110" i="28"/>
  <c r="AL110" i="28"/>
  <c r="BA110" i="28"/>
  <c r="AS110" i="28"/>
  <c r="AK110" i="28"/>
  <c r="AZ110" i="28"/>
  <c r="AR110" i="28"/>
  <c r="AJ110" i="28"/>
  <c r="AY110" i="28"/>
  <c r="AQ110" i="28"/>
  <c r="AI110" i="28"/>
  <c r="AZ118" i="28"/>
  <c r="AR118" i="28"/>
  <c r="AJ118" i="28"/>
  <c r="AY118" i="28"/>
  <c r="AQ118" i="28"/>
  <c r="AI118" i="28"/>
  <c r="AX118" i="28"/>
  <c r="AP118" i="28"/>
  <c r="AW118" i="28"/>
  <c r="AO118" i="28"/>
  <c r="BD118" i="28"/>
  <c r="AV118" i="28"/>
  <c r="AN118" i="28"/>
  <c r="BB118" i="28"/>
  <c r="AT118" i="28"/>
  <c r="AL118" i="28"/>
  <c r="BA118" i="28"/>
  <c r="AS118" i="28"/>
  <c r="AK118" i="28"/>
  <c r="AM118" i="28"/>
  <c r="BC118" i="28"/>
  <c r="AU118" i="28"/>
  <c r="AW126" i="28"/>
  <c r="AO126" i="28"/>
  <c r="BD126" i="28"/>
  <c r="AV126" i="28"/>
  <c r="BC126" i="28"/>
  <c r="AU126" i="28"/>
  <c r="BB126" i="28"/>
  <c r="AT126" i="28"/>
  <c r="BA126" i="28"/>
  <c r="AZ126" i="28"/>
  <c r="AR126" i="28"/>
  <c r="AY126" i="28"/>
  <c r="AQ126" i="28"/>
  <c r="AJ126" i="28"/>
  <c r="AX126" i="28"/>
  <c r="AI126" i="28"/>
  <c r="AS126" i="28"/>
  <c r="AP126" i="28"/>
  <c r="AN126" i="28"/>
  <c r="AL126" i="28"/>
  <c r="AK126" i="28"/>
  <c r="AM126" i="28"/>
  <c r="AL69" i="28"/>
  <c r="BB73" i="28"/>
  <c r="AX76" i="28"/>
  <c r="BA71" i="28"/>
  <c r="AS71" i="28"/>
  <c r="AK71" i="28"/>
  <c r="AZ71" i="28"/>
  <c r="AR71" i="28"/>
  <c r="AJ71" i="28"/>
  <c r="C8" i="30" s="1"/>
  <c r="AY71" i="28"/>
  <c r="AQ71" i="28"/>
  <c r="AI71" i="28"/>
  <c r="AX71" i="28"/>
  <c r="AP71" i="28"/>
  <c r="AW71" i="28"/>
  <c r="AO71" i="28"/>
  <c r="BD71" i="28"/>
  <c r="AV71" i="28"/>
  <c r="AN71" i="28"/>
  <c r="BC71" i="28"/>
  <c r="AU71" i="28"/>
  <c r="AM71" i="28"/>
  <c r="BB79" i="28"/>
  <c r="AT79" i="28"/>
  <c r="AL79" i="28"/>
  <c r="BA79" i="28"/>
  <c r="AS79" i="28"/>
  <c r="AK79" i="28"/>
  <c r="AZ79" i="28"/>
  <c r="AR79" i="28"/>
  <c r="AJ79" i="28"/>
  <c r="AY79" i="28"/>
  <c r="AQ79" i="28"/>
  <c r="AI79" i="28"/>
  <c r="AW79" i="28"/>
  <c r="AO79" i="28"/>
  <c r="AV79" i="28"/>
  <c r="AU79" i="28"/>
  <c r="AP79" i="28"/>
  <c r="AN79" i="28"/>
  <c r="AM79" i="28"/>
  <c r="BD79" i="28"/>
  <c r="BC79" i="28"/>
  <c r="BA87" i="28"/>
  <c r="AS87" i="28"/>
  <c r="AK87" i="28"/>
  <c r="AW87" i="28"/>
  <c r="AN87" i="28"/>
  <c r="AV87" i="28"/>
  <c r="AM87" i="28"/>
  <c r="BD87" i="28"/>
  <c r="AU87" i="28"/>
  <c r="AL87" i="28"/>
  <c r="BC87" i="28"/>
  <c r="AT87" i="28"/>
  <c r="AJ87" i="28"/>
  <c r="BB87" i="28"/>
  <c r="AR87" i="28"/>
  <c r="AI87" i="28"/>
  <c r="AZ87" i="28"/>
  <c r="AQ87" i="28"/>
  <c r="AY87" i="28"/>
  <c r="AP87" i="28"/>
  <c r="AX87" i="28"/>
  <c r="AO87" i="28"/>
  <c r="AY95" i="28"/>
  <c r="AQ95" i="28"/>
  <c r="AI95" i="28"/>
  <c r="AW95" i="28"/>
  <c r="AO95" i="28"/>
  <c r="BD95" i="28"/>
  <c r="AV95" i="28"/>
  <c r="AN95" i="28"/>
  <c r="BC95" i="28"/>
  <c r="AU95" i="28"/>
  <c r="AM95" i="28"/>
  <c r="BB95" i="28"/>
  <c r="BA95" i="28"/>
  <c r="AS95" i="28"/>
  <c r="AK95" i="28"/>
  <c r="AZ95" i="28"/>
  <c r="AX95" i="28"/>
  <c r="AT95" i="28"/>
  <c r="AR95" i="28"/>
  <c r="AP95" i="28"/>
  <c r="AL95" i="28"/>
  <c r="AJ95" i="28"/>
  <c r="AZ103" i="28"/>
  <c r="AR103" i="28"/>
  <c r="AJ103" i="28"/>
  <c r="AW103" i="28"/>
  <c r="AO103" i="28"/>
  <c r="P103" i="28"/>
  <c r="BD103" i="28"/>
  <c r="AV103" i="28"/>
  <c r="AN103" i="28"/>
  <c r="AT103" i="28"/>
  <c r="AS103" i="28"/>
  <c r="R103" i="28"/>
  <c r="BC103" i="28"/>
  <c r="AQ103" i="28"/>
  <c r="BB103" i="28"/>
  <c r="AP103" i="28"/>
  <c r="BA103" i="28"/>
  <c r="AM103" i="28"/>
  <c r="AY103" i="28"/>
  <c r="AL103" i="28"/>
  <c r="AX103" i="28"/>
  <c r="AK103" i="28"/>
  <c r="AI103" i="28"/>
  <c r="AU103" i="28"/>
  <c r="BB111" i="28"/>
  <c r="AT111" i="28"/>
  <c r="AL111" i="28"/>
  <c r="AX111" i="28"/>
  <c r="AP111" i="28"/>
  <c r="AZ111" i="28"/>
  <c r="AO111" i="28"/>
  <c r="AY111" i="28"/>
  <c r="AN111" i="28"/>
  <c r="AW111" i="28"/>
  <c r="AM111" i="28"/>
  <c r="AV111" i="28"/>
  <c r="AK111" i="28"/>
  <c r="AU111" i="28"/>
  <c r="AJ111" i="28"/>
  <c r="BD111" i="28"/>
  <c r="AS111" i="28"/>
  <c r="AI111" i="28"/>
  <c r="BC111" i="28"/>
  <c r="AR111" i="28"/>
  <c r="BA111" i="28"/>
  <c r="AQ111" i="28"/>
  <c r="BD119" i="28"/>
  <c r="AV119" i="28"/>
  <c r="AN119" i="28"/>
  <c r="BC119" i="28"/>
  <c r="AU119" i="28"/>
  <c r="AM119" i="28"/>
  <c r="BB119" i="28"/>
  <c r="AT119" i="28"/>
  <c r="AL119" i="28"/>
  <c r="BA119" i="28"/>
  <c r="AS119" i="28"/>
  <c r="AK119" i="28"/>
  <c r="AZ119" i="28"/>
  <c r="AR119" i="28"/>
  <c r="AJ119" i="28"/>
  <c r="AX119" i="28"/>
  <c r="AP119" i="28"/>
  <c r="AW119" i="28"/>
  <c r="AO119" i="28"/>
  <c r="AY119" i="28"/>
  <c r="AQ119" i="28"/>
  <c r="AI119" i="28"/>
  <c r="BA127" i="28"/>
  <c r="AS127" i="28"/>
  <c r="AK127" i="28"/>
  <c r="AZ127" i="28"/>
  <c r="AR127" i="28"/>
  <c r="AJ127" i="28"/>
  <c r="AY127" i="28"/>
  <c r="AQ127" i="28"/>
  <c r="AI127" i="28"/>
  <c r="AX127" i="28"/>
  <c r="AP127" i="28"/>
  <c r="AW127" i="28"/>
  <c r="AO127" i="28"/>
  <c r="BD127" i="28"/>
  <c r="AV127" i="28"/>
  <c r="AN127" i="28"/>
  <c r="BC127" i="28"/>
  <c r="AU127" i="28"/>
  <c r="AM127" i="28"/>
  <c r="BB127" i="28"/>
  <c r="AT127" i="28"/>
  <c r="AL127" i="28"/>
  <c r="AT69" i="28"/>
  <c r="AP72" i="28"/>
  <c r="AL75" i="28"/>
  <c r="AX79" i="28"/>
  <c r="BB84" i="28"/>
  <c r="AA55" i="29"/>
  <c r="AH55" i="29"/>
  <c r="Z55" i="29"/>
  <c r="AG55" i="29"/>
  <c r="Y55" i="29"/>
  <c r="AF55" i="29"/>
  <c r="X55" i="29"/>
  <c r="AE55" i="29"/>
  <c r="AD55" i="29"/>
  <c r="AC55" i="29"/>
  <c r="AB55" i="29"/>
  <c r="AA63" i="29"/>
  <c r="AH63" i="29"/>
  <c r="Z63" i="29"/>
  <c r="AG63" i="29"/>
  <c r="Y63" i="29"/>
  <c r="AF63" i="29"/>
  <c r="X63" i="29"/>
  <c r="AE63" i="29"/>
  <c r="AD63" i="29"/>
  <c r="AC63" i="29"/>
  <c r="AB63" i="29"/>
  <c r="AA71" i="29"/>
  <c r="AH71" i="29"/>
  <c r="Z71" i="29"/>
  <c r="AG71" i="29"/>
  <c r="Y71" i="29"/>
  <c r="AF71" i="29"/>
  <c r="X71" i="29"/>
  <c r="AE71" i="29"/>
  <c r="AD71" i="29"/>
  <c r="AC71" i="29"/>
  <c r="AB71" i="29"/>
  <c r="AA79" i="29"/>
  <c r="X79" i="29"/>
  <c r="AC79" i="29"/>
  <c r="AB87" i="29"/>
  <c r="AA87" i="29"/>
  <c r="AH87" i="29"/>
  <c r="Z87" i="29"/>
  <c r="AG87" i="29"/>
  <c r="Y87" i="29"/>
  <c r="AF87" i="29"/>
  <c r="X87" i="29"/>
  <c r="AE87" i="29"/>
  <c r="AC87" i="29"/>
  <c r="AD87" i="29"/>
  <c r="Z50" i="29"/>
  <c r="AH50" i="29"/>
  <c r="AD52" i="29"/>
  <c r="X53" i="29"/>
  <c r="AF53" i="29"/>
  <c r="Z54" i="29"/>
  <c r="AH54" i="29"/>
  <c r="AD56" i="29"/>
  <c r="X57" i="29"/>
  <c r="AF57" i="29"/>
  <c r="Z58" i="29"/>
  <c r="AB59" i="29"/>
  <c r="AD60" i="29"/>
  <c r="X61" i="29"/>
  <c r="AF61" i="29"/>
  <c r="Z62" i="29"/>
  <c r="AH62" i="29"/>
  <c r="AD64" i="29"/>
  <c r="Z66" i="29"/>
  <c r="AH66" i="29"/>
  <c r="AB67" i="29"/>
  <c r="AD68" i="29"/>
  <c r="X69" i="29"/>
  <c r="AF69" i="29"/>
  <c r="AD72" i="29"/>
  <c r="X73" i="29"/>
  <c r="AF73" i="29"/>
  <c r="Z74" i="29"/>
  <c r="AG76" i="29"/>
  <c r="AH77" i="29"/>
  <c r="AD80" i="29"/>
  <c r="AC80" i="29"/>
  <c r="AB80" i="29"/>
  <c r="AA80" i="29"/>
  <c r="AH80" i="29"/>
  <c r="Z80" i="29"/>
  <c r="AG80" i="29"/>
  <c r="Y80" i="29"/>
  <c r="AE80" i="29"/>
  <c r="AD88" i="29"/>
  <c r="AC88" i="29"/>
  <c r="AB88" i="29"/>
  <c r="AA88" i="29"/>
  <c r="AH88" i="29"/>
  <c r="Z88" i="29"/>
  <c r="AG88" i="29"/>
  <c r="Y88" i="29"/>
  <c r="AE88" i="29"/>
  <c r="AA50" i="29"/>
  <c r="AE52" i="29"/>
  <c r="Y53" i="29"/>
  <c r="AG53" i="29"/>
  <c r="AA54" i="29"/>
  <c r="AE56" i="29"/>
  <c r="Y57" i="29"/>
  <c r="AG57" i="29"/>
  <c r="AC59" i="29"/>
  <c r="AE60" i="29"/>
  <c r="Y61" i="29"/>
  <c r="AG61" i="29"/>
  <c r="AA62" i="29"/>
  <c r="AA66" i="29"/>
  <c r="AC67" i="29"/>
  <c r="AE68" i="29"/>
  <c r="Y69" i="29"/>
  <c r="AG69" i="29"/>
  <c r="AE72" i="29"/>
  <c r="Y73" i="29"/>
  <c r="AG73" i="29"/>
  <c r="AB74" i="29"/>
  <c r="Z85" i="29"/>
  <c r="X88" i="29"/>
  <c r="AF81" i="29"/>
  <c r="X81" i="29"/>
  <c r="AE81" i="29"/>
  <c r="AD81" i="29"/>
  <c r="AC81" i="29"/>
  <c r="AB81" i="29"/>
  <c r="AA81" i="29"/>
  <c r="AG81" i="29"/>
  <c r="Y81" i="29"/>
  <c r="AF89" i="29"/>
  <c r="X89" i="29"/>
  <c r="AE89" i="29"/>
  <c r="AD89" i="29"/>
  <c r="AC89" i="29"/>
  <c r="AB89" i="29"/>
  <c r="AA89" i="29"/>
  <c r="AH89" i="29"/>
  <c r="AG89" i="29"/>
  <c r="Y89" i="29"/>
  <c r="AB50" i="29"/>
  <c r="X52" i="29"/>
  <c r="AF52" i="29"/>
  <c r="Z53" i="29"/>
  <c r="AH53" i="29"/>
  <c r="AB54" i="29"/>
  <c r="X56" i="29"/>
  <c r="AF56" i="29"/>
  <c r="Z57" i="29"/>
  <c r="AH57" i="29"/>
  <c r="AD59" i="29"/>
  <c r="X60" i="29"/>
  <c r="AF60" i="29"/>
  <c r="Z61" i="29"/>
  <c r="AH61" i="29"/>
  <c r="AB62" i="29"/>
  <c r="X64" i="29"/>
  <c r="Z65" i="29"/>
  <c r="AB66" i="29"/>
  <c r="AD67" i="29"/>
  <c r="X68" i="29"/>
  <c r="AF68" i="29"/>
  <c r="Z69" i="29"/>
  <c r="AH69" i="29"/>
  <c r="AB70" i="29"/>
  <c r="X72" i="29"/>
  <c r="AF72" i="29"/>
  <c r="Z73" i="29"/>
  <c r="AH73" i="29"/>
  <c r="AF88" i="29"/>
  <c r="AF74" i="29"/>
  <c r="AA74" i="29"/>
  <c r="AH82" i="29"/>
  <c r="Z82" i="29"/>
  <c r="AG82" i="29"/>
  <c r="Y82" i="29"/>
  <c r="AF82" i="29"/>
  <c r="X82" i="29"/>
  <c r="AE82" i="29"/>
  <c r="AD82" i="29"/>
  <c r="AC82" i="29"/>
  <c r="AA82" i="29"/>
  <c r="AC50" i="29"/>
  <c r="Y52" i="29"/>
  <c r="AG52" i="29"/>
  <c r="AA53" i="29"/>
  <c r="AC54" i="29"/>
  <c r="Y56" i="29"/>
  <c r="AG56" i="29"/>
  <c r="AA57" i="29"/>
  <c r="AE59" i="29"/>
  <c r="Y60" i="29"/>
  <c r="AG60" i="29"/>
  <c r="AA61" i="29"/>
  <c r="AC62" i="29"/>
  <c r="AC66" i="29"/>
  <c r="AE67" i="29"/>
  <c r="Y68" i="29"/>
  <c r="AG68" i="29"/>
  <c r="AA69" i="29"/>
  <c r="Y72" i="29"/>
  <c r="AG72" i="29"/>
  <c r="AA73" i="29"/>
  <c r="AD74" i="29"/>
  <c r="Y78" i="29"/>
  <c r="X80" i="29"/>
  <c r="AB75" i="29"/>
  <c r="AH75" i="29"/>
  <c r="Z75" i="29"/>
  <c r="AG75" i="29"/>
  <c r="Y75" i="29"/>
  <c r="AF75" i="29"/>
  <c r="X75" i="29"/>
  <c r="AC75" i="29"/>
  <c r="AB83" i="29"/>
  <c r="AF83" i="29"/>
  <c r="AE83" i="29"/>
  <c r="AD50" i="29"/>
  <c r="Z52" i="29"/>
  <c r="AH52" i="29"/>
  <c r="AB53" i="29"/>
  <c r="AD54" i="29"/>
  <c r="Z56" i="29"/>
  <c r="AH56" i="29"/>
  <c r="AB57" i="29"/>
  <c r="X59" i="29"/>
  <c r="AF59" i="29"/>
  <c r="Z60" i="29"/>
  <c r="AH60" i="29"/>
  <c r="AB61" i="29"/>
  <c r="AD62" i="29"/>
  <c r="AD66" i="29"/>
  <c r="X67" i="29"/>
  <c r="AF67" i="29"/>
  <c r="Z68" i="29"/>
  <c r="AH68" i="29"/>
  <c r="AB69" i="29"/>
  <c r="Z72" i="29"/>
  <c r="AH72" i="29"/>
  <c r="AB73" i="29"/>
  <c r="AE74" i="29"/>
  <c r="AB78" i="29"/>
  <c r="AF80" i="29"/>
  <c r="Z89" i="29"/>
  <c r="AD76" i="29"/>
  <c r="AB76" i="29"/>
  <c r="AA76" i="29"/>
  <c r="AH76" i="29"/>
  <c r="Z76" i="29"/>
  <c r="AE76" i="29"/>
  <c r="AD84" i="29"/>
  <c r="AC84" i="29"/>
  <c r="AB84" i="29"/>
  <c r="AA84" i="29"/>
  <c r="AH84" i="29"/>
  <c r="Z84" i="29"/>
  <c r="AG84" i="29"/>
  <c r="Y84" i="29"/>
  <c r="AE84" i="29"/>
  <c r="AE50" i="29"/>
  <c r="AG51" i="29"/>
  <c r="AA52" i="29"/>
  <c r="AC53" i="29"/>
  <c r="AE54" i="29"/>
  <c r="AA56" i="29"/>
  <c r="AC57" i="29"/>
  <c r="Y59" i="29"/>
  <c r="AG59" i="29"/>
  <c r="AA60" i="29"/>
  <c r="AC61" i="29"/>
  <c r="AE62" i="29"/>
  <c r="AE66" i="29"/>
  <c r="Y67" i="29"/>
  <c r="AG67" i="29"/>
  <c r="AA68" i="29"/>
  <c r="AC69" i="29"/>
  <c r="AA72" i="29"/>
  <c r="AC73" i="29"/>
  <c r="AG74" i="29"/>
  <c r="AA75" i="29"/>
  <c r="Y76" i="29"/>
  <c r="AF77" i="29"/>
  <c r="X77" i="29"/>
  <c r="AD77" i="29"/>
  <c r="AC77" i="29"/>
  <c r="AB77" i="29"/>
  <c r="AG77" i="29"/>
  <c r="Y77" i="29"/>
  <c r="AF85" i="29"/>
  <c r="X85" i="29"/>
  <c r="AE85" i="29"/>
  <c r="AD85" i="29"/>
  <c r="AC85" i="29"/>
  <c r="AB85" i="29"/>
  <c r="AA85" i="29"/>
  <c r="AG85" i="29"/>
  <c r="Y85" i="29"/>
  <c r="X50" i="29"/>
  <c r="AF50" i="29"/>
  <c r="AB52" i="29"/>
  <c r="AD53" i="29"/>
  <c r="X54" i="29"/>
  <c r="AF54" i="29"/>
  <c r="AB56" i="29"/>
  <c r="AD57" i="29"/>
  <c r="Z59" i="29"/>
  <c r="AH59" i="29"/>
  <c r="AB60" i="29"/>
  <c r="AD61" i="29"/>
  <c r="X62" i="29"/>
  <c r="AF62" i="29"/>
  <c r="X66" i="29"/>
  <c r="AF66" i="29"/>
  <c r="Z67" i="29"/>
  <c r="AH67" i="29"/>
  <c r="AB68" i="29"/>
  <c r="AD69" i="29"/>
  <c r="AB72" i="29"/>
  <c r="AD73" i="29"/>
  <c r="X74" i="29"/>
  <c r="AH74" i="29"/>
  <c r="AD75" i="29"/>
  <c r="AC76" i="29"/>
  <c r="AA77" i="29"/>
  <c r="Z81" i="29"/>
  <c r="X84" i="29"/>
  <c r="AH78" i="29"/>
  <c r="Z78" i="29"/>
  <c r="AF78" i="29"/>
  <c r="X78" i="29"/>
  <c r="AE78" i="29"/>
  <c r="AD78" i="29"/>
  <c r="AC78" i="29"/>
  <c r="AA78" i="29"/>
  <c r="AH86" i="29"/>
  <c r="Z86" i="29"/>
  <c r="AG86" i="29"/>
  <c r="Y86" i="29"/>
  <c r="AF86" i="29"/>
  <c r="X86" i="29"/>
  <c r="AE86" i="29"/>
  <c r="AD86" i="29"/>
  <c r="AC86" i="29"/>
  <c r="AA86" i="29"/>
  <c r="Y50" i="29"/>
  <c r="Y54" i="29"/>
  <c r="Y58" i="29"/>
  <c r="Y62" i="29"/>
  <c r="Y66" i="29"/>
  <c r="Y74" i="29"/>
  <c r="AE75" i="29"/>
  <c r="AF76" i="29"/>
  <c r="AE77" i="29"/>
  <c r="AH81" i="29"/>
  <c r="AF84" i="29"/>
  <c r="Q8" i="30"/>
  <c r="K8" i="31"/>
  <c r="Z4" i="21"/>
  <c r="AH4" i="21" s="1"/>
  <c r="Z3" i="21"/>
  <c r="AH3" i="21" s="1"/>
  <c r="Y3" i="21"/>
  <c r="AG3" i="21" s="1"/>
  <c r="Z5" i="21"/>
  <c r="AH5" i="21" s="1"/>
  <c r="AQ7" i="23"/>
  <c r="AJ4" i="25"/>
  <c r="AT4" i="25"/>
  <c r="AJ5" i="25"/>
  <c r="AT5" i="25"/>
  <c r="AT6" i="25"/>
  <c r="AJ6" i="25"/>
  <c r="AR12" i="23"/>
  <c r="AQ19" i="23"/>
  <c r="AV43" i="23"/>
  <c r="AR44" i="23"/>
  <c r="AV44" i="23" s="1"/>
  <c r="AR24" i="23"/>
  <c r="AV32" i="23"/>
  <c r="AR33" i="23"/>
  <c r="AR59" i="23"/>
  <c r="AV59" i="23" s="1"/>
  <c r="AO2" i="25"/>
  <c r="AJ3" i="21"/>
  <c r="Y13" i="21"/>
  <c r="AG13" i="21" s="1"/>
  <c r="AV40" i="23"/>
  <c r="AR41" i="23"/>
  <c r="AV41" i="23" s="1"/>
  <c r="AV46" i="23"/>
  <c r="AR47" i="23"/>
  <c r="AV55" i="23"/>
  <c r="AR56" i="23"/>
  <c r="AV56" i="23" s="1"/>
  <c r="AJ3" i="25"/>
  <c r="AT2" i="25"/>
  <c r="AO3" i="25"/>
  <c r="AJ13" i="21"/>
  <c r="AJ5" i="21"/>
  <c r="Z8" i="21"/>
  <c r="AH8" i="21" s="1"/>
  <c r="AJ8" i="21"/>
  <c r="R9" i="21"/>
  <c r="X9" i="21" s="1"/>
  <c r="AF9" i="21" s="1"/>
  <c r="R10" i="21"/>
  <c r="M606" i="21"/>
  <c r="U10" i="21" s="1"/>
  <c r="AI10" i="21" s="1"/>
  <c r="U11" i="21"/>
  <c r="AI11" i="21" s="1"/>
  <c r="R11" i="21"/>
  <c r="R12" i="21"/>
  <c r="M875" i="21"/>
  <c r="U12" i="21" s="1"/>
  <c r="AI12" i="21" s="1"/>
  <c r="X8" i="21"/>
  <c r="AF8" i="21" s="1"/>
  <c r="Y8" i="21"/>
  <c r="AG8" i="21" s="1"/>
  <c r="Y5" i="21"/>
  <c r="AG5" i="21" s="1"/>
  <c r="AJ4" i="21"/>
  <c r="AI5" i="21"/>
  <c r="X5" i="21"/>
  <c r="AF5" i="21" s="1"/>
  <c r="AO9" i="16"/>
  <c r="AT8" i="16"/>
  <c r="AJ3" i="16"/>
  <c r="AJ8" i="16" s="1"/>
  <c r="AJ6" i="16"/>
  <c r="AJ9" i="16" s="1"/>
  <c r="AT9" i="16"/>
  <c r="AT10" i="16" s="1"/>
  <c r="AC107" i="17"/>
  <c r="AC116" i="17"/>
  <c r="AC2" i="17"/>
  <c r="AC112" i="17"/>
  <c r="AC128" i="17"/>
  <c r="AC145" i="17"/>
  <c r="AC108" i="17"/>
  <c r="AC124" i="17"/>
  <c r="AC153" i="17"/>
  <c r="AC4" i="17"/>
  <c r="AI7" i="17" s="1"/>
  <c r="AC120" i="17"/>
  <c r="AC313" i="17"/>
  <c r="AC321" i="17"/>
  <c r="AC329" i="17"/>
  <c r="AC337" i="17"/>
  <c r="AC345" i="17"/>
  <c r="AC353" i="17"/>
  <c r="AC363" i="17"/>
  <c r="AC380" i="17"/>
  <c r="AC385" i="17"/>
  <c r="AC404" i="17"/>
  <c r="AC302" i="17"/>
  <c r="AC310" i="17"/>
  <c r="AC318" i="17"/>
  <c r="AC326" i="17"/>
  <c r="AC334" i="17"/>
  <c r="AC342" i="17"/>
  <c r="AC350" i="17"/>
  <c r="AC360" i="17"/>
  <c r="AC370" i="17"/>
  <c r="AC382" i="17"/>
  <c r="AC392" i="17"/>
  <c r="AO8" i="16"/>
  <c r="AC144" i="17"/>
  <c r="AC152" i="17"/>
  <c r="AC251" i="17"/>
  <c r="AC259" i="17"/>
  <c r="AC267" i="17"/>
  <c r="AC275" i="17"/>
  <c r="AC283" i="17"/>
  <c r="AC291" i="17"/>
  <c r="AC299" i="17"/>
  <c r="AC307" i="17"/>
  <c r="AC315" i="17"/>
  <c r="AC323" i="17"/>
  <c r="AC331" i="17"/>
  <c r="AC339" i="17"/>
  <c r="AC347" i="17"/>
  <c r="AC355" i="17"/>
  <c r="AC377" i="17"/>
  <c r="AC387" i="17"/>
  <c r="AC401" i="17"/>
  <c r="AC149" i="17"/>
  <c r="AC248" i="17"/>
  <c r="AI8" i="17" s="1"/>
  <c r="AC256" i="17"/>
  <c r="AC264" i="17"/>
  <c r="AC272" i="17"/>
  <c r="AC280" i="17"/>
  <c r="AC288" i="17"/>
  <c r="AC296" i="17"/>
  <c r="AC304" i="17"/>
  <c r="AC312" i="17"/>
  <c r="AC320" i="17"/>
  <c r="AC328" i="17"/>
  <c r="AC336" i="17"/>
  <c r="AC344" i="17"/>
  <c r="AC352" i="17"/>
  <c r="AC362" i="17"/>
  <c r="AC374" i="17"/>
  <c r="AC384" i="17"/>
  <c r="AC396" i="17"/>
  <c r="AC309" i="17"/>
  <c r="AC317" i="17"/>
  <c r="AC325" i="17"/>
  <c r="AC333" i="17"/>
  <c r="AC341" i="17"/>
  <c r="AC349" i="17"/>
  <c r="AC364" i="17"/>
  <c r="AC369" i="17"/>
  <c r="AC379" i="17"/>
  <c r="AC398" i="17"/>
  <c r="AC403" i="17"/>
  <c r="AC143" i="17"/>
  <c r="AC151" i="17"/>
  <c r="AC250" i="17"/>
  <c r="AC258" i="17"/>
  <c r="AC266" i="17"/>
  <c r="AC274" i="17"/>
  <c r="AC282" i="17"/>
  <c r="AC290" i="17"/>
  <c r="AC298" i="17"/>
  <c r="AC306" i="17"/>
  <c r="AC314" i="17"/>
  <c r="AC322" i="17"/>
  <c r="AC330" i="17"/>
  <c r="AC338" i="17"/>
  <c r="AC346" i="17"/>
  <c r="AC354" i="17"/>
  <c r="AC366" i="17"/>
  <c r="AC376" i="17"/>
  <c r="AC386" i="17"/>
  <c r="AC393" i="17"/>
  <c r="AC148" i="17"/>
  <c r="AC247" i="17"/>
  <c r="AC255" i="17"/>
  <c r="AC263" i="17"/>
  <c r="AC271" i="17"/>
  <c r="AC279" i="17"/>
  <c r="AC287" i="17"/>
  <c r="AC295" i="17"/>
  <c r="AC303" i="17"/>
  <c r="AC311" i="17"/>
  <c r="AC319" i="17"/>
  <c r="AC327" i="17"/>
  <c r="AC335" i="17"/>
  <c r="AC343" i="17"/>
  <c r="AC351" i="17"/>
  <c r="AC356" i="17"/>
  <c r="AC361" i="17"/>
  <c r="AC371" i="17"/>
  <c r="AC388" i="17"/>
  <c r="AC400" i="17"/>
  <c r="AC252" i="17"/>
  <c r="AC260" i="17"/>
  <c r="AC268" i="17"/>
  <c r="AC276" i="17"/>
  <c r="AC284" i="17"/>
  <c r="AC292" i="17"/>
  <c r="AC300" i="17"/>
  <c r="AC308" i="17"/>
  <c r="AC316" i="17"/>
  <c r="AC324" i="17"/>
  <c r="AC332" i="17"/>
  <c r="AC340" i="17"/>
  <c r="AC348" i="17"/>
  <c r="AC358" i="17"/>
  <c r="AC368" i="17"/>
  <c r="AC378" i="17"/>
  <c r="AC390" i="17"/>
  <c r="AC395" i="17"/>
  <c r="AC357" i="17"/>
  <c r="AC365" i="17"/>
  <c r="AC373" i="17"/>
  <c r="AC381" i="17"/>
  <c r="AC389" i="17"/>
  <c r="AC397" i="17"/>
  <c r="AC394" i="17"/>
  <c r="AC402" i="17"/>
  <c r="AC359" i="17"/>
  <c r="AC367" i="17"/>
  <c r="AC375" i="17"/>
  <c r="AC383" i="17"/>
  <c r="AC391" i="17"/>
  <c r="AC399" i="17"/>
  <c r="AI67" i="6"/>
  <c r="AI72" i="6" s="1"/>
  <c r="M36" i="6"/>
  <c r="M26" i="6"/>
  <c r="W49" i="13"/>
  <c r="W49" i="12"/>
  <c r="W49" i="10"/>
  <c r="W49" i="11"/>
  <c r="AD66" i="8"/>
  <c r="AD66" i="9"/>
  <c r="AD66" i="7"/>
  <c r="W47" i="12"/>
  <c r="W47" i="13"/>
  <c r="W47" i="10"/>
  <c r="W47" i="11"/>
  <c r="R47" i="13"/>
  <c r="R47" i="12"/>
  <c r="R47" i="11"/>
  <c r="R47" i="10"/>
  <c r="AH66" i="8"/>
  <c r="AH66" i="9"/>
  <c r="AH66" i="7"/>
  <c r="AJ68" i="9"/>
  <c r="AJ68" i="8"/>
  <c r="AJ70" i="6"/>
  <c r="AJ68" i="7"/>
  <c r="AD67" i="9"/>
  <c r="AD67" i="8"/>
  <c r="AD69" i="6"/>
  <c r="AD67" i="7"/>
  <c r="W48" i="13"/>
  <c r="W48" i="12"/>
  <c r="W48" i="10"/>
  <c r="W48" i="11"/>
  <c r="AH67" i="9"/>
  <c r="AH67" i="8"/>
  <c r="AH67" i="7"/>
  <c r="AH69" i="6"/>
  <c r="Z47" i="13"/>
  <c r="Z47" i="12"/>
  <c r="Z47" i="11"/>
  <c r="Z47" i="10"/>
  <c r="AD68" i="9"/>
  <c r="AD68" i="8"/>
  <c r="AD68" i="7"/>
  <c r="AD70" i="6"/>
  <c r="U68" i="9"/>
  <c r="U68" i="8"/>
  <c r="U70" i="6"/>
  <c r="U68" i="7"/>
  <c r="AH68" i="9"/>
  <c r="AH68" i="8"/>
  <c r="AH70" i="6"/>
  <c r="AH68" i="7"/>
  <c r="Z48" i="13"/>
  <c r="Z48" i="12"/>
  <c r="Z48" i="11"/>
  <c r="Z48" i="10"/>
  <c r="AG66" i="8"/>
  <c r="AG66" i="9"/>
  <c r="AG66" i="7"/>
  <c r="Y47" i="13"/>
  <c r="Y47" i="12"/>
  <c r="Y47" i="11"/>
  <c r="Y47" i="10"/>
  <c r="V68" i="9"/>
  <c r="V68" i="8"/>
  <c r="V70" i="6"/>
  <c r="V68" i="7"/>
  <c r="AI66" i="9"/>
  <c r="AI66" i="8"/>
  <c r="AI66" i="7"/>
  <c r="Z49" i="13"/>
  <c r="Z49" i="12"/>
  <c r="Z49" i="11"/>
  <c r="Z49" i="10"/>
  <c r="AG68" i="9"/>
  <c r="AG68" i="8"/>
  <c r="AG68" i="7"/>
  <c r="AG70" i="6"/>
  <c r="Y49" i="13"/>
  <c r="Y49" i="12"/>
  <c r="Y49" i="11"/>
  <c r="Y49" i="10"/>
  <c r="Z68" i="9"/>
  <c r="Z68" i="8"/>
  <c r="Z68" i="7"/>
  <c r="Z70" i="6"/>
  <c r="AI67" i="9"/>
  <c r="AI67" i="8"/>
  <c r="AI69" i="6"/>
  <c r="AI67" i="7"/>
  <c r="AB66" i="8"/>
  <c r="AB66" i="9"/>
  <c r="AB66" i="7"/>
  <c r="AL66" i="8"/>
  <c r="AL66" i="9"/>
  <c r="AL66" i="7"/>
  <c r="AI68" i="9"/>
  <c r="AI68" i="8"/>
  <c r="AI68" i="7"/>
  <c r="AI70" i="6"/>
  <c r="AB67" i="9"/>
  <c r="AB67" i="8"/>
  <c r="AB67" i="7"/>
  <c r="AB69" i="6"/>
  <c r="E28" i="5"/>
  <c r="AL67" i="23" s="1"/>
  <c r="AA48" i="13"/>
  <c r="AA48" i="12"/>
  <c r="AA48" i="10"/>
  <c r="AA48" i="11"/>
  <c r="U49" i="12"/>
  <c r="U51" i="12" s="1"/>
  <c r="U49" i="13"/>
  <c r="U49" i="11"/>
  <c r="U49" i="10"/>
  <c r="AJ66" i="8"/>
  <c r="AJ70" i="8" s="1"/>
  <c r="AJ66" i="9"/>
  <c r="AJ66" i="7"/>
  <c r="AA47" i="13"/>
  <c r="AA47" i="12"/>
  <c r="AA47" i="11"/>
  <c r="AA47" i="10"/>
  <c r="F18" i="5"/>
  <c r="AB68" i="23" s="1"/>
  <c r="W66" i="9"/>
  <c r="W66" i="8"/>
  <c r="W70" i="8" s="1"/>
  <c r="W66" i="7"/>
  <c r="AA68" i="9"/>
  <c r="AA68" i="8"/>
  <c r="AA70" i="6"/>
  <c r="AA68" i="7"/>
  <c r="F28" i="5"/>
  <c r="AL68" i="23" s="1"/>
  <c r="F45" i="5"/>
  <c r="AA49" i="24" s="1"/>
  <c r="AJ67" i="9"/>
  <c r="AJ67" i="8"/>
  <c r="AJ67" i="7"/>
  <c r="AJ69" i="6"/>
  <c r="M66" i="8"/>
  <c r="M70" i="8" s="1"/>
  <c r="M66" i="9"/>
  <c r="M66" i="7"/>
  <c r="Q66" i="8"/>
  <c r="Q70" i="8" s="1"/>
  <c r="Q66" i="9"/>
  <c r="Q66" i="7"/>
  <c r="U66" i="8"/>
  <c r="U66" i="9"/>
  <c r="U66" i="7"/>
  <c r="X66" i="8"/>
  <c r="X70" i="8" s="1"/>
  <c r="X66" i="9"/>
  <c r="X66" i="7"/>
  <c r="Z66" i="8"/>
  <c r="Z70" i="8" s="1"/>
  <c r="Z56" i="9" s="1"/>
  <c r="Z66" i="9"/>
  <c r="Z66" i="7"/>
  <c r="O66" i="9"/>
  <c r="O66" i="8"/>
  <c r="O70" i="8" s="1"/>
  <c r="O66" i="7"/>
  <c r="AA66" i="9"/>
  <c r="AA66" i="8"/>
  <c r="AA70" i="8" s="1"/>
  <c r="AA6" i="9" s="1"/>
  <c r="AA66" i="7"/>
  <c r="R66" i="8"/>
  <c r="R70" i="8" s="1"/>
  <c r="R66" i="9"/>
  <c r="R66" i="7"/>
  <c r="AE66" i="9"/>
  <c r="AE66" i="8"/>
  <c r="AE66" i="7"/>
  <c r="AK66" i="8"/>
  <c r="AK70" i="8" s="1"/>
  <c r="AK66" i="9"/>
  <c r="AK66" i="7"/>
  <c r="L66" i="8"/>
  <c r="L70" i="8" s="1"/>
  <c r="L66" i="9"/>
  <c r="L66" i="7"/>
  <c r="P66" i="8"/>
  <c r="P70" i="8" s="1"/>
  <c r="P66" i="9"/>
  <c r="P66" i="7"/>
  <c r="AC66" i="8"/>
  <c r="AC70" i="8" s="1"/>
  <c r="AC66" i="9"/>
  <c r="AC66" i="7"/>
  <c r="AF66" i="8"/>
  <c r="AF66" i="9"/>
  <c r="AF66" i="7"/>
  <c r="S66" i="9"/>
  <c r="S66" i="8"/>
  <c r="S66" i="7"/>
  <c r="T51" i="11"/>
  <c r="M51" i="11"/>
  <c r="U51" i="11"/>
  <c r="P51" i="11"/>
  <c r="X46" i="11"/>
  <c r="Y46" i="11"/>
  <c r="L46" i="10"/>
  <c r="S46" i="10"/>
  <c r="P50" i="10"/>
  <c r="V50" i="10"/>
  <c r="O46" i="10"/>
  <c r="R46" i="10"/>
  <c r="X46" i="10"/>
  <c r="X51" i="10" s="1"/>
  <c r="U50" i="10"/>
  <c r="X50" i="10"/>
  <c r="N46" i="10"/>
  <c r="T46" i="10"/>
  <c r="N50" i="10"/>
  <c r="M46" i="10"/>
  <c r="Q46" i="10"/>
  <c r="W46" i="10"/>
  <c r="Z63" i="9"/>
  <c r="Z51" i="9"/>
  <c r="Z26" i="9"/>
  <c r="Z21" i="9"/>
  <c r="P76" i="6"/>
  <c r="Z65" i="7"/>
  <c r="Z70" i="7" s="1"/>
  <c r="AE65" i="7"/>
  <c r="M79" i="6"/>
  <c r="P75" i="6"/>
  <c r="M81" i="6"/>
  <c r="M14" i="6"/>
  <c r="Y67" i="6"/>
  <c r="Y72" i="6" s="1"/>
  <c r="M35" i="6"/>
  <c r="M31" i="6"/>
  <c r="M16" i="6"/>
  <c r="M43" i="6"/>
  <c r="M55" i="6"/>
  <c r="M59" i="6"/>
  <c r="M63" i="6"/>
  <c r="O67" i="6"/>
  <c r="O72" i="6" s="1"/>
  <c r="V67" i="6"/>
  <c r="M7" i="6"/>
  <c r="M20" i="6"/>
  <c r="M30" i="6"/>
  <c r="M40" i="6"/>
  <c r="M48" i="6"/>
  <c r="M60" i="6"/>
  <c r="Q67" i="6"/>
  <c r="Q72" i="6" s="1"/>
  <c r="X67" i="6"/>
  <c r="X72" i="6" s="1"/>
  <c r="M29" i="6"/>
  <c r="M24" i="6"/>
  <c r="M45" i="6"/>
  <c r="M49" i="6"/>
  <c r="M53" i="6"/>
  <c r="M57" i="6"/>
  <c r="S67" i="6"/>
  <c r="S72" i="6" s="1"/>
  <c r="AC67" i="6"/>
  <c r="AC72" i="6" s="1"/>
  <c r="AE67" i="6"/>
  <c r="AE72" i="6" s="1"/>
  <c r="M8" i="6"/>
  <c r="Z67" i="6"/>
  <c r="M12" i="6"/>
  <c r="M33" i="6"/>
  <c r="P67" i="6"/>
  <c r="P72" i="6" s="1"/>
  <c r="W67" i="6"/>
  <c r="W72" i="6" s="1"/>
  <c r="M19" i="6"/>
  <c r="M13" i="6"/>
  <c r="M38" i="6"/>
  <c r="M46" i="6"/>
  <c r="M54" i="6"/>
  <c r="M58" i="6"/>
  <c r="AA67" i="6"/>
  <c r="D37" i="5"/>
  <c r="S47" i="24" s="1"/>
  <c r="AI11" i="17" l="1"/>
  <c r="M42" i="6"/>
  <c r="M25" i="6"/>
  <c r="M61" i="6"/>
  <c r="M11" i="6"/>
  <c r="M44" i="6"/>
  <c r="L67" i="6"/>
  <c r="L72" i="6" s="1"/>
  <c r="M39" i="6"/>
  <c r="M23" i="6"/>
  <c r="AA65" i="7"/>
  <c r="AA70" i="7" s="1"/>
  <c r="Z35" i="9"/>
  <c r="Z55" i="9"/>
  <c r="Z46" i="10"/>
  <c r="U46" i="10"/>
  <c r="P46" i="10"/>
  <c r="E8" i="31"/>
  <c r="X83" i="29"/>
  <c r="AF64" i="29"/>
  <c r="AB58" i="29"/>
  <c r="AB51" i="29"/>
  <c r="F8" i="31" s="1"/>
  <c r="AE79" i="29"/>
  <c r="AB79" i="29"/>
  <c r="R102" i="28"/>
  <c r="AY102" i="28"/>
  <c r="AV102" i="28"/>
  <c r="AJ125" i="28"/>
  <c r="BB125" i="28"/>
  <c r="BC91" i="28"/>
  <c r="AM91" i="28"/>
  <c r="AI91" i="28"/>
  <c r="AR74" i="28"/>
  <c r="K8" i="30" s="1"/>
  <c r="AM74" i="28"/>
  <c r="F8" i="30" s="1"/>
  <c r="AX121" i="28"/>
  <c r="AT121" i="28"/>
  <c r="AT88" i="28"/>
  <c r="BA88" i="28"/>
  <c r="AR88" i="28"/>
  <c r="E34" i="22"/>
  <c r="AB46" i="10"/>
  <c r="Z8" i="9"/>
  <c r="Z30" i="9"/>
  <c r="Y51" i="29"/>
  <c r="C8" i="31" s="1"/>
  <c r="AB65" i="29"/>
  <c r="Y83" i="29"/>
  <c r="AD51" i="29"/>
  <c r="AF79" i="29"/>
  <c r="AO102" i="28"/>
  <c r="AU102" i="28"/>
  <c r="AR102" i="28"/>
  <c r="AQ125" i="28"/>
  <c r="AZ125" i="28"/>
  <c r="AU125" i="28"/>
  <c r="AT91" i="28"/>
  <c r="AK91" i="28"/>
  <c r="AY91" i="28"/>
  <c r="AK74" i="28"/>
  <c r="D8" i="30" s="1"/>
  <c r="BC74" i="28"/>
  <c r="V8" i="30" s="1"/>
  <c r="AQ121" i="28"/>
  <c r="AR121" i="28"/>
  <c r="AM121" i="28"/>
  <c r="AV88" i="28"/>
  <c r="BB88" i="28"/>
  <c r="AU88" i="28"/>
  <c r="M50" i="10"/>
  <c r="M82" i="6"/>
  <c r="Z15" i="9"/>
  <c r="Z34" i="9"/>
  <c r="X10" i="21"/>
  <c r="AF10" i="21" s="1"/>
  <c r="AE58" i="29"/>
  <c r="AD70" i="29"/>
  <c r="AH64" i="29"/>
  <c r="AD58" i="29"/>
  <c r="AF51" i="29"/>
  <c r="J8" i="31" s="1"/>
  <c r="AG83" i="29"/>
  <c r="AG65" i="29"/>
  <c r="AA58" i="29"/>
  <c r="AC51" i="29"/>
  <c r="G8" i="31" s="1"/>
  <c r="Y79" i="29"/>
  <c r="BB102" i="28"/>
  <c r="AI102" i="28"/>
  <c r="AZ102" i="28"/>
  <c r="J8" i="30"/>
  <c r="E8" i="30"/>
  <c r="AY125" i="28"/>
  <c r="AK125" i="28"/>
  <c r="BC125" i="28"/>
  <c r="AU91" i="28"/>
  <c r="AS91" i="28"/>
  <c r="AS74" i="28"/>
  <c r="AN74" i="28"/>
  <c r="AY121" i="28"/>
  <c r="AZ121" i="28"/>
  <c r="AU121" i="28"/>
  <c r="AL88" i="28"/>
  <c r="AQ88" i="28"/>
  <c r="BC88" i="28"/>
  <c r="BB75" i="28"/>
  <c r="U8" i="30" s="1"/>
  <c r="AT75" i="28"/>
  <c r="Z58" i="9"/>
  <c r="M51" i="10"/>
  <c r="Y70" i="29"/>
  <c r="AC65" i="29"/>
  <c r="AD83" i="29"/>
  <c r="Z64" i="29"/>
  <c r="X51" i="29"/>
  <c r="B8" i="31" s="1"/>
  <c r="Z83" i="29"/>
  <c r="AA65" i="29"/>
  <c r="AC58" i="29"/>
  <c r="AE51" i="29"/>
  <c r="I8" i="31" s="1"/>
  <c r="Y65" i="29"/>
  <c r="AG79" i="29"/>
  <c r="P102" i="28"/>
  <c r="AW102" i="28"/>
  <c r="AK102" i="28"/>
  <c r="AO125" i="28"/>
  <c r="AS125" i="28"/>
  <c r="AN125" i="28"/>
  <c r="AJ91" i="28"/>
  <c r="BA91" i="28"/>
  <c r="AI74" i="28"/>
  <c r="B8" i="30" s="1"/>
  <c r="BA74" i="28"/>
  <c r="AV74" i="28"/>
  <c r="O8" i="30" s="1"/>
  <c r="AI121" i="28"/>
  <c r="AK121" i="28"/>
  <c r="BC121" i="28"/>
  <c r="AX88" i="28"/>
  <c r="BD88" i="28"/>
  <c r="M41" i="6"/>
  <c r="M56" i="6"/>
  <c r="R67" i="6"/>
  <c r="R72" i="6" s="1"/>
  <c r="AF65" i="7"/>
  <c r="Z25" i="9"/>
  <c r="Z49" i="9"/>
  <c r="Z50" i="10"/>
  <c r="Z50" i="24" s="1"/>
  <c r="O50" i="10"/>
  <c r="O50" i="11" s="1"/>
  <c r="Y46" i="10"/>
  <c r="M62" i="6"/>
  <c r="AF70" i="29"/>
  <c r="AD65" i="29"/>
  <c r="AF58" i="29"/>
  <c r="AH51" i="29"/>
  <c r="L8" i="31" s="1"/>
  <c r="AA64" i="29"/>
  <c r="AH83" i="29"/>
  <c r="AG64" i="29"/>
  <c r="K6" i="31" s="1"/>
  <c r="AA70" i="29"/>
  <c r="E6" i="31" s="1"/>
  <c r="AE64" i="29"/>
  <c r="AH70" i="29"/>
  <c r="AF65" i="29"/>
  <c r="Z79" i="29"/>
  <c r="L8" i="30"/>
  <c r="G8" i="30"/>
  <c r="AP102" i="28"/>
  <c r="AL102" i="28"/>
  <c r="AS102" i="28"/>
  <c r="AW125" i="28"/>
  <c r="BA125" i="28"/>
  <c r="AV125" i="28"/>
  <c r="AO91" i="28"/>
  <c r="AW91" i="28"/>
  <c r="AN91" i="28"/>
  <c r="AP74" i="28"/>
  <c r="I8" i="30" s="1"/>
  <c r="AQ74" i="28"/>
  <c r="AL74" i="28"/>
  <c r="BD74" i="28"/>
  <c r="W8" i="30" s="1"/>
  <c r="AO121" i="28"/>
  <c r="AS121" i="28"/>
  <c r="AN121" i="28"/>
  <c r="AM88" i="28"/>
  <c r="AO88" i="28"/>
  <c r="M80" i="6"/>
  <c r="M50" i="11"/>
  <c r="Z19" i="9"/>
  <c r="AH67" i="6"/>
  <c r="AH72" i="6" s="1"/>
  <c r="M51" i="6"/>
  <c r="M50" i="6"/>
  <c r="M37" i="6"/>
  <c r="U67" i="6"/>
  <c r="U72" i="6" s="1"/>
  <c r="M32" i="6"/>
  <c r="M52" i="6"/>
  <c r="M47" i="6"/>
  <c r="Z13" i="9"/>
  <c r="Z53" i="9"/>
  <c r="T50" i="10"/>
  <c r="AA46" i="10"/>
  <c r="X70" i="29"/>
  <c r="AB64" i="29"/>
  <c r="X58" i="29"/>
  <c r="Z51" i="29"/>
  <c r="D8" i="31" s="1"/>
  <c r="AE70" i="29"/>
  <c r="AC83" i="29"/>
  <c r="AC70" i="29"/>
  <c r="Y64" i="29"/>
  <c r="C6" i="31" s="1"/>
  <c r="AH65" i="29"/>
  <c r="Z70" i="29"/>
  <c r="X65" i="29"/>
  <c r="AH58" i="29"/>
  <c r="AD79" i="29"/>
  <c r="T8" i="30"/>
  <c r="BC102" i="28"/>
  <c r="AX102" i="28"/>
  <c r="AP125" i="28"/>
  <c r="AL125" i="28"/>
  <c r="BB91" i="28"/>
  <c r="U6" i="30" s="1"/>
  <c r="AL91" i="28"/>
  <c r="AY74" i="28"/>
  <c r="R8" i="30" s="1"/>
  <c r="AT74" i="28"/>
  <c r="M8" i="30" s="1"/>
  <c r="AW121" i="28"/>
  <c r="BA121" i="28"/>
  <c r="AS88" i="28"/>
  <c r="AY88" i="28"/>
  <c r="N8" i="30"/>
  <c r="AO9" i="25"/>
  <c r="Z12" i="9"/>
  <c r="Z10" i="9"/>
  <c r="Z31" i="9"/>
  <c r="Z33" i="9"/>
  <c r="Z61" i="9"/>
  <c r="Z16" i="9"/>
  <c r="Z14" i="9"/>
  <c r="Z24" i="9"/>
  <c r="Z42" i="9"/>
  <c r="Z44" i="9"/>
  <c r="Z27" i="9"/>
  <c r="Z18" i="9"/>
  <c r="Z36" i="9"/>
  <c r="Z46" i="9"/>
  <c r="Z48" i="9"/>
  <c r="F4" i="5"/>
  <c r="E4" i="5"/>
  <c r="Z29" i="9"/>
  <c r="Z5" i="9"/>
  <c r="Z39" i="9"/>
  <c r="Z50" i="9"/>
  <c r="Z60" i="9"/>
  <c r="E30" i="5"/>
  <c r="Z11" i="9"/>
  <c r="Z9" i="9"/>
  <c r="Z22" i="9"/>
  <c r="Z54" i="9"/>
  <c r="Z47" i="9"/>
  <c r="F30" i="5"/>
  <c r="L49" i="24" s="1"/>
  <c r="L51" i="24" s="1"/>
  <c r="Z32" i="9"/>
  <c r="Z41" i="9"/>
  <c r="Z57" i="9"/>
  <c r="Z59" i="9"/>
  <c r="AJ8" i="25"/>
  <c r="Z7" i="9"/>
  <c r="Z23" i="9"/>
  <c r="Z28" i="9"/>
  <c r="Z38" i="9"/>
  <c r="Z62" i="9"/>
  <c r="Z43" i="9"/>
  <c r="AA9" i="9"/>
  <c r="AA37" i="9"/>
  <c r="N67" i="23"/>
  <c r="AA11" i="9"/>
  <c r="AA14" i="9"/>
  <c r="AA50" i="9"/>
  <c r="AA18" i="9"/>
  <c r="AA43" i="9"/>
  <c r="AA34" i="9"/>
  <c r="AA29" i="9"/>
  <c r="AA42" i="9"/>
  <c r="AA56" i="9"/>
  <c r="AA32" i="9"/>
  <c r="AA58" i="9"/>
  <c r="AA36" i="9"/>
  <c r="AA61" i="9"/>
  <c r="Z52" i="9"/>
  <c r="AA20" i="9"/>
  <c r="AA27" i="9"/>
  <c r="AA48" i="9"/>
  <c r="AA8" i="9"/>
  <c r="AA7" i="9"/>
  <c r="AA5" i="9"/>
  <c r="AA40" i="9"/>
  <c r="AA30" i="9"/>
  <c r="AA54" i="9"/>
  <c r="AA52" i="9"/>
  <c r="AA15" i="9"/>
  <c r="AA17" i="9"/>
  <c r="AA31" i="9"/>
  <c r="AA38" i="9"/>
  <c r="AA62" i="9"/>
  <c r="AA60" i="9"/>
  <c r="AA25" i="9"/>
  <c r="AA21" i="9"/>
  <c r="AA35" i="9"/>
  <c r="AA46" i="9"/>
  <c r="AA45" i="9"/>
  <c r="AA51" i="9"/>
  <c r="Z20" i="9"/>
  <c r="Z6" i="9"/>
  <c r="Z17" i="9"/>
  <c r="Z40" i="9"/>
  <c r="Z37" i="9"/>
  <c r="Z45" i="9"/>
  <c r="AA12" i="9"/>
  <c r="AA24" i="9"/>
  <c r="AA22" i="9"/>
  <c r="AA39" i="9"/>
  <c r="AA47" i="9"/>
  <c r="AA49" i="9"/>
  <c r="AA55" i="9"/>
  <c r="AA16" i="9"/>
  <c r="AA10" i="9"/>
  <c r="AA28" i="9"/>
  <c r="AA44" i="9"/>
  <c r="AA33" i="9"/>
  <c r="AA53" i="9"/>
  <c r="AA63" i="9"/>
  <c r="R51" i="10"/>
  <c r="R40" i="11" s="1"/>
  <c r="L48" i="24"/>
  <c r="U50" i="12"/>
  <c r="U50" i="24"/>
  <c r="P50" i="12"/>
  <c r="P50" i="24"/>
  <c r="T50" i="12"/>
  <c r="T50" i="24"/>
  <c r="N50" i="11"/>
  <c r="N50" i="24"/>
  <c r="AA19" i="9"/>
  <c r="AA13" i="9"/>
  <c r="AA23" i="9"/>
  <c r="AA26" i="9"/>
  <c r="AA41" i="9"/>
  <c r="AA57" i="9"/>
  <c r="AA59" i="9"/>
  <c r="U70" i="8"/>
  <c r="Z57" i="23"/>
  <c r="Z41" i="23"/>
  <c r="Z37" i="23"/>
  <c r="Z33" i="23"/>
  <c r="Z60" i="23"/>
  <c r="Z53" i="23"/>
  <c r="Z49" i="23"/>
  <c r="Z46" i="23"/>
  <c r="Z43" i="23"/>
  <c r="Z59" i="23"/>
  <c r="Z52" i="23"/>
  <c r="Z32" i="23"/>
  <c r="Z58" i="23"/>
  <c r="Z47" i="23"/>
  <c r="Z38" i="23"/>
  <c r="Z34" i="23"/>
  <c r="Z61" i="23"/>
  <c r="Z54" i="23"/>
  <c r="Z50" i="23"/>
  <c r="Z44" i="23"/>
  <c r="Z63" i="23"/>
  <c r="Z48" i="23"/>
  <c r="Z45" i="23"/>
  <c r="Z21" i="23"/>
  <c r="Z18" i="23"/>
  <c r="Z15" i="23"/>
  <c r="Z62" i="23"/>
  <c r="Z24" i="23"/>
  <c r="Z8" i="23"/>
  <c r="Z31" i="23"/>
  <c r="Z30" i="23"/>
  <c r="Z27" i="23"/>
  <c r="Z17" i="23"/>
  <c r="Z14" i="23"/>
  <c r="Z11" i="23"/>
  <c r="Z51" i="23"/>
  <c r="Z20" i="23"/>
  <c r="Z56" i="23"/>
  <c r="Z55" i="23"/>
  <c r="Z36" i="23"/>
  <c r="Z35" i="23"/>
  <c r="Z29" i="23"/>
  <c r="Z26" i="23"/>
  <c r="Z23" i="23"/>
  <c r="Z13" i="23"/>
  <c r="Z16" i="23"/>
  <c r="Z40" i="23"/>
  <c r="Z39" i="23"/>
  <c r="Z25" i="23"/>
  <c r="Z22" i="23"/>
  <c r="Z19" i="23"/>
  <c r="Z42" i="23"/>
  <c r="Z28" i="23"/>
  <c r="Z12" i="23"/>
  <c r="Z10" i="23"/>
  <c r="Z7" i="23"/>
  <c r="Z9" i="23"/>
  <c r="Z5" i="23"/>
  <c r="Z6" i="23"/>
  <c r="AI70" i="8"/>
  <c r="AA60" i="23"/>
  <c r="AA53" i="23"/>
  <c r="AA49" i="23"/>
  <c r="AA46" i="23"/>
  <c r="AA43" i="23"/>
  <c r="AA63" i="23"/>
  <c r="AA56" i="23"/>
  <c r="AA40" i="23"/>
  <c r="AA36" i="23"/>
  <c r="AA55" i="23"/>
  <c r="AA48" i="23"/>
  <c r="AA45" i="23"/>
  <c r="AA42" i="23"/>
  <c r="AA39" i="23"/>
  <c r="AA35" i="23"/>
  <c r="AA61" i="23"/>
  <c r="AA54" i="23"/>
  <c r="AA50" i="23"/>
  <c r="AA44" i="23"/>
  <c r="AA57" i="23"/>
  <c r="AA41" i="23"/>
  <c r="AA37" i="23"/>
  <c r="AA33" i="23"/>
  <c r="AA62" i="23"/>
  <c r="AA47" i="23"/>
  <c r="AA24" i="23"/>
  <c r="AA8" i="23"/>
  <c r="AA31" i="23"/>
  <c r="AA30" i="23"/>
  <c r="AA27" i="23"/>
  <c r="AA17" i="23"/>
  <c r="AA14" i="23"/>
  <c r="AA11" i="23"/>
  <c r="AA52" i="23"/>
  <c r="AA51" i="23"/>
  <c r="AA20" i="23"/>
  <c r="AA29" i="23"/>
  <c r="AA26" i="23"/>
  <c r="AA23" i="23"/>
  <c r="AA13" i="23"/>
  <c r="AA10" i="23"/>
  <c r="AA7" i="23"/>
  <c r="AA34" i="23"/>
  <c r="AA16" i="23"/>
  <c r="AA59" i="23"/>
  <c r="AA32" i="23"/>
  <c r="AA25" i="23"/>
  <c r="AA22" i="23"/>
  <c r="AA19" i="23"/>
  <c r="AA58" i="23"/>
  <c r="AA38" i="23"/>
  <c r="AA28" i="23"/>
  <c r="AA12" i="23"/>
  <c r="AA21" i="23"/>
  <c r="AA18" i="23"/>
  <c r="AA15" i="23"/>
  <c r="AA5" i="23"/>
  <c r="AA9" i="23"/>
  <c r="AA6" i="23"/>
  <c r="V50" i="11"/>
  <c r="V50" i="24"/>
  <c r="N68" i="23"/>
  <c r="O50" i="24"/>
  <c r="G6" i="31"/>
  <c r="G10" i="31"/>
  <c r="F10" i="31"/>
  <c r="F6" i="31"/>
  <c r="E10" i="31"/>
  <c r="G6" i="30"/>
  <c r="G10" i="30"/>
  <c r="J6" i="30"/>
  <c r="J10" i="30"/>
  <c r="H6" i="31"/>
  <c r="H10" i="31"/>
  <c r="S6" i="30"/>
  <c r="S10" i="30"/>
  <c r="P10" i="30"/>
  <c r="P6" i="30"/>
  <c r="J10" i="31"/>
  <c r="J6" i="31"/>
  <c r="L6" i="31"/>
  <c r="L10" i="31"/>
  <c r="E10" i="30"/>
  <c r="E6" i="30"/>
  <c r="O6" i="30"/>
  <c r="O10" i="30"/>
  <c r="R6" i="30"/>
  <c r="R10" i="30"/>
  <c r="P8" i="30"/>
  <c r="S8" i="30"/>
  <c r="B10" i="31"/>
  <c r="B6" i="31"/>
  <c r="D6" i="31"/>
  <c r="D10" i="31"/>
  <c r="F6" i="30"/>
  <c r="F10" i="30"/>
  <c r="W6" i="30"/>
  <c r="W10" i="30"/>
  <c r="D10" i="30"/>
  <c r="D6" i="30"/>
  <c r="I10" i="31"/>
  <c r="I6" i="31"/>
  <c r="M10" i="30"/>
  <c r="M6" i="30"/>
  <c r="N6" i="30"/>
  <c r="N10" i="30"/>
  <c r="I10" i="30"/>
  <c r="I6" i="30"/>
  <c r="L10" i="30"/>
  <c r="L6" i="30"/>
  <c r="H10" i="30"/>
  <c r="H6" i="30"/>
  <c r="U10" i="30"/>
  <c r="H8" i="31"/>
  <c r="H8" i="30"/>
  <c r="C10" i="31"/>
  <c r="K10" i="31"/>
  <c r="V6" i="30"/>
  <c r="V10" i="30"/>
  <c r="Q10" i="30"/>
  <c r="Q6" i="30"/>
  <c r="C6" i="30"/>
  <c r="C10" i="30"/>
  <c r="T10" i="30"/>
  <c r="T6" i="30"/>
  <c r="B6" i="30"/>
  <c r="B10" i="30"/>
  <c r="K6" i="30"/>
  <c r="K10" i="30"/>
  <c r="AV24" i="23"/>
  <c r="AR25" i="23"/>
  <c r="X12" i="21"/>
  <c r="AF12" i="21" s="1"/>
  <c r="AJ9" i="25"/>
  <c r="X11" i="21"/>
  <c r="AF11" i="21" s="1"/>
  <c r="AT9" i="25"/>
  <c r="AO8" i="25"/>
  <c r="AQ20" i="23"/>
  <c r="AQ8" i="23"/>
  <c r="AV12" i="23"/>
  <c r="AR13" i="23"/>
  <c r="AT8" i="25"/>
  <c r="AV47" i="23"/>
  <c r="AR48" i="23"/>
  <c r="AV48" i="23" s="1"/>
  <c r="AV33" i="23"/>
  <c r="AR34" i="23"/>
  <c r="AO10" i="16"/>
  <c r="AJ10" i="16"/>
  <c r="AI57" i="7"/>
  <c r="AI42" i="7"/>
  <c r="AI36" i="7"/>
  <c r="AI50" i="7"/>
  <c r="AI45" i="7"/>
  <c r="AI40" i="7"/>
  <c r="AI58" i="7"/>
  <c r="AI53" i="7"/>
  <c r="AI39" i="7"/>
  <c r="AI48" i="7"/>
  <c r="AI35" i="7"/>
  <c r="AI61" i="7"/>
  <c r="AI38" i="7"/>
  <c r="AI47" i="7"/>
  <c r="AI56" i="7"/>
  <c r="AI34" i="7"/>
  <c r="AI44" i="7"/>
  <c r="AI46" i="7"/>
  <c r="AI55" i="7"/>
  <c r="AI43" i="7"/>
  <c r="AI52" i="7"/>
  <c r="AI54" i="7"/>
  <c r="AI63" i="7"/>
  <c r="AI41" i="7"/>
  <c r="AI51" i="7"/>
  <c r="AI60" i="7"/>
  <c r="AI62" i="7"/>
  <c r="AI49" i="7"/>
  <c r="AI33" i="7"/>
  <c r="AI59" i="7"/>
  <c r="T51" i="10"/>
  <c r="T44" i="11" s="1"/>
  <c r="T44" i="13" s="1"/>
  <c r="N51" i="10"/>
  <c r="N39" i="11" s="1"/>
  <c r="Q40" i="7"/>
  <c r="Q36" i="7"/>
  <c r="Q39" i="7"/>
  <c r="Q35" i="7"/>
  <c r="Q27" i="7"/>
  <c r="Q38" i="7"/>
  <c r="Q41" i="7"/>
  <c r="Q33" i="7"/>
  <c r="Q25" i="7"/>
  <c r="Q15" i="7"/>
  <c r="Q26" i="7"/>
  <c r="Q22" i="7"/>
  <c r="Q18" i="7"/>
  <c r="Q14" i="7"/>
  <c r="Q10" i="7"/>
  <c r="Q6" i="7"/>
  <c r="Q34" i="7"/>
  <c r="Q21" i="7"/>
  <c r="Q17" i="7"/>
  <c r="Q13" i="7"/>
  <c r="Q9" i="7"/>
  <c r="Q5" i="7"/>
  <c r="Q28" i="7"/>
  <c r="Q20" i="7"/>
  <c r="Q8" i="7"/>
  <c r="Q30" i="7"/>
  <c r="Q11" i="7"/>
  <c r="Q51" i="7"/>
  <c r="Q60" i="7"/>
  <c r="Q48" i="7"/>
  <c r="Q59" i="7"/>
  <c r="Q29" i="7"/>
  <c r="Q46" i="7"/>
  <c r="Q12" i="7"/>
  <c r="Q56" i="7"/>
  <c r="Q45" i="7"/>
  <c r="Q54" i="7"/>
  <c r="Q32" i="7"/>
  <c r="Q19" i="7"/>
  <c r="Q53" i="7"/>
  <c r="Q62" i="7"/>
  <c r="Q31" i="7"/>
  <c r="Q24" i="7"/>
  <c r="Q37" i="7"/>
  <c r="Q42" i="7"/>
  <c r="Q61" i="7"/>
  <c r="Q47" i="7"/>
  <c r="Q49" i="7"/>
  <c r="Q50" i="7"/>
  <c r="Q55" i="7"/>
  <c r="Q16" i="7"/>
  <c r="Q57" i="7"/>
  <c r="Q58" i="7"/>
  <c r="Q23" i="7"/>
  <c r="Q44" i="7"/>
  <c r="Q63" i="7"/>
  <c r="Q7" i="7"/>
  <c r="Q43" i="7"/>
  <c r="Q52" i="7"/>
  <c r="Z55" i="8"/>
  <c r="Y55" i="28" s="1"/>
  <c r="Y119" i="28" s="1"/>
  <c r="Z47" i="8"/>
  <c r="Y47" i="28" s="1"/>
  <c r="Y111" i="28" s="1"/>
  <c r="Z61" i="8"/>
  <c r="Y61" i="28" s="1"/>
  <c r="Y125" i="28" s="1"/>
  <c r="Z53" i="8"/>
  <c r="Y53" i="28" s="1"/>
  <c r="Y117" i="28" s="1"/>
  <c r="Z45" i="8"/>
  <c r="Z60" i="8"/>
  <c r="Y60" i="28" s="1"/>
  <c r="Y124" i="28" s="1"/>
  <c r="Z52" i="8"/>
  <c r="Z44" i="8"/>
  <c r="Y44" i="28" s="1"/>
  <c r="Y108" i="28" s="1"/>
  <c r="Z58" i="8"/>
  <c r="Y58" i="28" s="1"/>
  <c r="Y122" i="28" s="1"/>
  <c r="Z56" i="8"/>
  <c r="Y56" i="28" s="1"/>
  <c r="Y120" i="28" s="1"/>
  <c r="Z48" i="8"/>
  <c r="Y48" i="28" s="1"/>
  <c r="Y112" i="28" s="1"/>
  <c r="Z40" i="8"/>
  <c r="Z62" i="8"/>
  <c r="Y62" i="28" s="1"/>
  <c r="Y126" i="28" s="1"/>
  <c r="Z49" i="8"/>
  <c r="Y49" i="28" s="1"/>
  <c r="Y113" i="28" s="1"/>
  <c r="Z33" i="8"/>
  <c r="Y33" i="28" s="1"/>
  <c r="Y97" i="28" s="1"/>
  <c r="Z25" i="8"/>
  <c r="Y25" i="28" s="1"/>
  <c r="Y89" i="28" s="1"/>
  <c r="Z20" i="8"/>
  <c r="Y20" i="28" s="1"/>
  <c r="Y84" i="28" s="1"/>
  <c r="Z11" i="8"/>
  <c r="Z46" i="8"/>
  <c r="Z32" i="8"/>
  <c r="Y32" i="28" s="1"/>
  <c r="Y96" i="28" s="1"/>
  <c r="Z43" i="8"/>
  <c r="Z31" i="8"/>
  <c r="Y31" i="28" s="1"/>
  <c r="Y95" i="28" s="1"/>
  <c r="Z24" i="8"/>
  <c r="Z19" i="8"/>
  <c r="Y19" i="28" s="1"/>
  <c r="Y83" i="28" s="1"/>
  <c r="Z42" i="8"/>
  <c r="Y42" i="28" s="1"/>
  <c r="Y106" i="28" s="1"/>
  <c r="Z38" i="8"/>
  <c r="Z30" i="8"/>
  <c r="Y30" i="28" s="1"/>
  <c r="Y94" i="28" s="1"/>
  <c r="Z23" i="8"/>
  <c r="Y23" i="28" s="1"/>
  <c r="Y87" i="28" s="1"/>
  <c r="Z10" i="8"/>
  <c r="Y10" i="28" s="1"/>
  <c r="Y74" i="28" s="1"/>
  <c r="Z5" i="8"/>
  <c r="Y5" i="28" s="1"/>
  <c r="Y69" i="28" s="1"/>
  <c r="Z63" i="8"/>
  <c r="Y63" i="28" s="1"/>
  <c r="Y127" i="28" s="1"/>
  <c r="Z57" i="8"/>
  <c r="Z41" i="8"/>
  <c r="Y41" i="28" s="1"/>
  <c r="Y105" i="28" s="1"/>
  <c r="Z39" i="8"/>
  <c r="Y39" i="28" s="1"/>
  <c r="Y103" i="28" s="1"/>
  <c r="Z37" i="8"/>
  <c r="Z29" i="8"/>
  <c r="Y29" i="28" s="1"/>
  <c r="Y93" i="28" s="1"/>
  <c r="Z14" i="8"/>
  <c r="Y14" i="28" s="1"/>
  <c r="Y78" i="28" s="1"/>
  <c r="Z59" i="8"/>
  <c r="Y59" i="28" s="1"/>
  <c r="Y123" i="28" s="1"/>
  <c r="Z54" i="8"/>
  <c r="Y54" i="28" s="1"/>
  <c r="Y118" i="28" s="1"/>
  <c r="Z36" i="8"/>
  <c r="Y36" i="28" s="1"/>
  <c r="Y100" i="28" s="1"/>
  <c r="Z28" i="8"/>
  <c r="Y28" i="28" s="1"/>
  <c r="Y92" i="28" s="1"/>
  <c r="Z22" i="8"/>
  <c r="Y22" i="28" s="1"/>
  <c r="Y86" i="28" s="1"/>
  <c r="Z18" i="8"/>
  <c r="Y18" i="28" s="1"/>
  <c r="Y82" i="28" s="1"/>
  <c r="Z51" i="8"/>
  <c r="Y51" i="28" s="1"/>
  <c r="Y115" i="28" s="1"/>
  <c r="Z35" i="8"/>
  <c r="Y35" i="28" s="1"/>
  <c r="Y99" i="28" s="1"/>
  <c r="Z27" i="8"/>
  <c r="Y27" i="28" s="1"/>
  <c r="Y91" i="28" s="1"/>
  <c r="Z17" i="8"/>
  <c r="Y17" i="28" s="1"/>
  <c r="Y81" i="28" s="1"/>
  <c r="Z12" i="8"/>
  <c r="Y12" i="28" s="1"/>
  <c r="Y76" i="28" s="1"/>
  <c r="Z50" i="8"/>
  <c r="Y50" i="28" s="1"/>
  <c r="Y114" i="28" s="1"/>
  <c r="Z34" i="8"/>
  <c r="Y34" i="28" s="1"/>
  <c r="Y98" i="28" s="1"/>
  <c r="Z26" i="8"/>
  <c r="Y26" i="28" s="1"/>
  <c r="Y90" i="28" s="1"/>
  <c r="Z21" i="8"/>
  <c r="Y21" i="28" s="1"/>
  <c r="Y85" i="28" s="1"/>
  <c r="Z16" i="8"/>
  <c r="Z7" i="8"/>
  <c r="Y7" i="28" s="1"/>
  <c r="Y71" i="28" s="1"/>
  <c r="Z8" i="8"/>
  <c r="Y8" i="28" s="1"/>
  <c r="Y72" i="28" s="1"/>
  <c r="Z13" i="8"/>
  <c r="Y13" i="28" s="1"/>
  <c r="Y77" i="28" s="1"/>
  <c r="Z15" i="8"/>
  <c r="Y15" i="28" s="1"/>
  <c r="Y79" i="28" s="1"/>
  <c r="Z9" i="8"/>
  <c r="Y9" i="28" s="1"/>
  <c r="Y73" i="28" s="1"/>
  <c r="Z6" i="8"/>
  <c r="W49" i="7"/>
  <c r="W42" i="7"/>
  <c r="W38" i="7"/>
  <c r="W34" i="7"/>
  <c r="W30" i="7"/>
  <c r="W58" i="7"/>
  <c r="W55" i="7"/>
  <c r="W52" i="7"/>
  <c r="W45" i="7"/>
  <c r="W61" i="7"/>
  <c r="W41" i="7"/>
  <c r="W37" i="7"/>
  <c r="W33" i="7"/>
  <c r="W54" i="7"/>
  <c r="W51" i="7"/>
  <c r="W48" i="7"/>
  <c r="W57" i="7"/>
  <c r="W44" i="7"/>
  <c r="W40" i="7"/>
  <c r="W36" i="7"/>
  <c r="W32" i="7"/>
  <c r="W63" i="7"/>
  <c r="W60" i="7"/>
  <c r="W50" i="7"/>
  <c r="W47" i="7"/>
  <c r="W53" i="7"/>
  <c r="W43" i="7"/>
  <c r="W39" i="7"/>
  <c r="W35" i="7"/>
  <c r="W31" i="7"/>
  <c r="W62" i="7"/>
  <c r="W59" i="7"/>
  <c r="W56" i="7"/>
  <c r="W46" i="7"/>
  <c r="W21" i="7"/>
  <c r="W17" i="7"/>
  <c r="W13" i="7"/>
  <c r="W9" i="7"/>
  <c r="W5" i="7"/>
  <c r="W27" i="7"/>
  <c r="W23" i="7"/>
  <c r="W28" i="7"/>
  <c r="W24" i="7"/>
  <c r="W20" i="7"/>
  <c r="W16" i="7"/>
  <c r="W12" i="7"/>
  <c r="W8" i="7"/>
  <c r="W19" i="7"/>
  <c r="W15" i="7"/>
  <c r="W11" i="7"/>
  <c r="W7" i="7"/>
  <c r="W29" i="7"/>
  <c r="W25" i="7"/>
  <c r="W26" i="7"/>
  <c r="W22" i="7"/>
  <c r="W18" i="7"/>
  <c r="W14" i="7"/>
  <c r="W10" i="7"/>
  <c r="W6" i="7"/>
  <c r="Y61" i="7"/>
  <c r="Y41" i="7"/>
  <c r="Y37" i="7"/>
  <c r="Y33" i="7"/>
  <c r="Y54" i="7"/>
  <c r="Y51" i="7"/>
  <c r="Y48" i="7"/>
  <c r="Y57" i="7"/>
  <c r="Y44" i="7"/>
  <c r="Y40" i="7"/>
  <c r="Y36" i="7"/>
  <c r="Y32" i="7"/>
  <c r="Y63" i="7"/>
  <c r="Y60" i="7"/>
  <c r="Y50" i="7"/>
  <c r="Y47" i="7"/>
  <c r="Y53" i="7"/>
  <c r="Y43" i="7"/>
  <c r="Y39" i="7"/>
  <c r="Y35" i="7"/>
  <c r="Y31" i="7"/>
  <c r="Y62" i="7"/>
  <c r="Y59" i="7"/>
  <c r="Y56" i="7"/>
  <c r="Y46" i="7"/>
  <c r="Y49" i="7"/>
  <c r="Y42" i="7"/>
  <c r="Y38" i="7"/>
  <c r="Y34" i="7"/>
  <c r="Y58" i="7"/>
  <c r="Y55" i="7"/>
  <c r="Y52" i="7"/>
  <c r="Y45" i="7"/>
  <c r="Y30" i="7"/>
  <c r="Y20" i="7"/>
  <c r="Y16" i="7"/>
  <c r="Y12" i="7"/>
  <c r="Y8" i="7"/>
  <c r="Y28" i="7"/>
  <c r="Y24" i="7"/>
  <c r="Y19" i="7"/>
  <c r="Y15" i="7"/>
  <c r="Y11" i="7"/>
  <c r="Y7" i="7"/>
  <c r="Y29" i="7"/>
  <c r="Y25" i="7"/>
  <c r="Y18" i="7"/>
  <c r="Y14" i="7"/>
  <c r="Y10" i="7"/>
  <c r="Y6" i="7"/>
  <c r="Y26" i="7"/>
  <c r="Y22" i="7"/>
  <c r="Y21" i="7"/>
  <c r="Y17" i="7"/>
  <c r="Y13" i="7"/>
  <c r="Y9" i="7"/>
  <c r="Y5" i="7"/>
  <c r="Y27" i="7"/>
  <c r="Y23" i="7"/>
  <c r="AC30" i="7"/>
  <c r="AC26" i="7"/>
  <c r="AC22" i="7"/>
  <c r="AC37" i="7"/>
  <c r="AC32" i="7"/>
  <c r="AC28" i="7"/>
  <c r="AC24" i="7"/>
  <c r="AC29" i="7"/>
  <c r="AC25" i="7"/>
  <c r="AC18" i="7"/>
  <c r="AC14" i="7"/>
  <c r="AC10" i="7"/>
  <c r="AC6" i="7"/>
  <c r="AC21" i="7"/>
  <c r="AC17" i="7"/>
  <c r="AC13" i="7"/>
  <c r="AC9" i="7"/>
  <c r="AC5" i="7"/>
  <c r="AC27" i="7"/>
  <c r="AC23" i="7"/>
  <c r="AC20" i="7"/>
  <c r="AC16" i="7"/>
  <c r="AC12" i="7"/>
  <c r="AC8" i="7"/>
  <c r="AC31" i="7"/>
  <c r="AC19" i="7"/>
  <c r="AC15" i="7"/>
  <c r="AC11" i="7"/>
  <c r="AC7" i="7"/>
  <c r="AC42" i="7"/>
  <c r="AC59" i="7"/>
  <c r="AC45" i="7"/>
  <c r="AC46" i="7"/>
  <c r="AC50" i="7"/>
  <c r="AC53" i="7"/>
  <c r="AC54" i="7"/>
  <c r="AC40" i="7"/>
  <c r="AC58" i="7"/>
  <c r="AC61" i="7"/>
  <c r="AC62" i="7"/>
  <c r="AC48" i="7"/>
  <c r="AC39" i="7"/>
  <c r="AC56" i="7"/>
  <c r="AC35" i="7"/>
  <c r="AC47" i="7"/>
  <c r="AC33" i="7"/>
  <c r="AC34" i="7"/>
  <c r="AC44" i="7"/>
  <c r="AC55" i="7"/>
  <c r="AC41" i="7"/>
  <c r="AC43" i="7"/>
  <c r="AC52" i="7"/>
  <c r="AC63" i="7"/>
  <c r="AC49" i="7"/>
  <c r="AC51" i="7"/>
  <c r="AC60" i="7"/>
  <c r="AC36" i="7"/>
  <c r="AC38" i="7"/>
  <c r="AC57" i="7"/>
  <c r="AH37" i="7"/>
  <c r="AH29" i="7"/>
  <c r="AH25" i="7"/>
  <c r="AH31" i="7"/>
  <c r="AH27" i="7"/>
  <c r="AH23" i="7"/>
  <c r="AH26" i="7"/>
  <c r="AH22" i="7"/>
  <c r="AH21" i="7"/>
  <c r="AH17" i="7"/>
  <c r="AH13" i="7"/>
  <c r="AH9" i="7"/>
  <c r="AH5" i="7"/>
  <c r="AH20" i="7"/>
  <c r="AH16" i="7"/>
  <c r="AH12" i="7"/>
  <c r="AH8" i="7"/>
  <c r="AH30" i="7"/>
  <c r="AH28" i="7"/>
  <c r="AH24" i="7"/>
  <c r="AH19" i="7"/>
  <c r="AH15" i="7"/>
  <c r="AH11" i="7"/>
  <c r="AH7" i="7"/>
  <c r="AH32" i="7"/>
  <c r="AH18" i="7"/>
  <c r="AH14" i="7"/>
  <c r="AH10" i="7"/>
  <c r="AH6" i="7"/>
  <c r="AH38" i="7"/>
  <c r="AH49" i="7"/>
  <c r="AH43" i="7"/>
  <c r="AH34" i="7"/>
  <c r="AH36" i="7"/>
  <c r="AH46" i="7"/>
  <c r="AH57" i="7"/>
  <c r="AH51" i="7"/>
  <c r="AH45" i="7"/>
  <c r="AH54" i="7"/>
  <c r="AH59" i="7"/>
  <c r="AH35" i="7"/>
  <c r="AH53" i="7"/>
  <c r="AH62" i="7"/>
  <c r="AH39" i="7"/>
  <c r="AH40" i="7"/>
  <c r="AH44" i="7"/>
  <c r="AH61" i="7"/>
  <c r="AH47" i="7"/>
  <c r="AH48" i="7"/>
  <c r="AH33" i="7"/>
  <c r="AH52" i="7"/>
  <c r="AH55" i="7"/>
  <c r="AH56" i="7"/>
  <c r="AH42" i="7"/>
  <c r="AH60" i="7"/>
  <c r="AH63" i="7"/>
  <c r="AH50" i="7"/>
  <c r="AH41" i="7"/>
  <c r="AH58" i="7"/>
  <c r="R40" i="7"/>
  <c r="R36" i="7"/>
  <c r="R32" i="7"/>
  <c r="R39" i="7"/>
  <c r="R35" i="7"/>
  <c r="R31" i="7"/>
  <c r="R38" i="7"/>
  <c r="R34" i="7"/>
  <c r="R30" i="7"/>
  <c r="R41" i="7"/>
  <c r="R37" i="7"/>
  <c r="R33" i="7"/>
  <c r="R29" i="7"/>
  <c r="R25" i="7"/>
  <c r="R19" i="7"/>
  <c r="R15" i="7"/>
  <c r="R11" i="7"/>
  <c r="R7" i="7"/>
  <c r="R26" i="7"/>
  <c r="R22" i="7"/>
  <c r="R18" i="7"/>
  <c r="R14" i="7"/>
  <c r="R10" i="7"/>
  <c r="R6" i="7"/>
  <c r="R27" i="7"/>
  <c r="R23" i="7"/>
  <c r="R21" i="7"/>
  <c r="R17" i="7"/>
  <c r="R13" i="7"/>
  <c r="R9" i="7"/>
  <c r="R5" i="7"/>
  <c r="R28" i="7"/>
  <c r="R24" i="7"/>
  <c r="R20" i="7"/>
  <c r="R16" i="7"/>
  <c r="R12" i="7"/>
  <c r="R8" i="7"/>
  <c r="R51" i="7"/>
  <c r="R52" i="7"/>
  <c r="R57" i="7"/>
  <c r="R59" i="7"/>
  <c r="R60" i="7"/>
  <c r="R46" i="7"/>
  <c r="R45" i="7"/>
  <c r="R54" i="7"/>
  <c r="R42" i="7"/>
  <c r="R53" i="7"/>
  <c r="R62" i="7"/>
  <c r="R50" i="7"/>
  <c r="R61" i="7"/>
  <c r="R48" i="7"/>
  <c r="R58" i="7"/>
  <c r="R47" i="7"/>
  <c r="R56" i="7"/>
  <c r="R55" i="7"/>
  <c r="R43" i="7"/>
  <c r="R44" i="7"/>
  <c r="R63" i="7"/>
  <c r="R49" i="7"/>
  <c r="U31" i="7"/>
  <c r="U30" i="7"/>
  <c r="U37" i="7"/>
  <c r="U32" i="7"/>
  <c r="U26" i="7"/>
  <c r="U22" i="7"/>
  <c r="U18" i="7"/>
  <c r="U14" i="7"/>
  <c r="U10" i="7"/>
  <c r="U6" i="7"/>
  <c r="U27" i="7"/>
  <c r="U23" i="7"/>
  <c r="U21" i="7"/>
  <c r="U17" i="7"/>
  <c r="U13" i="7"/>
  <c r="U9" i="7"/>
  <c r="U5" i="7"/>
  <c r="U28" i="7"/>
  <c r="U24" i="7"/>
  <c r="U20" i="7"/>
  <c r="U16" i="7"/>
  <c r="U12" i="7"/>
  <c r="U8" i="7"/>
  <c r="U29" i="7"/>
  <c r="U25" i="7"/>
  <c r="U19" i="7"/>
  <c r="U15" i="7"/>
  <c r="U11" i="7"/>
  <c r="U7" i="7"/>
  <c r="U55" i="7"/>
  <c r="U56" i="7"/>
  <c r="U42" i="7"/>
  <c r="U61" i="7"/>
  <c r="U38" i="7"/>
  <c r="U63" i="7"/>
  <c r="U41" i="7"/>
  <c r="U50" i="7"/>
  <c r="U35" i="7"/>
  <c r="U46" i="7"/>
  <c r="U49" i="7"/>
  <c r="U58" i="7"/>
  <c r="U44" i="7"/>
  <c r="U54" i="7"/>
  <c r="U57" i="7"/>
  <c r="U34" i="7"/>
  <c r="U52" i="7"/>
  <c r="U62" i="7"/>
  <c r="U43" i="7"/>
  <c r="U60" i="7"/>
  <c r="U51" i="7"/>
  <c r="U36" i="7"/>
  <c r="U39" i="7"/>
  <c r="U40" i="7"/>
  <c r="U59" i="7"/>
  <c r="U45" i="7"/>
  <c r="U47" i="7"/>
  <c r="U48" i="7"/>
  <c r="U33" i="7"/>
  <c r="U53" i="7"/>
  <c r="AA63" i="8"/>
  <c r="AA62" i="8"/>
  <c r="Z62" i="28" s="1"/>
  <c r="Z126" i="28" s="1"/>
  <c r="AA54" i="8"/>
  <c r="Z54" i="28" s="1"/>
  <c r="Z118" i="28" s="1"/>
  <c r="AA46" i="8"/>
  <c r="AA60" i="8"/>
  <c r="Z60" i="28" s="1"/>
  <c r="Z124" i="28" s="1"/>
  <c r="AA52" i="8"/>
  <c r="AA44" i="8"/>
  <c r="Z44" i="28" s="1"/>
  <c r="Z108" i="28" s="1"/>
  <c r="AA59" i="8"/>
  <c r="Z59" i="28" s="1"/>
  <c r="Z123" i="28" s="1"/>
  <c r="AA51" i="8"/>
  <c r="Z51" i="28" s="1"/>
  <c r="Z115" i="28" s="1"/>
  <c r="AA43" i="8"/>
  <c r="Z43" i="28" s="1"/>
  <c r="Z107" i="28" s="1"/>
  <c r="AA55" i="8"/>
  <c r="Z55" i="28" s="1"/>
  <c r="Z119" i="28" s="1"/>
  <c r="AA47" i="8"/>
  <c r="Z47" i="28" s="1"/>
  <c r="Z111" i="28" s="1"/>
  <c r="AA39" i="8"/>
  <c r="Z39" i="28" s="1"/>
  <c r="Z103" i="28" s="1"/>
  <c r="AA48" i="8"/>
  <c r="Z48" i="28" s="1"/>
  <c r="Z112" i="28" s="1"/>
  <c r="AA32" i="8"/>
  <c r="Z32" i="28" s="1"/>
  <c r="Z96" i="28" s="1"/>
  <c r="AA15" i="8"/>
  <c r="Z15" i="28" s="1"/>
  <c r="Z79" i="28" s="1"/>
  <c r="AA45" i="8"/>
  <c r="Z45" i="28" s="1"/>
  <c r="Z109" i="28" s="1"/>
  <c r="AA31" i="8"/>
  <c r="Z31" i="28" s="1"/>
  <c r="Z95" i="28" s="1"/>
  <c r="AA24" i="8"/>
  <c r="AA19" i="8"/>
  <c r="Z19" i="28" s="1"/>
  <c r="Z83" i="28" s="1"/>
  <c r="AA42" i="8"/>
  <c r="AA38" i="8"/>
  <c r="AA30" i="8"/>
  <c r="Z30" i="28" s="1"/>
  <c r="Z94" i="28" s="1"/>
  <c r="AA23" i="8"/>
  <c r="Z23" i="28" s="1"/>
  <c r="Z87" i="28" s="1"/>
  <c r="AA58" i="8"/>
  <c r="Z58" i="28" s="1"/>
  <c r="Z122" i="28" s="1"/>
  <c r="AA57" i="8"/>
  <c r="Z57" i="28" s="1"/>
  <c r="Z121" i="28" s="1"/>
  <c r="AA41" i="8"/>
  <c r="Z41" i="28" s="1"/>
  <c r="Z105" i="28" s="1"/>
  <c r="AA37" i="8"/>
  <c r="Z37" i="28" s="1"/>
  <c r="Z101" i="28" s="1"/>
  <c r="AA29" i="8"/>
  <c r="Z29" i="28" s="1"/>
  <c r="Z93" i="28" s="1"/>
  <c r="AA14" i="8"/>
  <c r="Z14" i="28" s="1"/>
  <c r="Z78" i="28" s="1"/>
  <c r="AA9" i="8"/>
  <c r="Z9" i="28" s="1"/>
  <c r="Z73" i="28" s="1"/>
  <c r="AA61" i="8"/>
  <c r="Z61" i="28" s="1"/>
  <c r="Z125" i="28" s="1"/>
  <c r="AA56" i="8"/>
  <c r="Z56" i="28" s="1"/>
  <c r="Z120" i="28" s="1"/>
  <c r="AA36" i="8"/>
  <c r="AA28" i="8"/>
  <c r="AA22" i="8"/>
  <c r="Z22" i="28" s="1"/>
  <c r="Z86" i="28" s="1"/>
  <c r="AA18" i="8"/>
  <c r="AA13" i="8"/>
  <c r="AA53" i="8"/>
  <c r="Z53" i="28" s="1"/>
  <c r="Z117" i="28" s="1"/>
  <c r="AA35" i="8"/>
  <c r="Z35" i="28" s="1"/>
  <c r="Z99" i="28" s="1"/>
  <c r="AA27" i="8"/>
  <c r="AA17" i="8"/>
  <c r="AA50" i="8"/>
  <c r="Z50" i="28" s="1"/>
  <c r="Z114" i="28" s="1"/>
  <c r="AA34" i="8"/>
  <c r="Z34" i="28" s="1"/>
  <c r="Z98" i="28" s="1"/>
  <c r="AA26" i="8"/>
  <c r="Z26" i="28" s="1"/>
  <c r="Z90" i="28" s="1"/>
  <c r="AA21" i="8"/>
  <c r="AA16" i="8"/>
  <c r="Z16" i="28" s="1"/>
  <c r="Z80" i="28" s="1"/>
  <c r="AA49" i="8"/>
  <c r="AA40" i="8"/>
  <c r="Z40" i="28" s="1"/>
  <c r="Z104" i="28" s="1"/>
  <c r="AA33" i="8"/>
  <c r="Z33" i="28" s="1"/>
  <c r="Z97" i="28" s="1"/>
  <c r="AA25" i="8"/>
  <c r="Z25" i="28" s="1"/>
  <c r="Z89" i="28" s="1"/>
  <c r="AA20" i="8"/>
  <c r="Z20" i="28" s="1"/>
  <c r="Z84" i="28" s="1"/>
  <c r="AA11" i="8"/>
  <c r="Z11" i="28" s="1"/>
  <c r="Z75" i="28" s="1"/>
  <c r="AA10" i="8"/>
  <c r="Z10" i="28" s="1"/>
  <c r="Z74" i="28" s="1"/>
  <c r="AA8" i="8"/>
  <c r="Z8" i="28" s="1"/>
  <c r="Z72" i="28" s="1"/>
  <c r="AA5" i="8"/>
  <c r="AA6" i="8"/>
  <c r="Z6" i="28" s="1"/>
  <c r="Z70" i="28" s="1"/>
  <c r="AA12" i="8"/>
  <c r="Z12" i="28" s="1"/>
  <c r="Z76" i="28" s="1"/>
  <c r="AA7" i="8"/>
  <c r="Z7" i="28" s="1"/>
  <c r="Z71" i="28" s="1"/>
  <c r="S30" i="7"/>
  <c r="S26" i="7"/>
  <c r="S37" i="7"/>
  <c r="S32" i="7"/>
  <c r="S28" i="7"/>
  <c r="S24" i="7"/>
  <c r="S22" i="7"/>
  <c r="S18" i="7"/>
  <c r="S14" i="7"/>
  <c r="S10" i="7"/>
  <c r="S6" i="7"/>
  <c r="S31" i="7"/>
  <c r="S27" i="7"/>
  <c r="S23" i="7"/>
  <c r="S21" i="7"/>
  <c r="S17" i="7"/>
  <c r="S13" i="7"/>
  <c r="S9" i="7"/>
  <c r="S5" i="7"/>
  <c r="S20" i="7"/>
  <c r="S16" i="7"/>
  <c r="S12" i="7"/>
  <c r="S8" i="7"/>
  <c r="S29" i="7"/>
  <c r="S25" i="7"/>
  <c r="S19" i="7"/>
  <c r="S15" i="7"/>
  <c r="S11" i="7"/>
  <c r="S7" i="7"/>
  <c r="S60" i="7"/>
  <c r="S63" i="7"/>
  <c r="S41" i="7"/>
  <c r="S58" i="7"/>
  <c r="S33" i="7"/>
  <c r="S49" i="7"/>
  <c r="S34" i="7"/>
  <c r="S36" i="7"/>
  <c r="S38" i="7"/>
  <c r="S57" i="7"/>
  <c r="S43" i="7"/>
  <c r="S45" i="7"/>
  <c r="S46" i="7"/>
  <c r="S51" i="7"/>
  <c r="S35" i="7"/>
  <c r="S53" i="7"/>
  <c r="S54" i="7"/>
  <c r="S40" i="7"/>
  <c r="S59" i="7"/>
  <c r="S61" i="7"/>
  <c r="S62" i="7"/>
  <c r="S39" i="7"/>
  <c r="S48" i="7"/>
  <c r="S44" i="7"/>
  <c r="S47" i="7"/>
  <c r="S56" i="7"/>
  <c r="S42" i="7"/>
  <c r="S52" i="7"/>
  <c r="S55" i="7"/>
  <c r="S50" i="7"/>
  <c r="T44" i="12"/>
  <c r="S40" i="11"/>
  <c r="E37" i="5"/>
  <c r="S48" i="24" s="1"/>
  <c r="R48" i="13"/>
  <c r="R48" i="12"/>
  <c r="R48" i="11"/>
  <c r="R48" i="10"/>
  <c r="L38" i="7"/>
  <c r="L41" i="7"/>
  <c r="L33" i="7"/>
  <c r="L25" i="7"/>
  <c r="L40" i="7"/>
  <c r="L39" i="7"/>
  <c r="L35" i="7"/>
  <c r="L27" i="7"/>
  <c r="L36" i="7"/>
  <c r="L28" i="7"/>
  <c r="L21" i="7"/>
  <c r="L17" i="7"/>
  <c r="L13" i="7"/>
  <c r="L9" i="7"/>
  <c r="L5" i="7"/>
  <c r="L20" i="7"/>
  <c r="L8" i="7"/>
  <c r="L26" i="7"/>
  <c r="L15" i="7"/>
  <c r="L34" i="7"/>
  <c r="L22" i="7"/>
  <c r="L18" i="7"/>
  <c r="L14" i="7"/>
  <c r="L10" i="7"/>
  <c r="L6" i="7"/>
  <c r="L42" i="7"/>
  <c r="L24" i="7"/>
  <c r="L53" i="7"/>
  <c r="L46" i="7"/>
  <c r="L47" i="7"/>
  <c r="L56" i="7"/>
  <c r="L50" i="7"/>
  <c r="L44" i="7"/>
  <c r="L61" i="7"/>
  <c r="L54" i="7"/>
  <c r="L55" i="7"/>
  <c r="L23" i="7"/>
  <c r="L52" i="7"/>
  <c r="L62" i="7"/>
  <c r="L63" i="7"/>
  <c r="L58" i="7"/>
  <c r="L43" i="7"/>
  <c r="L60" i="7"/>
  <c r="L51" i="7"/>
  <c r="L16" i="7"/>
  <c r="L59" i="7"/>
  <c r="L12" i="7"/>
  <c r="L37" i="7"/>
  <c r="L29" i="7"/>
  <c r="L7" i="7"/>
  <c r="L11" i="7"/>
  <c r="L32" i="7"/>
  <c r="L49" i="7"/>
  <c r="L19" i="7"/>
  <c r="L45" i="7"/>
  <c r="L30" i="7"/>
  <c r="L31" i="7"/>
  <c r="L48" i="7"/>
  <c r="L57" i="7"/>
  <c r="P41" i="7"/>
  <c r="P37" i="7"/>
  <c r="P33" i="7"/>
  <c r="P40" i="7"/>
  <c r="P36" i="7"/>
  <c r="P32" i="7"/>
  <c r="P39" i="7"/>
  <c r="P35" i="7"/>
  <c r="P31" i="7"/>
  <c r="P38" i="7"/>
  <c r="P34" i="7"/>
  <c r="P20" i="7"/>
  <c r="P16" i="7"/>
  <c r="P12" i="7"/>
  <c r="P8" i="7"/>
  <c r="P29" i="7"/>
  <c r="P25" i="7"/>
  <c r="P19" i="7"/>
  <c r="P15" i="7"/>
  <c r="P11" i="7"/>
  <c r="P7" i="7"/>
  <c r="P30" i="7"/>
  <c r="P26" i="7"/>
  <c r="P22" i="7"/>
  <c r="P18" i="7"/>
  <c r="P14" i="7"/>
  <c r="P10" i="7"/>
  <c r="P6" i="7"/>
  <c r="P27" i="7"/>
  <c r="P23" i="7"/>
  <c r="P21" i="7"/>
  <c r="P17" i="7"/>
  <c r="P13" i="7"/>
  <c r="P9" i="7"/>
  <c r="P5" i="7"/>
  <c r="P28" i="7"/>
  <c r="P24" i="7"/>
  <c r="P44" i="7"/>
  <c r="P58" i="7"/>
  <c r="P63" i="7"/>
  <c r="P52" i="7"/>
  <c r="P43" i="7"/>
  <c r="P49" i="7"/>
  <c r="P60" i="7"/>
  <c r="P51" i="7"/>
  <c r="P57" i="7"/>
  <c r="P59" i="7"/>
  <c r="P45" i="7"/>
  <c r="P46" i="7"/>
  <c r="P53" i="7"/>
  <c r="P54" i="7"/>
  <c r="P48" i="7"/>
  <c r="P61" i="7"/>
  <c r="P62" i="7"/>
  <c r="P56" i="7"/>
  <c r="P42" i="7"/>
  <c r="P47" i="7"/>
  <c r="P50" i="7"/>
  <c r="P55" i="7"/>
  <c r="F37" i="5"/>
  <c r="S49" i="24" s="1"/>
  <c r="R49" i="13"/>
  <c r="R49" i="12"/>
  <c r="R49" i="10"/>
  <c r="R49" i="11"/>
  <c r="O37" i="7"/>
  <c r="O32" i="7"/>
  <c r="O28" i="7"/>
  <c r="O24" i="7"/>
  <c r="O30" i="7"/>
  <c r="O26" i="7"/>
  <c r="O20" i="7"/>
  <c r="O16" i="7"/>
  <c r="O12" i="7"/>
  <c r="O8" i="7"/>
  <c r="O29" i="7"/>
  <c r="O25" i="7"/>
  <c r="O31" i="7"/>
  <c r="O19" i="7"/>
  <c r="O15" i="7"/>
  <c r="O11" i="7"/>
  <c r="O7" i="7"/>
  <c r="O22" i="7"/>
  <c r="O18" i="7"/>
  <c r="O14" i="7"/>
  <c r="O10" i="7"/>
  <c r="O6" i="7"/>
  <c r="O27" i="7"/>
  <c r="O23" i="7"/>
  <c r="O21" i="7"/>
  <c r="O17" i="7"/>
  <c r="O13" i="7"/>
  <c r="O9" i="7"/>
  <c r="O5" i="7"/>
  <c r="O57" i="7"/>
  <c r="O43" i="7"/>
  <c r="O44" i="7"/>
  <c r="O63" i="7"/>
  <c r="O38" i="7"/>
  <c r="O51" i="7"/>
  <c r="O52" i="7"/>
  <c r="O34" i="7"/>
  <c r="O46" i="7"/>
  <c r="O59" i="7"/>
  <c r="O60" i="7"/>
  <c r="O35" i="7"/>
  <c r="O36" i="7"/>
  <c r="O54" i="7"/>
  <c r="O40" i="7"/>
  <c r="O45" i="7"/>
  <c r="O33" i="7"/>
  <c r="O62" i="7"/>
  <c r="O48" i="7"/>
  <c r="O53" i="7"/>
  <c r="O42" i="7"/>
  <c r="O56" i="7"/>
  <c r="O61" i="7"/>
  <c r="O39" i="7"/>
  <c r="O50" i="7"/>
  <c r="O41" i="7"/>
  <c r="O47" i="7"/>
  <c r="O58" i="7"/>
  <c r="O49" i="7"/>
  <c r="O55" i="7"/>
  <c r="S47" i="13"/>
  <c r="S47" i="12"/>
  <c r="S47" i="11"/>
  <c r="S47" i="10"/>
  <c r="X58" i="7"/>
  <c r="X55" i="7"/>
  <c r="X52" i="7"/>
  <c r="X45" i="7"/>
  <c r="X61" i="7"/>
  <c r="X41" i="7"/>
  <c r="X37" i="7"/>
  <c r="X54" i="7"/>
  <c r="X51" i="7"/>
  <c r="X48" i="7"/>
  <c r="X57" i="7"/>
  <c r="X44" i="7"/>
  <c r="X40" i="7"/>
  <c r="X36" i="7"/>
  <c r="X32" i="7"/>
  <c r="X28" i="7"/>
  <c r="X24" i="7"/>
  <c r="X63" i="7"/>
  <c r="X60" i="7"/>
  <c r="X50" i="7"/>
  <c r="X47" i="7"/>
  <c r="X53" i="7"/>
  <c r="X43" i="7"/>
  <c r="X39" i="7"/>
  <c r="X62" i="7"/>
  <c r="X59" i="7"/>
  <c r="X56" i="7"/>
  <c r="X46" i="7"/>
  <c r="X49" i="7"/>
  <c r="X42" i="7"/>
  <c r="X38" i="7"/>
  <c r="X34" i="7"/>
  <c r="X30" i="7"/>
  <c r="X26" i="7"/>
  <c r="X22" i="7"/>
  <c r="X27" i="7"/>
  <c r="X23" i="7"/>
  <c r="X31" i="7"/>
  <c r="X20" i="7"/>
  <c r="X16" i="7"/>
  <c r="X12" i="7"/>
  <c r="X8" i="7"/>
  <c r="X33" i="7"/>
  <c r="X19" i="7"/>
  <c r="X15" i="7"/>
  <c r="X11" i="7"/>
  <c r="X7" i="7"/>
  <c r="X29" i="7"/>
  <c r="X25" i="7"/>
  <c r="X35" i="7"/>
  <c r="X18" i="7"/>
  <c r="X14" i="7"/>
  <c r="X10" i="7"/>
  <c r="X6" i="7"/>
  <c r="X21" i="7"/>
  <c r="X17" i="7"/>
  <c r="X13" i="7"/>
  <c r="X9" i="7"/>
  <c r="X5" i="7"/>
  <c r="M12" i="11"/>
  <c r="M7" i="11"/>
  <c r="M18" i="11"/>
  <c r="M10" i="11"/>
  <c r="M13" i="11"/>
  <c r="M5" i="11"/>
  <c r="M8" i="11"/>
  <c r="M11" i="11"/>
  <c r="M6" i="11"/>
  <c r="M9" i="11"/>
  <c r="M27" i="11"/>
  <c r="M28" i="11"/>
  <c r="M16" i="11"/>
  <c r="M17" i="11"/>
  <c r="M35" i="11"/>
  <c r="M36" i="11"/>
  <c r="M14" i="11"/>
  <c r="M15" i="11"/>
  <c r="M25" i="11"/>
  <c r="M26" i="11"/>
  <c r="M23" i="11"/>
  <c r="M24" i="11"/>
  <c r="M33" i="11"/>
  <c r="M34" i="11"/>
  <c r="M41" i="11"/>
  <c r="M31" i="11"/>
  <c r="M32" i="11"/>
  <c r="M43" i="11"/>
  <c r="M44" i="11"/>
  <c r="M22" i="11"/>
  <c r="M40" i="11"/>
  <c r="M21" i="11"/>
  <c r="M38" i="11"/>
  <c r="M30" i="11"/>
  <c r="M29" i="11"/>
  <c r="M19" i="11"/>
  <c r="M20" i="11"/>
  <c r="M37" i="11"/>
  <c r="M39" i="11"/>
  <c r="R43" i="11"/>
  <c r="O50" i="12"/>
  <c r="T50" i="11"/>
  <c r="N50" i="12"/>
  <c r="M42" i="11"/>
  <c r="Z51" i="10"/>
  <c r="U51" i="10"/>
  <c r="T10" i="11"/>
  <c r="T5" i="11"/>
  <c r="T38" i="11"/>
  <c r="T28" i="11"/>
  <c r="T27" i="11"/>
  <c r="T15" i="11"/>
  <c r="T34" i="11"/>
  <c r="T32" i="11"/>
  <c r="T21" i="11"/>
  <c r="R11" i="11"/>
  <c r="R6" i="11"/>
  <c r="R9" i="11"/>
  <c r="R12" i="11"/>
  <c r="R7" i="11"/>
  <c r="R18" i="11"/>
  <c r="R10" i="11"/>
  <c r="R13" i="11"/>
  <c r="R5" i="11"/>
  <c r="R8" i="11"/>
  <c r="R23" i="11"/>
  <c r="R24" i="11"/>
  <c r="R33" i="11"/>
  <c r="R38" i="11"/>
  <c r="R22" i="11"/>
  <c r="R31" i="11"/>
  <c r="R32" i="11"/>
  <c r="R21" i="11"/>
  <c r="R30" i="11"/>
  <c r="R39" i="11"/>
  <c r="R20" i="11"/>
  <c r="R29" i="11"/>
  <c r="R28" i="11"/>
  <c r="R37" i="11"/>
  <c r="R19" i="11"/>
  <c r="R36" i="11"/>
  <c r="R17" i="11"/>
  <c r="R27" i="11"/>
  <c r="R44" i="11"/>
  <c r="R42" i="11"/>
  <c r="R41" i="11"/>
  <c r="R16" i="11"/>
  <c r="R26" i="11"/>
  <c r="R35" i="11"/>
  <c r="R14" i="11"/>
  <c r="R15" i="11"/>
  <c r="R25" i="11"/>
  <c r="R34" i="11"/>
  <c r="P51" i="10"/>
  <c r="V50" i="12"/>
  <c r="N5" i="11"/>
  <c r="N14" i="11"/>
  <c r="N29" i="11"/>
  <c r="N27" i="11"/>
  <c r="N33" i="11"/>
  <c r="O51" i="10"/>
  <c r="U5" i="9"/>
  <c r="AA49" i="12"/>
  <c r="AA49" i="13"/>
  <c r="AA49" i="10"/>
  <c r="AA49" i="11"/>
  <c r="AH70" i="8"/>
  <c r="AL68" i="9"/>
  <c r="AL68" i="8"/>
  <c r="AL68" i="7"/>
  <c r="AL70" i="6"/>
  <c r="AI30" i="7"/>
  <c r="AI37" i="7"/>
  <c r="AI32" i="7"/>
  <c r="AI31" i="7"/>
  <c r="AI26" i="7"/>
  <c r="AI22" i="7"/>
  <c r="AI21" i="7"/>
  <c r="AI17" i="7"/>
  <c r="AI13" i="7"/>
  <c r="AI9" i="7"/>
  <c r="AI5" i="7"/>
  <c r="AI27" i="7"/>
  <c r="AI23" i="7"/>
  <c r="AI20" i="7"/>
  <c r="AI16" i="7"/>
  <c r="AI12" i="7"/>
  <c r="AI8" i="7"/>
  <c r="AI28" i="7"/>
  <c r="AI24" i="7"/>
  <c r="AI19" i="7"/>
  <c r="AI15" i="7"/>
  <c r="AI11" i="7"/>
  <c r="AI7" i="7"/>
  <c r="AI29" i="7"/>
  <c r="AI25" i="7"/>
  <c r="AI18" i="7"/>
  <c r="AI14" i="7"/>
  <c r="AI10" i="7"/>
  <c r="AI6" i="7"/>
  <c r="R51" i="11"/>
  <c r="R50" i="11" s="1"/>
  <c r="P50" i="11"/>
  <c r="Z51" i="11"/>
  <c r="Z50" i="11" s="1"/>
  <c r="R51" i="12"/>
  <c r="R40" i="13" s="1"/>
  <c r="S40" i="13" s="1"/>
  <c r="U50" i="11"/>
  <c r="Z51" i="12"/>
  <c r="Z50" i="12" s="1"/>
  <c r="AL67" i="9"/>
  <c r="AL67" i="8"/>
  <c r="AL67" i="7"/>
  <c r="AL69" i="6"/>
  <c r="Q5" i="9"/>
  <c r="AB68" i="9"/>
  <c r="AB68" i="8"/>
  <c r="AB70" i="6"/>
  <c r="AB68" i="7"/>
  <c r="V51" i="10"/>
  <c r="M75" i="6"/>
  <c r="M76" i="6"/>
  <c r="M77" i="6"/>
  <c r="M83" i="6" s="1"/>
  <c r="M67" i="6"/>
  <c r="M72" i="6" s="1"/>
  <c r="M49" i="7" s="1"/>
  <c r="Y68" i="6"/>
  <c r="Y66" i="23" s="1"/>
  <c r="Y70" i="23" s="1"/>
  <c r="V68" i="6"/>
  <c r="V66" i="23" s="1"/>
  <c r="V70" i="23" s="1"/>
  <c r="D35" i="5"/>
  <c r="Q47" i="24" s="1"/>
  <c r="M50" i="24" l="1"/>
  <c r="M50" i="12"/>
  <c r="M8" i="31"/>
  <c r="T30" i="11"/>
  <c r="T14" i="11"/>
  <c r="T36" i="11"/>
  <c r="T19" i="11"/>
  <c r="T13" i="11"/>
  <c r="Y16" i="28"/>
  <c r="Y80" i="28" s="1"/>
  <c r="Y43" i="28"/>
  <c r="Y107" i="28" s="1"/>
  <c r="Y45" i="28"/>
  <c r="Y109" i="28" s="1"/>
  <c r="T31" i="11"/>
  <c r="T25" i="11"/>
  <c r="T17" i="11"/>
  <c r="T29" i="11"/>
  <c r="T18" i="11"/>
  <c r="T43" i="11"/>
  <c r="Z13" i="28"/>
  <c r="Z77" i="28" s="1"/>
  <c r="Z38" i="28"/>
  <c r="Z102" i="28" s="1"/>
  <c r="Y46" i="28"/>
  <c r="Y110" i="28" s="1"/>
  <c r="T22" i="11"/>
  <c r="T24" i="11"/>
  <c r="T41" i="11"/>
  <c r="T20" i="11"/>
  <c r="T7" i="11"/>
  <c r="Z18" i="28"/>
  <c r="Z82" i="28" s="1"/>
  <c r="Y38" i="28"/>
  <c r="Y102" i="28" s="1"/>
  <c r="Y11" i="28"/>
  <c r="Y75" i="28" s="1"/>
  <c r="T23" i="11"/>
  <c r="T35" i="11"/>
  <c r="T40" i="11"/>
  <c r="T6" i="11"/>
  <c r="T12" i="11"/>
  <c r="Z46" i="28"/>
  <c r="Z110" i="28" s="1"/>
  <c r="T42" i="11"/>
  <c r="T42" i="24" s="1"/>
  <c r="T26" i="11"/>
  <c r="T26" i="24" s="1"/>
  <c r="T39" i="11"/>
  <c r="T11" i="11"/>
  <c r="T9" i="11"/>
  <c r="Z28" i="28"/>
  <c r="Z92" i="28" s="1"/>
  <c r="Z24" i="28"/>
  <c r="Z88" i="28" s="1"/>
  <c r="Y57" i="28"/>
  <c r="Y121" i="28" s="1"/>
  <c r="T33" i="11"/>
  <c r="T33" i="13" s="1"/>
  <c r="T16" i="11"/>
  <c r="T16" i="24" s="1"/>
  <c r="T37" i="11"/>
  <c r="T8" i="11"/>
  <c r="T8" i="24" s="1"/>
  <c r="Z17" i="28"/>
  <c r="Z81" i="28" s="1"/>
  <c r="Z36" i="28"/>
  <c r="Z100" i="28" s="1"/>
  <c r="Y24" i="28"/>
  <c r="Y88" i="28" s="1"/>
  <c r="Y6" i="28"/>
  <c r="Y70" i="28" s="1"/>
  <c r="O9" i="30" s="1"/>
  <c r="V72" i="6"/>
  <c r="V37" i="7" s="1"/>
  <c r="AB37" i="7" s="1"/>
  <c r="Z65" i="9"/>
  <c r="AA65" i="9"/>
  <c r="Y52" i="28"/>
  <c r="Y116" i="28" s="1"/>
  <c r="Z42" i="28"/>
  <c r="Z106" i="28" s="1"/>
  <c r="Z27" i="28"/>
  <c r="Z91" i="28" s="1"/>
  <c r="Z63" i="28"/>
  <c r="Z127" i="28" s="1"/>
  <c r="Z49" i="28"/>
  <c r="Z113" i="28" s="1"/>
  <c r="Z65" i="23"/>
  <c r="Y40" i="28"/>
  <c r="Y104" i="28" s="1"/>
  <c r="Z21" i="28"/>
  <c r="Z85" i="28" s="1"/>
  <c r="Z52" i="28"/>
  <c r="Z116" i="28" s="1"/>
  <c r="Y37" i="28"/>
  <c r="Y101" i="28" s="1"/>
  <c r="AA65" i="23"/>
  <c r="R13" i="24"/>
  <c r="S13" i="24" s="1"/>
  <c r="M42" i="24"/>
  <c r="R14" i="24"/>
  <c r="S14" i="24" s="1"/>
  <c r="R30" i="24"/>
  <c r="S30" i="24" s="1"/>
  <c r="R23" i="24"/>
  <c r="S23" i="24" s="1"/>
  <c r="N14" i="24"/>
  <c r="R35" i="24"/>
  <c r="S35" i="24" s="1"/>
  <c r="R36" i="24"/>
  <c r="S36" i="24" s="1"/>
  <c r="R21" i="24"/>
  <c r="S21" i="24" s="1"/>
  <c r="R8" i="24"/>
  <c r="S8" i="24" s="1"/>
  <c r="R6" i="24"/>
  <c r="S6" i="24" s="1"/>
  <c r="T37" i="24"/>
  <c r="M39" i="24"/>
  <c r="M40" i="24"/>
  <c r="M33" i="24"/>
  <c r="M35" i="24"/>
  <c r="M8" i="24"/>
  <c r="AI60" i="9"/>
  <c r="AI46" i="9"/>
  <c r="AI48" i="9"/>
  <c r="AI42" i="9"/>
  <c r="N29" i="24"/>
  <c r="N5" i="24"/>
  <c r="R26" i="24"/>
  <c r="S26" i="24" s="1"/>
  <c r="R19" i="24"/>
  <c r="S19" i="24" s="1"/>
  <c r="R32" i="24"/>
  <c r="S32" i="24" s="1"/>
  <c r="R5" i="24"/>
  <c r="R11" i="24"/>
  <c r="S11" i="24" s="1"/>
  <c r="T32" i="24"/>
  <c r="T15" i="24"/>
  <c r="T28" i="24"/>
  <c r="T5" i="24"/>
  <c r="M37" i="24"/>
  <c r="M22" i="24"/>
  <c r="M24" i="24"/>
  <c r="M17" i="24"/>
  <c r="M5" i="24"/>
  <c r="AI51" i="9"/>
  <c r="AI44" i="9"/>
  <c r="AI39" i="9"/>
  <c r="AI57" i="9"/>
  <c r="R37" i="24"/>
  <c r="S37" i="24" s="1"/>
  <c r="T13" i="24"/>
  <c r="M13" i="24"/>
  <c r="AA65" i="8"/>
  <c r="Z5" i="28"/>
  <c r="Z69" i="28" s="1"/>
  <c r="N39" i="12"/>
  <c r="N39" i="24"/>
  <c r="AI41" i="9"/>
  <c r="AI34" i="9"/>
  <c r="AI53" i="9"/>
  <c r="O11" i="30"/>
  <c r="R41" i="24"/>
  <c r="S41" i="24" s="1"/>
  <c r="R22" i="24"/>
  <c r="S22" i="24" s="1"/>
  <c r="R10" i="24"/>
  <c r="S10" i="24" s="1"/>
  <c r="T21" i="24"/>
  <c r="T34" i="24"/>
  <c r="T27" i="24"/>
  <c r="T38" i="24"/>
  <c r="T10" i="24"/>
  <c r="M19" i="24"/>
  <c r="M43" i="24"/>
  <c r="M26" i="24"/>
  <c r="M28" i="24"/>
  <c r="M10" i="24"/>
  <c r="R44" i="29"/>
  <c r="R89" i="29" s="1"/>
  <c r="T44" i="24"/>
  <c r="AI63" i="9"/>
  <c r="AI56" i="9"/>
  <c r="AI58" i="9"/>
  <c r="R34" i="24"/>
  <c r="S34" i="24" s="1"/>
  <c r="R42" i="24"/>
  <c r="S42" i="24" s="1"/>
  <c r="R29" i="24"/>
  <c r="S29" i="24" s="1"/>
  <c r="R38" i="24"/>
  <c r="S38" i="24" s="1"/>
  <c r="R18" i="24"/>
  <c r="S18" i="24" s="1"/>
  <c r="T31" i="24"/>
  <c r="T25" i="24"/>
  <c r="T17" i="24"/>
  <c r="T29" i="24"/>
  <c r="T18" i="24"/>
  <c r="T43" i="24"/>
  <c r="M29" i="24"/>
  <c r="M32" i="24"/>
  <c r="M25" i="24"/>
  <c r="M27" i="24"/>
  <c r="M18" i="24"/>
  <c r="AI59" i="9"/>
  <c r="AI54" i="9"/>
  <c r="AI47" i="9"/>
  <c r="AI40" i="9"/>
  <c r="R31" i="24"/>
  <c r="S31" i="24" s="1"/>
  <c r="T36" i="24"/>
  <c r="M23" i="24"/>
  <c r="R28" i="24"/>
  <c r="S28" i="24" s="1"/>
  <c r="N33" i="24"/>
  <c r="R25" i="24"/>
  <c r="S25" i="24" s="1"/>
  <c r="R44" i="24"/>
  <c r="S44" i="24" s="1"/>
  <c r="R20" i="24"/>
  <c r="S20" i="24" s="1"/>
  <c r="R33" i="24"/>
  <c r="S33" i="24" s="1"/>
  <c r="R7" i="24"/>
  <c r="S7" i="24" s="1"/>
  <c r="T22" i="24"/>
  <c r="T24" i="24"/>
  <c r="T41" i="24"/>
  <c r="T20" i="24"/>
  <c r="T7" i="24"/>
  <c r="M30" i="24"/>
  <c r="M31" i="24"/>
  <c r="M15" i="24"/>
  <c r="M9" i="24"/>
  <c r="M7" i="24"/>
  <c r="AI33" i="9"/>
  <c r="AI52" i="9"/>
  <c r="AI38" i="9"/>
  <c r="AI45" i="9"/>
  <c r="R16" i="24"/>
  <c r="S16" i="24" s="1"/>
  <c r="T14" i="24"/>
  <c r="M20" i="24"/>
  <c r="N27" i="24"/>
  <c r="R15" i="24"/>
  <c r="S15" i="24" s="1"/>
  <c r="R27" i="24"/>
  <c r="S27" i="24" s="1"/>
  <c r="R39" i="24"/>
  <c r="S39" i="24" s="1"/>
  <c r="R24" i="24"/>
  <c r="S24" i="24" s="1"/>
  <c r="R12" i="24"/>
  <c r="S12" i="24" s="1"/>
  <c r="T23" i="24"/>
  <c r="T35" i="24"/>
  <c r="T40" i="24"/>
  <c r="T6" i="24"/>
  <c r="T12" i="24"/>
  <c r="M38" i="24"/>
  <c r="M41" i="24"/>
  <c r="M14" i="24"/>
  <c r="M6" i="24"/>
  <c r="M12" i="24"/>
  <c r="AI49" i="9"/>
  <c r="AI43" i="9"/>
  <c r="AI61" i="9"/>
  <c r="AI50" i="9"/>
  <c r="R40" i="24"/>
  <c r="S40" i="24" s="1"/>
  <c r="T30" i="24"/>
  <c r="T19" i="24"/>
  <c r="M44" i="24"/>
  <c r="M16" i="24"/>
  <c r="R17" i="24"/>
  <c r="S17" i="24" s="1"/>
  <c r="R9" i="24"/>
  <c r="S9" i="24" s="1"/>
  <c r="T39" i="24"/>
  <c r="T11" i="24"/>
  <c r="T9" i="24"/>
  <c r="R43" i="24"/>
  <c r="S43" i="24" s="1"/>
  <c r="M21" i="24"/>
  <c r="M34" i="24"/>
  <c r="M36" i="24"/>
  <c r="M11" i="24"/>
  <c r="AI62" i="9"/>
  <c r="AI55" i="9"/>
  <c r="AI35" i="9"/>
  <c r="AI36" i="9"/>
  <c r="X10" i="30"/>
  <c r="X8" i="30"/>
  <c r="M6" i="31"/>
  <c r="M10" i="31"/>
  <c r="X6" i="30"/>
  <c r="AR35" i="23"/>
  <c r="AV34" i="23"/>
  <c r="AJ10" i="25"/>
  <c r="AQ21" i="23"/>
  <c r="AV13" i="23"/>
  <c r="AR14" i="23"/>
  <c r="AV14" i="23" s="1"/>
  <c r="AQ9" i="23"/>
  <c r="AO10" i="25"/>
  <c r="AV25" i="23"/>
  <c r="AR26" i="23"/>
  <c r="AV26" i="23" s="1"/>
  <c r="AT10" i="25"/>
  <c r="N15" i="11"/>
  <c r="N15" i="13" s="1"/>
  <c r="N16" i="11"/>
  <c r="N16" i="13" s="1"/>
  <c r="N31" i="11"/>
  <c r="N31" i="12" s="1"/>
  <c r="N34" i="11"/>
  <c r="N34" i="13" s="1"/>
  <c r="N13" i="11"/>
  <c r="N13" i="12" s="1"/>
  <c r="N36" i="11"/>
  <c r="N42" i="11"/>
  <c r="N42" i="12" s="1"/>
  <c r="N22" i="11"/>
  <c r="N24" i="11"/>
  <c r="N24" i="12" s="1"/>
  <c r="N10" i="11"/>
  <c r="N35" i="11"/>
  <c r="N37" i="11"/>
  <c r="N21" i="11"/>
  <c r="N12" i="11"/>
  <c r="N18" i="11"/>
  <c r="N18" i="12" s="1"/>
  <c r="N17" i="11"/>
  <c r="N20" i="11"/>
  <c r="N20" i="12" s="1"/>
  <c r="N40" i="11"/>
  <c r="N9" i="11"/>
  <c r="N7" i="11"/>
  <c r="N25" i="11"/>
  <c r="N19" i="11"/>
  <c r="N23" i="11"/>
  <c r="N23" i="12" s="1"/>
  <c r="N6" i="11"/>
  <c r="N6" i="12" s="1"/>
  <c r="N39" i="13"/>
  <c r="N39" i="29" s="1"/>
  <c r="N84" i="29" s="1"/>
  <c r="N43" i="11"/>
  <c r="N38" i="11"/>
  <c r="N44" i="11"/>
  <c r="N32" i="11"/>
  <c r="N11" i="11"/>
  <c r="N26" i="11"/>
  <c r="N26" i="12" s="1"/>
  <c r="N28" i="11"/>
  <c r="N28" i="12" s="1"/>
  <c r="N30" i="11"/>
  <c r="N30" i="13" s="1"/>
  <c r="N41" i="11"/>
  <c r="N8" i="11"/>
  <c r="M49" i="9"/>
  <c r="D46" i="5"/>
  <c r="AB47" i="24" s="1"/>
  <c r="Q47" i="13"/>
  <c r="Q47" i="12"/>
  <c r="Q47" i="11"/>
  <c r="Q47" i="10"/>
  <c r="AI11" i="9"/>
  <c r="AI6" i="9"/>
  <c r="AI15" i="9"/>
  <c r="AI23" i="9"/>
  <c r="AI26" i="9"/>
  <c r="N31" i="13"/>
  <c r="N13" i="13"/>
  <c r="R15" i="12"/>
  <c r="S15" i="11"/>
  <c r="R27" i="12"/>
  <c r="S27" i="11"/>
  <c r="R27" i="13"/>
  <c r="S27" i="13" s="1"/>
  <c r="R39" i="12"/>
  <c r="S39" i="11"/>
  <c r="R39" i="13"/>
  <c r="S39" i="13" s="1"/>
  <c r="R24" i="12"/>
  <c r="S24" i="11"/>
  <c r="R24" i="13"/>
  <c r="S24" i="13" s="1"/>
  <c r="R12" i="12"/>
  <c r="S12" i="11"/>
  <c r="R12" i="13"/>
  <c r="S12" i="13" s="1"/>
  <c r="T23" i="12"/>
  <c r="T23" i="13"/>
  <c r="T35" i="12"/>
  <c r="T35" i="13"/>
  <c r="T40" i="12"/>
  <c r="T40" i="13"/>
  <c r="T6" i="12"/>
  <c r="T6" i="13"/>
  <c r="T12" i="12"/>
  <c r="T12" i="13"/>
  <c r="M38" i="12"/>
  <c r="M38" i="13"/>
  <c r="M41" i="12"/>
  <c r="M41" i="13"/>
  <c r="M14" i="12"/>
  <c r="M14" i="13"/>
  <c r="M6" i="12"/>
  <c r="M6" i="13"/>
  <c r="M12" i="12"/>
  <c r="M12" i="29" s="1"/>
  <c r="M57" i="29" s="1"/>
  <c r="M12" i="13"/>
  <c r="X21" i="9"/>
  <c r="X7" i="9"/>
  <c r="X20" i="9"/>
  <c r="X38" i="9"/>
  <c r="X43" i="9"/>
  <c r="X32" i="9"/>
  <c r="X37" i="9"/>
  <c r="M13" i="7"/>
  <c r="M16" i="7"/>
  <c r="O61" i="9"/>
  <c r="O40" i="9"/>
  <c r="O52" i="9"/>
  <c r="O9" i="9"/>
  <c r="O14" i="9"/>
  <c r="O25" i="9"/>
  <c r="O24" i="9"/>
  <c r="P42" i="9"/>
  <c r="P45" i="9"/>
  <c r="P63" i="9"/>
  <c r="P17" i="9"/>
  <c r="P22" i="9"/>
  <c r="P29" i="9"/>
  <c r="P35" i="9"/>
  <c r="L45" i="9"/>
  <c r="L12" i="9"/>
  <c r="L62" i="9"/>
  <c r="L56" i="9"/>
  <c r="L14" i="9"/>
  <c r="L65" i="7"/>
  <c r="L70" i="7" s="1"/>
  <c r="L13" i="23" s="1"/>
  <c r="L5" i="9"/>
  <c r="L35" i="9"/>
  <c r="M11" i="7"/>
  <c r="M48" i="7"/>
  <c r="U47" i="9"/>
  <c r="U43" i="9"/>
  <c r="U49" i="9"/>
  <c r="U42" i="9"/>
  <c r="U29" i="9"/>
  <c r="U9" i="9"/>
  <c r="U14" i="9"/>
  <c r="M37" i="7"/>
  <c r="R47" i="9"/>
  <c r="R54" i="9"/>
  <c r="R8" i="9"/>
  <c r="R13" i="9"/>
  <c r="R18" i="9"/>
  <c r="R29" i="9"/>
  <c r="R35" i="9"/>
  <c r="AH50" i="9"/>
  <c r="AH48" i="9"/>
  <c r="AH35" i="9"/>
  <c r="AH34" i="9"/>
  <c r="AH32" i="9"/>
  <c r="AH8" i="9"/>
  <c r="AH21" i="9"/>
  <c r="AH37" i="9"/>
  <c r="AD49" i="7"/>
  <c r="AC49" i="9"/>
  <c r="AD49" i="9" s="1"/>
  <c r="AD33" i="7"/>
  <c r="AC33" i="9"/>
  <c r="AD33" i="9" s="1"/>
  <c r="AD58" i="7"/>
  <c r="AC58" i="9"/>
  <c r="AD58" i="9" s="1"/>
  <c r="AD42" i="7"/>
  <c r="AC42" i="9"/>
  <c r="AD42" i="9" s="1"/>
  <c r="AD16" i="7"/>
  <c r="AC16" i="9"/>
  <c r="AD16" i="9" s="1"/>
  <c r="AD21" i="7"/>
  <c r="AC21" i="9"/>
  <c r="AD21" i="9" s="1"/>
  <c r="AD28" i="7"/>
  <c r="AC28" i="9"/>
  <c r="AD28" i="9" s="1"/>
  <c r="Y65" i="7"/>
  <c r="Y70" i="7" s="1"/>
  <c r="Y15" i="23" s="1"/>
  <c r="W18" i="9"/>
  <c r="W19" i="9"/>
  <c r="W27" i="9"/>
  <c r="W59" i="9"/>
  <c r="W50" i="9"/>
  <c r="W48" i="9"/>
  <c r="W52" i="9"/>
  <c r="M58" i="7"/>
  <c r="M59" i="7"/>
  <c r="Q58" i="9"/>
  <c r="Q42" i="9"/>
  <c r="Q54" i="9"/>
  <c r="Q60" i="9"/>
  <c r="Q9" i="9"/>
  <c r="Q18" i="9"/>
  <c r="Q27" i="9"/>
  <c r="V7" i="11"/>
  <c r="V18" i="11"/>
  <c r="V10" i="11"/>
  <c r="V13" i="11"/>
  <c r="V5" i="11"/>
  <c r="V8" i="11"/>
  <c r="V11" i="11"/>
  <c r="V6" i="11"/>
  <c r="V9" i="11"/>
  <c r="V12" i="11"/>
  <c r="V23" i="11"/>
  <c r="V40" i="11"/>
  <c r="V41" i="11"/>
  <c r="V38" i="11"/>
  <c r="V20" i="11"/>
  <c r="V21" i="11"/>
  <c r="V22" i="11"/>
  <c r="V31" i="11"/>
  <c r="V42" i="11"/>
  <c r="V28" i="11"/>
  <c r="V29" i="11"/>
  <c r="V30" i="11"/>
  <c r="V19" i="11"/>
  <c r="V36" i="11"/>
  <c r="V37" i="11"/>
  <c r="V27" i="11"/>
  <c r="V44" i="11"/>
  <c r="V17" i="11"/>
  <c r="V35" i="11"/>
  <c r="V15" i="11"/>
  <c r="V16" i="11"/>
  <c r="V26" i="11"/>
  <c r="V43" i="11"/>
  <c r="V24" i="11"/>
  <c r="V25" i="11"/>
  <c r="V34" i="11"/>
  <c r="V14" i="11"/>
  <c r="V32" i="11"/>
  <c r="V33" i="11"/>
  <c r="V39" i="11"/>
  <c r="R15" i="13"/>
  <c r="S15" i="13" s="1"/>
  <c r="R50" i="12"/>
  <c r="AI10" i="9"/>
  <c r="AI19" i="9"/>
  <c r="AI27" i="9"/>
  <c r="AI31" i="9"/>
  <c r="N36" i="12"/>
  <c r="N36" i="13"/>
  <c r="N10" i="12"/>
  <c r="N10" i="13"/>
  <c r="R14" i="12"/>
  <c r="S14" i="11"/>
  <c r="R14" i="13"/>
  <c r="S14" i="13" s="1"/>
  <c r="R17" i="12"/>
  <c r="S17" i="11"/>
  <c r="R17" i="13"/>
  <c r="S17" i="13" s="1"/>
  <c r="R30" i="12"/>
  <c r="S30" i="11"/>
  <c r="R30" i="13"/>
  <c r="S30" i="13" s="1"/>
  <c r="R23" i="12"/>
  <c r="S23" i="11"/>
  <c r="R23" i="13"/>
  <c r="S23" i="13" s="1"/>
  <c r="R9" i="12"/>
  <c r="S9" i="11"/>
  <c r="R9" i="13"/>
  <c r="S9" i="13" s="1"/>
  <c r="T26" i="12"/>
  <c r="T26" i="13"/>
  <c r="T39" i="12"/>
  <c r="T39" i="13"/>
  <c r="T11" i="12"/>
  <c r="T11" i="13"/>
  <c r="T9" i="12"/>
  <c r="T9" i="13"/>
  <c r="S43" i="11"/>
  <c r="R43" i="12"/>
  <c r="R43" i="13"/>
  <c r="S43" i="13" s="1"/>
  <c r="M21" i="12"/>
  <c r="M21" i="13"/>
  <c r="M34" i="12"/>
  <c r="M34" i="13"/>
  <c r="M36" i="12"/>
  <c r="M36" i="13"/>
  <c r="M11" i="12"/>
  <c r="M11" i="13"/>
  <c r="M31" i="7"/>
  <c r="X6" i="9"/>
  <c r="X11" i="9"/>
  <c r="X31" i="9"/>
  <c r="X42" i="9"/>
  <c r="X53" i="9"/>
  <c r="X36" i="9"/>
  <c r="X41" i="9"/>
  <c r="O55" i="9"/>
  <c r="O56" i="9"/>
  <c r="O54" i="9"/>
  <c r="O51" i="9"/>
  <c r="O13" i="9"/>
  <c r="O18" i="9"/>
  <c r="O29" i="9"/>
  <c r="O28" i="9"/>
  <c r="P56" i="9"/>
  <c r="P59" i="9"/>
  <c r="P58" i="9"/>
  <c r="P21" i="9"/>
  <c r="P26" i="9"/>
  <c r="P8" i="9"/>
  <c r="P39" i="9"/>
  <c r="L19" i="9"/>
  <c r="L59" i="9"/>
  <c r="L52" i="9"/>
  <c r="L47" i="9"/>
  <c r="L18" i="9"/>
  <c r="L9" i="9"/>
  <c r="L39" i="9"/>
  <c r="M61" i="7"/>
  <c r="M24" i="7"/>
  <c r="M34" i="7"/>
  <c r="U45" i="9"/>
  <c r="U62" i="9"/>
  <c r="U46" i="9"/>
  <c r="U56" i="9"/>
  <c r="U8" i="9"/>
  <c r="U13" i="9"/>
  <c r="U18" i="9"/>
  <c r="M50" i="7"/>
  <c r="R58" i="9"/>
  <c r="R45" i="9"/>
  <c r="R12" i="9"/>
  <c r="R17" i="9"/>
  <c r="R22" i="9"/>
  <c r="R33" i="9"/>
  <c r="R39" i="9"/>
  <c r="AH63" i="9"/>
  <c r="AH47" i="9"/>
  <c r="AH59" i="9"/>
  <c r="AH43" i="9"/>
  <c r="AH7" i="9"/>
  <c r="AH12" i="9"/>
  <c r="AH22" i="9"/>
  <c r="M56" i="7"/>
  <c r="AD63" i="7"/>
  <c r="AC63" i="9"/>
  <c r="AD63" i="9" s="1"/>
  <c r="AD47" i="7"/>
  <c r="AC47" i="9"/>
  <c r="AD47" i="9" s="1"/>
  <c r="AD40" i="7"/>
  <c r="AC40" i="9"/>
  <c r="AD40" i="9" s="1"/>
  <c r="AD7" i="7"/>
  <c r="AC7" i="9"/>
  <c r="AD7" i="9" s="1"/>
  <c r="AD20" i="7"/>
  <c r="AC20" i="9"/>
  <c r="AD20" i="9" s="1"/>
  <c r="AD6" i="7"/>
  <c r="AC6" i="9"/>
  <c r="AD6" i="9" s="1"/>
  <c r="AD32" i="7"/>
  <c r="AC32" i="9"/>
  <c r="AD32" i="9" s="1"/>
  <c r="M55" i="7"/>
  <c r="W22" i="9"/>
  <c r="W8" i="9"/>
  <c r="W5" i="9"/>
  <c r="W65" i="7"/>
  <c r="W70" i="7" s="1"/>
  <c r="W30" i="23" s="1"/>
  <c r="W62" i="9"/>
  <c r="W60" i="9"/>
  <c r="W51" i="9"/>
  <c r="W55" i="9"/>
  <c r="M8" i="7"/>
  <c r="Z65" i="8"/>
  <c r="M20" i="7"/>
  <c r="Q57" i="9"/>
  <c r="Q37" i="9"/>
  <c r="Q45" i="9"/>
  <c r="Q51" i="9"/>
  <c r="Q13" i="9"/>
  <c r="Q22" i="9"/>
  <c r="Q35" i="9"/>
  <c r="V21" i="7"/>
  <c r="AB21" i="7" s="1"/>
  <c r="V20" i="7"/>
  <c r="AB20" i="7" s="1"/>
  <c r="V26" i="7"/>
  <c r="AB26" i="7" s="1"/>
  <c r="V33" i="7"/>
  <c r="AB33" i="7" s="1"/>
  <c r="V49" i="7"/>
  <c r="V63" i="7"/>
  <c r="AB63" i="7" s="1"/>
  <c r="V46" i="7"/>
  <c r="AI14" i="9"/>
  <c r="AI24" i="9"/>
  <c r="AI5" i="9"/>
  <c r="AI65" i="7"/>
  <c r="AI70" i="7" s="1"/>
  <c r="AI32" i="8" s="1"/>
  <c r="AI32" i="9"/>
  <c r="N35" i="12"/>
  <c r="N35" i="13"/>
  <c r="N37" i="12"/>
  <c r="N37" i="13"/>
  <c r="N21" i="12"/>
  <c r="N21" i="13"/>
  <c r="N12" i="12"/>
  <c r="N12" i="13"/>
  <c r="R35" i="12"/>
  <c r="S35" i="11"/>
  <c r="R35" i="13"/>
  <c r="S35" i="13" s="1"/>
  <c r="R36" i="12"/>
  <c r="S36" i="11"/>
  <c r="R36" i="13"/>
  <c r="S36" i="13" s="1"/>
  <c r="R21" i="12"/>
  <c r="S21" i="11"/>
  <c r="R21" i="13"/>
  <c r="S21" i="13" s="1"/>
  <c r="R8" i="12"/>
  <c r="S8" i="11"/>
  <c r="R8" i="13"/>
  <c r="S8" i="13" s="1"/>
  <c r="R6" i="12"/>
  <c r="S6" i="11"/>
  <c r="R6" i="13"/>
  <c r="S6" i="13" s="1"/>
  <c r="T33" i="12"/>
  <c r="T16" i="12"/>
  <c r="T16" i="13"/>
  <c r="T37" i="12"/>
  <c r="T37" i="13"/>
  <c r="T8" i="12"/>
  <c r="T8" i="13"/>
  <c r="U12" i="11"/>
  <c r="U7" i="11"/>
  <c r="U18" i="11"/>
  <c r="U10" i="11"/>
  <c r="W10" i="11" s="1"/>
  <c r="U13" i="11"/>
  <c r="U5" i="11"/>
  <c r="U8" i="11"/>
  <c r="U11" i="11"/>
  <c r="U6" i="11"/>
  <c r="U9" i="11"/>
  <c r="U34" i="11"/>
  <c r="U35" i="11"/>
  <c r="U36" i="11"/>
  <c r="U15" i="11"/>
  <c r="U25" i="11"/>
  <c r="U24" i="11"/>
  <c r="W24" i="11" s="1"/>
  <c r="U33" i="11"/>
  <c r="U14" i="11"/>
  <c r="U32" i="11"/>
  <c r="U22" i="11"/>
  <c r="W22" i="11" s="1"/>
  <c r="U23" i="11"/>
  <c r="U40" i="11"/>
  <c r="U21" i="11"/>
  <c r="U30" i="11"/>
  <c r="W30" i="11" s="1"/>
  <c r="U31" i="11"/>
  <c r="W31" i="11" s="1"/>
  <c r="U29" i="11"/>
  <c r="U17" i="11"/>
  <c r="U19" i="11"/>
  <c r="U20" i="11"/>
  <c r="U37" i="11"/>
  <c r="U26" i="11"/>
  <c r="U27" i="11"/>
  <c r="W27" i="11" s="1"/>
  <c r="U28" i="11"/>
  <c r="W28" i="11" s="1"/>
  <c r="U16" i="11"/>
  <c r="U38" i="11"/>
  <c r="U39" i="11"/>
  <c r="U44" i="11"/>
  <c r="U43" i="11"/>
  <c r="U41" i="11"/>
  <c r="U42" i="11"/>
  <c r="M39" i="12"/>
  <c r="M39" i="13"/>
  <c r="M40" i="12"/>
  <c r="M40" i="13"/>
  <c r="M33" i="12"/>
  <c r="M33" i="13"/>
  <c r="M35" i="12"/>
  <c r="M35" i="13"/>
  <c r="M8" i="12"/>
  <c r="M8" i="13"/>
  <c r="M63" i="7"/>
  <c r="X10" i="9"/>
  <c r="X15" i="9"/>
  <c r="X23" i="9"/>
  <c r="X49" i="9"/>
  <c r="X47" i="9"/>
  <c r="X40" i="9"/>
  <c r="X61" i="9"/>
  <c r="O49" i="9"/>
  <c r="O42" i="9"/>
  <c r="O36" i="9"/>
  <c r="O38" i="9"/>
  <c r="O17" i="9"/>
  <c r="O22" i="9"/>
  <c r="O8" i="9"/>
  <c r="O32" i="9"/>
  <c r="P62" i="9"/>
  <c r="P57" i="9"/>
  <c r="P44" i="9"/>
  <c r="P23" i="9"/>
  <c r="P30" i="9"/>
  <c r="P12" i="9"/>
  <c r="P32" i="9"/>
  <c r="M23" i="7"/>
  <c r="L49" i="9"/>
  <c r="L16" i="9"/>
  <c r="L23" i="9"/>
  <c r="L46" i="8"/>
  <c r="L46" i="9"/>
  <c r="L22" i="9"/>
  <c r="L13" i="9"/>
  <c r="L40" i="9"/>
  <c r="R40" i="12"/>
  <c r="S65" i="7"/>
  <c r="M47" i="7"/>
  <c r="U59" i="9"/>
  <c r="U52" i="9"/>
  <c r="U35" i="9"/>
  <c r="U55" i="9"/>
  <c r="U12" i="9"/>
  <c r="U17" i="9"/>
  <c r="U22" i="9"/>
  <c r="R49" i="9"/>
  <c r="R48" i="9"/>
  <c r="R46" i="9"/>
  <c r="R16" i="9"/>
  <c r="R21" i="9"/>
  <c r="R26" i="9"/>
  <c r="R37" i="9"/>
  <c r="R32" i="9"/>
  <c r="AH60" i="9"/>
  <c r="AH61" i="9"/>
  <c r="AH54" i="9"/>
  <c r="AH49" i="9"/>
  <c r="AH11" i="9"/>
  <c r="AH16" i="9"/>
  <c r="AH26" i="9"/>
  <c r="M41" i="7"/>
  <c r="AD52" i="7"/>
  <c r="AC52" i="9"/>
  <c r="AD52" i="9" s="1"/>
  <c r="AD35" i="7"/>
  <c r="AC35" i="9"/>
  <c r="AD35" i="9" s="1"/>
  <c r="AD54" i="7"/>
  <c r="AC54" i="9"/>
  <c r="AD54" i="9" s="1"/>
  <c r="AD11" i="7"/>
  <c r="AC11" i="9"/>
  <c r="AD11" i="9" s="1"/>
  <c r="AD23" i="7"/>
  <c r="AC23" i="9"/>
  <c r="AD23" i="9" s="1"/>
  <c r="AD10" i="7"/>
  <c r="AC10" i="9"/>
  <c r="AD10" i="9" s="1"/>
  <c r="AD37" i="7"/>
  <c r="AC37" i="9"/>
  <c r="AD37" i="9" s="1"/>
  <c r="Y13" i="8"/>
  <c r="Y18" i="8"/>
  <c r="Y28" i="8"/>
  <c r="Y55" i="8"/>
  <c r="Y59" i="8"/>
  <c r="Y50" i="8"/>
  <c r="Y48" i="8"/>
  <c r="M7" i="7"/>
  <c r="W26" i="9"/>
  <c r="W12" i="9"/>
  <c r="W9" i="9"/>
  <c r="W31" i="9"/>
  <c r="W63" i="9"/>
  <c r="W54" i="9"/>
  <c r="W58" i="9"/>
  <c r="M42" i="7"/>
  <c r="Q52" i="9"/>
  <c r="Q16" i="9"/>
  <c r="Q24" i="9"/>
  <c r="Q56" i="9"/>
  <c r="Q11" i="9"/>
  <c r="Q17" i="9"/>
  <c r="Q26" i="9"/>
  <c r="Q39" i="9"/>
  <c r="AI18" i="9"/>
  <c r="AI28" i="9"/>
  <c r="AI9" i="9"/>
  <c r="AI37" i="9"/>
  <c r="N40" i="12"/>
  <c r="N40" i="13"/>
  <c r="N9" i="12"/>
  <c r="N9" i="13"/>
  <c r="N7" i="12"/>
  <c r="N7" i="13"/>
  <c r="R26" i="12"/>
  <c r="S26" i="11"/>
  <c r="R26" i="13"/>
  <c r="S26" i="13" s="1"/>
  <c r="R19" i="12"/>
  <c r="S19" i="11"/>
  <c r="R19" i="13"/>
  <c r="S19" i="13" s="1"/>
  <c r="R32" i="12"/>
  <c r="S32" i="11"/>
  <c r="R32" i="13"/>
  <c r="S32" i="13" s="1"/>
  <c r="R5" i="12"/>
  <c r="S5" i="11"/>
  <c r="R5" i="13"/>
  <c r="R46" i="11"/>
  <c r="R11" i="12"/>
  <c r="S11" i="11"/>
  <c r="R11" i="13"/>
  <c r="S11" i="13" s="1"/>
  <c r="T32" i="12"/>
  <c r="T32" i="13"/>
  <c r="T15" i="12"/>
  <c r="T15" i="13"/>
  <c r="T28" i="12"/>
  <c r="T28" i="13"/>
  <c r="T5" i="12"/>
  <c r="T5" i="13"/>
  <c r="Z13" i="11"/>
  <c r="Z5" i="11"/>
  <c r="Z8" i="11"/>
  <c r="Z11" i="11"/>
  <c r="Z6" i="11"/>
  <c r="Z9" i="11"/>
  <c r="Z12" i="11"/>
  <c r="Z7" i="11"/>
  <c r="Z18" i="11"/>
  <c r="Z10" i="11"/>
  <c r="Z19" i="11"/>
  <c r="Z28" i="11"/>
  <c r="Z37" i="11"/>
  <c r="Z42" i="11"/>
  <c r="Z17" i="11"/>
  <c r="Z27" i="11"/>
  <c r="Z36" i="11"/>
  <c r="Z43" i="11"/>
  <c r="Z40" i="11"/>
  <c r="Z16" i="11"/>
  <c r="Z26" i="11"/>
  <c r="Z35" i="11"/>
  <c r="Z15" i="11"/>
  <c r="Z25" i="11"/>
  <c r="Z34" i="11"/>
  <c r="Z39" i="11"/>
  <c r="Z22" i="11"/>
  <c r="Z14" i="11"/>
  <c r="Z24" i="11"/>
  <c r="Z33" i="11"/>
  <c r="Z30" i="11"/>
  <c r="Z23" i="11"/>
  <c r="Z32" i="11"/>
  <c r="Z41" i="11"/>
  <c r="Z38" i="11"/>
  <c r="Z31" i="11"/>
  <c r="Z20" i="11"/>
  <c r="Z29" i="11"/>
  <c r="Z21" i="11"/>
  <c r="Z44" i="11"/>
  <c r="M37" i="12"/>
  <c r="M37" i="13"/>
  <c r="M22" i="12"/>
  <c r="M22" i="13"/>
  <c r="M24" i="12"/>
  <c r="M24" i="13"/>
  <c r="M17" i="12"/>
  <c r="M17" i="13"/>
  <c r="M5" i="12"/>
  <c r="M5" i="13"/>
  <c r="M46" i="11"/>
  <c r="M30" i="7"/>
  <c r="X14" i="9"/>
  <c r="X19" i="9"/>
  <c r="X27" i="9"/>
  <c r="X46" i="9"/>
  <c r="X50" i="9"/>
  <c r="X44" i="9"/>
  <c r="X45" i="9"/>
  <c r="O58" i="9"/>
  <c r="O53" i="9"/>
  <c r="O35" i="9"/>
  <c r="O63" i="9"/>
  <c r="O21" i="9"/>
  <c r="O7" i="9"/>
  <c r="O12" i="9"/>
  <c r="O37" i="9"/>
  <c r="P61" i="9"/>
  <c r="P51" i="9"/>
  <c r="P24" i="9"/>
  <c r="P27" i="9"/>
  <c r="P7" i="9"/>
  <c r="P16" i="9"/>
  <c r="P36" i="9"/>
  <c r="M39" i="7"/>
  <c r="L32" i="9"/>
  <c r="L51" i="9"/>
  <c r="L55" i="9"/>
  <c r="L53" i="8"/>
  <c r="L53" i="9"/>
  <c r="L34" i="9"/>
  <c r="L17" i="9"/>
  <c r="L25" i="9"/>
  <c r="M52" i="7"/>
  <c r="U40" i="9"/>
  <c r="U34" i="9"/>
  <c r="U50" i="9"/>
  <c r="U7" i="9"/>
  <c r="U16" i="9"/>
  <c r="U21" i="9"/>
  <c r="U26" i="9"/>
  <c r="R63" i="9"/>
  <c r="R61" i="9"/>
  <c r="R60" i="9"/>
  <c r="R20" i="9"/>
  <c r="R23" i="9"/>
  <c r="R7" i="9"/>
  <c r="R41" i="9"/>
  <c r="R36" i="9"/>
  <c r="AH42" i="9"/>
  <c r="AH44" i="9"/>
  <c r="AH45" i="9"/>
  <c r="AH38" i="9"/>
  <c r="AH15" i="9"/>
  <c r="AH20" i="9"/>
  <c r="AH23" i="9"/>
  <c r="AD57" i="7"/>
  <c r="AC57" i="9"/>
  <c r="AD57" i="9" s="1"/>
  <c r="AD43" i="7"/>
  <c r="AC43" i="9"/>
  <c r="AD43" i="9" s="1"/>
  <c r="AD56" i="7"/>
  <c r="AC56" i="9"/>
  <c r="AD56" i="9" s="1"/>
  <c r="AD53" i="7"/>
  <c r="AC53" i="9"/>
  <c r="AD53" i="9" s="1"/>
  <c r="AD15" i="7"/>
  <c r="AC15" i="9"/>
  <c r="AD15" i="9" s="1"/>
  <c r="AD27" i="7"/>
  <c r="AC27" i="9"/>
  <c r="AD27" i="9" s="1"/>
  <c r="AD14" i="7"/>
  <c r="AC14" i="9"/>
  <c r="AD14" i="9" s="1"/>
  <c r="AD22" i="7"/>
  <c r="AC22" i="9"/>
  <c r="AD22" i="9" s="1"/>
  <c r="Y17" i="8"/>
  <c r="Y25" i="8"/>
  <c r="Y8" i="8"/>
  <c r="Y58" i="8"/>
  <c r="Y62" i="8"/>
  <c r="Y60" i="8"/>
  <c r="Y51" i="8"/>
  <c r="M60" i="7"/>
  <c r="W25" i="9"/>
  <c r="W16" i="9"/>
  <c r="W13" i="9"/>
  <c r="W35" i="9"/>
  <c r="W32" i="9"/>
  <c r="W33" i="9"/>
  <c r="W30" i="9"/>
  <c r="Q43" i="9"/>
  <c r="Q55" i="9"/>
  <c r="Q31" i="9"/>
  <c r="Q12" i="9"/>
  <c r="Q30" i="9"/>
  <c r="Q21" i="9"/>
  <c r="Q15" i="9"/>
  <c r="Q36" i="9"/>
  <c r="V66" i="8"/>
  <c r="V70" i="8" s="1"/>
  <c r="V66" i="9"/>
  <c r="V66" i="7"/>
  <c r="Y66" i="8"/>
  <c r="Y70" i="8" s="1"/>
  <c r="Y46" i="9" s="1"/>
  <c r="Y66" i="9"/>
  <c r="Y66" i="7"/>
  <c r="AI25" i="8"/>
  <c r="AI25" i="9"/>
  <c r="AI8" i="9"/>
  <c r="AI13" i="9"/>
  <c r="AI30" i="9"/>
  <c r="O18" i="11"/>
  <c r="O10" i="11"/>
  <c r="O13" i="11"/>
  <c r="O5" i="11"/>
  <c r="O8" i="11"/>
  <c r="O11" i="11"/>
  <c r="O6" i="11"/>
  <c r="O9" i="11"/>
  <c r="O12" i="11"/>
  <c r="O7" i="11"/>
  <c r="O19" i="11"/>
  <c r="O21" i="11"/>
  <c r="O30" i="11"/>
  <c r="O27" i="11"/>
  <c r="O20" i="11"/>
  <c r="O29" i="11"/>
  <c r="O38" i="11"/>
  <c r="O35" i="11"/>
  <c r="O28" i="11"/>
  <c r="O37" i="11"/>
  <c r="O17" i="11"/>
  <c r="O43" i="11"/>
  <c r="O36" i="11"/>
  <c r="O16" i="11"/>
  <c r="O26" i="11"/>
  <c r="O15" i="11"/>
  <c r="O25" i="11"/>
  <c r="O34" i="11"/>
  <c r="O14" i="11"/>
  <c r="O24" i="11"/>
  <c r="O33" i="11"/>
  <c r="O39" i="11"/>
  <c r="O44" i="11"/>
  <c r="O23" i="11"/>
  <c r="O32" i="11"/>
  <c r="O22" i="11"/>
  <c r="O31" i="11"/>
  <c r="O41" i="11"/>
  <c r="O40" i="11"/>
  <c r="O42" i="11"/>
  <c r="N25" i="12"/>
  <c r="N25" i="13"/>
  <c r="N19" i="12"/>
  <c r="N19" i="13"/>
  <c r="R16" i="12"/>
  <c r="S16" i="11"/>
  <c r="R16" i="13"/>
  <c r="S16" i="13" s="1"/>
  <c r="R37" i="12"/>
  <c r="S37" i="11"/>
  <c r="R37" i="13"/>
  <c r="S37" i="13" s="1"/>
  <c r="R31" i="12"/>
  <c r="S31" i="11"/>
  <c r="R31" i="13"/>
  <c r="S31" i="13" s="1"/>
  <c r="R13" i="12"/>
  <c r="S13" i="11"/>
  <c r="R13" i="13"/>
  <c r="S13" i="13" s="1"/>
  <c r="T30" i="12"/>
  <c r="T30" i="13"/>
  <c r="T14" i="12"/>
  <c r="T14" i="13"/>
  <c r="W36" i="11"/>
  <c r="T36" i="12"/>
  <c r="T36" i="13"/>
  <c r="T19" i="12"/>
  <c r="T19" i="13"/>
  <c r="W13" i="11"/>
  <c r="T13" i="12"/>
  <c r="T13" i="13"/>
  <c r="M42" i="12"/>
  <c r="M42" i="13"/>
  <c r="M20" i="12"/>
  <c r="M20" i="13"/>
  <c r="M44" i="12"/>
  <c r="M44" i="13"/>
  <c r="M23" i="12"/>
  <c r="M23" i="13"/>
  <c r="M16" i="12"/>
  <c r="M16" i="13"/>
  <c r="M13" i="12"/>
  <c r="M13" i="13"/>
  <c r="X5" i="9"/>
  <c r="X65" i="7"/>
  <c r="X70" i="7" s="1"/>
  <c r="X63" i="8" s="1"/>
  <c r="X18" i="9"/>
  <c r="X33" i="9"/>
  <c r="X22" i="9"/>
  <c r="X56" i="9"/>
  <c r="X60" i="9"/>
  <c r="X57" i="9"/>
  <c r="X52" i="9"/>
  <c r="O47" i="9"/>
  <c r="O48" i="9"/>
  <c r="O60" i="9"/>
  <c r="O44" i="9"/>
  <c r="O23" i="9"/>
  <c r="O11" i="9"/>
  <c r="O16" i="9"/>
  <c r="M40" i="7"/>
  <c r="S49" i="12"/>
  <c r="S49" i="13"/>
  <c r="S49" i="10"/>
  <c r="S49" i="11"/>
  <c r="P48" i="9"/>
  <c r="P60" i="9"/>
  <c r="P28" i="9"/>
  <c r="P6" i="9"/>
  <c r="P11" i="9"/>
  <c r="P20" i="9"/>
  <c r="P40" i="9"/>
  <c r="L57" i="9"/>
  <c r="L11" i="8"/>
  <c r="L11" i="9"/>
  <c r="L60" i="9"/>
  <c r="L54" i="9"/>
  <c r="L24" i="9"/>
  <c r="L15" i="8"/>
  <c r="L15" i="9"/>
  <c r="L21" i="9"/>
  <c r="L33" i="9"/>
  <c r="M32" i="7"/>
  <c r="U39" i="9"/>
  <c r="U57" i="9"/>
  <c r="U41" i="9"/>
  <c r="U11" i="9"/>
  <c r="U20" i="9"/>
  <c r="U23" i="9"/>
  <c r="U32" i="9"/>
  <c r="R44" i="9"/>
  <c r="R50" i="9"/>
  <c r="R59" i="9"/>
  <c r="R24" i="9"/>
  <c r="R27" i="9"/>
  <c r="R11" i="9"/>
  <c r="R30" i="9"/>
  <c r="R40" i="9"/>
  <c r="AH56" i="9"/>
  <c r="AH40" i="9"/>
  <c r="AH51" i="9"/>
  <c r="AH6" i="9"/>
  <c r="AH19" i="9"/>
  <c r="AH5" i="9"/>
  <c r="AH65" i="7"/>
  <c r="AH70" i="7" s="1"/>
  <c r="AH55" i="23" s="1"/>
  <c r="AH27" i="9"/>
  <c r="AD38" i="7"/>
  <c r="AC38" i="9"/>
  <c r="AD38" i="9" s="1"/>
  <c r="AD41" i="7"/>
  <c r="AC41" i="9"/>
  <c r="AD41" i="9" s="1"/>
  <c r="AD39" i="7"/>
  <c r="AC39" i="9"/>
  <c r="AD39" i="9" s="1"/>
  <c r="AD50" i="7"/>
  <c r="AC50" i="9"/>
  <c r="AD50" i="9" s="1"/>
  <c r="AD19" i="7"/>
  <c r="AC19" i="9"/>
  <c r="AD19" i="9" s="1"/>
  <c r="AD5" i="7"/>
  <c r="AC5" i="9"/>
  <c r="AC65" i="7"/>
  <c r="AC70" i="7" s="1"/>
  <c r="AC34" i="23" s="1"/>
  <c r="AD34" i="23" s="1"/>
  <c r="AD18" i="7"/>
  <c r="AC18" i="9"/>
  <c r="AD18" i="9" s="1"/>
  <c r="AD26" i="7"/>
  <c r="AC26" i="9"/>
  <c r="AD26" i="9" s="1"/>
  <c r="Y21" i="8"/>
  <c r="Y29" i="8"/>
  <c r="Y29" i="9"/>
  <c r="Y12" i="8"/>
  <c r="Y34" i="8"/>
  <c r="Y34" i="9"/>
  <c r="Y31" i="8"/>
  <c r="Y63" i="8"/>
  <c r="Y63" i="9"/>
  <c r="Y54" i="8"/>
  <c r="M45" i="7"/>
  <c r="W29" i="9"/>
  <c r="W20" i="8"/>
  <c r="W20" i="9"/>
  <c r="W17" i="9"/>
  <c r="W39" i="9"/>
  <c r="W36" i="9"/>
  <c r="W37" i="8"/>
  <c r="W37" i="9"/>
  <c r="W34" i="9"/>
  <c r="Q7" i="9"/>
  <c r="Q50" i="9"/>
  <c r="Q62" i="9"/>
  <c r="Q46" i="9"/>
  <c r="Q8" i="9"/>
  <c r="Q34" i="9"/>
  <c r="Q25" i="9"/>
  <c r="Q40" i="9"/>
  <c r="AI29" i="8"/>
  <c r="AI29" i="9"/>
  <c r="AI12" i="9"/>
  <c r="AI17" i="9"/>
  <c r="N43" i="12"/>
  <c r="N43" i="13"/>
  <c r="N38" i="12"/>
  <c r="N38" i="13"/>
  <c r="N44" i="12"/>
  <c r="N44" i="13"/>
  <c r="N32" i="12"/>
  <c r="N32" i="13"/>
  <c r="N11" i="12"/>
  <c r="N11" i="13"/>
  <c r="P13" i="11"/>
  <c r="P5" i="11"/>
  <c r="P8" i="11"/>
  <c r="P11" i="11"/>
  <c r="P6" i="11"/>
  <c r="P9" i="11"/>
  <c r="P12" i="11"/>
  <c r="P7" i="11"/>
  <c r="P18" i="11"/>
  <c r="P10" i="11"/>
  <c r="P36" i="11"/>
  <c r="P16" i="11"/>
  <c r="P26" i="11"/>
  <c r="P35" i="11"/>
  <c r="P43" i="11"/>
  <c r="P25" i="11"/>
  <c r="P34" i="11"/>
  <c r="P15" i="11"/>
  <c r="P33" i="11"/>
  <c r="P14" i="11"/>
  <c r="P24" i="11"/>
  <c r="P41" i="11"/>
  <c r="P21" i="11"/>
  <c r="P22" i="11"/>
  <c r="P23" i="11"/>
  <c r="P32" i="11"/>
  <c r="P40" i="11"/>
  <c r="P39" i="11"/>
  <c r="P29" i="11"/>
  <c r="P30" i="11"/>
  <c r="P31" i="11"/>
  <c r="P20" i="11"/>
  <c r="P37" i="11"/>
  <c r="P38" i="11"/>
  <c r="P19" i="11"/>
  <c r="P28" i="11"/>
  <c r="P17" i="11"/>
  <c r="P27" i="11"/>
  <c r="P42" i="11"/>
  <c r="P44" i="11"/>
  <c r="R41" i="12"/>
  <c r="S41" i="11"/>
  <c r="R41" i="13"/>
  <c r="S41" i="13" s="1"/>
  <c r="R28" i="12"/>
  <c r="S28" i="11"/>
  <c r="R28" i="13"/>
  <c r="S28" i="13" s="1"/>
  <c r="R22" i="12"/>
  <c r="S22" i="11"/>
  <c r="R22" i="13"/>
  <c r="S22" i="13" s="1"/>
  <c r="R10" i="12"/>
  <c r="S10" i="11"/>
  <c r="R10" i="13"/>
  <c r="S10" i="13" s="1"/>
  <c r="W21" i="11"/>
  <c r="T21" i="12"/>
  <c r="T21" i="13"/>
  <c r="W34" i="11"/>
  <c r="T34" i="12"/>
  <c r="T34" i="13"/>
  <c r="T27" i="12"/>
  <c r="T27" i="13"/>
  <c r="T38" i="12"/>
  <c r="T38" i="13"/>
  <c r="T10" i="12"/>
  <c r="T10" i="13"/>
  <c r="M19" i="12"/>
  <c r="M19" i="13"/>
  <c r="M43" i="12"/>
  <c r="M43" i="13"/>
  <c r="M26" i="12"/>
  <c r="M26" i="13"/>
  <c r="M28" i="12"/>
  <c r="M28" i="13"/>
  <c r="M10" i="12"/>
  <c r="M10" i="13"/>
  <c r="X9" i="9"/>
  <c r="X35" i="9"/>
  <c r="X8" i="9"/>
  <c r="X26" i="9"/>
  <c r="X59" i="9"/>
  <c r="X63" i="9"/>
  <c r="X48" i="9"/>
  <c r="X55" i="9"/>
  <c r="M12" i="7"/>
  <c r="O41" i="9"/>
  <c r="O62" i="9"/>
  <c r="O59" i="9"/>
  <c r="O43" i="9"/>
  <c r="O27" i="9"/>
  <c r="O15" i="9"/>
  <c r="O20" i="9"/>
  <c r="M29" i="7"/>
  <c r="P55" i="9"/>
  <c r="P54" i="9"/>
  <c r="P49" i="9"/>
  <c r="P5" i="9"/>
  <c r="P65" i="7"/>
  <c r="P70" i="7" s="1"/>
  <c r="P25" i="8" s="1"/>
  <c r="P10" i="9"/>
  <c r="P15" i="9"/>
  <c r="P34" i="9"/>
  <c r="P33" i="9"/>
  <c r="L48" i="9"/>
  <c r="L7" i="8"/>
  <c r="L7" i="9"/>
  <c r="L43" i="9"/>
  <c r="L61" i="9"/>
  <c r="L42" i="9"/>
  <c r="L26" i="8"/>
  <c r="L26" i="9"/>
  <c r="L28" i="9"/>
  <c r="L41" i="9"/>
  <c r="M54" i="7"/>
  <c r="U53" i="9"/>
  <c r="U36" i="9"/>
  <c r="U54" i="9"/>
  <c r="U63" i="9"/>
  <c r="U15" i="9"/>
  <c r="U24" i="9"/>
  <c r="U27" i="9"/>
  <c r="U37" i="9"/>
  <c r="R43" i="9"/>
  <c r="R62" i="9"/>
  <c r="R57" i="9"/>
  <c r="R28" i="9"/>
  <c r="R6" i="9"/>
  <c r="R15" i="9"/>
  <c r="R34" i="9"/>
  <c r="M51" i="7"/>
  <c r="AH55" i="9"/>
  <c r="AH39" i="9"/>
  <c r="AH57" i="9"/>
  <c r="AH10" i="9"/>
  <c r="AH24" i="9"/>
  <c r="AH9" i="9"/>
  <c r="AH31" i="9"/>
  <c r="AD36" i="7"/>
  <c r="AC36" i="9"/>
  <c r="AD36" i="9" s="1"/>
  <c r="AD55" i="7"/>
  <c r="AC55" i="9"/>
  <c r="AD55" i="9" s="1"/>
  <c r="AD48" i="7"/>
  <c r="AC48" i="9"/>
  <c r="AD48" i="9" s="1"/>
  <c r="AD46" i="7"/>
  <c r="AC46" i="9"/>
  <c r="AD46" i="9" s="1"/>
  <c r="AD31" i="7"/>
  <c r="AC31" i="9"/>
  <c r="AD31" i="9" s="1"/>
  <c r="AD9" i="7"/>
  <c r="AC9" i="9"/>
  <c r="AD9" i="9" s="1"/>
  <c r="AD25" i="7"/>
  <c r="AC25" i="9"/>
  <c r="AD25" i="9" s="1"/>
  <c r="AD30" i="7"/>
  <c r="AC30" i="9"/>
  <c r="AD30" i="9" s="1"/>
  <c r="Y22" i="8"/>
  <c r="Y22" i="9"/>
  <c r="Y7" i="8"/>
  <c r="Y7" i="9"/>
  <c r="Y16" i="8"/>
  <c r="Y16" i="9"/>
  <c r="Y38" i="8"/>
  <c r="Y38" i="9"/>
  <c r="Y35" i="8"/>
  <c r="Y35" i="9"/>
  <c r="Y32" i="8"/>
  <c r="Y32" i="9"/>
  <c r="Y33" i="8"/>
  <c r="Y33" i="9"/>
  <c r="W6" i="9"/>
  <c r="W7" i="9"/>
  <c r="W24" i="9"/>
  <c r="W21" i="9"/>
  <c r="W43" i="9"/>
  <c r="W40" i="9"/>
  <c r="W41" i="9"/>
  <c r="W38" i="9"/>
  <c r="Q63" i="9"/>
  <c r="Q49" i="9"/>
  <c r="Q53" i="9"/>
  <c r="Q29" i="9"/>
  <c r="Q20" i="9"/>
  <c r="Q6" i="9"/>
  <c r="Q33" i="9"/>
  <c r="M28" i="7"/>
  <c r="M21" i="7"/>
  <c r="M17" i="7"/>
  <c r="M9" i="7"/>
  <c r="M5" i="7"/>
  <c r="M15" i="7"/>
  <c r="M22" i="7"/>
  <c r="M18" i="7"/>
  <c r="M10" i="7"/>
  <c r="M6" i="7"/>
  <c r="M27" i="7"/>
  <c r="M62" i="7"/>
  <c r="M26" i="7"/>
  <c r="M36" i="7"/>
  <c r="AI7" i="9"/>
  <c r="AI16" i="8"/>
  <c r="AI16" i="9"/>
  <c r="AI21" i="9"/>
  <c r="N41" i="12"/>
  <c r="N41" i="13"/>
  <c r="N8" i="12"/>
  <c r="N8" i="13"/>
  <c r="R34" i="12"/>
  <c r="S34" i="11"/>
  <c r="R34" i="13"/>
  <c r="S34" i="13" s="1"/>
  <c r="R42" i="12"/>
  <c r="S42" i="11"/>
  <c r="R42" i="13"/>
  <c r="S42" i="13" s="1"/>
  <c r="R29" i="12"/>
  <c r="S29" i="11"/>
  <c r="R29" i="13"/>
  <c r="S29" i="13" s="1"/>
  <c r="S38" i="11"/>
  <c r="R38" i="12"/>
  <c r="R38" i="13"/>
  <c r="S38" i="13" s="1"/>
  <c r="R18" i="12"/>
  <c r="S18" i="11"/>
  <c r="R18" i="13"/>
  <c r="S18" i="13" s="1"/>
  <c r="T31" i="12"/>
  <c r="T31" i="13"/>
  <c r="T25" i="12"/>
  <c r="T25" i="13"/>
  <c r="W17" i="11"/>
  <c r="T17" i="12"/>
  <c r="T17" i="13"/>
  <c r="T29" i="12"/>
  <c r="T29" i="13"/>
  <c r="W18" i="11"/>
  <c r="T18" i="12"/>
  <c r="T18" i="13"/>
  <c r="T43" i="12"/>
  <c r="T43" i="13"/>
  <c r="M29" i="12"/>
  <c r="M29" i="13"/>
  <c r="M32" i="12"/>
  <c r="M32" i="13"/>
  <c r="M25" i="12"/>
  <c r="M25" i="13"/>
  <c r="M27" i="12"/>
  <c r="M27" i="13"/>
  <c r="M18" i="12"/>
  <c r="M18" i="13"/>
  <c r="X13" i="8"/>
  <c r="X13" i="9"/>
  <c r="X25" i="9"/>
  <c r="X12" i="9"/>
  <c r="X30" i="9"/>
  <c r="X62" i="8"/>
  <c r="X62" i="9"/>
  <c r="X24" i="9"/>
  <c r="X51" i="9"/>
  <c r="X58" i="9"/>
  <c r="L47" i="13"/>
  <c r="L47" i="12"/>
  <c r="L47" i="10"/>
  <c r="L47" i="11"/>
  <c r="O50" i="9"/>
  <c r="O33" i="9"/>
  <c r="O46" i="9"/>
  <c r="O57" i="9"/>
  <c r="O6" i="9"/>
  <c r="O19" i="9"/>
  <c r="O26" i="9"/>
  <c r="M57" i="7"/>
  <c r="P50" i="9"/>
  <c r="P53" i="9"/>
  <c r="P43" i="9"/>
  <c r="P9" i="9"/>
  <c r="P14" i="9"/>
  <c r="P19" i="9"/>
  <c r="P38" i="9"/>
  <c r="P37" i="9"/>
  <c r="L31" i="8"/>
  <c r="L31" i="9"/>
  <c r="L29" i="9"/>
  <c r="L58" i="9"/>
  <c r="L44" i="9"/>
  <c r="L6" i="8"/>
  <c r="L6" i="9"/>
  <c r="L8" i="9"/>
  <c r="L36" i="9"/>
  <c r="L38" i="9"/>
  <c r="S48" i="13"/>
  <c r="S48" i="12"/>
  <c r="S48" i="10"/>
  <c r="S48" i="11"/>
  <c r="M14" i="7"/>
  <c r="U33" i="9"/>
  <c r="U51" i="9"/>
  <c r="U44" i="9"/>
  <c r="U38" i="9"/>
  <c r="U19" i="9"/>
  <c r="U28" i="9"/>
  <c r="U6" i="9"/>
  <c r="U30" i="9"/>
  <c r="R55" i="9"/>
  <c r="R53" i="9"/>
  <c r="R52" i="9"/>
  <c r="R65" i="7"/>
  <c r="R5" i="9"/>
  <c r="R10" i="9"/>
  <c r="R19" i="9"/>
  <c r="R38" i="9"/>
  <c r="AH58" i="9"/>
  <c r="AH52" i="9"/>
  <c r="AH62" i="9"/>
  <c r="AH46" i="9"/>
  <c r="AH14" i="9"/>
  <c r="AH28" i="9"/>
  <c r="AH13" i="9"/>
  <c r="AH25" i="9"/>
  <c r="AC60" i="8"/>
  <c r="AD60" i="7"/>
  <c r="AC60" i="9"/>
  <c r="AD60" i="9" s="1"/>
  <c r="AD44" i="7"/>
  <c r="AC44" i="9"/>
  <c r="AD44" i="9" s="1"/>
  <c r="AD62" i="7"/>
  <c r="AC62" i="9"/>
  <c r="AD62" i="9" s="1"/>
  <c r="AD45" i="7"/>
  <c r="AC45" i="9"/>
  <c r="AD45" i="9" s="1"/>
  <c r="AD8" i="7"/>
  <c r="AC8" i="9"/>
  <c r="AD8" i="9" s="1"/>
  <c r="AD13" i="7"/>
  <c r="AC13" i="8"/>
  <c r="AC13" i="9"/>
  <c r="AD13" i="9" s="1"/>
  <c r="AD29" i="7"/>
  <c r="AC29" i="9"/>
  <c r="AD29" i="9" s="1"/>
  <c r="Y23" i="8"/>
  <c r="Y23" i="9"/>
  <c r="Y26" i="8"/>
  <c r="Y26" i="9"/>
  <c r="Y11" i="8"/>
  <c r="Y11" i="9"/>
  <c r="Y20" i="8"/>
  <c r="Y20" i="9"/>
  <c r="Y42" i="8"/>
  <c r="Y42" i="9"/>
  <c r="Y39" i="8"/>
  <c r="Y39" i="9"/>
  <c r="Y36" i="8"/>
  <c r="Y36" i="9"/>
  <c r="Y37" i="8"/>
  <c r="Y37" i="9"/>
  <c r="W10" i="9"/>
  <c r="W11" i="9"/>
  <c r="W28" i="9"/>
  <c r="W46" i="9"/>
  <c r="W53" i="9"/>
  <c r="W44" i="9"/>
  <c r="W61" i="9"/>
  <c r="W42" i="9"/>
  <c r="Q44" i="9"/>
  <c r="Q47" i="9"/>
  <c r="Q19" i="9"/>
  <c r="Q59" i="9"/>
  <c r="Q28" i="9"/>
  <c r="Q10" i="9"/>
  <c r="Q41" i="9"/>
  <c r="M19" i="7"/>
  <c r="AI20" i="9"/>
  <c r="AI22" i="9"/>
  <c r="N33" i="12"/>
  <c r="N33" i="13"/>
  <c r="N27" i="12"/>
  <c r="N27" i="13"/>
  <c r="N29" i="12"/>
  <c r="N29" i="13"/>
  <c r="N14" i="12"/>
  <c r="N14" i="13"/>
  <c r="N5" i="12"/>
  <c r="N5" i="13"/>
  <c r="R25" i="12"/>
  <c r="S25" i="11"/>
  <c r="R25" i="13"/>
  <c r="S25" i="13" s="1"/>
  <c r="R44" i="12"/>
  <c r="S44" i="11"/>
  <c r="R44" i="13"/>
  <c r="S44" i="13" s="1"/>
  <c r="R20" i="12"/>
  <c r="S20" i="11"/>
  <c r="R20" i="13"/>
  <c r="S20" i="13" s="1"/>
  <c r="R33" i="12"/>
  <c r="S33" i="11"/>
  <c r="R33" i="13"/>
  <c r="S33" i="13" s="1"/>
  <c r="R7" i="12"/>
  <c r="S7" i="11"/>
  <c r="R7" i="13"/>
  <c r="S7" i="13" s="1"/>
  <c r="T22" i="12"/>
  <c r="T22" i="13"/>
  <c r="T24" i="12"/>
  <c r="T24" i="13"/>
  <c r="T41" i="12"/>
  <c r="T41" i="13"/>
  <c r="T20" i="12"/>
  <c r="T20" i="13"/>
  <c r="W7" i="11"/>
  <c r="T7" i="12"/>
  <c r="T7" i="13"/>
  <c r="M30" i="12"/>
  <c r="M30" i="13"/>
  <c r="M31" i="12"/>
  <c r="M31" i="13"/>
  <c r="M15" i="12"/>
  <c r="M15" i="13"/>
  <c r="M9" i="12"/>
  <c r="M9" i="13"/>
  <c r="M7" i="12"/>
  <c r="M7" i="13"/>
  <c r="X17" i="9"/>
  <c r="X29" i="9"/>
  <c r="X16" i="8"/>
  <c r="X16" i="9"/>
  <c r="X34" i="9"/>
  <c r="X39" i="9"/>
  <c r="X28" i="9"/>
  <c r="X54" i="8"/>
  <c r="X54" i="9"/>
  <c r="M53" i="7"/>
  <c r="M25" i="7"/>
  <c r="O39" i="9"/>
  <c r="O45" i="9"/>
  <c r="O34" i="9"/>
  <c r="O65" i="7"/>
  <c r="O70" i="7" s="1"/>
  <c r="O5" i="9"/>
  <c r="O10" i="9"/>
  <c r="O31" i="9"/>
  <c r="O30" i="9"/>
  <c r="M38" i="7"/>
  <c r="P47" i="9"/>
  <c r="P46" i="9"/>
  <c r="P52" i="9"/>
  <c r="P13" i="9"/>
  <c r="P18" i="9"/>
  <c r="P25" i="9"/>
  <c r="P31" i="9"/>
  <c r="P41" i="9"/>
  <c r="L30" i="9"/>
  <c r="L37" i="9"/>
  <c r="L63" i="8"/>
  <c r="L63" i="9"/>
  <c r="L50" i="9"/>
  <c r="L10" i="9"/>
  <c r="L20" i="9"/>
  <c r="L27" i="8"/>
  <c r="L27" i="9"/>
  <c r="M44" i="7"/>
  <c r="M33" i="7"/>
  <c r="M43" i="7"/>
  <c r="U48" i="9"/>
  <c r="U60" i="9"/>
  <c r="U58" i="9"/>
  <c r="U61" i="9"/>
  <c r="U25" i="9"/>
  <c r="U65" i="7"/>
  <c r="U70" i="7" s="1"/>
  <c r="U10" i="9"/>
  <c r="U31" i="9"/>
  <c r="R56" i="9"/>
  <c r="R42" i="9"/>
  <c r="R51" i="9"/>
  <c r="R9" i="9"/>
  <c r="R14" i="9"/>
  <c r="R25" i="9"/>
  <c r="R31" i="9"/>
  <c r="AH41" i="9"/>
  <c r="AH33" i="9"/>
  <c r="AH53" i="9"/>
  <c r="AH36" i="9"/>
  <c r="AH18" i="9"/>
  <c r="AH30" i="9"/>
  <c r="AH17" i="9"/>
  <c r="AH29" i="9"/>
  <c r="AD51" i="7"/>
  <c r="AC51" i="8"/>
  <c r="AD51" i="8" s="1"/>
  <c r="AC51" i="9"/>
  <c r="AD51" i="9" s="1"/>
  <c r="AD34" i="7"/>
  <c r="AC34" i="8"/>
  <c r="AC34" i="9"/>
  <c r="AD34" i="9" s="1"/>
  <c r="AD61" i="7"/>
  <c r="AC61" i="8"/>
  <c r="AC61" i="9"/>
  <c r="AD61" i="9" s="1"/>
  <c r="AD59" i="7"/>
  <c r="AC59" i="9"/>
  <c r="AD59" i="9" s="1"/>
  <c r="AD12" i="7"/>
  <c r="AC12" i="9"/>
  <c r="AD12" i="9" s="1"/>
  <c r="AD17" i="7"/>
  <c r="AC17" i="9"/>
  <c r="AD17" i="9" s="1"/>
  <c r="AD24" i="7"/>
  <c r="AC24" i="8"/>
  <c r="AC24" i="9"/>
  <c r="AD24" i="9" s="1"/>
  <c r="Y27" i="8"/>
  <c r="Y27" i="9"/>
  <c r="Y6" i="8"/>
  <c r="Y6" i="9"/>
  <c r="Y15" i="8"/>
  <c r="Y15" i="9"/>
  <c r="Y30" i="8"/>
  <c r="Y30" i="9"/>
  <c r="Y49" i="8"/>
  <c r="Y49" i="9"/>
  <c r="Y43" i="8"/>
  <c r="Y43" i="9"/>
  <c r="Y40" i="8"/>
  <c r="Y40" i="9"/>
  <c r="Y41" i="8"/>
  <c r="Y41" i="9"/>
  <c r="W14" i="9"/>
  <c r="W15" i="9"/>
  <c r="W23" i="9"/>
  <c r="W56" i="9"/>
  <c r="W47" i="9"/>
  <c r="W57" i="9"/>
  <c r="W45" i="9"/>
  <c r="W49" i="9"/>
  <c r="M35" i="7"/>
  <c r="Q23" i="9"/>
  <c r="Q61" i="9"/>
  <c r="Q32" i="9"/>
  <c r="Q48" i="9"/>
  <c r="Q65" i="7"/>
  <c r="Q70" i="7" s="1"/>
  <c r="Q14" i="9"/>
  <c r="Q38" i="9"/>
  <c r="M46" i="7"/>
  <c r="N68" i="6"/>
  <c r="N66" i="23" s="1"/>
  <c r="N70" i="23" s="1"/>
  <c r="D10" i="5"/>
  <c r="T68" i="6" s="1"/>
  <c r="T66" i="23" s="1"/>
  <c r="M38" i="29" l="1"/>
  <c r="M83" i="29" s="1"/>
  <c r="R35" i="29"/>
  <c r="R80" i="29" s="1"/>
  <c r="W20" i="11"/>
  <c r="W38" i="11"/>
  <c r="V60" i="7"/>
  <c r="AB60" i="7" s="1"/>
  <c r="V7" i="7"/>
  <c r="AB7" i="7" s="1"/>
  <c r="L20" i="8"/>
  <c r="L37" i="8"/>
  <c r="P13" i="8"/>
  <c r="AH14" i="8"/>
  <c r="L38" i="8"/>
  <c r="L38" i="28" s="1"/>
  <c r="L102" i="28" s="1"/>
  <c r="L44" i="8"/>
  <c r="L44" i="28" s="1"/>
  <c r="L108" i="28" s="1"/>
  <c r="N30" i="12"/>
  <c r="AI7" i="8"/>
  <c r="L24" i="8"/>
  <c r="L57" i="8"/>
  <c r="AI30" i="8"/>
  <c r="L25" i="8"/>
  <c r="L55" i="8"/>
  <c r="T46" i="11"/>
  <c r="AI37" i="8"/>
  <c r="L40" i="8"/>
  <c r="L23" i="8"/>
  <c r="V59" i="7"/>
  <c r="AB59" i="7" s="1"/>
  <c r="V43" i="7"/>
  <c r="V47" i="7"/>
  <c r="V45" i="7"/>
  <c r="V45" i="9" s="1"/>
  <c r="V11" i="7"/>
  <c r="AB11" i="7" s="1"/>
  <c r="V28" i="7"/>
  <c r="AB28" i="7" s="1"/>
  <c r="V23" i="7"/>
  <c r="AB23" i="7" s="1"/>
  <c r="AI22" i="8"/>
  <c r="N28" i="13"/>
  <c r="L42" i="8"/>
  <c r="L48" i="8"/>
  <c r="V48" i="7"/>
  <c r="AB48" i="7" s="1"/>
  <c r="V58" i="7"/>
  <c r="AB58" i="7" s="1"/>
  <c r="V61" i="7"/>
  <c r="AB61" i="7" s="1"/>
  <c r="V6" i="7"/>
  <c r="V15" i="7"/>
  <c r="AB15" i="7" s="1"/>
  <c r="V32" i="7"/>
  <c r="AB32" i="7" s="1"/>
  <c r="V27" i="7"/>
  <c r="V34" i="7"/>
  <c r="V30" i="7"/>
  <c r="AB30" i="7" s="1"/>
  <c r="L10" i="8"/>
  <c r="L10" i="28" s="1"/>
  <c r="L74" i="28" s="1"/>
  <c r="L30" i="8"/>
  <c r="L36" i="8"/>
  <c r="L58" i="8"/>
  <c r="L33" i="8"/>
  <c r="L54" i="8"/>
  <c r="AI13" i="8"/>
  <c r="L17" i="8"/>
  <c r="L17" i="28" s="1"/>
  <c r="L81" i="28" s="1"/>
  <c r="L51" i="8"/>
  <c r="L51" i="28" s="1"/>
  <c r="L115" i="28" s="1"/>
  <c r="L13" i="8"/>
  <c r="L16" i="8"/>
  <c r="V38" i="7"/>
  <c r="AB38" i="7" s="1"/>
  <c r="V57" i="7"/>
  <c r="AB57" i="7" s="1"/>
  <c r="V42" i="7"/>
  <c r="V10" i="7"/>
  <c r="AB10" i="7" s="1"/>
  <c r="V19" i="7"/>
  <c r="AB19" i="7" s="1"/>
  <c r="V5" i="7"/>
  <c r="AB5" i="7" s="1"/>
  <c r="V31" i="7"/>
  <c r="AB31" i="7" s="1"/>
  <c r="T42" i="13"/>
  <c r="AI20" i="8"/>
  <c r="L41" i="8"/>
  <c r="L61" i="8"/>
  <c r="AI17" i="8"/>
  <c r="W19" i="11"/>
  <c r="V54" i="7"/>
  <c r="AB54" i="7" s="1"/>
  <c r="V52" i="7"/>
  <c r="V55" i="7"/>
  <c r="V41" i="7"/>
  <c r="AB41" i="7" s="1"/>
  <c r="V14" i="7"/>
  <c r="V8" i="7"/>
  <c r="V9" i="7"/>
  <c r="V25" i="7"/>
  <c r="AB25" i="7" s="1"/>
  <c r="T42" i="12"/>
  <c r="T46" i="12" s="1"/>
  <c r="V62" i="7"/>
  <c r="L50" i="8"/>
  <c r="L8" i="8"/>
  <c r="L29" i="8"/>
  <c r="AI21" i="8"/>
  <c r="L21" i="8"/>
  <c r="L60" i="8"/>
  <c r="AI8" i="8"/>
  <c r="AE8" i="28" s="1"/>
  <c r="AE72" i="28" s="1"/>
  <c r="L34" i="8"/>
  <c r="L32" i="8"/>
  <c r="L22" i="8"/>
  <c r="L49" i="8"/>
  <c r="V36" i="7"/>
  <c r="AB36" i="7" s="1"/>
  <c r="V51" i="7"/>
  <c r="AB51" i="7" s="1"/>
  <c r="V35" i="7"/>
  <c r="V35" i="9" s="1"/>
  <c r="AB35" i="9" s="1"/>
  <c r="V39" i="7"/>
  <c r="AB39" i="7" s="1"/>
  <c r="V18" i="7"/>
  <c r="V12" i="7"/>
  <c r="AB12" i="7" s="1"/>
  <c r="V13" i="7"/>
  <c r="V29" i="7"/>
  <c r="T33" i="24"/>
  <c r="V44" i="7"/>
  <c r="AB44" i="7" s="1"/>
  <c r="V24" i="7"/>
  <c r="AB24" i="7" s="1"/>
  <c r="AH58" i="8"/>
  <c r="AD58" i="28" s="1"/>
  <c r="AD122" i="28" s="1"/>
  <c r="L28" i="8"/>
  <c r="L43" i="8"/>
  <c r="AI12" i="8"/>
  <c r="V56" i="7"/>
  <c r="V40" i="7"/>
  <c r="AB40" i="7" s="1"/>
  <c r="V50" i="7"/>
  <c r="AB50" i="7" s="1"/>
  <c r="V53" i="7"/>
  <c r="AB53" i="7" s="1"/>
  <c r="V22" i="7"/>
  <c r="AB22" i="7" s="1"/>
  <c r="V16" i="7"/>
  <c r="AB16" i="7" s="1"/>
  <c r="V17" i="7"/>
  <c r="AB17" i="7" s="1"/>
  <c r="O7" i="30"/>
  <c r="O13" i="30" s="1"/>
  <c r="X63" i="28"/>
  <c r="X127" i="28" s="1"/>
  <c r="W25" i="11"/>
  <c r="N16" i="12"/>
  <c r="AC25" i="8"/>
  <c r="AD25" i="8" s="1"/>
  <c r="AI18" i="8"/>
  <c r="AE18" i="28" s="1"/>
  <c r="AE82" i="28" s="1"/>
  <c r="AC31" i="8"/>
  <c r="AI9" i="8"/>
  <c r="AE25" i="28"/>
  <c r="AE89" i="28" s="1"/>
  <c r="N18" i="13"/>
  <c r="L27" i="28"/>
  <c r="L91" i="28" s="1"/>
  <c r="L63" i="28"/>
  <c r="L127" i="28" s="1"/>
  <c r="N23" i="13"/>
  <c r="N23" i="29" s="1"/>
  <c r="N68" i="29" s="1"/>
  <c r="N26" i="13"/>
  <c r="P13" i="28"/>
  <c r="P77" i="28" s="1"/>
  <c r="W29" i="11"/>
  <c r="W41" i="11"/>
  <c r="R26" i="29"/>
  <c r="R71" i="29" s="1"/>
  <c r="AH24" i="8"/>
  <c r="W16" i="8"/>
  <c r="N46" i="11"/>
  <c r="AC45" i="8"/>
  <c r="AD45" i="8" s="1"/>
  <c r="AH28" i="8"/>
  <c r="AH52" i="8"/>
  <c r="AD52" i="28" s="1"/>
  <c r="AD116" i="28" s="1"/>
  <c r="X24" i="8"/>
  <c r="X25" i="8"/>
  <c r="X35" i="8"/>
  <c r="W34" i="8"/>
  <c r="W17" i="8"/>
  <c r="W30" i="8"/>
  <c r="V30" i="28" s="1"/>
  <c r="V94" i="28" s="1"/>
  <c r="W13" i="8"/>
  <c r="V13" i="28" s="1"/>
  <c r="V77" i="28" s="1"/>
  <c r="W49" i="8"/>
  <c r="V49" i="28" s="1"/>
  <c r="V113" i="28" s="1"/>
  <c r="X34" i="8"/>
  <c r="W45" i="8"/>
  <c r="V45" i="28" s="1"/>
  <c r="V109" i="28" s="1"/>
  <c r="W23" i="8"/>
  <c r="V23" i="28" s="1"/>
  <c r="V87" i="28" s="1"/>
  <c r="AC59" i="8"/>
  <c r="AH30" i="8"/>
  <c r="AD30" i="28" s="1"/>
  <c r="AD94" i="28" s="1"/>
  <c r="AH33" i="8"/>
  <c r="AD33" i="28" s="1"/>
  <c r="AD97" i="28" s="1"/>
  <c r="N33" i="29"/>
  <c r="N78" i="29" s="1"/>
  <c r="W61" i="8"/>
  <c r="V61" i="28" s="1"/>
  <c r="V125" i="28" s="1"/>
  <c r="W28" i="8"/>
  <c r="V28" i="28" s="1"/>
  <c r="V92" i="28" s="1"/>
  <c r="X36" i="28"/>
  <c r="X100" i="28" s="1"/>
  <c r="X11" i="28"/>
  <c r="X75" i="28" s="1"/>
  <c r="W43" i="8"/>
  <c r="W6" i="8"/>
  <c r="AC30" i="8"/>
  <c r="AD30" i="8" s="1"/>
  <c r="AC48" i="8"/>
  <c r="W63" i="8"/>
  <c r="V63" i="28" s="1"/>
  <c r="V127" i="28" s="1"/>
  <c r="R9" i="29"/>
  <c r="R54" i="29" s="1"/>
  <c r="W33" i="8"/>
  <c r="W57" i="8"/>
  <c r="W15" i="8"/>
  <c r="AC17" i="8"/>
  <c r="AD17" i="8" s="1"/>
  <c r="AH18" i="8"/>
  <c r="AH41" i="8"/>
  <c r="AD41" i="28" s="1"/>
  <c r="AD105" i="28" s="1"/>
  <c r="W44" i="8"/>
  <c r="W11" i="8"/>
  <c r="AC62" i="8"/>
  <c r="W38" i="8"/>
  <c r="W21" i="8"/>
  <c r="V21" i="28" s="1"/>
  <c r="V85" i="28" s="1"/>
  <c r="N20" i="13"/>
  <c r="R11" i="29"/>
  <c r="R56" i="29" s="1"/>
  <c r="N24" i="13"/>
  <c r="N24" i="29" s="1"/>
  <c r="N69" i="29" s="1"/>
  <c r="M14" i="29"/>
  <c r="M59" i="29" s="1"/>
  <c r="AH46" i="8"/>
  <c r="X58" i="8"/>
  <c r="W32" i="8"/>
  <c r="W25" i="8"/>
  <c r="V25" i="28" s="1"/>
  <c r="V89" i="28" s="1"/>
  <c r="W9" i="8"/>
  <c r="V9" i="28" s="1"/>
  <c r="V73" i="28" s="1"/>
  <c r="W36" i="8"/>
  <c r="W47" i="8"/>
  <c r="V47" i="28" s="1"/>
  <c r="V111" i="28" s="1"/>
  <c r="AH29" i="8"/>
  <c r="AD29" i="28" s="1"/>
  <c r="AD93" i="28" s="1"/>
  <c r="AH36" i="8"/>
  <c r="AD36" i="28" s="1"/>
  <c r="AD100" i="28" s="1"/>
  <c r="P41" i="8"/>
  <c r="R20" i="29"/>
  <c r="R65" i="29" s="1"/>
  <c r="N29" i="29"/>
  <c r="N74" i="29" s="1"/>
  <c r="W53" i="8"/>
  <c r="V53" i="28" s="1"/>
  <c r="V117" i="28" s="1"/>
  <c r="W10" i="8"/>
  <c r="V10" i="28" s="1"/>
  <c r="V74" i="28" s="1"/>
  <c r="AC8" i="8"/>
  <c r="AD8" i="8" s="1"/>
  <c r="W41" i="8"/>
  <c r="W24" i="8"/>
  <c r="AC46" i="8"/>
  <c r="AC36" i="8"/>
  <c r="R5" i="29"/>
  <c r="R50" i="29" s="1"/>
  <c r="AE32" i="28"/>
  <c r="AE96" i="28" s="1"/>
  <c r="N42" i="13"/>
  <c r="X48" i="8"/>
  <c r="X29" i="8"/>
  <c r="AH25" i="8"/>
  <c r="X30" i="8"/>
  <c r="W29" i="8"/>
  <c r="W14" i="8"/>
  <c r="V14" i="28" s="1"/>
  <c r="V78" i="28" s="1"/>
  <c r="AC12" i="8"/>
  <c r="AD12" i="8" s="1"/>
  <c r="X39" i="8"/>
  <c r="X17" i="8"/>
  <c r="W17" i="28" s="1"/>
  <c r="W81" i="28" s="1"/>
  <c r="AH13" i="8"/>
  <c r="AH62" i="8"/>
  <c r="X51" i="8"/>
  <c r="X12" i="8"/>
  <c r="W39" i="8"/>
  <c r="V39" i="28" s="1"/>
  <c r="V103" i="28" s="1"/>
  <c r="W35" i="8"/>
  <c r="V35" i="28" s="1"/>
  <c r="V99" i="28" s="1"/>
  <c r="W58" i="8"/>
  <c r="V58" i="28" s="1"/>
  <c r="V122" i="28" s="1"/>
  <c r="X28" i="8"/>
  <c r="W28" i="28" s="1"/>
  <c r="W92" i="28" s="1"/>
  <c r="W56" i="8"/>
  <c r="AH17" i="8"/>
  <c r="AH53" i="8"/>
  <c r="W42" i="8"/>
  <c r="W46" i="8"/>
  <c r="AC29" i="8"/>
  <c r="AD29" i="8" s="1"/>
  <c r="AC44" i="8"/>
  <c r="W40" i="8"/>
  <c r="V40" i="28" s="1"/>
  <c r="V104" i="28" s="1"/>
  <c r="W7" i="8"/>
  <c r="V7" i="28" s="1"/>
  <c r="V71" i="28" s="1"/>
  <c r="AC9" i="8"/>
  <c r="W26" i="8"/>
  <c r="AE9" i="28"/>
  <c r="AE73" i="28" s="1"/>
  <c r="L22" i="28"/>
  <c r="L86" i="28" s="1"/>
  <c r="L49" i="28"/>
  <c r="L113" i="28" s="1"/>
  <c r="R14" i="29"/>
  <c r="R59" i="29" s="1"/>
  <c r="AE30" i="28"/>
  <c r="AE94" i="28" s="1"/>
  <c r="V33" i="28"/>
  <c r="V97" i="28" s="1"/>
  <c r="V16" i="28"/>
  <c r="V80" i="28" s="1"/>
  <c r="N34" i="12"/>
  <c r="L30" i="28"/>
  <c r="L94" i="28" s="1"/>
  <c r="R29" i="29"/>
  <c r="R74" i="29" s="1"/>
  <c r="V38" i="28"/>
  <c r="V102" i="28" s="1"/>
  <c r="X33" i="28"/>
  <c r="X97" i="28" s="1"/>
  <c r="X16" i="28"/>
  <c r="X80" i="28" s="1"/>
  <c r="AE20" i="28"/>
  <c r="AE84" i="28" s="1"/>
  <c r="X42" i="28"/>
  <c r="X106" i="28" s="1"/>
  <c r="X23" i="28"/>
  <c r="X87" i="28" s="1"/>
  <c r="X29" i="28"/>
  <c r="X93" i="28" s="1"/>
  <c r="AE37" i="28"/>
  <c r="AE101" i="28" s="1"/>
  <c r="AH57" i="8"/>
  <c r="M10" i="29"/>
  <c r="M55" i="29" s="1"/>
  <c r="M19" i="29"/>
  <c r="M64" i="29" s="1"/>
  <c r="R27" i="29"/>
  <c r="R72" i="29" s="1"/>
  <c r="L21" i="28"/>
  <c r="L85" i="28" s="1"/>
  <c r="L60" i="28"/>
  <c r="L124" i="28" s="1"/>
  <c r="N5" i="29"/>
  <c r="N50" i="29" s="1"/>
  <c r="P38" i="8"/>
  <c r="X35" i="28"/>
  <c r="X99" i="28" s="1"/>
  <c r="X22" i="28"/>
  <c r="X86" i="28" s="1"/>
  <c r="R32" i="29"/>
  <c r="R77" i="29" s="1"/>
  <c r="R6" i="29"/>
  <c r="R51" i="29" s="1"/>
  <c r="X43" i="28"/>
  <c r="X107" i="28" s="1"/>
  <c r="X6" i="28"/>
  <c r="X70" i="28" s="1"/>
  <c r="AH31" i="8"/>
  <c r="L42" i="28"/>
  <c r="L106" i="28" s="1"/>
  <c r="L48" i="28"/>
  <c r="L112" i="28" s="1"/>
  <c r="P19" i="8"/>
  <c r="AH55" i="8"/>
  <c r="P46" i="8"/>
  <c r="P46" i="28" s="1"/>
  <c r="P110" i="28" s="1"/>
  <c r="M26" i="29"/>
  <c r="M71" i="29" s="1"/>
  <c r="L24" i="28"/>
  <c r="L88" i="28" s="1"/>
  <c r="L57" i="28"/>
  <c r="L121" i="28" s="1"/>
  <c r="R28" i="29"/>
  <c r="R73" i="29" s="1"/>
  <c r="V26" i="28"/>
  <c r="V90" i="28" s="1"/>
  <c r="L28" i="28"/>
  <c r="L92" i="28" s="1"/>
  <c r="L43" i="28"/>
  <c r="L107" i="28" s="1"/>
  <c r="M43" i="29"/>
  <c r="M88" i="29" s="1"/>
  <c r="R21" i="29"/>
  <c r="R66" i="29" s="1"/>
  <c r="L33" i="28"/>
  <c r="L97" i="28" s="1"/>
  <c r="L54" i="28"/>
  <c r="L118" i="28" s="1"/>
  <c r="W63" i="28"/>
  <c r="W127" i="28" s="1"/>
  <c r="X27" i="28"/>
  <c r="X91" i="28" s="1"/>
  <c r="V56" i="28"/>
  <c r="V120" i="28" s="1"/>
  <c r="AD34" i="8"/>
  <c r="AA34" i="28"/>
  <c r="AA98" i="28" s="1"/>
  <c r="AD53" i="28"/>
  <c r="AD117" i="28" s="1"/>
  <c r="Q58" i="8"/>
  <c r="Q58" i="28" s="1"/>
  <c r="Q122" i="28" s="1"/>
  <c r="Q43" i="23"/>
  <c r="Q30" i="23"/>
  <c r="Q46" i="23"/>
  <c r="Q40" i="23"/>
  <c r="Q32" i="23"/>
  <c r="Q38" i="23"/>
  <c r="Q63" i="23"/>
  <c r="Q20" i="23"/>
  <c r="Q44" i="23"/>
  <c r="Q28" i="23"/>
  <c r="Q58" i="23"/>
  <c r="Q9" i="23"/>
  <c r="Q55" i="23"/>
  <c r="Q21" i="23"/>
  <c r="Q7" i="23"/>
  <c r="Q8" i="23"/>
  <c r="Q49" i="23"/>
  <c r="Q6" i="23"/>
  <c r="Q47" i="23"/>
  <c r="Q10" i="23"/>
  <c r="Q31" i="23"/>
  <c r="Q15" i="23"/>
  <c r="Q50" i="23"/>
  <c r="Q34" i="23"/>
  <c r="Q23" i="23"/>
  <c r="Q5" i="23"/>
  <c r="Q12" i="23"/>
  <c r="Q36" i="23"/>
  <c r="Q62" i="23"/>
  <c r="Q25" i="23"/>
  <c r="Q59" i="23"/>
  <c r="Q14" i="23"/>
  <c r="Q18" i="23"/>
  <c r="Q42" i="23"/>
  <c r="Q57" i="23"/>
  <c r="Q13" i="23"/>
  <c r="Q16" i="23"/>
  <c r="Q17" i="23"/>
  <c r="Q53" i="23"/>
  <c r="Q41" i="23"/>
  <c r="Q27" i="23"/>
  <c r="Q29" i="23"/>
  <c r="Q54" i="23"/>
  <c r="Q37" i="23"/>
  <c r="Q22" i="23"/>
  <c r="Q24" i="23"/>
  <c r="Q26" i="23"/>
  <c r="Q33" i="23"/>
  <c r="Q61" i="23"/>
  <c r="Q60" i="23"/>
  <c r="Q45" i="23"/>
  <c r="Q35" i="23"/>
  <c r="Q48" i="23"/>
  <c r="Q19" i="23"/>
  <c r="Q51" i="23"/>
  <c r="Q52" i="23"/>
  <c r="Q11" i="23"/>
  <c r="X41" i="28"/>
  <c r="X105" i="28" s="1"/>
  <c r="X30" i="28"/>
  <c r="X94" i="28" s="1"/>
  <c r="AD24" i="8"/>
  <c r="AA24" i="28"/>
  <c r="AA88" i="28" s="1"/>
  <c r="U47" i="8"/>
  <c r="T47" i="28" s="1"/>
  <c r="T111" i="28" s="1"/>
  <c r="U41" i="23"/>
  <c r="U32" i="23"/>
  <c r="U53" i="23"/>
  <c r="U15" i="23"/>
  <c r="U40" i="23"/>
  <c r="U16" i="23"/>
  <c r="U33" i="23"/>
  <c r="U19" i="23"/>
  <c r="U60" i="23"/>
  <c r="U5" i="23"/>
  <c r="U47" i="23"/>
  <c r="U29" i="23"/>
  <c r="U11" i="23"/>
  <c r="U36" i="23"/>
  <c r="U24" i="23"/>
  <c r="U34" i="23"/>
  <c r="U21" i="23"/>
  <c r="U51" i="23"/>
  <c r="U28" i="23"/>
  <c r="U58" i="23"/>
  <c r="U10" i="23"/>
  <c r="U39" i="23"/>
  <c r="U20" i="23"/>
  <c r="U54" i="23"/>
  <c r="U27" i="23"/>
  <c r="U50" i="23"/>
  <c r="U26" i="23"/>
  <c r="U57" i="23"/>
  <c r="U23" i="23"/>
  <c r="U63" i="23"/>
  <c r="U37" i="23"/>
  <c r="U7" i="23"/>
  <c r="U14" i="23"/>
  <c r="U59" i="23"/>
  <c r="U12" i="23"/>
  <c r="U25" i="23"/>
  <c r="U56" i="23"/>
  <c r="U43" i="23"/>
  <c r="U44" i="23"/>
  <c r="U31" i="23"/>
  <c r="U49" i="23"/>
  <c r="U45" i="23"/>
  <c r="U8" i="23"/>
  <c r="U38" i="23"/>
  <c r="U35" i="23"/>
  <c r="U22" i="23"/>
  <c r="U48" i="23"/>
  <c r="U42" i="23"/>
  <c r="U62" i="23"/>
  <c r="U13" i="23"/>
  <c r="U6" i="23"/>
  <c r="U55" i="23"/>
  <c r="U30" i="23"/>
  <c r="U61" i="23"/>
  <c r="U9" i="23"/>
  <c r="U46" i="23"/>
  <c r="U18" i="23"/>
  <c r="W29" i="28"/>
  <c r="W93" i="28" s="1"/>
  <c r="M15" i="29"/>
  <c r="M60" i="29" s="1"/>
  <c r="AD25" i="28"/>
  <c r="AD89" i="28" s="1"/>
  <c r="AD46" i="28"/>
  <c r="AD110" i="28" s="1"/>
  <c r="L8" i="28"/>
  <c r="L72" i="28" s="1"/>
  <c r="L29" i="28"/>
  <c r="L93" i="28" s="1"/>
  <c r="W62" i="28"/>
  <c r="W126" i="28" s="1"/>
  <c r="W13" i="28"/>
  <c r="W77" i="28" s="1"/>
  <c r="M32" i="29"/>
  <c r="M77" i="29" s="1"/>
  <c r="S38" i="12"/>
  <c r="Q38" i="29"/>
  <c r="Q83" i="29" s="1"/>
  <c r="AE16" i="28"/>
  <c r="AE80" i="28" s="1"/>
  <c r="AD31" i="8"/>
  <c r="AA31" i="28"/>
  <c r="AA95" i="28" s="1"/>
  <c r="AH9" i="8"/>
  <c r="AD9" i="28" s="1"/>
  <c r="AD73" i="28" s="1"/>
  <c r="AH39" i="8"/>
  <c r="AD39" i="28" s="1"/>
  <c r="AD103" i="28" s="1"/>
  <c r="P17" i="24"/>
  <c r="P29" i="24"/>
  <c r="P24" i="24"/>
  <c r="P26" i="24"/>
  <c r="P6" i="24"/>
  <c r="AE17" i="28"/>
  <c r="AE81" i="28" s="1"/>
  <c r="V37" i="28"/>
  <c r="V101" i="28" s="1"/>
  <c r="V20" i="28"/>
  <c r="V84" i="28" s="1"/>
  <c r="Y31" i="9"/>
  <c r="X31" i="28" s="1"/>
  <c r="X95" i="28" s="1"/>
  <c r="Y21" i="9"/>
  <c r="X21" i="28" s="1"/>
  <c r="X85" i="28" s="1"/>
  <c r="AC5" i="8"/>
  <c r="AA5" i="28" s="1"/>
  <c r="AA69" i="28" s="1"/>
  <c r="M23" i="29"/>
  <c r="M68" i="29" s="1"/>
  <c r="R13" i="29"/>
  <c r="R58" i="29" s="1"/>
  <c r="S16" i="12"/>
  <c r="Q16" i="29"/>
  <c r="Q61" i="29" s="1"/>
  <c r="O42" i="24"/>
  <c r="O39" i="24"/>
  <c r="O16" i="24"/>
  <c r="O29" i="24"/>
  <c r="O9" i="24"/>
  <c r="L53" i="28"/>
  <c r="L117" i="28" s="1"/>
  <c r="M22" i="29"/>
  <c r="M67" i="29" s="1"/>
  <c r="Z38" i="24"/>
  <c r="AA38" i="24" s="1"/>
  <c r="Z22" i="24"/>
  <c r="AA22" i="24" s="1"/>
  <c r="Z40" i="24"/>
  <c r="AA40" i="24" s="1"/>
  <c r="Z19" i="24"/>
  <c r="AA19" i="24" s="1"/>
  <c r="Z8" i="24"/>
  <c r="AA8" i="24" s="1"/>
  <c r="S11" i="12"/>
  <c r="Q11" i="29"/>
  <c r="Q56" i="29" s="1"/>
  <c r="L40" i="28"/>
  <c r="L104" i="28" s="1"/>
  <c r="L23" i="28"/>
  <c r="L87" i="28" s="1"/>
  <c r="M35" i="29"/>
  <c r="M80" i="29" s="1"/>
  <c r="U41" i="24"/>
  <c r="U26" i="24"/>
  <c r="U21" i="24"/>
  <c r="U25" i="24"/>
  <c r="W8" i="11"/>
  <c r="U8" i="24"/>
  <c r="R8" i="29"/>
  <c r="R53" i="29" s="1"/>
  <c r="M34" i="29"/>
  <c r="M79" i="29" s="1"/>
  <c r="S30" i="12"/>
  <c r="Q30" i="29"/>
  <c r="Q75" i="29" s="1"/>
  <c r="V14" i="24"/>
  <c r="V35" i="24"/>
  <c r="V29" i="24"/>
  <c r="V41" i="24"/>
  <c r="V5" i="24"/>
  <c r="S39" i="12"/>
  <c r="Q39" i="29"/>
  <c r="Q84" i="29" s="1"/>
  <c r="N32" i="29"/>
  <c r="N77" i="29" s="1"/>
  <c r="N32" i="24"/>
  <c r="N25" i="29"/>
  <c r="N70" i="29" s="1"/>
  <c r="N25" i="24"/>
  <c r="W13" i="23"/>
  <c r="S33" i="12"/>
  <c r="Q33" i="29"/>
  <c r="Q78" i="29" s="1"/>
  <c r="S28" i="12"/>
  <c r="Q28" i="29"/>
  <c r="Q73" i="29" s="1"/>
  <c r="P28" i="24"/>
  <c r="P39" i="24"/>
  <c r="P14" i="24"/>
  <c r="P16" i="24"/>
  <c r="P11" i="24"/>
  <c r="X38" i="8"/>
  <c r="W38" i="28" s="1"/>
  <c r="W102" i="28" s="1"/>
  <c r="X30" i="23"/>
  <c r="X58" i="23"/>
  <c r="X28" i="23"/>
  <c r="X21" i="23"/>
  <c r="X43" i="23"/>
  <c r="X6" i="23"/>
  <c r="X53" i="23"/>
  <c r="X49" i="23"/>
  <c r="X8" i="23"/>
  <c r="X48" i="23"/>
  <c r="X27" i="23"/>
  <c r="X45" i="23"/>
  <c r="X13" i="23"/>
  <c r="X62" i="23"/>
  <c r="X54" i="23"/>
  <c r="X26" i="23"/>
  <c r="X55" i="23"/>
  <c r="X25" i="23"/>
  <c r="X24" i="23"/>
  <c r="X20" i="23"/>
  <c r="X37" i="23"/>
  <c r="X31" i="23"/>
  <c r="X41" i="23"/>
  <c r="X34" i="23"/>
  <c r="X15" i="23"/>
  <c r="X40" i="23"/>
  <c r="X9" i="23"/>
  <c r="X59" i="23"/>
  <c r="X12" i="23"/>
  <c r="X51" i="23"/>
  <c r="X16" i="23"/>
  <c r="X38" i="23"/>
  <c r="X63" i="23"/>
  <c r="X42" i="23"/>
  <c r="X23" i="23"/>
  <c r="X14" i="23"/>
  <c r="X33" i="23"/>
  <c r="X57" i="23"/>
  <c r="X44" i="23"/>
  <c r="X17" i="23"/>
  <c r="X7" i="23"/>
  <c r="X36" i="23"/>
  <c r="X47" i="23"/>
  <c r="X19" i="23"/>
  <c r="X22" i="23"/>
  <c r="X52" i="23"/>
  <c r="X61" i="23"/>
  <c r="X39" i="23"/>
  <c r="X5" i="23"/>
  <c r="X56" i="23"/>
  <c r="X32" i="23"/>
  <c r="X46" i="23"/>
  <c r="X11" i="23"/>
  <c r="X10" i="23"/>
  <c r="X18" i="23"/>
  <c r="X60" i="23"/>
  <c r="X35" i="23"/>
  <c r="X29" i="23"/>
  <c r="X50" i="23"/>
  <c r="O40" i="24"/>
  <c r="O33" i="24"/>
  <c r="O36" i="24"/>
  <c r="O20" i="24"/>
  <c r="O6" i="24"/>
  <c r="Z41" i="24"/>
  <c r="AA41" i="24" s="1"/>
  <c r="Z39" i="24"/>
  <c r="AA39" i="24" s="1"/>
  <c r="Z43" i="24"/>
  <c r="AA43" i="24" s="1"/>
  <c r="Z10" i="24"/>
  <c r="AA10" i="24" s="1"/>
  <c r="Z5" i="24"/>
  <c r="U43" i="24"/>
  <c r="U37" i="24"/>
  <c r="W40" i="11"/>
  <c r="U40" i="24"/>
  <c r="U15" i="24"/>
  <c r="U5" i="24"/>
  <c r="S6" i="12"/>
  <c r="Q6" i="29"/>
  <c r="Q51" i="29" s="1"/>
  <c r="AB46" i="7"/>
  <c r="V34" i="24"/>
  <c r="V17" i="24"/>
  <c r="V28" i="24"/>
  <c r="V40" i="24"/>
  <c r="W40" i="24" s="1"/>
  <c r="V13" i="24"/>
  <c r="N44" i="29"/>
  <c r="N89" i="29" s="1"/>
  <c r="N44" i="24"/>
  <c r="N7" i="29"/>
  <c r="N52" i="29" s="1"/>
  <c r="N7" i="24"/>
  <c r="N37" i="29"/>
  <c r="N82" i="29" s="1"/>
  <c r="N37" i="24"/>
  <c r="N34" i="29"/>
  <c r="N79" i="29" s="1"/>
  <c r="N34" i="24"/>
  <c r="AA51" i="28"/>
  <c r="AA115" i="28" s="1"/>
  <c r="AD59" i="8"/>
  <c r="AA59" i="28"/>
  <c r="AA123" i="28" s="1"/>
  <c r="X15" i="28"/>
  <c r="X79" i="28" s="1"/>
  <c r="P25" i="28"/>
  <c r="P89" i="28" s="1"/>
  <c r="W39" i="28"/>
  <c r="W103" i="28" s="1"/>
  <c r="M31" i="29"/>
  <c r="M76" i="29" s="1"/>
  <c r="R22" i="29"/>
  <c r="R67" i="29" s="1"/>
  <c r="S25" i="12"/>
  <c r="Q25" i="29"/>
  <c r="Q70" i="29" s="1"/>
  <c r="AD13" i="28"/>
  <c r="AD77" i="28" s="1"/>
  <c r="AD62" i="28"/>
  <c r="AD126" i="28" s="1"/>
  <c r="L6" i="28"/>
  <c r="L70" i="28" s="1"/>
  <c r="L31" i="28"/>
  <c r="L95" i="28" s="1"/>
  <c r="W58" i="28"/>
  <c r="W122" i="28" s="1"/>
  <c r="W30" i="28"/>
  <c r="W94" i="28" s="1"/>
  <c r="M18" i="29"/>
  <c r="M63" i="29" s="1"/>
  <c r="M29" i="29"/>
  <c r="M74" i="29" s="1"/>
  <c r="R31" i="29"/>
  <c r="R76" i="29" s="1"/>
  <c r="S34" i="12"/>
  <c r="Q34" i="29"/>
  <c r="Q79" i="29" s="1"/>
  <c r="AE7" i="28"/>
  <c r="AE71" i="28" s="1"/>
  <c r="AD24" i="28"/>
  <c r="AD88" i="28" s="1"/>
  <c r="AD55" i="28"/>
  <c r="AD119" i="28" s="1"/>
  <c r="P19" i="24"/>
  <c r="P40" i="24"/>
  <c r="P33" i="24"/>
  <c r="P36" i="24"/>
  <c r="P8" i="24"/>
  <c r="AE12" i="28"/>
  <c r="AE76" i="28" s="1"/>
  <c r="V36" i="28"/>
  <c r="V100" i="28" s="1"/>
  <c r="V29" i="28"/>
  <c r="V93" i="28" s="1"/>
  <c r="AH6" i="8"/>
  <c r="AD6" i="28" s="1"/>
  <c r="AD70" i="28" s="1"/>
  <c r="M44" i="29"/>
  <c r="M89" i="29" s="1"/>
  <c r="S31" i="12"/>
  <c r="Q31" i="29"/>
  <c r="Q76" i="29" s="1"/>
  <c r="O41" i="24"/>
  <c r="O24" i="24"/>
  <c r="O43" i="24"/>
  <c r="O27" i="24"/>
  <c r="O11" i="24"/>
  <c r="L25" i="28"/>
  <c r="L89" i="28" s="1"/>
  <c r="L55" i="28"/>
  <c r="L119" i="28" s="1"/>
  <c r="M5" i="29"/>
  <c r="M50" i="29" s="1"/>
  <c r="M37" i="29"/>
  <c r="M82" i="29" s="1"/>
  <c r="Z32" i="24"/>
  <c r="AA32" i="24" s="1"/>
  <c r="Z34" i="24"/>
  <c r="AA34" i="24" s="1"/>
  <c r="Z36" i="24"/>
  <c r="AA36" i="24" s="1"/>
  <c r="Z18" i="24"/>
  <c r="AA18" i="24" s="1"/>
  <c r="Z13" i="24"/>
  <c r="AA13" i="24" s="1"/>
  <c r="R15" i="29"/>
  <c r="R60" i="29" s="1"/>
  <c r="S19" i="12"/>
  <c r="Q19" i="29"/>
  <c r="Q64" i="29" s="1"/>
  <c r="L13" i="28"/>
  <c r="L77" i="28" s="1"/>
  <c r="L16" i="28"/>
  <c r="L80" i="28" s="1"/>
  <c r="M33" i="29"/>
  <c r="M78" i="29" s="1"/>
  <c r="U44" i="24"/>
  <c r="U20" i="24"/>
  <c r="U23" i="24"/>
  <c r="U36" i="24"/>
  <c r="U13" i="24"/>
  <c r="R37" i="29"/>
  <c r="R82" i="29" s="1"/>
  <c r="S36" i="12"/>
  <c r="Q36" i="29"/>
  <c r="Q81" i="29" s="1"/>
  <c r="AI6" i="8"/>
  <c r="AE6" i="28" s="1"/>
  <c r="AE70" i="28" s="1"/>
  <c r="AI13" i="23"/>
  <c r="AI58" i="23"/>
  <c r="AI26" i="23"/>
  <c r="AI29" i="23"/>
  <c r="AI21" i="23"/>
  <c r="AI28" i="23"/>
  <c r="AI60" i="23"/>
  <c r="AI39" i="23"/>
  <c r="AI53" i="23"/>
  <c r="AI47" i="23"/>
  <c r="AI45" i="23"/>
  <c r="AI27" i="23"/>
  <c r="AI42" i="23"/>
  <c r="AI30" i="23"/>
  <c r="AI14" i="23"/>
  <c r="AI9" i="23"/>
  <c r="AI51" i="23"/>
  <c r="AI41" i="23"/>
  <c r="AI59" i="23"/>
  <c r="AI46" i="23"/>
  <c r="AI25" i="23"/>
  <c r="AI57" i="23"/>
  <c r="AI16" i="23"/>
  <c r="AI20" i="23"/>
  <c r="AI40" i="23"/>
  <c r="AI15" i="23"/>
  <c r="AI5" i="23"/>
  <c r="AI37" i="23"/>
  <c r="AI24" i="23"/>
  <c r="AI8" i="23"/>
  <c r="AI44" i="23"/>
  <c r="AI17" i="23"/>
  <c r="AI34" i="23"/>
  <c r="AI22" i="23"/>
  <c r="AI56" i="23"/>
  <c r="AI52" i="23"/>
  <c r="AI49" i="23"/>
  <c r="AI62" i="23"/>
  <c r="AI48" i="23"/>
  <c r="AI10" i="23"/>
  <c r="AI50" i="23"/>
  <c r="AI36" i="23"/>
  <c r="AI6" i="23"/>
  <c r="AI11" i="23"/>
  <c r="AI38" i="23"/>
  <c r="AI19" i="23"/>
  <c r="AI43" i="23"/>
  <c r="AI55" i="23"/>
  <c r="AI23" i="23"/>
  <c r="AI33" i="23"/>
  <c r="AI63" i="23"/>
  <c r="AI54" i="23"/>
  <c r="AI31" i="23"/>
  <c r="AI61" i="23"/>
  <c r="AI32" i="23"/>
  <c r="AI35" i="23"/>
  <c r="AI18" i="23"/>
  <c r="AI7" i="23"/>
  <c r="AI12" i="23"/>
  <c r="M21" i="29"/>
  <c r="M66" i="29" s="1"/>
  <c r="S9" i="12"/>
  <c r="Q9" i="29"/>
  <c r="Q54" i="29" s="1"/>
  <c r="V25" i="24"/>
  <c r="V44" i="24"/>
  <c r="V42" i="24"/>
  <c r="V23" i="24"/>
  <c r="V10" i="24"/>
  <c r="S12" i="12"/>
  <c r="Q12" i="29"/>
  <c r="Q57" i="29" s="1"/>
  <c r="Q39" i="23"/>
  <c r="Y40" i="23"/>
  <c r="AH24" i="23"/>
  <c r="X40" i="28"/>
  <c r="X104" i="28" s="1"/>
  <c r="V15" i="28"/>
  <c r="V79" i="28" s="1"/>
  <c r="L20" i="28"/>
  <c r="L84" i="28" s="1"/>
  <c r="L37" i="28"/>
  <c r="L101" i="28" s="1"/>
  <c r="N27" i="29"/>
  <c r="N72" i="29" s="1"/>
  <c r="V42" i="28"/>
  <c r="V106" i="28" s="1"/>
  <c r="V46" i="28"/>
  <c r="V110" i="28" s="1"/>
  <c r="X37" i="28"/>
  <c r="X101" i="28" s="1"/>
  <c r="X20" i="28"/>
  <c r="X84" i="28" s="1"/>
  <c r="AD44" i="8"/>
  <c r="AA44" i="28"/>
  <c r="AA108" i="28" s="1"/>
  <c r="V41" i="28"/>
  <c r="V105" i="28" s="1"/>
  <c r="V24" i="28"/>
  <c r="V88" i="28" s="1"/>
  <c r="X32" i="28"/>
  <c r="X96" i="28" s="1"/>
  <c r="X7" i="28"/>
  <c r="X71" i="28" s="1"/>
  <c r="AD46" i="8"/>
  <c r="AA46" i="28"/>
  <c r="AA110" i="28" s="1"/>
  <c r="AD36" i="8"/>
  <c r="AA36" i="28"/>
  <c r="AA100" i="28" s="1"/>
  <c r="L41" i="28"/>
  <c r="L105" i="28" s="1"/>
  <c r="L61" i="28"/>
  <c r="L125" i="28" s="1"/>
  <c r="M28" i="29"/>
  <c r="M73" i="29" s="1"/>
  <c r="R10" i="29"/>
  <c r="R55" i="29" s="1"/>
  <c r="S10" i="12"/>
  <c r="Q10" i="29"/>
  <c r="Q55" i="29" s="1"/>
  <c r="P38" i="24"/>
  <c r="P32" i="24"/>
  <c r="P15" i="24"/>
  <c r="P10" i="24"/>
  <c r="P5" i="24"/>
  <c r="X34" i="28"/>
  <c r="X98" i="28" s="1"/>
  <c r="L15" i="28"/>
  <c r="L79" i="28" s="1"/>
  <c r="L11" i="28"/>
  <c r="L75" i="28" s="1"/>
  <c r="R19" i="29"/>
  <c r="R64" i="29" s="1"/>
  <c r="R30" i="29"/>
  <c r="R75" i="29" s="1"/>
  <c r="O31" i="24"/>
  <c r="O14" i="24"/>
  <c r="O17" i="24"/>
  <c r="O30" i="24"/>
  <c r="O8" i="24"/>
  <c r="AE13" i="28"/>
  <c r="AE77" i="28" s="1"/>
  <c r="V32" i="28"/>
  <c r="V96" i="28" s="1"/>
  <c r="X46" i="8"/>
  <c r="W46" i="28" s="1"/>
  <c r="W110" i="28" s="1"/>
  <c r="Z44" i="24"/>
  <c r="AA44" i="24" s="1"/>
  <c r="Z23" i="24"/>
  <c r="AA23" i="24" s="1"/>
  <c r="Z25" i="24"/>
  <c r="AA25" i="24" s="1"/>
  <c r="Z27" i="24"/>
  <c r="AA27" i="24" s="1"/>
  <c r="Z7" i="24"/>
  <c r="AA7" i="24" s="1"/>
  <c r="W15" i="11"/>
  <c r="W39" i="11"/>
  <c r="U39" i="24"/>
  <c r="U19" i="24"/>
  <c r="U22" i="24"/>
  <c r="W35" i="11"/>
  <c r="U35" i="24"/>
  <c r="U10" i="24"/>
  <c r="AB47" i="7"/>
  <c r="R39" i="29"/>
  <c r="R84" i="29" s="1"/>
  <c r="S17" i="12"/>
  <c r="Q17" i="29"/>
  <c r="Q62" i="29" s="1"/>
  <c r="V24" i="24"/>
  <c r="V27" i="24"/>
  <c r="V31" i="24"/>
  <c r="V12" i="24"/>
  <c r="V18" i="24"/>
  <c r="M41" i="29"/>
  <c r="M86" i="29" s="1"/>
  <c r="R40" i="29"/>
  <c r="R85" i="29" s="1"/>
  <c r="S27" i="12"/>
  <c r="Q27" i="29"/>
  <c r="Q72" i="29" s="1"/>
  <c r="N41" i="29"/>
  <c r="N86" i="29" s="1"/>
  <c r="N41" i="24"/>
  <c r="N43" i="29"/>
  <c r="N88" i="29" s="1"/>
  <c r="N43" i="24"/>
  <c r="U17" i="23"/>
  <c r="V57" i="28"/>
  <c r="V121" i="28" s="1"/>
  <c r="AD18" i="28"/>
  <c r="AD82" i="28" s="1"/>
  <c r="AD61" i="8"/>
  <c r="AA61" i="28"/>
  <c r="AA125" i="28" s="1"/>
  <c r="U31" i="8"/>
  <c r="T31" i="28" s="1"/>
  <c r="T95" i="28" s="1"/>
  <c r="U25" i="8"/>
  <c r="T25" i="28" s="1"/>
  <c r="T89" i="28" s="1"/>
  <c r="W34" i="28"/>
  <c r="W98" i="28" s="1"/>
  <c r="M7" i="29"/>
  <c r="M52" i="29" s="1"/>
  <c r="M30" i="29"/>
  <c r="M75" i="29" s="1"/>
  <c r="R41" i="29"/>
  <c r="R86" i="29" s="1"/>
  <c r="S20" i="12"/>
  <c r="Q20" i="29"/>
  <c r="Q65" i="29" s="1"/>
  <c r="AD28" i="28"/>
  <c r="AD92" i="28" s="1"/>
  <c r="W51" i="28"/>
  <c r="W115" i="28" s="1"/>
  <c r="W12" i="28"/>
  <c r="W76" i="28" s="1"/>
  <c r="M27" i="29"/>
  <c r="M72" i="29" s="1"/>
  <c r="R43" i="29"/>
  <c r="R88" i="29" s="1"/>
  <c r="R17" i="29"/>
  <c r="R62" i="29" s="1"/>
  <c r="S29" i="12"/>
  <c r="Q29" i="29"/>
  <c r="Q74" i="29" s="1"/>
  <c r="AH10" i="8"/>
  <c r="AD10" i="28" s="1"/>
  <c r="AD74" i="28" s="1"/>
  <c r="X8" i="8"/>
  <c r="W8" i="28" s="1"/>
  <c r="W72" i="28" s="1"/>
  <c r="R34" i="29"/>
  <c r="R79" i="29" s="1"/>
  <c r="S41" i="12"/>
  <c r="Q41" i="29"/>
  <c r="Q86" i="29" s="1"/>
  <c r="P37" i="24"/>
  <c r="P23" i="24"/>
  <c r="P34" i="24"/>
  <c r="P18" i="24"/>
  <c r="P13" i="24"/>
  <c r="AE29" i="28"/>
  <c r="AE93" i="28" s="1"/>
  <c r="Y54" i="9"/>
  <c r="Y12" i="9"/>
  <c r="X12" i="28" s="1"/>
  <c r="X76" i="28" s="1"/>
  <c r="X60" i="8"/>
  <c r="W60" i="28" s="1"/>
  <c r="W124" i="28" s="1"/>
  <c r="M13" i="29"/>
  <c r="M58" i="29" s="1"/>
  <c r="M20" i="29"/>
  <c r="M65" i="29" s="1"/>
  <c r="O22" i="24"/>
  <c r="O34" i="24"/>
  <c r="O37" i="24"/>
  <c r="O21" i="24"/>
  <c r="O5" i="24"/>
  <c r="M17" i="29"/>
  <c r="M62" i="29" s="1"/>
  <c r="Z21" i="24"/>
  <c r="AA21" i="24" s="1"/>
  <c r="Z30" i="24"/>
  <c r="AA30" i="24" s="1"/>
  <c r="Z15" i="24"/>
  <c r="AA15" i="24" s="1"/>
  <c r="Z17" i="24"/>
  <c r="AA17" i="24" s="1"/>
  <c r="Z12" i="24"/>
  <c r="AA12" i="24" s="1"/>
  <c r="Q5" i="29"/>
  <c r="Q50" i="29" s="1"/>
  <c r="W31" i="8"/>
  <c r="V31" i="28" s="1"/>
  <c r="V95" i="28" s="1"/>
  <c r="M40" i="29"/>
  <c r="M85" i="29" s="1"/>
  <c r="U38" i="24"/>
  <c r="U17" i="24"/>
  <c r="W32" i="11"/>
  <c r="U32" i="24"/>
  <c r="U34" i="24"/>
  <c r="U18" i="24"/>
  <c r="R16" i="29"/>
  <c r="R61" i="29" s="1"/>
  <c r="S8" i="12"/>
  <c r="Q8" i="29"/>
  <c r="Q53" i="29" s="1"/>
  <c r="AB6" i="7"/>
  <c r="AB27" i="7"/>
  <c r="Y47" i="8"/>
  <c r="M11" i="29"/>
  <c r="M56" i="29" s="1"/>
  <c r="S43" i="12"/>
  <c r="Q43" i="29"/>
  <c r="Q88" i="29" s="1"/>
  <c r="W43" i="11"/>
  <c r="V43" i="24"/>
  <c r="V37" i="24"/>
  <c r="V22" i="24"/>
  <c r="V9" i="24"/>
  <c r="V7" i="24"/>
  <c r="N30" i="29"/>
  <c r="N75" i="29" s="1"/>
  <c r="N30" i="24"/>
  <c r="Q56" i="23"/>
  <c r="AD9" i="8"/>
  <c r="AA9" i="28"/>
  <c r="AA73" i="28" s="1"/>
  <c r="P44" i="24"/>
  <c r="P20" i="24"/>
  <c r="P22" i="24"/>
  <c r="P25" i="24"/>
  <c r="P7" i="24"/>
  <c r="X54" i="28"/>
  <c r="X118" i="28" s="1"/>
  <c r="AH61" i="8"/>
  <c r="AD61" i="28" s="1"/>
  <c r="AD125" i="28" s="1"/>
  <c r="AH33" i="23"/>
  <c r="AH30" i="23"/>
  <c r="AH49" i="23"/>
  <c r="AH46" i="23"/>
  <c r="AH25" i="23"/>
  <c r="AH35" i="23"/>
  <c r="AH21" i="23"/>
  <c r="AH59" i="23"/>
  <c r="AH22" i="23"/>
  <c r="AH44" i="23"/>
  <c r="AH20" i="23"/>
  <c r="AH53" i="23"/>
  <c r="AH17" i="23"/>
  <c r="AH58" i="23"/>
  <c r="AH14" i="23"/>
  <c r="AH34" i="23"/>
  <c r="AH37" i="23"/>
  <c r="AH43" i="23"/>
  <c r="AH36" i="23"/>
  <c r="AH29" i="23"/>
  <c r="AH61" i="23"/>
  <c r="AH16" i="23"/>
  <c r="AH52" i="23"/>
  <c r="AH28" i="23"/>
  <c r="AH41" i="23"/>
  <c r="AH18" i="23"/>
  <c r="AH47" i="23"/>
  <c r="AH54" i="23"/>
  <c r="AH45" i="23"/>
  <c r="AH40" i="23"/>
  <c r="AH5" i="23"/>
  <c r="AH57" i="23"/>
  <c r="AH31" i="23"/>
  <c r="AH50" i="23"/>
  <c r="AH7" i="23"/>
  <c r="AH11" i="23"/>
  <c r="AH38" i="23"/>
  <c r="AH48" i="23"/>
  <c r="AH12" i="23"/>
  <c r="AH51" i="23"/>
  <c r="AH27" i="23"/>
  <c r="AH10" i="23"/>
  <c r="AH62" i="23"/>
  <c r="AH32" i="23"/>
  <c r="AH26" i="23"/>
  <c r="AH15" i="23"/>
  <c r="AH13" i="23"/>
  <c r="AH8" i="23"/>
  <c r="AH42" i="23"/>
  <c r="AH6" i="23"/>
  <c r="AH60" i="23"/>
  <c r="AH63" i="23"/>
  <c r="AH23" i="23"/>
  <c r="AH56" i="23"/>
  <c r="AH19" i="23"/>
  <c r="AH39" i="23"/>
  <c r="AH9" i="23"/>
  <c r="S37" i="12"/>
  <c r="Q37" i="29"/>
  <c r="Q82" i="29" s="1"/>
  <c r="O32" i="24"/>
  <c r="O25" i="24"/>
  <c r="O28" i="24"/>
  <c r="O19" i="24"/>
  <c r="O13" i="24"/>
  <c r="Z29" i="24"/>
  <c r="AA29" i="24" s="1"/>
  <c r="Z33" i="24"/>
  <c r="AA33" i="24" s="1"/>
  <c r="Z35" i="24"/>
  <c r="AA35" i="24" s="1"/>
  <c r="Z42" i="24"/>
  <c r="AA42" i="24" s="1"/>
  <c r="Z9" i="24"/>
  <c r="AA9" i="24" s="1"/>
  <c r="S26" i="12"/>
  <c r="Q26" i="29"/>
  <c r="Q71" i="29" s="1"/>
  <c r="W16" i="11"/>
  <c r="U16" i="24"/>
  <c r="U29" i="24"/>
  <c r="W14" i="11"/>
  <c r="U14" i="24"/>
  <c r="W14" i="24" s="1"/>
  <c r="W9" i="11"/>
  <c r="U9" i="24"/>
  <c r="U7" i="24"/>
  <c r="W7" i="24" s="1"/>
  <c r="S35" i="12"/>
  <c r="Q35" i="29"/>
  <c r="Q80" i="29" s="1"/>
  <c r="S23" i="12"/>
  <c r="Q23" i="29"/>
  <c r="Q68" i="29" s="1"/>
  <c r="V39" i="24"/>
  <c r="W39" i="24" s="1"/>
  <c r="V26" i="24"/>
  <c r="V36" i="24"/>
  <c r="V21" i="24"/>
  <c r="W21" i="24" s="1"/>
  <c r="V6" i="24"/>
  <c r="Y19" i="8"/>
  <c r="Y24" i="23"/>
  <c r="Y57" i="23"/>
  <c r="Y21" i="23"/>
  <c r="Y31" i="23"/>
  <c r="Y5" i="23"/>
  <c r="Y46" i="23"/>
  <c r="Y55" i="23"/>
  <c r="Y58" i="23"/>
  <c r="Y16" i="23"/>
  <c r="Y33" i="23"/>
  <c r="Y52" i="23"/>
  <c r="Y10" i="23"/>
  <c r="Y53" i="23"/>
  <c r="Y13" i="23"/>
  <c r="Y59" i="23"/>
  <c r="Y17" i="23"/>
  <c r="Y62" i="23"/>
  <c r="Y9" i="23"/>
  <c r="Y56" i="23"/>
  <c r="Y12" i="23"/>
  <c r="Y54" i="23"/>
  <c r="Y19" i="23"/>
  <c r="Y44" i="23"/>
  <c r="Y14" i="23"/>
  <c r="Y47" i="23"/>
  <c r="Y45" i="23"/>
  <c r="Y34" i="23"/>
  <c r="Y32" i="23"/>
  <c r="Y61" i="23"/>
  <c r="Y7" i="23"/>
  <c r="Y20" i="23"/>
  <c r="Y37" i="23"/>
  <c r="Y27" i="23"/>
  <c r="Y49" i="23"/>
  <c r="Y18" i="23"/>
  <c r="Y63" i="23"/>
  <c r="Y28" i="23"/>
  <c r="Y25" i="23"/>
  <c r="Y23" i="23"/>
  <c r="Y42" i="23"/>
  <c r="Y6" i="23"/>
  <c r="Y43" i="23"/>
  <c r="Y50" i="23"/>
  <c r="Y8" i="23"/>
  <c r="Y38" i="23"/>
  <c r="Y48" i="23"/>
  <c r="Y26" i="23"/>
  <c r="Y39" i="23"/>
  <c r="Y60" i="23"/>
  <c r="Y29" i="23"/>
  <c r="Y35" i="23"/>
  <c r="Y51" i="23"/>
  <c r="Y22" i="23"/>
  <c r="Y11" i="23"/>
  <c r="Y36" i="23"/>
  <c r="Y30" i="23"/>
  <c r="Y41" i="23"/>
  <c r="S24" i="12"/>
  <c r="Q24" i="29"/>
  <c r="Q69" i="29" s="1"/>
  <c r="S15" i="12"/>
  <c r="Q15" i="29"/>
  <c r="Q60" i="29" s="1"/>
  <c r="U52" i="23"/>
  <c r="W54" i="28"/>
  <c r="W118" i="28" s="1"/>
  <c r="W16" i="28"/>
  <c r="W80" i="28" s="1"/>
  <c r="M9" i="29"/>
  <c r="M54" i="29" s="1"/>
  <c r="R7" i="29"/>
  <c r="R52" i="29" s="1"/>
  <c r="S7" i="12"/>
  <c r="Q7" i="29"/>
  <c r="Q52" i="29" s="1"/>
  <c r="AD13" i="8"/>
  <c r="AA13" i="28"/>
  <c r="AA77" i="28" s="1"/>
  <c r="AD60" i="8"/>
  <c r="AA60" i="28"/>
  <c r="AA124" i="28" s="1"/>
  <c r="AD14" i="28"/>
  <c r="AD78" i="28" s="1"/>
  <c r="L36" i="28"/>
  <c r="L100" i="28" s="1"/>
  <c r="L58" i="28"/>
  <c r="L122" i="28" s="1"/>
  <c r="W24" i="28"/>
  <c r="W88" i="28" s="1"/>
  <c r="W25" i="28"/>
  <c r="W89" i="28" s="1"/>
  <c r="M25" i="29"/>
  <c r="M70" i="29" s="1"/>
  <c r="R18" i="29"/>
  <c r="R63" i="29" s="1"/>
  <c r="S18" i="12"/>
  <c r="Q18" i="29"/>
  <c r="Q63" i="29" s="1"/>
  <c r="AE21" i="28"/>
  <c r="AE85" i="28" s="1"/>
  <c r="AD31" i="28"/>
  <c r="AD95" i="28" s="1"/>
  <c r="AD57" i="28"/>
  <c r="AD121" i="28" s="1"/>
  <c r="P42" i="8"/>
  <c r="P42" i="28" s="1"/>
  <c r="P106" i="28" s="1"/>
  <c r="P42" i="23"/>
  <c r="P22" i="23"/>
  <c r="P21" i="23"/>
  <c r="P44" i="23"/>
  <c r="P32" i="23"/>
  <c r="P24" i="23"/>
  <c r="P60" i="23"/>
  <c r="P20" i="23"/>
  <c r="P52" i="23"/>
  <c r="P31" i="23"/>
  <c r="P40" i="23"/>
  <c r="P5" i="23"/>
  <c r="P41" i="23"/>
  <c r="P45" i="23"/>
  <c r="P29" i="23"/>
  <c r="P56" i="23"/>
  <c r="P26" i="23"/>
  <c r="P13" i="23"/>
  <c r="P35" i="23"/>
  <c r="P63" i="23"/>
  <c r="P59" i="23"/>
  <c r="P8" i="23"/>
  <c r="P62" i="23"/>
  <c r="P30" i="23"/>
  <c r="P61" i="23"/>
  <c r="P7" i="23"/>
  <c r="P6" i="23"/>
  <c r="P47" i="23"/>
  <c r="P18" i="23"/>
  <c r="P39" i="23"/>
  <c r="P17" i="23"/>
  <c r="P58" i="23"/>
  <c r="P57" i="23"/>
  <c r="P12" i="23"/>
  <c r="P16" i="23"/>
  <c r="P11" i="23"/>
  <c r="P43" i="23"/>
  <c r="P36" i="23"/>
  <c r="P10" i="23"/>
  <c r="P37" i="23"/>
  <c r="P55" i="23"/>
  <c r="P9" i="23"/>
  <c r="P46" i="23"/>
  <c r="P15" i="23"/>
  <c r="P25" i="23"/>
  <c r="P51" i="23"/>
  <c r="P48" i="23"/>
  <c r="P54" i="23"/>
  <c r="P34" i="23"/>
  <c r="P50" i="23"/>
  <c r="P14" i="23"/>
  <c r="P33" i="23"/>
  <c r="P23" i="23"/>
  <c r="P27" i="23"/>
  <c r="P28" i="23"/>
  <c r="P49" i="23"/>
  <c r="P53" i="23"/>
  <c r="P19" i="23"/>
  <c r="P38" i="23"/>
  <c r="W48" i="28"/>
  <c r="W112" i="28" s="1"/>
  <c r="W35" i="28"/>
  <c r="W99" i="28" s="1"/>
  <c r="R38" i="29"/>
  <c r="R83" i="29" s="1"/>
  <c r="S22" i="12"/>
  <c r="Q22" i="29"/>
  <c r="Q67" i="29" s="1"/>
  <c r="P42" i="24"/>
  <c r="P31" i="24"/>
  <c r="P21" i="24"/>
  <c r="P43" i="24"/>
  <c r="P12" i="24"/>
  <c r="V34" i="28"/>
  <c r="V98" i="28" s="1"/>
  <c r="V17" i="28"/>
  <c r="V81" i="28" s="1"/>
  <c r="AC58" i="8"/>
  <c r="AC47" i="23"/>
  <c r="AD47" i="23" s="1"/>
  <c r="AC6" i="23"/>
  <c r="AD6" i="23" s="1"/>
  <c r="AC38" i="23"/>
  <c r="AD38" i="23" s="1"/>
  <c r="AC19" i="23"/>
  <c r="AD19" i="23" s="1"/>
  <c r="AC42" i="23"/>
  <c r="AD42" i="23" s="1"/>
  <c r="AC54" i="23"/>
  <c r="AD54" i="23" s="1"/>
  <c r="AC37" i="23"/>
  <c r="AD37" i="23" s="1"/>
  <c r="AC53" i="23"/>
  <c r="AD53" i="23" s="1"/>
  <c r="AC22" i="23"/>
  <c r="AD22" i="23" s="1"/>
  <c r="AC48" i="23"/>
  <c r="AD48" i="23" s="1"/>
  <c r="AC25" i="23"/>
  <c r="AD25" i="23" s="1"/>
  <c r="AC40" i="23"/>
  <c r="AD40" i="23" s="1"/>
  <c r="AC32" i="23"/>
  <c r="AD32" i="23" s="1"/>
  <c r="AC49" i="23"/>
  <c r="AD49" i="23" s="1"/>
  <c r="AC16" i="23"/>
  <c r="AD16" i="23" s="1"/>
  <c r="AC11" i="23"/>
  <c r="AD11" i="23" s="1"/>
  <c r="AC57" i="23"/>
  <c r="AD57" i="23" s="1"/>
  <c r="AC15" i="23"/>
  <c r="AD15" i="23" s="1"/>
  <c r="AC7" i="23"/>
  <c r="AD7" i="23" s="1"/>
  <c r="AC39" i="23"/>
  <c r="AD39" i="23" s="1"/>
  <c r="AC18" i="23"/>
  <c r="AD18" i="23" s="1"/>
  <c r="AC33" i="23"/>
  <c r="AD33" i="23" s="1"/>
  <c r="AC21" i="23"/>
  <c r="AD21" i="23" s="1"/>
  <c r="AC63" i="23"/>
  <c r="AD63" i="23" s="1"/>
  <c r="AC20" i="23"/>
  <c r="AD20" i="23" s="1"/>
  <c r="AC23" i="23"/>
  <c r="AD23" i="23" s="1"/>
  <c r="AC27" i="23"/>
  <c r="AD27" i="23" s="1"/>
  <c r="AC50" i="23"/>
  <c r="AD50" i="23" s="1"/>
  <c r="AC31" i="23"/>
  <c r="AD31" i="23" s="1"/>
  <c r="AC10" i="23"/>
  <c r="AD10" i="23" s="1"/>
  <c r="AC14" i="23"/>
  <c r="AD14" i="23" s="1"/>
  <c r="AC36" i="23"/>
  <c r="AD36" i="23" s="1"/>
  <c r="AC62" i="23"/>
  <c r="AD62" i="23" s="1"/>
  <c r="AC29" i="23"/>
  <c r="AD29" i="23" s="1"/>
  <c r="AC59" i="23"/>
  <c r="AD59" i="23" s="1"/>
  <c r="AC5" i="23"/>
  <c r="AC9" i="23"/>
  <c r="AD9" i="23" s="1"/>
  <c r="AC55" i="23"/>
  <c r="AD55" i="23" s="1"/>
  <c r="AC45" i="23"/>
  <c r="AD45" i="23" s="1"/>
  <c r="AC51" i="23"/>
  <c r="AD51" i="23" s="1"/>
  <c r="AC12" i="23"/>
  <c r="AD12" i="23" s="1"/>
  <c r="AC26" i="23"/>
  <c r="AD26" i="23" s="1"/>
  <c r="AC43" i="23"/>
  <c r="AD43" i="23" s="1"/>
  <c r="AC30" i="23"/>
  <c r="AD30" i="23" s="1"/>
  <c r="AC60" i="23"/>
  <c r="AD60" i="23" s="1"/>
  <c r="AC8" i="23"/>
  <c r="AD8" i="23" s="1"/>
  <c r="AC58" i="23"/>
  <c r="AD58" i="23" s="1"/>
  <c r="AC52" i="23"/>
  <c r="AD52" i="23" s="1"/>
  <c r="AC56" i="23"/>
  <c r="AD56" i="23" s="1"/>
  <c r="AC41" i="23"/>
  <c r="AD41" i="23" s="1"/>
  <c r="AC46" i="23"/>
  <c r="AD46" i="23" s="1"/>
  <c r="AC28" i="23"/>
  <c r="AD28" i="23" s="1"/>
  <c r="AC35" i="23"/>
  <c r="AD35" i="23" s="1"/>
  <c r="AC44" i="23"/>
  <c r="AD44" i="23" s="1"/>
  <c r="AC13" i="23"/>
  <c r="AD13" i="23" s="1"/>
  <c r="AC61" i="23"/>
  <c r="AD61" i="23" s="1"/>
  <c r="AC24" i="23"/>
  <c r="AD24" i="23" s="1"/>
  <c r="AH56" i="8"/>
  <c r="AD56" i="28" s="1"/>
  <c r="AD120" i="28" s="1"/>
  <c r="M16" i="29"/>
  <c r="M61" i="29" s="1"/>
  <c r="M42" i="29"/>
  <c r="M87" i="29" s="1"/>
  <c r="R36" i="29"/>
  <c r="R81" i="29" s="1"/>
  <c r="O23" i="24"/>
  <c r="O15" i="24"/>
  <c r="O35" i="24"/>
  <c r="O7" i="24"/>
  <c r="O10" i="24"/>
  <c r="L34" i="28"/>
  <c r="L98" i="28" s="1"/>
  <c r="L32" i="28"/>
  <c r="L96" i="28" s="1"/>
  <c r="M24" i="29"/>
  <c r="M69" i="29" s="1"/>
  <c r="Z20" i="24"/>
  <c r="AA20" i="24" s="1"/>
  <c r="Z24" i="24"/>
  <c r="AA24" i="24" s="1"/>
  <c r="Z26" i="24"/>
  <c r="AA26" i="24" s="1"/>
  <c r="Z37" i="24"/>
  <c r="AA37" i="24" s="1"/>
  <c r="Z6" i="24"/>
  <c r="AA6" i="24" s="1"/>
  <c r="Y55" i="9"/>
  <c r="S40" i="12"/>
  <c r="Q40" i="29"/>
  <c r="Q85" i="29" s="1"/>
  <c r="L46" i="28"/>
  <c r="L110" i="28" s="1"/>
  <c r="M8" i="29"/>
  <c r="M53" i="29" s="1"/>
  <c r="M39" i="29"/>
  <c r="M84" i="29" s="1"/>
  <c r="U28" i="24"/>
  <c r="U31" i="24"/>
  <c r="W33" i="11"/>
  <c r="U33" i="24"/>
  <c r="W6" i="11"/>
  <c r="U6" i="24"/>
  <c r="W6" i="24" s="1"/>
  <c r="W12" i="11"/>
  <c r="U12" i="24"/>
  <c r="R33" i="29"/>
  <c r="R78" i="29" s="1"/>
  <c r="AB52" i="7"/>
  <c r="AB55" i="7"/>
  <c r="AB8" i="7"/>
  <c r="AB9" i="7"/>
  <c r="M36" i="29"/>
  <c r="M81" i="29" s="1"/>
  <c r="S14" i="12"/>
  <c r="Q14" i="29"/>
  <c r="Q59" i="29" s="1"/>
  <c r="V33" i="24"/>
  <c r="V16" i="24"/>
  <c r="V19" i="24"/>
  <c r="V20" i="24"/>
  <c r="V11" i="24"/>
  <c r="N26" i="29"/>
  <c r="N71" i="29" s="1"/>
  <c r="N26" i="24"/>
  <c r="N23" i="24"/>
  <c r="N18" i="29"/>
  <c r="N63" i="29" s="1"/>
  <c r="N18" i="24"/>
  <c r="N42" i="29"/>
  <c r="N87" i="29" s="1"/>
  <c r="N42" i="24"/>
  <c r="AC17" i="23"/>
  <c r="AD17" i="23" s="1"/>
  <c r="X49" i="28"/>
  <c r="X113" i="28" s="1"/>
  <c r="AD17" i="28"/>
  <c r="AD81" i="28" s="1"/>
  <c r="L50" i="28"/>
  <c r="L114" i="28" s="1"/>
  <c r="O9" i="8"/>
  <c r="O9" i="28" s="1"/>
  <c r="O73" i="28" s="1"/>
  <c r="O44" i="23"/>
  <c r="O59" i="23"/>
  <c r="O20" i="23"/>
  <c r="O33" i="23"/>
  <c r="O19" i="23"/>
  <c r="O45" i="23"/>
  <c r="O31" i="23"/>
  <c r="O61" i="23"/>
  <c r="O14" i="23"/>
  <c r="O35" i="23"/>
  <c r="O12" i="23"/>
  <c r="O51" i="23"/>
  <c r="O28" i="23"/>
  <c r="O47" i="23"/>
  <c r="O23" i="23"/>
  <c r="O43" i="23"/>
  <c r="O63" i="23"/>
  <c r="O37" i="23"/>
  <c r="O48" i="23"/>
  <c r="O11" i="23"/>
  <c r="O41" i="23"/>
  <c r="O27" i="23"/>
  <c r="O57" i="23"/>
  <c r="O5" i="23"/>
  <c r="O52" i="23"/>
  <c r="O24" i="23"/>
  <c r="O58" i="23"/>
  <c r="O21" i="23"/>
  <c r="O60" i="23"/>
  <c r="O16" i="23"/>
  <c r="O62" i="23"/>
  <c r="O15" i="23"/>
  <c r="O50" i="23"/>
  <c r="O6" i="23"/>
  <c r="O46" i="23"/>
  <c r="O10" i="23"/>
  <c r="O9" i="23"/>
  <c r="O54" i="23"/>
  <c r="O36" i="23"/>
  <c r="O8" i="23"/>
  <c r="O53" i="23"/>
  <c r="O7" i="23"/>
  <c r="O30" i="23"/>
  <c r="O25" i="23"/>
  <c r="O38" i="23"/>
  <c r="O32" i="23"/>
  <c r="O26" i="23"/>
  <c r="O13" i="23"/>
  <c r="O39" i="23"/>
  <c r="O55" i="23"/>
  <c r="O49" i="23"/>
  <c r="O17" i="23"/>
  <c r="O18" i="23"/>
  <c r="O34" i="23"/>
  <c r="O40" i="23"/>
  <c r="O56" i="23"/>
  <c r="O42" i="23"/>
  <c r="O22" i="23"/>
  <c r="O29" i="23"/>
  <c r="R24" i="29"/>
  <c r="R69" i="29" s="1"/>
  <c r="S44" i="12"/>
  <c r="Q44" i="29"/>
  <c r="Q89" i="29" s="1"/>
  <c r="N14" i="29"/>
  <c r="N59" i="29" s="1"/>
  <c r="AE22" i="28"/>
  <c r="AE86" i="28" s="1"/>
  <c r="V44" i="28"/>
  <c r="V108" i="28" s="1"/>
  <c r="V11" i="28"/>
  <c r="V75" i="28" s="1"/>
  <c r="X39" i="28"/>
  <c r="X103" i="28" s="1"/>
  <c r="X26" i="28"/>
  <c r="X90" i="28" s="1"/>
  <c r="AD62" i="8"/>
  <c r="AA62" i="28"/>
  <c r="AA126" i="28" s="1"/>
  <c r="P19" i="28"/>
  <c r="P83" i="28" s="1"/>
  <c r="R25" i="29"/>
  <c r="R70" i="29" s="1"/>
  <c r="S42" i="12"/>
  <c r="Q42" i="29"/>
  <c r="Q87" i="29" s="1"/>
  <c r="V43" i="28"/>
  <c r="V107" i="28" s="1"/>
  <c r="V6" i="28"/>
  <c r="V70" i="28" s="1"/>
  <c r="X38" i="28"/>
  <c r="X102" i="28" s="1"/>
  <c r="AD48" i="8"/>
  <c r="AA48" i="28"/>
  <c r="AA112" i="28" s="1"/>
  <c r="L26" i="28"/>
  <c r="L90" i="28" s="1"/>
  <c r="L7" i="28"/>
  <c r="L71" i="28" s="1"/>
  <c r="P27" i="24"/>
  <c r="P30" i="24"/>
  <c r="P41" i="24"/>
  <c r="P35" i="24"/>
  <c r="P9" i="24"/>
  <c r="AH5" i="8"/>
  <c r="AD5" i="28" s="1"/>
  <c r="AD69" i="28" s="1"/>
  <c r="S13" i="12"/>
  <c r="Q13" i="29"/>
  <c r="Q58" i="29" s="1"/>
  <c r="O44" i="24"/>
  <c r="O26" i="24"/>
  <c r="O38" i="24"/>
  <c r="O12" i="24"/>
  <c r="O18" i="24"/>
  <c r="Z31" i="24"/>
  <c r="AA31" i="24" s="1"/>
  <c r="Z14" i="24"/>
  <c r="AA14" i="24" s="1"/>
  <c r="Z16" i="24"/>
  <c r="AA16" i="24" s="1"/>
  <c r="Z28" i="24"/>
  <c r="AA28" i="24" s="1"/>
  <c r="Z11" i="24"/>
  <c r="AA11" i="24" s="1"/>
  <c r="S32" i="12"/>
  <c r="Q32" i="29"/>
  <c r="Q77" i="29" s="1"/>
  <c r="X55" i="28"/>
  <c r="X119" i="28" s="1"/>
  <c r="W42" i="11"/>
  <c r="U42" i="24"/>
  <c r="U27" i="24"/>
  <c r="W27" i="24" s="1"/>
  <c r="U30" i="24"/>
  <c r="U24" i="24"/>
  <c r="U11" i="24"/>
  <c r="S21" i="12"/>
  <c r="Q21" i="29"/>
  <c r="Q66" i="29" s="1"/>
  <c r="AB18" i="7"/>
  <c r="AB29" i="7"/>
  <c r="W8" i="8"/>
  <c r="V8" i="28" s="1"/>
  <c r="V72" i="28" s="1"/>
  <c r="W21" i="23"/>
  <c r="W38" i="23"/>
  <c r="W19" i="23"/>
  <c r="W48" i="23"/>
  <c r="W29" i="23"/>
  <c r="W36" i="23"/>
  <c r="W10" i="23"/>
  <c r="W53" i="23"/>
  <c r="W14" i="23"/>
  <c r="W47" i="23"/>
  <c r="W62" i="23"/>
  <c r="W6" i="23"/>
  <c r="W43" i="23"/>
  <c r="W20" i="23"/>
  <c r="W37" i="23"/>
  <c r="W11" i="23"/>
  <c r="W44" i="23"/>
  <c r="W15" i="23"/>
  <c r="W57" i="23"/>
  <c r="W7" i="23"/>
  <c r="W40" i="23"/>
  <c r="W59" i="23"/>
  <c r="W17" i="23"/>
  <c r="W34" i="23"/>
  <c r="W24" i="23"/>
  <c r="W41" i="23"/>
  <c r="W61" i="23"/>
  <c r="W50" i="23"/>
  <c r="W42" i="23"/>
  <c r="W23" i="23"/>
  <c r="W31" i="23"/>
  <c r="W25" i="23"/>
  <c r="W32" i="23"/>
  <c r="W39" i="23"/>
  <c r="W56" i="23"/>
  <c r="W52" i="23"/>
  <c r="W60" i="23"/>
  <c r="W22" i="23"/>
  <c r="W26" i="23"/>
  <c r="W63" i="23"/>
  <c r="W16" i="23"/>
  <c r="W33" i="23"/>
  <c r="W45" i="23"/>
  <c r="W18" i="23"/>
  <c r="W51" i="23"/>
  <c r="W49" i="23"/>
  <c r="W8" i="23"/>
  <c r="W12" i="23"/>
  <c r="W54" i="23"/>
  <c r="W28" i="23"/>
  <c r="W27" i="23"/>
  <c r="W55" i="23"/>
  <c r="W46" i="23"/>
  <c r="W5" i="23"/>
  <c r="W9" i="23"/>
  <c r="W58" i="23"/>
  <c r="W35" i="23"/>
  <c r="V32" i="24"/>
  <c r="W32" i="24" s="1"/>
  <c r="V15" i="24"/>
  <c r="V30" i="24"/>
  <c r="V38" i="24"/>
  <c r="W38" i="24" s="1"/>
  <c r="V8" i="24"/>
  <c r="L12" i="8"/>
  <c r="L12" i="28" s="1"/>
  <c r="L76" i="28" s="1"/>
  <c r="L55" i="23"/>
  <c r="L25" i="23"/>
  <c r="L44" i="23"/>
  <c r="L38" i="23"/>
  <c r="L60" i="23"/>
  <c r="L21" i="23"/>
  <c r="L7" i="23"/>
  <c r="L26" i="23"/>
  <c r="L30" i="23"/>
  <c r="L10" i="23"/>
  <c r="L56" i="23"/>
  <c r="L19" i="23"/>
  <c r="L18" i="23"/>
  <c r="L53" i="23"/>
  <c r="L54" i="23"/>
  <c r="L33" i="23"/>
  <c r="L43" i="23"/>
  <c r="L28" i="23"/>
  <c r="L37" i="23"/>
  <c r="L20" i="23"/>
  <c r="L32" i="23"/>
  <c r="L34" i="23"/>
  <c r="L29" i="23"/>
  <c r="L8" i="23"/>
  <c r="L57" i="23"/>
  <c r="L24" i="23"/>
  <c r="L61" i="23"/>
  <c r="L41" i="23"/>
  <c r="L51" i="23"/>
  <c r="L17" i="23"/>
  <c r="L58" i="23"/>
  <c r="L36" i="23"/>
  <c r="L15" i="23"/>
  <c r="L14" i="23"/>
  <c r="L59" i="23"/>
  <c r="L31" i="23"/>
  <c r="L5" i="23"/>
  <c r="L39" i="23"/>
  <c r="L46" i="23"/>
  <c r="L52" i="23"/>
  <c r="L63" i="23"/>
  <c r="L45" i="23"/>
  <c r="L35" i="23"/>
  <c r="L49" i="23"/>
  <c r="L22" i="23"/>
  <c r="L48" i="23"/>
  <c r="L6" i="23"/>
  <c r="L12" i="23"/>
  <c r="L47" i="23"/>
  <c r="L42" i="23"/>
  <c r="L50" i="23"/>
  <c r="L16" i="23"/>
  <c r="L62" i="23"/>
  <c r="L11" i="23"/>
  <c r="L27" i="23"/>
  <c r="L9" i="23"/>
  <c r="L23" i="23"/>
  <c r="L40" i="23"/>
  <c r="M6" i="29"/>
  <c r="M51" i="29" s="1"/>
  <c r="C9" i="31" s="1"/>
  <c r="C15" i="31" s="1"/>
  <c r="R12" i="29"/>
  <c r="R57" i="29" s="1"/>
  <c r="R23" i="29"/>
  <c r="R68" i="29" s="1"/>
  <c r="N11" i="29"/>
  <c r="N56" i="29" s="1"/>
  <c r="N11" i="24"/>
  <c r="N20" i="29"/>
  <c r="N65" i="29" s="1"/>
  <c r="N20" i="24"/>
  <c r="N24" i="24"/>
  <c r="N15" i="12"/>
  <c r="N15" i="24"/>
  <c r="N28" i="29"/>
  <c r="N73" i="29" s="1"/>
  <c r="N28" i="24"/>
  <c r="N6" i="13"/>
  <c r="N6" i="29" s="1"/>
  <c r="N51" i="29" s="1"/>
  <c r="D9" i="31" s="1"/>
  <c r="D15" i="31" s="1"/>
  <c r="N6" i="24"/>
  <c r="N17" i="12"/>
  <c r="N17" i="24"/>
  <c r="N22" i="12"/>
  <c r="N22" i="24"/>
  <c r="W35" i="24"/>
  <c r="W31" i="24"/>
  <c r="N19" i="29"/>
  <c r="N64" i="29" s="1"/>
  <c r="N19" i="24"/>
  <c r="N12" i="29"/>
  <c r="N57" i="29" s="1"/>
  <c r="N12" i="24"/>
  <c r="N36" i="29"/>
  <c r="N81" i="29" s="1"/>
  <c r="N36" i="24"/>
  <c r="W44" i="24"/>
  <c r="N21" i="29"/>
  <c r="N66" i="29" s="1"/>
  <c r="N21" i="24"/>
  <c r="N13" i="29"/>
  <c r="N58" i="29" s="1"/>
  <c r="N13" i="24"/>
  <c r="N8" i="29"/>
  <c r="N53" i="29" s="1"/>
  <c r="N8" i="24"/>
  <c r="N38" i="29"/>
  <c r="N83" i="29" s="1"/>
  <c r="N38" i="24"/>
  <c r="N9" i="29"/>
  <c r="N54" i="29" s="1"/>
  <c r="N9" i="24"/>
  <c r="N35" i="29"/>
  <c r="N80" i="29" s="1"/>
  <c r="N35" i="24"/>
  <c r="N31" i="29"/>
  <c r="N76" i="29" s="1"/>
  <c r="N31" i="24"/>
  <c r="N40" i="29"/>
  <c r="N85" i="29" s="1"/>
  <c r="N40" i="24"/>
  <c r="N10" i="29"/>
  <c r="N55" i="29" s="1"/>
  <c r="N10" i="24"/>
  <c r="N16" i="29"/>
  <c r="N61" i="29" s="1"/>
  <c r="N16" i="24"/>
  <c r="W37" i="24"/>
  <c r="W34" i="24"/>
  <c r="P7" i="30"/>
  <c r="P13" i="30" s="1"/>
  <c r="P9" i="30"/>
  <c r="P14" i="30" s="1"/>
  <c r="P11" i="30"/>
  <c r="W5" i="24"/>
  <c r="T46" i="24"/>
  <c r="W16" i="24"/>
  <c r="W26" i="24"/>
  <c r="W20" i="24"/>
  <c r="W25" i="24"/>
  <c r="W28" i="24"/>
  <c r="S5" i="24"/>
  <c r="S46" i="24" s="1"/>
  <c r="R46" i="24"/>
  <c r="W13" i="24"/>
  <c r="W12" i="24"/>
  <c r="W8" i="24"/>
  <c r="W24" i="24"/>
  <c r="M46" i="24"/>
  <c r="O14" i="30"/>
  <c r="O15" i="30"/>
  <c r="AQ22" i="23"/>
  <c r="AV35" i="23"/>
  <c r="AR36" i="23"/>
  <c r="AV36" i="23" s="1"/>
  <c r="AQ10" i="23"/>
  <c r="P34" i="8"/>
  <c r="AC18" i="8"/>
  <c r="X22" i="8"/>
  <c r="W22" i="28" s="1"/>
  <c r="W86" i="28" s="1"/>
  <c r="Y58" i="9"/>
  <c r="X58" i="28" s="1"/>
  <c r="X122" i="28" s="1"/>
  <c r="W51" i="8"/>
  <c r="V51" i="28" s="1"/>
  <c r="V115" i="28" s="1"/>
  <c r="W19" i="8"/>
  <c r="V19" i="28" s="1"/>
  <c r="V83" i="28" s="1"/>
  <c r="U30" i="8"/>
  <c r="T30" i="28" s="1"/>
  <c r="T94" i="28" s="1"/>
  <c r="P43" i="8"/>
  <c r="P43" i="28" s="1"/>
  <c r="P107" i="28" s="1"/>
  <c r="X59" i="8"/>
  <c r="W59" i="28" s="1"/>
  <c r="W123" i="28" s="1"/>
  <c r="X9" i="8"/>
  <c r="W9" i="28" s="1"/>
  <c r="W73" i="28" s="1"/>
  <c r="X52" i="8"/>
  <c r="W52" i="28" s="1"/>
  <c r="W116" i="28" s="1"/>
  <c r="Y8" i="9"/>
  <c r="X8" i="28" s="1"/>
  <c r="X72" i="28" s="1"/>
  <c r="X19" i="8"/>
  <c r="W19" i="28" s="1"/>
  <c r="W83" i="28" s="1"/>
  <c r="Y18" i="9"/>
  <c r="X18" i="28" s="1"/>
  <c r="X82" i="28" s="1"/>
  <c r="Y52" i="8"/>
  <c r="Y61" i="8"/>
  <c r="U60" i="8"/>
  <c r="T60" i="28" s="1"/>
  <c r="T124" i="28" s="1"/>
  <c r="P53" i="8"/>
  <c r="P53" i="28" s="1"/>
  <c r="P117" i="28" s="1"/>
  <c r="AI65" i="9"/>
  <c r="AC55" i="8"/>
  <c r="P10" i="8"/>
  <c r="P10" i="28" s="1"/>
  <c r="P74" i="28" s="1"/>
  <c r="X55" i="8"/>
  <c r="W55" i="28" s="1"/>
  <c r="W119" i="28" s="1"/>
  <c r="X26" i="8"/>
  <c r="W26" i="28" s="1"/>
  <c r="W90" i="28" s="1"/>
  <c r="AH40" i="8"/>
  <c r="AD40" i="28" s="1"/>
  <c r="AD104" i="28" s="1"/>
  <c r="X18" i="8"/>
  <c r="W18" i="28" s="1"/>
  <c r="W82" i="28" s="1"/>
  <c r="Y51" i="9"/>
  <c r="X51" i="28" s="1"/>
  <c r="X115" i="28" s="1"/>
  <c r="W62" i="8"/>
  <c r="V62" i="28" s="1"/>
  <c r="V126" i="28" s="1"/>
  <c r="Y14" i="8"/>
  <c r="W48" i="8"/>
  <c r="V48" i="28" s="1"/>
  <c r="V112" i="28" s="1"/>
  <c r="Y53" i="8"/>
  <c r="M46" i="13"/>
  <c r="U6" i="8"/>
  <c r="T6" i="28" s="1"/>
  <c r="T70" i="28" s="1"/>
  <c r="Y25" i="9"/>
  <c r="X25" i="28" s="1"/>
  <c r="X89" i="28" s="1"/>
  <c r="X44" i="8"/>
  <c r="W44" i="28" s="1"/>
  <c r="W108" i="28" s="1"/>
  <c r="N17" i="13"/>
  <c r="Y50" i="9"/>
  <c r="X50" i="28" s="1"/>
  <c r="X114" i="28" s="1"/>
  <c r="N22" i="13"/>
  <c r="N22" i="29" s="1"/>
  <c r="N67" i="29" s="1"/>
  <c r="Y45" i="8"/>
  <c r="U44" i="8"/>
  <c r="T44" i="28" s="1"/>
  <c r="T108" i="28" s="1"/>
  <c r="P50" i="8"/>
  <c r="P50" i="28" s="1"/>
  <c r="P114" i="28" s="1"/>
  <c r="AC26" i="8"/>
  <c r="AC41" i="8"/>
  <c r="Y60" i="9"/>
  <c r="X60" i="28" s="1"/>
  <c r="X124" i="28" s="1"/>
  <c r="Y10" i="8"/>
  <c r="P14" i="8"/>
  <c r="P14" i="28" s="1"/>
  <c r="P78" i="28" s="1"/>
  <c r="AH19" i="8"/>
  <c r="AD19" i="28" s="1"/>
  <c r="AD83" i="28" s="1"/>
  <c r="X56" i="8"/>
  <c r="W56" i="28" s="1"/>
  <c r="W120" i="28" s="1"/>
  <c r="X5" i="8"/>
  <c r="W5" i="28" s="1"/>
  <c r="W69" i="28" s="1"/>
  <c r="M44" i="9"/>
  <c r="O5" i="8"/>
  <c r="O5" i="28" s="1"/>
  <c r="O69" i="28" s="1"/>
  <c r="Q5" i="8"/>
  <c r="Q5" i="28" s="1"/>
  <c r="Q69" i="28" s="1"/>
  <c r="O30" i="8"/>
  <c r="O30" i="28" s="1"/>
  <c r="O94" i="28" s="1"/>
  <c r="M22" i="9"/>
  <c r="Q33" i="8"/>
  <c r="Q33" i="28" s="1"/>
  <c r="Q97" i="28" s="1"/>
  <c r="Q53" i="8"/>
  <c r="Q53" i="28" s="1"/>
  <c r="Q117" i="28" s="1"/>
  <c r="U37" i="8"/>
  <c r="T37" i="28" s="1"/>
  <c r="T101" i="28" s="1"/>
  <c r="P33" i="8"/>
  <c r="P65" i="9"/>
  <c r="M29" i="9"/>
  <c r="O43" i="8"/>
  <c r="O43" i="28" s="1"/>
  <c r="O107" i="28" s="1"/>
  <c r="P17" i="12"/>
  <c r="P17" i="13"/>
  <c r="P29" i="12"/>
  <c r="P29" i="13"/>
  <c r="P24" i="12"/>
  <c r="P24" i="13"/>
  <c r="P26" i="12"/>
  <c r="P26" i="13"/>
  <c r="P6" i="12"/>
  <c r="P6" i="13"/>
  <c r="Q25" i="8"/>
  <c r="Q25" i="28" s="1"/>
  <c r="Q89" i="28" s="1"/>
  <c r="Q62" i="8"/>
  <c r="Q62" i="28" s="1"/>
  <c r="Q126" i="28" s="1"/>
  <c r="AC50" i="8"/>
  <c r="P6" i="8"/>
  <c r="P6" i="28" s="1"/>
  <c r="P70" i="28" s="1"/>
  <c r="O23" i="12"/>
  <c r="O23" i="13"/>
  <c r="O15" i="12"/>
  <c r="O15" i="13"/>
  <c r="O35" i="12"/>
  <c r="O35" i="13"/>
  <c r="O7" i="12"/>
  <c r="O7" i="13"/>
  <c r="O10" i="12"/>
  <c r="O10" i="13"/>
  <c r="AC15" i="8"/>
  <c r="M39" i="9"/>
  <c r="P27" i="8"/>
  <c r="P27" i="28" s="1"/>
  <c r="P91" i="28" s="1"/>
  <c r="O37" i="8"/>
  <c r="O37" i="28" s="1"/>
  <c r="O101" i="28" s="1"/>
  <c r="O63" i="8"/>
  <c r="O63" i="28" s="1"/>
  <c r="O127" i="28" s="1"/>
  <c r="X45" i="8"/>
  <c r="W45" i="28" s="1"/>
  <c r="W109" i="28" s="1"/>
  <c r="X27" i="8"/>
  <c r="W27" i="28" s="1"/>
  <c r="W91" i="28" s="1"/>
  <c r="M46" i="12"/>
  <c r="AA32" i="11"/>
  <c r="Z32" i="12"/>
  <c r="AA32" i="12" s="1"/>
  <c r="Z32" i="13"/>
  <c r="AA32" i="13" s="1"/>
  <c r="AA34" i="11"/>
  <c r="Z34" i="12"/>
  <c r="AA34" i="12" s="1"/>
  <c r="Z34" i="13"/>
  <c r="AA34" i="13" s="1"/>
  <c r="AA36" i="11"/>
  <c r="Z36" i="12"/>
  <c r="AA36" i="12" s="1"/>
  <c r="Z36" i="13"/>
  <c r="AA36" i="13" s="1"/>
  <c r="AA18" i="11"/>
  <c r="Z18" i="12"/>
  <c r="AA18" i="12" s="1"/>
  <c r="Z18" i="13"/>
  <c r="AA18" i="13" s="1"/>
  <c r="AA13" i="11"/>
  <c r="Z13" i="12"/>
  <c r="AA13" i="12" s="1"/>
  <c r="Z13" i="13"/>
  <c r="AA13" i="13" s="1"/>
  <c r="M42" i="9"/>
  <c r="Y48" i="9"/>
  <c r="X48" i="28" s="1"/>
  <c r="X112" i="28" s="1"/>
  <c r="Y28" i="9"/>
  <c r="X28" i="28" s="1"/>
  <c r="X92" i="28" s="1"/>
  <c r="AC11" i="8"/>
  <c r="M23" i="9"/>
  <c r="P23" i="8"/>
  <c r="P23" i="28" s="1"/>
  <c r="P87" i="28" s="1"/>
  <c r="O32" i="8"/>
  <c r="O32" i="28" s="1"/>
  <c r="O96" i="28" s="1"/>
  <c r="O38" i="8"/>
  <c r="O38" i="28" s="1"/>
  <c r="O102" i="28" s="1"/>
  <c r="X61" i="8"/>
  <c r="W61" i="28" s="1"/>
  <c r="W125" i="28" s="1"/>
  <c r="X23" i="8"/>
  <c r="W23" i="28" s="1"/>
  <c r="W87" i="28" s="1"/>
  <c r="U42" i="12"/>
  <c r="U42" i="13"/>
  <c r="U27" i="12"/>
  <c r="U27" i="13"/>
  <c r="U30" i="12"/>
  <c r="U30" i="13"/>
  <c r="U24" i="12"/>
  <c r="U24" i="13"/>
  <c r="U11" i="12"/>
  <c r="U11" i="13"/>
  <c r="V56" i="9"/>
  <c r="V40" i="9"/>
  <c r="AB40" i="9" s="1"/>
  <c r="V50" i="9"/>
  <c r="AB50" i="9" s="1"/>
  <c r="V16" i="9"/>
  <c r="AB16" i="9" s="1"/>
  <c r="V17" i="9"/>
  <c r="V37" i="9"/>
  <c r="Q51" i="8"/>
  <c r="Q51" i="28" s="1"/>
  <c r="Q115" i="28" s="1"/>
  <c r="W60" i="8"/>
  <c r="V60" i="28" s="1"/>
  <c r="V124" i="28" s="1"/>
  <c r="Y56" i="8"/>
  <c r="Y9" i="8"/>
  <c r="AC20" i="8"/>
  <c r="AH22" i="8"/>
  <c r="AD22" i="28" s="1"/>
  <c r="AD86" i="28" s="1"/>
  <c r="AH59" i="8"/>
  <c r="AD59" i="28" s="1"/>
  <c r="AD123" i="28" s="1"/>
  <c r="M24" i="9"/>
  <c r="V24" i="12"/>
  <c r="V24" i="13"/>
  <c r="V27" i="12"/>
  <c r="V27" i="13"/>
  <c r="V31" i="12"/>
  <c r="V31" i="13"/>
  <c r="V12" i="12"/>
  <c r="V12" i="13"/>
  <c r="V18" i="12"/>
  <c r="V18" i="13"/>
  <c r="M59" i="9"/>
  <c r="W50" i="8"/>
  <c r="V50" i="28" s="1"/>
  <c r="V114" i="28" s="1"/>
  <c r="W18" i="8"/>
  <c r="V18" i="28" s="1"/>
  <c r="V82" i="28" s="1"/>
  <c r="Y46" i="8"/>
  <c r="X46" i="28" s="1"/>
  <c r="X110" i="28" s="1"/>
  <c r="Y5" i="9"/>
  <c r="AH37" i="8"/>
  <c r="AD37" i="28" s="1"/>
  <c r="AD101" i="28" s="1"/>
  <c r="AH34" i="8"/>
  <c r="AD34" i="28" s="1"/>
  <c r="AD98" i="28" s="1"/>
  <c r="U9" i="8"/>
  <c r="T9" i="28" s="1"/>
  <c r="T73" i="28" s="1"/>
  <c r="AI26" i="8"/>
  <c r="AE26" i="28" s="1"/>
  <c r="AE90" i="28" s="1"/>
  <c r="AI11" i="8"/>
  <c r="AE11" i="28" s="1"/>
  <c r="AE75" i="28" s="1"/>
  <c r="N68" i="9"/>
  <c r="N68" i="8"/>
  <c r="N68" i="7"/>
  <c r="Q41" i="8"/>
  <c r="Q41" i="28" s="1"/>
  <c r="Q105" i="28" s="1"/>
  <c r="Q23" i="8"/>
  <c r="Q23" i="28" s="1"/>
  <c r="Q87" i="28" s="1"/>
  <c r="F35" i="5"/>
  <c r="Q49" i="24" s="1"/>
  <c r="L49" i="12"/>
  <c r="L49" i="13"/>
  <c r="L49" i="10"/>
  <c r="L49" i="11"/>
  <c r="M35" i="9"/>
  <c r="U10" i="8"/>
  <c r="T10" i="28" s="1"/>
  <c r="T74" i="28" s="1"/>
  <c r="P31" i="8"/>
  <c r="P31" i="28" s="1"/>
  <c r="P95" i="28" s="1"/>
  <c r="P52" i="8"/>
  <c r="P52" i="28" s="1"/>
  <c r="P116" i="28" s="1"/>
  <c r="O34" i="8"/>
  <c r="O34" i="28" s="1"/>
  <c r="O98" i="28" s="1"/>
  <c r="Q10" i="8"/>
  <c r="Q10" i="28" s="1"/>
  <c r="Q74" i="28" s="1"/>
  <c r="Q47" i="8"/>
  <c r="Q47" i="28" s="1"/>
  <c r="Q111" i="28" s="1"/>
  <c r="U65" i="9"/>
  <c r="U19" i="8"/>
  <c r="T19" i="28" s="1"/>
  <c r="T83" i="28" s="1"/>
  <c r="U51" i="8"/>
  <c r="T51" i="28" s="1"/>
  <c r="T115" i="28" s="1"/>
  <c r="O6" i="8"/>
  <c r="O6" i="28" s="1"/>
  <c r="O70" i="28" s="1"/>
  <c r="O50" i="8"/>
  <c r="O50" i="28" s="1"/>
  <c r="O114" i="28" s="1"/>
  <c r="M36" i="9"/>
  <c r="M15" i="9"/>
  <c r="U15" i="8"/>
  <c r="T15" i="28" s="1"/>
  <c r="T79" i="28" s="1"/>
  <c r="U36" i="8"/>
  <c r="T36" i="28" s="1"/>
  <c r="T100" i="28" s="1"/>
  <c r="P5" i="8"/>
  <c r="P5" i="28" s="1"/>
  <c r="P69" i="28" s="1"/>
  <c r="P28" i="12"/>
  <c r="P28" i="13"/>
  <c r="P39" i="12"/>
  <c r="P39" i="13"/>
  <c r="P14" i="12"/>
  <c r="P14" i="13"/>
  <c r="P16" i="12"/>
  <c r="P16" i="13"/>
  <c r="P11" i="12"/>
  <c r="P11" i="13"/>
  <c r="AD5" i="9"/>
  <c r="AD65" i="9" s="1"/>
  <c r="AC65" i="9"/>
  <c r="AC38" i="8"/>
  <c r="O23" i="8"/>
  <c r="O23" i="28" s="1"/>
  <c r="O87" i="28" s="1"/>
  <c r="O47" i="8"/>
  <c r="O47" i="28" s="1"/>
  <c r="O111" i="28" s="1"/>
  <c r="O44" i="12"/>
  <c r="O44" i="13"/>
  <c r="O26" i="12"/>
  <c r="O26" i="13"/>
  <c r="O38" i="12"/>
  <c r="O38" i="29" s="1"/>
  <c r="O83" i="29" s="1"/>
  <c r="O38" i="13"/>
  <c r="O12" i="12"/>
  <c r="O12" i="13"/>
  <c r="O18" i="12"/>
  <c r="O18" i="13"/>
  <c r="Q36" i="8"/>
  <c r="Q36" i="28" s="1"/>
  <c r="Q100" i="28" s="1"/>
  <c r="Q12" i="8"/>
  <c r="Q12" i="28" s="1"/>
  <c r="Q76" i="28" s="1"/>
  <c r="AC43" i="8"/>
  <c r="AH20" i="8"/>
  <c r="AD20" i="28" s="1"/>
  <c r="AD84" i="28" s="1"/>
  <c r="AH44" i="8"/>
  <c r="AD44" i="28" s="1"/>
  <c r="AD108" i="28" s="1"/>
  <c r="U21" i="8"/>
  <c r="T21" i="28" s="1"/>
  <c r="T85" i="28" s="1"/>
  <c r="U50" i="8"/>
  <c r="T50" i="28" s="1"/>
  <c r="T114" i="28" s="1"/>
  <c r="M52" i="9"/>
  <c r="AA44" i="11"/>
  <c r="Z44" i="12"/>
  <c r="AA44" i="12" s="1"/>
  <c r="Z44" i="13"/>
  <c r="AA44" i="13" s="1"/>
  <c r="AA23" i="11"/>
  <c r="Z23" i="12"/>
  <c r="AA23" i="12" s="1"/>
  <c r="Z23" i="13"/>
  <c r="AA23" i="13" s="1"/>
  <c r="AA25" i="11"/>
  <c r="Z25" i="12"/>
  <c r="AA25" i="12" s="1"/>
  <c r="Z25" i="13"/>
  <c r="AA25" i="13" s="1"/>
  <c r="AA27" i="11"/>
  <c r="Z27" i="12"/>
  <c r="AA27" i="12" s="1"/>
  <c r="Z27" i="13"/>
  <c r="AA27" i="13" s="1"/>
  <c r="AA7" i="11"/>
  <c r="Z7" i="12"/>
  <c r="AA7" i="12" s="1"/>
  <c r="Z7" i="13"/>
  <c r="AA7" i="13" s="1"/>
  <c r="Q39" i="8"/>
  <c r="Q39" i="28" s="1"/>
  <c r="Q103" i="28" s="1"/>
  <c r="Q56" i="8"/>
  <c r="Q56" i="28" s="1"/>
  <c r="Q120" i="28" s="1"/>
  <c r="W65" i="9"/>
  <c r="AH11" i="8"/>
  <c r="AD11" i="28" s="1"/>
  <c r="AD75" i="28" s="1"/>
  <c r="AH60" i="8"/>
  <c r="AD60" i="28" s="1"/>
  <c r="AD124" i="28" s="1"/>
  <c r="U12" i="8"/>
  <c r="T12" i="28" s="1"/>
  <c r="T76" i="28" s="1"/>
  <c r="U41" i="12"/>
  <c r="U41" i="13"/>
  <c r="U26" i="12"/>
  <c r="U26" i="13"/>
  <c r="U21" i="12"/>
  <c r="U21" i="13"/>
  <c r="U25" i="12"/>
  <c r="U25" i="13"/>
  <c r="U8" i="12"/>
  <c r="U8" i="13"/>
  <c r="AI5" i="8"/>
  <c r="AE5" i="28" s="1"/>
  <c r="AE69" i="28" s="1"/>
  <c r="V46" i="9"/>
  <c r="AB46" i="9" s="1"/>
  <c r="V63" i="9"/>
  <c r="AB63" i="9" s="1"/>
  <c r="V49" i="9"/>
  <c r="AB49" i="9" s="1"/>
  <c r="V33" i="9"/>
  <c r="V26" i="9"/>
  <c r="AB26" i="9" s="1"/>
  <c r="V20" i="9"/>
  <c r="AB20" i="9" s="1"/>
  <c r="V21" i="9"/>
  <c r="AB21" i="9" s="1"/>
  <c r="W22" i="8"/>
  <c r="V22" i="28" s="1"/>
  <c r="V86" i="28" s="1"/>
  <c r="Y52" i="9"/>
  <c r="AC47" i="8"/>
  <c r="M50" i="9"/>
  <c r="U8" i="8"/>
  <c r="T8" i="28" s="1"/>
  <c r="T72" i="28" s="1"/>
  <c r="M61" i="9"/>
  <c r="L47" i="8"/>
  <c r="L47" i="28" s="1"/>
  <c r="L111" i="28" s="1"/>
  <c r="P39" i="8"/>
  <c r="P58" i="8"/>
  <c r="P58" i="28" s="1"/>
  <c r="P122" i="28" s="1"/>
  <c r="O29" i="8"/>
  <c r="O29" i="28" s="1"/>
  <c r="O93" i="28" s="1"/>
  <c r="O54" i="8"/>
  <c r="O54" i="28" s="1"/>
  <c r="O118" i="28" s="1"/>
  <c r="X36" i="8"/>
  <c r="W36" i="28" s="1"/>
  <c r="W100" i="28" s="1"/>
  <c r="X11" i="8"/>
  <c r="W11" i="28" s="1"/>
  <c r="W75" i="28" s="1"/>
  <c r="AI31" i="8"/>
  <c r="AE31" i="28" s="1"/>
  <c r="AE95" i="28" s="1"/>
  <c r="V43" i="12"/>
  <c r="V43" i="13"/>
  <c r="V37" i="12"/>
  <c r="V37" i="13"/>
  <c r="V22" i="12"/>
  <c r="V22" i="13"/>
  <c r="V9" i="12"/>
  <c r="V9" i="13"/>
  <c r="V7" i="12"/>
  <c r="V7" i="13"/>
  <c r="Q60" i="8"/>
  <c r="Q60" i="28" s="1"/>
  <c r="Q124" i="28" s="1"/>
  <c r="Y61" i="9"/>
  <c r="Y45" i="9"/>
  <c r="Y5" i="8"/>
  <c r="AC16" i="8"/>
  <c r="AB49" i="7"/>
  <c r="M48" i="9"/>
  <c r="L14" i="8"/>
  <c r="L14" i="28" s="1"/>
  <c r="L78" i="28" s="1"/>
  <c r="L45" i="8"/>
  <c r="L45" i="28" s="1"/>
  <c r="L109" i="28" s="1"/>
  <c r="P17" i="8"/>
  <c r="P17" i="28" s="1"/>
  <c r="P81" i="28" s="1"/>
  <c r="O24" i="8"/>
  <c r="O24" i="28" s="1"/>
  <c r="O88" i="28" s="1"/>
  <c r="O52" i="8"/>
  <c r="O52" i="28" s="1"/>
  <c r="O116" i="28" s="1"/>
  <c r="X37" i="8"/>
  <c r="W37" i="28" s="1"/>
  <c r="W101" i="28" s="1"/>
  <c r="X20" i="8"/>
  <c r="W20" i="28" s="1"/>
  <c r="W84" i="28" s="1"/>
  <c r="M33" i="9"/>
  <c r="M25" i="9"/>
  <c r="M53" i="9"/>
  <c r="M26" i="9"/>
  <c r="M5" i="9"/>
  <c r="M65" i="7"/>
  <c r="M70" i="7" s="1"/>
  <c r="M8" i="8" s="1"/>
  <c r="Q6" i="8"/>
  <c r="Q6" i="28" s="1"/>
  <c r="Q70" i="28" s="1"/>
  <c r="Q49" i="8"/>
  <c r="Q49" i="28" s="1"/>
  <c r="Q113" i="28" s="1"/>
  <c r="M51" i="9"/>
  <c r="O20" i="8"/>
  <c r="O20" i="28" s="1"/>
  <c r="O84" i="28" s="1"/>
  <c r="O59" i="8"/>
  <c r="O59" i="28" s="1"/>
  <c r="O123" i="28" s="1"/>
  <c r="P19" i="12"/>
  <c r="P19" i="13"/>
  <c r="P40" i="12"/>
  <c r="P40" i="29" s="1"/>
  <c r="P85" i="29" s="1"/>
  <c r="P40" i="13"/>
  <c r="P33" i="12"/>
  <c r="P33" i="13"/>
  <c r="P36" i="12"/>
  <c r="P36" i="13"/>
  <c r="P8" i="12"/>
  <c r="P8" i="13"/>
  <c r="Q34" i="8"/>
  <c r="Q34" i="28" s="1"/>
  <c r="Q98" i="28" s="1"/>
  <c r="Q50" i="8"/>
  <c r="Q50" i="28" s="1"/>
  <c r="Q114" i="28" s="1"/>
  <c r="AD5" i="8"/>
  <c r="U20" i="8"/>
  <c r="T20" i="28" s="1"/>
  <c r="T84" i="28" s="1"/>
  <c r="P40" i="8"/>
  <c r="P28" i="8"/>
  <c r="P28" i="28" s="1"/>
  <c r="P92" i="28" s="1"/>
  <c r="O42" i="12"/>
  <c r="O42" i="13"/>
  <c r="O39" i="12"/>
  <c r="O39" i="29" s="1"/>
  <c r="O84" i="29" s="1"/>
  <c r="O39" i="13"/>
  <c r="O16" i="12"/>
  <c r="O16" i="13"/>
  <c r="O29" i="12"/>
  <c r="O29" i="13"/>
  <c r="O9" i="12"/>
  <c r="O9" i="13"/>
  <c r="AC14" i="8"/>
  <c r="P36" i="8"/>
  <c r="P24" i="8"/>
  <c r="P24" i="28" s="1"/>
  <c r="P88" i="28" s="1"/>
  <c r="O12" i="8"/>
  <c r="O12" i="28" s="1"/>
  <c r="O76" i="28" s="1"/>
  <c r="O35" i="8"/>
  <c r="O35" i="28" s="1"/>
  <c r="O99" i="28" s="1"/>
  <c r="AA21" i="11"/>
  <c r="Z21" i="12"/>
  <c r="AA21" i="12" s="1"/>
  <c r="Z21" i="13"/>
  <c r="AA21" i="13" s="1"/>
  <c r="AA30" i="11"/>
  <c r="Z30" i="12"/>
  <c r="AA30" i="12" s="1"/>
  <c r="Z30" i="13"/>
  <c r="AA30" i="13" s="1"/>
  <c r="AA15" i="11"/>
  <c r="Z15" i="12"/>
  <c r="AA15" i="12" s="1"/>
  <c r="Z15" i="13"/>
  <c r="AA15" i="13" s="1"/>
  <c r="AA17" i="11"/>
  <c r="Z17" i="12"/>
  <c r="AA17" i="12" s="1"/>
  <c r="Z17" i="13"/>
  <c r="AA17" i="13" s="1"/>
  <c r="AA12" i="11"/>
  <c r="Z12" i="12"/>
  <c r="AA12" i="12" s="1"/>
  <c r="Z12" i="13"/>
  <c r="AA12" i="13" s="1"/>
  <c r="T46" i="13"/>
  <c r="S5" i="13"/>
  <c r="S46" i="13" s="1"/>
  <c r="R46" i="13"/>
  <c r="AC10" i="8"/>
  <c r="AC52" i="8"/>
  <c r="U52" i="8"/>
  <c r="T52" i="28" s="1"/>
  <c r="T116" i="28" s="1"/>
  <c r="P32" i="8"/>
  <c r="P32" i="28" s="1"/>
  <c r="P96" i="28" s="1"/>
  <c r="P44" i="8"/>
  <c r="P44" i="28" s="1"/>
  <c r="P108" i="28" s="1"/>
  <c r="O8" i="8"/>
  <c r="O8" i="28" s="1"/>
  <c r="O72" i="28" s="1"/>
  <c r="O36" i="8"/>
  <c r="O36" i="28" s="1"/>
  <c r="O100" i="28" s="1"/>
  <c r="X40" i="8"/>
  <c r="W40" i="28" s="1"/>
  <c r="W104" i="28" s="1"/>
  <c r="X15" i="8"/>
  <c r="W15" i="28" s="1"/>
  <c r="W79" i="28" s="1"/>
  <c r="U43" i="12"/>
  <c r="S43" i="29" s="1"/>
  <c r="S88" i="29" s="1"/>
  <c r="U43" i="13"/>
  <c r="U37" i="12"/>
  <c r="U37" i="13"/>
  <c r="U40" i="12"/>
  <c r="U40" i="13"/>
  <c r="U15" i="12"/>
  <c r="U15" i="13"/>
  <c r="U5" i="12"/>
  <c r="U46" i="11"/>
  <c r="U5" i="13"/>
  <c r="V60" i="9"/>
  <c r="AB60" i="9" s="1"/>
  <c r="V44" i="9"/>
  <c r="V34" i="9"/>
  <c r="AB34" i="9" s="1"/>
  <c r="V62" i="9"/>
  <c r="V7" i="9"/>
  <c r="Q35" i="8"/>
  <c r="Q35" i="28" s="1"/>
  <c r="Q99" i="28" s="1"/>
  <c r="Q45" i="8"/>
  <c r="Q45" i="28" s="1"/>
  <c r="Q109" i="28" s="1"/>
  <c r="M8" i="9"/>
  <c r="M55" i="9"/>
  <c r="AC32" i="8"/>
  <c r="AH12" i="8"/>
  <c r="AD12" i="28" s="1"/>
  <c r="AD76" i="28" s="1"/>
  <c r="AH47" i="8"/>
  <c r="AD47" i="28" s="1"/>
  <c r="AD111" i="28" s="1"/>
  <c r="U62" i="8"/>
  <c r="T62" i="28" s="1"/>
  <c r="T126" i="28" s="1"/>
  <c r="V39" i="12"/>
  <c r="V39" i="13"/>
  <c r="V26" i="12"/>
  <c r="V26" i="13"/>
  <c r="V36" i="12"/>
  <c r="V36" i="13"/>
  <c r="V21" i="12"/>
  <c r="V21" i="13"/>
  <c r="V6" i="12"/>
  <c r="V6" i="13"/>
  <c r="M58" i="9"/>
  <c r="W59" i="8"/>
  <c r="V59" i="28" s="1"/>
  <c r="V123" i="28" s="1"/>
  <c r="AC33" i="8"/>
  <c r="AH21" i="8"/>
  <c r="AD21" i="28" s="1"/>
  <c r="AD85" i="28" s="1"/>
  <c r="AH35" i="8"/>
  <c r="AD35" i="28" s="1"/>
  <c r="AD99" i="28" s="1"/>
  <c r="U49" i="8"/>
  <c r="T49" i="28" s="1"/>
  <c r="T113" i="28" s="1"/>
  <c r="M11" i="9"/>
  <c r="X65" i="9"/>
  <c r="AI23" i="8"/>
  <c r="AE23" i="28" s="1"/>
  <c r="AE87" i="28" s="1"/>
  <c r="Q61" i="8"/>
  <c r="Q61" i="28" s="1"/>
  <c r="Q125" i="28" s="1"/>
  <c r="Q19" i="8"/>
  <c r="Q19" i="28" s="1"/>
  <c r="Q83" i="28" s="1"/>
  <c r="N66" i="8"/>
  <c r="N66" i="9"/>
  <c r="N66" i="7"/>
  <c r="M46" i="9"/>
  <c r="U48" i="8"/>
  <c r="T48" i="28" s="1"/>
  <c r="T112" i="28" s="1"/>
  <c r="Q28" i="8"/>
  <c r="Q28" i="28" s="1"/>
  <c r="Q92" i="28" s="1"/>
  <c r="U38" i="8"/>
  <c r="T38" i="28" s="1"/>
  <c r="T102" i="28" s="1"/>
  <c r="M57" i="9"/>
  <c r="L50" i="10"/>
  <c r="L50" i="24" s="1"/>
  <c r="M62" i="9"/>
  <c r="M9" i="9"/>
  <c r="U27" i="8"/>
  <c r="T27" i="28" s="1"/>
  <c r="T91" i="28" s="1"/>
  <c r="U63" i="8"/>
  <c r="T63" i="28" s="1"/>
  <c r="T127" i="28" s="1"/>
  <c r="P49" i="8"/>
  <c r="P49" i="28" s="1"/>
  <c r="P113" i="28" s="1"/>
  <c r="P38" i="12"/>
  <c r="P38" i="13"/>
  <c r="P32" i="12"/>
  <c r="P32" i="13"/>
  <c r="P15" i="12"/>
  <c r="P15" i="13"/>
  <c r="P10" i="12"/>
  <c r="P10" i="13"/>
  <c r="P5" i="12"/>
  <c r="P5" i="13"/>
  <c r="P46" i="11"/>
  <c r="Q65" i="9"/>
  <c r="M45" i="9"/>
  <c r="AD65" i="7"/>
  <c r="AC39" i="8"/>
  <c r="U32" i="8"/>
  <c r="T32" i="28" s="1"/>
  <c r="T96" i="28" s="1"/>
  <c r="U57" i="8"/>
  <c r="T57" i="28" s="1"/>
  <c r="T121" i="28" s="1"/>
  <c r="M40" i="9"/>
  <c r="O44" i="8"/>
  <c r="O44" i="28" s="1"/>
  <c r="O108" i="28" s="1"/>
  <c r="O40" i="12"/>
  <c r="O40" i="13"/>
  <c r="O33" i="12"/>
  <c r="O33" i="13"/>
  <c r="O36" i="12"/>
  <c r="O36" i="13"/>
  <c r="O20" i="12"/>
  <c r="O20" i="13"/>
  <c r="O6" i="12"/>
  <c r="O6" i="13"/>
  <c r="Q15" i="8"/>
  <c r="Q15" i="28" s="1"/>
  <c r="Q79" i="28" s="1"/>
  <c r="Q31" i="8"/>
  <c r="Q31" i="28" s="1"/>
  <c r="Q95" i="28" s="1"/>
  <c r="AC53" i="8"/>
  <c r="AH15" i="8"/>
  <c r="AD15" i="28" s="1"/>
  <c r="AD79" i="28" s="1"/>
  <c r="AH42" i="8"/>
  <c r="AD42" i="28" s="1"/>
  <c r="AD106" i="28" s="1"/>
  <c r="U16" i="8"/>
  <c r="T16" i="28" s="1"/>
  <c r="T80" i="28" s="1"/>
  <c r="AA29" i="11"/>
  <c r="Z29" i="12"/>
  <c r="AA29" i="12" s="1"/>
  <c r="Z29" i="13"/>
  <c r="AA29" i="13" s="1"/>
  <c r="AA33" i="11"/>
  <c r="Z33" i="12"/>
  <c r="AA33" i="12" s="1"/>
  <c r="Z33" i="13"/>
  <c r="AA33" i="13" s="1"/>
  <c r="AA35" i="11"/>
  <c r="Z35" i="12"/>
  <c r="AA35" i="12" s="1"/>
  <c r="Z35" i="13"/>
  <c r="AA35" i="13" s="1"/>
  <c r="AA42" i="11"/>
  <c r="Z42" i="12"/>
  <c r="AA42" i="12" s="1"/>
  <c r="Z42" i="13"/>
  <c r="AA42" i="13" s="1"/>
  <c r="AA9" i="11"/>
  <c r="Z9" i="12"/>
  <c r="AA9" i="12" s="1"/>
  <c r="Z9" i="13"/>
  <c r="AA9" i="13" s="1"/>
  <c r="S46" i="11"/>
  <c r="Q26" i="8"/>
  <c r="Q26" i="28" s="1"/>
  <c r="Q90" i="28" s="1"/>
  <c r="Q24" i="8"/>
  <c r="Q24" i="28" s="1"/>
  <c r="Q88" i="28" s="1"/>
  <c r="AC54" i="8"/>
  <c r="M41" i="9"/>
  <c r="AH49" i="8"/>
  <c r="AD49" i="28" s="1"/>
  <c r="AD113" i="28" s="1"/>
  <c r="U44" i="12"/>
  <c r="U44" i="13"/>
  <c r="W44" i="11"/>
  <c r="U20" i="12"/>
  <c r="U20" i="13"/>
  <c r="U23" i="12"/>
  <c r="U23" i="13"/>
  <c r="U36" i="12"/>
  <c r="W36" i="12" s="1"/>
  <c r="U36" i="13"/>
  <c r="W36" i="13" s="1"/>
  <c r="U13" i="12"/>
  <c r="U13" i="13"/>
  <c r="AI24" i="8"/>
  <c r="AE24" i="28" s="1"/>
  <c r="AE88" i="28" s="1"/>
  <c r="V59" i="9"/>
  <c r="V43" i="9"/>
  <c r="AB43" i="9" s="1"/>
  <c r="V47" i="9"/>
  <c r="V28" i="9"/>
  <c r="V23" i="9"/>
  <c r="AB23" i="9" s="1"/>
  <c r="Y57" i="9"/>
  <c r="Y24" i="9"/>
  <c r="AC7" i="8"/>
  <c r="AB62" i="7"/>
  <c r="L39" i="8"/>
  <c r="L39" i="28" s="1"/>
  <c r="L103" i="28" s="1"/>
  <c r="L52" i="8"/>
  <c r="L52" i="28" s="1"/>
  <c r="L116" i="28" s="1"/>
  <c r="P8" i="8"/>
  <c r="P8" i="28" s="1"/>
  <c r="P72" i="28" s="1"/>
  <c r="P59" i="8"/>
  <c r="P59" i="28" s="1"/>
  <c r="P123" i="28" s="1"/>
  <c r="O18" i="8"/>
  <c r="O18" i="28" s="1"/>
  <c r="O82" i="28" s="1"/>
  <c r="O56" i="8"/>
  <c r="O56" i="28" s="1"/>
  <c r="O120" i="28" s="1"/>
  <c r="X53" i="8"/>
  <c r="W53" i="28" s="1"/>
  <c r="W117" i="28" s="1"/>
  <c r="X6" i="8"/>
  <c r="W6" i="28" s="1"/>
  <c r="W70" i="28" s="1"/>
  <c r="W26" i="11"/>
  <c r="AI27" i="8"/>
  <c r="AE27" i="28" s="1"/>
  <c r="AE91" i="28" s="1"/>
  <c r="V33" i="12"/>
  <c r="V33" i="13"/>
  <c r="V16" i="12"/>
  <c r="V16" i="13"/>
  <c r="V19" i="12"/>
  <c r="V19" i="13"/>
  <c r="V20" i="12"/>
  <c r="V20" i="13"/>
  <c r="V11" i="12"/>
  <c r="V11" i="13"/>
  <c r="Q27" i="8"/>
  <c r="Q27" i="28" s="1"/>
  <c r="Q91" i="28" s="1"/>
  <c r="Q54" i="8"/>
  <c r="Q54" i="28" s="1"/>
  <c r="Q118" i="28" s="1"/>
  <c r="Y44" i="9"/>
  <c r="AB44" i="9" s="1"/>
  <c r="Y19" i="9"/>
  <c r="AC28" i="8"/>
  <c r="M37" i="8"/>
  <c r="M37" i="9"/>
  <c r="U29" i="8"/>
  <c r="T29" i="28" s="1"/>
  <c r="T93" i="28" s="1"/>
  <c r="L56" i="8"/>
  <c r="L56" i="28" s="1"/>
  <c r="L120" i="28" s="1"/>
  <c r="P35" i="8"/>
  <c r="P63" i="8"/>
  <c r="P63" i="28" s="1"/>
  <c r="P127" i="28" s="1"/>
  <c r="O25" i="8"/>
  <c r="O25" i="28" s="1"/>
  <c r="O89" i="28" s="1"/>
  <c r="O40" i="8"/>
  <c r="O40" i="28" s="1"/>
  <c r="O104" i="28" s="1"/>
  <c r="X32" i="8"/>
  <c r="W32" i="28" s="1"/>
  <c r="W96" i="28" s="1"/>
  <c r="X7" i="8"/>
  <c r="W7" i="28" s="1"/>
  <c r="W71" i="28" s="1"/>
  <c r="Q48" i="8"/>
  <c r="Q48" i="28" s="1"/>
  <c r="Q112" i="28" s="1"/>
  <c r="U61" i="8"/>
  <c r="T61" i="28" s="1"/>
  <c r="T125" i="28" s="1"/>
  <c r="O45" i="8"/>
  <c r="O45" i="28" s="1"/>
  <c r="O109" i="28" s="1"/>
  <c r="Q44" i="8"/>
  <c r="Q44" i="28" s="1"/>
  <c r="Q108" i="28" s="1"/>
  <c r="AB33" i="9"/>
  <c r="O57" i="8"/>
  <c r="O57" i="28" s="1"/>
  <c r="O121" i="28" s="1"/>
  <c r="E35" i="5"/>
  <c r="Q48" i="24" s="1"/>
  <c r="L48" i="12"/>
  <c r="L48" i="13"/>
  <c r="L48" i="10"/>
  <c r="L48" i="11"/>
  <c r="L51" i="11" s="1"/>
  <c r="Q38" i="8"/>
  <c r="Q38" i="28" s="1"/>
  <c r="Q102" i="28" s="1"/>
  <c r="Q32" i="8"/>
  <c r="Q32" i="28" s="1"/>
  <c r="Q96" i="28" s="1"/>
  <c r="U5" i="8"/>
  <c r="T5" i="28" s="1"/>
  <c r="T69" i="28" s="1"/>
  <c r="O10" i="8"/>
  <c r="O10" i="28" s="1"/>
  <c r="O74" i="28" s="1"/>
  <c r="U33" i="8"/>
  <c r="T33" i="28" s="1"/>
  <c r="T97" i="28" s="1"/>
  <c r="P37" i="8"/>
  <c r="P37" i="28" s="1"/>
  <c r="P101" i="28" s="1"/>
  <c r="P9" i="8"/>
  <c r="P9" i="28" s="1"/>
  <c r="P73" i="28" s="1"/>
  <c r="L51" i="12"/>
  <c r="M27" i="9"/>
  <c r="M17" i="9"/>
  <c r="Q20" i="8"/>
  <c r="Q20" i="28" s="1"/>
  <c r="Q84" i="28" s="1"/>
  <c r="Q63" i="8"/>
  <c r="Q63" i="28" s="1"/>
  <c r="Q127" i="28" s="1"/>
  <c r="P15" i="8"/>
  <c r="P15" i="28" s="1"/>
  <c r="P79" i="28" s="1"/>
  <c r="O15" i="8"/>
  <c r="O15" i="28" s="1"/>
  <c r="O79" i="28" s="1"/>
  <c r="O62" i="8"/>
  <c r="O62" i="28" s="1"/>
  <c r="O126" i="28" s="1"/>
  <c r="P37" i="12"/>
  <c r="P37" i="13"/>
  <c r="P23" i="12"/>
  <c r="P23" i="13"/>
  <c r="P34" i="12"/>
  <c r="P34" i="29" s="1"/>
  <c r="P79" i="29" s="1"/>
  <c r="P34" i="13"/>
  <c r="P18" i="12"/>
  <c r="P18" i="13"/>
  <c r="P13" i="12"/>
  <c r="P13" i="13"/>
  <c r="Q8" i="8"/>
  <c r="Q8" i="28" s="1"/>
  <c r="Q72" i="28" s="1"/>
  <c r="Q7" i="8"/>
  <c r="Q7" i="28" s="1"/>
  <c r="Q71" i="28" s="1"/>
  <c r="AH27" i="8"/>
  <c r="AD27" i="28" s="1"/>
  <c r="AD91" i="28" s="1"/>
  <c r="U11" i="8"/>
  <c r="T11" i="28" s="1"/>
  <c r="T75" i="28" s="1"/>
  <c r="P20" i="8"/>
  <c r="P20" i="28" s="1"/>
  <c r="P84" i="28" s="1"/>
  <c r="P60" i="8"/>
  <c r="P60" i="28" s="1"/>
  <c r="P124" i="28" s="1"/>
  <c r="O41" i="12"/>
  <c r="O41" i="13"/>
  <c r="O24" i="12"/>
  <c r="O24" i="13"/>
  <c r="O43" i="12"/>
  <c r="O43" i="29" s="1"/>
  <c r="O88" i="29" s="1"/>
  <c r="O43" i="13"/>
  <c r="O27" i="12"/>
  <c r="O27" i="13"/>
  <c r="O11" i="12"/>
  <c r="O11" i="13"/>
  <c r="Y62" i="9"/>
  <c r="X62" i="28" s="1"/>
  <c r="X126" i="28" s="1"/>
  <c r="Y17" i="9"/>
  <c r="AC57" i="8"/>
  <c r="U34" i="8"/>
  <c r="T34" i="28" s="1"/>
  <c r="T98" i="28" s="1"/>
  <c r="P16" i="8"/>
  <c r="P16" i="28" s="1"/>
  <c r="P80" i="28" s="1"/>
  <c r="P51" i="8"/>
  <c r="P51" i="28" s="1"/>
  <c r="P115" i="28" s="1"/>
  <c r="O7" i="8"/>
  <c r="O7" i="28" s="1"/>
  <c r="O71" i="28" s="1"/>
  <c r="O53" i="8"/>
  <c r="O53" i="28" s="1"/>
  <c r="O117" i="28" s="1"/>
  <c r="X50" i="8"/>
  <c r="W50" i="28" s="1"/>
  <c r="W114" i="28" s="1"/>
  <c r="X14" i="8"/>
  <c r="W14" i="28" s="1"/>
  <c r="W78" i="28" s="1"/>
  <c r="AA20" i="11"/>
  <c r="Z20" i="12"/>
  <c r="AA20" i="12" s="1"/>
  <c r="Z20" i="13"/>
  <c r="AA20" i="13" s="1"/>
  <c r="AA24" i="11"/>
  <c r="Z24" i="12"/>
  <c r="AA24" i="12" s="1"/>
  <c r="Z24" i="13"/>
  <c r="AA24" i="13" s="1"/>
  <c r="AA26" i="11"/>
  <c r="Z26" i="12"/>
  <c r="AA26" i="12" s="1"/>
  <c r="Z26" i="13"/>
  <c r="AA26" i="13" s="1"/>
  <c r="AA37" i="11"/>
  <c r="Z37" i="12"/>
  <c r="AA37" i="12" s="1"/>
  <c r="Z37" i="13"/>
  <c r="AA37" i="13" s="1"/>
  <c r="AA6" i="11"/>
  <c r="Z6" i="12"/>
  <c r="AA6" i="12" s="1"/>
  <c r="Z6" i="13"/>
  <c r="AA6" i="13" s="1"/>
  <c r="W5" i="11"/>
  <c r="S5" i="12"/>
  <c r="R46" i="12"/>
  <c r="W54" i="8"/>
  <c r="V54" i="28" s="1"/>
  <c r="V118" i="28" s="1"/>
  <c r="W12" i="8"/>
  <c r="V12" i="28" s="1"/>
  <c r="V76" i="28" s="1"/>
  <c r="Y59" i="9"/>
  <c r="AB59" i="9" s="1"/>
  <c r="Y13" i="9"/>
  <c r="X13" i="28" s="1"/>
  <c r="X77" i="28" s="1"/>
  <c r="U22" i="8"/>
  <c r="T22" i="28" s="1"/>
  <c r="T86" i="28" s="1"/>
  <c r="U55" i="8"/>
  <c r="T55" i="28" s="1"/>
  <c r="T119" i="28" s="1"/>
  <c r="P12" i="8"/>
  <c r="P12" i="28" s="1"/>
  <c r="P76" i="28" s="1"/>
  <c r="P57" i="8"/>
  <c r="P57" i="28" s="1"/>
  <c r="P121" i="28" s="1"/>
  <c r="O22" i="8"/>
  <c r="O22" i="28" s="1"/>
  <c r="O86" i="28" s="1"/>
  <c r="O42" i="8"/>
  <c r="O42" i="28" s="1"/>
  <c r="O106" i="28" s="1"/>
  <c r="X47" i="8"/>
  <c r="W47" i="28" s="1"/>
  <c r="W111" i="28" s="1"/>
  <c r="X10" i="8"/>
  <c r="W10" i="28" s="1"/>
  <c r="W74" i="28" s="1"/>
  <c r="U39" i="12"/>
  <c r="U39" i="13"/>
  <c r="W39" i="13" s="1"/>
  <c r="U19" i="12"/>
  <c r="S19" i="29" s="1"/>
  <c r="S64" i="29" s="1"/>
  <c r="U19" i="13"/>
  <c r="U22" i="12"/>
  <c r="W22" i="12" s="1"/>
  <c r="U22" i="13"/>
  <c r="U35" i="12"/>
  <c r="U35" i="13"/>
  <c r="U10" i="12"/>
  <c r="U10" i="13"/>
  <c r="V61" i="9"/>
  <c r="AB61" i="9" s="1"/>
  <c r="V6" i="9"/>
  <c r="AB6" i="9" s="1"/>
  <c r="V15" i="9"/>
  <c r="AB15" i="9" s="1"/>
  <c r="V32" i="9"/>
  <c r="AB32" i="9" s="1"/>
  <c r="V27" i="9"/>
  <c r="AB27" i="9" s="1"/>
  <c r="Q22" i="8"/>
  <c r="Q22" i="28" s="1"/>
  <c r="Q86" i="28" s="1"/>
  <c r="Q37" i="8"/>
  <c r="Q37" i="28" s="1"/>
  <c r="Q101" i="28" s="1"/>
  <c r="W55" i="8"/>
  <c r="V55" i="28" s="1"/>
  <c r="V119" i="28" s="1"/>
  <c r="Y57" i="8"/>
  <c r="Y24" i="8"/>
  <c r="AC63" i="8"/>
  <c r="AH7" i="8"/>
  <c r="AD7" i="28" s="1"/>
  <c r="AD71" i="28" s="1"/>
  <c r="AH63" i="8"/>
  <c r="AD63" i="28" s="1"/>
  <c r="AD127" i="28" s="1"/>
  <c r="U18" i="8"/>
  <c r="T18" i="28" s="1"/>
  <c r="T82" i="28" s="1"/>
  <c r="U56" i="8"/>
  <c r="T56" i="28" s="1"/>
  <c r="T120" i="28" s="1"/>
  <c r="M31" i="9"/>
  <c r="V32" i="12"/>
  <c r="V32" i="13"/>
  <c r="V15" i="12"/>
  <c r="V15" i="13"/>
  <c r="V30" i="12"/>
  <c r="V30" i="13"/>
  <c r="W30" i="13" s="1"/>
  <c r="V38" i="12"/>
  <c r="V38" i="13"/>
  <c r="V8" i="12"/>
  <c r="V8" i="13"/>
  <c r="W52" i="8"/>
  <c r="V52" i="28" s="1"/>
  <c r="V116" i="28" s="1"/>
  <c r="W27" i="8"/>
  <c r="V27" i="28" s="1"/>
  <c r="V91" i="28" s="1"/>
  <c r="Y44" i="8"/>
  <c r="AC42" i="8"/>
  <c r="AH8" i="8"/>
  <c r="AD8" i="28" s="1"/>
  <c r="AD72" i="28" s="1"/>
  <c r="AH48" i="8"/>
  <c r="AD48" i="28" s="1"/>
  <c r="AD112" i="28" s="1"/>
  <c r="U43" i="8"/>
  <c r="T43" i="28" s="1"/>
  <c r="T107" i="28" s="1"/>
  <c r="L35" i="8"/>
  <c r="L35" i="28" s="1"/>
  <c r="L99" i="28" s="1"/>
  <c r="AI15" i="8"/>
  <c r="AE15" i="28" s="1"/>
  <c r="AE79" i="28" s="1"/>
  <c r="M38" i="9"/>
  <c r="O31" i="8"/>
  <c r="O31" i="28" s="1"/>
  <c r="O95" i="28" s="1"/>
  <c r="T66" i="8"/>
  <c r="T66" i="9"/>
  <c r="T66" i="7"/>
  <c r="U58" i="8"/>
  <c r="T58" i="28" s="1"/>
  <c r="T122" i="28" s="1"/>
  <c r="M43" i="8"/>
  <c r="M43" i="9"/>
  <c r="P18" i="8"/>
  <c r="P18" i="28" s="1"/>
  <c r="P82" i="28" s="1"/>
  <c r="P47" i="8"/>
  <c r="P47" i="28" s="1"/>
  <c r="P111" i="28" s="1"/>
  <c r="O39" i="8"/>
  <c r="O39" i="28" s="1"/>
  <c r="O103" i="28" s="1"/>
  <c r="M19" i="9"/>
  <c r="Q59" i="8"/>
  <c r="Q59" i="28" s="1"/>
  <c r="Q123" i="28" s="1"/>
  <c r="U28" i="8"/>
  <c r="T28" i="28" s="1"/>
  <c r="T92" i="28" s="1"/>
  <c r="O26" i="8"/>
  <c r="O26" i="28" s="1"/>
  <c r="O90" i="28" s="1"/>
  <c r="O46" i="8"/>
  <c r="O46" i="28" s="1"/>
  <c r="O110" i="28" s="1"/>
  <c r="M6" i="8"/>
  <c r="M6" i="9"/>
  <c r="M21" i="9"/>
  <c r="U53" i="8"/>
  <c r="T53" i="28" s="1"/>
  <c r="T117" i="28" s="1"/>
  <c r="P54" i="8"/>
  <c r="P54" i="28" s="1"/>
  <c r="P118" i="28" s="1"/>
  <c r="P44" i="12"/>
  <c r="P44" i="13"/>
  <c r="P20" i="12"/>
  <c r="P20" i="13"/>
  <c r="P22" i="12"/>
  <c r="P22" i="13"/>
  <c r="P25" i="12"/>
  <c r="P25" i="13"/>
  <c r="P7" i="12"/>
  <c r="P7" i="13"/>
  <c r="AC19" i="8"/>
  <c r="AH51" i="8"/>
  <c r="AD51" i="28" s="1"/>
  <c r="AD115" i="28" s="1"/>
  <c r="U39" i="8"/>
  <c r="T39" i="28" s="1"/>
  <c r="T103" i="28" s="1"/>
  <c r="O16" i="8"/>
  <c r="O16" i="28" s="1"/>
  <c r="O80" i="28" s="1"/>
  <c r="O60" i="8"/>
  <c r="O60" i="28" s="1"/>
  <c r="O124" i="28" s="1"/>
  <c r="X57" i="8"/>
  <c r="W57" i="28" s="1"/>
  <c r="W121" i="28" s="1"/>
  <c r="X33" i="8"/>
  <c r="W33" i="28" s="1"/>
  <c r="W97" i="28" s="1"/>
  <c r="O31" i="12"/>
  <c r="O31" i="13"/>
  <c r="O14" i="12"/>
  <c r="O14" i="13"/>
  <c r="O17" i="12"/>
  <c r="O17" i="13"/>
  <c r="O30" i="12"/>
  <c r="O30" i="13"/>
  <c r="O8" i="12"/>
  <c r="O8" i="13"/>
  <c r="Q21" i="8"/>
  <c r="Q21" i="28" s="1"/>
  <c r="Q85" i="28" s="1"/>
  <c r="Q55" i="8"/>
  <c r="Q55" i="28" s="1"/>
  <c r="Q119" i="28" s="1"/>
  <c r="AC27" i="8"/>
  <c r="AH38" i="8"/>
  <c r="AD38" i="28" s="1"/>
  <c r="AD102" i="28" s="1"/>
  <c r="AB7" i="9"/>
  <c r="AB34" i="7"/>
  <c r="M30" i="8"/>
  <c r="M30" i="9"/>
  <c r="AA31" i="11"/>
  <c r="Z31" i="12"/>
  <c r="AA31" i="12" s="1"/>
  <c r="Z31" i="13"/>
  <c r="AA31" i="13" s="1"/>
  <c r="AA14" i="11"/>
  <c r="Z14" i="12"/>
  <c r="AA14" i="12" s="1"/>
  <c r="Z14" i="13"/>
  <c r="AA14" i="13" s="1"/>
  <c r="AA16" i="11"/>
  <c r="Z16" i="12"/>
  <c r="AA16" i="12" s="1"/>
  <c r="Z16" i="13"/>
  <c r="AA16" i="13" s="1"/>
  <c r="AA28" i="11"/>
  <c r="Z28" i="12"/>
  <c r="AA28" i="12" s="1"/>
  <c r="Z28" i="13"/>
  <c r="AA28" i="13" s="1"/>
  <c r="AA11" i="11"/>
  <c r="Z11" i="12"/>
  <c r="AA11" i="12" s="1"/>
  <c r="Z11" i="13"/>
  <c r="AA11" i="13" s="1"/>
  <c r="AI28" i="8"/>
  <c r="AE28" i="28" s="1"/>
  <c r="AE92" i="28" s="1"/>
  <c r="Q17" i="8"/>
  <c r="Q17" i="28" s="1"/>
  <c r="Q81" i="28" s="1"/>
  <c r="Q16" i="8"/>
  <c r="Q16" i="28" s="1"/>
  <c r="Q80" i="28" s="1"/>
  <c r="AC23" i="8"/>
  <c r="AH26" i="8"/>
  <c r="AD26" i="28" s="1"/>
  <c r="AD90" i="28" s="1"/>
  <c r="AH54" i="8"/>
  <c r="AD54" i="28" s="1"/>
  <c r="AD118" i="28" s="1"/>
  <c r="U59" i="8"/>
  <c r="T59" i="28" s="1"/>
  <c r="T123" i="28" s="1"/>
  <c r="M63" i="8"/>
  <c r="M63" i="9"/>
  <c r="U38" i="12"/>
  <c r="U38" i="13"/>
  <c r="U17" i="12"/>
  <c r="U17" i="13"/>
  <c r="U32" i="12"/>
  <c r="W32" i="12" s="1"/>
  <c r="U32" i="13"/>
  <c r="U34" i="12"/>
  <c r="U34" i="13"/>
  <c r="U18" i="12"/>
  <c r="U18" i="13"/>
  <c r="W18" i="13" s="1"/>
  <c r="W37" i="11"/>
  <c r="AI14" i="8"/>
  <c r="AE14" i="28" s="1"/>
  <c r="AE78" i="28" s="1"/>
  <c r="V38" i="9"/>
  <c r="AB38" i="9" s="1"/>
  <c r="V57" i="9"/>
  <c r="V42" i="9"/>
  <c r="AB42" i="9" s="1"/>
  <c r="V10" i="9"/>
  <c r="V31" i="9"/>
  <c r="W5" i="8"/>
  <c r="Y47" i="9"/>
  <c r="AB47" i="9" s="1"/>
  <c r="Y14" i="9"/>
  <c r="AC6" i="8"/>
  <c r="AB56" i="7"/>
  <c r="U45" i="8"/>
  <c r="T45" i="28" s="1"/>
  <c r="T109" i="28" s="1"/>
  <c r="L9" i="8"/>
  <c r="L9" i="28" s="1"/>
  <c r="L73" i="28" s="1"/>
  <c r="L59" i="8"/>
  <c r="L59" i="28" s="1"/>
  <c r="L123" i="28" s="1"/>
  <c r="P26" i="8"/>
  <c r="P26" i="28" s="1"/>
  <c r="P90" i="28" s="1"/>
  <c r="P56" i="8"/>
  <c r="P56" i="28" s="1"/>
  <c r="P120" i="28" s="1"/>
  <c r="O13" i="8"/>
  <c r="O13" i="28" s="1"/>
  <c r="O77" i="28" s="1"/>
  <c r="O55" i="8"/>
  <c r="O55" i="28" s="1"/>
  <c r="O119" i="28" s="1"/>
  <c r="X42" i="8"/>
  <c r="W42" i="28" s="1"/>
  <c r="W106" i="28" s="1"/>
  <c r="W11" i="11"/>
  <c r="AI19" i="8"/>
  <c r="AE19" i="28" s="1"/>
  <c r="AE83" i="28" s="1"/>
  <c r="V14" i="12"/>
  <c r="V14" i="13"/>
  <c r="V35" i="12"/>
  <c r="V35" i="13"/>
  <c r="V29" i="12"/>
  <c r="V29" i="13"/>
  <c r="V41" i="12"/>
  <c r="W41" i="12" s="1"/>
  <c r="V41" i="13"/>
  <c r="V5" i="12"/>
  <c r="W5" i="12" s="1"/>
  <c r="V5" i="13"/>
  <c r="V46" i="11"/>
  <c r="Q18" i="8"/>
  <c r="Q18" i="28" s="1"/>
  <c r="Q82" i="28" s="1"/>
  <c r="Q42" i="8"/>
  <c r="Q42" i="28" s="1"/>
  <c r="Q106" i="28" s="1"/>
  <c r="Y53" i="9"/>
  <c r="Y10" i="9"/>
  <c r="AC49" i="8"/>
  <c r="U14" i="8"/>
  <c r="T14" i="28" s="1"/>
  <c r="T78" i="28" s="1"/>
  <c r="AB43" i="7"/>
  <c r="L65" i="9"/>
  <c r="L62" i="8"/>
  <c r="L62" i="28" s="1"/>
  <c r="L126" i="28" s="1"/>
  <c r="P29" i="8"/>
  <c r="P29" i="28" s="1"/>
  <c r="P93" i="28" s="1"/>
  <c r="P45" i="8"/>
  <c r="P45" i="28" s="1"/>
  <c r="P109" i="28" s="1"/>
  <c r="O14" i="8"/>
  <c r="O14" i="28" s="1"/>
  <c r="O78" i="28" s="1"/>
  <c r="O61" i="8"/>
  <c r="O61" i="28" s="1"/>
  <c r="O125" i="28" s="1"/>
  <c r="X43" i="8"/>
  <c r="W43" i="28" s="1"/>
  <c r="W107" i="28" s="1"/>
  <c r="X21" i="8"/>
  <c r="W21" i="28" s="1"/>
  <c r="W85" i="28" s="1"/>
  <c r="AB47" i="13"/>
  <c r="AB47" i="12"/>
  <c r="X51" i="12" s="1"/>
  <c r="AB47" i="10"/>
  <c r="AB47" i="11"/>
  <c r="Q14" i="8"/>
  <c r="Q14" i="28" s="1"/>
  <c r="Q78" i="28" s="1"/>
  <c r="R65" i="9"/>
  <c r="M14" i="9"/>
  <c r="M10" i="8"/>
  <c r="M10" i="9"/>
  <c r="M28" i="9"/>
  <c r="Q29" i="8"/>
  <c r="Q29" i="28" s="1"/>
  <c r="Q93" i="28" s="1"/>
  <c r="U54" i="8"/>
  <c r="T54" i="28" s="1"/>
  <c r="T118" i="28" s="1"/>
  <c r="M54" i="9"/>
  <c r="O27" i="8"/>
  <c r="O27" i="28" s="1"/>
  <c r="O91" i="28" s="1"/>
  <c r="O41" i="8"/>
  <c r="O41" i="28" s="1"/>
  <c r="O105" i="28" s="1"/>
  <c r="P42" i="12"/>
  <c r="P42" i="13"/>
  <c r="P31" i="12"/>
  <c r="P31" i="13"/>
  <c r="P21" i="12"/>
  <c r="P21" i="13"/>
  <c r="P43" i="12"/>
  <c r="P43" i="13"/>
  <c r="P12" i="12"/>
  <c r="P12" i="13"/>
  <c r="Q40" i="8"/>
  <c r="Q40" i="28" s="1"/>
  <c r="Q104" i="28" s="1"/>
  <c r="Q46" i="8"/>
  <c r="Q46" i="28" s="1"/>
  <c r="Q110" i="28" s="1"/>
  <c r="AH65" i="9"/>
  <c r="P11" i="8"/>
  <c r="P11" i="28" s="1"/>
  <c r="P75" i="28" s="1"/>
  <c r="P48" i="8"/>
  <c r="P48" i="28" s="1"/>
  <c r="P112" i="28" s="1"/>
  <c r="O22" i="12"/>
  <c r="O22" i="13"/>
  <c r="O34" i="12"/>
  <c r="O34" i="13"/>
  <c r="O37" i="12"/>
  <c r="O37" i="13"/>
  <c r="O21" i="12"/>
  <c r="O21" i="13"/>
  <c r="O5" i="12"/>
  <c r="O46" i="11"/>
  <c r="O5" i="13"/>
  <c r="U26" i="8"/>
  <c r="T26" i="28" s="1"/>
  <c r="T90" i="28" s="1"/>
  <c r="U7" i="8"/>
  <c r="T7" i="28" s="1"/>
  <c r="T71" i="28" s="1"/>
  <c r="P7" i="8"/>
  <c r="P7" i="28" s="1"/>
  <c r="P71" i="28" s="1"/>
  <c r="P61" i="8"/>
  <c r="P61" i="28" s="1"/>
  <c r="P125" i="28" s="1"/>
  <c r="O21" i="8"/>
  <c r="O21" i="28" s="1"/>
  <c r="O85" i="28" s="1"/>
  <c r="O58" i="8"/>
  <c r="O58" i="28" s="1"/>
  <c r="O122" i="28" s="1"/>
  <c r="AA38" i="11"/>
  <c r="Z38" i="12"/>
  <c r="AA38" i="12" s="1"/>
  <c r="Z38" i="13"/>
  <c r="AA38" i="13" s="1"/>
  <c r="AA22" i="11"/>
  <c r="Z22" i="12"/>
  <c r="AA22" i="12" s="1"/>
  <c r="Z22" i="13"/>
  <c r="AA22" i="13" s="1"/>
  <c r="AA40" i="11"/>
  <c r="Z40" i="12"/>
  <c r="AA40" i="12" s="1"/>
  <c r="Z40" i="13"/>
  <c r="AA40" i="13" s="1"/>
  <c r="AA19" i="11"/>
  <c r="Z19" i="12"/>
  <c r="AA19" i="12" s="1"/>
  <c r="Z19" i="13"/>
  <c r="AA19" i="13" s="1"/>
  <c r="AA8" i="11"/>
  <c r="Z8" i="12"/>
  <c r="AA8" i="12" s="1"/>
  <c r="Z8" i="13"/>
  <c r="AA8" i="13" s="1"/>
  <c r="AC35" i="8"/>
  <c r="U17" i="8"/>
  <c r="T17" i="28" s="1"/>
  <c r="T81" i="28" s="1"/>
  <c r="P30" i="8"/>
  <c r="P30" i="28" s="1"/>
  <c r="P94" i="28" s="1"/>
  <c r="P62" i="8"/>
  <c r="P62" i="28" s="1"/>
  <c r="P126" i="28" s="1"/>
  <c r="O17" i="8"/>
  <c r="O17" i="28" s="1"/>
  <c r="O81" i="28" s="1"/>
  <c r="O49" i="8"/>
  <c r="O49" i="28" s="1"/>
  <c r="O113" i="28" s="1"/>
  <c r="X49" i="8"/>
  <c r="W49" i="28" s="1"/>
  <c r="W113" i="28" s="1"/>
  <c r="U16" i="12"/>
  <c r="W16" i="12" s="1"/>
  <c r="U16" i="13"/>
  <c r="U29" i="12"/>
  <c r="U29" i="13"/>
  <c r="U14" i="12"/>
  <c r="U14" i="13"/>
  <c r="U9" i="12"/>
  <c r="W9" i="12" s="1"/>
  <c r="U9" i="13"/>
  <c r="U7" i="12"/>
  <c r="W7" i="12" s="1"/>
  <c r="U7" i="13"/>
  <c r="V52" i="9"/>
  <c r="AB52" i="9" s="1"/>
  <c r="V55" i="9"/>
  <c r="V41" i="9"/>
  <c r="AB41" i="9" s="1"/>
  <c r="V14" i="9"/>
  <c r="V8" i="9"/>
  <c r="AB8" i="9" s="1"/>
  <c r="V9" i="9"/>
  <c r="Q13" i="8"/>
  <c r="Q13" i="28" s="1"/>
  <c r="Q77" i="28" s="1"/>
  <c r="Q57" i="8"/>
  <c r="Q57" i="28" s="1"/>
  <c r="Q121" i="28" s="1"/>
  <c r="AC40" i="8"/>
  <c r="M56" i="8"/>
  <c r="M56" i="9"/>
  <c r="AH43" i="8"/>
  <c r="AD43" i="28" s="1"/>
  <c r="AD107" i="28" s="1"/>
  <c r="U13" i="8"/>
  <c r="T13" i="28" s="1"/>
  <c r="T77" i="28" s="1"/>
  <c r="V34" i="12"/>
  <c r="V34" i="13"/>
  <c r="V17" i="12"/>
  <c r="V17" i="13"/>
  <c r="V28" i="12"/>
  <c r="V28" i="13"/>
  <c r="V40" i="12"/>
  <c r="V40" i="13"/>
  <c r="V13" i="12"/>
  <c r="V13" i="13"/>
  <c r="AC21" i="8"/>
  <c r="AH32" i="8"/>
  <c r="AD32" i="28" s="1"/>
  <c r="AD96" i="28" s="1"/>
  <c r="AH50" i="8"/>
  <c r="AD50" i="28" s="1"/>
  <c r="AD114" i="28" s="1"/>
  <c r="AB14" i="7"/>
  <c r="U42" i="8"/>
  <c r="T42" i="28" s="1"/>
  <c r="T106" i="28" s="1"/>
  <c r="O65" i="9"/>
  <c r="M16" i="8"/>
  <c r="M16" i="9"/>
  <c r="W23" i="11"/>
  <c r="N67" i="9"/>
  <c r="N67" i="8"/>
  <c r="N67" i="7"/>
  <c r="S70" i="7"/>
  <c r="R70" i="7"/>
  <c r="O19" i="8"/>
  <c r="O19" i="28" s="1"/>
  <c r="O83" i="28" s="1"/>
  <c r="O33" i="8"/>
  <c r="O33" i="28" s="1"/>
  <c r="O97" i="28" s="1"/>
  <c r="M18" i="9"/>
  <c r="AB37" i="9"/>
  <c r="U24" i="8"/>
  <c r="T24" i="28" s="1"/>
  <c r="T88" i="28" s="1"/>
  <c r="P55" i="8"/>
  <c r="P55" i="28" s="1"/>
  <c r="P119" i="28" s="1"/>
  <c r="M12" i="8"/>
  <c r="M12" i="9"/>
  <c r="W21" i="12"/>
  <c r="P27" i="12"/>
  <c r="P27" i="13"/>
  <c r="P30" i="12"/>
  <c r="P30" i="13"/>
  <c r="P41" i="12"/>
  <c r="P41" i="13"/>
  <c r="P35" i="12"/>
  <c r="P35" i="13"/>
  <c r="P9" i="12"/>
  <c r="P9" i="13"/>
  <c r="U23" i="8"/>
  <c r="T23" i="28" s="1"/>
  <c r="T87" i="28" s="1"/>
  <c r="U41" i="8"/>
  <c r="T41" i="28" s="1"/>
  <c r="T105" i="28" s="1"/>
  <c r="M32" i="9"/>
  <c r="O11" i="8"/>
  <c r="O11" i="28" s="1"/>
  <c r="O75" i="28" s="1"/>
  <c r="O48" i="8"/>
  <c r="O48" i="28" s="1"/>
  <c r="O112" i="28" s="1"/>
  <c r="O32" i="12"/>
  <c r="O32" i="13"/>
  <c r="O25" i="12"/>
  <c r="O25" i="13"/>
  <c r="O28" i="12"/>
  <c r="O28" i="13"/>
  <c r="O19" i="12"/>
  <c r="O19" i="13"/>
  <c r="O13" i="12"/>
  <c r="O13" i="13"/>
  <c r="Q30" i="8"/>
  <c r="Q30" i="28" s="1"/>
  <c r="Q94" i="28" s="1"/>
  <c r="Q43" i="8"/>
  <c r="Q43" i="28" s="1"/>
  <c r="Q107" i="28" s="1"/>
  <c r="M60" i="9"/>
  <c r="AC22" i="8"/>
  <c r="AC56" i="8"/>
  <c r="AH23" i="8"/>
  <c r="AD23" i="28" s="1"/>
  <c r="AD87" i="28" s="1"/>
  <c r="AH45" i="8"/>
  <c r="AD45" i="28" s="1"/>
  <c r="AD109" i="28" s="1"/>
  <c r="U40" i="8"/>
  <c r="T40" i="28" s="1"/>
  <c r="T104" i="28" s="1"/>
  <c r="AA41" i="11"/>
  <c r="Z41" i="12"/>
  <c r="AA41" i="12" s="1"/>
  <c r="Z41" i="13"/>
  <c r="AA41" i="13" s="1"/>
  <c r="AA39" i="11"/>
  <c r="Z39" i="12"/>
  <c r="AA39" i="12" s="1"/>
  <c r="Z39" i="13"/>
  <c r="AA39" i="13" s="1"/>
  <c r="AA43" i="11"/>
  <c r="Z43" i="12"/>
  <c r="AA43" i="12" s="1"/>
  <c r="Z43" i="13"/>
  <c r="AA43" i="13" s="1"/>
  <c r="AA10" i="11"/>
  <c r="Z10" i="12"/>
  <c r="AA10" i="12" s="1"/>
  <c r="Z10" i="13"/>
  <c r="AA10" i="13" s="1"/>
  <c r="AA5" i="11"/>
  <c r="Z5" i="12"/>
  <c r="Z5" i="13"/>
  <c r="Z46" i="11"/>
  <c r="Q11" i="8"/>
  <c r="Q11" i="28" s="1"/>
  <c r="Q75" i="28" s="1"/>
  <c r="Q52" i="8"/>
  <c r="Q52" i="28" s="1"/>
  <c r="Q116" i="28" s="1"/>
  <c r="M7" i="8"/>
  <c r="M7" i="9"/>
  <c r="AC37" i="8"/>
  <c r="AH16" i="8"/>
  <c r="AD16" i="28" s="1"/>
  <c r="AD80" i="28" s="1"/>
  <c r="U35" i="8"/>
  <c r="T35" i="28" s="1"/>
  <c r="T99" i="28" s="1"/>
  <c r="M47" i="8"/>
  <c r="M47" i="9"/>
  <c r="U28" i="12"/>
  <c r="U28" i="13"/>
  <c r="U31" i="12"/>
  <c r="W31" i="12" s="1"/>
  <c r="U31" i="13"/>
  <c r="U33" i="12"/>
  <c r="W33" i="12" s="1"/>
  <c r="U33" i="13"/>
  <c r="U6" i="12"/>
  <c r="U6" i="13"/>
  <c r="W6" i="13" s="1"/>
  <c r="U12" i="12"/>
  <c r="U12" i="13"/>
  <c r="AI55" i="8"/>
  <c r="AE55" i="28" s="1"/>
  <c r="AE119" i="28" s="1"/>
  <c r="AI59" i="8"/>
  <c r="AE59" i="28" s="1"/>
  <c r="AE123" i="28" s="1"/>
  <c r="AI46" i="8"/>
  <c r="AE46" i="28" s="1"/>
  <c r="AE110" i="28" s="1"/>
  <c r="AI38" i="8"/>
  <c r="AE38" i="28" s="1"/>
  <c r="AE102" i="28" s="1"/>
  <c r="AI56" i="8"/>
  <c r="AE56" i="28" s="1"/>
  <c r="AE120" i="28" s="1"/>
  <c r="AI48" i="8"/>
  <c r="AE48" i="28" s="1"/>
  <c r="AE112" i="28" s="1"/>
  <c r="AI60" i="8"/>
  <c r="AE60" i="28" s="1"/>
  <c r="AE124" i="28" s="1"/>
  <c r="AI47" i="8"/>
  <c r="AE47" i="28" s="1"/>
  <c r="AE111" i="28" s="1"/>
  <c r="AI39" i="8"/>
  <c r="AE39" i="28" s="1"/>
  <c r="AE103" i="28" s="1"/>
  <c r="AI45" i="8"/>
  <c r="AE45" i="28" s="1"/>
  <c r="AE109" i="28" s="1"/>
  <c r="AI43" i="8"/>
  <c r="AE43" i="28" s="1"/>
  <c r="AE107" i="28" s="1"/>
  <c r="AI51" i="8"/>
  <c r="AE51" i="28" s="1"/>
  <c r="AE115" i="28" s="1"/>
  <c r="AI44" i="8"/>
  <c r="AE44" i="28" s="1"/>
  <c r="AE108" i="28" s="1"/>
  <c r="AI40" i="8"/>
  <c r="AE40" i="28" s="1"/>
  <c r="AE104" i="28" s="1"/>
  <c r="AI52" i="8"/>
  <c r="AE52" i="28" s="1"/>
  <c r="AE116" i="28" s="1"/>
  <c r="AI58" i="8"/>
  <c r="AE58" i="28" s="1"/>
  <c r="AE122" i="28" s="1"/>
  <c r="AI35" i="8"/>
  <c r="AE35" i="28" s="1"/>
  <c r="AE99" i="28" s="1"/>
  <c r="AI42" i="8"/>
  <c r="AE42" i="28" s="1"/>
  <c r="AE106" i="28" s="1"/>
  <c r="AI34" i="8"/>
  <c r="AE34" i="28" s="1"/>
  <c r="AE98" i="28" s="1"/>
  <c r="AI57" i="8"/>
  <c r="AE57" i="28" s="1"/>
  <c r="AE121" i="28" s="1"/>
  <c r="AI50" i="8"/>
  <c r="AE50" i="28" s="1"/>
  <c r="AE114" i="28" s="1"/>
  <c r="AI41" i="8"/>
  <c r="AE41" i="28" s="1"/>
  <c r="AE105" i="28" s="1"/>
  <c r="AI62" i="8"/>
  <c r="AE62" i="28" s="1"/>
  <c r="AE126" i="28" s="1"/>
  <c r="AI49" i="8"/>
  <c r="AE49" i="28" s="1"/>
  <c r="AE113" i="28" s="1"/>
  <c r="AI61" i="8"/>
  <c r="AE61" i="28" s="1"/>
  <c r="AE125" i="28" s="1"/>
  <c r="AI53" i="8"/>
  <c r="AE53" i="28" s="1"/>
  <c r="AE117" i="28" s="1"/>
  <c r="AI54" i="8"/>
  <c r="AE54" i="28" s="1"/>
  <c r="AE118" i="28" s="1"/>
  <c r="AI63" i="8"/>
  <c r="AE63" i="28" s="1"/>
  <c r="AE127" i="28" s="1"/>
  <c r="AI33" i="8"/>
  <c r="AE33" i="28" s="1"/>
  <c r="AE97" i="28" s="1"/>
  <c r="AI36" i="8"/>
  <c r="AE36" i="28" s="1"/>
  <c r="AE100" i="28" s="1"/>
  <c r="V36" i="9"/>
  <c r="AB36" i="9" s="1"/>
  <c r="V51" i="9"/>
  <c r="AB51" i="9" s="1"/>
  <c r="V18" i="9"/>
  <c r="AB18" i="9" s="1"/>
  <c r="V12" i="9"/>
  <c r="AB12" i="9" s="1"/>
  <c r="V13" i="9"/>
  <c r="V29" i="9"/>
  <c r="AB29" i="9" s="1"/>
  <c r="M20" i="8"/>
  <c r="M20" i="9"/>
  <c r="Y56" i="9"/>
  <c r="AB56" i="9" s="1"/>
  <c r="Y9" i="9"/>
  <c r="AB13" i="7"/>
  <c r="U46" i="8"/>
  <c r="T46" i="28" s="1"/>
  <c r="T110" i="28" s="1"/>
  <c r="M34" i="8"/>
  <c r="M34" i="9"/>
  <c r="L18" i="8"/>
  <c r="L18" i="28" s="1"/>
  <c r="L82" i="28" s="1"/>
  <c r="L19" i="8"/>
  <c r="L19" i="28" s="1"/>
  <c r="L83" i="28" s="1"/>
  <c r="P21" i="8"/>
  <c r="P21" i="28" s="1"/>
  <c r="P85" i="28" s="1"/>
  <c r="O28" i="8"/>
  <c r="O28" i="28" s="1"/>
  <c r="O92" i="28" s="1"/>
  <c r="O51" i="8"/>
  <c r="O51" i="28" s="1"/>
  <c r="O115" i="28" s="1"/>
  <c r="X41" i="8"/>
  <c r="W41" i="28" s="1"/>
  <c r="W105" i="28" s="1"/>
  <c r="X31" i="8"/>
  <c r="W31" i="28" s="1"/>
  <c r="W95" i="28" s="1"/>
  <c r="AI10" i="8"/>
  <c r="AE10" i="28" s="1"/>
  <c r="AE74" i="28" s="1"/>
  <c r="V25" i="12"/>
  <c r="V25" i="13"/>
  <c r="V44" i="12"/>
  <c r="V44" i="13"/>
  <c r="V42" i="12"/>
  <c r="W42" i="12" s="1"/>
  <c r="V42" i="13"/>
  <c r="V23" i="12"/>
  <c r="V23" i="13"/>
  <c r="W23" i="13" s="1"/>
  <c r="V10" i="12"/>
  <c r="V10" i="13"/>
  <c r="Q9" i="8"/>
  <c r="Q9" i="28" s="1"/>
  <c r="Q73" i="28" s="1"/>
  <c r="AB42" i="7"/>
  <c r="L5" i="8"/>
  <c r="L5" i="28" s="1"/>
  <c r="L69" i="28" s="1"/>
  <c r="P22" i="8"/>
  <c r="P22" i="28" s="1"/>
  <c r="P86" i="28" s="1"/>
  <c r="M13" i="8"/>
  <c r="M13" i="9"/>
  <c r="E10" i="5"/>
  <c r="T67" i="23" s="1"/>
  <c r="N69" i="6"/>
  <c r="F10" i="5"/>
  <c r="N70" i="6"/>
  <c r="D47" i="5"/>
  <c r="D29" i="5"/>
  <c r="T21" i="29" l="1"/>
  <c r="T66" i="29" s="1"/>
  <c r="W41" i="24"/>
  <c r="W37" i="12"/>
  <c r="W17" i="24"/>
  <c r="W9" i="24"/>
  <c r="W18" i="24"/>
  <c r="X24" i="28"/>
  <c r="X88" i="28" s="1"/>
  <c r="AB45" i="9"/>
  <c r="AA12" i="28"/>
  <c r="AA76" i="28" s="1"/>
  <c r="V54" i="9"/>
  <c r="AB54" i="9" s="1"/>
  <c r="T35" i="29"/>
  <c r="T80" i="29" s="1"/>
  <c r="T16" i="29"/>
  <c r="T61" i="29" s="1"/>
  <c r="S20" i="29"/>
  <c r="S65" i="29" s="1"/>
  <c r="P10" i="29"/>
  <c r="P55" i="29" s="1"/>
  <c r="T7" i="29"/>
  <c r="T52" i="29" s="1"/>
  <c r="T43" i="29"/>
  <c r="T88" i="29" s="1"/>
  <c r="S8" i="29"/>
  <c r="S53" i="29" s="1"/>
  <c r="S41" i="29"/>
  <c r="S86" i="29" s="1"/>
  <c r="P16" i="29"/>
  <c r="P61" i="29" s="1"/>
  <c r="V39" i="9"/>
  <c r="AB39" i="9" s="1"/>
  <c r="W34" i="12"/>
  <c r="V25" i="9"/>
  <c r="AB25" i="9" s="1"/>
  <c r="W7" i="13"/>
  <c r="W16" i="13"/>
  <c r="V58" i="9"/>
  <c r="AB58" i="9" s="1"/>
  <c r="W11" i="13"/>
  <c r="V22" i="9"/>
  <c r="AB22" i="9" s="1"/>
  <c r="AB35" i="7"/>
  <c r="H11" i="31"/>
  <c r="AB45" i="7"/>
  <c r="AB65" i="7" s="1"/>
  <c r="W40" i="13"/>
  <c r="AB31" i="9"/>
  <c r="V48" i="9"/>
  <c r="AB48" i="9" s="1"/>
  <c r="V30" i="9"/>
  <c r="AB30" i="9" s="1"/>
  <c r="W43" i="13"/>
  <c r="V53" i="9"/>
  <c r="W30" i="24"/>
  <c r="AA45" i="28"/>
  <c r="AA109" i="28" s="1"/>
  <c r="R42" i="29"/>
  <c r="R87" i="29" s="1"/>
  <c r="W41" i="13"/>
  <c r="V65" i="7"/>
  <c r="V70" i="7" s="1"/>
  <c r="V12" i="8" s="1"/>
  <c r="S46" i="12"/>
  <c r="V11" i="9"/>
  <c r="AB11" i="9" s="1"/>
  <c r="V24" i="9"/>
  <c r="M8" i="28"/>
  <c r="M72" i="28" s="1"/>
  <c r="X5" i="28"/>
  <c r="X69" i="28" s="1"/>
  <c r="AA30" i="28"/>
  <c r="AA94" i="28" s="1"/>
  <c r="AA29" i="28"/>
  <c r="AA93" i="28" s="1"/>
  <c r="AA25" i="28"/>
  <c r="AA89" i="28" s="1"/>
  <c r="E42" i="5"/>
  <c r="E21" i="5"/>
  <c r="W26" i="12"/>
  <c r="W40" i="12"/>
  <c r="W12" i="13"/>
  <c r="V5" i="9"/>
  <c r="AB5" i="9" s="1"/>
  <c r="AB17" i="9"/>
  <c r="AA17" i="28"/>
  <c r="AA81" i="28" s="1"/>
  <c r="W23" i="12"/>
  <c r="AB14" i="9"/>
  <c r="W42" i="13"/>
  <c r="AB13" i="9"/>
  <c r="W12" i="12"/>
  <c r="AB53" i="9"/>
  <c r="V19" i="9"/>
  <c r="AB19" i="9" s="1"/>
  <c r="W33" i="24"/>
  <c r="W14" i="13"/>
  <c r="O37" i="29"/>
  <c r="O82" i="29" s="1"/>
  <c r="P30" i="29"/>
  <c r="P75" i="29" s="1"/>
  <c r="W24" i="13"/>
  <c r="O15" i="29"/>
  <c r="O60" i="29" s="1"/>
  <c r="P6" i="29"/>
  <c r="P51" i="29" s="1"/>
  <c r="P17" i="29"/>
  <c r="P62" i="29" s="1"/>
  <c r="O10" i="29"/>
  <c r="O55" i="29" s="1"/>
  <c r="O23" i="29"/>
  <c r="O68" i="29" s="1"/>
  <c r="P26" i="29"/>
  <c r="P71" i="29" s="1"/>
  <c r="O18" i="29"/>
  <c r="O63" i="29" s="1"/>
  <c r="O44" i="29"/>
  <c r="O89" i="29" s="1"/>
  <c r="W22" i="24"/>
  <c r="O33" i="29"/>
  <c r="O78" i="29" s="1"/>
  <c r="T6" i="29"/>
  <c r="T51" i="29" s="1"/>
  <c r="W39" i="12"/>
  <c r="P21" i="29"/>
  <c r="P66" i="29" s="1"/>
  <c r="W21" i="13"/>
  <c r="W29" i="24"/>
  <c r="O25" i="29"/>
  <c r="O70" i="29" s="1"/>
  <c r="W20" i="12"/>
  <c r="W11" i="24"/>
  <c r="W15" i="24"/>
  <c r="AB57" i="9"/>
  <c r="O35" i="29"/>
  <c r="O80" i="29" s="1"/>
  <c r="P29" i="29"/>
  <c r="P74" i="29" s="1"/>
  <c r="W10" i="24"/>
  <c r="W36" i="24"/>
  <c r="Y65" i="9"/>
  <c r="W6" i="12"/>
  <c r="W9" i="13"/>
  <c r="M31" i="8"/>
  <c r="W25" i="13"/>
  <c r="W33" i="13"/>
  <c r="W31" i="13"/>
  <c r="M18" i="8"/>
  <c r="M18" i="28" s="1"/>
  <c r="M82" i="28" s="1"/>
  <c r="AB55" i="9"/>
  <c r="M54" i="8"/>
  <c r="M54" i="28" s="1"/>
  <c r="M118" i="28" s="1"/>
  <c r="M14" i="8"/>
  <c r="M38" i="8"/>
  <c r="M38" i="28" s="1"/>
  <c r="M102" i="28" s="1"/>
  <c r="S5" i="29"/>
  <c r="S50" i="29" s="1"/>
  <c r="N17" i="29"/>
  <c r="N62" i="29" s="1"/>
  <c r="M34" i="28"/>
  <c r="M98" i="28" s="1"/>
  <c r="M17" i="8"/>
  <c r="M17" i="28" s="1"/>
  <c r="M81" i="28" s="1"/>
  <c r="N70" i="8"/>
  <c r="AA8" i="28"/>
  <c r="AA72" i="28" s="1"/>
  <c r="W13" i="13"/>
  <c r="M60" i="8"/>
  <c r="M60" i="28" s="1"/>
  <c r="M124" i="28" s="1"/>
  <c r="M32" i="8"/>
  <c r="M32" i="28" s="1"/>
  <c r="M96" i="28" s="1"/>
  <c r="M28" i="8"/>
  <c r="M21" i="8"/>
  <c r="M21" i="28" s="1"/>
  <c r="M85" i="28" s="1"/>
  <c r="M19" i="8"/>
  <c r="M19" i="28" s="1"/>
  <c r="M83" i="28" s="1"/>
  <c r="X57" i="28"/>
  <c r="X121" i="28" s="1"/>
  <c r="W22" i="13"/>
  <c r="L50" i="11"/>
  <c r="V36" i="8"/>
  <c r="W32" i="13"/>
  <c r="T12" i="29"/>
  <c r="T57" i="29" s="1"/>
  <c r="S11" i="29"/>
  <c r="S56" i="29" s="1"/>
  <c r="S42" i="29"/>
  <c r="S87" i="29" s="1"/>
  <c r="M20" i="28"/>
  <c r="M84" i="28" s="1"/>
  <c r="O28" i="29"/>
  <c r="O73" i="29" s="1"/>
  <c r="P41" i="29"/>
  <c r="P86" i="29" s="1"/>
  <c r="T39" i="29"/>
  <c r="T84" i="29" s="1"/>
  <c r="O34" i="29"/>
  <c r="O79" i="29" s="1"/>
  <c r="P31" i="29"/>
  <c r="P76" i="29" s="1"/>
  <c r="T14" i="29"/>
  <c r="T59" i="29" s="1"/>
  <c r="M43" i="28"/>
  <c r="M107" i="28" s="1"/>
  <c r="T15" i="29"/>
  <c r="T60" i="29" s="1"/>
  <c r="S10" i="29"/>
  <c r="S55" i="29" s="1"/>
  <c r="S39" i="29"/>
  <c r="S84" i="29" s="1"/>
  <c r="T9" i="29"/>
  <c r="T54" i="29" s="1"/>
  <c r="S25" i="29"/>
  <c r="S70" i="29" s="1"/>
  <c r="P14" i="29"/>
  <c r="P59" i="29" s="1"/>
  <c r="T31" i="29"/>
  <c r="T76" i="29" s="1"/>
  <c r="M56" i="28"/>
  <c r="M120" i="28" s="1"/>
  <c r="V8" i="8"/>
  <c r="U8" i="28" s="1"/>
  <c r="U72" i="28" s="1"/>
  <c r="O22" i="29"/>
  <c r="O67" i="29" s="1"/>
  <c r="P12" i="29"/>
  <c r="P57" i="29" s="1"/>
  <c r="P42" i="29"/>
  <c r="P87" i="29" s="1"/>
  <c r="T8" i="29"/>
  <c r="T53" i="29" s="1"/>
  <c r="T32" i="29"/>
  <c r="T77" i="29" s="1"/>
  <c r="S35" i="29"/>
  <c r="S80" i="29" s="1"/>
  <c r="O11" i="29"/>
  <c r="O56" i="29" s="1"/>
  <c r="O41" i="29"/>
  <c r="O86" i="29" s="1"/>
  <c r="P13" i="29"/>
  <c r="P58" i="29" s="1"/>
  <c r="P37" i="29"/>
  <c r="P82" i="29" s="1"/>
  <c r="P32" i="29"/>
  <c r="P77" i="29" s="1"/>
  <c r="T22" i="29"/>
  <c r="T67" i="29" s="1"/>
  <c r="S21" i="29"/>
  <c r="S66" i="29" s="1"/>
  <c r="P39" i="29"/>
  <c r="P84" i="29" s="1"/>
  <c r="T27" i="29"/>
  <c r="T72" i="29" s="1"/>
  <c r="V51" i="8"/>
  <c r="U51" i="28" s="1"/>
  <c r="U115" i="28" s="1"/>
  <c r="O13" i="29"/>
  <c r="O58" i="29" s="1"/>
  <c r="O32" i="29"/>
  <c r="O77" i="29" s="1"/>
  <c r="P9" i="29"/>
  <c r="P54" i="29" s="1"/>
  <c r="P27" i="29"/>
  <c r="P72" i="29" s="1"/>
  <c r="T17" i="29"/>
  <c r="T62" i="29" s="1"/>
  <c r="S16" i="29"/>
  <c r="S61" i="29" s="1"/>
  <c r="M28" i="28"/>
  <c r="M92" i="28" s="1"/>
  <c r="S18" i="29"/>
  <c r="S63" i="29" s="1"/>
  <c r="O14" i="29"/>
  <c r="O59" i="29" s="1"/>
  <c r="P22" i="29"/>
  <c r="P67" i="29" s="1"/>
  <c r="M27" i="8"/>
  <c r="M27" i="28" s="1"/>
  <c r="M91" i="28" s="1"/>
  <c r="O20" i="29"/>
  <c r="O65" i="29" s="1"/>
  <c r="T36" i="29"/>
  <c r="T81" i="29" s="1"/>
  <c r="V5" i="29"/>
  <c r="V50" i="29" s="1"/>
  <c r="T28" i="29"/>
  <c r="T73" i="29" s="1"/>
  <c r="S17" i="29"/>
  <c r="S62" i="29" s="1"/>
  <c r="O17" i="29"/>
  <c r="O62" i="29" s="1"/>
  <c r="P25" i="29"/>
  <c r="P70" i="29" s="1"/>
  <c r="M37" i="28"/>
  <c r="M101" i="28" s="1"/>
  <c r="S44" i="29"/>
  <c r="S89" i="29" s="1"/>
  <c r="O6" i="29"/>
  <c r="O51" i="29" s="1"/>
  <c r="O40" i="29"/>
  <c r="O85" i="29" s="1"/>
  <c r="M45" i="8"/>
  <c r="M45" i="28" s="1"/>
  <c r="M109" i="28" s="1"/>
  <c r="P15" i="29"/>
  <c r="P60" i="29" s="1"/>
  <c r="S37" i="29"/>
  <c r="S82" i="29" s="1"/>
  <c r="O16" i="29"/>
  <c r="O61" i="29" s="1"/>
  <c r="P33" i="29"/>
  <c r="P78" i="29" s="1"/>
  <c r="O12" i="29"/>
  <c r="O57" i="29" s="1"/>
  <c r="N46" i="24"/>
  <c r="O5" i="29"/>
  <c r="O50" i="29" s="1"/>
  <c r="N46" i="12"/>
  <c r="H7" i="31"/>
  <c r="H13" i="31" s="1"/>
  <c r="H9" i="31"/>
  <c r="T44" i="29"/>
  <c r="T89" i="29" s="1"/>
  <c r="O19" i="29"/>
  <c r="O64" i="29" s="1"/>
  <c r="O21" i="29"/>
  <c r="O66" i="29" s="1"/>
  <c r="P43" i="29"/>
  <c r="P88" i="29" s="1"/>
  <c r="T29" i="29"/>
  <c r="T74" i="29" s="1"/>
  <c r="T38" i="29"/>
  <c r="T83" i="29" s="1"/>
  <c r="M31" i="28"/>
  <c r="M95" i="28" s="1"/>
  <c r="O27" i="29"/>
  <c r="O72" i="29" s="1"/>
  <c r="P18" i="29"/>
  <c r="P63" i="29" s="1"/>
  <c r="T19" i="29"/>
  <c r="T64" i="29" s="1"/>
  <c r="S23" i="29"/>
  <c r="S68" i="29" s="1"/>
  <c r="S30" i="29"/>
  <c r="S75" i="29" s="1"/>
  <c r="U36" i="28"/>
  <c r="U100" i="28" s="1"/>
  <c r="M7" i="28"/>
  <c r="M71" i="28" s="1"/>
  <c r="P35" i="29"/>
  <c r="P80" i="29" s="1"/>
  <c r="T10" i="29"/>
  <c r="T55" i="29" s="1"/>
  <c r="T25" i="29"/>
  <c r="T70" i="29" s="1"/>
  <c r="W28" i="12"/>
  <c r="M12" i="28"/>
  <c r="M76" i="28" s="1"/>
  <c r="M16" i="28"/>
  <c r="M80" i="28" s="1"/>
  <c r="T13" i="29"/>
  <c r="T58" i="29" s="1"/>
  <c r="M10" i="28"/>
  <c r="M74" i="28" s="1"/>
  <c r="S34" i="29"/>
  <c r="S79" i="29" s="1"/>
  <c r="M63" i="28"/>
  <c r="M127" i="28" s="1"/>
  <c r="M30" i="28"/>
  <c r="M94" i="28" s="1"/>
  <c r="O8" i="29"/>
  <c r="O53" i="29" s="1"/>
  <c r="O31" i="29"/>
  <c r="O76" i="29" s="1"/>
  <c r="P20" i="29"/>
  <c r="P65" i="29" s="1"/>
  <c r="M6" i="28"/>
  <c r="M70" i="28" s="1"/>
  <c r="W19" i="13"/>
  <c r="O36" i="29"/>
  <c r="O81" i="29" s="1"/>
  <c r="P5" i="29"/>
  <c r="P50" i="29" s="1"/>
  <c r="P38" i="29"/>
  <c r="P83" i="29" s="1"/>
  <c r="S15" i="29"/>
  <c r="S60" i="29" s="1"/>
  <c r="O9" i="29"/>
  <c r="O54" i="29" s="1"/>
  <c r="O42" i="29"/>
  <c r="O87" i="29" s="1"/>
  <c r="P8" i="29"/>
  <c r="P53" i="29" s="1"/>
  <c r="P19" i="29"/>
  <c r="P64" i="29" s="1"/>
  <c r="O26" i="29"/>
  <c r="O71" i="29" s="1"/>
  <c r="O7" i="29"/>
  <c r="O52" i="29" s="1"/>
  <c r="P24" i="29"/>
  <c r="P69" i="29" s="1"/>
  <c r="T37" i="29"/>
  <c r="T82" i="29" s="1"/>
  <c r="S26" i="29"/>
  <c r="S71" i="29" s="1"/>
  <c r="P11" i="29"/>
  <c r="P56" i="29" s="1"/>
  <c r="P28" i="29"/>
  <c r="P73" i="29" s="1"/>
  <c r="T18" i="29"/>
  <c r="T63" i="29" s="1"/>
  <c r="T24" i="29"/>
  <c r="T69" i="29" s="1"/>
  <c r="S27" i="29"/>
  <c r="S72" i="29" s="1"/>
  <c r="W23" i="24"/>
  <c r="M13" i="28"/>
  <c r="M77" i="28" s="1"/>
  <c r="M47" i="28"/>
  <c r="M111" i="28" s="1"/>
  <c r="S14" i="29"/>
  <c r="S59" i="29" s="1"/>
  <c r="M14" i="28"/>
  <c r="M78" i="28" s="1"/>
  <c r="O30" i="29"/>
  <c r="O75" i="29" s="1"/>
  <c r="P7" i="29"/>
  <c r="P52" i="29" s="1"/>
  <c r="F11" i="31" s="1"/>
  <c r="P44" i="29"/>
  <c r="P89" i="29" s="1"/>
  <c r="S40" i="29"/>
  <c r="S85" i="29" s="1"/>
  <c r="O29" i="29"/>
  <c r="O74" i="29" s="1"/>
  <c r="P36" i="29"/>
  <c r="P81" i="29" s="1"/>
  <c r="W29" i="13"/>
  <c r="O24" i="29"/>
  <c r="O69" i="29" s="1"/>
  <c r="P23" i="29"/>
  <c r="P68" i="29" s="1"/>
  <c r="T11" i="29"/>
  <c r="T56" i="29" s="1"/>
  <c r="T33" i="29"/>
  <c r="T78" i="29" s="1"/>
  <c r="S13" i="29"/>
  <c r="S58" i="29" s="1"/>
  <c r="C14" i="31"/>
  <c r="AD6" i="8"/>
  <c r="AA6" i="28"/>
  <c r="AA70" i="28" s="1"/>
  <c r="X48" i="24"/>
  <c r="AE67" i="23"/>
  <c r="AO66" i="23" s="1"/>
  <c r="S43" i="23"/>
  <c r="S28" i="23"/>
  <c r="S34" i="23"/>
  <c r="S52" i="23"/>
  <c r="S56" i="23"/>
  <c r="S8" i="23"/>
  <c r="S29" i="23"/>
  <c r="S17" i="23"/>
  <c r="S39" i="23"/>
  <c r="S49" i="23"/>
  <c r="S19" i="23"/>
  <c r="S9" i="23"/>
  <c r="S47" i="23"/>
  <c r="S37" i="23"/>
  <c r="S62" i="23"/>
  <c r="S6" i="23"/>
  <c r="S55" i="23"/>
  <c r="S38" i="23"/>
  <c r="S31" i="23"/>
  <c r="S35" i="23"/>
  <c r="S45" i="23"/>
  <c r="S22" i="23"/>
  <c r="S5" i="23"/>
  <c r="S42" i="23"/>
  <c r="S14" i="23"/>
  <c r="S57" i="23"/>
  <c r="S15" i="23"/>
  <c r="S53" i="23"/>
  <c r="S51" i="23"/>
  <c r="S16" i="23"/>
  <c r="S60" i="23"/>
  <c r="S24" i="23"/>
  <c r="S30" i="23"/>
  <c r="S25" i="23"/>
  <c r="S54" i="23"/>
  <c r="S63" i="23"/>
  <c r="S7" i="23"/>
  <c r="S21" i="23"/>
  <c r="S32" i="23"/>
  <c r="S20" i="23"/>
  <c r="S41" i="23"/>
  <c r="S13" i="23"/>
  <c r="S33" i="23"/>
  <c r="S18" i="23"/>
  <c r="S48" i="23"/>
  <c r="S36" i="23"/>
  <c r="S59" i="23"/>
  <c r="S10" i="23"/>
  <c r="S58" i="23"/>
  <c r="S26" i="23"/>
  <c r="S61" i="23"/>
  <c r="S23" i="23"/>
  <c r="S46" i="23"/>
  <c r="S12" i="23"/>
  <c r="S44" i="23"/>
  <c r="S27" i="23"/>
  <c r="S11" i="23"/>
  <c r="S40" i="23"/>
  <c r="S50" i="23"/>
  <c r="AD63" i="8"/>
  <c r="AA63" i="28"/>
  <c r="AA127" i="28" s="1"/>
  <c r="F9" i="30"/>
  <c r="AD52" i="8"/>
  <c r="AA52" i="28"/>
  <c r="AA116" i="28" s="1"/>
  <c r="AD14" i="8"/>
  <c r="AA14" i="28"/>
  <c r="AA78" i="28" s="1"/>
  <c r="M49" i="8"/>
  <c r="M49" i="28" s="1"/>
  <c r="M113" i="28" s="1"/>
  <c r="M49" i="23"/>
  <c r="AD43" i="8"/>
  <c r="AA43" i="28"/>
  <c r="AA107" i="28" s="1"/>
  <c r="AD20" i="8"/>
  <c r="AA20" i="28"/>
  <c r="AA84" i="28" s="1"/>
  <c r="W24" i="12"/>
  <c r="N46" i="13"/>
  <c r="V35" i="23"/>
  <c r="V11" i="29"/>
  <c r="V56" i="29" s="1"/>
  <c r="V31" i="29"/>
  <c r="V76" i="29" s="1"/>
  <c r="M6" i="23"/>
  <c r="V8" i="23"/>
  <c r="AB8" i="23" s="1"/>
  <c r="M58" i="23"/>
  <c r="V5" i="23"/>
  <c r="AB5" i="23" s="1"/>
  <c r="V57" i="23"/>
  <c r="AB57" i="23" s="1"/>
  <c r="V42" i="29"/>
  <c r="V87" i="29" s="1"/>
  <c r="AH65" i="23"/>
  <c r="V27" i="23"/>
  <c r="AB27" i="23" s="1"/>
  <c r="S32" i="29"/>
  <c r="S77" i="29" s="1"/>
  <c r="V12" i="29"/>
  <c r="V57" i="29" s="1"/>
  <c r="V21" i="29"/>
  <c r="V66" i="29" s="1"/>
  <c r="M26" i="23"/>
  <c r="D11" i="31"/>
  <c r="M56" i="23"/>
  <c r="V11" i="23"/>
  <c r="V43" i="23"/>
  <c r="M45" i="23"/>
  <c r="M12" i="23"/>
  <c r="M15" i="23"/>
  <c r="M19" i="23"/>
  <c r="V20" i="23"/>
  <c r="AB20" i="23" s="1"/>
  <c r="V63" i="23"/>
  <c r="W43" i="24"/>
  <c r="V10" i="29"/>
  <c r="V55" i="29" s="1"/>
  <c r="M18" i="23"/>
  <c r="V8" i="29"/>
  <c r="V53" i="29" s="1"/>
  <c r="V38" i="29"/>
  <c r="V83" i="29" s="1"/>
  <c r="M28" i="23"/>
  <c r="B9" i="30"/>
  <c r="B7" i="30"/>
  <c r="B13" i="30" s="1"/>
  <c r="B11" i="30"/>
  <c r="V13" i="8"/>
  <c r="U13" i="28" s="1"/>
  <c r="U77" i="28" s="1"/>
  <c r="V35" i="8"/>
  <c r="U35" i="28" s="1"/>
  <c r="U99" i="28" s="1"/>
  <c r="AB9" i="9"/>
  <c r="V55" i="8"/>
  <c r="U55" i="28" s="1"/>
  <c r="U119" i="28" s="1"/>
  <c r="W38" i="12"/>
  <c r="J7" i="30"/>
  <c r="J13" i="30" s="1"/>
  <c r="J11" i="30"/>
  <c r="AD33" i="8"/>
  <c r="AA33" i="28"/>
  <c r="AA97" i="28" s="1"/>
  <c r="AD32" i="8"/>
  <c r="AA32" i="28"/>
  <c r="AA96" i="28" s="1"/>
  <c r="AD10" i="8"/>
  <c r="AA10" i="28"/>
  <c r="AA74" i="28" s="1"/>
  <c r="AD47" i="8"/>
  <c r="AA47" i="28"/>
  <c r="AA111" i="28" s="1"/>
  <c r="X9" i="28"/>
  <c r="X73" i="28" s="1"/>
  <c r="G7" i="30"/>
  <c r="G13" i="30" s="1"/>
  <c r="G11" i="30"/>
  <c r="X10" i="28"/>
  <c r="X74" i="28" s="1"/>
  <c r="X14" i="28"/>
  <c r="X78" i="28" s="1"/>
  <c r="AD55" i="8"/>
  <c r="AA55" i="28"/>
  <c r="AA119" i="28" s="1"/>
  <c r="D14" i="31"/>
  <c r="P15" i="30"/>
  <c r="N15" i="29"/>
  <c r="N60" i="29" s="1"/>
  <c r="D7" i="31" s="1"/>
  <c r="D13" i="31" s="1"/>
  <c r="V12" i="23"/>
  <c r="AB12" i="23" s="1"/>
  <c r="M30" i="23"/>
  <c r="T20" i="29"/>
  <c r="T65" i="29" s="1"/>
  <c r="S12" i="29"/>
  <c r="S57" i="29" s="1"/>
  <c r="V26" i="29"/>
  <c r="V71" i="29" s="1"/>
  <c r="AD58" i="8"/>
  <c r="AA58" i="28"/>
  <c r="AA122" i="28" s="1"/>
  <c r="M17" i="23"/>
  <c r="T26" i="29"/>
  <c r="T71" i="29" s="1"/>
  <c r="S9" i="29"/>
  <c r="S54" i="29" s="1"/>
  <c r="M62" i="23"/>
  <c r="M13" i="23"/>
  <c r="M47" i="23"/>
  <c r="V23" i="29"/>
  <c r="V68" i="29" s="1"/>
  <c r="T23" i="29"/>
  <c r="T68" i="29" s="1"/>
  <c r="M8" i="23"/>
  <c r="V62" i="23"/>
  <c r="AB62" i="23" s="1"/>
  <c r="AI65" i="23"/>
  <c r="V36" i="29"/>
  <c r="V81" i="29" s="1"/>
  <c r="T41" i="29"/>
  <c r="T86" i="29" s="1"/>
  <c r="V16" i="23"/>
  <c r="AB16" i="23" s="1"/>
  <c r="V40" i="23"/>
  <c r="AB40" i="23" s="1"/>
  <c r="U65" i="23"/>
  <c r="AD28" i="8"/>
  <c r="AA28" i="28"/>
  <c r="AA92" i="28" s="1"/>
  <c r="X56" i="28"/>
  <c r="X120" i="28" s="1"/>
  <c r="E11" i="30"/>
  <c r="E7" i="30"/>
  <c r="E13" i="30" s="1"/>
  <c r="L65" i="23"/>
  <c r="V28" i="29"/>
  <c r="V73" i="29" s="1"/>
  <c r="T11" i="30"/>
  <c r="T7" i="30"/>
  <c r="T13" i="30" s="1"/>
  <c r="V52" i="23"/>
  <c r="S31" i="29"/>
  <c r="S76" i="29" s="1"/>
  <c r="P65" i="23"/>
  <c r="Y65" i="23"/>
  <c r="V19" i="23"/>
  <c r="AB19" i="23" s="1"/>
  <c r="V38" i="23"/>
  <c r="V35" i="29"/>
  <c r="V80" i="29" s="1"/>
  <c r="V61" i="23"/>
  <c r="V17" i="29"/>
  <c r="V62" i="29" s="1"/>
  <c r="M55" i="23"/>
  <c r="V45" i="23"/>
  <c r="AB45" i="23" s="1"/>
  <c r="V59" i="23"/>
  <c r="AB59" i="23" s="1"/>
  <c r="S22" i="29"/>
  <c r="S67" i="29" s="1"/>
  <c r="P46" i="24"/>
  <c r="M29" i="23"/>
  <c r="M36" i="23"/>
  <c r="W42" i="24"/>
  <c r="M22" i="23"/>
  <c r="V26" i="23"/>
  <c r="AB26" i="23" s="1"/>
  <c r="V46" i="23"/>
  <c r="M41" i="23"/>
  <c r="V43" i="29"/>
  <c r="V88" i="29" s="1"/>
  <c r="V19" i="29"/>
  <c r="V64" i="29" s="1"/>
  <c r="M10" i="23"/>
  <c r="AD37" i="8"/>
  <c r="AA37" i="28"/>
  <c r="AA101" i="28" s="1"/>
  <c r="AD19" i="8"/>
  <c r="AA19" i="28"/>
  <c r="AA83" i="28" s="1"/>
  <c r="M9" i="8"/>
  <c r="M9" i="28" s="1"/>
  <c r="M73" i="28" s="1"/>
  <c r="U11" i="30"/>
  <c r="U7" i="30"/>
  <c r="U13" i="30" s="1"/>
  <c r="U9" i="30"/>
  <c r="AD50" i="8"/>
  <c r="AA50" i="28"/>
  <c r="AA114" i="28" s="1"/>
  <c r="AD41" i="8"/>
  <c r="AA41" i="28"/>
  <c r="AA105" i="28" s="1"/>
  <c r="AD18" i="8"/>
  <c r="AA18" i="28"/>
  <c r="AA82" i="28" s="1"/>
  <c r="AB11" i="23"/>
  <c r="V18" i="23"/>
  <c r="AB18" i="23" s="1"/>
  <c r="V51" i="23"/>
  <c r="AB51" i="23" s="1"/>
  <c r="M39" i="23"/>
  <c r="M46" i="23"/>
  <c r="V25" i="23"/>
  <c r="V14" i="23"/>
  <c r="AB14" i="23" s="1"/>
  <c r="V24" i="29"/>
  <c r="V69" i="29" s="1"/>
  <c r="M27" i="23"/>
  <c r="M23" i="23"/>
  <c r="M57" i="23"/>
  <c r="M11" i="23"/>
  <c r="V32" i="23"/>
  <c r="AB32" i="23" s="1"/>
  <c r="M16" i="23"/>
  <c r="W19" i="24"/>
  <c r="V7" i="29"/>
  <c r="V52" i="29" s="1"/>
  <c r="V44" i="29"/>
  <c r="V89" i="29" s="1"/>
  <c r="T42" i="29"/>
  <c r="T87" i="29" s="1"/>
  <c r="M31" i="23"/>
  <c r="V30" i="23"/>
  <c r="AB30" i="23" s="1"/>
  <c r="V34" i="23"/>
  <c r="AB34" i="23" s="1"/>
  <c r="S36" i="29"/>
  <c r="S81" i="29" s="1"/>
  <c r="V34" i="29"/>
  <c r="V79" i="29" s="1"/>
  <c r="X51" i="24"/>
  <c r="M20" i="23"/>
  <c r="V22" i="23"/>
  <c r="V56" i="23"/>
  <c r="AB56" i="23" s="1"/>
  <c r="M52" i="23"/>
  <c r="AB46" i="23"/>
  <c r="AD56" i="8"/>
  <c r="AA56" i="28"/>
  <c r="AA120" i="28" s="1"/>
  <c r="AD42" i="8"/>
  <c r="AA42" i="28"/>
  <c r="AA106" i="28" s="1"/>
  <c r="AD7" i="8"/>
  <c r="AA7" i="28"/>
  <c r="AA71" i="28" s="1"/>
  <c r="F11" i="30"/>
  <c r="F7" i="30"/>
  <c r="F13" i="30" s="1"/>
  <c r="M11" i="30"/>
  <c r="M7" i="30"/>
  <c r="M13" i="30" s="1"/>
  <c r="M9" i="30"/>
  <c r="AD26" i="8"/>
  <c r="AA26" i="28"/>
  <c r="AA90" i="28" s="1"/>
  <c r="V29" i="23"/>
  <c r="AB29" i="23" s="1"/>
  <c r="S24" i="29"/>
  <c r="S69" i="29" s="1"/>
  <c r="V16" i="29"/>
  <c r="V61" i="29" s="1"/>
  <c r="O65" i="23"/>
  <c r="S6" i="29"/>
  <c r="S51" i="29" s="1"/>
  <c r="S28" i="29"/>
  <c r="S73" i="29" s="1"/>
  <c r="M33" i="23"/>
  <c r="V10" i="23"/>
  <c r="AB10" i="23" s="1"/>
  <c r="V33" i="29"/>
  <c r="V78" i="29" s="1"/>
  <c r="M32" i="23"/>
  <c r="V58" i="23"/>
  <c r="AB58" i="23" s="1"/>
  <c r="V15" i="29"/>
  <c r="V60" i="29" s="1"/>
  <c r="M60" i="23"/>
  <c r="V23" i="23"/>
  <c r="AB23" i="23" s="1"/>
  <c r="V33" i="23"/>
  <c r="AB33" i="23" s="1"/>
  <c r="V39" i="29"/>
  <c r="V84" i="29" s="1"/>
  <c r="X65" i="23"/>
  <c r="V40" i="29"/>
  <c r="V85" i="29" s="1"/>
  <c r="W28" i="13"/>
  <c r="AD22" i="8"/>
  <c r="AA22" i="28"/>
  <c r="AA86" i="28" s="1"/>
  <c r="E9" i="30"/>
  <c r="AD21" i="8"/>
  <c r="AA21" i="28"/>
  <c r="AA85" i="28" s="1"/>
  <c r="AD40" i="8"/>
  <c r="AA40" i="28"/>
  <c r="AA104" i="28" s="1"/>
  <c r="V54" i="8"/>
  <c r="U54" i="28" s="1"/>
  <c r="U118" i="28" s="1"/>
  <c r="W29" i="12"/>
  <c r="W65" i="8"/>
  <c r="V5" i="28"/>
  <c r="V69" i="28" s="1"/>
  <c r="X44" i="28"/>
  <c r="X108" i="28" s="1"/>
  <c r="W30" i="12"/>
  <c r="W19" i="12"/>
  <c r="AD57" i="8"/>
  <c r="AA57" i="28"/>
  <c r="AA121" i="28" s="1"/>
  <c r="AB24" i="9"/>
  <c r="W20" i="13"/>
  <c r="M41" i="8"/>
  <c r="M41" i="28" s="1"/>
  <c r="M105" i="28" s="1"/>
  <c r="M62" i="8"/>
  <c r="M62" i="28" s="1"/>
  <c r="M126" i="28" s="1"/>
  <c r="M46" i="8"/>
  <c r="M46" i="28" s="1"/>
  <c r="M110" i="28" s="1"/>
  <c r="AD11" i="8"/>
  <c r="AA11" i="28"/>
  <c r="AA75" i="28" s="1"/>
  <c r="J9" i="30"/>
  <c r="X61" i="28"/>
  <c r="X125" i="28" s="1"/>
  <c r="T30" i="29"/>
  <c r="T75" i="29" s="1"/>
  <c r="W65" i="23"/>
  <c r="V36" i="23"/>
  <c r="AB36" i="23" s="1"/>
  <c r="V9" i="23"/>
  <c r="AB9" i="23" s="1"/>
  <c r="V41" i="23"/>
  <c r="AB41" i="23" s="1"/>
  <c r="V54" i="23"/>
  <c r="AB54" i="23" s="1"/>
  <c r="V6" i="29"/>
  <c r="V51" i="29" s="1"/>
  <c r="L9" i="31" s="1"/>
  <c r="V20" i="29"/>
  <c r="V65" i="29" s="1"/>
  <c r="AD5" i="23"/>
  <c r="AD65" i="23" s="1"/>
  <c r="AC65" i="23"/>
  <c r="X59" i="28"/>
  <c r="X123" i="28" s="1"/>
  <c r="M59" i="23"/>
  <c r="M61" i="23"/>
  <c r="V15" i="23"/>
  <c r="AB15" i="23" s="1"/>
  <c r="S38" i="29"/>
  <c r="S83" i="29" s="1"/>
  <c r="M53" i="23"/>
  <c r="M48" i="23"/>
  <c r="V47" i="23"/>
  <c r="AB47" i="23" s="1"/>
  <c r="V27" i="29"/>
  <c r="V72" i="29" s="1"/>
  <c r="X17" i="28"/>
  <c r="X81" i="28" s="1"/>
  <c r="M25" i="23"/>
  <c r="M34" i="23"/>
  <c r="V24" i="23"/>
  <c r="AB24" i="23" s="1"/>
  <c r="V44" i="23"/>
  <c r="AB44" i="23" s="1"/>
  <c r="V13" i="29"/>
  <c r="V58" i="29" s="1"/>
  <c r="V32" i="29"/>
  <c r="V77" i="29" s="1"/>
  <c r="T34" i="29"/>
  <c r="T79" i="29" s="1"/>
  <c r="AA5" i="24"/>
  <c r="AA46" i="24" s="1"/>
  <c r="Z46" i="24"/>
  <c r="V37" i="23"/>
  <c r="AB37" i="23" s="1"/>
  <c r="V53" i="23"/>
  <c r="AB53" i="23" s="1"/>
  <c r="T9" i="30"/>
  <c r="AB61" i="23"/>
  <c r="AB22" i="23"/>
  <c r="AB43" i="23"/>
  <c r="AB63" i="23"/>
  <c r="W34" i="13"/>
  <c r="AD35" i="8"/>
  <c r="AA35" i="28"/>
  <c r="AA99" i="28" s="1"/>
  <c r="AD54" i="8"/>
  <c r="AA54" i="28"/>
  <c r="AA118" i="28" s="1"/>
  <c r="AD53" i="8"/>
  <c r="AA53" i="28"/>
  <c r="AA117" i="28" s="1"/>
  <c r="L51" i="10"/>
  <c r="X52" i="28"/>
  <c r="X116" i="28" s="1"/>
  <c r="V39" i="23"/>
  <c r="AB39" i="23" s="1"/>
  <c r="V14" i="29"/>
  <c r="V59" i="29" s="1"/>
  <c r="M21" i="23"/>
  <c r="M44" i="23"/>
  <c r="M14" i="23"/>
  <c r="V31" i="23"/>
  <c r="AB31" i="23" s="1"/>
  <c r="V42" i="23"/>
  <c r="AB42" i="23" s="1"/>
  <c r="M42" i="23"/>
  <c r="V9" i="29"/>
  <c r="V54" i="29" s="1"/>
  <c r="V29" i="29"/>
  <c r="V74" i="29" s="1"/>
  <c r="V48" i="23"/>
  <c r="AB48" i="23" s="1"/>
  <c r="G9" i="31"/>
  <c r="G7" i="31"/>
  <c r="G13" i="31" s="1"/>
  <c r="G11" i="31"/>
  <c r="V30" i="29"/>
  <c r="V75" i="29" s="1"/>
  <c r="M5" i="23"/>
  <c r="M38" i="23"/>
  <c r="M24" i="23"/>
  <c r="V28" i="23"/>
  <c r="AB28" i="23" s="1"/>
  <c r="M51" i="23"/>
  <c r="M35" i="23"/>
  <c r="M7" i="23"/>
  <c r="V21" i="23"/>
  <c r="AB21" i="23" s="1"/>
  <c r="V49" i="23"/>
  <c r="AB49" i="23" s="1"/>
  <c r="V41" i="29"/>
  <c r="V86" i="29" s="1"/>
  <c r="M40" i="23"/>
  <c r="M54" i="23"/>
  <c r="V46" i="24"/>
  <c r="V22" i="29"/>
  <c r="V67" i="29" s="1"/>
  <c r="AB35" i="23"/>
  <c r="F29" i="5"/>
  <c r="AM68" i="23" s="1"/>
  <c r="T68" i="23"/>
  <c r="R25" i="23"/>
  <c r="R58" i="23"/>
  <c r="R28" i="23"/>
  <c r="R34" i="23"/>
  <c r="R52" i="23"/>
  <c r="R56" i="23"/>
  <c r="R29" i="23"/>
  <c r="R17" i="23"/>
  <c r="R16" i="23"/>
  <c r="R55" i="23"/>
  <c r="R19" i="23"/>
  <c r="R9" i="23"/>
  <c r="R31" i="23"/>
  <c r="R62" i="23"/>
  <c r="R5" i="23"/>
  <c r="R42" i="23"/>
  <c r="R13" i="23"/>
  <c r="R6" i="23"/>
  <c r="R38" i="23"/>
  <c r="R54" i="23"/>
  <c r="R22" i="23"/>
  <c r="R53" i="23"/>
  <c r="R57" i="23"/>
  <c r="R10" i="23"/>
  <c r="R18" i="23"/>
  <c r="R14" i="23"/>
  <c r="R47" i="23"/>
  <c r="R12" i="23"/>
  <c r="R37" i="23"/>
  <c r="R7" i="23"/>
  <c r="R43" i="23"/>
  <c r="R50" i="23"/>
  <c r="R30" i="23"/>
  <c r="R8" i="23"/>
  <c r="R49" i="23"/>
  <c r="R63" i="23"/>
  <c r="R15" i="23"/>
  <c r="R48" i="23"/>
  <c r="R21" i="23"/>
  <c r="R32" i="23"/>
  <c r="R20" i="23"/>
  <c r="R41" i="23"/>
  <c r="R27" i="23"/>
  <c r="R40" i="23"/>
  <c r="R33" i="23"/>
  <c r="R61" i="23"/>
  <c r="R39" i="23"/>
  <c r="R46" i="23"/>
  <c r="R36" i="23"/>
  <c r="R35" i="23"/>
  <c r="R45" i="23"/>
  <c r="R26" i="23"/>
  <c r="R23" i="23"/>
  <c r="R44" i="23"/>
  <c r="R11" i="23"/>
  <c r="R51" i="23"/>
  <c r="R60" i="23"/>
  <c r="R24" i="23"/>
  <c r="R59" i="23"/>
  <c r="AD49" i="8"/>
  <c r="AA49" i="28"/>
  <c r="AA113" i="28" s="1"/>
  <c r="AD23" i="8"/>
  <c r="AA23" i="28"/>
  <c r="AA87" i="28" s="1"/>
  <c r="AD27" i="8"/>
  <c r="AA27" i="28"/>
  <c r="AA91" i="28" s="1"/>
  <c r="AD39" i="8"/>
  <c r="AA39" i="28"/>
  <c r="AA103" i="28" s="1"/>
  <c r="G9" i="30"/>
  <c r="AD16" i="8"/>
  <c r="AA16" i="28"/>
  <c r="AA80" i="28" s="1"/>
  <c r="AD38" i="8"/>
  <c r="AA38" i="28"/>
  <c r="AA102" i="28" s="1"/>
  <c r="AD15" i="8"/>
  <c r="AA15" i="28"/>
  <c r="AA79" i="28" s="1"/>
  <c r="X45" i="28"/>
  <c r="X109" i="28" s="1"/>
  <c r="X53" i="28"/>
  <c r="X117" i="28" s="1"/>
  <c r="AB52" i="23"/>
  <c r="V13" i="23"/>
  <c r="AB13" i="23" s="1"/>
  <c r="V55" i="23"/>
  <c r="AB55" i="23" s="1"/>
  <c r="S33" i="29"/>
  <c r="S78" i="29" s="1"/>
  <c r="V37" i="29"/>
  <c r="V82" i="29" s="1"/>
  <c r="M43" i="23"/>
  <c r="X19" i="28"/>
  <c r="X83" i="28" s="1"/>
  <c r="S7" i="29"/>
  <c r="S52" i="29" s="1"/>
  <c r="S29" i="29"/>
  <c r="S74" i="29" s="1"/>
  <c r="M9" i="23"/>
  <c r="X47" i="28"/>
  <c r="X111" i="28" s="1"/>
  <c r="V6" i="23"/>
  <c r="AB6" i="23" s="1"/>
  <c r="M63" i="23"/>
  <c r="M37" i="23"/>
  <c r="V25" i="29"/>
  <c r="V70" i="29" s="1"/>
  <c r="O46" i="24"/>
  <c r="M50" i="23"/>
  <c r="V7" i="23"/>
  <c r="AB7" i="23" s="1"/>
  <c r="V60" i="23"/>
  <c r="AB60" i="23" s="1"/>
  <c r="V18" i="29"/>
  <c r="V63" i="29" s="1"/>
  <c r="C7" i="31"/>
  <c r="C13" i="31" s="1"/>
  <c r="C11" i="31"/>
  <c r="T40" i="29"/>
  <c r="T85" i="29" s="1"/>
  <c r="U46" i="24"/>
  <c r="T5" i="29"/>
  <c r="T50" i="29" s="1"/>
  <c r="V17" i="23"/>
  <c r="AB17" i="23" s="1"/>
  <c r="V50" i="23"/>
  <c r="AB50" i="23" s="1"/>
  <c r="AB38" i="23"/>
  <c r="AB25" i="23"/>
  <c r="Q65" i="23"/>
  <c r="AQ11" i="23"/>
  <c r="AQ23" i="23"/>
  <c r="O46" i="12"/>
  <c r="W38" i="13"/>
  <c r="W35" i="13"/>
  <c r="M50" i="8"/>
  <c r="M50" i="28" s="1"/>
  <c r="M114" i="28" s="1"/>
  <c r="AB28" i="9"/>
  <c r="AH65" i="8"/>
  <c r="W35" i="12"/>
  <c r="W13" i="12"/>
  <c r="W37" i="13"/>
  <c r="W26" i="13"/>
  <c r="W17" i="13"/>
  <c r="V58" i="8"/>
  <c r="U58" i="28" s="1"/>
  <c r="U122" i="28" s="1"/>
  <c r="W14" i="12"/>
  <c r="W17" i="12"/>
  <c r="M48" i="8"/>
  <c r="M48" i="28" s="1"/>
  <c r="M112" i="28" s="1"/>
  <c r="W8" i="13"/>
  <c r="X65" i="8"/>
  <c r="W8" i="12"/>
  <c r="W27" i="13"/>
  <c r="AB10" i="9"/>
  <c r="V32" i="8"/>
  <c r="U32" i="28" s="1"/>
  <c r="U96" i="28" s="1"/>
  <c r="W10" i="13"/>
  <c r="AB62" i="9"/>
  <c r="W15" i="13"/>
  <c r="W18" i="12"/>
  <c r="V10" i="8"/>
  <c r="U10" i="28" s="1"/>
  <c r="U74" i="28" s="1"/>
  <c r="W10" i="12"/>
  <c r="W15" i="12"/>
  <c r="W25" i="12"/>
  <c r="AM70" i="6"/>
  <c r="AM68" i="7"/>
  <c r="Q65" i="8"/>
  <c r="T69" i="6"/>
  <c r="T67" i="9"/>
  <c r="T67" i="8"/>
  <c r="T67" i="7"/>
  <c r="AA5" i="13"/>
  <c r="AA46" i="13" s="1"/>
  <c r="Z46" i="13"/>
  <c r="V31" i="8"/>
  <c r="V45" i="8"/>
  <c r="V62" i="8"/>
  <c r="U62" i="28" s="1"/>
  <c r="U126" i="28" s="1"/>
  <c r="U46" i="13"/>
  <c r="M5" i="8"/>
  <c r="M5" i="28" s="1"/>
  <c r="M69" i="28" s="1"/>
  <c r="M53" i="8"/>
  <c r="M53" i="28" s="1"/>
  <c r="M117" i="28" s="1"/>
  <c r="V26" i="8"/>
  <c r="U26" i="28" s="1"/>
  <c r="U90" i="28" s="1"/>
  <c r="V46" i="8"/>
  <c r="U46" i="28" s="1"/>
  <c r="U110" i="28" s="1"/>
  <c r="M36" i="8"/>
  <c r="M36" i="28" s="1"/>
  <c r="M100" i="28" s="1"/>
  <c r="V16" i="8"/>
  <c r="V40" i="8"/>
  <c r="U40" i="28" s="1"/>
  <c r="U104" i="28" s="1"/>
  <c r="O65" i="8"/>
  <c r="AB35" i="8"/>
  <c r="F46" i="5"/>
  <c r="AB49" i="24" s="1"/>
  <c r="Q49" i="13"/>
  <c r="Q49" i="12"/>
  <c r="Q49" i="11"/>
  <c r="Q49" i="10"/>
  <c r="AM68" i="6"/>
  <c r="AM66" i="9"/>
  <c r="AM66" i="7"/>
  <c r="AA5" i="12"/>
  <c r="AA46" i="12" s="1"/>
  <c r="Z46" i="12"/>
  <c r="V42" i="8"/>
  <c r="U42" i="28" s="1"/>
  <c r="U106" i="28" s="1"/>
  <c r="V15" i="8"/>
  <c r="V48" i="8"/>
  <c r="Q48" i="13"/>
  <c r="Q48" i="12"/>
  <c r="Q48" i="11"/>
  <c r="Q48" i="10"/>
  <c r="AI65" i="8"/>
  <c r="AA46" i="11"/>
  <c r="U65" i="8"/>
  <c r="V23" i="8"/>
  <c r="U23" i="28" s="1"/>
  <c r="U87" i="28" s="1"/>
  <c r="V47" i="8"/>
  <c r="W44" i="13"/>
  <c r="L9" i="11"/>
  <c r="L12" i="11"/>
  <c r="L7" i="11"/>
  <c r="L18" i="11"/>
  <c r="L10" i="11"/>
  <c r="L13" i="11"/>
  <c r="L5" i="11"/>
  <c r="L8" i="11"/>
  <c r="L11" i="11"/>
  <c r="L6" i="11"/>
  <c r="L29" i="11"/>
  <c r="L30" i="11"/>
  <c r="L31" i="11"/>
  <c r="L32" i="11"/>
  <c r="L37" i="11"/>
  <c r="L38" i="11"/>
  <c r="L40" i="11"/>
  <c r="L20" i="11"/>
  <c r="L19" i="11"/>
  <c r="L28" i="11"/>
  <c r="L17" i="11"/>
  <c r="L27" i="11"/>
  <c r="L41" i="11"/>
  <c r="L36" i="11"/>
  <c r="L16" i="11"/>
  <c r="L26" i="11"/>
  <c r="L35" i="11"/>
  <c r="L44" i="11"/>
  <c r="L25" i="11"/>
  <c r="L34" i="11"/>
  <c r="L43" i="11"/>
  <c r="L14" i="11"/>
  <c r="L15" i="11"/>
  <c r="L33" i="11"/>
  <c r="L42" i="11"/>
  <c r="L21" i="11"/>
  <c r="L22" i="11"/>
  <c r="L23" i="11"/>
  <c r="L24" i="11"/>
  <c r="L39" i="11"/>
  <c r="V30" i="8"/>
  <c r="V34" i="8"/>
  <c r="U46" i="12"/>
  <c r="W43" i="12"/>
  <c r="M26" i="8"/>
  <c r="M26" i="28" s="1"/>
  <c r="M90" i="28" s="1"/>
  <c r="M25" i="8"/>
  <c r="M25" i="28" s="1"/>
  <c r="M89" i="28" s="1"/>
  <c r="Y65" i="8"/>
  <c r="V33" i="8"/>
  <c r="P65" i="8"/>
  <c r="M35" i="8"/>
  <c r="M35" i="28" s="1"/>
  <c r="M99" i="28" s="1"/>
  <c r="M24" i="8"/>
  <c r="M24" i="28" s="1"/>
  <c r="M88" i="28" s="1"/>
  <c r="V22" i="8"/>
  <c r="U22" i="28" s="1"/>
  <c r="U86" i="28" s="1"/>
  <c r="V56" i="8"/>
  <c r="M42" i="8"/>
  <c r="M42" i="28" s="1"/>
  <c r="M106" i="28" s="1"/>
  <c r="M39" i="8"/>
  <c r="M39" i="28" s="1"/>
  <c r="M103" i="28" s="1"/>
  <c r="M44" i="8"/>
  <c r="M44" i="28" s="1"/>
  <c r="M108" i="28" s="1"/>
  <c r="M65" i="9"/>
  <c r="F47" i="5"/>
  <c r="AB13" i="8"/>
  <c r="V25" i="8"/>
  <c r="V41" i="8"/>
  <c r="V5" i="8"/>
  <c r="U5" i="28" s="1"/>
  <c r="U69" i="28" s="1"/>
  <c r="V57" i="8"/>
  <c r="V6" i="8"/>
  <c r="W44" i="12"/>
  <c r="M40" i="8"/>
  <c r="M40" i="28" s="1"/>
  <c r="M104" i="28" s="1"/>
  <c r="L50" i="12"/>
  <c r="M11" i="8"/>
  <c r="M11" i="28" s="1"/>
  <c r="M75" i="28" s="1"/>
  <c r="M58" i="8"/>
  <c r="M58" i="28" s="1"/>
  <c r="M122" i="28" s="1"/>
  <c r="M51" i="8"/>
  <c r="M51" i="28" s="1"/>
  <c r="M115" i="28" s="1"/>
  <c r="M61" i="8"/>
  <c r="M61" i="28" s="1"/>
  <c r="M125" i="28" s="1"/>
  <c r="AB36" i="8"/>
  <c r="W27" i="12"/>
  <c r="V46" i="13"/>
  <c r="V28" i="8"/>
  <c r="U28" i="28" s="1"/>
  <c r="U92" i="28" s="1"/>
  <c r="V43" i="8"/>
  <c r="M55" i="8"/>
  <c r="M55" i="28" s="1"/>
  <c r="M119" i="28" s="1"/>
  <c r="V24" i="8"/>
  <c r="V44" i="8"/>
  <c r="M33" i="8"/>
  <c r="M33" i="28" s="1"/>
  <c r="M97" i="28" s="1"/>
  <c r="V21" i="8"/>
  <c r="V49" i="8"/>
  <c r="AB51" i="8"/>
  <c r="V37" i="8"/>
  <c r="V53" i="8"/>
  <c r="M23" i="8"/>
  <c r="M23" i="28" s="1"/>
  <c r="M87" i="28" s="1"/>
  <c r="M29" i="8"/>
  <c r="M29" i="28" s="1"/>
  <c r="M93" i="28" s="1"/>
  <c r="L65" i="8"/>
  <c r="R58" i="8"/>
  <c r="R58" i="28" s="1"/>
  <c r="R122" i="28" s="1"/>
  <c r="R12" i="8"/>
  <c r="R12" i="28" s="1"/>
  <c r="R76" i="28" s="1"/>
  <c r="R22" i="8"/>
  <c r="R22" i="28" s="1"/>
  <c r="R86" i="28" s="1"/>
  <c r="R54" i="8"/>
  <c r="R54" i="28" s="1"/>
  <c r="R118" i="28" s="1"/>
  <c r="R61" i="8"/>
  <c r="R61" i="28" s="1"/>
  <c r="R125" i="28" s="1"/>
  <c r="R20" i="8"/>
  <c r="R20" i="28" s="1"/>
  <c r="R84" i="28" s="1"/>
  <c r="R7" i="8"/>
  <c r="R7" i="28" s="1"/>
  <c r="R71" i="28" s="1"/>
  <c r="R36" i="8"/>
  <c r="R13" i="8"/>
  <c r="R13" i="28" s="1"/>
  <c r="R77" i="28" s="1"/>
  <c r="R29" i="8"/>
  <c r="R29" i="28" s="1"/>
  <c r="R93" i="28" s="1"/>
  <c r="R32" i="8"/>
  <c r="R32" i="28" s="1"/>
  <c r="R96" i="28" s="1"/>
  <c r="R11" i="8"/>
  <c r="R11" i="28" s="1"/>
  <c r="R75" i="28" s="1"/>
  <c r="R43" i="8"/>
  <c r="R43" i="28" s="1"/>
  <c r="R107" i="28" s="1"/>
  <c r="R57" i="8"/>
  <c r="R57" i="28" s="1"/>
  <c r="R121" i="28" s="1"/>
  <c r="R6" i="8"/>
  <c r="R6" i="28" s="1"/>
  <c r="R70" i="28" s="1"/>
  <c r="R34" i="8"/>
  <c r="R55" i="8"/>
  <c r="R55" i="28" s="1"/>
  <c r="R119" i="28" s="1"/>
  <c r="R52" i="8"/>
  <c r="R52" i="28" s="1"/>
  <c r="R116" i="28" s="1"/>
  <c r="R51" i="8"/>
  <c r="R51" i="28" s="1"/>
  <c r="R115" i="28" s="1"/>
  <c r="R48" i="8"/>
  <c r="R48" i="28" s="1"/>
  <c r="R112" i="28" s="1"/>
  <c r="R16" i="8"/>
  <c r="R16" i="28" s="1"/>
  <c r="R80" i="28" s="1"/>
  <c r="R26" i="8"/>
  <c r="R26" i="28" s="1"/>
  <c r="R90" i="28" s="1"/>
  <c r="R50" i="8"/>
  <c r="R50" i="28" s="1"/>
  <c r="R114" i="28" s="1"/>
  <c r="R24" i="8"/>
  <c r="R24" i="28" s="1"/>
  <c r="R88" i="28" s="1"/>
  <c r="R40" i="8"/>
  <c r="R56" i="8"/>
  <c r="R56" i="28" s="1"/>
  <c r="R120" i="28" s="1"/>
  <c r="R38" i="8"/>
  <c r="R14" i="8"/>
  <c r="R14" i="28" s="1"/>
  <c r="R78" i="28" s="1"/>
  <c r="R31" i="8"/>
  <c r="R31" i="28" s="1"/>
  <c r="R95" i="28" s="1"/>
  <c r="R25" i="8"/>
  <c r="R25" i="28" s="1"/>
  <c r="R89" i="28" s="1"/>
  <c r="R45" i="8"/>
  <c r="R45" i="28" s="1"/>
  <c r="R109" i="28" s="1"/>
  <c r="R17" i="8"/>
  <c r="R17" i="28" s="1"/>
  <c r="R81" i="28" s="1"/>
  <c r="R33" i="8"/>
  <c r="R60" i="8"/>
  <c r="R60" i="28" s="1"/>
  <c r="R124" i="28" s="1"/>
  <c r="R41" i="8"/>
  <c r="R10" i="8"/>
  <c r="R10" i="28" s="1"/>
  <c r="R74" i="28" s="1"/>
  <c r="R47" i="8"/>
  <c r="R47" i="28" s="1"/>
  <c r="R111" i="28" s="1"/>
  <c r="R63" i="8"/>
  <c r="R63" i="28" s="1"/>
  <c r="R127" i="28" s="1"/>
  <c r="R23" i="8"/>
  <c r="R23" i="28" s="1"/>
  <c r="R87" i="28" s="1"/>
  <c r="R62" i="8"/>
  <c r="R62" i="28" s="1"/>
  <c r="R126" i="28" s="1"/>
  <c r="R15" i="8"/>
  <c r="R15" i="28" s="1"/>
  <c r="R79" i="28" s="1"/>
  <c r="R19" i="8"/>
  <c r="R19" i="28" s="1"/>
  <c r="R83" i="28" s="1"/>
  <c r="R8" i="8"/>
  <c r="R8" i="28" s="1"/>
  <c r="R72" i="28" s="1"/>
  <c r="R18" i="8"/>
  <c r="R18" i="28" s="1"/>
  <c r="R82" i="28" s="1"/>
  <c r="R35" i="8"/>
  <c r="R46" i="8"/>
  <c r="R46" i="28" s="1"/>
  <c r="R110" i="28" s="1"/>
  <c r="R44" i="8"/>
  <c r="R44" i="28" s="1"/>
  <c r="R108" i="28" s="1"/>
  <c r="R28" i="8"/>
  <c r="R28" i="28" s="1"/>
  <c r="R92" i="28" s="1"/>
  <c r="R5" i="8"/>
  <c r="R5" i="28" s="1"/>
  <c r="R69" i="28" s="1"/>
  <c r="R9" i="8"/>
  <c r="R9" i="28" s="1"/>
  <c r="R73" i="28" s="1"/>
  <c r="R39" i="8"/>
  <c r="R49" i="8"/>
  <c r="R49" i="28" s="1"/>
  <c r="R113" i="28" s="1"/>
  <c r="R21" i="8"/>
  <c r="R21" i="28" s="1"/>
  <c r="R85" i="28" s="1"/>
  <c r="R37" i="8"/>
  <c r="R37" i="28" s="1"/>
  <c r="R101" i="28" s="1"/>
  <c r="R59" i="8"/>
  <c r="R59" i="28" s="1"/>
  <c r="R123" i="28" s="1"/>
  <c r="R27" i="8"/>
  <c r="R27" i="28" s="1"/>
  <c r="R91" i="28" s="1"/>
  <c r="R30" i="8"/>
  <c r="R30" i="28" s="1"/>
  <c r="R94" i="28" s="1"/>
  <c r="R53" i="8"/>
  <c r="R53" i="28" s="1"/>
  <c r="R117" i="28" s="1"/>
  <c r="R42" i="8"/>
  <c r="R42" i="28" s="1"/>
  <c r="R106" i="28" s="1"/>
  <c r="O46" i="13"/>
  <c r="V46" i="12"/>
  <c r="V19" i="8"/>
  <c r="V38" i="8"/>
  <c r="V27" i="8"/>
  <c r="V61" i="8"/>
  <c r="W46" i="11"/>
  <c r="P46" i="13"/>
  <c r="M57" i="8"/>
  <c r="M57" i="28" s="1"/>
  <c r="M121" i="28" s="1"/>
  <c r="M59" i="8"/>
  <c r="M59" i="28" s="1"/>
  <c r="M123" i="28" s="1"/>
  <c r="W11" i="12"/>
  <c r="M22" i="8"/>
  <c r="M22" i="28" s="1"/>
  <c r="M86" i="28" s="1"/>
  <c r="T70" i="6"/>
  <c r="T68" i="9"/>
  <c r="T68" i="8"/>
  <c r="T68" i="7"/>
  <c r="S39" i="8"/>
  <c r="S61" i="8"/>
  <c r="S20" i="8"/>
  <c r="S7" i="8"/>
  <c r="S36" i="8"/>
  <c r="S13" i="8"/>
  <c r="S29" i="8"/>
  <c r="S43" i="8"/>
  <c r="S57" i="8"/>
  <c r="S6" i="8"/>
  <c r="S34" i="8"/>
  <c r="S54" i="8"/>
  <c r="S48" i="8"/>
  <c r="S16" i="8"/>
  <c r="S26" i="8"/>
  <c r="S50" i="8"/>
  <c r="S24" i="8"/>
  <c r="S40" i="8"/>
  <c r="S9" i="8"/>
  <c r="S45" i="8"/>
  <c r="S17" i="8"/>
  <c r="S33" i="8"/>
  <c r="S32" i="8"/>
  <c r="S11" i="8"/>
  <c r="S55" i="8"/>
  <c r="S52" i="8"/>
  <c r="S10" i="8"/>
  <c r="S38" i="8"/>
  <c r="S51" i="8"/>
  <c r="S14" i="8"/>
  <c r="S31" i="8"/>
  <c r="S56" i="8"/>
  <c r="S63" i="8"/>
  <c r="S23" i="8"/>
  <c r="S8" i="8"/>
  <c r="S18" i="8"/>
  <c r="S35" i="8"/>
  <c r="S60" i="8"/>
  <c r="S41" i="8"/>
  <c r="S28" i="8"/>
  <c r="S47" i="8"/>
  <c r="S49" i="8"/>
  <c r="S21" i="8"/>
  <c r="S37" i="8"/>
  <c r="S59" i="8"/>
  <c r="S27" i="8"/>
  <c r="S30" i="8"/>
  <c r="S62" i="8"/>
  <c r="S15" i="8"/>
  <c r="S53" i="8"/>
  <c r="S58" i="8"/>
  <c r="S12" i="8"/>
  <c r="S22" i="8"/>
  <c r="S46" i="8"/>
  <c r="S44" i="8"/>
  <c r="S5" i="8"/>
  <c r="S19" i="8"/>
  <c r="S42" i="8"/>
  <c r="S25" i="8"/>
  <c r="V11" i="8"/>
  <c r="V59" i="8"/>
  <c r="AB32" i="8"/>
  <c r="P46" i="12"/>
  <c r="V7" i="8"/>
  <c r="V60" i="8"/>
  <c r="W5" i="13"/>
  <c r="AC65" i="8"/>
  <c r="V20" i="8"/>
  <c r="V63" i="8"/>
  <c r="M52" i="8"/>
  <c r="M52" i="28" s="1"/>
  <c r="M116" i="28" s="1"/>
  <c r="M15" i="8"/>
  <c r="M15" i="28" s="1"/>
  <c r="M79" i="28" s="1"/>
  <c r="V17" i="8"/>
  <c r="E9" i="31" l="1"/>
  <c r="E14" i="31" s="1"/>
  <c r="W46" i="24"/>
  <c r="N9" i="30"/>
  <c r="N15" i="30" s="1"/>
  <c r="V52" i="8"/>
  <c r="AB46" i="8"/>
  <c r="V9" i="8"/>
  <c r="U9" i="28" s="1"/>
  <c r="U73" i="28" s="1"/>
  <c r="U12" i="28"/>
  <c r="U76" i="28" s="1"/>
  <c r="AB12" i="8"/>
  <c r="V65" i="9"/>
  <c r="AB55" i="8"/>
  <c r="V39" i="8"/>
  <c r="V14" i="8"/>
  <c r="U14" i="28" s="1"/>
  <c r="U78" i="28" s="1"/>
  <c r="AB8" i="8"/>
  <c r="E11" i="31"/>
  <c r="V50" i="8"/>
  <c r="V29" i="8"/>
  <c r="V18" i="8"/>
  <c r="AB62" i="8"/>
  <c r="AB58" i="8"/>
  <c r="AB23" i="8"/>
  <c r="AM68" i="9"/>
  <c r="AB65" i="9"/>
  <c r="AB54" i="8"/>
  <c r="AB26" i="8"/>
  <c r="F9" i="31"/>
  <c r="F15" i="31" s="1"/>
  <c r="AB10" i="8"/>
  <c r="F7" i="31"/>
  <c r="F13" i="31" s="1"/>
  <c r="E7" i="31"/>
  <c r="E13" i="31" s="1"/>
  <c r="AD65" i="8"/>
  <c r="AB40" i="8"/>
  <c r="AM68" i="8"/>
  <c r="I7" i="31"/>
  <c r="I13" i="31" s="1"/>
  <c r="H15" i="31"/>
  <c r="H14" i="31"/>
  <c r="Q11" i="30"/>
  <c r="AB22" i="8"/>
  <c r="H9" i="30"/>
  <c r="H14" i="30" s="1"/>
  <c r="N7" i="30"/>
  <c r="N13" i="30" s="1"/>
  <c r="W46" i="13"/>
  <c r="AB28" i="8"/>
  <c r="L15" i="31"/>
  <c r="L14" i="31"/>
  <c r="H11" i="30"/>
  <c r="H7" i="30"/>
  <c r="H13" i="30" s="1"/>
  <c r="AB49" i="8"/>
  <c r="U49" i="28"/>
  <c r="U113" i="28" s="1"/>
  <c r="AB20" i="8"/>
  <c r="U20" i="28"/>
  <c r="U84" i="28" s="1"/>
  <c r="AB59" i="8"/>
  <c r="U59" i="28"/>
  <c r="U123" i="28" s="1"/>
  <c r="AB19" i="8"/>
  <c r="U19" i="28"/>
  <c r="U83" i="28" s="1"/>
  <c r="AB41" i="8"/>
  <c r="U41" i="28"/>
  <c r="U105" i="28" s="1"/>
  <c r="L24" i="24"/>
  <c r="Q24" i="24" s="1"/>
  <c r="L43" i="24"/>
  <c r="Q43" i="24" s="1"/>
  <c r="L41" i="24"/>
  <c r="Q41" i="24" s="1"/>
  <c r="L37" i="24"/>
  <c r="Q37" i="24" s="1"/>
  <c r="L5" i="24"/>
  <c r="AB47" i="8"/>
  <c r="U47" i="28"/>
  <c r="U111" i="28" s="1"/>
  <c r="J11" i="31"/>
  <c r="J7" i="31"/>
  <c r="J13" i="31" s="1"/>
  <c r="S65" i="23"/>
  <c r="I11" i="31"/>
  <c r="AB44" i="8"/>
  <c r="U44" i="28"/>
  <c r="U108" i="28" s="1"/>
  <c r="AB25" i="8"/>
  <c r="U25" i="28"/>
  <c r="U89" i="28" s="1"/>
  <c r="L23" i="24"/>
  <c r="Q23" i="24" s="1"/>
  <c r="L34" i="24"/>
  <c r="Q34" i="24" s="1"/>
  <c r="L27" i="24"/>
  <c r="Q27" i="24" s="1"/>
  <c r="L32" i="24"/>
  <c r="Q32" i="24" s="1"/>
  <c r="L13" i="24"/>
  <c r="Q13" i="24" s="1"/>
  <c r="AM66" i="8"/>
  <c r="AM66" i="23"/>
  <c r="R65" i="23"/>
  <c r="S70" i="23" s="1"/>
  <c r="B15" i="30"/>
  <c r="B14" i="30"/>
  <c r="N11" i="30"/>
  <c r="F14" i="30"/>
  <c r="F15" i="30"/>
  <c r="I9" i="31"/>
  <c r="AB24" i="8"/>
  <c r="U24" i="28"/>
  <c r="U88" i="28" s="1"/>
  <c r="AB56" i="8"/>
  <c r="U56" i="28"/>
  <c r="U120" i="28" s="1"/>
  <c r="L22" i="24"/>
  <c r="Q22" i="24" s="1"/>
  <c r="L25" i="24"/>
  <c r="Q25" i="24" s="1"/>
  <c r="L17" i="24"/>
  <c r="Q17" i="24" s="1"/>
  <c r="L31" i="24"/>
  <c r="Q31" i="24" s="1"/>
  <c r="L10" i="24"/>
  <c r="Q10" i="24" s="1"/>
  <c r="C7" i="30"/>
  <c r="C13" i="30" s="1"/>
  <c r="C11" i="30"/>
  <c r="C9" i="30"/>
  <c r="M65" i="23"/>
  <c r="T15" i="30"/>
  <c r="T14" i="30"/>
  <c r="AB53" i="8"/>
  <c r="U53" i="28"/>
  <c r="U117" i="28" s="1"/>
  <c r="L21" i="24"/>
  <c r="Q21" i="24" s="1"/>
  <c r="L44" i="24"/>
  <c r="Q44" i="24" s="1"/>
  <c r="L28" i="24"/>
  <c r="Q28" i="24" s="1"/>
  <c r="L30" i="24"/>
  <c r="Q30" i="24" s="1"/>
  <c r="L18" i="24"/>
  <c r="Q18" i="24" s="1"/>
  <c r="L11" i="30"/>
  <c r="L7" i="30"/>
  <c r="L13" i="30" s="1"/>
  <c r="L9" i="30"/>
  <c r="E15" i="30"/>
  <c r="E14" i="30"/>
  <c r="Q7" i="30"/>
  <c r="Q13" i="30" s="1"/>
  <c r="Q9" i="30"/>
  <c r="J9" i="31"/>
  <c r="AB7" i="8"/>
  <c r="U7" i="28"/>
  <c r="U71" i="28" s="1"/>
  <c r="W46" i="12"/>
  <c r="AB61" i="8"/>
  <c r="U61" i="28"/>
  <c r="U125" i="28" s="1"/>
  <c r="AB37" i="8"/>
  <c r="U37" i="28"/>
  <c r="U101" i="28" s="1"/>
  <c r="AB43" i="8"/>
  <c r="U43" i="28"/>
  <c r="U107" i="28" s="1"/>
  <c r="AB6" i="8"/>
  <c r="U6" i="28"/>
  <c r="U70" i="28" s="1"/>
  <c r="L42" i="24"/>
  <c r="Q42" i="24" s="1"/>
  <c r="L35" i="24"/>
  <c r="Q35" i="24" s="1"/>
  <c r="L19" i="24"/>
  <c r="Q19" i="24" s="1"/>
  <c r="L29" i="24"/>
  <c r="Q29" i="24" s="1"/>
  <c r="L7" i="24"/>
  <c r="Q7" i="24" s="1"/>
  <c r="AB48" i="8"/>
  <c r="U48" i="28"/>
  <c r="U112" i="28" s="1"/>
  <c r="AB16" i="8"/>
  <c r="U16" i="28"/>
  <c r="U80" i="28" s="1"/>
  <c r="AB65" i="23"/>
  <c r="G15" i="30"/>
  <c r="G14" i="30"/>
  <c r="E15" i="31"/>
  <c r="AB11" i="8"/>
  <c r="U11" i="28"/>
  <c r="U75" i="28" s="1"/>
  <c r="AB60" i="8"/>
  <c r="U60" i="28"/>
  <c r="U124" i="28" s="1"/>
  <c r="AB27" i="8"/>
  <c r="U27" i="28"/>
  <c r="U91" i="28" s="1"/>
  <c r="AB42" i="8"/>
  <c r="AB34" i="8"/>
  <c r="U34" i="28"/>
  <c r="U98" i="28" s="1"/>
  <c r="L33" i="24"/>
  <c r="Q33" i="24" s="1"/>
  <c r="L26" i="24"/>
  <c r="Q26" i="24" s="1"/>
  <c r="L20" i="24"/>
  <c r="Q20" i="24" s="1"/>
  <c r="L6" i="24"/>
  <c r="Q6" i="24" s="1"/>
  <c r="L12" i="24"/>
  <c r="Q12" i="24" s="1"/>
  <c r="AB15" i="8"/>
  <c r="U15" i="28"/>
  <c r="U79" i="28" s="1"/>
  <c r="AB45" i="8"/>
  <c r="U45" i="28"/>
  <c r="U109" i="28" s="1"/>
  <c r="M15" i="30"/>
  <c r="M14" i="30"/>
  <c r="L11" i="31"/>
  <c r="AB17" i="8"/>
  <c r="U17" i="28"/>
  <c r="U81" i="28" s="1"/>
  <c r="AB57" i="8"/>
  <c r="U57" i="28"/>
  <c r="U121" i="28" s="1"/>
  <c r="AB30" i="8"/>
  <c r="U30" i="28"/>
  <c r="U94" i="28" s="1"/>
  <c r="L15" i="24"/>
  <c r="Q15" i="24" s="1"/>
  <c r="L16" i="24"/>
  <c r="Q16" i="24" s="1"/>
  <c r="L40" i="24"/>
  <c r="Q40" i="24" s="1"/>
  <c r="L9" i="24"/>
  <c r="Q9" i="24" s="1"/>
  <c r="N14" i="30"/>
  <c r="G15" i="31"/>
  <c r="G14" i="31"/>
  <c r="J14" i="30"/>
  <c r="J15" i="30"/>
  <c r="U15" i="30"/>
  <c r="U14" i="30"/>
  <c r="V65" i="23"/>
  <c r="L7" i="31"/>
  <c r="L13" i="31" s="1"/>
  <c r="L11" i="24"/>
  <c r="Q11" i="24" s="1"/>
  <c r="AB63" i="8"/>
  <c r="U63" i="28"/>
  <c r="U127" i="28" s="1"/>
  <c r="AB38" i="8"/>
  <c r="U38" i="28"/>
  <c r="U102" i="28" s="1"/>
  <c r="AB21" i="8"/>
  <c r="U21" i="28"/>
  <c r="U85" i="28" s="1"/>
  <c r="AB33" i="8"/>
  <c r="U33" i="28"/>
  <c r="U97" i="28" s="1"/>
  <c r="L39" i="24"/>
  <c r="Q39" i="24" s="1"/>
  <c r="L14" i="24"/>
  <c r="Q14" i="24" s="1"/>
  <c r="L36" i="24"/>
  <c r="Q36" i="24" s="1"/>
  <c r="L38" i="24"/>
  <c r="Q38" i="24" s="1"/>
  <c r="L8" i="24"/>
  <c r="Q8" i="24" s="1"/>
  <c r="AB31" i="8"/>
  <c r="U31" i="28"/>
  <c r="U95" i="28" s="1"/>
  <c r="AQ24" i="23"/>
  <c r="AQ12" i="23"/>
  <c r="L39" i="12"/>
  <c r="Q39" i="12" s="1"/>
  <c r="Q39" i="11"/>
  <c r="AB39" i="11" s="1"/>
  <c r="L39" i="13"/>
  <c r="Q39" i="13" s="1"/>
  <c r="L36" i="12"/>
  <c r="Q36" i="12" s="1"/>
  <c r="Q36" i="11"/>
  <c r="AB36" i="11" s="1"/>
  <c r="L36" i="13"/>
  <c r="Q36" i="13" s="1"/>
  <c r="L8" i="12"/>
  <c r="Q8" i="12" s="1"/>
  <c r="Q8" i="11"/>
  <c r="AB8" i="11" s="1"/>
  <c r="L8" i="13"/>
  <c r="Q8" i="13" s="1"/>
  <c r="L24" i="12"/>
  <c r="Q24" i="12" s="1"/>
  <c r="Q24" i="11"/>
  <c r="AB24" i="11" s="1"/>
  <c r="L24" i="13"/>
  <c r="Q24" i="13" s="1"/>
  <c r="Q43" i="11"/>
  <c r="AB43" i="11" s="1"/>
  <c r="L43" i="12"/>
  <c r="Q43" i="12" s="1"/>
  <c r="L43" i="13"/>
  <c r="Q43" i="13" s="1"/>
  <c r="L41" i="12"/>
  <c r="Q41" i="12" s="1"/>
  <c r="Q41" i="11"/>
  <c r="AB41" i="11" s="1"/>
  <c r="L41" i="13"/>
  <c r="Q41" i="13" s="1"/>
  <c r="L37" i="12"/>
  <c r="Q37" i="12" s="1"/>
  <c r="Q37" i="11"/>
  <c r="AB37" i="11" s="1"/>
  <c r="L37" i="13"/>
  <c r="Q37" i="13" s="1"/>
  <c r="L5" i="12"/>
  <c r="Q5" i="11"/>
  <c r="L5" i="13"/>
  <c r="L46" i="11"/>
  <c r="L14" i="12"/>
  <c r="Q14" i="12" s="1"/>
  <c r="Q14" i="11"/>
  <c r="AB14" i="11" s="1"/>
  <c r="L14" i="13"/>
  <c r="Q14" i="13" s="1"/>
  <c r="L38" i="12"/>
  <c r="Q38" i="12" s="1"/>
  <c r="Q38" i="11"/>
  <c r="AB38" i="11" s="1"/>
  <c r="L38" i="13"/>
  <c r="Q38" i="13" s="1"/>
  <c r="L23" i="12"/>
  <c r="Q23" i="12" s="1"/>
  <c r="Q23" i="11"/>
  <c r="AB23" i="11" s="1"/>
  <c r="L23" i="13"/>
  <c r="Q23" i="13" s="1"/>
  <c r="L34" i="12"/>
  <c r="Q34" i="12" s="1"/>
  <c r="Q34" i="11"/>
  <c r="AB34" i="11" s="1"/>
  <c r="L34" i="13"/>
  <c r="Q34" i="13" s="1"/>
  <c r="L27" i="12"/>
  <c r="Q27" i="12" s="1"/>
  <c r="Q27" i="11"/>
  <c r="AB27" i="11" s="1"/>
  <c r="L27" i="13"/>
  <c r="Q27" i="13" s="1"/>
  <c r="L32" i="12"/>
  <c r="Q32" i="12" s="1"/>
  <c r="Q32" i="11"/>
  <c r="AB32" i="11" s="1"/>
  <c r="L32" i="13"/>
  <c r="Q32" i="13" s="1"/>
  <c r="L13" i="12"/>
  <c r="Q13" i="12" s="1"/>
  <c r="Q13" i="11"/>
  <c r="AB13" i="11" s="1"/>
  <c r="L13" i="13"/>
  <c r="Q13" i="13" s="1"/>
  <c r="AB49" i="12"/>
  <c r="AB49" i="13"/>
  <c r="AB49" i="10"/>
  <c r="AB49" i="11"/>
  <c r="V65" i="8"/>
  <c r="L22" i="12"/>
  <c r="Q22" i="12" s="1"/>
  <c r="Q22" i="11"/>
  <c r="AB22" i="11" s="1"/>
  <c r="L22" i="13"/>
  <c r="Q22" i="13" s="1"/>
  <c r="L25" i="12"/>
  <c r="Q25" i="12" s="1"/>
  <c r="Q25" i="11"/>
  <c r="AB25" i="11" s="1"/>
  <c r="L25" i="13"/>
  <c r="Q25" i="13" s="1"/>
  <c r="L17" i="12"/>
  <c r="Q17" i="12" s="1"/>
  <c r="Q17" i="11"/>
  <c r="AB17" i="11" s="1"/>
  <c r="L17" i="13"/>
  <c r="Q17" i="13" s="1"/>
  <c r="L31" i="12"/>
  <c r="Q31" i="12" s="1"/>
  <c r="Q31" i="11"/>
  <c r="AB31" i="11" s="1"/>
  <c r="L31" i="13"/>
  <c r="Q31" i="13" s="1"/>
  <c r="L10" i="12"/>
  <c r="Q10" i="12" s="1"/>
  <c r="Q10" i="11"/>
  <c r="AB10" i="11" s="1"/>
  <c r="L10" i="13"/>
  <c r="Q10" i="13" s="1"/>
  <c r="AB5" i="8"/>
  <c r="L21" i="12"/>
  <c r="Q21" i="12" s="1"/>
  <c r="Q21" i="11"/>
  <c r="AB21" i="11" s="1"/>
  <c r="L21" i="13"/>
  <c r="Q21" i="13" s="1"/>
  <c r="L44" i="12"/>
  <c r="Q44" i="12" s="1"/>
  <c r="Q44" i="11"/>
  <c r="AB44" i="11" s="1"/>
  <c r="L44" i="13"/>
  <c r="Q44" i="13" s="1"/>
  <c r="L28" i="12"/>
  <c r="Q28" i="12" s="1"/>
  <c r="Q28" i="11"/>
  <c r="AB28" i="11" s="1"/>
  <c r="L28" i="13"/>
  <c r="Q28" i="13" s="1"/>
  <c r="L30" i="12"/>
  <c r="Q30" i="12" s="1"/>
  <c r="Q30" i="11"/>
  <c r="AB30" i="11" s="1"/>
  <c r="L30" i="13"/>
  <c r="Q30" i="13" s="1"/>
  <c r="L18" i="12"/>
  <c r="Q18" i="12" s="1"/>
  <c r="Q18" i="11"/>
  <c r="AB18" i="11" s="1"/>
  <c r="L18" i="13"/>
  <c r="Q18" i="13" s="1"/>
  <c r="AE67" i="9"/>
  <c r="AE67" i="8"/>
  <c r="AO66" i="8" s="1"/>
  <c r="AE67" i="7"/>
  <c r="S65" i="8"/>
  <c r="L42" i="12"/>
  <c r="Q42" i="12" s="1"/>
  <c r="Q42" i="11"/>
  <c r="AB42" i="11" s="1"/>
  <c r="L42" i="13"/>
  <c r="Q42" i="13" s="1"/>
  <c r="L35" i="12"/>
  <c r="Q35" i="12" s="1"/>
  <c r="Q35" i="11"/>
  <c r="AB35" i="11" s="1"/>
  <c r="L35" i="13"/>
  <c r="Q35" i="13" s="1"/>
  <c r="L19" i="12"/>
  <c r="Q19" i="12" s="1"/>
  <c r="Q19" i="11"/>
  <c r="AB19" i="11" s="1"/>
  <c r="L19" i="13"/>
  <c r="Q19" i="13" s="1"/>
  <c r="L29" i="12"/>
  <c r="Q29" i="12" s="1"/>
  <c r="Q29" i="11"/>
  <c r="AB29" i="11" s="1"/>
  <c r="L29" i="13"/>
  <c r="Q29" i="13" s="1"/>
  <c r="L7" i="12"/>
  <c r="Q7" i="12" s="1"/>
  <c r="Q7" i="11"/>
  <c r="AB7" i="11" s="1"/>
  <c r="L7" i="13"/>
  <c r="Q7" i="13" s="1"/>
  <c r="E43" i="5"/>
  <c r="Y48" i="24" s="1"/>
  <c r="X48" i="13"/>
  <c r="X48" i="12"/>
  <c r="X48" i="11"/>
  <c r="X51" i="11" s="1"/>
  <c r="X48" i="10"/>
  <c r="R65" i="8"/>
  <c r="S70" i="8" s="1"/>
  <c r="L33" i="12"/>
  <c r="Q33" i="12" s="1"/>
  <c r="Q33" i="11"/>
  <c r="AB33" i="11" s="1"/>
  <c r="L33" i="13"/>
  <c r="Q33" i="13" s="1"/>
  <c r="L26" i="12"/>
  <c r="Q26" i="12" s="1"/>
  <c r="Q26" i="11"/>
  <c r="AB26" i="11" s="1"/>
  <c r="L26" i="13"/>
  <c r="Q26" i="13" s="1"/>
  <c r="L20" i="12"/>
  <c r="Q20" i="12" s="1"/>
  <c r="Q20" i="11"/>
  <c r="AB20" i="11" s="1"/>
  <c r="X20" i="24" s="1"/>
  <c r="Y20" i="24" s="1"/>
  <c r="L20" i="13"/>
  <c r="Q20" i="13" s="1"/>
  <c r="L6" i="12"/>
  <c r="Q6" i="12" s="1"/>
  <c r="Q6" i="11"/>
  <c r="AB6" i="11" s="1"/>
  <c r="L6" i="13"/>
  <c r="Q6" i="13" s="1"/>
  <c r="L12" i="12"/>
  <c r="Q12" i="12" s="1"/>
  <c r="Q12" i="11"/>
  <c r="AB12" i="11" s="1"/>
  <c r="L12" i="13"/>
  <c r="Q12" i="13" s="1"/>
  <c r="L15" i="12"/>
  <c r="Q15" i="12" s="1"/>
  <c r="Q15" i="11"/>
  <c r="AB15" i="11" s="1"/>
  <c r="L15" i="13"/>
  <c r="Q15" i="13" s="1"/>
  <c r="L16" i="12"/>
  <c r="Q16" i="12" s="1"/>
  <c r="Q16" i="11"/>
  <c r="AB16" i="11" s="1"/>
  <c r="L16" i="13"/>
  <c r="Q16" i="13" s="1"/>
  <c r="Q40" i="11"/>
  <c r="AB40" i="11" s="1"/>
  <c r="L40" i="12"/>
  <c r="Q40" i="12" s="1"/>
  <c r="L40" i="13"/>
  <c r="Q40" i="13" s="1"/>
  <c r="L11" i="12"/>
  <c r="Q11" i="12" s="1"/>
  <c r="Q11" i="11"/>
  <c r="AB11" i="11" s="1"/>
  <c r="L11" i="13"/>
  <c r="Q11" i="13" s="1"/>
  <c r="L9" i="12"/>
  <c r="Q9" i="12" s="1"/>
  <c r="Q9" i="11"/>
  <c r="AB9" i="11" s="1"/>
  <c r="L9" i="13"/>
  <c r="Q9" i="13" s="1"/>
  <c r="M65" i="8"/>
  <c r="E23" i="5"/>
  <c r="AE69" i="6"/>
  <c r="F14" i="31" l="1"/>
  <c r="AB9" i="8"/>
  <c r="U52" i="28"/>
  <c r="U116" i="28" s="1"/>
  <c r="AB52" i="8"/>
  <c r="U39" i="28"/>
  <c r="U103" i="28" s="1"/>
  <c r="AB39" i="8"/>
  <c r="AB18" i="8"/>
  <c r="U18" i="28"/>
  <c r="U82" i="28" s="1"/>
  <c r="U29" i="28"/>
  <c r="U93" i="28" s="1"/>
  <c r="AB29" i="8"/>
  <c r="AB14" i="8"/>
  <c r="AB65" i="8" s="1"/>
  <c r="U50" i="28"/>
  <c r="U114" i="28" s="1"/>
  <c r="AB50" i="8"/>
  <c r="K11" i="30"/>
  <c r="K9" i="30"/>
  <c r="K15" i="30" s="1"/>
  <c r="H15" i="30"/>
  <c r="L36" i="29"/>
  <c r="L81" i="29" s="1"/>
  <c r="X16" i="24"/>
  <c r="Y16" i="24" s="1"/>
  <c r="L5" i="29"/>
  <c r="L50" i="29" s="1"/>
  <c r="E47" i="5"/>
  <c r="AG67" i="23"/>
  <c r="X32" i="24"/>
  <c r="Y32" i="24" s="1"/>
  <c r="X39" i="24"/>
  <c r="Y39" i="24" s="1"/>
  <c r="L15" i="29"/>
  <c r="L60" i="29" s="1"/>
  <c r="L20" i="29"/>
  <c r="L65" i="29" s="1"/>
  <c r="L35" i="29"/>
  <c r="L80" i="29" s="1"/>
  <c r="L24" i="29"/>
  <c r="L69" i="29" s="1"/>
  <c r="X40" i="24"/>
  <c r="Y40" i="24" s="1"/>
  <c r="X12" i="24"/>
  <c r="Y12" i="24" s="1"/>
  <c r="X29" i="24"/>
  <c r="Y29" i="24" s="1"/>
  <c r="X18" i="24"/>
  <c r="Y18" i="24" s="1"/>
  <c r="X10" i="24"/>
  <c r="Y10" i="24" s="1"/>
  <c r="X23" i="24"/>
  <c r="Y23" i="24" s="1"/>
  <c r="X41" i="24"/>
  <c r="Y41" i="24" s="1"/>
  <c r="L38" i="29"/>
  <c r="L83" i="29" s="1"/>
  <c r="L44" i="29"/>
  <c r="L89" i="29" s="1"/>
  <c r="L10" i="29"/>
  <c r="L55" i="29" s="1"/>
  <c r="L22" i="29"/>
  <c r="L67" i="29" s="1"/>
  <c r="L32" i="29"/>
  <c r="L77" i="29" s="1"/>
  <c r="X9" i="24"/>
  <c r="Y9" i="24" s="1"/>
  <c r="X26" i="24"/>
  <c r="Y26" i="24" s="1"/>
  <c r="X42" i="24"/>
  <c r="Y42" i="24" s="1"/>
  <c r="X44" i="24"/>
  <c r="Y44" i="24" s="1"/>
  <c r="X25" i="24"/>
  <c r="Y25" i="24" s="1"/>
  <c r="X8" i="24"/>
  <c r="Y8" i="24" s="1"/>
  <c r="L11" i="29"/>
  <c r="L56" i="29" s="1"/>
  <c r="L9" i="29"/>
  <c r="L54" i="29" s="1"/>
  <c r="L26" i="29"/>
  <c r="L71" i="29" s="1"/>
  <c r="L7" i="29"/>
  <c r="L52" i="29" s="1"/>
  <c r="L42" i="29"/>
  <c r="L87" i="29" s="1"/>
  <c r="J15" i="31"/>
  <c r="J14" i="31"/>
  <c r="L37" i="29"/>
  <c r="L82" i="29" s="1"/>
  <c r="X27" i="24"/>
  <c r="Y27" i="24" s="1"/>
  <c r="K7" i="30"/>
  <c r="K13" i="30" s="1"/>
  <c r="Q15" i="30"/>
  <c r="Q14" i="30"/>
  <c r="L18" i="29"/>
  <c r="L63" i="29" s="1"/>
  <c r="L21" i="29"/>
  <c r="L66" i="29" s="1"/>
  <c r="L31" i="29"/>
  <c r="L76" i="29" s="1"/>
  <c r="L27" i="29"/>
  <c r="L72" i="29" s="1"/>
  <c r="X6" i="24"/>
  <c r="Y6" i="24" s="1"/>
  <c r="X19" i="24"/>
  <c r="Y19" i="24" s="1"/>
  <c r="X30" i="24"/>
  <c r="Y30" i="24" s="1"/>
  <c r="X31" i="24"/>
  <c r="Y31" i="24" s="1"/>
  <c r="X38" i="24"/>
  <c r="Y38" i="24" s="1"/>
  <c r="L40" i="29"/>
  <c r="L85" i="29" s="1"/>
  <c r="L12" i="29"/>
  <c r="L57" i="29" s="1"/>
  <c r="L33" i="29"/>
  <c r="L78" i="29" s="1"/>
  <c r="L29" i="29"/>
  <c r="L74" i="29" s="1"/>
  <c r="L41" i="29"/>
  <c r="L86" i="29" s="1"/>
  <c r="X33" i="24"/>
  <c r="Y33" i="24" s="1"/>
  <c r="X21" i="24"/>
  <c r="Y21" i="24" s="1"/>
  <c r="X22" i="24"/>
  <c r="Y22" i="24" s="1"/>
  <c r="X13" i="24"/>
  <c r="Y13" i="24" s="1"/>
  <c r="X43" i="24"/>
  <c r="Y43" i="24" s="1"/>
  <c r="X36" i="24"/>
  <c r="Y36" i="24" s="1"/>
  <c r="L14" i="29"/>
  <c r="L59" i="29" s="1"/>
  <c r="L30" i="29"/>
  <c r="L75" i="29" s="1"/>
  <c r="C15" i="30"/>
  <c r="C14" i="30"/>
  <c r="L17" i="29"/>
  <c r="L62" i="29" s="1"/>
  <c r="I15" i="31"/>
  <c r="I14" i="31"/>
  <c r="L34" i="29"/>
  <c r="L79" i="29" s="1"/>
  <c r="X11" i="24"/>
  <c r="Y11" i="24" s="1"/>
  <c r="X15" i="24"/>
  <c r="Y15" i="24" s="1"/>
  <c r="X7" i="24"/>
  <c r="Y7" i="24" s="1"/>
  <c r="X34" i="24"/>
  <c r="Y34" i="24" s="1"/>
  <c r="X37" i="24"/>
  <c r="Y37" i="24" s="1"/>
  <c r="L16" i="29"/>
  <c r="L61" i="29" s="1"/>
  <c r="L6" i="29"/>
  <c r="L51" i="29" s="1"/>
  <c r="L19" i="29"/>
  <c r="L64" i="29" s="1"/>
  <c r="L43" i="29"/>
  <c r="L88" i="29" s="1"/>
  <c r="X35" i="24"/>
  <c r="Y35" i="24" s="1"/>
  <c r="X28" i="24"/>
  <c r="Y28" i="24" s="1"/>
  <c r="X17" i="24"/>
  <c r="Y17" i="24" s="1"/>
  <c r="X14" i="24"/>
  <c r="Y14" i="24" s="1"/>
  <c r="X24" i="24"/>
  <c r="Y24" i="24" s="1"/>
  <c r="L8" i="29"/>
  <c r="L53" i="29" s="1"/>
  <c r="L39" i="29"/>
  <c r="L84" i="29" s="1"/>
  <c r="L15" i="30"/>
  <c r="L14" i="30"/>
  <c r="L28" i="29"/>
  <c r="L73" i="29" s="1"/>
  <c r="L25" i="29"/>
  <c r="L70" i="29" s="1"/>
  <c r="L13" i="29"/>
  <c r="L58" i="29" s="1"/>
  <c r="L23" i="29"/>
  <c r="L68" i="29" s="1"/>
  <c r="Q5" i="24"/>
  <c r="Q46" i="24" s="1"/>
  <c r="L46" i="24"/>
  <c r="AQ13" i="23"/>
  <c r="AQ25" i="23"/>
  <c r="X25" i="12"/>
  <c r="Y25" i="12" s="1"/>
  <c r="AB25" i="12" s="1"/>
  <c r="X25" i="13"/>
  <c r="X8" i="12"/>
  <c r="Y8" i="12" s="1"/>
  <c r="AB8" i="12" s="1"/>
  <c r="X8" i="13"/>
  <c r="X16" i="12"/>
  <c r="Y16" i="12" s="1"/>
  <c r="AB16" i="12" s="1"/>
  <c r="X16" i="13"/>
  <c r="X27" i="12"/>
  <c r="Y27" i="12" s="1"/>
  <c r="AB27" i="12" s="1"/>
  <c r="X27" i="13"/>
  <c r="Q46" i="11"/>
  <c r="AB5" i="11"/>
  <c r="E29" i="5"/>
  <c r="AM67" i="23" s="1"/>
  <c r="X6" i="12"/>
  <c r="Y6" i="12" s="1"/>
  <c r="X6" i="13"/>
  <c r="E46" i="5"/>
  <c r="AB48" i="24" s="1"/>
  <c r="Y48" i="13"/>
  <c r="Y48" i="12"/>
  <c r="Y48" i="11"/>
  <c r="Y48" i="10"/>
  <c r="X19" i="12"/>
  <c r="Y19" i="12" s="1"/>
  <c r="AB19" i="12" s="1"/>
  <c r="X19" i="13"/>
  <c r="X30" i="12"/>
  <c r="Y30" i="12" s="1"/>
  <c r="AB30" i="12" s="1"/>
  <c r="X30" i="13"/>
  <c r="X31" i="12"/>
  <c r="Y31" i="12" s="1"/>
  <c r="AB31" i="12" s="1"/>
  <c r="X31" i="13"/>
  <c r="X38" i="12"/>
  <c r="Y38" i="12" s="1"/>
  <c r="AB38" i="12" s="1"/>
  <c r="X38" i="13"/>
  <c r="Q5" i="12"/>
  <c r="L46" i="12"/>
  <c r="X26" i="12"/>
  <c r="Y26" i="12" s="1"/>
  <c r="AB26" i="12" s="1"/>
  <c r="X26" i="13"/>
  <c r="Q5" i="13"/>
  <c r="L46" i="13"/>
  <c r="X11" i="12"/>
  <c r="Y11" i="12" s="1"/>
  <c r="AB11" i="12" s="1"/>
  <c r="X11" i="13"/>
  <c r="AB6" i="12"/>
  <c r="X33" i="12"/>
  <c r="Y33" i="12" s="1"/>
  <c r="AB33" i="12" s="1"/>
  <c r="X33" i="13"/>
  <c r="X21" i="12"/>
  <c r="Y21" i="12" s="1"/>
  <c r="AB21" i="12" s="1"/>
  <c r="X21" i="13"/>
  <c r="X22" i="12"/>
  <c r="Y22" i="12" s="1"/>
  <c r="AB22" i="12" s="1"/>
  <c r="X22" i="13"/>
  <c r="X13" i="12"/>
  <c r="Y13" i="12" s="1"/>
  <c r="AB13" i="12" s="1"/>
  <c r="X13" i="13"/>
  <c r="X43" i="12"/>
  <c r="Y43" i="12" s="1"/>
  <c r="AB43" i="12" s="1"/>
  <c r="X43" i="13"/>
  <c r="X36" i="12"/>
  <c r="Y36" i="12" s="1"/>
  <c r="AB36" i="12" s="1"/>
  <c r="X36" i="13"/>
  <c r="X15" i="12"/>
  <c r="Y15" i="12" s="1"/>
  <c r="AB15" i="12" s="1"/>
  <c r="X15" i="13"/>
  <c r="X7" i="12"/>
  <c r="Y7" i="12" s="1"/>
  <c r="AB7" i="12" s="1"/>
  <c r="X7" i="13"/>
  <c r="X34" i="12"/>
  <c r="Y34" i="12" s="1"/>
  <c r="AB34" i="12" s="1"/>
  <c r="X34" i="13"/>
  <c r="X37" i="12"/>
  <c r="Y37" i="12" s="1"/>
  <c r="AB37" i="12" s="1"/>
  <c r="X37" i="13"/>
  <c r="S35" i="9"/>
  <c r="S35" i="28" s="1"/>
  <c r="S99" i="28" s="1"/>
  <c r="S49" i="9"/>
  <c r="S49" i="28" s="1"/>
  <c r="S113" i="28" s="1"/>
  <c r="S21" i="9"/>
  <c r="S21" i="28" s="1"/>
  <c r="S85" i="28" s="1"/>
  <c r="S37" i="9"/>
  <c r="S37" i="28" s="1"/>
  <c r="S101" i="28" s="1"/>
  <c r="S44" i="9"/>
  <c r="S44" i="28" s="1"/>
  <c r="S108" i="28" s="1"/>
  <c r="S59" i="9"/>
  <c r="S59" i="28" s="1"/>
  <c r="S123" i="28" s="1"/>
  <c r="S27" i="9"/>
  <c r="S27" i="28" s="1"/>
  <c r="S91" i="28" s="1"/>
  <c r="S15" i="9"/>
  <c r="S15" i="28" s="1"/>
  <c r="S79" i="28" s="1"/>
  <c r="S53" i="9"/>
  <c r="S53" i="28" s="1"/>
  <c r="S117" i="28" s="1"/>
  <c r="S58" i="9"/>
  <c r="S58" i="28" s="1"/>
  <c r="S122" i="28" s="1"/>
  <c r="S12" i="9"/>
  <c r="S12" i="28" s="1"/>
  <c r="S76" i="28" s="1"/>
  <c r="S22" i="9"/>
  <c r="S22" i="28" s="1"/>
  <c r="S86" i="28" s="1"/>
  <c r="S39" i="9"/>
  <c r="S39" i="28" s="1"/>
  <c r="S103" i="28" s="1"/>
  <c r="S46" i="9"/>
  <c r="S46" i="28" s="1"/>
  <c r="S110" i="28" s="1"/>
  <c r="S30" i="9"/>
  <c r="S30" i="28" s="1"/>
  <c r="S94" i="28" s="1"/>
  <c r="S42" i="9"/>
  <c r="S42" i="28" s="1"/>
  <c r="S106" i="28" s="1"/>
  <c r="S20" i="9"/>
  <c r="S20" i="28" s="1"/>
  <c r="S84" i="28" s="1"/>
  <c r="S36" i="9"/>
  <c r="S36" i="28" s="1"/>
  <c r="S100" i="28" s="1"/>
  <c r="S5" i="9"/>
  <c r="S5" i="28" s="1"/>
  <c r="S69" i="28" s="1"/>
  <c r="S19" i="9"/>
  <c r="S19" i="28" s="1"/>
  <c r="S83" i="28" s="1"/>
  <c r="S9" i="9"/>
  <c r="S9" i="28" s="1"/>
  <c r="S73" i="28" s="1"/>
  <c r="S10" i="9"/>
  <c r="S10" i="28" s="1"/>
  <c r="S74" i="28" s="1"/>
  <c r="S51" i="9"/>
  <c r="S51" i="28" s="1"/>
  <c r="S115" i="28" s="1"/>
  <c r="S54" i="9"/>
  <c r="S54" i="28" s="1"/>
  <c r="S118" i="28" s="1"/>
  <c r="S13" i="9"/>
  <c r="S13" i="28" s="1"/>
  <c r="S77" i="28" s="1"/>
  <c r="S29" i="9"/>
  <c r="S29" i="28" s="1"/>
  <c r="S93" i="28" s="1"/>
  <c r="S61" i="9"/>
  <c r="S61" i="28" s="1"/>
  <c r="S125" i="28" s="1"/>
  <c r="S7" i="9"/>
  <c r="S7" i="28" s="1"/>
  <c r="S71" i="28" s="1"/>
  <c r="S43" i="9"/>
  <c r="S43" i="28" s="1"/>
  <c r="S107" i="28" s="1"/>
  <c r="S6" i="9"/>
  <c r="S6" i="28" s="1"/>
  <c r="S70" i="28" s="1"/>
  <c r="S34" i="9"/>
  <c r="S34" i="28" s="1"/>
  <c r="S98" i="28" s="1"/>
  <c r="S52" i="9"/>
  <c r="S52" i="28" s="1"/>
  <c r="S116" i="28" s="1"/>
  <c r="S38" i="9"/>
  <c r="S38" i="28" s="1"/>
  <c r="S102" i="28" s="1"/>
  <c r="S14" i="9"/>
  <c r="S14" i="28" s="1"/>
  <c r="S78" i="28" s="1"/>
  <c r="S48" i="9"/>
  <c r="S48" i="28" s="1"/>
  <c r="S112" i="28" s="1"/>
  <c r="S16" i="9"/>
  <c r="S16" i="28" s="1"/>
  <c r="S80" i="28" s="1"/>
  <c r="S50" i="9"/>
  <c r="S50" i="28" s="1"/>
  <c r="S114" i="28" s="1"/>
  <c r="S11" i="9"/>
  <c r="S11" i="28" s="1"/>
  <c r="S75" i="28" s="1"/>
  <c r="S57" i="9"/>
  <c r="S57" i="28" s="1"/>
  <c r="S121" i="28" s="1"/>
  <c r="S55" i="9"/>
  <c r="S55" i="28" s="1"/>
  <c r="S119" i="28" s="1"/>
  <c r="S56" i="9"/>
  <c r="S56" i="28" s="1"/>
  <c r="S120" i="28" s="1"/>
  <c r="S31" i="9"/>
  <c r="S31" i="28" s="1"/>
  <c r="S95" i="28" s="1"/>
  <c r="S45" i="9"/>
  <c r="S45" i="28" s="1"/>
  <c r="S109" i="28" s="1"/>
  <c r="S17" i="9"/>
  <c r="S17" i="28" s="1"/>
  <c r="S81" i="28" s="1"/>
  <c r="S26" i="9"/>
  <c r="S26" i="28" s="1"/>
  <c r="S90" i="28" s="1"/>
  <c r="S32" i="9"/>
  <c r="S32" i="28" s="1"/>
  <c r="S96" i="28" s="1"/>
  <c r="S24" i="9"/>
  <c r="S24" i="28" s="1"/>
  <c r="S88" i="28" s="1"/>
  <c r="S40" i="9"/>
  <c r="S40" i="28" s="1"/>
  <c r="S104" i="28" s="1"/>
  <c r="S25" i="9"/>
  <c r="S25" i="28" s="1"/>
  <c r="S89" i="28" s="1"/>
  <c r="S33" i="9"/>
  <c r="S33" i="28" s="1"/>
  <c r="S97" i="28" s="1"/>
  <c r="S60" i="9"/>
  <c r="S60" i="28" s="1"/>
  <c r="S124" i="28" s="1"/>
  <c r="S23" i="9"/>
  <c r="S23" i="28" s="1"/>
  <c r="S87" i="28" s="1"/>
  <c r="S47" i="9"/>
  <c r="S47" i="28" s="1"/>
  <c r="S111" i="28" s="1"/>
  <c r="S8" i="9"/>
  <c r="S8" i="28" s="1"/>
  <c r="S72" i="28" s="1"/>
  <c r="S18" i="9"/>
  <c r="S18" i="28" s="1"/>
  <c r="S82" i="28" s="1"/>
  <c r="S63" i="9"/>
  <c r="S63" i="28" s="1"/>
  <c r="S127" i="28" s="1"/>
  <c r="S41" i="9"/>
  <c r="S41" i="28" s="1"/>
  <c r="S105" i="28" s="1"/>
  <c r="S62" i="9"/>
  <c r="S62" i="28" s="1"/>
  <c r="S126" i="28" s="1"/>
  <c r="S28" i="9"/>
  <c r="S28" i="28" s="1"/>
  <c r="S92" i="28" s="1"/>
  <c r="X35" i="12"/>
  <c r="Y35" i="12" s="1"/>
  <c r="AB35" i="12" s="1"/>
  <c r="X35" i="13"/>
  <c r="X28" i="12"/>
  <c r="Y28" i="12" s="1"/>
  <c r="AB28" i="12" s="1"/>
  <c r="X28" i="13"/>
  <c r="X17" i="12"/>
  <c r="Y17" i="12" s="1"/>
  <c r="AB17" i="12" s="1"/>
  <c r="X17" i="13"/>
  <c r="X14" i="12"/>
  <c r="Y14" i="12" s="1"/>
  <c r="AB14" i="12" s="1"/>
  <c r="X14" i="13"/>
  <c r="X24" i="12"/>
  <c r="Y24" i="12" s="1"/>
  <c r="AB24" i="12" s="1"/>
  <c r="X24" i="13"/>
  <c r="X42" i="12"/>
  <c r="Y42" i="12" s="1"/>
  <c r="AB42" i="12" s="1"/>
  <c r="X42" i="13"/>
  <c r="X32" i="12"/>
  <c r="Y32" i="12" s="1"/>
  <c r="AB32" i="12" s="1"/>
  <c r="X32" i="13"/>
  <c r="X39" i="12"/>
  <c r="Y39" i="12" s="1"/>
  <c r="AB39" i="12" s="1"/>
  <c r="X39" i="13"/>
  <c r="X9" i="12"/>
  <c r="Y9" i="12" s="1"/>
  <c r="AB9" i="12" s="1"/>
  <c r="X9" i="13"/>
  <c r="X44" i="12"/>
  <c r="Y44" i="12" s="1"/>
  <c r="AB44" i="12" s="1"/>
  <c r="X44" i="13"/>
  <c r="AG69" i="6"/>
  <c r="AG67" i="9"/>
  <c r="AG67" i="8"/>
  <c r="AG67" i="7"/>
  <c r="X20" i="12"/>
  <c r="Y20" i="12" s="1"/>
  <c r="AB20" i="12" s="1"/>
  <c r="X20" i="13"/>
  <c r="X40" i="12"/>
  <c r="Y40" i="12" s="1"/>
  <c r="AB40" i="12" s="1"/>
  <c r="X40" i="13"/>
  <c r="X12" i="12"/>
  <c r="Y12" i="12" s="1"/>
  <c r="AB12" i="12" s="1"/>
  <c r="X12" i="13"/>
  <c r="X29" i="12"/>
  <c r="Y29" i="12" s="1"/>
  <c r="AB29" i="12" s="1"/>
  <c r="X29" i="13"/>
  <c r="X18" i="12"/>
  <c r="Y18" i="12" s="1"/>
  <c r="AB18" i="12" s="1"/>
  <c r="X18" i="13"/>
  <c r="X10" i="12"/>
  <c r="Y10" i="12" s="1"/>
  <c r="AB10" i="12" s="1"/>
  <c r="X10" i="13"/>
  <c r="X23" i="12"/>
  <c r="Y23" i="12" s="1"/>
  <c r="AB23" i="12" s="1"/>
  <c r="X23" i="13"/>
  <c r="X41" i="12"/>
  <c r="Y41" i="12" s="1"/>
  <c r="AB41" i="12" s="1"/>
  <c r="X41" i="13"/>
  <c r="B9" i="31" l="1"/>
  <c r="B14" i="31" s="1"/>
  <c r="K14" i="30"/>
  <c r="X5" i="24"/>
  <c r="B7" i="31"/>
  <c r="B13" i="31" s="1"/>
  <c r="I9" i="30"/>
  <c r="I11" i="30"/>
  <c r="I7" i="30"/>
  <c r="I13" i="30" s="1"/>
  <c r="B11" i="31"/>
  <c r="Y18" i="13"/>
  <c r="AB18" i="13" s="1"/>
  <c r="AJ18" i="24" s="1"/>
  <c r="U18" i="29"/>
  <c r="U63" i="29" s="1"/>
  <c r="Y22" i="13"/>
  <c r="AB22" i="13" s="1"/>
  <c r="AJ22" i="24" s="1"/>
  <c r="U22" i="29"/>
  <c r="U67" i="29" s="1"/>
  <c r="Y19" i="13"/>
  <c r="AB19" i="13" s="1"/>
  <c r="AJ19" i="24" s="1"/>
  <c r="U19" i="29"/>
  <c r="U64" i="29" s="1"/>
  <c r="Y16" i="13"/>
  <c r="AB16" i="13" s="1"/>
  <c r="AA288" i="17" s="1"/>
  <c r="U16" i="29"/>
  <c r="U61" i="29" s="1"/>
  <c r="Y41" i="13"/>
  <c r="AB41" i="13" s="1"/>
  <c r="AJ41" i="24" s="1"/>
  <c r="U41" i="29"/>
  <c r="U86" i="29" s="1"/>
  <c r="Y20" i="13"/>
  <c r="AB20" i="13" s="1"/>
  <c r="AJ20" i="24" s="1"/>
  <c r="U20" i="29"/>
  <c r="U65" i="29" s="1"/>
  <c r="Y9" i="13"/>
  <c r="AB9" i="13" s="1"/>
  <c r="AA455" i="16" s="1"/>
  <c r="AG455" i="16" s="1"/>
  <c r="U9" i="29"/>
  <c r="U54" i="29" s="1"/>
  <c r="Y36" i="13"/>
  <c r="AB36" i="13" s="1"/>
  <c r="AJ36" i="24" s="1"/>
  <c r="U36" i="29"/>
  <c r="U81" i="29" s="1"/>
  <c r="Y11" i="13"/>
  <c r="AB11" i="13" s="1"/>
  <c r="AJ11" i="24" s="1"/>
  <c r="U11" i="29"/>
  <c r="U56" i="29" s="1"/>
  <c r="Y38" i="13"/>
  <c r="AB38" i="13" s="1"/>
  <c r="AJ38" i="24" s="1"/>
  <c r="U38" i="29"/>
  <c r="U83" i="29" s="1"/>
  <c r="Y15" i="13"/>
  <c r="AB15" i="13" s="1"/>
  <c r="AJ15" i="24" s="1"/>
  <c r="U15" i="29"/>
  <c r="U60" i="29" s="1"/>
  <c r="Y13" i="13"/>
  <c r="AB13" i="13" s="1"/>
  <c r="AA535" i="16" s="1"/>
  <c r="U13" i="29"/>
  <c r="U58" i="29" s="1"/>
  <c r="Y29" i="13"/>
  <c r="AB29" i="13" s="1"/>
  <c r="AJ29" i="24" s="1"/>
  <c r="U29" i="29"/>
  <c r="U74" i="29" s="1"/>
  <c r="Y17" i="13"/>
  <c r="AB17" i="13" s="1"/>
  <c r="AJ17" i="24" s="1"/>
  <c r="U17" i="29"/>
  <c r="U62" i="29" s="1"/>
  <c r="Y8" i="13"/>
  <c r="AB8" i="13" s="1"/>
  <c r="G21" i="22" s="1"/>
  <c r="I21" i="22" s="1"/>
  <c r="U8" i="29"/>
  <c r="U53" i="29" s="1"/>
  <c r="Y23" i="13"/>
  <c r="AB23" i="13" s="1"/>
  <c r="AJ23" i="24" s="1"/>
  <c r="U23" i="29"/>
  <c r="U68" i="29" s="1"/>
  <c r="Y39" i="13"/>
  <c r="AB39" i="13" s="1"/>
  <c r="AJ39" i="24" s="1"/>
  <c r="U39" i="29"/>
  <c r="U84" i="29" s="1"/>
  <c r="Y42" i="13"/>
  <c r="AB42" i="13" s="1"/>
  <c r="AJ42" i="24" s="1"/>
  <c r="U42" i="29"/>
  <c r="U87" i="29" s="1"/>
  <c r="Y7" i="13"/>
  <c r="AB7" i="13" s="1"/>
  <c r="AJ7" i="24" s="1"/>
  <c r="U7" i="29"/>
  <c r="U52" i="29" s="1"/>
  <c r="Y43" i="13"/>
  <c r="AB43" i="13" s="1"/>
  <c r="AA886" i="16" s="1"/>
  <c r="U43" i="29"/>
  <c r="U88" i="29" s="1"/>
  <c r="Y21" i="13"/>
  <c r="AB21" i="13" s="1"/>
  <c r="AJ21" i="24" s="1"/>
  <c r="U21" i="29"/>
  <c r="U66" i="29" s="1"/>
  <c r="Y28" i="13"/>
  <c r="AB28" i="13" s="1"/>
  <c r="AJ28" i="24" s="1"/>
  <c r="U28" i="29"/>
  <c r="U73" i="29" s="1"/>
  <c r="Y31" i="13"/>
  <c r="AB31" i="13" s="1"/>
  <c r="AJ31" i="24" s="1"/>
  <c r="U31" i="29"/>
  <c r="U76" i="29" s="1"/>
  <c r="Y25" i="13"/>
  <c r="AB25" i="13" s="1"/>
  <c r="AJ25" i="24" s="1"/>
  <c r="U25" i="29"/>
  <c r="U70" i="29" s="1"/>
  <c r="Y12" i="13"/>
  <c r="AB12" i="13" s="1"/>
  <c r="AJ12" i="24" s="1"/>
  <c r="U12" i="29"/>
  <c r="U57" i="29" s="1"/>
  <c r="Y24" i="13"/>
  <c r="AB24" i="13" s="1"/>
  <c r="AJ24" i="24" s="1"/>
  <c r="U24" i="29"/>
  <c r="U69" i="29" s="1"/>
  <c r="Y37" i="13"/>
  <c r="AB37" i="13" s="1"/>
  <c r="AJ37" i="24" s="1"/>
  <c r="U37" i="29"/>
  <c r="U82" i="29" s="1"/>
  <c r="Y26" i="13"/>
  <c r="AB26" i="13" s="1"/>
  <c r="AA362" i="17" s="1"/>
  <c r="U26" i="29"/>
  <c r="U71" i="29" s="1"/>
  <c r="Y27" i="13"/>
  <c r="AB27" i="13" s="1"/>
  <c r="AJ27" i="24" s="1"/>
  <c r="U27" i="29"/>
  <c r="U72" i="29" s="1"/>
  <c r="Y10" i="13"/>
  <c r="AB10" i="13" s="1"/>
  <c r="AJ10" i="24" s="1"/>
  <c r="U10" i="29"/>
  <c r="U55" i="29" s="1"/>
  <c r="Y30" i="13"/>
  <c r="AB30" i="13" s="1"/>
  <c r="AJ30" i="24" s="1"/>
  <c r="U30" i="29"/>
  <c r="U75" i="29" s="1"/>
  <c r="Y35" i="13"/>
  <c r="AB35" i="13" s="1"/>
  <c r="AJ35" i="24" s="1"/>
  <c r="U35" i="29"/>
  <c r="U80" i="29" s="1"/>
  <c r="Y33" i="13"/>
  <c r="AB33" i="13" s="1"/>
  <c r="AJ33" i="24" s="1"/>
  <c r="U33" i="29"/>
  <c r="U78" i="29" s="1"/>
  <c r="Y40" i="13"/>
  <c r="AB40" i="13" s="1"/>
  <c r="AJ40" i="24" s="1"/>
  <c r="U40" i="29"/>
  <c r="U85" i="29" s="1"/>
  <c r="Y44" i="13"/>
  <c r="AB44" i="13" s="1"/>
  <c r="AJ44" i="24" s="1"/>
  <c r="U44" i="29"/>
  <c r="U89" i="29" s="1"/>
  <c r="Y32" i="13"/>
  <c r="AB32" i="13" s="1"/>
  <c r="AJ32" i="24" s="1"/>
  <c r="U32" i="29"/>
  <c r="U77" i="29" s="1"/>
  <c r="Y14" i="13"/>
  <c r="AB14" i="13" s="1"/>
  <c r="AJ14" i="24" s="1"/>
  <c r="U14" i="29"/>
  <c r="U59" i="29" s="1"/>
  <c r="Y34" i="13"/>
  <c r="AB34" i="13" s="1"/>
  <c r="AJ34" i="24" s="1"/>
  <c r="U34" i="29"/>
  <c r="U79" i="29" s="1"/>
  <c r="Y6" i="13"/>
  <c r="AB6" i="13" s="1"/>
  <c r="AA54" i="16" s="1"/>
  <c r="U6" i="29"/>
  <c r="U51" i="29" s="1"/>
  <c r="AQ26" i="23"/>
  <c r="AQ14" i="23"/>
  <c r="AA869" i="16"/>
  <c r="AG869" i="16" s="1"/>
  <c r="AA839" i="16"/>
  <c r="AA838" i="16"/>
  <c r="AA845" i="16"/>
  <c r="AA860" i="16"/>
  <c r="AA852" i="16"/>
  <c r="AA825" i="16"/>
  <c r="AA801" i="16"/>
  <c r="AA858" i="16"/>
  <c r="AA794" i="16"/>
  <c r="Q46" i="13"/>
  <c r="AB48" i="12"/>
  <c r="AB48" i="13"/>
  <c r="AB48" i="10"/>
  <c r="AB48" i="11"/>
  <c r="AB46" i="11"/>
  <c r="X5" i="12"/>
  <c r="X5" i="13"/>
  <c r="S65" i="9"/>
  <c r="AM69" i="6"/>
  <c r="AM67" i="9"/>
  <c r="AM67" i="8"/>
  <c r="AM67" i="7"/>
  <c r="Q46" i="12"/>
  <c r="AA726" i="16" l="1"/>
  <c r="AA504" i="16"/>
  <c r="AA816" i="16"/>
  <c r="AA835" i="16"/>
  <c r="AA865" i="16"/>
  <c r="AG865" i="16" s="1"/>
  <c r="AA803" i="16"/>
  <c r="AA791" i="16"/>
  <c r="AA841" i="16"/>
  <c r="AG841" i="16" s="1"/>
  <c r="AA789" i="16"/>
  <c r="AA870" i="16"/>
  <c r="AG870" i="16" s="1"/>
  <c r="AA850" i="16"/>
  <c r="AA806" i="16"/>
  <c r="AA873" i="16"/>
  <c r="AG873" i="16" s="1"/>
  <c r="AA280" i="17"/>
  <c r="AA796" i="16"/>
  <c r="AA815" i="16"/>
  <c r="AA863" i="16"/>
  <c r="AG863" i="16" s="1"/>
  <c r="AA498" i="16"/>
  <c r="AG498" i="16" s="1"/>
  <c r="AA771" i="16"/>
  <c r="B15" i="31"/>
  <c r="AA768" i="16"/>
  <c r="AG768" i="16" s="1"/>
  <c r="AA527" i="16"/>
  <c r="AA729" i="16"/>
  <c r="AA732" i="16"/>
  <c r="L732" i="21" s="1"/>
  <c r="O732" i="21" s="1"/>
  <c r="AA737" i="16"/>
  <c r="AA782" i="16"/>
  <c r="L782" i="21" s="1"/>
  <c r="O782" i="21" s="1"/>
  <c r="AA599" i="16"/>
  <c r="AG599" i="16" s="1"/>
  <c r="AA772" i="16"/>
  <c r="AG772" i="16" s="1"/>
  <c r="AA802" i="16"/>
  <c r="AG802" i="16" s="1"/>
  <c r="AA819" i="16"/>
  <c r="AG819" i="16" s="1"/>
  <c r="AA821" i="16"/>
  <c r="L821" i="21" s="1"/>
  <c r="O821" i="21" s="1"/>
  <c r="AA823" i="16"/>
  <c r="AG823" i="16" s="1"/>
  <c r="AA502" i="16"/>
  <c r="L502" i="21" s="1"/>
  <c r="O502" i="21" s="1"/>
  <c r="AA416" i="17"/>
  <c r="AA496" i="16"/>
  <c r="L496" i="21" s="1"/>
  <c r="O496" i="21" s="1"/>
  <c r="AA767" i="16"/>
  <c r="AG767" i="16" s="1"/>
  <c r="AA842" i="16"/>
  <c r="L842" i="21" s="1"/>
  <c r="O842" i="21" s="1"/>
  <c r="AA851" i="16"/>
  <c r="AG851" i="16" s="1"/>
  <c r="AA790" i="16"/>
  <c r="AG790" i="16" s="1"/>
  <c r="AA800" i="16"/>
  <c r="AG800" i="16" s="1"/>
  <c r="AA505" i="16"/>
  <c r="L505" i="21" s="1"/>
  <c r="O505" i="21" s="1"/>
  <c r="AA866" i="16"/>
  <c r="AG866" i="16" s="1"/>
  <c r="AA769" i="16"/>
  <c r="AG769" i="16" s="1"/>
  <c r="AA300" i="17"/>
  <c r="AA818" i="16"/>
  <c r="L818" i="21" s="1"/>
  <c r="O818" i="21" s="1"/>
  <c r="AA820" i="16"/>
  <c r="AG820" i="16" s="1"/>
  <c r="AA822" i="16"/>
  <c r="L822" i="21" s="1"/>
  <c r="O822" i="21" s="1"/>
  <c r="AA848" i="16"/>
  <c r="AG848" i="16" s="1"/>
  <c r="AA872" i="16"/>
  <c r="AG872" i="16" s="1"/>
  <c r="AA602" i="16"/>
  <c r="AG602" i="16" s="1"/>
  <c r="AA294" i="17"/>
  <c r="AA284" i="17"/>
  <c r="AA743" i="16"/>
  <c r="L743" i="21" s="1"/>
  <c r="O743" i="21" s="1"/>
  <c r="AA703" i="16"/>
  <c r="AG703" i="16" s="1"/>
  <c r="AA492" i="16"/>
  <c r="AG492" i="16" s="1"/>
  <c r="AA497" i="16"/>
  <c r="AG497" i="16" s="1"/>
  <c r="AA761" i="16"/>
  <c r="L761" i="21" s="1"/>
  <c r="O761" i="21" s="1"/>
  <c r="AA766" i="16"/>
  <c r="L766" i="21" s="1"/>
  <c r="O766" i="21" s="1"/>
  <c r="AA328" i="16"/>
  <c r="AG328" i="16" s="1"/>
  <c r="AA817" i="16"/>
  <c r="AG817" i="16" s="1"/>
  <c r="AA811" i="16"/>
  <c r="L811" i="21" s="1"/>
  <c r="O811" i="21" s="1"/>
  <c r="AA836" i="16"/>
  <c r="AG836" i="16" s="1"/>
  <c r="AA853" i="16"/>
  <c r="AG853" i="16" s="1"/>
  <c r="AA807" i="16"/>
  <c r="L807" i="21" s="1"/>
  <c r="O807" i="21" s="1"/>
  <c r="AA832" i="16"/>
  <c r="AG832" i="16" s="1"/>
  <c r="AA503" i="16"/>
  <c r="AG503" i="16" s="1"/>
  <c r="AA410" i="17"/>
  <c r="AA871" i="16"/>
  <c r="AG871" i="16" s="1"/>
  <c r="AA490" i="16"/>
  <c r="AG490" i="16" s="1"/>
  <c r="AA731" i="16"/>
  <c r="AG731" i="16" s="1"/>
  <c r="AA727" i="16"/>
  <c r="AG727" i="16" s="1"/>
  <c r="AA511" i="16"/>
  <c r="AG511" i="16" s="1"/>
  <c r="AA407" i="17"/>
  <c r="AA730" i="16"/>
  <c r="AG730" i="16" s="1"/>
  <c r="AA764" i="16"/>
  <c r="AG764" i="16" s="1"/>
  <c r="AA834" i="16"/>
  <c r="L834" i="21" s="1"/>
  <c r="O834" i="21" s="1"/>
  <c r="AA833" i="16"/>
  <c r="L833" i="21" s="1"/>
  <c r="O833" i="21" s="1"/>
  <c r="AA788" i="16"/>
  <c r="AG788" i="16" s="1"/>
  <c r="AA805" i="16"/>
  <c r="AG805" i="16" s="1"/>
  <c r="AA830" i="16"/>
  <c r="L830" i="21" s="1"/>
  <c r="O830" i="21" s="1"/>
  <c r="AA855" i="16"/>
  <c r="AA506" i="16"/>
  <c r="L506" i="21" s="1"/>
  <c r="O506" i="21" s="1"/>
  <c r="AA405" i="17"/>
  <c r="AA494" i="16"/>
  <c r="L494" i="21" s="1"/>
  <c r="O494" i="21" s="1"/>
  <c r="AA722" i="16"/>
  <c r="L722" i="21" s="1"/>
  <c r="O722" i="21" s="1"/>
  <c r="AA733" i="16"/>
  <c r="AG733" i="16" s="1"/>
  <c r="AA810" i="16"/>
  <c r="AG810" i="16" s="1"/>
  <c r="AA787" i="16"/>
  <c r="AG787" i="16" s="1"/>
  <c r="AA804" i="16"/>
  <c r="AG804" i="16" s="1"/>
  <c r="AA837" i="16"/>
  <c r="L837" i="21" s="1"/>
  <c r="O837" i="21" s="1"/>
  <c r="AA854" i="16"/>
  <c r="AG854" i="16" s="1"/>
  <c r="AA808" i="16"/>
  <c r="AG808" i="16" s="1"/>
  <c r="AA508" i="16"/>
  <c r="AG508" i="16" s="1"/>
  <c r="AA414" i="17"/>
  <c r="AA499" i="16"/>
  <c r="L499" i="21" s="1"/>
  <c r="O499" i="21" s="1"/>
  <c r="AA500" i="16"/>
  <c r="L500" i="21" s="1"/>
  <c r="O500" i="21" s="1"/>
  <c r="AA493" i="16"/>
  <c r="AG493" i="16" s="1"/>
  <c r="AA491" i="16"/>
  <c r="AG491" i="16" s="1"/>
  <c r="AA762" i="16"/>
  <c r="AG762" i="16" s="1"/>
  <c r="AA723" i="16"/>
  <c r="AG723" i="16" s="1"/>
  <c r="AA725" i="16"/>
  <c r="AG725" i="16" s="1"/>
  <c r="AA728" i="16"/>
  <c r="AG728" i="16" s="1"/>
  <c r="AA826" i="16"/>
  <c r="AG826" i="16" s="1"/>
  <c r="AA785" i="16"/>
  <c r="L785" i="21" s="1"/>
  <c r="O785" i="21" s="1"/>
  <c r="AA793" i="16"/>
  <c r="AG793" i="16" s="1"/>
  <c r="AA827" i="16"/>
  <c r="AG827" i="16" s="1"/>
  <c r="AA812" i="16"/>
  <c r="AG812" i="16" s="1"/>
  <c r="AA797" i="16"/>
  <c r="AG797" i="16" s="1"/>
  <c r="AA861" i="16"/>
  <c r="AG861" i="16" s="1"/>
  <c r="AA846" i="16"/>
  <c r="AG846" i="16" s="1"/>
  <c r="AA831" i="16"/>
  <c r="AG831" i="16" s="1"/>
  <c r="AA824" i="16"/>
  <c r="AG824" i="16" s="1"/>
  <c r="AA512" i="16"/>
  <c r="AG512" i="16" s="1"/>
  <c r="AA867" i="16"/>
  <c r="AG867" i="16" s="1"/>
  <c r="AA408" i="17"/>
  <c r="AA415" i="17"/>
  <c r="AA495" i="16"/>
  <c r="AG495" i="16" s="1"/>
  <c r="AA610" i="16"/>
  <c r="AG610" i="16" s="1"/>
  <c r="AA770" i="16"/>
  <c r="AG770" i="16" s="1"/>
  <c r="AA763" i="16"/>
  <c r="AG763" i="16" s="1"/>
  <c r="AA765" i="16"/>
  <c r="AG765" i="16" s="1"/>
  <c r="AA849" i="16"/>
  <c r="AG849" i="16" s="1"/>
  <c r="AA857" i="16"/>
  <c r="AG857" i="16" s="1"/>
  <c r="AA843" i="16"/>
  <c r="L843" i="21" s="1"/>
  <c r="O843" i="21" s="1"/>
  <c r="AA828" i="16"/>
  <c r="AG828" i="16" s="1"/>
  <c r="AA813" i="16"/>
  <c r="AG813" i="16" s="1"/>
  <c r="AA798" i="16"/>
  <c r="L798" i="21" s="1"/>
  <c r="O798" i="21" s="1"/>
  <c r="AA862" i="16"/>
  <c r="L865" i="21" s="1"/>
  <c r="O865" i="21" s="1"/>
  <c r="AA847" i="16"/>
  <c r="L847" i="21" s="1"/>
  <c r="O847" i="21" s="1"/>
  <c r="AA840" i="16"/>
  <c r="AG840" i="16" s="1"/>
  <c r="AA509" i="16"/>
  <c r="L509" i="21" s="1"/>
  <c r="O509" i="21" s="1"/>
  <c r="AA501" i="16"/>
  <c r="L501" i="21" s="1"/>
  <c r="O501" i="21" s="1"/>
  <c r="AA413" i="17"/>
  <c r="AA868" i="16"/>
  <c r="AG868" i="16" s="1"/>
  <c r="AA874" i="16"/>
  <c r="AG874" i="16" s="1"/>
  <c r="AA651" i="16"/>
  <c r="AG651" i="16" s="1"/>
  <c r="AA380" i="17"/>
  <c r="AA489" i="16"/>
  <c r="AG489" i="16" s="1"/>
  <c r="AA692" i="16"/>
  <c r="AG692" i="16" s="1"/>
  <c r="AA721" i="16"/>
  <c r="L721" i="21" s="1"/>
  <c r="O721" i="21" s="1"/>
  <c r="AA724" i="16"/>
  <c r="AG724" i="16" s="1"/>
  <c r="AA734" i="16"/>
  <c r="AG734" i="16" s="1"/>
  <c r="AA809" i="16"/>
  <c r="AG809" i="16" s="1"/>
  <c r="AA786" i="16"/>
  <c r="AG786" i="16" s="1"/>
  <c r="AA795" i="16"/>
  <c r="AG795" i="16" s="1"/>
  <c r="AA859" i="16"/>
  <c r="L859" i="21" s="1"/>
  <c r="O859" i="21" s="1"/>
  <c r="AA844" i="16"/>
  <c r="L844" i="21" s="1"/>
  <c r="O844" i="21" s="1"/>
  <c r="AA829" i="16"/>
  <c r="AG829" i="16" s="1"/>
  <c r="AA814" i="16"/>
  <c r="AG814" i="16" s="1"/>
  <c r="AA799" i="16"/>
  <c r="AG799" i="16" s="1"/>
  <c r="AA792" i="16"/>
  <c r="AG792" i="16" s="1"/>
  <c r="AA856" i="16"/>
  <c r="L856" i="21" s="1"/>
  <c r="O856" i="21" s="1"/>
  <c r="AA510" i="16"/>
  <c r="L510" i="21" s="1"/>
  <c r="O510" i="21" s="1"/>
  <c r="AA507" i="16"/>
  <c r="L507" i="21" s="1"/>
  <c r="O507" i="21" s="1"/>
  <c r="AA864" i="16"/>
  <c r="AG864" i="16" s="1"/>
  <c r="AA406" i="17"/>
  <c r="AA397" i="17"/>
  <c r="AA323" i="17"/>
  <c r="AA518" i="16"/>
  <c r="AG518" i="16" s="1"/>
  <c r="AA369" i="16"/>
  <c r="L369" i="21" s="1"/>
  <c r="O369" i="21" s="1"/>
  <c r="AA136" i="16"/>
  <c r="AG136" i="16" s="1"/>
  <c r="AA150" i="17"/>
  <c r="AA191" i="16"/>
  <c r="AG191" i="16" s="1"/>
  <c r="AA254" i="17"/>
  <c r="AA111" i="16"/>
  <c r="AG111" i="16" s="1"/>
  <c r="AA263" i="16"/>
  <c r="AG263" i="16" s="1"/>
  <c r="AA403" i="16"/>
  <c r="AG403" i="16" s="1"/>
  <c r="AA684" i="16"/>
  <c r="AG684" i="16" s="1"/>
  <c r="AA315" i="17"/>
  <c r="AA98" i="16"/>
  <c r="L98" i="21" s="1"/>
  <c r="O98" i="21" s="1"/>
  <c r="AA186" i="16"/>
  <c r="AG186" i="16" s="1"/>
  <c r="AA598" i="16"/>
  <c r="AG598" i="16" s="1"/>
  <c r="AA149" i="16"/>
  <c r="L149" i="21" s="1"/>
  <c r="O149" i="21" s="1"/>
  <c r="AA746" i="16"/>
  <c r="AG746" i="16" s="1"/>
  <c r="AA255" i="17"/>
  <c r="AA217" i="17"/>
  <c r="AA382" i="16"/>
  <c r="AG382" i="16" s="1"/>
  <c r="AA393" i="16"/>
  <c r="AG393" i="16" s="1"/>
  <c r="AA571" i="16"/>
  <c r="AG571" i="16" s="1"/>
  <c r="AA666" i="16"/>
  <c r="AG666" i="16" s="1"/>
  <c r="AA638" i="16"/>
  <c r="AG638" i="16" s="1"/>
  <c r="AA351" i="17"/>
  <c r="AA311" i="16"/>
  <c r="AG311" i="16" s="1"/>
  <c r="AA881" i="16"/>
  <c r="AG881" i="16" s="1"/>
  <c r="AA154" i="16"/>
  <c r="AG154" i="16" s="1"/>
  <c r="AA258" i="16"/>
  <c r="L258" i="21" s="1"/>
  <c r="O258" i="21" s="1"/>
  <c r="AA739" i="16"/>
  <c r="AG739" i="16" s="1"/>
  <c r="AA575" i="16"/>
  <c r="AG575" i="16" s="1"/>
  <c r="AA108" i="16"/>
  <c r="AG108" i="16" s="1"/>
  <c r="AA182" i="17"/>
  <c r="AA292" i="16"/>
  <c r="AG292" i="16" s="1"/>
  <c r="AA670" i="16"/>
  <c r="AG670" i="16" s="1"/>
  <c r="AA138" i="16"/>
  <c r="AG138" i="16" s="1"/>
  <c r="AA401" i="16"/>
  <c r="AG401" i="16" s="1"/>
  <c r="AA625" i="16"/>
  <c r="AG625" i="16" s="1"/>
  <c r="AA399" i="17"/>
  <c r="AA188" i="16"/>
  <c r="AG188" i="16" s="1"/>
  <c r="AA882" i="16"/>
  <c r="AG882" i="16" s="1"/>
  <c r="AA390" i="16"/>
  <c r="AG390" i="16" s="1"/>
  <c r="AA271" i="17"/>
  <c r="AA444" i="16"/>
  <c r="AG444" i="16" s="1"/>
  <c r="AA241" i="17"/>
  <c r="AA609" i="16"/>
  <c r="AG609" i="16" s="1"/>
  <c r="AA679" i="16"/>
  <c r="AG679" i="16" s="1"/>
  <c r="AA378" i="17"/>
  <c r="AA101" i="16"/>
  <c r="L101" i="21" s="1"/>
  <c r="O101" i="21" s="1"/>
  <c r="AA597" i="16"/>
  <c r="AG597" i="16" s="1"/>
  <c r="AA262" i="16"/>
  <c r="AG262" i="16" s="1"/>
  <c r="AA259" i="16"/>
  <c r="AG259" i="16" s="1"/>
  <c r="AA735" i="16"/>
  <c r="AG735" i="16" s="1"/>
  <c r="AA517" i="16"/>
  <c r="AG517" i="16" s="1"/>
  <c r="AA461" i="16"/>
  <c r="AG461" i="16" s="1"/>
  <c r="AA222" i="17"/>
  <c r="AA627" i="16"/>
  <c r="AG627" i="16" s="1"/>
  <c r="AA336" i="17"/>
  <c r="AA306" i="16"/>
  <c r="AG306" i="16" s="1"/>
  <c r="AA132" i="16"/>
  <c r="L132" i="21" s="1"/>
  <c r="O132" i="21" s="1"/>
  <c r="AA332" i="16"/>
  <c r="L332" i="21" s="1"/>
  <c r="O332" i="21" s="1"/>
  <c r="AA554" i="16"/>
  <c r="AG554" i="16" s="1"/>
  <c r="AA218" i="17"/>
  <c r="AA521" i="16"/>
  <c r="AG521" i="16" s="1"/>
  <c r="AA601" i="16"/>
  <c r="AG601" i="16" s="1"/>
  <c r="AA600" i="16"/>
  <c r="AG600" i="16" s="1"/>
  <c r="AA740" i="16"/>
  <c r="L740" i="21" s="1"/>
  <c r="O740" i="21" s="1"/>
  <c r="AA783" i="16"/>
  <c r="AG783" i="16" s="1"/>
  <c r="AA5" i="16"/>
  <c r="AG5" i="16" s="1"/>
  <c r="AA438" i="16"/>
  <c r="AG438" i="16" s="1"/>
  <c r="AA594" i="16"/>
  <c r="L594" i="21" s="1"/>
  <c r="O594" i="21" s="1"/>
  <c r="AA748" i="16"/>
  <c r="AG748" i="16" s="1"/>
  <c r="AA736" i="16"/>
  <c r="L736" i="21" s="1"/>
  <c r="O736" i="21" s="1"/>
  <c r="AA709" i="16"/>
  <c r="AG709" i="16" s="1"/>
  <c r="AA295" i="17"/>
  <c r="AA603" i="16"/>
  <c r="AG603" i="16" s="1"/>
  <c r="AA297" i="17"/>
  <c r="AA780" i="16"/>
  <c r="AG780" i="16" s="1"/>
  <c r="AA784" i="16"/>
  <c r="AG784" i="16" s="1"/>
  <c r="AA750" i="16"/>
  <c r="AG750" i="16" s="1"/>
  <c r="AA553" i="16"/>
  <c r="AG553" i="16" s="1"/>
  <c r="AA299" i="17"/>
  <c r="AA745" i="16"/>
  <c r="AG745" i="16" s="1"/>
  <c r="AA773" i="16"/>
  <c r="AG773" i="16" s="1"/>
  <c r="AA752" i="16"/>
  <c r="AG752" i="16" s="1"/>
  <c r="AA298" i="17"/>
  <c r="AA296" i="17"/>
  <c r="AA777" i="16"/>
  <c r="AG777" i="16" s="1"/>
  <c r="AA781" i="16"/>
  <c r="AG781" i="16" s="1"/>
  <c r="AA516" i="16"/>
  <c r="AG516" i="16" s="1"/>
  <c r="AA558" i="16"/>
  <c r="AG558" i="16" s="1"/>
  <c r="AA193" i="16"/>
  <c r="AG193" i="16" s="1"/>
  <c r="AA99" i="16"/>
  <c r="L99" i="21" s="1"/>
  <c r="O99" i="21" s="1"/>
  <c r="AA367" i="16"/>
  <c r="AG367" i="16" s="1"/>
  <c r="AA196" i="16"/>
  <c r="AG196" i="16" s="1"/>
  <c r="AA181" i="16"/>
  <c r="AG181" i="16" s="1"/>
  <c r="AA377" i="16"/>
  <c r="L377" i="21" s="1"/>
  <c r="O377" i="21" s="1"/>
  <c r="AA362" i="16"/>
  <c r="AG362" i="16" s="1"/>
  <c r="AA199" i="16"/>
  <c r="AG199" i="16" s="1"/>
  <c r="AA310" i="16"/>
  <c r="AG310" i="16" s="1"/>
  <c r="AA300" i="16"/>
  <c r="L300" i="21" s="1"/>
  <c r="O300" i="21" s="1"/>
  <c r="AA389" i="16"/>
  <c r="AG389" i="16" s="1"/>
  <c r="AA245" i="16"/>
  <c r="AG245" i="16" s="1"/>
  <c r="AA318" i="16"/>
  <c r="L318" i="21" s="1"/>
  <c r="O318" i="21" s="1"/>
  <c r="AA319" i="16"/>
  <c r="AG319" i="16" s="1"/>
  <c r="AA140" i="16"/>
  <c r="L140" i="21" s="1"/>
  <c r="O140" i="21" s="1"/>
  <c r="AA384" i="16"/>
  <c r="AG384" i="16" s="1"/>
  <c r="AA241" i="16"/>
  <c r="AG241" i="16" s="1"/>
  <c r="AA86" i="16"/>
  <c r="L86" i="21" s="1"/>
  <c r="O86" i="21" s="1"/>
  <c r="AA314" i="16"/>
  <c r="AG314" i="16" s="1"/>
  <c r="AA87" i="16"/>
  <c r="AG87" i="16" s="1"/>
  <c r="AA315" i="16"/>
  <c r="AG315" i="16" s="1"/>
  <c r="AA144" i="16"/>
  <c r="AG144" i="16" s="1"/>
  <c r="AA388" i="16"/>
  <c r="AG388" i="16" s="1"/>
  <c r="AA152" i="17"/>
  <c r="AA757" i="16"/>
  <c r="L757" i="21" s="1"/>
  <c r="O757" i="21" s="1"/>
  <c r="AA40" i="17"/>
  <c r="AA259" i="17"/>
  <c r="AA579" i="16"/>
  <c r="AG579" i="16" s="1"/>
  <c r="AA274" i="17"/>
  <c r="AA275" i="17"/>
  <c r="AA432" i="16"/>
  <c r="AG432" i="16" s="1"/>
  <c r="AA113" i="16"/>
  <c r="AG113" i="16" s="1"/>
  <c r="AA221" i="17"/>
  <c r="AA407" i="16"/>
  <c r="AG407" i="16" s="1"/>
  <c r="AA398" i="16"/>
  <c r="AG398" i="16" s="1"/>
  <c r="AA441" i="16"/>
  <c r="AG441" i="16" s="1"/>
  <c r="AA112" i="16"/>
  <c r="AG112" i="16" s="1"/>
  <c r="AA460" i="16"/>
  <c r="AG460" i="16" s="1"/>
  <c r="AA399" i="16"/>
  <c r="AG399" i="16" s="1"/>
  <c r="AA246" i="17"/>
  <c r="AA478" i="16"/>
  <c r="AG478" i="16" s="1"/>
  <c r="AA479" i="16"/>
  <c r="AG479" i="16" s="1"/>
  <c r="AA293" i="16"/>
  <c r="AG293" i="16" s="1"/>
  <c r="AA105" i="16"/>
  <c r="AG105" i="16" s="1"/>
  <c r="AA107" i="16"/>
  <c r="L121" i="21" s="1"/>
  <c r="AA375" i="16"/>
  <c r="AG375" i="16" s="1"/>
  <c r="AA288" i="16"/>
  <c r="AG288" i="16" s="1"/>
  <c r="AA189" i="16"/>
  <c r="AG189" i="16" s="1"/>
  <c r="AA102" i="16"/>
  <c r="AG102" i="16" s="1"/>
  <c r="AA370" i="16"/>
  <c r="AG370" i="16" s="1"/>
  <c r="AA291" i="16"/>
  <c r="AG291" i="16" s="1"/>
  <c r="AA366" i="16"/>
  <c r="AG366" i="16" s="1"/>
  <c r="AA308" i="16"/>
  <c r="AG308" i="16" s="1"/>
  <c r="AA89" i="16"/>
  <c r="L89" i="21" s="1"/>
  <c r="O89" i="21" s="1"/>
  <c r="AA333" i="16"/>
  <c r="AG333" i="16" s="1"/>
  <c r="AA91" i="16"/>
  <c r="L91" i="21" s="1"/>
  <c r="O91" i="21" s="1"/>
  <c r="AA327" i="16"/>
  <c r="AG327" i="16" s="1"/>
  <c r="AA148" i="16"/>
  <c r="AG148" i="16" s="1"/>
  <c r="AA392" i="16"/>
  <c r="AG392" i="16" s="1"/>
  <c r="AA249" i="16"/>
  <c r="AG249" i="16" s="1"/>
  <c r="AA94" i="16"/>
  <c r="AG94" i="16" s="1"/>
  <c r="AA322" i="16"/>
  <c r="AG322" i="16" s="1"/>
  <c r="AA95" i="16"/>
  <c r="L117" i="21" s="1"/>
  <c r="AA323" i="16"/>
  <c r="AG323" i="16" s="1"/>
  <c r="AA152" i="16"/>
  <c r="AG152" i="16" s="1"/>
  <c r="AA143" i="17"/>
  <c r="AA577" i="16"/>
  <c r="AG577" i="16" s="1"/>
  <c r="AA266" i="17"/>
  <c r="AA576" i="16"/>
  <c r="AG576" i="16" s="1"/>
  <c r="AA164" i="17"/>
  <c r="AA83" i="17"/>
  <c r="AA115" i="16"/>
  <c r="AG115" i="16" s="1"/>
  <c r="AA400" i="16"/>
  <c r="AG400" i="16" s="1"/>
  <c r="AA433" i="16"/>
  <c r="AG433" i="16" s="1"/>
  <c r="AA454" i="16"/>
  <c r="AG454" i="16" s="1"/>
  <c r="AA442" i="16"/>
  <c r="AG442" i="16" s="1"/>
  <c r="AA114" i="16"/>
  <c r="AG114" i="16" s="1"/>
  <c r="AA402" i="16"/>
  <c r="AG402" i="16" s="1"/>
  <c r="AA463" i="16"/>
  <c r="AG463" i="16" s="1"/>
  <c r="AA95" i="17"/>
  <c r="AA450" i="16"/>
  <c r="AG450" i="16" s="1"/>
  <c r="AA301" i="16"/>
  <c r="L301" i="21" s="1"/>
  <c r="O301" i="21" s="1"/>
  <c r="AA201" i="16"/>
  <c r="L201" i="21" s="1"/>
  <c r="O201" i="21" s="1"/>
  <c r="AA187" i="16"/>
  <c r="AG187" i="16" s="1"/>
  <c r="AA383" i="16"/>
  <c r="L420" i="21" s="1"/>
  <c r="AA296" i="16"/>
  <c r="AG296" i="16" s="1"/>
  <c r="AA197" i="16"/>
  <c r="AG197" i="16" s="1"/>
  <c r="AA182" i="16"/>
  <c r="AG182" i="16" s="1"/>
  <c r="AA378" i="16"/>
  <c r="L378" i="21" s="1"/>
  <c r="O378" i="21" s="1"/>
  <c r="AA299" i="16"/>
  <c r="AG299" i="16" s="1"/>
  <c r="AA96" i="16"/>
  <c r="AG96" i="16" s="1"/>
  <c r="AA364" i="16"/>
  <c r="L364" i="21" s="1"/>
  <c r="O364" i="21" s="1"/>
  <c r="AA153" i="16"/>
  <c r="AG153" i="16" s="1"/>
  <c r="AA145" i="16"/>
  <c r="AG145" i="16" s="1"/>
  <c r="AA139" i="16"/>
  <c r="AG139" i="16" s="1"/>
  <c r="AA335" i="16"/>
  <c r="L441" i="21" s="1"/>
  <c r="AA240" i="16"/>
  <c r="AG240" i="16" s="1"/>
  <c r="AA334" i="16"/>
  <c r="AG334" i="16" s="1"/>
  <c r="AA257" i="16"/>
  <c r="L257" i="21" s="1"/>
  <c r="O257" i="21" s="1"/>
  <c r="AA134" i="16"/>
  <c r="AG134" i="16" s="1"/>
  <c r="AA330" i="16"/>
  <c r="AG330" i="16" s="1"/>
  <c r="AA135" i="16"/>
  <c r="L135" i="21" s="1"/>
  <c r="O135" i="21" s="1"/>
  <c r="AA331" i="16"/>
  <c r="AG331" i="16" s="1"/>
  <c r="AA244" i="16"/>
  <c r="AG244" i="16" s="1"/>
  <c r="AA145" i="17"/>
  <c r="AA268" i="17"/>
  <c r="AA264" i="17"/>
  <c r="AA272" i="17"/>
  <c r="AA191" i="17"/>
  <c r="AA85" i="17"/>
  <c r="AA117" i="16"/>
  <c r="AG117" i="16" s="1"/>
  <c r="AA406" i="16"/>
  <c r="AG406" i="16" s="1"/>
  <c r="AA443" i="16"/>
  <c r="AG443" i="16" s="1"/>
  <c r="AA154" i="17"/>
  <c r="AA84" i="17"/>
  <c r="AA116" i="16"/>
  <c r="AG116" i="16" s="1"/>
  <c r="AA458" i="16"/>
  <c r="AG458" i="16" s="1"/>
  <c r="AA103" i="17"/>
  <c r="AA481" i="16"/>
  <c r="AG481" i="16" s="1"/>
  <c r="AA381" i="16"/>
  <c r="L381" i="21" s="1"/>
  <c r="O381" i="21" s="1"/>
  <c r="AA195" i="16"/>
  <c r="AG195" i="16" s="1"/>
  <c r="AA289" i="16"/>
  <c r="L289" i="21" s="1"/>
  <c r="O289" i="21" s="1"/>
  <c r="AA194" i="16"/>
  <c r="AG194" i="16" s="1"/>
  <c r="AA307" i="16"/>
  <c r="L307" i="21" s="1"/>
  <c r="O307" i="21" s="1"/>
  <c r="AA372" i="16"/>
  <c r="AG372" i="16" s="1"/>
  <c r="AA253" i="16"/>
  <c r="AG253" i="16" s="1"/>
  <c r="AA147" i="16"/>
  <c r="AG147" i="16" s="1"/>
  <c r="AA391" i="16"/>
  <c r="AG391" i="16" s="1"/>
  <c r="AA248" i="16"/>
  <c r="AG248" i="16" s="1"/>
  <c r="AA85" i="16"/>
  <c r="AG85" i="16" s="1"/>
  <c r="AA313" i="16"/>
  <c r="AG313" i="16" s="1"/>
  <c r="AA142" i="16"/>
  <c r="AG142" i="16" s="1"/>
  <c r="AA386" i="16"/>
  <c r="AG386" i="16" s="1"/>
  <c r="AA143" i="16"/>
  <c r="AG143" i="16" s="1"/>
  <c r="AA387" i="16"/>
  <c r="AG387" i="16" s="1"/>
  <c r="AA252" i="16"/>
  <c r="AG252" i="16" s="1"/>
  <c r="AA142" i="17"/>
  <c r="AA147" i="17"/>
  <c r="AA578" i="16"/>
  <c r="AG578" i="16" s="1"/>
  <c r="AA566" i="16"/>
  <c r="AG566" i="16" s="1"/>
  <c r="AA263" i="17"/>
  <c r="AA200" i="17"/>
  <c r="AA87" i="17"/>
  <c r="AA119" i="16"/>
  <c r="AG119" i="16" s="1"/>
  <c r="AA456" i="16"/>
  <c r="AG456" i="16" s="1"/>
  <c r="AA82" i="17"/>
  <c r="AA157" i="17"/>
  <c r="AA86" i="17"/>
  <c r="AA118" i="16"/>
  <c r="AG118" i="16" s="1"/>
  <c r="AA159" i="17"/>
  <c r="AA127" i="16"/>
  <c r="AG127" i="16" s="1"/>
  <c r="AA98" i="17"/>
  <c r="G27" i="22"/>
  <c r="I27" i="22" s="1"/>
  <c r="AA106" i="16"/>
  <c r="L106" i="21" s="1"/>
  <c r="O106" i="21" s="1"/>
  <c r="AA302" i="16"/>
  <c r="AG302" i="16" s="1"/>
  <c r="AA304" i="16"/>
  <c r="AG304" i="16" s="1"/>
  <c r="AA190" i="16"/>
  <c r="AG190" i="16" s="1"/>
  <c r="AA104" i="16"/>
  <c r="AG104" i="16" s="1"/>
  <c r="AA97" i="16"/>
  <c r="AG97" i="16" s="1"/>
  <c r="AA365" i="16"/>
  <c r="AG365" i="16" s="1"/>
  <c r="AA203" i="16"/>
  <c r="AG203" i="16" s="1"/>
  <c r="AA374" i="16"/>
  <c r="AG374" i="16" s="1"/>
  <c r="AA360" i="16"/>
  <c r="AG360" i="16" s="1"/>
  <c r="AA297" i="16"/>
  <c r="AG297" i="16" s="1"/>
  <c r="AA198" i="16"/>
  <c r="AG198" i="16" s="1"/>
  <c r="AA294" i="16"/>
  <c r="L294" i="21" s="1"/>
  <c r="O294" i="21" s="1"/>
  <c r="AA363" i="16"/>
  <c r="AG363" i="16" s="1"/>
  <c r="AA184" i="16"/>
  <c r="AG184" i="16" s="1"/>
  <c r="AA380" i="16"/>
  <c r="AG380" i="16" s="1"/>
  <c r="AA317" i="16"/>
  <c r="AG317" i="16" s="1"/>
  <c r="AA146" i="16"/>
  <c r="L146" i="21" s="1"/>
  <c r="O146" i="21" s="1"/>
  <c r="AA155" i="16"/>
  <c r="L155" i="21" s="1"/>
  <c r="O155" i="21" s="1"/>
  <c r="AA246" i="16"/>
  <c r="AG246" i="16" s="1"/>
  <c r="AA256" i="16"/>
  <c r="AG256" i="16" s="1"/>
  <c r="AA93" i="16"/>
  <c r="AG93" i="16" s="1"/>
  <c r="AA321" i="16"/>
  <c r="AG321" i="16" s="1"/>
  <c r="AA150" i="16"/>
  <c r="AG150" i="16" s="1"/>
  <c r="AA394" i="16"/>
  <c r="AG394" i="16" s="1"/>
  <c r="AA151" i="16"/>
  <c r="AG151" i="16" s="1"/>
  <c r="AA395" i="16"/>
  <c r="AG395" i="16" s="1"/>
  <c r="AA260" i="16"/>
  <c r="AG260" i="16" s="1"/>
  <c r="AA144" i="17"/>
  <c r="AA149" i="17"/>
  <c r="AA250" i="17"/>
  <c r="AA570" i="16"/>
  <c r="AG570" i="16" s="1"/>
  <c r="AA574" i="16"/>
  <c r="AG574" i="16" s="1"/>
  <c r="AA265" i="17"/>
  <c r="AA215" i="17"/>
  <c r="AA89" i="17"/>
  <c r="AA155" i="17"/>
  <c r="AA219" i="17"/>
  <c r="AA163" i="17"/>
  <c r="AA160" i="17"/>
  <c r="AA88" i="17"/>
  <c r="AA192" i="17"/>
  <c r="AA162" i="17"/>
  <c r="AA430" i="16"/>
  <c r="AG430" i="16" s="1"/>
  <c r="AA126" i="16"/>
  <c r="AG126" i="16" s="1"/>
  <c r="G22" i="22"/>
  <c r="I22" i="22" s="1"/>
  <c r="AA185" i="16"/>
  <c r="L185" i="21" s="1"/>
  <c r="O185" i="21" s="1"/>
  <c r="AA373" i="16"/>
  <c r="AG373" i="16" s="1"/>
  <c r="AA295" i="16"/>
  <c r="L295" i="21" s="1"/>
  <c r="O295" i="21" s="1"/>
  <c r="AA100" i="16"/>
  <c r="AG100" i="16" s="1"/>
  <c r="AA368" i="16"/>
  <c r="AG368" i="16" s="1"/>
  <c r="AA305" i="16"/>
  <c r="AG305" i="16" s="1"/>
  <c r="AA290" i="16"/>
  <c r="AG290" i="16" s="1"/>
  <c r="AA103" i="16"/>
  <c r="L103" i="21" s="1"/>
  <c r="O103" i="21" s="1"/>
  <c r="AA371" i="16"/>
  <c r="L371" i="21" s="1"/>
  <c r="O371" i="21" s="1"/>
  <c r="AA192" i="16"/>
  <c r="L192" i="21" s="1"/>
  <c r="O192" i="21" s="1"/>
  <c r="AA137" i="16"/>
  <c r="AG137" i="16" s="1"/>
  <c r="AA261" i="16"/>
  <c r="AG261" i="16" s="1"/>
  <c r="AA247" i="16"/>
  <c r="AG247" i="16" s="1"/>
  <c r="AA84" i="16"/>
  <c r="AG84" i="16" s="1"/>
  <c r="AA312" i="16"/>
  <c r="AG312" i="16" s="1"/>
  <c r="AA133" i="16"/>
  <c r="AG133" i="16" s="1"/>
  <c r="AA329" i="16"/>
  <c r="AG329" i="16" s="1"/>
  <c r="AA242" i="16"/>
  <c r="L242" i="21" s="1"/>
  <c r="O242" i="21" s="1"/>
  <c r="AA243" i="16"/>
  <c r="L243" i="21" s="1"/>
  <c r="O243" i="21" s="1"/>
  <c r="AA254" i="16"/>
  <c r="L254" i="21" s="1"/>
  <c r="O254" i="21" s="1"/>
  <c r="AA316" i="16"/>
  <c r="AG316" i="16" s="1"/>
  <c r="AA146" i="17"/>
  <c r="AA151" i="17"/>
  <c r="AA270" i="17"/>
  <c r="AA276" i="17"/>
  <c r="AA267" i="17"/>
  <c r="AA397" i="16"/>
  <c r="AG397" i="16" s="1"/>
  <c r="AA91" i="17"/>
  <c r="AA161" i="17"/>
  <c r="AA190" i="17"/>
  <c r="AA202" i="17"/>
  <c r="AA211" i="17"/>
  <c r="AA90" i="17"/>
  <c r="AA396" i="16"/>
  <c r="AG396" i="16" s="1"/>
  <c r="AA165" i="17"/>
  <c r="AA440" i="16"/>
  <c r="AG440" i="16" s="1"/>
  <c r="AA183" i="17"/>
  <c r="AJ9" i="24"/>
  <c r="AA309" i="16"/>
  <c r="AG309" i="16" s="1"/>
  <c r="AA202" i="16"/>
  <c r="AG202" i="16" s="1"/>
  <c r="AA303" i="16"/>
  <c r="AG303" i="16" s="1"/>
  <c r="AA180" i="16"/>
  <c r="AG180" i="16" s="1"/>
  <c r="AA376" i="16"/>
  <c r="AG376" i="16" s="1"/>
  <c r="AA361" i="16"/>
  <c r="AG361" i="16" s="1"/>
  <c r="AA298" i="16"/>
  <c r="AG298" i="16" s="1"/>
  <c r="AA183" i="16"/>
  <c r="L183" i="21" s="1"/>
  <c r="O183" i="21" s="1"/>
  <c r="AA379" i="16"/>
  <c r="AG379" i="16" s="1"/>
  <c r="AA200" i="16"/>
  <c r="AG200" i="16" s="1"/>
  <c r="AA90" i="16"/>
  <c r="AG90" i="16" s="1"/>
  <c r="AA325" i="16"/>
  <c r="AG325" i="16" s="1"/>
  <c r="AA255" i="16"/>
  <c r="L255" i="21" s="1"/>
  <c r="O255" i="21" s="1"/>
  <c r="AA92" i="16"/>
  <c r="AG92" i="16" s="1"/>
  <c r="AA320" i="16"/>
  <c r="L320" i="21" s="1"/>
  <c r="O320" i="21" s="1"/>
  <c r="AA141" i="16"/>
  <c r="AG141" i="16" s="1"/>
  <c r="AA385" i="16"/>
  <c r="AG385" i="16" s="1"/>
  <c r="AA250" i="16"/>
  <c r="AG250" i="16" s="1"/>
  <c r="AA326" i="16"/>
  <c r="AG326" i="16" s="1"/>
  <c r="AA251" i="16"/>
  <c r="AG251" i="16" s="1"/>
  <c r="AA88" i="16"/>
  <c r="AG88" i="16" s="1"/>
  <c r="AA324" i="16"/>
  <c r="L324" i="21" s="1"/>
  <c r="O324" i="21" s="1"/>
  <c r="AA148" i="17"/>
  <c r="AA153" i="17"/>
  <c r="AA754" i="16"/>
  <c r="AG754" i="16" s="1"/>
  <c r="AA256" i="17"/>
  <c r="AA573" i="16"/>
  <c r="AG573" i="16" s="1"/>
  <c r="AA567" i="16"/>
  <c r="AG567" i="16" s="1"/>
  <c r="AA269" i="17"/>
  <c r="AA405" i="16"/>
  <c r="AG405" i="16" s="1"/>
  <c r="AA109" i="16"/>
  <c r="AG109" i="16" s="1"/>
  <c r="AA212" i="17"/>
  <c r="AA199" i="17"/>
  <c r="AA214" i="17"/>
  <c r="AA220" i="17"/>
  <c r="AA92" i="17"/>
  <c r="AA404" i="16"/>
  <c r="AG404" i="16" s="1"/>
  <c r="AA216" i="17"/>
  <c r="AA425" i="16"/>
  <c r="AG425" i="16" s="1"/>
  <c r="AA188" i="17"/>
  <c r="AA714" i="16"/>
  <c r="AG714" i="16" s="1"/>
  <c r="AA716" i="16"/>
  <c r="AG716" i="16" s="1"/>
  <c r="AA522" i="16"/>
  <c r="AG522" i="16" s="1"/>
  <c r="AA131" i="16"/>
  <c r="AG131" i="16" s="1"/>
  <c r="AA94" i="17"/>
  <c r="AA759" i="16"/>
  <c r="L759" i="21" s="1"/>
  <c r="O759" i="21" s="1"/>
  <c r="AA557" i="16"/>
  <c r="AG557" i="16" s="1"/>
  <c r="AA249" i="17"/>
  <c r="AA240" i="17"/>
  <c r="AA242" i="17"/>
  <c r="AA238" i="17"/>
  <c r="AA711" i="16"/>
  <c r="AG711" i="16" s="1"/>
  <c r="AA4" i="16"/>
  <c r="AG4" i="16" s="1"/>
  <c r="AA564" i="16"/>
  <c r="AG564" i="16" s="1"/>
  <c r="AA97" i="17"/>
  <c r="AA208" i="17"/>
  <c r="AA102" i="17"/>
  <c r="AA559" i="16"/>
  <c r="AG559" i="16" s="1"/>
  <c r="AA756" i="16"/>
  <c r="AG756" i="16" s="1"/>
  <c r="AA3" i="17"/>
  <c r="AA556" i="16"/>
  <c r="AG556" i="16" s="1"/>
  <c r="AA257" i="17"/>
  <c r="AA121" i="16"/>
  <c r="AG121" i="16" s="1"/>
  <c r="AA488" i="16"/>
  <c r="AG488" i="16" s="1"/>
  <c r="AA180" i="17"/>
  <c r="AA124" i="16"/>
  <c r="AG124" i="16" s="1"/>
  <c r="AA244" i="17"/>
  <c r="AA209" i="17"/>
  <c r="AA129" i="16"/>
  <c r="AG129" i="16" s="1"/>
  <c r="AA451" i="16"/>
  <c r="AG451" i="16" s="1"/>
  <c r="AA431" i="16"/>
  <c r="AG431" i="16" s="1"/>
  <c r="AA130" i="16"/>
  <c r="AG130" i="16" s="1"/>
  <c r="AA49" i="17"/>
  <c r="AA532" i="16"/>
  <c r="AG532" i="16" s="1"/>
  <c r="AA713" i="16"/>
  <c r="AG713" i="16" s="1"/>
  <c r="AA758" i="16"/>
  <c r="AG758" i="16" s="1"/>
  <c r="AA515" i="16"/>
  <c r="AG515" i="16" s="1"/>
  <c r="AA562" i="16"/>
  <c r="AG562" i="16" s="1"/>
  <c r="AA552" i="16"/>
  <c r="AG552" i="16" s="1"/>
  <c r="AA569" i="16"/>
  <c r="AG569" i="16" s="1"/>
  <c r="AA572" i="16"/>
  <c r="AG572" i="16" s="1"/>
  <c r="AA568" i="16"/>
  <c r="AG568" i="16" s="1"/>
  <c r="AA273" i="17"/>
  <c r="AA453" i="16"/>
  <c r="AG453" i="16" s="1"/>
  <c r="AA93" i="17"/>
  <c r="AA158" i="17"/>
  <c r="AA464" i="16"/>
  <c r="AG464" i="16" s="1"/>
  <c r="AA459" i="16"/>
  <c r="AG459" i="16" s="1"/>
  <c r="AA462" i="16"/>
  <c r="AG462" i="16" s="1"/>
  <c r="AA457" i="16"/>
  <c r="AG457" i="16" s="1"/>
  <c r="AA110" i="16"/>
  <c r="AG110" i="16" s="1"/>
  <c r="AA434" i="16"/>
  <c r="AG434" i="16" s="1"/>
  <c r="AA213" i="17"/>
  <c r="AA409" i="17"/>
  <c r="AA412" i="17"/>
  <c r="AA411" i="17"/>
  <c r="AA427" i="16"/>
  <c r="AG427" i="16" s="1"/>
  <c r="AA181" i="17"/>
  <c r="AA428" i="16"/>
  <c r="AG428" i="16" s="1"/>
  <c r="AA185" i="17"/>
  <c r="AA198" i="17"/>
  <c r="AA4" i="17"/>
  <c r="AA99" i="17"/>
  <c r="AA187" i="17"/>
  <c r="AA196" i="17"/>
  <c r="AA186" i="17"/>
  <c r="AA100" i="17"/>
  <c r="AA452" i="16"/>
  <c r="AG452" i="16" s="1"/>
  <c r="AA12" i="16"/>
  <c r="AG12" i="16" s="1"/>
  <c r="AA715" i="16"/>
  <c r="AG715" i="16" s="1"/>
  <c r="AA751" i="16"/>
  <c r="L751" i="21" s="1"/>
  <c r="O751" i="21" s="1"/>
  <c r="AA523" i="16"/>
  <c r="L523" i="21" s="1"/>
  <c r="O523" i="21" s="1"/>
  <c r="AA260" i="17"/>
  <c r="AA235" i="17"/>
  <c r="AA105" i="17"/>
  <c r="AA422" i="16"/>
  <c r="AG422" i="16" s="1"/>
  <c r="AA239" i="17"/>
  <c r="AA423" i="16"/>
  <c r="AG423" i="16" s="1"/>
  <c r="AA120" i="16"/>
  <c r="AG120" i="16" s="1"/>
  <c r="AA424" i="16"/>
  <c r="AG424" i="16" s="1"/>
  <c r="AA41" i="16"/>
  <c r="AG41" i="16" s="1"/>
  <c r="AA561" i="16"/>
  <c r="AG561" i="16" s="1"/>
  <c r="AA262" i="17"/>
  <c r="AA251" i="17"/>
  <c r="AA197" i="17"/>
  <c r="AA101" i="17"/>
  <c r="AA178" i="17"/>
  <c r="AA480" i="16"/>
  <c r="AG480" i="16" s="1"/>
  <c r="AA245" i="17"/>
  <c r="AA236" i="17"/>
  <c r="AA96" i="17"/>
  <c r="AA128" i="16"/>
  <c r="AG128" i="16" s="1"/>
  <c r="AA179" i="17"/>
  <c r="AA48" i="17"/>
  <c r="AA44" i="16"/>
  <c r="AG44" i="16" s="1"/>
  <c r="AA53" i="16"/>
  <c r="I15" i="30"/>
  <c r="I14" i="30"/>
  <c r="AA50" i="17"/>
  <c r="AA11" i="17"/>
  <c r="AA51" i="17"/>
  <c r="AA6" i="17"/>
  <c r="G14" i="22"/>
  <c r="I14" i="22" s="1"/>
  <c r="U5" i="29"/>
  <c r="U50" i="29" s="1"/>
  <c r="K9" i="31" s="1"/>
  <c r="AA749" i="16"/>
  <c r="AG749" i="16" s="1"/>
  <c r="AA760" i="16"/>
  <c r="AG760" i="16" s="1"/>
  <c r="AA520" i="16"/>
  <c r="AG520" i="16" s="1"/>
  <c r="AA2" i="17"/>
  <c r="AA555" i="16"/>
  <c r="AG555" i="16" s="1"/>
  <c r="AA258" i="17"/>
  <c r="AA201" i="17"/>
  <c r="AA156" i="17"/>
  <c r="AA477" i="16"/>
  <c r="AG477" i="16" s="1"/>
  <c r="AA125" i="16"/>
  <c r="AG125" i="16" s="1"/>
  <c r="AA243" i="17"/>
  <c r="AA483" i="16"/>
  <c r="AG483" i="16" s="1"/>
  <c r="AA486" i="16"/>
  <c r="AG486" i="16" s="1"/>
  <c r="AA449" i="16"/>
  <c r="AG449" i="16" s="1"/>
  <c r="AA104" i="17"/>
  <c r="AA207" i="17"/>
  <c r="AA439" i="16"/>
  <c r="AG439" i="16" s="1"/>
  <c r="AA52" i="17"/>
  <c r="AA7" i="17"/>
  <c r="AJ8" i="24"/>
  <c r="AA53" i="17"/>
  <c r="AA13" i="16"/>
  <c r="AG13" i="16" s="1"/>
  <c r="Y5" i="24"/>
  <c r="Y46" i="24" s="1"/>
  <c r="X46" i="24"/>
  <c r="AA47" i="17"/>
  <c r="AA42" i="17"/>
  <c r="AA50" i="16"/>
  <c r="AA12" i="17"/>
  <c r="AA14" i="17"/>
  <c r="AA51" i="16"/>
  <c r="O51" i="21" s="1"/>
  <c r="AA645" i="16"/>
  <c r="AG645" i="16" s="1"/>
  <c r="AA328" i="17"/>
  <c r="AA325" i="17"/>
  <c r="AA278" i="17"/>
  <c r="AA674" i="16"/>
  <c r="AG674" i="16" s="1"/>
  <c r="AA673" i="16"/>
  <c r="AG673" i="16" s="1"/>
  <c r="AA691" i="16"/>
  <c r="AG691" i="16" s="1"/>
  <c r="AA669" i="16"/>
  <c r="AG669" i="16" s="1"/>
  <c r="AA702" i="16"/>
  <c r="AG702" i="16" s="1"/>
  <c r="AA608" i="16"/>
  <c r="AG608" i="16" s="1"/>
  <c r="AA375" i="17"/>
  <c r="AA331" i="17"/>
  <c r="AA348" i="17"/>
  <c r="AA394" i="17"/>
  <c r="AA878" i="16"/>
  <c r="AG878" i="16" s="1"/>
  <c r="AA592" i="16"/>
  <c r="AG592" i="16" s="1"/>
  <c r="AJ13" i="24"/>
  <c r="AA550" i="16"/>
  <c r="L550" i="21" s="1"/>
  <c r="O550" i="21" s="1"/>
  <c r="AA539" i="16"/>
  <c r="AG539" i="16" s="1"/>
  <c r="AA541" i="16"/>
  <c r="L541" i="21" s="1"/>
  <c r="O541" i="21" s="1"/>
  <c r="AA534" i="16"/>
  <c r="AG534" i="16" s="1"/>
  <c r="AA530" i="16"/>
  <c r="AG530" i="16" s="1"/>
  <c r="AA538" i="16"/>
  <c r="AG538" i="16" s="1"/>
  <c r="AA536" i="16"/>
  <c r="L536" i="21" s="1"/>
  <c r="O536" i="21" s="1"/>
  <c r="AA549" i="16"/>
  <c r="L549" i="21" s="1"/>
  <c r="O549" i="21" s="1"/>
  <c r="AA247" i="17"/>
  <c r="AA542" i="16"/>
  <c r="AG542" i="16" s="1"/>
  <c r="AA531" i="16"/>
  <c r="AG531" i="16" s="1"/>
  <c r="AA537" i="16"/>
  <c r="AG537" i="16" s="1"/>
  <c r="AA533" i="16"/>
  <c r="L533" i="21" s="1"/>
  <c r="O533" i="21" s="1"/>
  <c r="AA544" i="16"/>
  <c r="AG544" i="16" s="1"/>
  <c r="AA526" i="16"/>
  <c r="AG526" i="16" s="1"/>
  <c r="AA528" i="16"/>
  <c r="AG528" i="16" s="1"/>
  <c r="AA548" i="16"/>
  <c r="AG548" i="16" s="1"/>
  <c r="AA529" i="16"/>
  <c r="AG529" i="16" s="1"/>
  <c r="AA543" i="16"/>
  <c r="L543" i="21" s="1"/>
  <c r="O543" i="21" s="1"/>
  <c r="AA540" i="16"/>
  <c r="AG540" i="16" s="1"/>
  <c r="AA546" i="16"/>
  <c r="L546" i="21" s="1"/>
  <c r="O546" i="21" s="1"/>
  <c r="AA683" i="16"/>
  <c r="AG683" i="16" s="1"/>
  <c r="AA379" i="17"/>
  <c r="AA386" i="17"/>
  <c r="AA876" i="16"/>
  <c r="L876" i="21" s="1"/>
  <c r="O876" i="21" s="1"/>
  <c r="AA314" i="17"/>
  <c r="AA632" i="16"/>
  <c r="AG632" i="16" s="1"/>
  <c r="AA396" i="17"/>
  <c r="AA620" i="16"/>
  <c r="AG620" i="16" s="1"/>
  <c r="AA373" i="17"/>
  <c r="AA545" i="16"/>
  <c r="AG545" i="16" s="1"/>
  <c r="AA289" i="17"/>
  <c r="AJ26" i="24"/>
  <c r="AA392" i="17"/>
  <c r="AA376" i="17"/>
  <c r="AA360" i="17"/>
  <c r="AA344" i="17"/>
  <c r="AA385" i="17"/>
  <c r="AA337" i="17"/>
  <c r="AA321" i="17"/>
  <c r="AA305" i="17"/>
  <c r="AA359" i="17"/>
  <c r="AA320" i="17"/>
  <c r="AA656" i="16"/>
  <c r="AG656" i="16" s="1"/>
  <c r="AA338" i="17"/>
  <c r="AA663" i="16"/>
  <c r="AG663" i="16" s="1"/>
  <c r="AA381" i="17"/>
  <c r="AA662" i="16"/>
  <c r="AG662" i="16" s="1"/>
  <c r="AA363" i="17"/>
  <c r="AA661" i="16"/>
  <c r="AG661" i="16" s="1"/>
  <c r="AA676" i="16"/>
  <c r="AG676" i="16" s="1"/>
  <c r="AA612" i="16"/>
  <c r="AG612" i="16" s="1"/>
  <c r="AA675" i="16"/>
  <c r="AG675" i="16" s="1"/>
  <c r="AA611" i="16"/>
  <c r="AG611" i="16" s="1"/>
  <c r="AA658" i="16"/>
  <c r="AG658" i="16" s="1"/>
  <c r="AA682" i="16"/>
  <c r="AG682" i="16" s="1"/>
  <c r="AA334" i="17"/>
  <c r="AA705" i="16"/>
  <c r="AG705" i="16" s="1"/>
  <c r="AA324" i="17"/>
  <c r="AA653" i="16"/>
  <c r="AG653" i="16" s="1"/>
  <c r="AA668" i="16"/>
  <c r="AG668" i="16" s="1"/>
  <c r="AA667" i="16"/>
  <c r="AG667" i="16" s="1"/>
  <c r="AA349" i="17"/>
  <c r="AA650" i="16"/>
  <c r="AG650" i="16" s="1"/>
  <c r="AA642" i="16"/>
  <c r="AG642" i="16" s="1"/>
  <c r="AA404" i="17"/>
  <c r="AA356" i="17"/>
  <c r="AA340" i="17"/>
  <c r="AA333" i="17"/>
  <c r="AA389" i="17"/>
  <c r="AA704" i="16"/>
  <c r="AG704" i="16" s="1"/>
  <c r="AA647" i="16"/>
  <c r="AG647" i="16" s="1"/>
  <c r="AA308" i="17"/>
  <c r="AA365" i="17"/>
  <c r="AA330" i="17"/>
  <c r="AA613" i="16"/>
  <c r="AG613" i="16" s="1"/>
  <c r="AA698" i="16"/>
  <c r="AG698" i="16" s="1"/>
  <c r="AA390" i="17"/>
  <c r="AA374" i="17"/>
  <c r="AA358" i="17"/>
  <c r="AA342" i="17"/>
  <c r="AA369" i="17"/>
  <c r="AA335" i="17"/>
  <c r="AA319" i="17"/>
  <c r="AA303" i="17"/>
  <c r="AA343" i="17"/>
  <c r="AA304" i="17"/>
  <c r="AA648" i="16"/>
  <c r="AG648" i="16" s="1"/>
  <c r="AA322" i="17"/>
  <c r="AA655" i="16"/>
  <c r="AG655" i="16" s="1"/>
  <c r="AA654" i="16"/>
  <c r="AG654" i="16" s="1"/>
  <c r="AA326" i="17"/>
  <c r="AA347" i="17"/>
  <c r="AA634" i="16"/>
  <c r="AG634" i="16" s="1"/>
  <c r="AA316" i="17"/>
  <c r="AA388" i="17"/>
  <c r="AA317" i="17"/>
  <c r="AA640" i="16"/>
  <c r="AG640" i="16" s="1"/>
  <c r="AA310" i="17"/>
  <c r="AA659" i="16"/>
  <c r="AG659" i="16" s="1"/>
  <c r="AA395" i="17"/>
  <c r="AA372" i="17"/>
  <c r="AA353" i="17"/>
  <c r="AA393" i="17"/>
  <c r="AA306" i="17"/>
  <c r="AA646" i="16"/>
  <c r="AG646" i="16" s="1"/>
  <c r="AA660" i="16"/>
  <c r="AG660" i="16" s="1"/>
  <c r="AA318" i="17"/>
  <c r="AA629" i="16"/>
  <c r="AG629" i="16" s="1"/>
  <c r="AA400" i="17"/>
  <c r="AA384" i="17"/>
  <c r="AA368" i="17"/>
  <c r="AA352" i="17"/>
  <c r="AA383" i="17"/>
  <c r="AA387" i="17"/>
  <c r="AA329" i="17"/>
  <c r="AA313" i="17"/>
  <c r="AA357" i="17"/>
  <c r="AA361" i="17"/>
  <c r="AA688" i="16"/>
  <c r="AG688" i="16" s="1"/>
  <c r="AA624" i="16"/>
  <c r="AG624" i="16" s="1"/>
  <c r="AA695" i="16"/>
  <c r="AG695" i="16" s="1"/>
  <c r="AA631" i="16"/>
  <c r="AG631" i="16" s="1"/>
  <c r="AA694" i="16"/>
  <c r="AG694" i="16" s="1"/>
  <c r="AA630" i="16"/>
  <c r="AG630" i="16" s="1"/>
  <c r="AA693" i="16"/>
  <c r="AG693" i="16" s="1"/>
  <c r="AA312" i="17"/>
  <c r="AA644" i="16"/>
  <c r="AG644" i="16" s="1"/>
  <c r="AA707" i="16"/>
  <c r="AG707" i="16" s="1"/>
  <c r="AA643" i="16"/>
  <c r="AG643" i="16" s="1"/>
  <c r="AA665" i="16"/>
  <c r="AG665" i="16" s="1"/>
  <c r="AA689" i="16"/>
  <c r="AG689" i="16" s="1"/>
  <c r="AA621" i="16"/>
  <c r="AG621" i="16" s="1"/>
  <c r="AA706" i="16"/>
  <c r="AG706" i="16" s="1"/>
  <c r="AA641" i="16"/>
  <c r="AG641" i="16" s="1"/>
  <c r="AA398" i="17"/>
  <c r="AA382" i="17"/>
  <c r="AA366" i="17"/>
  <c r="AA350" i="17"/>
  <c r="AA367" i="17"/>
  <c r="AA371" i="17"/>
  <c r="AA327" i="17"/>
  <c r="AA311" i="17"/>
  <c r="AA341" i="17"/>
  <c r="AA345" i="17"/>
  <c r="AA680" i="16"/>
  <c r="AG680" i="16" s="1"/>
  <c r="AA616" i="16"/>
  <c r="AG616" i="16" s="1"/>
  <c r="AA687" i="16"/>
  <c r="AG687" i="16" s="1"/>
  <c r="AA623" i="16"/>
  <c r="AG623" i="16" s="1"/>
  <c r="AA686" i="16"/>
  <c r="AG686" i="16" s="1"/>
  <c r="AA622" i="16"/>
  <c r="AG622" i="16" s="1"/>
  <c r="AA685" i="16"/>
  <c r="AG685" i="16" s="1"/>
  <c r="AA700" i="16"/>
  <c r="AG700" i="16" s="1"/>
  <c r="AA636" i="16"/>
  <c r="AG636" i="16" s="1"/>
  <c r="AA699" i="16"/>
  <c r="AG699" i="16" s="1"/>
  <c r="AA635" i="16"/>
  <c r="AG635" i="16" s="1"/>
  <c r="AA637" i="16"/>
  <c r="AG637" i="16" s="1"/>
  <c r="AA657" i="16"/>
  <c r="AG657" i="16" s="1"/>
  <c r="AA377" i="17"/>
  <c r="AA690" i="16"/>
  <c r="AG690" i="16" s="1"/>
  <c r="AA607" i="16"/>
  <c r="AG607" i="16" s="1"/>
  <c r="AA339" i="17"/>
  <c r="AA626" i="16"/>
  <c r="AG626" i="16" s="1"/>
  <c r="AA615" i="16"/>
  <c r="AG615" i="16" s="1"/>
  <c r="AA402" i="17"/>
  <c r="AA628" i="16"/>
  <c r="AG628" i="16" s="1"/>
  <c r="AA672" i="16"/>
  <c r="AG672" i="16" s="1"/>
  <c r="AA307" i="17"/>
  <c r="AA403" i="17"/>
  <c r="AA364" i="17"/>
  <c r="AA525" i="16"/>
  <c r="L683" i="21" s="1"/>
  <c r="AJ43" i="24"/>
  <c r="AA885" i="16"/>
  <c r="L885" i="21" s="1"/>
  <c r="O885" i="21" s="1"/>
  <c r="AA884" i="16"/>
  <c r="AG884" i="16" s="1"/>
  <c r="AA877" i="16"/>
  <c r="AG877" i="16" s="1"/>
  <c r="AA880" i="16"/>
  <c r="AG880" i="16" s="1"/>
  <c r="AA883" i="16"/>
  <c r="AG883" i="16" s="1"/>
  <c r="AA879" i="16"/>
  <c r="L879" i="21" s="1"/>
  <c r="O879" i="21" s="1"/>
  <c r="AA875" i="16"/>
  <c r="L875" i="21" s="1"/>
  <c r="AJ16" i="24"/>
  <c r="AA287" i="17"/>
  <c r="AA584" i="16"/>
  <c r="AG584" i="16" s="1"/>
  <c r="AA588" i="16"/>
  <c r="AG588" i="16" s="1"/>
  <c r="AA286" i="17"/>
  <c r="AA283" i="17"/>
  <c r="AA591" i="16"/>
  <c r="AG591" i="16" s="1"/>
  <c r="AA282" i="17"/>
  <c r="AA581" i="16"/>
  <c r="AG581" i="16" s="1"/>
  <c r="AA583" i="16"/>
  <c r="AG583" i="16" s="1"/>
  <c r="AA285" i="17"/>
  <c r="AA290" i="17"/>
  <c r="AA580" i="16"/>
  <c r="AG580" i="16" s="1"/>
  <c r="AA585" i="16"/>
  <c r="AG585" i="16" s="1"/>
  <c r="AA281" i="17"/>
  <c r="AA587" i="16"/>
  <c r="AG587" i="16" s="1"/>
  <c r="AA279" i="17"/>
  <c r="AA590" i="16"/>
  <c r="AG590" i="16" s="1"/>
  <c r="AA593" i="16"/>
  <c r="AG593" i="16" s="1"/>
  <c r="AA277" i="17"/>
  <c r="AA582" i="16"/>
  <c r="AG582" i="16" s="1"/>
  <c r="AA589" i="16"/>
  <c r="AG589" i="16" s="1"/>
  <c r="AA633" i="16"/>
  <c r="AG633" i="16" s="1"/>
  <c r="AA678" i="16"/>
  <c r="AG678" i="16" s="1"/>
  <c r="AA346" i="17"/>
  <c r="AA332" i="17"/>
  <c r="AA677" i="16"/>
  <c r="AG677" i="16" s="1"/>
  <c r="AA391" i="17"/>
  <c r="AA354" i="17"/>
  <c r="AA617" i="16"/>
  <c r="AG617" i="16" s="1"/>
  <c r="AA701" i="16"/>
  <c r="AG701" i="16" s="1"/>
  <c r="AA664" i="16"/>
  <c r="AG664" i="16" s="1"/>
  <c r="AA355" i="17"/>
  <c r="AA649" i="16"/>
  <c r="AG649" i="16" s="1"/>
  <c r="AA697" i="16"/>
  <c r="AG697" i="16" s="1"/>
  <c r="AA606" i="16"/>
  <c r="AG606" i="16" s="1"/>
  <c r="AA639" i="16"/>
  <c r="AG639" i="16" s="1"/>
  <c r="AA618" i="16"/>
  <c r="AG618" i="16" s="1"/>
  <c r="AA681" i="16"/>
  <c r="AG681" i="16" s="1"/>
  <c r="AA619" i="16"/>
  <c r="AG619" i="16" s="1"/>
  <c r="AA652" i="16"/>
  <c r="AG652" i="16" s="1"/>
  <c r="AA614" i="16"/>
  <c r="AG614" i="16" s="1"/>
  <c r="AA671" i="16"/>
  <c r="AG671" i="16" s="1"/>
  <c r="AA696" i="16"/>
  <c r="AG696" i="16" s="1"/>
  <c r="AA309" i="17"/>
  <c r="AA401" i="17"/>
  <c r="AA370" i="17"/>
  <c r="AA547" i="16"/>
  <c r="AG547" i="16" s="1"/>
  <c r="AA586" i="16"/>
  <c r="AG586" i="16" s="1"/>
  <c r="AA595" i="16"/>
  <c r="AG595" i="16" s="1"/>
  <c r="AA292" i="17"/>
  <c r="AA301" i="17"/>
  <c r="AA778" i="16"/>
  <c r="AG778" i="16" s="1"/>
  <c r="AA741" i="16"/>
  <c r="L741" i="21" s="1"/>
  <c r="O741" i="21" s="1"/>
  <c r="AA775" i="16"/>
  <c r="AG775" i="16" s="1"/>
  <c r="AA753" i="16"/>
  <c r="AG753" i="16" s="1"/>
  <c r="AA717" i="16"/>
  <c r="AG717" i="16" s="1"/>
  <c r="AA719" i="16"/>
  <c r="L719" i="21" s="1"/>
  <c r="O719" i="21" s="1"/>
  <c r="AA519" i="16"/>
  <c r="L519" i="21" s="1"/>
  <c r="O519" i="21" s="1"/>
  <c r="AA524" i="16"/>
  <c r="L524" i="21" s="1"/>
  <c r="O524" i="21" s="1"/>
  <c r="AA605" i="16"/>
  <c r="AG605" i="16" s="1"/>
  <c r="AA596" i="16"/>
  <c r="AG596" i="16" s="1"/>
  <c r="AA291" i="17"/>
  <c r="AA747" i="16"/>
  <c r="AG747" i="16" s="1"/>
  <c r="AA742" i="16"/>
  <c r="AG742" i="16" s="1"/>
  <c r="AA744" i="16"/>
  <c r="AG744" i="16" s="1"/>
  <c r="AA755" i="16"/>
  <c r="AG755" i="16" s="1"/>
  <c r="AA710" i="16"/>
  <c r="AG710" i="16" s="1"/>
  <c r="AA712" i="16"/>
  <c r="AG712" i="16" s="1"/>
  <c r="AA513" i="16"/>
  <c r="AG513" i="16" s="1"/>
  <c r="AA2" i="16"/>
  <c r="L10" i="21" s="1"/>
  <c r="AA6" i="16"/>
  <c r="AG6" i="16" s="1"/>
  <c r="AA39" i="17"/>
  <c r="AA485" i="16"/>
  <c r="AG485" i="16" s="1"/>
  <c r="AA123" i="16"/>
  <c r="AG123" i="16" s="1"/>
  <c r="AA237" i="17"/>
  <c r="AA184" i="17"/>
  <c r="AA420" i="16"/>
  <c r="AG420" i="16" s="1"/>
  <c r="AA189" i="17"/>
  <c r="AA482" i="16"/>
  <c r="AG482" i="16" s="1"/>
  <c r="AA122" i="16"/>
  <c r="AG122" i="16" s="1"/>
  <c r="AA426" i="16"/>
  <c r="AG426" i="16" s="1"/>
  <c r="AA429" i="16"/>
  <c r="AG429" i="16" s="1"/>
  <c r="AA8" i="16"/>
  <c r="AG8" i="16" s="1"/>
  <c r="AA55" i="17"/>
  <c r="AA15" i="16"/>
  <c r="AG15" i="16" s="1"/>
  <c r="G26" i="22"/>
  <c r="I26" i="22" s="1"/>
  <c r="AA302" i="17"/>
  <c r="AA604" i="16"/>
  <c r="AG604" i="16" s="1"/>
  <c r="AA293" i="17"/>
  <c r="AA738" i="16"/>
  <c r="AG738" i="16" s="1"/>
  <c r="AA779" i="16"/>
  <c r="AG779" i="16" s="1"/>
  <c r="AA774" i="16"/>
  <c r="AG774" i="16" s="1"/>
  <c r="AA776" i="16"/>
  <c r="L776" i="21" s="1"/>
  <c r="O776" i="21" s="1"/>
  <c r="AA708" i="16"/>
  <c r="L708" i="21" s="1"/>
  <c r="AA718" i="16"/>
  <c r="AG718" i="16" s="1"/>
  <c r="AA720" i="16"/>
  <c r="AG720" i="16" s="1"/>
  <c r="AA514" i="16"/>
  <c r="AG514" i="16" s="1"/>
  <c r="AA42" i="16"/>
  <c r="AG42" i="16" s="1"/>
  <c r="AA13" i="17"/>
  <c r="AA11" i="16"/>
  <c r="AG11" i="16" s="1"/>
  <c r="AA56" i="16"/>
  <c r="O54" i="21"/>
  <c r="AG54" i="16"/>
  <c r="AA8" i="17"/>
  <c r="AA10" i="17"/>
  <c r="AJ6" i="24"/>
  <c r="AA565" i="16"/>
  <c r="AG565" i="16" s="1"/>
  <c r="AA248" i="17"/>
  <c r="AA560" i="16"/>
  <c r="AG560" i="16" s="1"/>
  <c r="AA261" i="17"/>
  <c r="AA210" i="17"/>
  <c r="AA487" i="16"/>
  <c r="AG487" i="16" s="1"/>
  <c r="AA7" i="16"/>
  <c r="AG7" i="16" s="1"/>
  <c r="AA54" i="17"/>
  <c r="AA15" i="17"/>
  <c r="AA9" i="17"/>
  <c r="AA14" i="16"/>
  <c r="AG14" i="16" s="1"/>
  <c r="G9" i="22"/>
  <c r="I9" i="22" s="1"/>
  <c r="AA5" i="17"/>
  <c r="AA9" i="16"/>
  <c r="AG9" i="16" s="1"/>
  <c r="AA10" i="16"/>
  <c r="AG10" i="16" s="1"/>
  <c r="AA43" i="16"/>
  <c r="AA49" i="16"/>
  <c r="AA52" i="16"/>
  <c r="AA252" i="17"/>
  <c r="AA563" i="16"/>
  <c r="AG563" i="16" s="1"/>
  <c r="AA551" i="16"/>
  <c r="AG551" i="16" s="1"/>
  <c r="AA253" i="17"/>
  <c r="AA484" i="16"/>
  <c r="AG484" i="16" s="1"/>
  <c r="AA421" i="16"/>
  <c r="AG421" i="16" s="1"/>
  <c r="AA16" i="16"/>
  <c r="AG16" i="16" s="1"/>
  <c r="AA17" i="16"/>
  <c r="AG17" i="16" s="1"/>
  <c r="AA41" i="17"/>
  <c r="AA55" i="16"/>
  <c r="O55" i="21" s="1"/>
  <c r="AA57" i="16"/>
  <c r="O57" i="21" s="1"/>
  <c r="AQ15" i="23"/>
  <c r="AG838" i="16"/>
  <c r="L838" i="21"/>
  <c r="O838" i="21" s="1"/>
  <c r="AG494" i="16"/>
  <c r="L136" i="21"/>
  <c r="O136" i="21" s="1"/>
  <c r="AG845" i="16"/>
  <c r="L845" i="21"/>
  <c r="O845" i="21" s="1"/>
  <c r="AG822" i="16"/>
  <c r="AG504" i="16"/>
  <c r="L504" i="21"/>
  <c r="O504" i="21" s="1"/>
  <c r="AG505" i="16"/>
  <c r="L733" i="21"/>
  <c r="O733" i="21" s="1"/>
  <c r="L380" i="21"/>
  <c r="O380" i="21" s="1"/>
  <c r="L251" i="21"/>
  <c r="O251" i="21" s="1"/>
  <c r="AG825" i="16"/>
  <c r="L825" i="21"/>
  <c r="O825" i="21" s="1"/>
  <c r="AG835" i="16"/>
  <c r="L835" i="21"/>
  <c r="O835" i="21" s="1"/>
  <c r="AG789" i="16"/>
  <c r="L789" i="21"/>
  <c r="O789" i="21" s="1"/>
  <c r="AG527" i="16"/>
  <c r="L527" i="21"/>
  <c r="O527" i="21" s="1"/>
  <c r="AG782" i="16"/>
  <c r="L138" i="21"/>
  <c r="O138" i="21" s="1"/>
  <c r="AG771" i="16"/>
  <c r="L771" i="21"/>
  <c r="O771" i="21" s="1"/>
  <c r="AG726" i="16"/>
  <c r="L726" i="21"/>
  <c r="O726" i="21" s="1"/>
  <c r="L485" i="21"/>
  <c r="AG794" i="16"/>
  <c r="L794" i="21"/>
  <c r="O794" i="21" s="1"/>
  <c r="L841" i="21"/>
  <c r="O841" i="21" s="1"/>
  <c r="AG801" i="16"/>
  <c r="L801" i="21"/>
  <c r="O801" i="21" s="1"/>
  <c r="L805" i="21"/>
  <c r="O805" i="21" s="1"/>
  <c r="AG743" i="16"/>
  <c r="AG509" i="16"/>
  <c r="AG886" i="16"/>
  <c r="L886" i="21"/>
  <c r="O886" i="21" s="1"/>
  <c r="AG132" i="16"/>
  <c r="L836" i="21"/>
  <c r="O836" i="21" s="1"/>
  <c r="AG502" i="16"/>
  <c r="AG815" i="16"/>
  <c r="L815" i="21"/>
  <c r="O815" i="21" s="1"/>
  <c r="AG135" i="16"/>
  <c r="AG858" i="16"/>
  <c r="L858" i="21"/>
  <c r="O858" i="21" s="1"/>
  <c r="AG803" i="16"/>
  <c r="L803" i="21"/>
  <c r="O803" i="21" s="1"/>
  <c r="AG844" i="16"/>
  <c r="AG821" i="16"/>
  <c r="AG839" i="16"/>
  <c r="L839" i="21"/>
  <c r="O839" i="21" s="1"/>
  <c r="AG816" i="16"/>
  <c r="L816" i="21"/>
  <c r="O816" i="21" s="1"/>
  <c r="AG737" i="16"/>
  <c r="L737" i="21"/>
  <c r="O737" i="21" s="1"/>
  <c r="L773" i="21"/>
  <c r="O773" i="21" s="1"/>
  <c r="AG510" i="16"/>
  <c r="L152" i="21"/>
  <c r="O152" i="21" s="1"/>
  <c r="AG535" i="16"/>
  <c r="L535" i="21"/>
  <c r="O535" i="21" s="1"/>
  <c r="AG729" i="16"/>
  <c r="L729" i="21"/>
  <c r="O729" i="21" s="1"/>
  <c r="L382" i="21"/>
  <c r="O382" i="21" s="1"/>
  <c r="AG850" i="16"/>
  <c r="L850" i="21"/>
  <c r="O850" i="21" s="1"/>
  <c r="AG852" i="16"/>
  <c r="L852" i="21"/>
  <c r="O852" i="21" s="1"/>
  <c r="AG806" i="16"/>
  <c r="L806" i="21"/>
  <c r="O806" i="21" s="1"/>
  <c r="AG847" i="16"/>
  <c r="AG885" i="16"/>
  <c r="AG761" i="16"/>
  <c r="AG378" i="16"/>
  <c r="AG796" i="16"/>
  <c r="L796" i="21"/>
  <c r="O796" i="21" s="1"/>
  <c r="AG860" i="16"/>
  <c r="L860" i="21"/>
  <c r="O860" i="21" s="1"/>
  <c r="AG791" i="16"/>
  <c r="L791" i="21"/>
  <c r="O791" i="21" s="1"/>
  <c r="AG855" i="16"/>
  <c r="L855" i="21"/>
  <c r="O855" i="21" s="1"/>
  <c r="L832" i="21"/>
  <c r="O832" i="21" s="1"/>
  <c r="Y5" i="12"/>
  <c r="X46" i="12"/>
  <c r="Y5" i="13"/>
  <c r="X46" i="13"/>
  <c r="AG732" i="16" l="1"/>
  <c r="L522" i="21"/>
  <c r="O522" i="21" s="1"/>
  <c r="AG295" i="16"/>
  <c r="L498" i="21"/>
  <c r="O498" i="21" s="1"/>
  <c r="AG332" i="16"/>
  <c r="L735" i="21"/>
  <c r="O735" i="21" s="1"/>
  <c r="AG98" i="16"/>
  <c r="AG289" i="16"/>
  <c r="AG833" i="16"/>
  <c r="AG842" i="16"/>
  <c r="L725" i="21"/>
  <c r="O725" i="21" s="1"/>
  <c r="AG318" i="16"/>
  <c r="L428" i="21"/>
  <c r="L802" i="21"/>
  <c r="O802" i="21" s="1"/>
  <c r="L768" i="21"/>
  <c r="O768" i="21" s="1"/>
  <c r="L724" i="21"/>
  <c r="O724" i="21" s="1"/>
  <c r="L814" i="21"/>
  <c r="O814" i="21" s="1"/>
  <c r="AG818" i="16"/>
  <c r="L861" i="21"/>
  <c r="O861" i="21" s="1"/>
  <c r="L94" i="21"/>
  <c r="O94" i="21" s="1"/>
  <c r="L150" i="21"/>
  <c r="O150" i="21" s="1"/>
  <c r="AG242" i="16"/>
  <c r="L102" i="21"/>
  <c r="O102" i="21" s="1"/>
  <c r="L259" i="21"/>
  <c r="O259" i="21" s="1"/>
  <c r="O485" i="21"/>
  <c r="L493" i="21"/>
  <c r="O493" i="21" s="1"/>
  <c r="AG192" i="16"/>
  <c r="L248" i="21"/>
  <c r="O248" i="21" s="1"/>
  <c r="L193" i="21"/>
  <c r="O193" i="21" s="1"/>
  <c r="L310" i="21"/>
  <c r="O310" i="21" s="1"/>
  <c r="AG757" i="16"/>
  <c r="L241" i="21"/>
  <c r="O241" i="21" s="1"/>
  <c r="L804" i="21"/>
  <c r="O804" i="21" s="1"/>
  <c r="L327" i="21"/>
  <c r="O327" i="21" s="1"/>
  <c r="L758" i="21"/>
  <c r="O758" i="21" s="1"/>
  <c r="L195" i="21"/>
  <c r="O195" i="21" s="1"/>
  <c r="AG533" i="16"/>
  <c r="L203" i="21"/>
  <c r="O203" i="21" s="1"/>
  <c r="L795" i="21"/>
  <c r="O795" i="21" s="1"/>
  <c r="L765" i="21"/>
  <c r="O765" i="21" s="1"/>
  <c r="L512" i="21"/>
  <c r="O512" i="21" s="1"/>
  <c r="L514" i="21"/>
  <c r="O514" i="21" s="1"/>
  <c r="L240" i="21"/>
  <c r="O240" i="21" s="1"/>
  <c r="L180" i="21"/>
  <c r="O180" i="21" s="1"/>
  <c r="L373" i="21"/>
  <c r="O373" i="21" s="1"/>
  <c r="L325" i="21"/>
  <c r="O325" i="21" s="1"/>
  <c r="L793" i="21"/>
  <c r="O793" i="21" s="1"/>
  <c r="L711" i="21"/>
  <c r="O711" i="21" s="1"/>
  <c r="L154" i="21"/>
  <c r="O154" i="21" s="1"/>
  <c r="L783" i="21"/>
  <c r="O783" i="21" s="1"/>
  <c r="L744" i="21"/>
  <c r="O744" i="21" s="1"/>
  <c r="L873" i="21"/>
  <c r="O873" i="21" s="1"/>
  <c r="AG807" i="16"/>
  <c r="L867" i="21"/>
  <c r="L824" i="21"/>
  <c r="O824" i="21" s="1"/>
  <c r="L403" i="21"/>
  <c r="O403" i="21" s="1"/>
  <c r="AG740" i="16"/>
  <c r="AG369" i="16"/>
  <c r="L489" i="21"/>
  <c r="L334" i="21"/>
  <c r="O334" i="21" s="1"/>
  <c r="L599" i="21"/>
  <c r="O599" i="21" s="1"/>
  <c r="L316" i="21"/>
  <c r="O316" i="21" s="1"/>
  <c r="L560" i="21"/>
  <c r="L370" i="21"/>
  <c r="O370" i="21" s="1"/>
  <c r="AG859" i="16"/>
  <c r="L849" i="21"/>
  <c r="O849" i="21" s="1"/>
  <c r="AG546" i="16"/>
  <c r="AG86" i="16"/>
  <c r="L827" i="21"/>
  <c r="O827" i="21" s="1"/>
  <c r="O867" i="21"/>
  <c r="AG496" i="16"/>
  <c r="L491" i="21"/>
  <c r="O491" i="21" s="1"/>
  <c r="AG106" i="16"/>
  <c r="L840" i="21"/>
  <c r="O840" i="21" s="1"/>
  <c r="AG837" i="16"/>
  <c r="L503" i="21"/>
  <c r="O503" i="21" s="1"/>
  <c r="AG719" i="16"/>
  <c r="AG258" i="16"/>
  <c r="L730" i="21"/>
  <c r="O730" i="21" s="1"/>
  <c r="AG507" i="16"/>
  <c r="AG255" i="16"/>
  <c r="AG766" i="16"/>
  <c r="AG506" i="16"/>
  <c r="L573" i="21"/>
  <c r="L583" i="21"/>
  <c r="O583" i="21" s="1"/>
  <c r="L187" i="21"/>
  <c r="O187" i="21" s="1"/>
  <c r="L572" i="21"/>
  <c r="O572" i="21" s="1"/>
  <c r="L574" i="21"/>
  <c r="O574" i="21" s="1"/>
  <c r="AG320" i="16"/>
  <c r="L829" i="21"/>
  <c r="O829" i="21" s="1"/>
  <c r="L105" i="21"/>
  <c r="O105" i="21" s="1"/>
  <c r="L589" i="21"/>
  <c r="L598" i="21"/>
  <c r="O598" i="21" s="1"/>
  <c r="AG155" i="16"/>
  <c r="L87" i="21"/>
  <c r="O87" i="21" s="1"/>
  <c r="L566" i="21"/>
  <c r="O566" i="21" s="1"/>
  <c r="L767" i="21"/>
  <c r="O767" i="21" s="1"/>
  <c r="L576" i="21"/>
  <c r="O576" i="21" s="1"/>
  <c r="AG594" i="16"/>
  <c r="L808" i="21"/>
  <c r="O808" i="21" s="1"/>
  <c r="AG307" i="16"/>
  <c r="L784" i="21"/>
  <c r="O784" i="21" s="1"/>
  <c r="L585" i="21"/>
  <c r="O585" i="21" s="1"/>
  <c r="AG549" i="16"/>
  <c r="L588" i="21"/>
  <c r="O588" i="21" s="1"/>
  <c r="AG501" i="16"/>
  <c r="L298" i="21"/>
  <c r="O298" i="21" s="1"/>
  <c r="L797" i="21"/>
  <c r="O797" i="21" s="1"/>
  <c r="AG834" i="16"/>
  <c r="L196" i="21"/>
  <c r="O196" i="21" s="1"/>
  <c r="L134" i="21"/>
  <c r="O134" i="21" s="1"/>
  <c r="L559" i="21"/>
  <c r="O559" i="21" s="1"/>
  <c r="AG721" i="16"/>
  <c r="L557" i="21"/>
  <c r="O557" i="21" s="1"/>
  <c r="L593" i="21"/>
  <c r="O593" i="21" s="1"/>
  <c r="L596" i="21"/>
  <c r="L597" i="21"/>
  <c r="L569" i="21"/>
  <c r="L570" i="21"/>
  <c r="O570" i="21" s="1"/>
  <c r="L602" i="21"/>
  <c r="O602" i="21" s="1"/>
  <c r="AG294" i="16"/>
  <c r="L712" i="21"/>
  <c r="O712" i="21" s="1"/>
  <c r="L564" i="21"/>
  <c r="O564" i="21" s="1"/>
  <c r="L603" i="21"/>
  <c r="O603" i="21" s="1"/>
  <c r="L580" i="21"/>
  <c r="O580" i="21" s="1"/>
  <c r="L584" i="21"/>
  <c r="L568" i="21"/>
  <c r="O568" i="21" s="1"/>
  <c r="L592" i="21"/>
  <c r="O592" i="21" s="1"/>
  <c r="L578" i="21"/>
  <c r="O578" i="21" s="1"/>
  <c r="L247" i="21"/>
  <c r="O247" i="21" s="1"/>
  <c r="L245" i="21"/>
  <c r="O245" i="21" s="1"/>
  <c r="L142" i="21"/>
  <c r="O142" i="21" s="1"/>
  <c r="L249" i="21"/>
  <c r="O249" i="21" s="1"/>
  <c r="L5" i="21"/>
  <c r="L819" i="21"/>
  <c r="O819" i="21" s="1"/>
  <c r="L772" i="21"/>
  <c r="O772" i="21" s="1"/>
  <c r="L880" i="21"/>
  <c r="O880" i="21" s="1"/>
  <c r="L552" i="21"/>
  <c r="O552" i="21" s="1"/>
  <c r="L587" i="21"/>
  <c r="O587" i="21" s="1"/>
  <c r="L601" i="21"/>
  <c r="L778" i="21"/>
  <c r="O778" i="21" s="1"/>
  <c r="L297" i="21"/>
  <c r="O297" i="21" s="1"/>
  <c r="AG364" i="16"/>
  <c r="AG843" i="16"/>
  <c r="AG751" i="16"/>
  <c r="L595" i="21"/>
  <c r="O595" i="21" s="1"/>
  <c r="L604" i="21"/>
  <c r="O604" i="21" s="1"/>
  <c r="L567" i="21"/>
  <c r="O567" i="21" s="1"/>
  <c r="L556" i="21"/>
  <c r="L591" i="21"/>
  <c r="L554" i="21"/>
  <c r="O554" i="21" s="1"/>
  <c r="L586" i="21"/>
  <c r="O586" i="21" s="1"/>
  <c r="L368" i="21"/>
  <c r="O368" i="21" s="1"/>
  <c r="L846" i="21"/>
  <c r="O846" i="21" s="1"/>
  <c r="L366" i="21"/>
  <c r="O366" i="21" s="1"/>
  <c r="L723" i="21"/>
  <c r="O723" i="21" s="1"/>
  <c r="L561" i="21"/>
  <c r="L788" i="21"/>
  <c r="O788" i="21" s="1"/>
  <c r="L553" i="21"/>
  <c r="O553" i="21" s="1"/>
  <c r="L563" i="21"/>
  <c r="O563" i="21" s="1"/>
  <c r="L575" i="21"/>
  <c r="O575" i="21" s="1"/>
  <c r="L565" i="21"/>
  <c r="O565" i="21" s="1"/>
  <c r="L600" i="21"/>
  <c r="O600" i="21" s="1"/>
  <c r="L558" i="21"/>
  <c r="L590" i="21"/>
  <c r="L528" i="21"/>
  <c r="O528" i="21" s="1"/>
  <c r="L304" i="21"/>
  <c r="O304" i="21" s="1"/>
  <c r="L817" i="21"/>
  <c r="O817" i="21" s="1"/>
  <c r="O44" i="21"/>
  <c r="L605" i="21"/>
  <c r="O605" i="21" s="1"/>
  <c r="L577" i="21"/>
  <c r="O577" i="21" s="1"/>
  <c r="L582" i="21"/>
  <c r="O582" i="21" s="1"/>
  <c r="L542" i="21"/>
  <c r="O542" i="21" s="1"/>
  <c r="L555" i="21"/>
  <c r="L571" i="21"/>
  <c r="O571" i="21" s="1"/>
  <c r="L581" i="21"/>
  <c r="O581" i="21" s="1"/>
  <c r="L579" i="21"/>
  <c r="O579" i="21" s="1"/>
  <c r="L551" i="21"/>
  <c r="O551" i="21" s="1"/>
  <c r="L562" i="21"/>
  <c r="O562" i="21" s="1"/>
  <c r="L882" i="21"/>
  <c r="O882" i="21" s="1"/>
  <c r="L851" i="21"/>
  <c r="O851" i="21" s="1"/>
  <c r="L497" i="21"/>
  <c r="O497" i="21" s="1"/>
  <c r="L863" i="21"/>
  <c r="O863" i="21" s="1"/>
  <c r="AG381" i="16"/>
  <c r="AG856" i="16"/>
  <c r="AG785" i="16"/>
  <c r="L9" i="21"/>
  <c r="O9" i="21" s="1"/>
  <c r="L306" i="21"/>
  <c r="O306" i="21" s="1"/>
  <c r="AG500" i="16"/>
  <c r="AG811" i="16"/>
  <c r="L864" i="21"/>
  <c r="L874" i="21"/>
  <c r="O874" i="21" s="1"/>
  <c r="AG371" i="16"/>
  <c r="L800" i="21"/>
  <c r="O800" i="21" s="1"/>
  <c r="L787" i="21"/>
  <c r="O787" i="21" s="1"/>
  <c r="L881" i="21"/>
  <c r="O881" i="21" s="1"/>
  <c r="L731" i="21"/>
  <c r="O731" i="21" s="1"/>
  <c r="L490" i="21"/>
  <c r="O490" i="21" s="1"/>
  <c r="L871" i="21"/>
  <c r="O871" i="21" s="1"/>
  <c r="L144" i="21"/>
  <c r="O144" i="21" s="1"/>
  <c r="AG736" i="16"/>
  <c r="L868" i="21"/>
  <c r="O868" i="21" s="1"/>
  <c r="AG862" i="16"/>
  <c r="L786" i="21"/>
  <c r="O786" i="21" s="1"/>
  <c r="L763" i="21"/>
  <c r="O763" i="21" s="1"/>
  <c r="L848" i="21"/>
  <c r="O848" i="21" s="1"/>
  <c r="L402" i="21"/>
  <c r="O402" i="21" s="1"/>
  <c r="AG185" i="16"/>
  <c r="K11" i="31"/>
  <c r="M11" i="31" s="1"/>
  <c r="L745" i="21"/>
  <c r="O745" i="21" s="1"/>
  <c r="AG830" i="16"/>
  <c r="L870" i="21"/>
  <c r="O870" i="21" s="1"/>
  <c r="AG89" i="16"/>
  <c r="L375" i="21"/>
  <c r="O375" i="21" s="1"/>
  <c r="L781" i="21"/>
  <c r="O781" i="21" s="1"/>
  <c r="AG798" i="16"/>
  <c r="L790" i="21"/>
  <c r="O790" i="21" s="1"/>
  <c r="L262" i="21"/>
  <c r="O262" i="21" s="1"/>
  <c r="L823" i="21"/>
  <c r="O823" i="21" s="1"/>
  <c r="L384" i="21"/>
  <c r="O384" i="21" s="1"/>
  <c r="L199" i="21"/>
  <c r="O199" i="21" s="1"/>
  <c r="L492" i="21"/>
  <c r="O492" i="21" s="1"/>
  <c r="L862" i="21"/>
  <c r="O862" i="21" s="1"/>
  <c r="L457" i="21"/>
  <c r="O457" i="21" s="1"/>
  <c r="L872" i="21"/>
  <c r="O872" i="21" s="1"/>
  <c r="L104" i="21"/>
  <c r="O104" i="21" s="1"/>
  <c r="L866" i="21"/>
  <c r="O866" i="21" s="1"/>
  <c r="L511" i="21"/>
  <c r="O511" i="21" s="1"/>
  <c r="AG377" i="16"/>
  <c r="L754" i="21"/>
  <c r="O754" i="21" s="1"/>
  <c r="L869" i="21"/>
  <c r="O869" i="21" s="1"/>
  <c r="L495" i="21"/>
  <c r="O495" i="21" s="1"/>
  <c r="L820" i="21"/>
  <c r="O820" i="21" s="1"/>
  <c r="L799" i="21"/>
  <c r="O799" i="21" s="1"/>
  <c r="L188" i="21"/>
  <c r="O188" i="21" s="1"/>
  <c r="L534" i="21"/>
  <c r="O534" i="21" s="1"/>
  <c r="O558" i="21"/>
  <c r="AG101" i="16"/>
  <c r="AG722" i="16"/>
  <c r="L826" i="21"/>
  <c r="O826" i="21" s="1"/>
  <c r="AG499" i="16"/>
  <c r="L392" i="21"/>
  <c r="O392" i="21" s="1"/>
  <c r="L739" i="21"/>
  <c r="O739" i="21" s="1"/>
  <c r="L769" i="21"/>
  <c r="O769" i="21" s="1"/>
  <c r="L812" i="21"/>
  <c r="O812" i="21" s="1"/>
  <c r="AG201" i="16"/>
  <c r="O864" i="21"/>
  <c r="AG254" i="16"/>
  <c r="L517" i="21"/>
  <c r="O517" i="21" s="1"/>
  <c r="L191" i="21"/>
  <c r="O191" i="21" s="1"/>
  <c r="L764" i="21"/>
  <c r="O764" i="21" s="1"/>
  <c r="L328" i="21"/>
  <c r="O328" i="21" s="1"/>
  <c r="L857" i="21"/>
  <c r="O857" i="21" s="1"/>
  <c r="L762" i="21"/>
  <c r="O762" i="21" s="1"/>
  <c r="L854" i="21"/>
  <c r="O854" i="21" s="1"/>
  <c r="L186" i="21"/>
  <c r="O186" i="21" s="1"/>
  <c r="L151" i="21"/>
  <c r="O151" i="21" s="1"/>
  <c r="AG301" i="16"/>
  <c r="AG523" i="16"/>
  <c r="L828" i="21"/>
  <c r="O828" i="21" s="1"/>
  <c r="L752" i="21"/>
  <c r="O752" i="21" s="1"/>
  <c r="L508" i="21"/>
  <c r="O508" i="21" s="1"/>
  <c r="L431" i="21"/>
  <c r="O431" i="21" s="1"/>
  <c r="L194" i="21"/>
  <c r="O194" i="21" s="1"/>
  <c r="AG149" i="16"/>
  <c r="L107" i="21"/>
  <c r="O107" i="21" s="1"/>
  <c r="L124" i="21"/>
  <c r="L710" i="21"/>
  <c r="O710" i="21" s="1"/>
  <c r="L526" i="21"/>
  <c r="O526" i="21" s="1"/>
  <c r="L477" i="21"/>
  <c r="O477" i="21" s="1"/>
  <c r="L727" i="21"/>
  <c r="O727" i="21" s="1"/>
  <c r="L518" i="21"/>
  <c r="O518" i="21" s="1"/>
  <c r="L810" i="21"/>
  <c r="O810" i="21" s="1"/>
  <c r="L792" i="21"/>
  <c r="O792" i="21" s="1"/>
  <c r="L831" i="21"/>
  <c r="O831" i="21" s="1"/>
  <c r="L809" i="21"/>
  <c r="O809" i="21" s="1"/>
  <c r="L770" i="21"/>
  <c r="O770" i="21" s="1"/>
  <c r="L853" i="21"/>
  <c r="O853" i="21" s="1"/>
  <c r="L714" i="21"/>
  <c r="O714" i="21" s="1"/>
  <c r="L746" i="21"/>
  <c r="O746" i="21" s="1"/>
  <c r="L290" i="21"/>
  <c r="O290" i="21" s="1"/>
  <c r="L6" i="21"/>
  <c r="L143" i="21"/>
  <c r="O143" i="21" s="1"/>
  <c r="L379" i="21"/>
  <c r="O379" i="21" s="1"/>
  <c r="L11" i="21"/>
  <c r="O11" i="21" s="1"/>
  <c r="L319" i="21"/>
  <c r="O319" i="21" s="1"/>
  <c r="L734" i="21"/>
  <c r="O734" i="21" s="1"/>
  <c r="L312" i="21"/>
  <c r="O312" i="21" s="1"/>
  <c r="L322" i="21"/>
  <c r="O322" i="21" s="1"/>
  <c r="AG879" i="16"/>
  <c r="L256" i="21"/>
  <c r="O256" i="21" s="1"/>
  <c r="L253" i="21"/>
  <c r="O253" i="21" s="1"/>
  <c r="L728" i="21"/>
  <c r="O728" i="21" s="1"/>
  <c r="L8" i="21"/>
  <c r="O8" i="21" s="1"/>
  <c r="L13" i="21"/>
  <c r="O13" i="21" s="1"/>
  <c r="L145" i="21"/>
  <c r="O145" i="21" s="1"/>
  <c r="O601" i="21"/>
  <c r="L529" i="21"/>
  <c r="O529" i="21" s="1"/>
  <c r="L263" i="21"/>
  <c r="O263" i="21" s="1"/>
  <c r="L296" i="21"/>
  <c r="O296" i="21" s="1"/>
  <c r="L749" i="21"/>
  <c r="O749" i="21" s="1"/>
  <c r="O591" i="21"/>
  <c r="L309" i="21"/>
  <c r="O309" i="21" s="1"/>
  <c r="L16" i="21"/>
  <c r="O16" i="21" s="1"/>
  <c r="L12" i="21"/>
  <c r="O12" i="21" s="1"/>
  <c r="L813" i="21"/>
  <c r="O813" i="21" s="1"/>
  <c r="O441" i="21"/>
  <c r="AG103" i="16"/>
  <c r="O420" i="21"/>
  <c r="O121" i="21"/>
  <c r="L685" i="21"/>
  <c r="O685" i="21" s="1"/>
  <c r="AG741" i="16"/>
  <c r="L440" i="21"/>
  <c r="O440" i="21" s="1"/>
  <c r="L422" i="21"/>
  <c r="O422" i="21" s="1"/>
  <c r="L427" i="21"/>
  <c r="O427" i="21" s="1"/>
  <c r="L452" i="21"/>
  <c r="O452" i="21" s="1"/>
  <c r="L372" i="21"/>
  <c r="O372" i="21" s="1"/>
  <c r="L131" i="21"/>
  <c r="O131" i="21" s="1"/>
  <c r="L127" i="21"/>
  <c r="K7" i="31"/>
  <c r="M7" i="31" s="1"/>
  <c r="M13" i="31" s="1"/>
  <c r="L260" i="21"/>
  <c r="O260" i="21" s="1"/>
  <c r="L153" i="21"/>
  <c r="O153" i="21" s="1"/>
  <c r="L315" i="21"/>
  <c r="O315" i="21" s="1"/>
  <c r="L450" i="21"/>
  <c r="O450" i="21" s="1"/>
  <c r="L429" i="21"/>
  <c r="L451" i="21"/>
  <c r="L484" i="21"/>
  <c r="O484" i="21" s="1"/>
  <c r="L122" i="21"/>
  <c r="O122" i="21" s="1"/>
  <c r="L130" i="21"/>
  <c r="O130" i="21" s="1"/>
  <c r="AG876" i="16"/>
  <c r="AG183" i="16"/>
  <c r="L305" i="21"/>
  <c r="O305" i="21" s="1"/>
  <c r="L383" i="21"/>
  <c r="O383" i="21" s="1"/>
  <c r="L479" i="21"/>
  <c r="O479" i="21" s="1"/>
  <c r="L423" i="21"/>
  <c r="L483" i="21"/>
  <c r="O483" i="21" s="1"/>
  <c r="AG383" i="16"/>
  <c r="L84" i="21"/>
  <c r="O84" i="21" s="1"/>
  <c r="L120" i="21"/>
  <c r="O120" i="21" s="1"/>
  <c r="L128" i="21"/>
  <c r="O128" i="21" s="1"/>
  <c r="L883" i="21"/>
  <c r="O883" i="21" s="1"/>
  <c r="L521" i="21"/>
  <c r="O521" i="21" s="1"/>
  <c r="L748" i="21"/>
  <c r="O748" i="21" s="1"/>
  <c r="L480" i="21"/>
  <c r="O480" i="21" s="1"/>
  <c r="L421" i="21"/>
  <c r="O421" i="21" s="1"/>
  <c r="L426" i="21"/>
  <c r="O426" i="21" s="1"/>
  <c r="L425" i="21"/>
  <c r="O425" i="21" s="1"/>
  <c r="L190" i="21"/>
  <c r="O190" i="21" s="1"/>
  <c r="L123" i="21"/>
  <c r="O123" i="21" s="1"/>
  <c r="L125" i="21"/>
  <c r="O125" i="21" s="1"/>
  <c r="L548" i="21"/>
  <c r="O548" i="21" s="1"/>
  <c r="L486" i="21"/>
  <c r="O486" i="21" s="1"/>
  <c r="L488" i="21"/>
  <c r="O488" i="21" s="1"/>
  <c r="L430" i="21"/>
  <c r="O430" i="21" s="1"/>
  <c r="L449" i="21"/>
  <c r="O449" i="21" s="1"/>
  <c r="L750" i="21"/>
  <c r="O750" i="21" s="1"/>
  <c r="AG776" i="16"/>
  <c r="L126" i="21"/>
  <c r="O126" i="21" s="1"/>
  <c r="AG107" i="16"/>
  <c r="L513" i="21"/>
  <c r="O513" i="21" s="1"/>
  <c r="L181" i="21"/>
  <c r="O181" i="21" s="1"/>
  <c r="L246" i="21"/>
  <c r="O246" i="21" s="1"/>
  <c r="L308" i="21"/>
  <c r="O308" i="21" s="1"/>
  <c r="L439" i="21"/>
  <c r="O439" i="21" s="1"/>
  <c r="L438" i="21"/>
  <c r="O438" i="21" s="1"/>
  <c r="L487" i="21"/>
  <c r="O487" i="21" s="1"/>
  <c r="L481" i="21"/>
  <c r="O481" i="21" s="1"/>
  <c r="L777" i="21"/>
  <c r="O777" i="21" s="1"/>
  <c r="L198" i="21"/>
  <c r="O198" i="21" s="1"/>
  <c r="AG550" i="16"/>
  <c r="L129" i="21"/>
  <c r="O129" i="21" s="1"/>
  <c r="O117" i="21"/>
  <c r="L141" i="21"/>
  <c r="O141" i="21" s="1"/>
  <c r="L330" i="21"/>
  <c r="O330" i="21" s="1"/>
  <c r="O596" i="21"/>
  <c r="O569" i="21"/>
  <c r="L482" i="21"/>
  <c r="O482" i="21" s="1"/>
  <c r="L478" i="21"/>
  <c r="O478" i="21" s="1"/>
  <c r="L424" i="21"/>
  <c r="O424" i="21" s="1"/>
  <c r="L676" i="21"/>
  <c r="O676" i="21" s="1"/>
  <c r="L539" i="21"/>
  <c r="O539" i="21" s="1"/>
  <c r="O41" i="21"/>
  <c r="L547" i="21"/>
  <c r="O547" i="21" s="1"/>
  <c r="L362" i="21"/>
  <c r="O362" i="21" s="1"/>
  <c r="L113" i="21"/>
  <c r="O113" i="21" s="1"/>
  <c r="L775" i="21"/>
  <c r="O775" i="21" s="1"/>
  <c r="L617" i="21"/>
  <c r="O617" i="21" s="1"/>
  <c r="AG140" i="16"/>
  <c r="AG95" i="16"/>
  <c r="L200" i="21"/>
  <c r="O200" i="21" s="1"/>
  <c r="L641" i="21"/>
  <c r="O641" i="21" s="1"/>
  <c r="L116" i="21"/>
  <c r="O116" i="21" s="1"/>
  <c r="L516" i="21"/>
  <c r="O516" i="21" s="1"/>
  <c r="AG543" i="16"/>
  <c r="L250" i="21"/>
  <c r="O250" i="21" s="1"/>
  <c r="L197" i="21"/>
  <c r="O197" i="21" s="1"/>
  <c r="L760" i="21"/>
  <c r="O760" i="21" s="1"/>
  <c r="L616" i="21"/>
  <c r="O616" i="21" s="1"/>
  <c r="L652" i="21"/>
  <c r="O652" i="21" s="1"/>
  <c r="L668" i="21"/>
  <c r="O668" i="21" s="1"/>
  <c r="L610" i="21"/>
  <c r="O610" i="21" s="1"/>
  <c r="L682" i="21"/>
  <c r="O682" i="21" s="1"/>
  <c r="D33" i="22"/>
  <c r="O6" i="21"/>
  <c r="O597" i="21"/>
  <c r="L202" i="21"/>
  <c r="O202" i="21" s="1"/>
  <c r="L119" i="21"/>
  <c r="O119" i="21" s="1"/>
  <c r="L716" i="21"/>
  <c r="O716" i="21" s="1"/>
  <c r="AG541" i="16"/>
  <c r="L621" i="21"/>
  <c r="O621" i="21" s="1"/>
  <c r="L615" i="21"/>
  <c r="O615" i="21" s="1"/>
  <c r="L678" i="21"/>
  <c r="O678" i="21" s="1"/>
  <c r="L614" i="21"/>
  <c r="O614" i="21" s="1"/>
  <c r="L657" i="21"/>
  <c r="O657" i="21" s="1"/>
  <c r="L133" i="21"/>
  <c r="O133" i="21" s="1"/>
  <c r="L331" i="21"/>
  <c r="O331" i="21" s="1"/>
  <c r="L95" i="21"/>
  <c r="O95" i="21" s="1"/>
  <c r="L112" i="21"/>
  <c r="O112" i="21" s="1"/>
  <c r="L333" i="21"/>
  <c r="O333" i="21" s="1"/>
  <c r="L292" i="21"/>
  <c r="O292" i="21" s="1"/>
  <c r="L288" i="21"/>
  <c r="O288" i="21" s="1"/>
  <c r="L672" i="21"/>
  <c r="O672" i="21" s="1"/>
  <c r="L620" i="21"/>
  <c r="O620" i="21" s="1"/>
  <c r="L643" i="21"/>
  <c r="O643" i="21" s="1"/>
  <c r="L618" i="21"/>
  <c r="O618" i="21" s="1"/>
  <c r="L661" i="21"/>
  <c r="O661" i="21" s="1"/>
  <c r="L531" i="21"/>
  <c r="O531" i="21" s="1"/>
  <c r="L108" i="21"/>
  <c r="O108" i="21" s="1"/>
  <c r="L115" i="21"/>
  <c r="O115" i="21" s="1"/>
  <c r="L93" i="21"/>
  <c r="O93" i="21" s="1"/>
  <c r="L311" i="21"/>
  <c r="O311" i="21" s="1"/>
  <c r="L684" i="21"/>
  <c r="O684" i="21" s="1"/>
  <c r="L625" i="21"/>
  <c r="O625" i="21" s="1"/>
  <c r="L647" i="21"/>
  <c r="O647" i="21" s="1"/>
  <c r="L642" i="21"/>
  <c r="O642" i="21" s="1"/>
  <c r="L665" i="21"/>
  <c r="O665" i="21" s="1"/>
  <c r="O561" i="21"/>
  <c r="L111" i="21"/>
  <c r="O111" i="21" s="1"/>
  <c r="L118" i="21"/>
  <c r="O118" i="21" s="1"/>
  <c r="L363" i="21"/>
  <c r="O363" i="21" s="1"/>
  <c r="L709" i="21"/>
  <c r="O709" i="21" s="1"/>
  <c r="L139" i="21"/>
  <c r="O139" i="21" s="1"/>
  <c r="L532" i="21"/>
  <c r="O532" i="21" s="1"/>
  <c r="L97" i="21"/>
  <c r="O97" i="21" s="1"/>
  <c r="L607" i="21"/>
  <c r="O607" i="21" s="1"/>
  <c r="L608" i="21"/>
  <c r="O608" i="21" s="1"/>
  <c r="L651" i="21"/>
  <c r="O651" i="21" s="1"/>
  <c r="L646" i="21"/>
  <c r="O646" i="21" s="1"/>
  <c r="L687" i="21"/>
  <c r="O687" i="21" s="1"/>
  <c r="AG875" i="16"/>
  <c r="L114" i="21"/>
  <c r="O114" i="21" s="1"/>
  <c r="L109" i="21"/>
  <c r="O109" i="21" s="1"/>
  <c r="O124" i="21"/>
  <c r="L619" i="21"/>
  <c r="O619" i="21" s="1"/>
  <c r="L613" i="21"/>
  <c r="O613" i="21" s="1"/>
  <c r="L677" i="21"/>
  <c r="O677" i="21" s="1"/>
  <c r="L650" i="21"/>
  <c r="O650" i="21" s="1"/>
  <c r="L691" i="21"/>
  <c r="O691" i="21" s="1"/>
  <c r="L147" i="21"/>
  <c r="O147" i="21" s="1"/>
  <c r="L110" i="21"/>
  <c r="O110" i="21" s="1"/>
  <c r="O127" i="21"/>
  <c r="L612" i="21"/>
  <c r="O612" i="21" s="1"/>
  <c r="L635" i="21"/>
  <c r="O635" i="21" s="1"/>
  <c r="L680" i="21"/>
  <c r="O680" i="21" s="1"/>
  <c r="L673" i="21"/>
  <c r="O673" i="21" s="1"/>
  <c r="L695" i="21"/>
  <c r="O695" i="21" s="1"/>
  <c r="L780" i="21"/>
  <c r="O780" i="21" s="1"/>
  <c r="L715" i="21"/>
  <c r="O715" i="21" s="1"/>
  <c r="AG324" i="16"/>
  <c r="AG99" i="16"/>
  <c r="AG536" i="16"/>
  <c r="O555" i="21"/>
  <c r="AG300" i="16"/>
  <c r="AG146" i="16"/>
  <c r="AG243" i="16"/>
  <c r="L360" i="21"/>
  <c r="O360" i="21" s="1"/>
  <c r="AG759" i="16"/>
  <c r="L317" i="21"/>
  <c r="O317" i="21" s="1"/>
  <c r="L96" i="21"/>
  <c r="O96" i="21" s="1"/>
  <c r="L85" i="21"/>
  <c r="O85" i="21" s="1"/>
  <c r="AG524" i="16"/>
  <c r="AG257" i="16"/>
  <c r="L293" i="21"/>
  <c r="O293" i="21" s="1"/>
  <c r="L291" i="21"/>
  <c r="O291" i="21" s="1"/>
  <c r="L374" i="21"/>
  <c r="O374" i="21" s="1"/>
  <c r="L779" i="21"/>
  <c r="O779" i="21" s="1"/>
  <c r="L314" i="21"/>
  <c r="O314" i="21" s="1"/>
  <c r="L100" i="21"/>
  <c r="O100" i="21" s="1"/>
  <c r="L545" i="21"/>
  <c r="O545" i="21" s="1"/>
  <c r="O5" i="21"/>
  <c r="L88" i="21"/>
  <c r="O88" i="21" s="1"/>
  <c r="L148" i="21"/>
  <c r="O148" i="21" s="1"/>
  <c r="L376" i="21"/>
  <c r="O376" i="21" s="1"/>
  <c r="O451" i="21"/>
  <c r="L877" i="21"/>
  <c r="O877" i="21" s="1"/>
  <c r="L367" i="21"/>
  <c r="O367" i="21" s="1"/>
  <c r="L261" i="21"/>
  <c r="O261" i="21" s="1"/>
  <c r="L137" i="21"/>
  <c r="O137" i="21" s="1"/>
  <c r="O556" i="21"/>
  <c r="L361" i="21"/>
  <c r="O361" i="21" s="1"/>
  <c r="L299" i="21"/>
  <c r="O299" i="21" s="1"/>
  <c r="L313" i="21"/>
  <c r="O313" i="21" s="1"/>
  <c r="L515" i="21"/>
  <c r="O515" i="21" s="1"/>
  <c r="O423" i="21"/>
  <c r="L92" i="21"/>
  <c r="O92" i="21" s="1"/>
  <c r="L302" i="21"/>
  <c r="O302" i="21" s="1"/>
  <c r="L182" i="21"/>
  <c r="O182" i="21" s="1"/>
  <c r="L303" i="21"/>
  <c r="O303" i="21" s="1"/>
  <c r="L326" i="21"/>
  <c r="O326" i="21" s="1"/>
  <c r="O573" i="21"/>
  <c r="L713" i="21"/>
  <c r="O713" i="21" s="1"/>
  <c r="L365" i="21"/>
  <c r="O365" i="21" s="1"/>
  <c r="L386" i="21"/>
  <c r="O386" i="21" s="1"/>
  <c r="L387" i="21"/>
  <c r="O387" i="21" s="1"/>
  <c r="L453" i="21"/>
  <c r="O453" i="21" s="1"/>
  <c r="L443" i="21"/>
  <c r="O443" i="21" s="1"/>
  <c r="L388" i="21"/>
  <c r="O388" i="21" s="1"/>
  <c r="L321" i="21"/>
  <c r="O321" i="21" s="1"/>
  <c r="L252" i="21"/>
  <c r="O252" i="21" s="1"/>
  <c r="L244" i="21"/>
  <c r="O244" i="21" s="1"/>
  <c r="L335" i="21"/>
  <c r="O335" i="21" s="1"/>
  <c r="L454" i="21"/>
  <c r="O454" i="21" s="1"/>
  <c r="L391" i="21"/>
  <c r="O391" i="21" s="1"/>
  <c r="L389" i="21"/>
  <c r="O389" i="21" s="1"/>
  <c r="L459" i="21"/>
  <c r="O459" i="21" s="1"/>
  <c r="L396" i="21"/>
  <c r="O396" i="21" s="1"/>
  <c r="O428" i="21"/>
  <c r="L456" i="21"/>
  <c r="O456" i="21" s="1"/>
  <c r="L461" i="21"/>
  <c r="O461" i="21" s="1"/>
  <c r="L394" i="21"/>
  <c r="O394" i="21" s="1"/>
  <c r="L407" i="21"/>
  <c r="O407" i="21" s="1"/>
  <c r="L385" i="21"/>
  <c r="O385" i="21" s="1"/>
  <c r="L404" i="21"/>
  <c r="O404" i="21" s="1"/>
  <c r="L184" i="21"/>
  <c r="O184" i="21" s="1"/>
  <c r="AG91" i="16"/>
  <c r="L400" i="21"/>
  <c r="O400" i="21" s="1"/>
  <c r="L399" i="21"/>
  <c r="O399" i="21" s="1"/>
  <c r="L398" i="21"/>
  <c r="O398" i="21" s="1"/>
  <c r="L464" i="21"/>
  <c r="O464" i="21" s="1"/>
  <c r="L393" i="21"/>
  <c r="O393" i="21" s="1"/>
  <c r="L444" i="21"/>
  <c r="O444" i="21" s="1"/>
  <c r="L90" i="21"/>
  <c r="O90" i="21" s="1"/>
  <c r="L189" i="21"/>
  <c r="O189" i="21" s="1"/>
  <c r="L329" i="21"/>
  <c r="O329" i="21" s="1"/>
  <c r="L406" i="21"/>
  <c r="O406" i="21" s="1"/>
  <c r="L455" i="21"/>
  <c r="O455" i="21" s="1"/>
  <c r="L405" i="21"/>
  <c r="O405" i="21" s="1"/>
  <c r="L390" i="21"/>
  <c r="O390" i="21" s="1"/>
  <c r="L401" i="21"/>
  <c r="O401" i="21" s="1"/>
  <c r="L460" i="21"/>
  <c r="O460" i="21" s="1"/>
  <c r="L520" i="21"/>
  <c r="O520" i="21" s="1"/>
  <c r="L717" i="21"/>
  <c r="O717" i="21" s="1"/>
  <c r="L323" i="21"/>
  <c r="O323" i="21" s="1"/>
  <c r="L442" i="21"/>
  <c r="O442" i="21" s="1"/>
  <c r="L458" i="21"/>
  <c r="O458" i="21" s="1"/>
  <c r="L432" i="21"/>
  <c r="O432" i="21" s="1"/>
  <c r="L397" i="21"/>
  <c r="O397" i="21" s="1"/>
  <c r="L433" i="21"/>
  <c r="O433" i="21" s="1"/>
  <c r="AG335" i="16"/>
  <c r="L756" i="21"/>
  <c r="O756" i="21" s="1"/>
  <c r="L434" i="21"/>
  <c r="O434" i="21" s="1"/>
  <c r="L462" i="21"/>
  <c r="O462" i="21" s="1"/>
  <c r="L463" i="21"/>
  <c r="O463" i="21" s="1"/>
  <c r="L395" i="21"/>
  <c r="O395" i="21" s="1"/>
  <c r="L738" i="21"/>
  <c r="O738" i="21" s="1"/>
  <c r="AG519" i="16"/>
  <c r="L538" i="21"/>
  <c r="O538" i="21" s="1"/>
  <c r="O42" i="21"/>
  <c r="L878" i="21"/>
  <c r="O878" i="21" s="1"/>
  <c r="L755" i="21"/>
  <c r="O755" i="21" s="1"/>
  <c r="O429" i="21"/>
  <c r="O683" i="21"/>
  <c r="O584" i="21"/>
  <c r="L544" i="21"/>
  <c r="O544" i="21" s="1"/>
  <c r="L884" i="21"/>
  <c r="O884" i="21" s="1"/>
  <c r="AG57" i="16"/>
  <c r="AG51" i="16"/>
  <c r="O53" i="21"/>
  <c r="AG53" i="16"/>
  <c r="AG708" i="16"/>
  <c r="AP5" i="16"/>
  <c r="AQ5" i="16" s="1"/>
  <c r="O10" i="21"/>
  <c r="O50" i="21"/>
  <c r="AG50" i="16"/>
  <c r="AC10" i="21"/>
  <c r="L14" i="21"/>
  <c r="O14" i="21" s="1"/>
  <c r="L15" i="21"/>
  <c r="O15" i="21" s="1"/>
  <c r="L742" i="21"/>
  <c r="O742" i="21" s="1"/>
  <c r="L537" i="21"/>
  <c r="O537" i="21" s="1"/>
  <c r="L530" i="21"/>
  <c r="O530" i="21" s="1"/>
  <c r="L753" i="21"/>
  <c r="O753" i="21" s="1"/>
  <c r="L720" i="21"/>
  <c r="O720" i="21" s="1"/>
  <c r="L644" i="21"/>
  <c r="O644" i="21" s="1"/>
  <c r="L624" i="21"/>
  <c r="O624" i="21" s="1"/>
  <c r="L700" i="21"/>
  <c r="O700" i="21" s="1"/>
  <c r="L640" i="21"/>
  <c r="O640" i="21" s="1"/>
  <c r="L664" i="21"/>
  <c r="O664" i="21" s="1"/>
  <c r="L705" i="21"/>
  <c r="O705" i="21" s="1"/>
  <c r="L655" i="21"/>
  <c r="O655" i="21" s="1"/>
  <c r="L688" i="21"/>
  <c r="O688" i="21" s="1"/>
  <c r="L622" i="21"/>
  <c r="O622" i="21" s="1"/>
  <c r="L654" i="21"/>
  <c r="O654" i="21" s="1"/>
  <c r="L690" i="21"/>
  <c r="O690" i="21" s="1"/>
  <c r="L669" i="21"/>
  <c r="O669" i="21" s="1"/>
  <c r="L699" i="21"/>
  <c r="O699" i="21" s="1"/>
  <c r="O56" i="21"/>
  <c r="AG56" i="16"/>
  <c r="L681" i="21"/>
  <c r="O681" i="21" s="1"/>
  <c r="L627" i="21"/>
  <c r="O627" i="21" s="1"/>
  <c r="L692" i="21"/>
  <c r="O692" i="21" s="1"/>
  <c r="L659" i="21"/>
  <c r="O659" i="21" s="1"/>
  <c r="L693" i="21"/>
  <c r="O693" i="21" s="1"/>
  <c r="L658" i="21"/>
  <c r="O658" i="21" s="1"/>
  <c r="L698" i="21"/>
  <c r="O698" i="21" s="1"/>
  <c r="L703" i="21"/>
  <c r="O703" i="21" s="1"/>
  <c r="L17" i="21"/>
  <c r="O17" i="21" s="1"/>
  <c r="L747" i="21"/>
  <c r="O747" i="21" s="1"/>
  <c r="L540" i="21"/>
  <c r="O540" i="21" s="1"/>
  <c r="L718" i="21"/>
  <c r="O718" i="21" s="1"/>
  <c r="L774" i="21"/>
  <c r="O774" i="21" s="1"/>
  <c r="L609" i="21"/>
  <c r="O609" i="21" s="1"/>
  <c r="L645" i="21"/>
  <c r="O645" i="21" s="1"/>
  <c r="L632" i="21"/>
  <c r="O632" i="21" s="1"/>
  <c r="L689" i="21"/>
  <c r="O689" i="21" s="1"/>
  <c r="L623" i="21"/>
  <c r="O623" i="21" s="1"/>
  <c r="L694" i="21"/>
  <c r="O694" i="21" s="1"/>
  <c r="L663" i="21"/>
  <c r="O663" i="21" s="1"/>
  <c r="L696" i="21"/>
  <c r="O696" i="21" s="1"/>
  <c r="L630" i="21"/>
  <c r="O630" i="21" s="1"/>
  <c r="L662" i="21"/>
  <c r="O662" i="21" s="1"/>
  <c r="L706" i="21"/>
  <c r="O706" i="21" s="1"/>
  <c r="L675" i="21"/>
  <c r="O675" i="21" s="1"/>
  <c r="L707" i="21"/>
  <c r="O707" i="21" s="1"/>
  <c r="L7" i="21"/>
  <c r="O7" i="21" s="1"/>
  <c r="AG2" i="16"/>
  <c r="O589" i="21"/>
  <c r="O560" i="21"/>
  <c r="L631" i="21"/>
  <c r="O631" i="21" s="1"/>
  <c r="L648" i="21"/>
  <c r="O648" i="21" s="1"/>
  <c r="L637" i="21"/>
  <c r="O637" i="21" s="1"/>
  <c r="L525" i="21"/>
  <c r="O525" i="21" s="1"/>
  <c r="L628" i="21"/>
  <c r="O628" i="21" s="1"/>
  <c r="L702" i="21"/>
  <c r="O702" i="21" s="1"/>
  <c r="L667" i="21"/>
  <c r="O667" i="21" s="1"/>
  <c r="L701" i="21"/>
  <c r="O701" i="21" s="1"/>
  <c r="L634" i="21"/>
  <c r="O634" i="21" s="1"/>
  <c r="L666" i="21"/>
  <c r="O666" i="21" s="1"/>
  <c r="L649" i="21"/>
  <c r="O649" i="21" s="1"/>
  <c r="L679" i="21"/>
  <c r="O679" i="21" s="1"/>
  <c r="AG525" i="16"/>
  <c r="O590" i="21"/>
  <c r="L629" i="21"/>
  <c r="O629" i="21" s="1"/>
  <c r="L660" i="21"/>
  <c r="O660" i="21" s="1"/>
  <c r="L686" i="21"/>
  <c r="O686" i="21" s="1"/>
  <c r="L626" i="21"/>
  <c r="O626" i="21" s="1"/>
  <c r="L671" i="21"/>
  <c r="O671" i="21" s="1"/>
  <c r="L4" i="21"/>
  <c r="O4" i="21" s="1"/>
  <c r="L2" i="21"/>
  <c r="O2" i="21" s="1"/>
  <c r="L611" i="21"/>
  <c r="O611" i="21" s="1"/>
  <c r="L636" i="21"/>
  <c r="O636" i="21" s="1"/>
  <c r="L697" i="21"/>
  <c r="O697" i="21" s="1"/>
  <c r="L656" i="21"/>
  <c r="O656" i="21" s="1"/>
  <c r="L606" i="21"/>
  <c r="O606" i="21" s="1"/>
  <c r="L633" i="21"/>
  <c r="O633" i="21" s="1"/>
  <c r="L639" i="21"/>
  <c r="O639" i="21" s="1"/>
  <c r="L674" i="21"/>
  <c r="O674" i="21" s="1"/>
  <c r="L704" i="21"/>
  <c r="O704" i="21" s="1"/>
  <c r="L638" i="21"/>
  <c r="O638" i="21" s="1"/>
  <c r="L670" i="21"/>
  <c r="O670" i="21" s="1"/>
  <c r="L653" i="21"/>
  <c r="O653" i="21" s="1"/>
  <c r="AG55" i="16"/>
  <c r="M9" i="31"/>
  <c r="K15" i="31"/>
  <c r="K14" i="31"/>
  <c r="O43" i="21"/>
  <c r="AG43" i="16"/>
  <c r="O52" i="21"/>
  <c r="AG52" i="16"/>
  <c r="O49" i="21"/>
  <c r="AG49" i="16"/>
  <c r="AQ16" i="23"/>
  <c r="O875" i="21"/>
  <c r="O489" i="21"/>
  <c r="O708" i="21"/>
  <c r="Y46" i="12"/>
  <c r="AB5" i="12"/>
  <c r="AB46" i="12" s="1"/>
  <c r="Y46" i="13"/>
  <c r="AB5" i="13"/>
  <c r="AP7" i="16" l="1"/>
  <c r="AQ7" i="16" s="1"/>
  <c r="AC12" i="21"/>
  <c r="K13" i="31"/>
  <c r="AP3" i="16"/>
  <c r="AQ3" i="16" s="1"/>
  <c r="AC7" i="21"/>
  <c r="AP6" i="16"/>
  <c r="AQ6" i="16" s="1"/>
  <c r="W12" i="21"/>
  <c r="AC11" i="21"/>
  <c r="T10" i="21"/>
  <c r="AP4" i="16"/>
  <c r="AQ4" i="16" s="1"/>
  <c r="W11" i="21"/>
  <c r="W7" i="21"/>
  <c r="T7" i="21"/>
  <c r="T11" i="21"/>
  <c r="T12" i="21"/>
  <c r="Z12" i="21" s="1"/>
  <c r="W10" i="21"/>
  <c r="AC9" i="21"/>
  <c r="W9" i="21"/>
  <c r="T9" i="21"/>
  <c r="M15" i="31"/>
  <c r="M14" i="31"/>
  <c r="G8" i="22"/>
  <c r="I8" i="22" s="1"/>
  <c r="G13" i="22"/>
  <c r="I13" i="22" s="1"/>
  <c r="AJ5" i="24"/>
  <c r="AA69" i="17"/>
  <c r="AA68" i="17"/>
  <c r="AA67" i="17"/>
  <c r="AA66" i="17"/>
  <c r="AA26" i="17"/>
  <c r="AA22" i="16"/>
  <c r="AG22" i="16" s="1"/>
  <c r="AA18" i="17"/>
  <c r="AA74" i="16"/>
  <c r="O74" i="21" s="1"/>
  <c r="AA48" i="16"/>
  <c r="O48" i="21" s="1"/>
  <c r="AA25" i="17"/>
  <c r="AA21" i="16"/>
  <c r="AG21" i="16" s="1"/>
  <c r="AA17" i="17"/>
  <c r="AA70" i="17"/>
  <c r="AA23" i="16"/>
  <c r="AG23" i="16" s="1"/>
  <c r="AA73" i="16"/>
  <c r="O73" i="21" s="1"/>
  <c r="AA72" i="16"/>
  <c r="O72" i="21" s="1"/>
  <c r="AA71" i="16"/>
  <c r="O71" i="21" s="1"/>
  <c r="AA70" i="16"/>
  <c r="O70" i="21" s="1"/>
  <c r="AA47" i="16"/>
  <c r="O47" i="21" s="1"/>
  <c r="AA24" i="17"/>
  <c r="AA20" i="16"/>
  <c r="AG20" i="16" s="1"/>
  <c r="AA16" i="17"/>
  <c r="AA46" i="17"/>
  <c r="AA75" i="16"/>
  <c r="AA69" i="16"/>
  <c r="O69" i="21" s="1"/>
  <c r="AA68" i="16"/>
  <c r="O68" i="21" s="1"/>
  <c r="AA67" i="16"/>
  <c r="O67" i="21" s="1"/>
  <c r="AA27" i="16"/>
  <c r="AG27" i="16" s="1"/>
  <c r="AA23" i="17"/>
  <c r="AA19" i="16"/>
  <c r="AG19" i="16" s="1"/>
  <c r="AA26" i="16"/>
  <c r="AG26" i="16" s="1"/>
  <c r="AA22" i="17"/>
  <c r="AA18" i="16"/>
  <c r="AG18" i="16" s="1"/>
  <c r="AA72" i="17"/>
  <c r="AA19" i="17"/>
  <c r="AA45" i="17"/>
  <c r="AA25" i="16"/>
  <c r="AG25" i="16" s="1"/>
  <c r="AA21" i="17"/>
  <c r="AA71" i="17"/>
  <c r="AA28" i="16"/>
  <c r="AG28" i="16" s="1"/>
  <c r="AA65" i="17"/>
  <c r="AA24" i="16"/>
  <c r="AG24" i="16" s="1"/>
  <c r="AA20" i="17"/>
  <c r="AA73" i="17"/>
  <c r="AB46" i="13"/>
  <c r="AA3" i="16"/>
  <c r="AH12" i="21" l="1"/>
  <c r="AP9" i="16"/>
  <c r="AQ9" i="16" s="1"/>
  <c r="Z7" i="21"/>
  <c r="AH7" i="21" s="1"/>
  <c r="Z10" i="21"/>
  <c r="AH10" i="21" s="1"/>
  <c r="D32" i="22"/>
  <c r="Z11" i="21"/>
  <c r="AH11" i="21" s="1"/>
  <c r="Z9" i="21"/>
  <c r="AH9" i="21" s="1"/>
  <c r="AG67" i="16"/>
  <c r="AG73" i="16"/>
  <c r="AG48" i="16"/>
  <c r="AG70" i="16"/>
  <c r="AG69" i="16"/>
  <c r="AG71" i="16"/>
  <c r="AG47" i="16"/>
  <c r="AG74" i="16"/>
  <c r="AG72" i="16"/>
  <c r="AG68" i="16"/>
  <c r="AG3" i="16"/>
  <c r="AC6" i="21" s="1"/>
  <c r="L25" i="21"/>
  <c r="O25" i="21" s="1"/>
  <c r="L28" i="21"/>
  <c r="O28" i="21" s="1"/>
  <c r="L27" i="21"/>
  <c r="O27" i="21" s="1"/>
  <c r="L24" i="21"/>
  <c r="O24" i="21" s="1"/>
  <c r="L21" i="21"/>
  <c r="O21" i="21" s="1"/>
  <c r="L18" i="21"/>
  <c r="O18" i="21" s="1"/>
  <c r="L22" i="21"/>
  <c r="O22" i="21" s="1"/>
  <c r="L19" i="21"/>
  <c r="O19" i="21" s="1"/>
  <c r="L23" i="21"/>
  <c r="O23" i="21" s="1"/>
  <c r="L20" i="21"/>
  <c r="O20" i="21" s="1"/>
  <c r="L26" i="21"/>
  <c r="O26" i="21" s="1"/>
  <c r="L3" i="21"/>
  <c r="AG75" i="16"/>
  <c r="O75" i="21"/>
  <c r="AP2" i="16"/>
  <c r="O3" i="21" l="1"/>
  <c r="W6" i="21" s="1"/>
  <c r="T6" i="21"/>
  <c r="AP8" i="16"/>
  <c r="AQ2" i="16"/>
  <c r="Z6" i="21" l="1"/>
  <c r="AH6" i="21" s="1"/>
  <c r="AQ8" i="16"/>
  <c r="AP10" i="16"/>
  <c r="AQ10" i="16" s="1"/>
  <c r="J2" i="21"/>
  <c r="K2" i="21"/>
  <c r="M2" i="21"/>
  <c r="N2" i="21"/>
  <c r="J3" i="21"/>
  <c r="K3" i="21"/>
  <c r="M3" i="21"/>
  <c r="N3" i="21"/>
  <c r="J4" i="21"/>
  <c r="K4" i="21"/>
  <c r="M4" i="21"/>
  <c r="N4" i="21"/>
  <c r="J5" i="21"/>
  <c r="K5" i="21"/>
  <c r="M5" i="21"/>
  <c r="N5" i="21"/>
  <c r="J6" i="21"/>
  <c r="K6" i="21"/>
  <c r="M6" i="21"/>
  <c r="N6" i="21"/>
  <c r="R6" i="21"/>
  <c r="S6" i="21"/>
  <c r="U6" i="21"/>
  <c r="V6" i="21"/>
  <c r="X6" i="21"/>
  <c r="Y6" i="21"/>
  <c r="AA6" i="21"/>
  <c r="AB6" i="21"/>
  <c r="AD6" i="21"/>
  <c r="AE6" i="21"/>
  <c r="AF6" i="21"/>
  <c r="AG6" i="21"/>
  <c r="AI6" i="21"/>
  <c r="AJ6" i="21"/>
  <c r="J7" i="21"/>
  <c r="K7" i="21"/>
  <c r="M7" i="21"/>
  <c r="N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J8" i="21"/>
  <c r="K8" i="21"/>
  <c r="M8" i="21"/>
  <c r="N8" i="21"/>
  <c r="J9" i="21"/>
  <c r="K9" i="21"/>
  <c r="M9" i="21"/>
  <c r="N9" i="21"/>
  <c r="S9" i="21"/>
  <c r="V9" i="21"/>
  <c r="Y9" i="21"/>
  <c r="AB9" i="21"/>
  <c r="AE9" i="21"/>
  <c r="AG9" i="21"/>
  <c r="AJ9" i="21"/>
  <c r="J10" i="21"/>
  <c r="K10" i="21"/>
  <c r="M10" i="21"/>
  <c r="N10" i="21"/>
  <c r="S10" i="21"/>
  <c r="V10" i="21"/>
  <c r="Y10" i="21"/>
  <c r="AB10" i="21"/>
  <c r="AE10" i="21"/>
  <c r="AG10" i="21"/>
  <c r="AJ10" i="21"/>
  <c r="J11" i="21"/>
  <c r="K11" i="21"/>
  <c r="M11" i="21"/>
  <c r="N11" i="21"/>
  <c r="S11" i="21"/>
  <c r="V11" i="21"/>
  <c r="Y11" i="21"/>
  <c r="AB11" i="21"/>
  <c r="AE11" i="21"/>
  <c r="AG11" i="21"/>
  <c r="AJ11" i="21"/>
  <c r="J12" i="21"/>
  <c r="K12" i="21"/>
  <c r="M12" i="21"/>
  <c r="N12" i="21"/>
  <c r="S12" i="21"/>
  <c r="V12" i="21"/>
  <c r="Y12" i="21"/>
  <c r="AB12" i="21"/>
  <c r="AG12" i="21"/>
  <c r="AJ12" i="21"/>
  <c r="J13" i="21"/>
  <c r="K13" i="21"/>
  <c r="M13" i="21"/>
  <c r="N13" i="21"/>
  <c r="J14" i="21"/>
  <c r="K14" i="21"/>
  <c r="M14" i="21"/>
  <c r="N14" i="21"/>
  <c r="J15" i="21"/>
  <c r="K15" i="21"/>
  <c r="M15" i="21"/>
  <c r="N15" i="21"/>
  <c r="J16" i="21"/>
  <c r="K16" i="21"/>
  <c r="M16" i="21"/>
  <c r="N16" i="21"/>
  <c r="J17" i="21"/>
  <c r="K17" i="21"/>
  <c r="M17" i="21"/>
  <c r="N17" i="21"/>
  <c r="J18" i="21"/>
  <c r="K18" i="21"/>
  <c r="M18" i="21"/>
  <c r="N18" i="21"/>
  <c r="J19" i="21"/>
  <c r="K19" i="21"/>
  <c r="M19" i="21"/>
  <c r="N19" i="21"/>
  <c r="J20" i="21"/>
  <c r="K20" i="21"/>
  <c r="M20" i="21"/>
  <c r="N20" i="21"/>
  <c r="J21" i="21"/>
  <c r="K21" i="21"/>
  <c r="M21" i="21"/>
  <c r="N21" i="21"/>
  <c r="J22" i="21"/>
  <c r="K22" i="21"/>
  <c r="M22" i="21"/>
  <c r="N22" i="21"/>
  <c r="J23" i="21"/>
  <c r="K23" i="21"/>
  <c r="M23" i="21"/>
  <c r="N23" i="21"/>
  <c r="J24" i="21"/>
  <c r="K24" i="21"/>
  <c r="M24" i="21"/>
  <c r="N24" i="21"/>
  <c r="J25" i="21"/>
  <c r="K25" i="21"/>
  <c r="M25" i="21"/>
  <c r="N25" i="21"/>
  <c r="J26" i="21"/>
  <c r="K26" i="21"/>
  <c r="M26" i="21"/>
  <c r="N26" i="21"/>
  <c r="J27" i="21"/>
  <c r="K27" i="21"/>
  <c r="M27" i="21"/>
  <c r="N27" i="21"/>
  <c r="J28" i="21"/>
  <c r="K28" i="21"/>
  <c r="M28" i="21"/>
  <c r="N28" i="21"/>
  <c r="J29" i="21"/>
  <c r="M29" i="21"/>
  <c r="J30" i="21"/>
  <c r="M30" i="21"/>
  <c r="J31" i="21"/>
  <c r="M31" i="21"/>
  <c r="J32" i="21"/>
  <c r="M32" i="21"/>
  <c r="J33" i="21"/>
  <c r="M33" i="21"/>
  <c r="J34" i="21"/>
  <c r="M34" i="21"/>
  <c r="J35" i="21"/>
  <c r="M35" i="21"/>
  <c r="J36" i="21"/>
  <c r="M36" i="21"/>
  <c r="J37" i="21"/>
  <c r="M37" i="21"/>
  <c r="J38" i="21"/>
  <c r="M38" i="21"/>
  <c r="J39" i="21"/>
  <c r="M39" i="21"/>
  <c r="J40" i="21"/>
  <c r="M40" i="21"/>
  <c r="N41" i="21"/>
  <c r="N42" i="21"/>
  <c r="N43" i="21"/>
  <c r="N44" i="21"/>
  <c r="M45" i="21"/>
  <c r="M46" i="21"/>
  <c r="N47" i="21"/>
  <c r="N48" i="21"/>
  <c r="N49" i="21"/>
  <c r="N50" i="21"/>
  <c r="N51" i="21"/>
  <c r="N52" i="21"/>
  <c r="N53" i="21"/>
  <c r="N54" i="21"/>
  <c r="N55" i="21"/>
  <c r="N56" i="21"/>
  <c r="N57" i="21"/>
  <c r="M58" i="21"/>
  <c r="M59" i="21"/>
  <c r="M60" i="21"/>
  <c r="M61" i="21"/>
  <c r="M62" i="21"/>
  <c r="M63" i="21"/>
  <c r="M64" i="21"/>
  <c r="M65" i="21"/>
  <c r="M66" i="21"/>
  <c r="N67" i="21"/>
  <c r="N68" i="21"/>
  <c r="N69" i="21"/>
  <c r="N70" i="21"/>
  <c r="N71" i="21"/>
  <c r="N72" i="21"/>
  <c r="N73" i="21"/>
  <c r="N74" i="21"/>
  <c r="N75" i="21"/>
  <c r="M76" i="21"/>
  <c r="M77" i="21"/>
  <c r="M78" i="21"/>
  <c r="M79" i="21"/>
  <c r="M80" i="21"/>
  <c r="M81" i="21"/>
  <c r="M82" i="21"/>
  <c r="M83" i="21"/>
  <c r="J84" i="21"/>
  <c r="K84" i="21"/>
  <c r="M84" i="21"/>
  <c r="N84" i="21"/>
  <c r="J85" i="21"/>
  <c r="K85" i="21"/>
  <c r="M85" i="21"/>
  <c r="N85" i="21"/>
  <c r="J86" i="21"/>
  <c r="K86" i="21"/>
  <c r="M86" i="21"/>
  <c r="N86" i="21"/>
  <c r="J87" i="21"/>
  <c r="K87" i="21"/>
  <c r="M87" i="21"/>
  <c r="N87" i="21"/>
  <c r="J88" i="21"/>
  <c r="K88" i="21"/>
  <c r="M88" i="21"/>
  <c r="N88" i="21"/>
  <c r="J89" i="21"/>
  <c r="K89" i="21"/>
  <c r="M89" i="21"/>
  <c r="N89" i="21"/>
  <c r="J90" i="21"/>
  <c r="K90" i="21"/>
  <c r="M90" i="21"/>
  <c r="N90" i="21"/>
  <c r="J91" i="21"/>
  <c r="K91" i="21"/>
  <c r="M91" i="21"/>
  <c r="N91" i="21"/>
  <c r="J92" i="21"/>
  <c r="K92" i="21"/>
  <c r="M92" i="21"/>
  <c r="N92" i="21"/>
  <c r="J93" i="21"/>
  <c r="K93" i="21"/>
  <c r="M93" i="21"/>
  <c r="N93" i="21"/>
  <c r="J94" i="21"/>
  <c r="K94" i="21"/>
  <c r="M94" i="21"/>
  <c r="N94" i="21"/>
  <c r="J95" i="21"/>
  <c r="K95" i="21"/>
  <c r="M95" i="21"/>
  <c r="N95" i="21"/>
  <c r="J96" i="21"/>
  <c r="K96" i="21"/>
  <c r="M96" i="21"/>
  <c r="N96" i="21"/>
  <c r="J97" i="21"/>
  <c r="K97" i="21"/>
  <c r="M97" i="21"/>
  <c r="N97" i="21"/>
  <c r="J98" i="21"/>
  <c r="K98" i="21"/>
  <c r="M98" i="21"/>
  <c r="N98" i="21"/>
  <c r="J99" i="21"/>
  <c r="K99" i="21"/>
  <c r="M99" i="21"/>
  <c r="N99" i="21"/>
  <c r="J100" i="21"/>
  <c r="K100" i="21"/>
  <c r="M100" i="21"/>
  <c r="N100" i="21"/>
  <c r="J101" i="21"/>
  <c r="K101" i="21"/>
  <c r="M101" i="21"/>
  <c r="N101" i="21"/>
  <c r="J102" i="21"/>
  <c r="K102" i="21"/>
  <c r="M102" i="21"/>
  <c r="N102" i="21"/>
  <c r="J103" i="21"/>
  <c r="K103" i="21"/>
  <c r="M103" i="21"/>
  <c r="N103" i="21"/>
  <c r="J104" i="21"/>
  <c r="K104" i="21"/>
  <c r="M104" i="21"/>
  <c r="N104" i="21"/>
  <c r="J105" i="21"/>
  <c r="K105" i="21"/>
  <c r="M105" i="21"/>
  <c r="N105" i="21"/>
  <c r="J106" i="21"/>
  <c r="K106" i="21"/>
  <c r="M106" i="21"/>
  <c r="N106" i="21"/>
  <c r="J107" i="21"/>
  <c r="K107" i="21"/>
  <c r="M107" i="21"/>
  <c r="N107" i="21"/>
  <c r="J108" i="21"/>
  <c r="K108" i="21"/>
  <c r="M108" i="21"/>
  <c r="N108" i="21"/>
  <c r="J109" i="21"/>
  <c r="K109" i="21"/>
  <c r="M109" i="21"/>
  <c r="N109" i="21"/>
  <c r="J110" i="21"/>
  <c r="K110" i="21"/>
  <c r="M110" i="21"/>
  <c r="N110" i="21"/>
  <c r="J111" i="21"/>
  <c r="K111" i="21"/>
  <c r="M111" i="21"/>
  <c r="N111" i="21"/>
  <c r="J112" i="21"/>
  <c r="K112" i="21"/>
  <c r="M112" i="21"/>
  <c r="N112" i="21"/>
  <c r="J113" i="21"/>
  <c r="K113" i="21"/>
  <c r="M113" i="21"/>
  <c r="N113" i="21"/>
  <c r="J114" i="21"/>
  <c r="K114" i="21"/>
  <c r="M114" i="21"/>
  <c r="N114" i="21"/>
  <c r="J115" i="21"/>
  <c r="K115" i="21"/>
  <c r="M115" i="21"/>
  <c r="N115" i="21"/>
  <c r="J116" i="21"/>
  <c r="K116" i="21"/>
  <c r="M116" i="21"/>
  <c r="N116" i="21"/>
  <c r="J117" i="21"/>
  <c r="K117" i="21"/>
  <c r="M117" i="21"/>
  <c r="N117" i="21"/>
  <c r="J118" i="21"/>
  <c r="K118" i="21"/>
  <c r="M118" i="21"/>
  <c r="N118" i="21"/>
  <c r="J119" i="21"/>
  <c r="K119" i="21"/>
  <c r="M119" i="21"/>
  <c r="N119" i="21"/>
  <c r="J120" i="21"/>
  <c r="K120" i="21"/>
  <c r="M120" i="21"/>
  <c r="N120" i="21"/>
  <c r="J121" i="21"/>
  <c r="K121" i="21"/>
  <c r="M121" i="21"/>
  <c r="N121" i="21"/>
  <c r="J122" i="21"/>
  <c r="K122" i="21"/>
  <c r="M122" i="21"/>
  <c r="N122" i="21"/>
  <c r="J123" i="21"/>
  <c r="K123" i="21"/>
  <c r="M123" i="21"/>
  <c r="N123" i="21"/>
  <c r="J124" i="21"/>
  <c r="K124" i="21"/>
  <c r="M124" i="21"/>
  <c r="N124" i="21"/>
  <c r="J125" i="21"/>
  <c r="K125" i="21"/>
  <c r="M125" i="21"/>
  <c r="N125" i="21"/>
  <c r="J126" i="21"/>
  <c r="K126" i="21"/>
  <c r="M126" i="21"/>
  <c r="N126" i="21"/>
  <c r="J127" i="21"/>
  <c r="K127" i="21"/>
  <c r="M127" i="21"/>
  <c r="N127" i="21"/>
  <c r="J128" i="21"/>
  <c r="K128" i="21"/>
  <c r="M128" i="21"/>
  <c r="N128" i="21"/>
  <c r="J129" i="21"/>
  <c r="K129" i="21"/>
  <c r="M129" i="21"/>
  <c r="N129" i="21"/>
  <c r="J130" i="21"/>
  <c r="K130" i="21"/>
  <c r="M130" i="21"/>
  <c r="N130" i="21"/>
  <c r="J131" i="21"/>
  <c r="K131" i="21"/>
  <c r="M131" i="21"/>
  <c r="N131" i="21"/>
  <c r="K132" i="21"/>
  <c r="N132" i="21"/>
  <c r="K133" i="21"/>
  <c r="N133" i="21"/>
  <c r="K134" i="21"/>
  <c r="N134" i="21"/>
  <c r="K135" i="21"/>
  <c r="N135" i="21"/>
  <c r="K136" i="21"/>
  <c r="N136" i="21"/>
  <c r="K137" i="21"/>
  <c r="N137" i="21"/>
  <c r="K138" i="21"/>
  <c r="N138" i="21"/>
  <c r="K139" i="21"/>
  <c r="N139" i="21"/>
  <c r="K140" i="21"/>
  <c r="N140" i="21"/>
  <c r="K141" i="21"/>
  <c r="N141" i="21"/>
  <c r="K142" i="21"/>
  <c r="N142" i="21"/>
  <c r="K143" i="21"/>
  <c r="N143" i="21"/>
  <c r="K144" i="21"/>
  <c r="N144" i="21"/>
  <c r="K145" i="21"/>
  <c r="N145" i="21"/>
  <c r="K146" i="21"/>
  <c r="N146" i="21"/>
  <c r="K147" i="21"/>
  <c r="N147" i="21"/>
  <c r="K148" i="21"/>
  <c r="N148" i="21"/>
  <c r="K149" i="21"/>
  <c r="N149" i="21"/>
  <c r="K150" i="21"/>
  <c r="N150" i="21"/>
  <c r="K151" i="21"/>
  <c r="N151" i="21"/>
  <c r="K152" i="21"/>
  <c r="N152" i="21"/>
  <c r="K153" i="21"/>
  <c r="N153" i="21"/>
  <c r="K154" i="21"/>
  <c r="N154" i="21"/>
  <c r="K155" i="21"/>
  <c r="N155" i="21"/>
  <c r="J156" i="21"/>
  <c r="M156" i="21"/>
  <c r="J157" i="21"/>
  <c r="M157" i="21"/>
  <c r="J158" i="21"/>
  <c r="M158" i="21"/>
  <c r="J159" i="21"/>
  <c r="M159" i="21"/>
  <c r="J160" i="21"/>
  <c r="M160" i="21"/>
  <c r="J161" i="21"/>
  <c r="M161" i="21"/>
  <c r="J162" i="21"/>
  <c r="M162" i="21"/>
  <c r="J163" i="21"/>
  <c r="M163" i="21"/>
  <c r="J164" i="21"/>
  <c r="M164" i="21"/>
  <c r="J165" i="21"/>
  <c r="M165" i="21"/>
  <c r="J166" i="21"/>
  <c r="M166" i="21"/>
  <c r="J167" i="21"/>
  <c r="M167" i="21"/>
  <c r="J168" i="21"/>
  <c r="M168" i="21"/>
  <c r="J169" i="21"/>
  <c r="M169" i="21"/>
  <c r="J170" i="21"/>
  <c r="M170" i="21"/>
  <c r="J171" i="21"/>
  <c r="M171" i="21"/>
  <c r="J172" i="21"/>
  <c r="M172" i="21"/>
  <c r="J173" i="21"/>
  <c r="M173" i="21"/>
  <c r="J174" i="21"/>
  <c r="M174" i="21"/>
  <c r="J175" i="21"/>
  <c r="M175" i="21"/>
  <c r="J176" i="21"/>
  <c r="M176" i="21"/>
  <c r="J177" i="21"/>
  <c r="M177" i="21"/>
  <c r="J178" i="21"/>
  <c r="M178" i="21"/>
  <c r="J179" i="21"/>
  <c r="M179" i="21"/>
  <c r="K180" i="21"/>
  <c r="N180" i="21"/>
  <c r="K181" i="21"/>
  <c r="N181" i="21"/>
  <c r="K182" i="21"/>
  <c r="N182" i="21"/>
  <c r="K183" i="21"/>
  <c r="N183" i="21"/>
  <c r="K184" i="21"/>
  <c r="N184" i="21"/>
  <c r="K185" i="21"/>
  <c r="N185" i="21"/>
  <c r="K186" i="21"/>
  <c r="N186" i="21"/>
  <c r="K187" i="21"/>
  <c r="N187" i="21"/>
  <c r="K188" i="21"/>
  <c r="N188" i="21"/>
  <c r="K189" i="21"/>
  <c r="N189" i="21"/>
  <c r="K190" i="21"/>
  <c r="N190" i="21"/>
  <c r="K191" i="21"/>
  <c r="N191" i="21"/>
  <c r="K192" i="21"/>
  <c r="N192" i="21"/>
  <c r="K193" i="21"/>
  <c r="N193" i="21"/>
  <c r="K194" i="21"/>
  <c r="N194" i="21"/>
  <c r="K195" i="21"/>
  <c r="N195" i="21"/>
  <c r="K196" i="21"/>
  <c r="N196" i="21"/>
  <c r="K197" i="21"/>
  <c r="N197" i="21"/>
  <c r="K198" i="21"/>
  <c r="N198" i="21"/>
  <c r="K199" i="21"/>
  <c r="N199" i="21"/>
  <c r="K200" i="21"/>
  <c r="N200" i="21"/>
  <c r="K201" i="21"/>
  <c r="N201" i="21"/>
  <c r="K202" i="21"/>
  <c r="N202" i="21"/>
  <c r="K203" i="21"/>
  <c r="N203" i="21"/>
  <c r="K204" i="21"/>
  <c r="N204" i="21"/>
  <c r="K205" i="21"/>
  <c r="N205" i="21"/>
  <c r="K206" i="21"/>
  <c r="N206" i="21"/>
  <c r="K207" i="21"/>
  <c r="N207" i="21"/>
  <c r="K208" i="21"/>
  <c r="N208" i="21"/>
  <c r="K209" i="21"/>
  <c r="N209" i="21"/>
  <c r="K210" i="21"/>
  <c r="N210" i="21"/>
  <c r="K211" i="21"/>
  <c r="N211" i="21"/>
  <c r="K212" i="21"/>
  <c r="N212" i="21"/>
  <c r="K213" i="21"/>
  <c r="N213" i="21"/>
  <c r="K214" i="21"/>
  <c r="N214" i="21"/>
  <c r="K215" i="21"/>
  <c r="N215" i="21"/>
  <c r="J216" i="21"/>
  <c r="M216" i="21"/>
  <c r="J217" i="21"/>
  <c r="M217" i="21"/>
  <c r="J218" i="21"/>
  <c r="M218" i="21"/>
  <c r="J219" i="21"/>
  <c r="M219" i="21"/>
  <c r="J220" i="21"/>
  <c r="M220" i="21"/>
  <c r="J221" i="21"/>
  <c r="M221" i="21"/>
  <c r="J222" i="21"/>
  <c r="M222" i="21"/>
  <c r="J223" i="21"/>
  <c r="M223" i="21"/>
  <c r="J224" i="21"/>
  <c r="M224" i="21"/>
  <c r="J225" i="21"/>
  <c r="M225" i="21"/>
  <c r="J226" i="21"/>
  <c r="M226" i="21"/>
  <c r="J227" i="21"/>
  <c r="M227" i="21"/>
  <c r="K228" i="21"/>
  <c r="N228" i="21"/>
  <c r="K229" i="21"/>
  <c r="N229" i="21"/>
  <c r="K230" i="21"/>
  <c r="N230" i="21"/>
  <c r="K231" i="21"/>
  <c r="N231" i="21"/>
  <c r="K232" i="21"/>
  <c r="N232" i="21"/>
  <c r="K233" i="21"/>
  <c r="N233" i="21"/>
  <c r="K234" i="21"/>
  <c r="N234" i="21"/>
  <c r="K235" i="21"/>
  <c r="N235" i="21"/>
  <c r="K236" i="21"/>
  <c r="N236" i="21"/>
  <c r="K237" i="21"/>
  <c r="N237" i="21"/>
  <c r="K238" i="21"/>
  <c r="N238" i="21"/>
  <c r="K239" i="21"/>
  <c r="N239" i="21"/>
  <c r="K240" i="21"/>
  <c r="N240" i="21"/>
  <c r="K241" i="21"/>
  <c r="N241" i="21"/>
  <c r="K242" i="21"/>
  <c r="N242" i="21"/>
  <c r="K243" i="21"/>
  <c r="N243" i="21"/>
  <c r="K244" i="21"/>
  <c r="N244" i="21"/>
  <c r="K245" i="21"/>
  <c r="N245" i="21"/>
  <c r="K246" i="21"/>
  <c r="N246" i="21"/>
  <c r="K247" i="21"/>
  <c r="N247" i="21"/>
  <c r="K248" i="21"/>
  <c r="N248" i="21"/>
  <c r="K249" i="21"/>
  <c r="N249" i="21"/>
  <c r="K250" i="21"/>
  <c r="N250" i="21"/>
  <c r="K251" i="21"/>
  <c r="N251" i="21"/>
  <c r="K252" i="21"/>
  <c r="N252" i="21"/>
  <c r="K253" i="21"/>
  <c r="N253" i="21"/>
  <c r="K254" i="21"/>
  <c r="N254" i="21"/>
  <c r="K255" i="21"/>
  <c r="N255" i="21"/>
  <c r="K256" i="21"/>
  <c r="N256" i="21"/>
  <c r="K257" i="21"/>
  <c r="N257" i="21"/>
  <c r="K258" i="21"/>
  <c r="N258" i="21"/>
  <c r="K259" i="21"/>
  <c r="N259" i="21"/>
  <c r="K260" i="21"/>
  <c r="N260" i="21"/>
  <c r="K261" i="21"/>
  <c r="N261" i="21"/>
  <c r="K262" i="21"/>
  <c r="N262" i="21"/>
  <c r="K263" i="21"/>
  <c r="N263" i="21"/>
  <c r="J264" i="21"/>
  <c r="M264" i="21"/>
  <c r="J265" i="21"/>
  <c r="M265" i="21"/>
  <c r="J266" i="21"/>
  <c r="M266" i="21"/>
  <c r="J267" i="21"/>
  <c r="M267" i="21"/>
  <c r="J268" i="21"/>
  <c r="M268" i="21"/>
  <c r="J269" i="21"/>
  <c r="M269" i="21"/>
  <c r="J270" i="21"/>
  <c r="M270" i="21"/>
  <c r="J271" i="21"/>
  <c r="M271" i="21"/>
  <c r="J272" i="21"/>
  <c r="M272" i="21"/>
  <c r="J273" i="21"/>
  <c r="M273" i="21"/>
  <c r="J274" i="21"/>
  <c r="M274" i="21"/>
  <c r="J275" i="21"/>
  <c r="M275" i="21"/>
  <c r="J276" i="21"/>
  <c r="M276" i="21"/>
  <c r="J277" i="21"/>
  <c r="M277" i="21"/>
  <c r="J278" i="21"/>
  <c r="M278" i="21"/>
  <c r="J279" i="21"/>
  <c r="M279" i="21"/>
  <c r="J280" i="21"/>
  <c r="M280" i="21"/>
  <c r="J281" i="21"/>
  <c r="M281" i="21"/>
  <c r="J282" i="21"/>
  <c r="M282" i="21"/>
  <c r="J283" i="21"/>
  <c r="M283" i="21"/>
  <c r="J284" i="21"/>
  <c r="M284" i="21"/>
  <c r="J285" i="21"/>
  <c r="M285" i="21"/>
  <c r="J286" i="21"/>
  <c r="M286" i="21"/>
  <c r="J287" i="21"/>
  <c r="M287" i="21"/>
  <c r="K288" i="21"/>
  <c r="N288" i="21"/>
  <c r="K289" i="21"/>
  <c r="N289" i="21"/>
  <c r="K290" i="21"/>
  <c r="N290" i="21"/>
  <c r="K291" i="21"/>
  <c r="N291" i="21"/>
  <c r="K292" i="21"/>
  <c r="N292" i="21"/>
  <c r="K293" i="21"/>
  <c r="N293" i="21"/>
  <c r="K294" i="21"/>
  <c r="N294" i="21"/>
  <c r="K295" i="21"/>
  <c r="N295" i="21"/>
  <c r="K296" i="21"/>
  <c r="N296" i="21"/>
  <c r="K297" i="21"/>
  <c r="N297" i="21"/>
  <c r="K298" i="21"/>
  <c r="N298" i="21"/>
  <c r="K299" i="21"/>
  <c r="N299" i="21"/>
  <c r="K300" i="21"/>
  <c r="N300" i="21"/>
  <c r="K301" i="21"/>
  <c r="N301" i="21"/>
  <c r="K302" i="21"/>
  <c r="N302" i="21"/>
  <c r="K303" i="21"/>
  <c r="N303" i="21"/>
  <c r="K304" i="21"/>
  <c r="N304" i="21"/>
  <c r="K305" i="21"/>
  <c r="N305" i="21"/>
  <c r="K306" i="21"/>
  <c r="N306" i="21"/>
  <c r="K307" i="21"/>
  <c r="N307" i="21"/>
  <c r="K308" i="21"/>
  <c r="N308" i="21"/>
  <c r="K309" i="21"/>
  <c r="N309" i="21"/>
  <c r="K310" i="21"/>
  <c r="N310" i="21"/>
  <c r="K311" i="21"/>
  <c r="N311" i="21"/>
  <c r="K312" i="21"/>
  <c r="N312" i="21"/>
  <c r="K313" i="21"/>
  <c r="N313" i="21"/>
  <c r="K314" i="21"/>
  <c r="N314" i="21"/>
  <c r="K315" i="21"/>
  <c r="N315" i="21"/>
  <c r="K316" i="21"/>
  <c r="N316" i="21"/>
  <c r="K317" i="21"/>
  <c r="N317" i="21"/>
  <c r="K318" i="21"/>
  <c r="N318" i="21"/>
  <c r="K319" i="21"/>
  <c r="N319" i="21"/>
  <c r="K320" i="21"/>
  <c r="N320" i="21"/>
  <c r="K321" i="21"/>
  <c r="N321" i="21"/>
  <c r="K322" i="21"/>
  <c r="N322" i="21"/>
  <c r="K323" i="21"/>
  <c r="N323" i="21"/>
  <c r="K324" i="21"/>
  <c r="N324" i="21"/>
  <c r="K325" i="21"/>
  <c r="N325" i="21"/>
  <c r="K326" i="21"/>
  <c r="N326" i="21"/>
  <c r="K327" i="21"/>
  <c r="N327" i="21"/>
  <c r="K328" i="21"/>
  <c r="N328" i="21"/>
  <c r="K329" i="21"/>
  <c r="N329" i="21"/>
  <c r="K330" i="21"/>
  <c r="N330" i="21"/>
  <c r="K331" i="21"/>
  <c r="N331" i="21"/>
  <c r="K332" i="21"/>
  <c r="N332" i="21"/>
  <c r="K333" i="21"/>
  <c r="N333" i="21"/>
  <c r="K334" i="21"/>
  <c r="N334" i="21"/>
  <c r="K335" i="21"/>
  <c r="N335" i="21"/>
  <c r="J336" i="21"/>
  <c r="M336" i="21"/>
  <c r="J337" i="21"/>
  <c r="M337" i="21"/>
  <c r="J338" i="21"/>
  <c r="M338" i="21"/>
  <c r="J339" i="21"/>
  <c r="M339" i="21"/>
  <c r="J340" i="21"/>
  <c r="M340" i="21"/>
  <c r="J341" i="21"/>
  <c r="M341" i="21"/>
  <c r="J342" i="21"/>
  <c r="M342" i="21"/>
  <c r="J343" i="21"/>
  <c r="M343" i="21"/>
  <c r="J344" i="21"/>
  <c r="M344" i="21"/>
  <c r="J345" i="21"/>
  <c r="M345" i="21"/>
  <c r="J346" i="21"/>
  <c r="M346" i="21"/>
  <c r="J347" i="21"/>
  <c r="M347" i="21"/>
  <c r="J348" i="21"/>
  <c r="M348" i="21"/>
  <c r="J349" i="21"/>
  <c r="M349" i="21"/>
  <c r="J350" i="21"/>
  <c r="M350" i="21"/>
  <c r="J351" i="21"/>
  <c r="M351" i="21"/>
  <c r="J352" i="21"/>
  <c r="M352" i="21"/>
  <c r="J353" i="21"/>
  <c r="M353" i="21"/>
  <c r="J354" i="21"/>
  <c r="M354" i="21"/>
  <c r="J355" i="21"/>
  <c r="M355" i="21"/>
  <c r="J356" i="21"/>
  <c r="M356" i="21"/>
  <c r="J357" i="21"/>
  <c r="M357" i="21"/>
  <c r="J358" i="21"/>
  <c r="M358" i="21"/>
  <c r="J359" i="21"/>
  <c r="M359" i="21"/>
  <c r="K360" i="21"/>
  <c r="N360" i="21"/>
  <c r="K361" i="21"/>
  <c r="N361" i="21"/>
  <c r="K362" i="21"/>
  <c r="N362" i="21"/>
  <c r="K363" i="21"/>
  <c r="N363" i="21"/>
  <c r="K364" i="21"/>
  <c r="N364" i="21"/>
  <c r="K365" i="21"/>
  <c r="N365" i="21"/>
  <c r="K366" i="21"/>
  <c r="N366" i="21"/>
  <c r="K367" i="21"/>
  <c r="N367" i="21"/>
  <c r="K368" i="21"/>
  <c r="N368" i="21"/>
  <c r="K369" i="21"/>
  <c r="N369" i="21"/>
  <c r="K370" i="21"/>
  <c r="N370" i="21"/>
  <c r="K371" i="21"/>
  <c r="N371" i="21"/>
  <c r="K372" i="21"/>
  <c r="N372" i="21"/>
  <c r="K373" i="21"/>
  <c r="N373" i="21"/>
  <c r="K374" i="21"/>
  <c r="N374" i="21"/>
  <c r="K375" i="21"/>
  <c r="N375" i="21"/>
  <c r="K376" i="21"/>
  <c r="N376" i="21"/>
  <c r="K377" i="21"/>
  <c r="N377" i="21"/>
  <c r="K378" i="21"/>
  <c r="N378" i="21"/>
  <c r="K379" i="21"/>
  <c r="N379" i="21"/>
  <c r="K380" i="21"/>
  <c r="N380" i="21"/>
  <c r="K381" i="21"/>
  <c r="N381" i="21"/>
  <c r="K382" i="21"/>
  <c r="N382" i="21"/>
  <c r="K383" i="21"/>
  <c r="N383" i="21"/>
  <c r="K384" i="21"/>
  <c r="N384" i="21"/>
  <c r="K385" i="21"/>
  <c r="N385" i="21"/>
  <c r="K386" i="21"/>
  <c r="N386" i="21"/>
  <c r="K387" i="21"/>
  <c r="N387" i="21"/>
  <c r="K388" i="21"/>
  <c r="N388" i="21"/>
  <c r="K389" i="21"/>
  <c r="N389" i="21"/>
  <c r="K390" i="21"/>
  <c r="N390" i="21"/>
  <c r="K391" i="21"/>
  <c r="N391" i="21"/>
  <c r="K392" i="21"/>
  <c r="N392" i="21"/>
  <c r="K393" i="21"/>
  <c r="N393" i="21"/>
  <c r="K394" i="21"/>
  <c r="N394" i="21"/>
  <c r="K395" i="21"/>
  <c r="N395" i="21"/>
  <c r="K396" i="21"/>
  <c r="N396" i="21"/>
  <c r="K397" i="21"/>
  <c r="N397" i="21"/>
  <c r="K398" i="21"/>
  <c r="N398" i="21"/>
  <c r="K399" i="21"/>
  <c r="N399" i="21"/>
  <c r="K400" i="21"/>
  <c r="N400" i="21"/>
  <c r="K401" i="21"/>
  <c r="N401" i="21"/>
  <c r="K402" i="21"/>
  <c r="N402" i="21"/>
  <c r="K403" i="21"/>
  <c r="N403" i="21"/>
  <c r="K404" i="21"/>
  <c r="N404" i="21"/>
  <c r="K405" i="21"/>
  <c r="N405" i="21"/>
  <c r="K406" i="21"/>
  <c r="N406" i="21"/>
  <c r="K407" i="21"/>
  <c r="N407" i="21"/>
  <c r="J408" i="21"/>
  <c r="M408" i="21"/>
  <c r="J409" i="21"/>
  <c r="M409" i="21"/>
  <c r="J410" i="21"/>
  <c r="M410" i="21"/>
  <c r="J411" i="21"/>
  <c r="M411" i="21"/>
  <c r="J412" i="21"/>
  <c r="M412" i="21"/>
  <c r="J413" i="21"/>
  <c r="M413" i="21"/>
  <c r="J414" i="21"/>
  <c r="M414" i="21"/>
  <c r="J415" i="21"/>
  <c r="M415" i="21"/>
  <c r="J416" i="21"/>
  <c r="M416" i="21"/>
  <c r="J417" i="21"/>
  <c r="M417" i="21"/>
  <c r="J418" i="21"/>
  <c r="M418" i="21"/>
  <c r="J419" i="21"/>
  <c r="M419" i="21"/>
  <c r="K420" i="21"/>
  <c r="N420" i="21"/>
  <c r="K421" i="21"/>
  <c r="N421" i="21"/>
  <c r="K422" i="21"/>
  <c r="N422" i="21"/>
  <c r="K423" i="21"/>
  <c r="N423" i="21"/>
  <c r="K424" i="21"/>
  <c r="N424" i="21"/>
  <c r="K425" i="21"/>
  <c r="N425" i="21"/>
  <c r="K426" i="21"/>
  <c r="N426" i="21"/>
  <c r="K427" i="21"/>
  <c r="N427" i="21"/>
  <c r="K428" i="21"/>
  <c r="N428" i="21"/>
  <c r="K429" i="21"/>
  <c r="N429" i="21"/>
  <c r="K430" i="21"/>
  <c r="N430" i="21"/>
  <c r="K431" i="21"/>
  <c r="N431" i="21"/>
  <c r="K432" i="21"/>
  <c r="N432" i="21"/>
  <c r="K433" i="21"/>
  <c r="N433" i="21"/>
  <c r="K434" i="21"/>
  <c r="N434" i="21"/>
  <c r="J435" i="21"/>
  <c r="M435" i="21"/>
  <c r="J436" i="21"/>
  <c r="M436" i="21"/>
  <c r="J437" i="21"/>
  <c r="M437" i="21"/>
  <c r="K438" i="21"/>
  <c r="N438" i="21"/>
  <c r="K439" i="21"/>
  <c r="N439" i="21"/>
  <c r="K440" i="21"/>
  <c r="N440" i="21"/>
  <c r="K441" i="21"/>
  <c r="N441" i="21"/>
  <c r="K442" i="21"/>
  <c r="N442" i="21"/>
  <c r="K443" i="21"/>
  <c r="N443" i="21"/>
  <c r="K444" i="21"/>
  <c r="N444" i="21"/>
  <c r="J445" i="21"/>
  <c r="M445" i="21"/>
  <c r="J446" i="21"/>
  <c r="M446" i="21"/>
  <c r="J447" i="21"/>
  <c r="M447" i="21"/>
  <c r="J448" i="21"/>
  <c r="M448" i="21"/>
  <c r="K449" i="21"/>
  <c r="N449" i="21"/>
  <c r="K450" i="21"/>
  <c r="N450" i="21"/>
  <c r="K451" i="21"/>
  <c r="N451" i="21"/>
  <c r="K452" i="21"/>
  <c r="N452" i="21"/>
  <c r="K453" i="21"/>
  <c r="N453" i="21"/>
  <c r="K454" i="21"/>
  <c r="N454" i="21"/>
  <c r="K455" i="21"/>
  <c r="N455" i="21"/>
  <c r="K456" i="21"/>
  <c r="N456" i="21"/>
  <c r="K457" i="21"/>
  <c r="N457" i="21"/>
  <c r="K458" i="21"/>
  <c r="N458" i="21"/>
  <c r="K459" i="21"/>
  <c r="N459" i="21"/>
  <c r="K460" i="21"/>
  <c r="N460" i="21"/>
  <c r="K461" i="21"/>
  <c r="N461" i="21"/>
  <c r="K462" i="21"/>
  <c r="N462" i="21"/>
  <c r="K463" i="21"/>
  <c r="N463" i="21"/>
  <c r="K464" i="21"/>
  <c r="N464" i="21"/>
  <c r="J465" i="21"/>
  <c r="M465" i="21"/>
  <c r="J466" i="21"/>
  <c r="M466" i="21"/>
  <c r="J467" i="21"/>
  <c r="M467" i="21"/>
  <c r="J468" i="21"/>
  <c r="M468" i="21"/>
  <c r="J469" i="21"/>
  <c r="M469" i="21"/>
  <c r="J470" i="21"/>
  <c r="M470" i="21"/>
  <c r="J471" i="21"/>
  <c r="M471" i="21"/>
  <c r="J472" i="21"/>
  <c r="M472" i="21"/>
  <c r="J473" i="21"/>
  <c r="M473" i="21"/>
  <c r="J474" i="21"/>
  <c r="M474" i="21"/>
  <c r="J475" i="21"/>
  <c r="M475" i="21"/>
  <c r="J476" i="21"/>
  <c r="M476" i="21"/>
  <c r="K477" i="21"/>
  <c r="N477" i="21"/>
  <c r="K478" i="21"/>
  <c r="N478" i="21"/>
  <c r="K479" i="21"/>
  <c r="N479" i="21"/>
  <c r="K480" i="21"/>
  <c r="N480" i="21"/>
  <c r="K481" i="21"/>
  <c r="N481" i="21"/>
  <c r="K482" i="21"/>
  <c r="N482" i="21"/>
  <c r="K483" i="21"/>
  <c r="N483" i="21"/>
  <c r="K484" i="21"/>
  <c r="N484" i="21"/>
  <c r="K485" i="21"/>
  <c r="N485" i="21"/>
  <c r="K486" i="21"/>
  <c r="N486" i="21"/>
  <c r="K487" i="21"/>
  <c r="N487" i="21"/>
  <c r="K488" i="21"/>
  <c r="N488" i="21"/>
  <c r="K489" i="21"/>
  <c r="N489" i="21"/>
  <c r="K490" i="21"/>
  <c r="N490" i="21"/>
  <c r="K491" i="21"/>
  <c r="N491" i="21"/>
  <c r="K492" i="21"/>
  <c r="N492" i="21"/>
  <c r="K493" i="21"/>
  <c r="N493" i="21"/>
  <c r="K494" i="21"/>
  <c r="N494" i="21"/>
  <c r="K495" i="21"/>
  <c r="N495" i="21"/>
  <c r="K496" i="21"/>
  <c r="N496" i="21"/>
  <c r="K497" i="21"/>
  <c r="N497" i="21"/>
  <c r="K498" i="21"/>
  <c r="N498" i="21"/>
  <c r="K499" i="21"/>
  <c r="N499" i="21"/>
  <c r="K500" i="21"/>
  <c r="N500" i="21"/>
  <c r="K501" i="21"/>
  <c r="N501" i="21"/>
  <c r="K502" i="21"/>
  <c r="N502" i="21"/>
  <c r="K503" i="21"/>
  <c r="N503" i="21"/>
  <c r="K504" i="21"/>
  <c r="N504" i="21"/>
  <c r="K505" i="21"/>
  <c r="N505" i="21"/>
  <c r="K506" i="21"/>
  <c r="N506" i="21"/>
  <c r="K507" i="21"/>
  <c r="N507" i="21"/>
  <c r="K508" i="21"/>
  <c r="N508" i="21"/>
  <c r="K509" i="21"/>
  <c r="N509" i="21"/>
  <c r="K510" i="21"/>
  <c r="N510" i="21"/>
  <c r="K511" i="21"/>
  <c r="N511" i="21"/>
  <c r="K512" i="21"/>
  <c r="N512" i="21"/>
  <c r="K513" i="21"/>
  <c r="N513" i="21"/>
  <c r="K514" i="21"/>
  <c r="N514" i="21"/>
  <c r="K515" i="21"/>
  <c r="N515" i="21"/>
  <c r="K516" i="21"/>
  <c r="N516" i="21"/>
  <c r="K517" i="21"/>
  <c r="N517" i="21"/>
  <c r="K518" i="21"/>
  <c r="N518" i="21"/>
  <c r="K519" i="21"/>
  <c r="N519" i="21"/>
  <c r="K520" i="21"/>
  <c r="N520" i="21"/>
  <c r="K521" i="21"/>
  <c r="N521" i="21"/>
  <c r="K522" i="21"/>
  <c r="N522" i="21"/>
  <c r="K523" i="21"/>
  <c r="N523" i="21"/>
  <c r="K524" i="21"/>
  <c r="N524" i="21"/>
  <c r="K525" i="21"/>
  <c r="N525" i="21"/>
  <c r="K526" i="21"/>
  <c r="N526" i="21"/>
  <c r="K527" i="21"/>
  <c r="N527" i="21"/>
  <c r="K528" i="21"/>
  <c r="N528" i="21"/>
  <c r="K529" i="21"/>
  <c r="N529" i="21"/>
  <c r="K530" i="21"/>
  <c r="N530" i="21"/>
  <c r="K531" i="21"/>
  <c r="N531" i="21"/>
  <c r="K532" i="21"/>
  <c r="N532" i="21"/>
  <c r="K533" i="21"/>
  <c r="N533" i="21"/>
  <c r="K534" i="21"/>
  <c r="N534" i="21"/>
  <c r="K535" i="21"/>
  <c r="N535" i="21"/>
  <c r="K536" i="21"/>
  <c r="N536" i="21"/>
  <c r="K537" i="21"/>
  <c r="N537" i="21"/>
  <c r="K538" i="21"/>
  <c r="N538" i="21"/>
  <c r="K539" i="21"/>
  <c r="N539" i="21"/>
  <c r="K540" i="21"/>
  <c r="N540" i="21"/>
  <c r="K541" i="21"/>
  <c r="N541" i="21"/>
  <c r="K542" i="21"/>
  <c r="N542" i="21"/>
  <c r="K543" i="21"/>
  <c r="N543" i="21"/>
  <c r="K544" i="21"/>
  <c r="N544" i="21"/>
  <c r="K545" i="21"/>
  <c r="N545" i="21"/>
  <c r="K546" i="21"/>
  <c r="N546" i="21"/>
  <c r="K547" i="21"/>
  <c r="N547" i="21"/>
  <c r="K548" i="21"/>
  <c r="N548" i="21"/>
  <c r="K549" i="21"/>
  <c r="N549" i="21"/>
  <c r="K550" i="21"/>
  <c r="N550" i="21"/>
  <c r="K551" i="21"/>
  <c r="N551" i="21"/>
  <c r="K552" i="21"/>
  <c r="N552" i="21"/>
  <c r="K553" i="21"/>
  <c r="N553" i="21"/>
  <c r="K554" i="21"/>
  <c r="N554" i="21"/>
  <c r="K555" i="21"/>
  <c r="N555" i="21"/>
  <c r="K556" i="21"/>
  <c r="N556" i="21"/>
  <c r="K557" i="21"/>
  <c r="N557" i="21"/>
  <c r="K558" i="21"/>
  <c r="N558" i="21"/>
  <c r="K559" i="21"/>
  <c r="N559" i="21"/>
  <c r="K560" i="21"/>
  <c r="N560" i="21"/>
  <c r="K561" i="21"/>
  <c r="N561" i="21"/>
  <c r="K562" i="21"/>
  <c r="N562" i="21"/>
  <c r="K563" i="21"/>
  <c r="N563" i="21"/>
  <c r="K564" i="21"/>
  <c r="N564" i="21"/>
  <c r="K565" i="21"/>
  <c r="N565" i="21"/>
  <c r="K566" i="21"/>
  <c r="N566" i="21"/>
  <c r="K567" i="21"/>
  <c r="N567" i="21"/>
  <c r="K568" i="21"/>
  <c r="N568" i="21"/>
  <c r="K569" i="21"/>
  <c r="N569" i="21"/>
  <c r="K570" i="21"/>
  <c r="N570" i="21"/>
  <c r="K571" i="21"/>
  <c r="N571" i="21"/>
  <c r="K572" i="21"/>
  <c r="N572" i="21"/>
  <c r="K573" i="21"/>
  <c r="N573" i="21"/>
  <c r="K574" i="21"/>
  <c r="N574" i="21"/>
  <c r="K575" i="21"/>
  <c r="N575" i="21"/>
  <c r="K576" i="21"/>
  <c r="N576" i="21"/>
  <c r="K577" i="21"/>
  <c r="N577" i="21"/>
  <c r="K578" i="21"/>
  <c r="N578" i="21"/>
  <c r="K579" i="21"/>
  <c r="N579" i="21"/>
  <c r="K580" i="21"/>
  <c r="N580" i="21"/>
  <c r="K581" i="21"/>
  <c r="N581" i="21"/>
  <c r="K582" i="21"/>
  <c r="N582" i="21"/>
  <c r="K583" i="21"/>
  <c r="N583" i="21"/>
  <c r="K584" i="21"/>
  <c r="N584" i="21"/>
  <c r="K585" i="21"/>
  <c r="N585" i="21"/>
  <c r="K586" i="21"/>
  <c r="N586" i="21"/>
  <c r="K587" i="21"/>
  <c r="N587" i="21"/>
  <c r="K588" i="21"/>
  <c r="N588" i="21"/>
  <c r="K589" i="21"/>
  <c r="N589" i="21"/>
  <c r="K590" i="21"/>
  <c r="N590" i="21"/>
  <c r="K591" i="21"/>
  <c r="N591" i="21"/>
  <c r="K592" i="21"/>
  <c r="N592" i="21"/>
  <c r="K593" i="21"/>
  <c r="N593" i="21"/>
  <c r="K594" i="21"/>
  <c r="N594" i="21"/>
  <c r="K595" i="21"/>
  <c r="N595" i="21"/>
  <c r="K596" i="21"/>
  <c r="N596" i="21"/>
  <c r="K597" i="21"/>
  <c r="N597" i="21"/>
  <c r="K598" i="21"/>
  <c r="N598" i="21"/>
  <c r="K599" i="21"/>
  <c r="N599" i="21"/>
  <c r="K600" i="21"/>
  <c r="N600" i="21"/>
  <c r="K601" i="21"/>
  <c r="N601" i="21"/>
  <c r="K602" i="21"/>
  <c r="N602" i="21"/>
  <c r="K603" i="21"/>
  <c r="N603" i="21"/>
  <c r="K604" i="21"/>
  <c r="N604" i="21"/>
  <c r="K605" i="21"/>
  <c r="N605" i="21"/>
  <c r="K606" i="21"/>
  <c r="N606" i="21"/>
  <c r="K607" i="21"/>
  <c r="N607" i="21"/>
  <c r="K608" i="21"/>
  <c r="N608" i="21"/>
  <c r="K609" i="21"/>
  <c r="N609" i="21"/>
  <c r="K610" i="21"/>
  <c r="N610" i="21"/>
  <c r="K611" i="21"/>
  <c r="N611" i="21"/>
  <c r="K612" i="21"/>
  <c r="N612" i="21"/>
  <c r="K613" i="21"/>
  <c r="N613" i="21"/>
  <c r="K614" i="21"/>
  <c r="N614" i="21"/>
  <c r="K615" i="21"/>
  <c r="N615" i="21"/>
  <c r="K616" i="21"/>
  <c r="N616" i="21"/>
  <c r="K617" i="21"/>
  <c r="N617" i="21"/>
  <c r="K618" i="21"/>
  <c r="N618" i="21"/>
  <c r="K619" i="21"/>
  <c r="N619" i="21"/>
  <c r="K620" i="21"/>
  <c r="N620" i="21"/>
  <c r="K621" i="21"/>
  <c r="N621" i="21"/>
  <c r="K622" i="21"/>
  <c r="N622" i="21"/>
  <c r="K623" i="21"/>
  <c r="N623" i="21"/>
  <c r="K624" i="21"/>
  <c r="N624" i="21"/>
  <c r="K625" i="21"/>
  <c r="N625" i="21"/>
  <c r="K626" i="21"/>
  <c r="N626" i="21"/>
  <c r="K627" i="21"/>
  <c r="N627" i="21"/>
  <c r="K628" i="21"/>
  <c r="N628" i="21"/>
  <c r="K629" i="21"/>
  <c r="N629" i="21"/>
  <c r="K630" i="21"/>
  <c r="N630" i="21"/>
  <c r="K631" i="21"/>
  <c r="N631" i="21"/>
  <c r="K632" i="21"/>
  <c r="N632" i="21"/>
  <c r="K633" i="21"/>
  <c r="N633" i="21"/>
  <c r="K634" i="21"/>
  <c r="N634" i="21"/>
  <c r="K635" i="21"/>
  <c r="N635" i="21"/>
  <c r="K636" i="21"/>
  <c r="N636" i="21"/>
  <c r="K637" i="21"/>
  <c r="N637" i="21"/>
  <c r="K638" i="21"/>
  <c r="N638" i="21"/>
  <c r="K639" i="21"/>
  <c r="N639" i="21"/>
  <c r="K640" i="21"/>
  <c r="N640" i="21"/>
  <c r="K641" i="21"/>
  <c r="N641" i="21"/>
  <c r="K642" i="21"/>
  <c r="N642" i="21"/>
  <c r="K643" i="21"/>
  <c r="N643" i="21"/>
  <c r="K644" i="21"/>
  <c r="N644" i="21"/>
  <c r="K645" i="21"/>
  <c r="N645" i="21"/>
  <c r="K646" i="21"/>
  <c r="N646" i="21"/>
  <c r="K647" i="21"/>
  <c r="N647" i="21"/>
  <c r="K648" i="21"/>
  <c r="N648" i="21"/>
  <c r="K649" i="21"/>
  <c r="N649" i="21"/>
  <c r="K650" i="21"/>
  <c r="N650" i="21"/>
  <c r="K651" i="21"/>
  <c r="N651" i="21"/>
  <c r="K652" i="21"/>
  <c r="N652" i="21"/>
  <c r="K653" i="21"/>
  <c r="N653" i="21"/>
  <c r="K654" i="21"/>
  <c r="N654" i="21"/>
  <c r="K655" i="21"/>
  <c r="N655" i="21"/>
  <c r="K656" i="21"/>
  <c r="N656" i="21"/>
  <c r="K657" i="21"/>
  <c r="N657" i="21"/>
  <c r="K658" i="21"/>
  <c r="N658" i="21"/>
  <c r="K659" i="21"/>
  <c r="N659" i="21"/>
  <c r="K660" i="21"/>
  <c r="N660" i="21"/>
  <c r="K661" i="21"/>
  <c r="N661" i="21"/>
  <c r="K662" i="21"/>
  <c r="N662" i="21"/>
  <c r="K663" i="21"/>
  <c r="N663" i="21"/>
  <c r="K664" i="21"/>
  <c r="N664" i="21"/>
  <c r="K665" i="21"/>
  <c r="N665" i="21"/>
  <c r="K666" i="21"/>
  <c r="N666" i="21"/>
  <c r="K667" i="21"/>
  <c r="N667" i="21"/>
  <c r="K668" i="21"/>
  <c r="N668" i="21"/>
  <c r="K669" i="21"/>
  <c r="N669" i="21"/>
  <c r="K670" i="21"/>
  <c r="N670" i="21"/>
  <c r="K671" i="21"/>
  <c r="N671" i="21"/>
  <c r="K672" i="21"/>
  <c r="N672" i="21"/>
  <c r="K673" i="21"/>
  <c r="N673" i="21"/>
  <c r="K674" i="21"/>
  <c r="N674" i="21"/>
  <c r="K675" i="21"/>
  <c r="N675" i="21"/>
  <c r="K676" i="21"/>
  <c r="N676" i="21"/>
  <c r="K677" i="21"/>
  <c r="N677" i="21"/>
  <c r="K678" i="21"/>
  <c r="N678" i="21"/>
  <c r="K679" i="21"/>
  <c r="N679" i="21"/>
  <c r="K680" i="21"/>
  <c r="N680" i="21"/>
  <c r="K681" i="21"/>
  <c r="N681" i="21"/>
  <c r="K682" i="21"/>
  <c r="N682" i="21"/>
  <c r="K683" i="21"/>
  <c r="N683" i="21"/>
  <c r="K684" i="21"/>
  <c r="N684" i="21"/>
  <c r="K685" i="21"/>
  <c r="N685" i="21"/>
  <c r="K686" i="21"/>
  <c r="N686" i="21"/>
  <c r="K687" i="21"/>
  <c r="N687" i="21"/>
  <c r="K688" i="21"/>
  <c r="N688" i="21"/>
  <c r="K689" i="21"/>
  <c r="N689" i="21"/>
  <c r="K690" i="21"/>
  <c r="N690" i="21"/>
  <c r="K691" i="21"/>
  <c r="N691" i="21"/>
  <c r="K692" i="21"/>
  <c r="N692" i="21"/>
  <c r="K693" i="21"/>
  <c r="N693" i="21"/>
  <c r="K694" i="21"/>
  <c r="N694" i="21"/>
  <c r="K695" i="21"/>
  <c r="N695" i="21"/>
  <c r="K696" i="21"/>
  <c r="N696" i="21"/>
  <c r="K697" i="21"/>
  <c r="N697" i="21"/>
  <c r="K698" i="21"/>
  <c r="N698" i="21"/>
  <c r="K699" i="21"/>
  <c r="N699" i="21"/>
  <c r="K700" i="21"/>
  <c r="N700" i="21"/>
  <c r="K701" i="21"/>
  <c r="N701" i="21"/>
  <c r="K702" i="21"/>
  <c r="N702" i="21"/>
  <c r="K703" i="21"/>
  <c r="N703" i="21"/>
  <c r="K704" i="21"/>
  <c r="N704" i="21"/>
  <c r="K705" i="21"/>
  <c r="N705" i="21"/>
  <c r="K706" i="21"/>
  <c r="N706" i="21"/>
  <c r="K707" i="21"/>
  <c r="N707" i="21"/>
  <c r="K708" i="21"/>
  <c r="N708" i="21"/>
  <c r="K709" i="21"/>
  <c r="N709" i="21"/>
  <c r="K710" i="21"/>
  <c r="N710" i="21"/>
  <c r="K711" i="21"/>
  <c r="N711" i="21"/>
  <c r="K712" i="21"/>
  <c r="N712" i="21"/>
  <c r="K713" i="21"/>
  <c r="N713" i="21"/>
  <c r="K714" i="21"/>
  <c r="N714" i="21"/>
  <c r="K715" i="21"/>
  <c r="N715" i="21"/>
  <c r="K716" i="21"/>
  <c r="N716" i="21"/>
  <c r="K717" i="21"/>
  <c r="N717" i="21"/>
  <c r="K718" i="21"/>
  <c r="N718" i="21"/>
  <c r="K719" i="21"/>
  <c r="N719" i="21"/>
  <c r="K720" i="21"/>
  <c r="N720" i="21"/>
  <c r="K721" i="21"/>
  <c r="N721" i="21"/>
  <c r="K722" i="21"/>
  <c r="N722" i="21"/>
  <c r="K723" i="21"/>
  <c r="N723" i="21"/>
  <c r="K724" i="21"/>
  <c r="N724" i="21"/>
  <c r="K725" i="21"/>
  <c r="N725" i="21"/>
  <c r="K726" i="21"/>
  <c r="N726" i="21"/>
  <c r="K727" i="21"/>
  <c r="N727" i="21"/>
  <c r="K728" i="21"/>
  <c r="N728" i="21"/>
  <c r="K729" i="21"/>
  <c r="N729" i="21"/>
  <c r="K730" i="21"/>
  <c r="N730" i="21"/>
  <c r="K731" i="21"/>
  <c r="N731" i="21"/>
  <c r="K732" i="21"/>
  <c r="N732" i="21"/>
  <c r="K733" i="21"/>
  <c r="N733" i="21"/>
  <c r="K734" i="21"/>
  <c r="N734" i="21"/>
  <c r="K735" i="21"/>
  <c r="N735" i="21"/>
  <c r="K736" i="21"/>
  <c r="N736" i="21"/>
  <c r="K737" i="21"/>
  <c r="N737" i="21"/>
  <c r="K738" i="21"/>
  <c r="N738" i="21"/>
  <c r="K739" i="21"/>
  <c r="N739" i="21"/>
  <c r="K740" i="21"/>
  <c r="N740" i="21"/>
  <c r="K741" i="21"/>
  <c r="N741" i="21"/>
  <c r="K742" i="21"/>
  <c r="N742" i="21"/>
  <c r="K743" i="21"/>
  <c r="N743" i="21"/>
  <c r="K744" i="21"/>
  <c r="N744" i="21"/>
  <c r="K745" i="21"/>
  <c r="N745" i="21"/>
  <c r="K746" i="21"/>
  <c r="N746" i="21"/>
  <c r="K747" i="21"/>
  <c r="N747" i="21"/>
  <c r="K748" i="21"/>
  <c r="N748" i="21"/>
  <c r="K749" i="21"/>
  <c r="N749" i="21"/>
  <c r="K750" i="21"/>
  <c r="N750" i="21"/>
  <c r="K751" i="21"/>
  <c r="N751" i="21"/>
  <c r="K752" i="21"/>
  <c r="N752" i="21"/>
  <c r="K753" i="21"/>
  <c r="N753" i="21"/>
  <c r="K754" i="21"/>
  <c r="N754" i="21"/>
  <c r="K755" i="21"/>
  <c r="N755" i="21"/>
  <c r="K756" i="21"/>
  <c r="N756" i="21"/>
  <c r="K757" i="21"/>
  <c r="N757" i="21"/>
  <c r="K758" i="21"/>
  <c r="N758" i="21"/>
  <c r="K759" i="21"/>
  <c r="N759" i="21"/>
  <c r="K760" i="21"/>
  <c r="N760" i="21"/>
  <c r="K761" i="21"/>
  <c r="N761" i="21"/>
  <c r="K762" i="21"/>
  <c r="N762" i="21"/>
  <c r="K763" i="21"/>
  <c r="N763" i="21"/>
  <c r="K764" i="21"/>
  <c r="N764" i="21"/>
  <c r="K765" i="21"/>
  <c r="N765" i="21"/>
  <c r="K766" i="21"/>
  <c r="N766" i="21"/>
  <c r="K767" i="21"/>
  <c r="N767" i="21"/>
  <c r="K768" i="21"/>
  <c r="N768" i="21"/>
  <c r="K769" i="21"/>
  <c r="N769" i="21"/>
  <c r="K770" i="21"/>
  <c r="N770" i="21"/>
  <c r="K771" i="21"/>
  <c r="N771" i="21"/>
  <c r="K772" i="21"/>
  <c r="N772" i="21"/>
  <c r="K773" i="21"/>
  <c r="N773" i="21"/>
  <c r="K774" i="21"/>
  <c r="N774" i="21"/>
  <c r="K775" i="21"/>
  <c r="N775" i="21"/>
  <c r="K776" i="21"/>
  <c r="N776" i="21"/>
  <c r="K777" i="21"/>
  <c r="N777" i="21"/>
  <c r="K778" i="21"/>
  <c r="N778" i="21"/>
  <c r="K779" i="21"/>
  <c r="N779" i="21"/>
  <c r="K780" i="21"/>
  <c r="N780" i="21"/>
  <c r="K781" i="21"/>
  <c r="N781" i="21"/>
  <c r="K782" i="21"/>
  <c r="N782" i="21"/>
  <c r="K783" i="21"/>
  <c r="N783" i="21"/>
  <c r="K784" i="21"/>
  <c r="N784" i="21"/>
  <c r="K785" i="21"/>
  <c r="N785" i="21"/>
  <c r="K786" i="21"/>
  <c r="N786" i="21"/>
  <c r="K787" i="21"/>
  <c r="N787" i="21"/>
  <c r="K788" i="21"/>
  <c r="N788" i="21"/>
  <c r="K789" i="21"/>
  <c r="N789" i="21"/>
  <c r="K790" i="21"/>
  <c r="N790" i="21"/>
  <c r="K791" i="21"/>
  <c r="N791" i="21"/>
  <c r="K792" i="21"/>
  <c r="N792" i="21"/>
  <c r="K793" i="21"/>
  <c r="N793" i="21"/>
  <c r="K794" i="21"/>
  <c r="N794" i="21"/>
  <c r="K795" i="21"/>
  <c r="N795" i="21"/>
  <c r="K796" i="21"/>
  <c r="N796" i="21"/>
  <c r="K797" i="21"/>
  <c r="N797" i="21"/>
  <c r="K798" i="21"/>
  <c r="N798" i="21"/>
  <c r="K799" i="21"/>
  <c r="N799" i="21"/>
  <c r="K800" i="21"/>
  <c r="N800" i="21"/>
  <c r="K801" i="21"/>
  <c r="N801" i="21"/>
  <c r="K802" i="21"/>
  <c r="N802" i="21"/>
  <c r="K803" i="21"/>
  <c r="N803" i="21"/>
  <c r="K804" i="21"/>
  <c r="N804" i="21"/>
  <c r="K805" i="21"/>
  <c r="N805" i="21"/>
  <c r="K806" i="21"/>
  <c r="N806" i="21"/>
  <c r="K807" i="21"/>
  <c r="N807" i="21"/>
  <c r="K808" i="21"/>
  <c r="N808" i="21"/>
  <c r="K809" i="21"/>
  <c r="N809" i="21"/>
  <c r="K810" i="21"/>
  <c r="N810" i="21"/>
  <c r="K811" i="21"/>
  <c r="N811" i="21"/>
  <c r="K812" i="21"/>
  <c r="N812" i="21"/>
  <c r="K813" i="21"/>
  <c r="N813" i="21"/>
  <c r="K814" i="21"/>
  <c r="N814" i="21"/>
  <c r="K815" i="21"/>
  <c r="N815" i="21"/>
  <c r="K816" i="21"/>
  <c r="N816" i="21"/>
  <c r="K817" i="21"/>
  <c r="N817" i="21"/>
  <c r="K818" i="21"/>
  <c r="N818" i="21"/>
  <c r="K819" i="21"/>
  <c r="N819" i="21"/>
  <c r="K820" i="21"/>
  <c r="N820" i="21"/>
  <c r="K821" i="21"/>
  <c r="N821" i="21"/>
  <c r="K822" i="21"/>
  <c r="N822" i="21"/>
  <c r="K823" i="21"/>
  <c r="N823" i="21"/>
  <c r="K824" i="21"/>
  <c r="N824" i="21"/>
  <c r="K825" i="21"/>
  <c r="N825" i="21"/>
  <c r="K826" i="21"/>
  <c r="N826" i="21"/>
  <c r="K827" i="21"/>
  <c r="N827" i="21"/>
  <c r="K828" i="21"/>
  <c r="N828" i="21"/>
  <c r="K829" i="21"/>
  <c r="N829" i="21"/>
  <c r="K830" i="21"/>
  <c r="N830" i="21"/>
  <c r="K831" i="21"/>
  <c r="N831" i="21"/>
  <c r="K832" i="21"/>
  <c r="N832" i="21"/>
  <c r="K833" i="21"/>
  <c r="N833" i="21"/>
  <c r="K834" i="21"/>
  <c r="N834" i="21"/>
  <c r="K835" i="21"/>
  <c r="N835" i="21"/>
  <c r="K836" i="21"/>
  <c r="N836" i="21"/>
  <c r="K837" i="21"/>
  <c r="N837" i="21"/>
  <c r="K838" i="21"/>
  <c r="N838" i="21"/>
  <c r="K839" i="21"/>
  <c r="N839" i="21"/>
  <c r="K840" i="21"/>
  <c r="N840" i="21"/>
  <c r="K841" i="21"/>
  <c r="N841" i="21"/>
  <c r="K842" i="21"/>
  <c r="N842" i="21"/>
  <c r="K843" i="21"/>
  <c r="N843" i="21"/>
  <c r="K844" i="21"/>
  <c r="N844" i="21"/>
  <c r="K845" i="21"/>
  <c r="N845" i="21"/>
  <c r="K846" i="21"/>
  <c r="N846" i="21"/>
  <c r="K847" i="21"/>
  <c r="N847" i="21"/>
  <c r="K848" i="21"/>
  <c r="N848" i="21"/>
  <c r="K849" i="21"/>
  <c r="N849" i="21"/>
  <c r="K850" i="21"/>
  <c r="N850" i="21"/>
  <c r="K851" i="21"/>
  <c r="N851" i="21"/>
  <c r="K852" i="21"/>
  <c r="N852" i="21"/>
  <c r="K853" i="21"/>
  <c r="N853" i="21"/>
  <c r="K854" i="21"/>
  <c r="N854" i="21"/>
  <c r="K855" i="21"/>
  <c r="N855" i="21"/>
  <c r="K856" i="21"/>
  <c r="N856" i="21"/>
  <c r="K857" i="21"/>
  <c r="N857" i="21"/>
  <c r="K858" i="21"/>
  <c r="N858" i="21"/>
  <c r="K859" i="21"/>
  <c r="N859" i="21"/>
  <c r="K860" i="21"/>
  <c r="N860" i="21"/>
  <c r="K861" i="21"/>
  <c r="N861" i="21"/>
  <c r="K862" i="21"/>
  <c r="N862" i="21"/>
  <c r="K863" i="21"/>
  <c r="N863" i="21"/>
  <c r="K864" i="21"/>
  <c r="N864" i="21"/>
  <c r="K865" i="21"/>
  <c r="N865" i="21"/>
  <c r="K866" i="21"/>
  <c r="N866" i="21"/>
  <c r="K867" i="21"/>
  <c r="N867" i="21"/>
  <c r="K868" i="21"/>
  <c r="N868" i="21"/>
  <c r="K869" i="21"/>
  <c r="N869" i="21"/>
  <c r="K870" i="21"/>
  <c r="N870" i="21"/>
  <c r="K871" i="21"/>
  <c r="N871" i="21"/>
  <c r="K872" i="21"/>
  <c r="N872" i="21"/>
  <c r="K873" i="21"/>
  <c r="N873" i="21"/>
  <c r="K874" i="21"/>
  <c r="N874" i="21"/>
  <c r="K875" i="21"/>
  <c r="N875" i="21"/>
  <c r="K876" i="21"/>
  <c r="N876" i="21"/>
  <c r="K877" i="21"/>
  <c r="N877" i="21"/>
  <c r="K878" i="21"/>
  <c r="N878" i="21"/>
  <c r="K879" i="21"/>
  <c r="N879" i="21"/>
  <c r="K880" i="21"/>
  <c r="N880" i="21"/>
  <c r="K881" i="21"/>
  <c r="N881" i="21"/>
  <c r="K882" i="21"/>
  <c r="N882" i="21"/>
  <c r="K883" i="21"/>
  <c r="N883" i="21"/>
  <c r="K884" i="21"/>
  <c r="N884" i="21"/>
  <c r="K885" i="21"/>
  <c r="N885" i="21"/>
  <c r="K886" i="21"/>
  <c r="N886" i="21"/>
  <c r="D48" i="5"/>
  <c r="E48" i="5"/>
  <c r="F48" i="5"/>
  <c r="H48" i="5"/>
  <c r="D49" i="5"/>
  <c r="E49" i="5"/>
  <c r="F49" i="5"/>
  <c r="Y2" i="16"/>
  <c r="Z2" i="16"/>
  <c r="AE2" i="16"/>
  <c r="AF2" i="16"/>
  <c r="AK2" i="16"/>
  <c r="AL2" i="16"/>
  <c r="AU2" i="16"/>
  <c r="AV2" i="16"/>
  <c r="Y3" i="16"/>
  <c r="Z3" i="16"/>
  <c r="AE3" i="16"/>
  <c r="AF3" i="16"/>
  <c r="AK3" i="16"/>
  <c r="AL3" i="16"/>
  <c r="AU3" i="16"/>
  <c r="AV3" i="16"/>
  <c r="Y4" i="16"/>
  <c r="Z4" i="16"/>
  <c r="AE4" i="16"/>
  <c r="AF4" i="16"/>
  <c r="AK4" i="16"/>
  <c r="AL4" i="16"/>
  <c r="AU4" i="16"/>
  <c r="AV4" i="16"/>
  <c r="Y5" i="16"/>
  <c r="Z5" i="16"/>
  <c r="AE5" i="16"/>
  <c r="AF5" i="16"/>
  <c r="AK5" i="16"/>
  <c r="AL5" i="16"/>
  <c r="AU5" i="16"/>
  <c r="AV5" i="16"/>
  <c r="Y6" i="16"/>
  <c r="Z6" i="16"/>
  <c r="AE6" i="16"/>
  <c r="AF6" i="16"/>
  <c r="AK6" i="16"/>
  <c r="AL6" i="16"/>
  <c r="AU6" i="16"/>
  <c r="AV6" i="16"/>
  <c r="Y7" i="16"/>
  <c r="Z7" i="16"/>
  <c r="AE7" i="16"/>
  <c r="AF7" i="16"/>
  <c r="AK7" i="16"/>
  <c r="AL7" i="16"/>
  <c r="AU7" i="16"/>
  <c r="AV7" i="16"/>
  <c r="Y8" i="16"/>
  <c r="Z8" i="16"/>
  <c r="AE8" i="16"/>
  <c r="AF8" i="16"/>
  <c r="AK8" i="16"/>
  <c r="AL8" i="16"/>
  <c r="AU8" i="16"/>
  <c r="AV8" i="16"/>
  <c r="Y9" i="16"/>
  <c r="Z9" i="16"/>
  <c r="AE9" i="16"/>
  <c r="AF9" i="16"/>
  <c r="AK9" i="16"/>
  <c r="AL9" i="16"/>
  <c r="AU9" i="16"/>
  <c r="AV9" i="16"/>
  <c r="Y10" i="16"/>
  <c r="Z10" i="16"/>
  <c r="AE10" i="16"/>
  <c r="AF10" i="16"/>
  <c r="AK10" i="16"/>
  <c r="AL10" i="16"/>
  <c r="AU10" i="16"/>
  <c r="AV10" i="16"/>
  <c r="Y11" i="16"/>
  <c r="Z11" i="16"/>
  <c r="AE11" i="16"/>
  <c r="AF11" i="16"/>
  <c r="Y12" i="16"/>
  <c r="Z12" i="16"/>
  <c r="AE12" i="16"/>
  <c r="AF12" i="16"/>
  <c r="AU12" i="16"/>
  <c r="Y13" i="16"/>
  <c r="Z13" i="16"/>
  <c r="AE13" i="16"/>
  <c r="AF13" i="16"/>
  <c r="AU13" i="16"/>
  <c r="Y14" i="16"/>
  <c r="Z14" i="16"/>
  <c r="AE14" i="16"/>
  <c r="AF14" i="16"/>
  <c r="AU14" i="16"/>
  <c r="Y15" i="16"/>
  <c r="Z15" i="16"/>
  <c r="AE15" i="16"/>
  <c r="AF15" i="16"/>
  <c r="Y16" i="16"/>
  <c r="Z16" i="16"/>
  <c r="AE16" i="16"/>
  <c r="AF16" i="16"/>
  <c r="Y17" i="16"/>
  <c r="Z17" i="16"/>
  <c r="AE17" i="16"/>
  <c r="AF17" i="16"/>
  <c r="Y18" i="16"/>
  <c r="Z18" i="16"/>
  <c r="AE18" i="16"/>
  <c r="AF18" i="16"/>
  <c r="Y19" i="16"/>
  <c r="Z19" i="16"/>
  <c r="AE19" i="16"/>
  <c r="AF19" i="16"/>
  <c r="Y20" i="16"/>
  <c r="Z20" i="16"/>
  <c r="AE20" i="16"/>
  <c r="AF20" i="16"/>
  <c r="Y21" i="16"/>
  <c r="Z21" i="16"/>
  <c r="AE21" i="16"/>
  <c r="AF21" i="16"/>
  <c r="Y22" i="16"/>
  <c r="Z22" i="16"/>
  <c r="AE22" i="16"/>
  <c r="AF22" i="16"/>
  <c r="Y23" i="16"/>
  <c r="Z23" i="16"/>
  <c r="AE23" i="16"/>
  <c r="AF23" i="16"/>
  <c r="Y24" i="16"/>
  <c r="Z24" i="16"/>
  <c r="AE24" i="16"/>
  <c r="AF24" i="16"/>
  <c r="Y25" i="16"/>
  <c r="Z25" i="16"/>
  <c r="AE25" i="16"/>
  <c r="AF25" i="16"/>
  <c r="Y26" i="16"/>
  <c r="Z26" i="16"/>
  <c r="AE26" i="16"/>
  <c r="AF26" i="16"/>
  <c r="Y27" i="16"/>
  <c r="Z27" i="16"/>
  <c r="AE27" i="16"/>
  <c r="AF27" i="16"/>
  <c r="Y28" i="16"/>
  <c r="Z28" i="16"/>
  <c r="AE28" i="16"/>
  <c r="AF28" i="16"/>
  <c r="Y29" i="16"/>
  <c r="AE29" i="16"/>
  <c r="Y30" i="16"/>
  <c r="AE30" i="16"/>
  <c r="Y31" i="16"/>
  <c r="AE31" i="16"/>
  <c r="Y32" i="16"/>
  <c r="AE32" i="16"/>
  <c r="Y33" i="16"/>
  <c r="AE33" i="16"/>
  <c r="Y34" i="16"/>
  <c r="AE34" i="16"/>
  <c r="Y35" i="16"/>
  <c r="AE35" i="16"/>
  <c r="Y36" i="16"/>
  <c r="AE36" i="16"/>
  <c r="Y37" i="16"/>
  <c r="AE37" i="16"/>
  <c r="Y38" i="16"/>
  <c r="AE38" i="16"/>
  <c r="Y39" i="16"/>
  <c r="AE39" i="16"/>
  <c r="Y40" i="16"/>
  <c r="AE40" i="16"/>
  <c r="Z41" i="16"/>
  <c r="AF41" i="16"/>
  <c r="Z42" i="16"/>
  <c r="AF42" i="16"/>
  <c r="Z43" i="16"/>
  <c r="AF43" i="16"/>
  <c r="Z44" i="16"/>
  <c r="AF44" i="16"/>
  <c r="Y45" i="16"/>
  <c r="AE45" i="16"/>
  <c r="Y46" i="16"/>
  <c r="AE46" i="16"/>
  <c r="Z47" i="16"/>
  <c r="AF47" i="16"/>
  <c r="Z48" i="16"/>
  <c r="AF48" i="16"/>
  <c r="Z49" i="16"/>
  <c r="AF49" i="16"/>
  <c r="Z50" i="16"/>
  <c r="AF50" i="16"/>
  <c r="Z51" i="16"/>
  <c r="AF51" i="16"/>
  <c r="Z52" i="16"/>
  <c r="AF52" i="16"/>
  <c r="Z53" i="16"/>
  <c r="AF53" i="16"/>
  <c r="Z54" i="16"/>
  <c r="AF54" i="16"/>
  <c r="Z55" i="16"/>
  <c r="AF55" i="16"/>
  <c r="Z56" i="16"/>
  <c r="AF56" i="16"/>
  <c r="Z57" i="16"/>
  <c r="AF57" i="16"/>
  <c r="Y58" i="16"/>
  <c r="AE58" i="16"/>
  <c r="Y59" i="16"/>
  <c r="AE59" i="16"/>
  <c r="Y60" i="16"/>
  <c r="AE60" i="16"/>
  <c r="Y61" i="16"/>
  <c r="AE61" i="16"/>
  <c r="Y62" i="16"/>
  <c r="AE62" i="16"/>
  <c r="Y63" i="16"/>
  <c r="AE63" i="16"/>
  <c r="Y64" i="16"/>
  <c r="AE64" i="16"/>
  <c r="Y65" i="16"/>
  <c r="AE65" i="16"/>
  <c r="Y66" i="16"/>
  <c r="AE66" i="16"/>
  <c r="Z67" i="16"/>
  <c r="AF67" i="16"/>
  <c r="Z68" i="16"/>
  <c r="AF68" i="16"/>
  <c r="Z69" i="16"/>
  <c r="AF69" i="16"/>
  <c r="Z70" i="16"/>
  <c r="AF70" i="16"/>
  <c r="Z71" i="16"/>
  <c r="AF71" i="16"/>
  <c r="Z72" i="16"/>
  <c r="AF72" i="16"/>
  <c r="Z73" i="16"/>
  <c r="AF73" i="16"/>
  <c r="Z74" i="16"/>
  <c r="AF74" i="16"/>
  <c r="Z75" i="16"/>
  <c r="AF75" i="16"/>
  <c r="Y76" i="16"/>
  <c r="AE76" i="16"/>
  <c r="Y77" i="16"/>
  <c r="AE77" i="16"/>
  <c r="Y78" i="16"/>
  <c r="AE78" i="16"/>
  <c r="Y79" i="16"/>
  <c r="AE79" i="16"/>
  <c r="Y80" i="16"/>
  <c r="AE80" i="16"/>
  <c r="Y81" i="16"/>
  <c r="AE81" i="16"/>
  <c r="Y82" i="16"/>
  <c r="AE82" i="16"/>
  <c r="Y83" i="16"/>
  <c r="AE83" i="16"/>
  <c r="Y84" i="16"/>
  <c r="Z84" i="16"/>
  <c r="AE84" i="16"/>
  <c r="AF84" i="16"/>
  <c r="Y85" i="16"/>
  <c r="Z85" i="16"/>
  <c r="AE85" i="16"/>
  <c r="AF85" i="16"/>
  <c r="Y86" i="16"/>
  <c r="Z86" i="16"/>
  <c r="AE86" i="16"/>
  <c r="AF86" i="16"/>
  <c r="Y87" i="16"/>
  <c r="Z87" i="16"/>
  <c r="AE87" i="16"/>
  <c r="AF87" i="16"/>
  <c r="Y88" i="16"/>
  <c r="Z88" i="16"/>
  <c r="AE88" i="16"/>
  <c r="AF88" i="16"/>
  <c r="Y89" i="16"/>
  <c r="Z89" i="16"/>
  <c r="AE89" i="16"/>
  <c r="AF89" i="16"/>
  <c r="Y90" i="16"/>
  <c r="Z90" i="16"/>
  <c r="AE90" i="16"/>
  <c r="AF90" i="16"/>
  <c r="Y91" i="16"/>
  <c r="Z91" i="16"/>
  <c r="AE91" i="16"/>
  <c r="AF91" i="16"/>
  <c r="Y92" i="16"/>
  <c r="Z92" i="16"/>
  <c r="AE92" i="16"/>
  <c r="AF92" i="16"/>
  <c r="Y93" i="16"/>
  <c r="Z93" i="16"/>
  <c r="AE93" i="16"/>
  <c r="AF93" i="16"/>
  <c r="Y94" i="16"/>
  <c r="Z94" i="16"/>
  <c r="AE94" i="16"/>
  <c r="AF94" i="16"/>
  <c r="Y95" i="16"/>
  <c r="Z95" i="16"/>
  <c r="AE95" i="16"/>
  <c r="AF95" i="16"/>
  <c r="Y96" i="16"/>
  <c r="Z96" i="16"/>
  <c r="AE96" i="16"/>
  <c r="AF96" i="16"/>
  <c r="Y97" i="16"/>
  <c r="Z97" i="16"/>
  <c r="AE97" i="16"/>
  <c r="AF97" i="16"/>
  <c r="Y98" i="16"/>
  <c r="Z98" i="16"/>
  <c r="AE98" i="16"/>
  <c r="AF98" i="16"/>
  <c r="Y99" i="16"/>
  <c r="Z99" i="16"/>
  <c r="AE99" i="16"/>
  <c r="AF99" i="16"/>
  <c r="Y100" i="16"/>
  <c r="Z100" i="16"/>
  <c r="AE100" i="16"/>
  <c r="AF100" i="16"/>
  <c r="Y101" i="16"/>
  <c r="Z101" i="16"/>
  <c r="AE101" i="16"/>
  <c r="AF101" i="16"/>
  <c r="Y102" i="16"/>
  <c r="Z102" i="16"/>
  <c r="AE102" i="16"/>
  <c r="AF102" i="16"/>
  <c r="Y103" i="16"/>
  <c r="Z103" i="16"/>
  <c r="AE103" i="16"/>
  <c r="AF103" i="16"/>
  <c r="Y104" i="16"/>
  <c r="Z104" i="16"/>
  <c r="AE104" i="16"/>
  <c r="AF104" i="16"/>
  <c r="Y105" i="16"/>
  <c r="Z105" i="16"/>
  <c r="AE105" i="16"/>
  <c r="AF105" i="16"/>
  <c r="Y106" i="16"/>
  <c r="Z106" i="16"/>
  <c r="AE106" i="16"/>
  <c r="AF106" i="16"/>
  <c r="Y107" i="16"/>
  <c r="Z107" i="16"/>
  <c r="AE107" i="16"/>
  <c r="AF107" i="16"/>
  <c r="Y108" i="16"/>
  <c r="Z108" i="16"/>
  <c r="AE108" i="16"/>
  <c r="AF108" i="16"/>
  <c r="Y109" i="16"/>
  <c r="Z109" i="16"/>
  <c r="AE109" i="16"/>
  <c r="AF109" i="16"/>
  <c r="Y110" i="16"/>
  <c r="Z110" i="16"/>
  <c r="AE110" i="16"/>
  <c r="AF110" i="16"/>
  <c r="Y111" i="16"/>
  <c r="Z111" i="16"/>
  <c r="AE111" i="16"/>
  <c r="AF111" i="16"/>
  <c r="Y112" i="16"/>
  <c r="Z112" i="16"/>
  <c r="AE112" i="16"/>
  <c r="AF112" i="16"/>
  <c r="Y113" i="16"/>
  <c r="Z113" i="16"/>
  <c r="AE113" i="16"/>
  <c r="AF113" i="16"/>
  <c r="Y114" i="16"/>
  <c r="Z114" i="16"/>
  <c r="AE114" i="16"/>
  <c r="AF114" i="16"/>
  <c r="Y115" i="16"/>
  <c r="Z115" i="16"/>
  <c r="AE115" i="16"/>
  <c r="AF115" i="16"/>
  <c r="Y116" i="16"/>
  <c r="Z116" i="16"/>
  <c r="AE116" i="16"/>
  <c r="AF116" i="16"/>
  <c r="Y117" i="16"/>
  <c r="Z117" i="16"/>
  <c r="AE117" i="16"/>
  <c r="AF117" i="16"/>
  <c r="Y118" i="16"/>
  <c r="Z118" i="16"/>
  <c r="AE118" i="16"/>
  <c r="AF118" i="16"/>
  <c r="Y119" i="16"/>
  <c r="Z119" i="16"/>
  <c r="AE119" i="16"/>
  <c r="AF119" i="16"/>
  <c r="Y120" i="16"/>
  <c r="Z120" i="16"/>
  <c r="AE120" i="16"/>
  <c r="AF120" i="16"/>
  <c r="Y121" i="16"/>
  <c r="Z121" i="16"/>
  <c r="AE121" i="16"/>
  <c r="AF121" i="16"/>
  <c r="Y122" i="16"/>
  <c r="Z122" i="16"/>
  <c r="AE122" i="16"/>
  <c r="AF122" i="16"/>
  <c r="Y123" i="16"/>
  <c r="Z123" i="16"/>
  <c r="AE123" i="16"/>
  <c r="AF123" i="16"/>
  <c r="Y124" i="16"/>
  <c r="Z124" i="16"/>
  <c r="AE124" i="16"/>
  <c r="AF124" i="16"/>
  <c r="Y125" i="16"/>
  <c r="Z125" i="16"/>
  <c r="AE125" i="16"/>
  <c r="AF125" i="16"/>
  <c r="Y126" i="16"/>
  <c r="Z126" i="16"/>
  <c r="AE126" i="16"/>
  <c r="AF126" i="16"/>
  <c r="Y127" i="16"/>
  <c r="Z127" i="16"/>
  <c r="AE127" i="16"/>
  <c r="AF127" i="16"/>
  <c r="Y128" i="16"/>
  <c r="Z128" i="16"/>
  <c r="AE128" i="16"/>
  <c r="AF128" i="16"/>
  <c r="Y129" i="16"/>
  <c r="Z129" i="16"/>
  <c r="AE129" i="16"/>
  <c r="AF129" i="16"/>
  <c r="Y130" i="16"/>
  <c r="Z130" i="16"/>
  <c r="AE130" i="16"/>
  <c r="AF130" i="16"/>
  <c r="Y131" i="16"/>
  <c r="Z131" i="16"/>
  <c r="AE131" i="16"/>
  <c r="AF131" i="16"/>
  <c r="Z132" i="16"/>
  <c r="AF132" i="16"/>
  <c r="Z133" i="16"/>
  <c r="AF133" i="16"/>
  <c r="Z134" i="16"/>
  <c r="AF134" i="16"/>
  <c r="Z135" i="16"/>
  <c r="AF135" i="16"/>
  <c r="Z136" i="16"/>
  <c r="AF136" i="16"/>
  <c r="Z137" i="16"/>
  <c r="AF137" i="16"/>
  <c r="Z138" i="16"/>
  <c r="AF138" i="16"/>
  <c r="Z139" i="16"/>
  <c r="AF139" i="16"/>
  <c r="Z140" i="16"/>
  <c r="AF140" i="16"/>
  <c r="Z141" i="16"/>
  <c r="AF141" i="16"/>
  <c r="Z142" i="16"/>
  <c r="AF142" i="16"/>
  <c r="Z143" i="16"/>
  <c r="AF143" i="16"/>
  <c r="Z144" i="16"/>
  <c r="AF144" i="16"/>
  <c r="Z145" i="16"/>
  <c r="AF145" i="16"/>
  <c r="Z146" i="16"/>
  <c r="AF146" i="16"/>
  <c r="Z147" i="16"/>
  <c r="AF147" i="16"/>
  <c r="Z148" i="16"/>
  <c r="AF148" i="16"/>
  <c r="Z149" i="16"/>
  <c r="AF149" i="16"/>
  <c r="Z150" i="16"/>
  <c r="AF150" i="16"/>
  <c r="Z151" i="16"/>
  <c r="AF151" i="16"/>
  <c r="Z152" i="16"/>
  <c r="AF152" i="16"/>
  <c r="Z153" i="16"/>
  <c r="AF153" i="16"/>
  <c r="Z154" i="16"/>
  <c r="AF154" i="16"/>
  <c r="Z155" i="16"/>
  <c r="AF155" i="16"/>
  <c r="Y156" i="16"/>
  <c r="AE156" i="16"/>
  <c r="Y157" i="16"/>
  <c r="AE157" i="16"/>
  <c r="Y158" i="16"/>
  <c r="AE158" i="16"/>
  <c r="Y159" i="16"/>
  <c r="AE159" i="16"/>
  <c r="Y160" i="16"/>
  <c r="AE160" i="16"/>
  <c r="Y161" i="16"/>
  <c r="AE161" i="16"/>
  <c r="Y162" i="16"/>
  <c r="AE162" i="16"/>
  <c r="Y163" i="16"/>
  <c r="AE163" i="16"/>
  <c r="Y164" i="16"/>
  <c r="AE164" i="16"/>
  <c r="Y165" i="16"/>
  <c r="AE165" i="16"/>
  <c r="Y166" i="16"/>
  <c r="AE166" i="16"/>
  <c r="Y167" i="16"/>
  <c r="AE167" i="16"/>
  <c r="Y168" i="16"/>
  <c r="AE168" i="16"/>
  <c r="Y169" i="16"/>
  <c r="AE169" i="16"/>
  <c r="Y170" i="16"/>
  <c r="AE170" i="16"/>
  <c r="Y171" i="16"/>
  <c r="AE171" i="16"/>
  <c r="Y172" i="16"/>
  <c r="AE172" i="16"/>
  <c r="Y173" i="16"/>
  <c r="AE173" i="16"/>
  <c r="Y174" i="16"/>
  <c r="AE174" i="16"/>
  <c r="Y175" i="16"/>
  <c r="AE175" i="16"/>
  <c r="Y176" i="16"/>
  <c r="AE176" i="16"/>
  <c r="Y177" i="16"/>
  <c r="AE177" i="16"/>
  <c r="Y178" i="16"/>
  <c r="AE178" i="16"/>
  <c r="Y179" i="16"/>
  <c r="AE179" i="16"/>
  <c r="Z180" i="16"/>
  <c r="AF180" i="16"/>
  <c r="Z181" i="16"/>
  <c r="AF181" i="16"/>
  <c r="Z182" i="16"/>
  <c r="AF182" i="16"/>
  <c r="Z183" i="16"/>
  <c r="AF183" i="16"/>
  <c r="Z184" i="16"/>
  <c r="AF184" i="16"/>
  <c r="Z185" i="16"/>
  <c r="AF185" i="16"/>
  <c r="Z186" i="16"/>
  <c r="AF186" i="16"/>
  <c r="Z187" i="16"/>
  <c r="AF187" i="16"/>
  <c r="Z188" i="16"/>
  <c r="AF188" i="16"/>
  <c r="Z189" i="16"/>
  <c r="AF189" i="16"/>
  <c r="Z190" i="16"/>
  <c r="AF190" i="16"/>
  <c r="Z191" i="16"/>
  <c r="AF191" i="16"/>
  <c r="Z192" i="16"/>
  <c r="AF192" i="16"/>
  <c r="Z193" i="16"/>
  <c r="AF193" i="16"/>
  <c r="Z194" i="16"/>
  <c r="AF194" i="16"/>
  <c r="Z195" i="16"/>
  <c r="AF195" i="16"/>
  <c r="Z196" i="16"/>
  <c r="AF196" i="16"/>
  <c r="Z197" i="16"/>
  <c r="AF197" i="16"/>
  <c r="Z198" i="16"/>
  <c r="AF198" i="16"/>
  <c r="Z199" i="16"/>
  <c r="AF199" i="16"/>
  <c r="Z200" i="16"/>
  <c r="AF200" i="16"/>
  <c r="Z201" i="16"/>
  <c r="AF201" i="16"/>
  <c r="Z202" i="16"/>
  <c r="AF202" i="16"/>
  <c r="Z203" i="16"/>
  <c r="AF203" i="16"/>
  <c r="Z204" i="16"/>
  <c r="AF204" i="16"/>
  <c r="Z205" i="16"/>
  <c r="AF205" i="16"/>
  <c r="Z206" i="16"/>
  <c r="AF206" i="16"/>
  <c r="Z207" i="16"/>
  <c r="AF207" i="16"/>
  <c r="Z208" i="16"/>
  <c r="AF208" i="16"/>
  <c r="Z209" i="16"/>
  <c r="AF209" i="16"/>
  <c r="Z210" i="16"/>
  <c r="AF210" i="16"/>
  <c r="Z211" i="16"/>
  <c r="AF211" i="16"/>
  <c r="Z212" i="16"/>
  <c r="AF212" i="16"/>
  <c r="Z213" i="16"/>
  <c r="AF213" i="16"/>
  <c r="Z214" i="16"/>
  <c r="AF214" i="16"/>
  <c r="Z215" i="16"/>
  <c r="AF215" i="16"/>
  <c r="Y216" i="16"/>
  <c r="AE216" i="16"/>
  <c r="Y217" i="16"/>
  <c r="AE217" i="16"/>
  <c r="Y218" i="16"/>
  <c r="AE218" i="16"/>
  <c r="Y219" i="16"/>
  <c r="AE219" i="16"/>
  <c r="Y220" i="16"/>
  <c r="AE220" i="16"/>
  <c r="Y221" i="16"/>
  <c r="AE221" i="16"/>
  <c r="Y222" i="16"/>
  <c r="AE222" i="16"/>
  <c r="Y223" i="16"/>
  <c r="AE223" i="16"/>
  <c r="Y224" i="16"/>
  <c r="AE224" i="16"/>
  <c r="Y225" i="16"/>
  <c r="AE225" i="16"/>
  <c r="Y226" i="16"/>
  <c r="AE226" i="16"/>
  <c r="Y227" i="16"/>
  <c r="AE227" i="16"/>
  <c r="Z228" i="16"/>
  <c r="AF228" i="16"/>
  <c r="Z229" i="16"/>
  <c r="AF229" i="16"/>
  <c r="Z230" i="16"/>
  <c r="AF230" i="16"/>
  <c r="Z231" i="16"/>
  <c r="AF231" i="16"/>
  <c r="Z232" i="16"/>
  <c r="AF232" i="16"/>
  <c r="Z233" i="16"/>
  <c r="AF233" i="16"/>
  <c r="Z234" i="16"/>
  <c r="AF234" i="16"/>
  <c r="Z235" i="16"/>
  <c r="AF235" i="16"/>
  <c r="Z236" i="16"/>
  <c r="AF236" i="16"/>
  <c r="Z237" i="16"/>
  <c r="AF237" i="16"/>
  <c r="Z238" i="16"/>
  <c r="AF238" i="16"/>
  <c r="Z239" i="16"/>
  <c r="AF239" i="16"/>
  <c r="Z240" i="16"/>
  <c r="AF240" i="16"/>
  <c r="Z241" i="16"/>
  <c r="AF241" i="16"/>
  <c r="Z242" i="16"/>
  <c r="AF242" i="16"/>
  <c r="Z243" i="16"/>
  <c r="AF243" i="16"/>
  <c r="Z244" i="16"/>
  <c r="AF244" i="16"/>
  <c r="Z245" i="16"/>
  <c r="AF245" i="16"/>
  <c r="Z246" i="16"/>
  <c r="AF246" i="16"/>
  <c r="Z247" i="16"/>
  <c r="AF247" i="16"/>
  <c r="Z248" i="16"/>
  <c r="AF248" i="16"/>
  <c r="Z249" i="16"/>
  <c r="AF249" i="16"/>
  <c r="Z250" i="16"/>
  <c r="AF250" i="16"/>
  <c r="Z251" i="16"/>
  <c r="AF251" i="16"/>
  <c r="Z252" i="16"/>
  <c r="AF252" i="16"/>
  <c r="Z253" i="16"/>
  <c r="AF253" i="16"/>
  <c r="Z254" i="16"/>
  <c r="AF254" i="16"/>
  <c r="Z255" i="16"/>
  <c r="AF255" i="16"/>
  <c r="Z256" i="16"/>
  <c r="AF256" i="16"/>
  <c r="Z257" i="16"/>
  <c r="AF257" i="16"/>
  <c r="Z258" i="16"/>
  <c r="AF258" i="16"/>
  <c r="Z259" i="16"/>
  <c r="AF259" i="16"/>
  <c r="Z260" i="16"/>
  <c r="AF260" i="16"/>
  <c r="Z261" i="16"/>
  <c r="AF261" i="16"/>
  <c r="Z262" i="16"/>
  <c r="AF262" i="16"/>
  <c r="Z263" i="16"/>
  <c r="AF263" i="16"/>
  <c r="Y264" i="16"/>
  <c r="AE264" i="16"/>
  <c r="Y265" i="16"/>
  <c r="AE265" i="16"/>
  <c r="Y266" i="16"/>
  <c r="AE266" i="16"/>
  <c r="Y267" i="16"/>
  <c r="AE267" i="16"/>
  <c r="Y268" i="16"/>
  <c r="AE268" i="16"/>
  <c r="Y269" i="16"/>
  <c r="AE269" i="16"/>
  <c r="Y270" i="16"/>
  <c r="AE270" i="16"/>
  <c r="Y271" i="16"/>
  <c r="AE271" i="16"/>
  <c r="Y272" i="16"/>
  <c r="AE272" i="16"/>
  <c r="Y273" i="16"/>
  <c r="AE273" i="16"/>
  <c r="Y274" i="16"/>
  <c r="AE274" i="16"/>
  <c r="Y275" i="16"/>
  <c r="AE275" i="16"/>
  <c r="Y276" i="16"/>
  <c r="AE276" i="16"/>
  <c r="Y277" i="16"/>
  <c r="AE277" i="16"/>
  <c r="Y278" i="16"/>
  <c r="AE278" i="16"/>
  <c r="Y279" i="16"/>
  <c r="AE279" i="16"/>
  <c r="Y280" i="16"/>
  <c r="AE280" i="16"/>
  <c r="Y281" i="16"/>
  <c r="AE281" i="16"/>
  <c r="Y282" i="16"/>
  <c r="AE282" i="16"/>
  <c r="Y283" i="16"/>
  <c r="AE283" i="16"/>
  <c r="Y284" i="16"/>
  <c r="AE284" i="16"/>
  <c r="Y285" i="16"/>
  <c r="AE285" i="16"/>
  <c r="Y286" i="16"/>
  <c r="AE286" i="16"/>
  <c r="Y287" i="16"/>
  <c r="AE287" i="16"/>
  <c r="Z288" i="16"/>
  <c r="AF288" i="16"/>
  <c r="Z289" i="16"/>
  <c r="AF289" i="16"/>
  <c r="Z290" i="16"/>
  <c r="AF290" i="16"/>
  <c r="Z291" i="16"/>
  <c r="AF291" i="16"/>
  <c r="Z292" i="16"/>
  <c r="AF292" i="16"/>
  <c r="Z293" i="16"/>
  <c r="AF293" i="16"/>
  <c r="Z294" i="16"/>
  <c r="AF294" i="16"/>
  <c r="Z295" i="16"/>
  <c r="AF295" i="16"/>
  <c r="Z296" i="16"/>
  <c r="AF296" i="16"/>
  <c r="Z297" i="16"/>
  <c r="AF297" i="16"/>
  <c r="Z298" i="16"/>
  <c r="AF298" i="16"/>
  <c r="Z299" i="16"/>
  <c r="AF299" i="16"/>
  <c r="Z300" i="16"/>
  <c r="AF300" i="16"/>
  <c r="Z301" i="16"/>
  <c r="AF301" i="16"/>
  <c r="Z302" i="16"/>
  <c r="AF302" i="16"/>
  <c r="Z303" i="16"/>
  <c r="AF303" i="16"/>
  <c r="Z304" i="16"/>
  <c r="AF304" i="16"/>
  <c r="Z305" i="16"/>
  <c r="AF305" i="16"/>
  <c r="Z306" i="16"/>
  <c r="AF306" i="16"/>
  <c r="Z307" i="16"/>
  <c r="AF307" i="16"/>
  <c r="Z308" i="16"/>
  <c r="AF308" i="16"/>
  <c r="Z309" i="16"/>
  <c r="AF309" i="16"/>
  <c r="Z310" i="16"/>
  <c r="AF310" i="16"/>
  <c r="Z311" i="16"/>
  <c r="AF311" i="16"/>
  <c r="Z312" i="16"/>
  <c r="AF312" i="16"/>
  <c r="Z313" i="16"/>
  <c r="AF313" i="16"/>
  <c r="Z314" i="16"/>
  <c r="AF314" i="16"/>
  <c r="Z315" i="16"/>
  <c r="AF315" i="16"/>
  <c r="Z316" i="16"/>
  <c r="AF316" i="16"/>
  <c r="Z317" i="16"/>
  <c r="AF317" i="16"/>
  <c r="Z318" i="16"/>
  <c r="AF318" i="16"/>
  <c r="Z319" i="16"/>
  <c r="AF319" i="16"/>
  <c r="Z320" i="16"/>
  <c r="AF320" i="16"/>
  <c r="Z321" i="16"/>
  <c r="AF321" i="16"/>
  <c r="Z322" i="16"/>
  <c r="AF322" i="16"/>
  <c r="Z323" i="16"/>
  <c r="AF323" i="16"/>
  <c r="Z324" i="16"/>
  <c r="AF324" i="16"/>
  <c r="Z325" i="16"/>
  <c r="AF325" i="16"/>
  <c r="Z326" i="16"/>
  <c r="AF326" i="16"/>
  <c r="Z327" i="16"/>
  <c r="AF327" i="16"/>
  <c r="Z328" i="16"/>
  <c r="AF328" i="16"/>
  <c r="Z329" i="16"/>
  <c r="AF329" i="16"/>
  <c r="Z330" i="16"/>
  <c r="AF330" i="16"/>
  <c r="Z331" i="16"/>
  <c r="AF331" i="16"/>
  <c r="Z332" i="16"/>
  <c r="AF332" i="16"/>
  <c r="Z333" i="16"/>
  <c r="AF333" i="16"/>
  <c r="Z334" i="16"/>
  <c r="AF334" i="16"/>
  <c r="Z335" i="16"/>
  <c r="AF335" i="16"/>
  <c r="Y336" i="16"/>
  <c r="AE336" i="16"/>
  <c r="Y337" i="16"/>
  <c r="AE337" i="16"/>
  <c r="Y338" i="16"/>
  <c r="AE338" i="16"/>
  <c r="Y339" i="16"/>
  <c r="AE339" i="16"/>
  <c r="Y340" i="16"/>
  <c r="AE340" i="16"/>
  <c r="Y341" i="16"/>
  <c r="AE341" i="16"/>
  <c r="Y342" i="16"/>
  <c r="AE342" i="16"/>
  <c r="Y343" i="16"/>
  <c r="AE343" i="16"/>
  <c r="Y344" i="16"/>
  <c r="AE344" i="16"/>
  <c r="Y345" i="16"/>
  <c r="AE345" i="16"/>
  <c r="Y346" i="16"/>
  <c r="AE346" i="16"/>
  <c r="Y347" i="16"/>
  <c r="AE347" i="16"/>
  <c r="Y348" i="16"/>
  <c r="AE348" i="16"/>
  <c r="Y349" i="16"/>
  <c r="AE349" i="16"/>
  <c r="Y350" i="16"/>
  <c r="AE350" i="16"/>
  <c r="Y351" i="16"/>
  <c r="AE351" i="16"/>
  <c r="Y352" i="16"/>
  <c r="AE352" i="16"/>
  <c r="Y353" i="16"/>
  <c r="AE353" i="16"/>
  <c r="Y354" i="16"/>
  <c r="AE354" i="16"/>
  <c r="Y355" i="16"/>
  <c r="AE355" i="16"/>
  <c r="Y356" i="16"/>
  <c r="AE356" i="16"/>
  <c r="Y357" i="16"/>
  <c r="AE357" i="16"/>
  <c r="Y358" i="16"/>
  <c r="AE358" i="16"/>
  <c r="Y359" i="16"/>
  <c r="AE359" i="16"/>
  <c r="Z360" i="16"/>
  <c r="AF360" i="16"/>
  <c r="Z361" i="16"/>
  <c r="AF361" i="16"/>
  <c r="Z362" i="16"/>
  <c r="AF362" i="16"/>
  <c r="Z363" i="16"/>
  <c r="AF363" i="16"/>
  <c r="Z364" i="16"/>
  <c r="AF364" i="16"/>
  <c r="Z365" i="16"/>
  <c r="AF365" i="16"/>
  <c r="Z366" i="16"/>
  <c r="AF366" i="16"/>
  <c r="Z367" i="16"/>
  <c r="AF367" i="16"/>
  <c r="Z368" i="16"/>
  <c r="AF368" i="16"/>
  <c r="Z369" i="16"/>
  <c r="AF369" i="16"/>
  <c r="Z370" i="16"/>
  <c r="AF370" i="16"/>
  <c r="Z371" i="16"/>
  <c r="AF371" i="16"/>
  <c r="Z372" i="16"/>
  <c r="AF372" i="16"/>
  <c r="Z373" i="16"/>
  <c r="AF373" i="16"/>
  <c r="Z374" i="16"/>
  <c r="AF374" i="16"/>
  <c r="Z375" i="16"/>
  <c r="AF375" i="16"/>
  <c r="Z376" i="16"/>
  <c r="AF376" i="16"/>
  <c r="Z377" i="16"/>
  <c r="AF377" i="16"/>
  <c r="Z378" i="16"/>
  <c r="AF378" i="16"/>
  <c r="Z379" i="16"/>
  <c r="AF379" i="16"/>
  <c r="Z380" i="16"/>
  <c r="AF380" i="16"/>
  <c r="Z381" i="16"/>
  <c r="AF381" i="16"/>
  <c r="Z382" i="16"/>
  <c r="AF382" i="16"/>
  <c r="Z383" i="16"/>
  <c r="AF383" i="16"/>
  <c r="Z384" i="16"/>
  <c r="AF384" i="16"/>
  <c r="Z385" i="16"/>
  <c r="AF385" i="16"/>
  <c r="Z386" i="16"/>
  <c r="AF386" i="16"/>
  <c r="Z387" i="16"/>
  <c r="AF387" i="16"/>
  <c r="Z388" i="16"/>
  <c r="AF388" i="16"/>
  <c r="Z389" i="16"/>
  <c r="AF389" i="16"/>
  <c r="Z390" i="16"/>
  <c r="AF390" i="16"/>
  <c r="Z391" i="16"/>
  <c r="AF391" i="16"/>
  <c r="Z392" i="16"/>
  <c r="AF392" i="16"/>
  <c r="Z393" i="16"/>
  <c r="AF393" i="16"/>
  <c r="Z394" i="16"/>
  <c r="AF394" i="16"/>
  <c r="Z395" i="16"/>
  <c r="AF395" i="16"/>
  <c r="Z396" i="16"/>
  <c r="AF396" i="16"/>
  <c r="Z397" i="16"/>
  <c r="AF397" i="16"/>
  <c r="Z398" i="16"/>
  <c r="AF398" i="16"/>
  <c r="Z399" i="16"/>
  <c r="AF399" i="16"/>
  <c r="Z400" i="16"/>
  <c r="AF400" i="16"/>
  <c r="Z401" i="16"/>
  <c r="AF401" i="16"/>
  <c r="Z402" i="16"/>
  <c r="AF402" i="16"/>
  <c r="Z403" i="16"/>
  <c r="AF403" i="16"/>
  <c r="Z404" i="16"/>
  <c r="AF404" i="16"/>
  <c r="Z405" i="16"/>
  <c r="AF405" i="16"/>
  <c r="Z406" i="16"/>
  <c r="AF406" i="16"/>
  <c r="Z407" i="16"/>
  <c r="AF407" i="16"/>
  <c r="Y408" i="16"/>
  <c r="AE408" i="16"/>
  <c r="Y409" i="16"/>
  <c r="AE409" i="16"/>
  <c r="Y410" i="16"/>
  <c r="AE410" i="16"/>
  <c r="Y411" i="16"/>
  <c r="AE411" i="16"/>
  <c r="Y412" i="16"/>
  <c r="AE412" i="16"/>
  <c r="Y413" i="16"/>
  <c r="AE413" i="16"/>
  <c r="Y414" i="16"/>
  <c r="AE414" i="16"/>
  <c r="Y415" i="16"/>
  <c r="AE415" i="16"/>
  <c r="Y416" i="16"/>
  <c r="AE416" i="16"/>
  <c r="Y417" i="16"/>
  <c r="AE417" i="16"/>
  <c r="Y418" i="16"/>
  <c r="AE418" i="16"/>
  <c r="Y419" i="16"/>
  <c r="AE419" i="16"/>
  <c r="Z420" i="16"/>
  <c r="AF420" i="16"/>
  <c r="Z421" i="16"/>
  <c r="AF421" i="16"/>
  <c r="Z422" i="16"/>
  <c r="AF422" i="16"/>
  <c r="Z423" i="16"/>
  <c r="AF423" i="16"/>
  <c r="Z424" i="16"/>
  <c r="AF424" i="16"/>
  <c r="Z425" i="16"/>
  <c r="AF425" i="16"/>
  <c r="Z426" i="16"/>
  <c r="AF426" i="16"/>
  <c r="Z427" i="16"/>
  <c r="AF427" i="16"/>
  <c r="Z428" i="16"/>
  <c r="AF428" i="16"/>
  <c r="Z429" i="16"/>
  <c r="AF429" i="16"/>
  <c r="Z430" i="16"/>
  <c r="AF430" i="16"/>
  <c r="Z431" i="16"/>
  <c r="AF431" i="16"/>
  <c r="Z432" i="16"/>
  <c r="AF432" i="16"/>
  <c r="Z433" i="16"/>
  <c r="AF433" i="16"/>
  <c r="Z434" i="16"/>
  <c r="AF434" i="16"/>
  <c r="Y435" i="16"/>
  <c r="AE435" i="16"/>
  <c r="Y436" i="16"/>
  <c r="AE436" i="16"/>
  <c r="Y437" i="16"/>
  <c r="AE437" i="16"/>
  <c r="Z438" i="16"/>
  <c r="AF438" i="16"/>
  <c r="Z439" i="16"/>
  <c r="AF439" i="16"/>
  <c r="Z440" i="16"/>
  <c r="AF440" i="16"/>
  <c r="Z441" i="16"/>
  <c r="AF441" i="16"/>
  <c r="Z442" i="16"/>
  <c r="AF442" i="16"/>
  <c r="Z443" i="16"/>
  <c r="AF443" i="16"/>
  <c r="Z444" i="16"/>
  <c r="AF444" i="16"/>
  <c r="Y445" i="16"/>
  <c r="AE445" i="16"/>
  <c r="Y446" i="16"/>
  <c r="AE446" i="16"/>
  <c r="Y447" i="16"/>
  <c r="AE447" i="16"/>
  <c r="Y448" i="16"/>
  <c r="AE448" i="16"/>
  <c r="Z449" i="16"/>
  <c r="AF449" i="16"/>
  <c r="Z450" i="16"/>
  <c r="AF450" i="16"/>
  <c r="Z451" i="16"/>
  <c r="AF451" i="16"/>
  <c r="Z452" i="16"/>
  <c r="AF452" i="16"/>
  <c r="Z453" i="16"/>
  <c r="AF453" i="16"/>
  <c r="Z454" i="16"/>
  <c r="AF454" i="16"/>
  <c r="Z455" i="16"/>
  <c r="AF455" i="16"/>
  <c r="Z456" i="16"/>
  <c r="AF456" i="16"/>
  <c r="Z457" i="16"/>
  <c r="AF457" i="16"/>
  <c r="Z458" i="16"/>
  <c r="AF458" i="16"/>
  <c r="Z459" i="16"/>
  <c r="AF459" i="16"/>
  <c r="Z460" i="16"/>
  <c r="AF460" i="16"/>
  <c r="Z461" i="16"/>
  <c r="AF461" i="16"/>
  <c r="Z462" i="16"/>
  <c r="AF462" i="16"/>
  <c r="Z463" i="16"/>
  <c r="AF463" i="16"/>
  <c r="Z464" i="16"/>
  <c r="AF464" i="16"/>
  <c r="Y465" i="16"/>
  <c r="AE465" i="16"/>
  <c r="Y466" i="16"/>
  <c r="AE466" i="16"/>
  <c r="Y467" i="16"/>
  <c r="AE467" i="16"/>
  <c r="Y468" i="16"/>
  <c r="AE468" i="16"/>
  <c r="Y469" i="16"/>
  <c r="AE469" i="16"/>
  <c r="Y470" i="16"/>
  <c r="AE470" i="16"/>
  <c r="Y471" i="16"/>
  <c r="AE471" i="16"/>
  <c r="Y472" i="16"/>
  <c r="AE472" i="16"/>
  <c r="Y473" i="16"/>
  <c r="AE473" i="16"/>
  <c r="Y474" i="16"/>
  <c r="AE474" i="16"/>
  <c r="Y475" i="16"/>
  <c r="AE475" i="16"/>
  <c r="Y476" i="16"/>
  <c r="AE476" i="16"/>
  <c r="Z477" i="16"/>
  <c r="AF477" i="16"/>
  <c r="Z478" i="16"/>
  <c r="AF478" i="16"/>
  <c r="Z479" i="16"/>
  <c r="AF479" i="16"/>
  <c r="Z480" i="16"/>
  <c r="AF480" i="16"/>
  <c r="Z481" i="16"/>
  <c r="AF481" i="16"/>
  <c r="Z482" i="16"/>
  <c r="AF482" i="16"/>
  <c r="Z483" i="16"/>
  <c r="AF483" i="16"/>
  <c r="Z484" i="16"/>
  <c r="AF484" i="16"/>
  <c r="Z485" i="16"/>
  <c r="AF485" i="16"/>
  <c r="Z486" i="16"/>
  <c r="AF486" i="16"/>
  <c r="Z487" i="16"/>
  <c r="AF487" i="16"/>
  <c r="Z488" i="16"/>
  <c r="AF488" i="16"/>
  <c r="Z489" i="16"/>
  <c r="AF489" i="16"/>
  <c r="Z490" i="16"/>
  <c r="AF490" i="16"/>
  <c r="Z491" i="16"/>
  <c r="AF491" i="16"/>
  <c r="Z492" i="16"/>
  <c r="AF492" i="16"/>
  <c r="Z493" i="16"/>
  <c r="AF493" i="16"/>
  <c r="Z494" i="16"/>
  <c r="AF494" i="16"/>
  <c r="Z495" i="16"/>
  <c r="AF495" i="16"/>
  <c r="Z496" i="16"/>
  <c r="AF496" i="16"/>
  <c r="Z497" i="16"/>
  <c r="AF497" i="16"/>
  <c r="Z498" i="16"/>
  <c r="AF498" i="16"/>
  <c r="Z499" i="16"/>
  <c r="AF499" i="16"/>
  <c r="Z500" i="16"/>
  <c r="AF500" i="16"/>
  <c r="Z501" i="16"/>
  <c r="AF501" i="16"/>
  <c r="Z502" i="16"/>
  <c r="AF502" i="16"/>
  <c r="Z503" i="16"/>
  <c r="AF503" i="16"/>
  <c r="Z504" i="16"/>
  <c r="AF504" i="16"/>
  <c r="Z505" i="16"/>
  <c r="AF505" i="16"/>
  <c r="Z506" i="16"/>
  <c r="AF506" i="16"/>
  <c r="Z507" i="16"/>
  <c r="AF507" i="16"/>
  <c r="Z508" i="16"/>
  <c r="AF508" i="16"/>
  <c r="Z509" i="16"/>
  <c r="AF509" i="16"/>
  <c r="Z510" i="16"/>
  <c r="AF510" i="16"/>
  <c r="Z511" i="16"/>
  <c r="AF511" i="16"/>
  <c r="Z512" i="16"/>
  <c r="AF512" i="16"/>
  <c r="Z513" i="16"/>
  <c r="AF513" i="16"/>
  <c r="Z514" i="16"/>
  <c r="AF514" i="16"/>
  <c r="Z515" i="16"/>
  <c r="AF515" i="16"/>
  <c r="Z516" i="16"/>
  <c r="AF516" i="16"/>
  <c r="Z517" i="16"/>
  <c r="AF517" i="16"/>
  <c r="Z518" i="16"/>
  <c r="AF518" i="16"/>
  <c r="Z519" i="16"/>
  <c r="AF519" i="16"/>
  <c r="Z520" i="16"/>
  <c r="AF520" i="16"/>
  <c r="Z521" i="16"/>
  <c r="AF521" i="16"/>
  <c r="Z522" i="16"/>
  <c r="AF522" i="16"/>
  <c r="Z523" i="16"/>
  <c r="AF523" i="16"/>
  <c r="Z524" i="16"/>
  <c r="AF524" i="16"/>
  <c r="Z525" i="16"/>
  <c r="AF525" i="16"/>
  <c r="Z526" i="16"/>
  <c r="AF526" i="16"/>
  <c r="Z527" i="16"/>
  <c r="AF527" i="16"/>
  <c r="Z528" i="16"/>
  <c r="AF528" i="16"/>
  <c r="Z529" i="16"/>
  <c r="AF529" i="16"/>
  <c r="Z530" i="16"/>
  <c r="AF530" i="16"/>
  <c r="Z531" i="16"/>
  <c r="AF531" i="16"/>
  <c r="Z532" i="16"/>
  <c r="AF532" i="16"/>
  <c r="Z533" i="16"/>
  <c r="AF533" i="16"/>
  <c r="Z534" i="16"/>
  <c r="AF534" i="16"/>
  <c r="Z535" i="16"/>
  <c r="AF535" i="16"/>
  <c r="Z536" i="16"/>
  <c r="AF536" i="16"/>
  <c r="Z537" i="16"/>
  <c r="AF537" i="16"/>
  <c r="Z538" i="16"/>
  <c r="AF538" i="16"/>
  <c r="Z539" i="16"/>
  <c r="AF539" i="16"/>
  <c r="Z540" i="16"/>
  <c r="AF540" i="16"/>
  <c r="Z541" i="16"/>
  <c r="AF541" i="16"/>
  <c r="Z542" i="16"/>
  <c r="AF542" i="16"/>
  <c r="Z543" i="16"/>
  <c r="AF543" i="16"/>
  <c r="Z544" i="16"/>
  <c r="AF544" i="16"/>
  <c r="Z545" i="16"/>
  <c r="AF545" i="16"/>
  <c r="Z546" i="16"/>
  <c r="AF546" i="16"/>
  <c r="Z547" i="16"/>
  <c r="AF547" i="16"/>
  <c r="Z548" i="16"/>
  <c r="AF548" i="16"/>
  <c r="Z549" i="16"/>
  <c r="AF549" i="16"/>
  <c r="Z550" i="16"/>
  <c r="AF550" i="16"/>
  <c r="Z551" i="16"/>
  <c r="AF551" i="16"/>
  <c r="Z552" i="16"/>
  <c r="AF552" i="16"/>
  <c r="Z553" i="16"/>
  <c r="AF553" i="16"/>
  <c r="Z554" i="16"/>
  <c r="AF554" i="16"/>
  <c r="Z555" i="16"/>
  <c r="AF555" i="16"/>
  <c r="Z556" i="16"/>
  <c r="AF556" i="16"/>
  <c r="Z557" i="16"/>
  <c r="AF557" i="16"/>
  <c r="Z558" i="16"/>
  <c r="AF558" i="16"/>
  <c r="Z559" i="16"/>
  <c r="AF559" i="16"/>
  <c r="Z560" i="16"/>
  <c r="AF560" i="16"/>
  <c r="Z561" i="16"/>
  <c r="AF561" i="16"/>
  <c r="Z562" i="16"/>
  <c r="AF562" i="16"/>
  <c r="Z563" i="16"/>
  <c r="AF563" i="16"/>
  <c r="Z564" i="16"/>
  <c r="AF564" i="16"/>
  <c r="Z565" i="16"/>
  <c r="AF565" i="16"/>
  <c r="Z566" i="16"/>
  <c r="AF566" i="16"/>
  <c r="Z567" i="16"/>
  <c r="AF567" i="16"/>
  <c r="Z568" i="16"/>
  <c r="AF568" i="16"/>
  <c r="Z569" i="16"/>
  <c r="AF569" i="16"/>
  <c r="Z570" i="16"/>
  <c r="AF570" i="16"/>
  <c r="Z571" i="16"/>
  <c r="AF571" i="16"/>
  <c r="Z572" i="16"/>
  <c r="AF572" i="16"/>
  <c r="Z573" i="16"/>
  <c r="AF573" i="16"/>
  <c r="Z574" i="16"/>
  <c r="AF574" i="16"/>
  <c r="Z575" i="16"/>
  <c r="AF575" i="16"/>
  <c r="Z576" i="16"/>
  <c r="AF576" i="16"/>
  <c r="Z577" i="16"/>
  <c r="AF577" i="16"/>
  <c r="Z578" i="16"/>
  <c r="AF578" i="16"/>
  <c r="Z579" i="16"/>
  <c r="AF579" i="16"/>
  <c r="Z580" i="16"/>
  <c r="AF580" i="16"/>
  <c r="Z581" i="16"/>
  <c r="AF581" i="16"/>
  <c r="Z582" i="16"/>
  <c r="AF582" i="16"/>
  <c r="Z583" i="16"/>
  <c r="AF583" i="16"/>
  <c r="Z584" i="16"/>
  <c r="AF584" i="16"/>
  <c r="Z585" i="16"/>
  <c r="AF585" i="16"/>
  <c r="Z586" i="16"/>
  <c r="AF586" i="16"/>
  <c r="Z587" i="16"/>
  <c r="AF587" i="16"/>
  <c r="Z588" i="16"/>
  <c r="AF588" i="16"/>
  <c r="Z589" i="16"/>
  <c r="AF589" i="16"/>
  <c r="Z590" i="16"/>
  <c r="AF590" i="16"/>
  <c r="Z591" i="16"/>
  <c r="AF591" i="16"/>
  <c r="Z592" i="16"/>
  <c r="AF592" i="16"/>
  <c r="Z593" i="16"/>
  <c r="AF593" i="16"/>
  <c r="Z594" i="16"/>
  <c r="AF594" i="16"/>
  <c r="Z595" i="16"/>
  <c r="AF595" i="16"/>
  <c r="Z596" i="16"/>
  <c r="AF596" i="16"/>
  <c r="Z597" i="16"/>
  <c r="AF597" i="16"/>
  <c r="Z598" i="16"/>
  <c r="AF598" i="16"/>
  <c r="Z599" i="16"/>
  <c r="AF599" i="16"/>
  <c r="Z600" i="16"/>
  <c r="AF600" i="16"/>
  <c r="Z601" i="16"/>
  <c r="AF601" i="16"/>
  <c r="Z602" i="16"/>
  <c r="AF602" i="16"/>
  <c r="Z603" i="16"/>
  <c r="AF603" i="16"/>
  <c r="Z604" i="16"/>
  <c r="AF604" i="16"/>
  <c r="Z605" i="16"/>
  <c r="AF605" i="16"/>
  <c r="Z606" i="16"/>
  <c r="AF606" i="16"/>
  <c r="Z607" i="16"/>
  <c r="AF607" i="16"/>
  <c r="Z608" i="16"/>
  <c r="AF608" i="16"/>
  <c r="Z609" i="16"/>
  <c r="AF609" i="16"/>
  <c r="Z610" i="16"/>
  <c r="AF610" i="16"/>
  <c r="Z611" i="16"/>
  <c r="AF611" i="16"/>
  <c r="Z612" i="16"/>
  <c r="AF612" i="16"/>
  <c r="Z613" i="16"/>
  <c r="AF613" i="16"/>
  <c r="Z614" i="16"/>
  <c r="AF614" i="16"/>
  <c r="Z615" i="16"/>
  <c r="AF615" i="16"/>
  <c r="Z616" i="16"/>
  <c r="AF616" i="16"/>
  <c r="Z617" i="16"/>
  <c r="AF617" i="16"/>
  <c r="Z618" i="16"/>
  <c r="AF618" i="16"/>
  <c r="Z619" i="16"/>
  <c r="AF619" i="16"/>
  <c r="Z620" i="16"/>
  <c r="AF620" i="16"/>
  <c r="Z621" i="16"/>
  <c r="AF621" i="16"/>
  <c r="Z622" i="16"/>
  <c r="AF622" i="16"/>
  <c r="Z623" i="16"/>
  <c r="AF623" i="16"/>
  <c r="Z624" i="16"/>
  <c r="AF624" i="16"/>
  <c r="Z625" i="16"/>
  <c r="AF625" i="16"/>
  <c r="Z626" i="16"/>
  <c r="AF626" i="16"/>
  <c r="Z627" i="16"/>
  <c r="AF627" i="16"/>
  <c r="Z628" i="16"/>
  <c r="AF628" i="16"/>
  <c r="Z629" i="16"/>
  <c r="AF629" i="16"/>
  <c r="Z630" i="16"/>
  <c r="AF630" i="16"/>
  <c r="Z631" i="16"/>
  <c r="AF631" i="16"/>
  <c r="Z632" i="16"/>
  <c r="AF632" i="16"/>
  <c r="Z633" i="16"/>
  <c r="AF633" i="16"/>
  <c r="Z634" i="16"/>
  <c r="AF634" i="16"/>
  <c r="Z635" i="16"/>
  <c r="AF635" i="16"/>
  <c r="Z636" i="16"/>
  <c r="AF636" i="16"/>
  <c r="Z637" i="16"/>
  <c r="AF637" i="16"/>
  <c r="Z638" i="16"/>
  <c r="AF638" i="16"/>
  <c r="Z639" i="16"/>
  <c r="AF639" i="16"/>
  <c r="Z640" i="16"/>
  <c r="AF640" i="16"/>
  <c r="Z641" i="16"/>
  <c r="AF641" i="16"/>
  <c r="Z642" i="16"/>
  <c r="AF642" i="16"/>
  <c r="Z643" i="16"/>
  <c r="AF643" i="16"/>
  <c r="Z644" i="16"/>
  <c r="AF644" i="16"/>
  <c r="Z645" i="16"/>
  <c r="AF645" i="16"/>
  <c r="Z646" i="16"/>
  <c r="AF646" i="16"/>
  <c r="Z647" i="16"/>
  <c r="AF647" i="16"/>
  <c r="Z648" i="16"/>
  <c r="AF648" i="16"/>
  <c r="Z649" i="16"/>
  <c r="AF649" i="16"/>
  <c r="Z650" i="16"/>
  <c r="AF650" i="16"/>
  <c r="Z651" i="16"/>
  <c r="AF651" i="16"/>
  <c r="Z652" i="16"/>
  <c r="AF652" i="16"/>
  <c r="Z653" i="16"/>
  <c r="AF653" i="16"/>
  <c r="Z654" i="16"/>
  <c r="AF654" i="16"/>
  <c r="Z655" i="16"/>
  <c r="AF655" i="16"/>
  <c r="Z656" i="16"/>
  <c r="AF656" i="16"/>
  <c r="Z657" i="16"/>
  <c r="AF657" i="16"/>
  <c r="Z658" i="16"/>
  <c r="AF658" i="16"/>
  <c r="Z659" i="16"/>
  <c r="AF659" i="16"/>
  <c r="Z660" i="16"/>
  <c r="AF660" i="16"/>
  <c r="Z661" i="16"/>
  <c r="AF661" i="16"/>
  <c r="Z662" i="16"/>
  <c r="AF662" i="16"/>
  <c r="Z663" i="16"/>
  <c r="AF663" i="16"/>
  <c r="Z664" i="16"/>
  <c r="AF664" i="16"/>
  <c r="Z665" i="16"/>
  <c r="AF665" i="16"/>
  <c r="Z666" i="16"/>
  <c r="AF666" i="16"/>
  <c r="Z667" i="16"/>
  <c r="AF667" i="16"/>
  <c r="Z668" i="16"/>
  <c r="AF668" i="16"/>
  <c r="Z669" i="16"/>
  <c r="AF669" i="16"/>
  <c r="Z670" i="16"/>
  <c r="AF670" i="16"/>
  <c r="Z671" i="16"/>
  <c r="AF671" i="16"/>
  <c r="Z672" i="16"/>
  <c r="AF672" i="16"/>
  <c r="Z673" i="16"/>
  <c r="AF673" i="16"/>
  <c r="Z674" i="16"/>
  <c r="AF674" i="16"/>
  <c r="Z675" i="16"/>
  <c r="AF675" i="16"/>
  <c r="Z676" i="16"/>
  <c r="AF676" i="16"/>
  <c r="Z677" i="16"/>
  <c r="AF677" i="16"/>
  <c r="Z678" i="16"/>
  <c r="AF678" i="16"/>
  <c r="Z679" i="16"/>
  <c r="AF679" i="16"/>
  <c r="Z680" i="16"/>
  <c r="AF680" i="16"/>
  <c r="Z681" i="16"/>
  <c r="AF681" i="16"/>
  <c r="Z682" i="16"/>
  <c r="AF682" i="16"/>
  <c r="Z683" i="16"/>
  <c r="AF683" i="16"/>
  <c r="Z684" i="16"/>
  <c r="AF684" i="16"/>
  <c r="Z685" i="16"/>
  <c r="AF685" i="16"/>
  <c r="Z686" i="16"/>
  <c r="AF686" i="16"/>
  <c r="Z687" i="16"/>
  <c r="AF687" i="16"/>
  <c r="Z688" i="16"/>
  <c r="AF688" i="16"/>
  <c r="Z689" i="16"/>
  <c r="AF689" i="16"/>
  <c r="Z690" i="16"/>
  <c r="AF690" i="16"/>
  <c r="Z691" i="16"/>
  <c r="AF691" i="16"/>
  <c r="Z692" i="16"/>
  <c r="AF692" i="16"/>
  <c r="Z693" i="16"/>
  <c r="AF693" i="16"/>
  <c r="Z694" i="16"/>
  <c r="AF694" i="16"/>
  <c r="Z695" i="16"/>
  <c r="AF695" i="16"/>
  <c r="Z696" i="16"/>
  <c r="AF696" i="16"/>
  <c r="Z697" i="16"/>
  <c r="AF697" i="16"/>
  <c r="Z698" i="16"/>
  <c r="AF698" i="16"/>
  <c r="Z699" i="16"/>
  <c r="AF699" i="16"/>
  <c r="Z700" i="16"/>
  <c r="AF700" i="16"/>
  <c r="Z701" i="16"/>
  <c r="AF701" i="16"/>
  <c r="Z702" i="16"/>
  <c r="AF702" i="16"/>
  <c r="Z703" i="16"/>
  <c r="AF703" i="16"/>
  <c r="Z704" i="16"/>
  <c r="AF704" i="16"/>
  <c r="Z705" i="16"/>
  <c r="AF705" i="16"/>
  <c r="Z706" i="16"/>
  <c r="AF706" i="16"/>
  <c r="Z707" i="16"/>
  <c r="AF707" i="16"/>
  <c r="Z708" i="16"/>
  <c r="AF708" i="16"/>
  <c r="Z709" i="16"/>
  <c r="AF709" i="16"/>
  <c r="Z710" i="16"/>
  <c r="AF710" i="16"/>
  <c r="Z711" i="16"/>
  <c r="AF711" i="16"/>
  <c r="Z712" i="16"/>
  <c r="AF712" i="16"/>
  <c r="Z713" i="16"/>
  <c r="AF713" i="16"/>
  <c r="Z714" i="16"/>
  <c r="AF714" i="16"/>
  <c r="Z715" i="16"/>
  <c r="AF715" i="16"/>
  <c r="Z716" i="16"/>
  <c r="AF716" i="16"/>
  <c r="Z717" i="16"/>
  <c r="AF717" i="16"/>
  <c r="Z718" i="16"/>
  <c r="AF718" i="16"/>
  <c r="Z719" i="16"/>
  <c r="AF719" i="16"/>
  <c r="Z720" i="16"/>
  <c r="AF720" i="16"/>
  <c r="Z721" i="16"/>
  <c r="AF721" i="16"/>
  <c r="Z722" i="16"/>
  <c r="AF722" i="16"/>
  <c r="Z723" i="16"/>
  <c r="AF723" i="16"/>
  <c r="Z724" i="16"/>
  <c r="AF724" i="16"/>
  <c r="Z725" i="16"/>
  <c r="AF725" i="16"/>
  <c r="Z726" i="16"/>
  <c r="AF726" i="16"/>
  <c r="Z727" i="16"/>
  <c r="AF727" i="16"/>
  <c r="Z728" i="16"/>
  <c r="AF728" i="16"/>
  <c r="Z729" i="16"/>
  <c r="AF729" i="16"/>
  <c r="Z730" i="16"/>
  <c r="AF730" i="16"/>
  <c r="Z731" i="16"/>
  <c r="AF731" i="16"/>
  <c r="Z732" i="16"/>
  <c r="AF732" i="16"/>
  <c r="Z733" i="16"/>
  <c r="AF733" i="16"/>
  <c r="Z734" i="16"/>
  <c r="AF734" i="16"/>
  <c r="Z735" i="16"/>
  <c r="AF735" i="16"/>
  <c r="Z736" i="16"/>
  <c r="AF736" i="16"/>
  <c r="Z737" i="16"/>
  <c r="AF737" i="16"/>
  <c r="Z738" i="16"/>
  <c r="AF738" i="16"/>
  <c r="Z739" i="16"/>
  <c r="AF739" i="16"/>
  <c r="Z740" i="16"/>
  <c r="AF740" i="16"/>
  <c r="Z741" i="16"/>
  <c r="AF741" i="16"/>
  <c r="Z742" i="16"/>
  <c r="AF742" i="16"/>
  <c r="Z743" i="16"/>
  <c r="AF743" i="16"/>
  <c r="Z744" i="16"/>
  <c r="AF744" i="16"/>
  <c r="Z745" i="16"/>
  <c r="AF745" i="16"/>
  <c r="Z746" i="16"/>
  <c r="AF746" i="16"/>
  <c r="Z747" i="16"/>
  <c r="AF747" i="16"/>
  <c r="Z748" i="16"/>
  <c r="AF748" i="16"/>
  <c r="Z749" i="16"/>
  <c r="AF749" i="16"/>
  <c r="Z750" i="16"/>
  <c r="AF750" i="16"/>
  <c r="Z751" i="16"/>
  <c r="AF751" i="16"/>
  <c r="Z752" i="16"/>
  <c r="AF752" i="16"/>
  <c r="Z753" i="16"/>
  <c r="AF753" i="16"/>
  <c r="Z754" i="16"/>
  <c r="AF754" i="16"/>
  <c r="Z755" i="16"/>
  <c r="AF755" i="16"/>
  <c r="Z756" i="16"/>
  <c r="AF756" i="16"/>
  <c r="Z757" i="16"/>
  <c r="AF757" i="16"/>
  <c r="Z758" i="16"/>
  <c r="AF758" i="16"/>
  <c r="Z759" i="16"/>
  <c r="AF759" i="16"/>
  <c r="Z760" i="16"/>
  <c r="AF760" i="16"/>
  <c r="Z761" i="16"/>
  <c r="AF761" i="16"/>
  <c r="Z762" i="16"/>
  <c r="AF762" i="16"/>
  <c r="Z763" i="16"/>
  <c r="AF763" i="16"/>
  <c r="Z764" i="16"/>
  <c r="AF764" i="16"/>
  <c r="Z765" i="16"/>
  <c r="AF765" i="16"/>
  <c r="Z766" i="16"/>
  <c r="AF766" i="16"/>
  <c r="Z767" i="16"/>
  <c r="AF767" i="16"/>
  <c r="Z768" i="16"/>
  <c r="AF768" i="16"/>
  <c r="Z769" i="16"/>
  <c r="AF769" i="16"/>
  <c r="Z770" i="16"/>
  <c r="AF770" i="16"/>
  <c r="Z771" i="16"/>
  <c r="AF771" i="16"/>
  <c r="Z772" i="16"/>
  <c r="AF772" i="16"/>
  <c r="Z773" i="16"/>
  <c r="AF773" i="16"/>
  <c r="Z774" i="16"/>
  <c r="AF774" i="16"/>
  <c r="Z775" i="16"/>
  <c r="AF775" i="16"/>
  <c r="Z776" i="16"/>
  <c r="AF776" i="16"/>
  <c r="Z777" i="16"/>
  <c r="AF777" i="16"/>
  <c r="Z778" i="16"/>
  <c r="AF778" i="16"/>
  <c r="Z779" i="16"/>
  <c r="AF779" i="16"/>
  <c r="Z780" i="16"/>
  <c r="AF780" i="16"/>
  <c r="Z781" i="16"/>
  <c r="AF781" i="16"/>
  <c r="Z782" i="16"/>
  <c r="AF782" i="16"/>
  <c r="Z783" i="16"/>
  <c r="AF783" i="16"/>
  <c r="Z784" i="16"/>
  <c r="AF784" i="16"/>
  <c r="Z785" i="16"/>
  <c r="AF785" i="16"/>
  <c r="Z786" i="16"/>
  <c r="AF786" i="16"/>
  <c r="Z787" i="16"/>
  <c r="AF787" i="16"/>
  <c r="Z788" i="16"/>
  <c r="AF788" i="16"/>
  <c r="Z789" i="16"/>
  <c r="AF789" i="16"/>
  <c r="Z790" i="16"/>
  <c r="AF790" i="16"/>
  <c r="Z791" i="16"/>
  <c r="AF791" i="16"/>
  <c r="Z792" i="16"/>
  <c r="AF792" i="16"/>
  <c r="Z793" i="16"/>
  <c r="AF793" i="16"/>
  <c r="Z794" i="16"/>
  <c r="AF794" i="16"/>
  <c r="Z795" i="16"/>
  <c r="AF795" i="16"/>
  <c r="Z796" i="16"/>
  <c r="AF796" i="16"/>
  <c r="Z797" i="16"/>
  <c r="AF797" i="16"/>
  <c r="Z798" i="16"/>
  <c r="AF798" i="16"/>
  <c r="Z799" i="16"/>
  <c r="AF799" i="16"/>
  <c r="Z800" i="16"/>
  <c r="AF800" i="16"/>
  <c r="Z801" i="16"/>
  <c r="AF801" i="16"/>
  <c r="Z802" i="16"/>
  <c r="AF802" i="16"/>
  <c r="Z803" i="16"/>
  <c r="AF803" i="16"/>
  <c r="Z804" i="16"/>
  <c r="AF804" i="16"/>
  <c r="Z805" i="16"/>
  <c r="AF805" i="16"/>
  <c r="Z806" i="16"/>
  <c r="AF806" i="16"/>
  <c r="Z807" i="16"/>
  <c r="AF807" i="16"/>
  <c r="Z808" i="16"/>
  <c r="AF808" i="16"/>
  <c r="Z809" i="16"/>
  <c r="AF809" i="16"/>
  <c r="Z810" i="16"/>
  <c r="AF810" i="16"/>
  <c r="Z811" i="16"/>
  <c r="AF811" i="16"/>
  <c r="Z812" i="16"/>
  <c r="AF812" i="16"/>
  <c r="Z813" i="16"/>
  <c r="AF813" i="16"/>
  <c r="Z814" i="16"/>
  <c r="AF814" i="16"/>
  <c r="Z815" i="16"/>
  <c r="AF815" i="16"/>
  <c r="Z816" i="16"/>
  <c r="AF816" i="16"/>
  <c r="Z817" i="16"/>
  <c r="AF817" i="16"/>
  <c r="Z818" i="16"/>
  <c r="AF818" i="16"/>
  <c r="Z819" i="16"/>
  <c r="AF819" i="16"/>
  <c r="Z820" i="16"/>
  <c r="AF820" i="16"/>
  <c r="Z821" i="16"/>
  <c r="AF821" i="16"/>
  <c r="Z822" i="16"/>
  <c r="AF822" i="16"/>
  <c r="Z823" i="16"/>
  <c r="AF823" i="16"/>
  <c r="Z824" i="16"/>
  <c r="AF824" i="16"/>
  <c r="Z825" i="16"/>
  <c r="AF825" i="16"/>
  <c r="Z826" i="16"/>
  <c r="AF826" i="16"/>
  <c r="Z827" i="16"/>
  <c r="AF827" i="16"/>
  <c r="Z828" i="16"/>
  <c r="AF828" i="16"/>
  <c r="Z829" i="16"/>
  <c r="AF829" i="16"/>
  <c r="Z830" i="16"/>
  <c r="AF830" i="16"/>
  <c r="Z831" i="16"/>
  <c r="AF831" i="16"/>
  <c r="Z832" i="16"/>
  <c r="AF832" i="16"/>
  <c r="Z833" i="16"/>
  <c r="AF833" i="16"/>
  <c r="Z834" i="16"/>
  <c r="AF834" i="16"/>
  <c r="Z835" i="16"/>
  <c r="AF835" i="16"/>
  <c r="Z836" i="16"/>
  <c r="AF836" i="16"/>
  <c r="Z837" i="16"/>
  <c r="AF837" i="16"/>
  <c r="Z838" i="16"/>
  <c r="AF838" i="16"/>
  <c r="Z839" i="16"/>
  <c r="AF839" i="16"/>
  <c r="Z840" i="16"/>
  <c r="AF840" i="16"/>
  <c r="Z841" i="16"/>
  <c r="AF841" i="16"/>
  <c r="Z842" i="16"/>
  <c r="AF842" i="16"/>
  <c r="Z843" i="16"/>
  <c r="AF843" i="16"/>
  <c r="Z844" i="16"/>
  <c r="AF844" i="16"/>
  <c r="Z845" i="16"/>
  <c r="AF845" i="16"/>
  <c r="Z846" i="16"/>
  <c r="AF846" i="16"/>
  <c r="Z847" i="16"/>
  <c r="AF847" i="16"/>
  <c r="Z848" i="16"/>
  <c r="AF848" i="16"/>
  <c r="Z849" i="16"/>
  <c r="AF849" i="16"/>
  <c r="Z850" i="16"/>
  <c r="AF850" i="16"/>
  <c r="Z851" i="16"/>
  <c r="AF851" i="16"/>
  <c r="Z852" i="16"/>
  <c r="AF852" i="16"/>
  <c r="Z853" i="16"/>
  <c r="AF853" i="16"/>
  <c r="Z854" i="16"/>
  <c r="AF854" i="16"/>
  <c r="Z855" i="16"/>
  <c r="AF855" i="16"/>
  <c r="Z856" i="16"/>
  <c r="AF856" i="16"/>
  <c r="Z857" i="16"/>
  <c r="AF857" i="16"/>
  <c r="Z858" i="16"/>
  <c r="AF858" i="16"/>
  <c r="Z859" i="16"/>
  <c r="AF859" i="16"/>
  <c r="Z860" i="16"/>
  <c r="AF860" i="16"/>
  <c r="Z861" i="16"/>
  <c r="AF861" i="16"/>
  <c r="Z862" i="16"/>
  <c r="AF862" i="16"/>
  <c r="Z863" i="16"/>
  <c r="AF863" i="16"/>
  <c r="Z864" i="16"/>
  <c r="AF864" i="16"/>
  <c r="Z865" i="16"/>
  <c r="AF865" i="16"/>
  <c r="Z866" i="16"/>
  <c r="AF866" i="16"/>
  <c r="Z867" i="16"/>
  <c r="AF867" i="16"/>
  <c r="Z868" i="16"/>
  <c r="AF868" i="16"/>
  <c r="Z869" i="16"/>
  <c r="AF869" i="16"/>
  <c r="Z870" i="16"/>
  <c r="AF870" i="16"/>
  <c r="Z871" i="16"/>
  <c r="AF871" i="16"/>
  <c r="Z872" i="16"/>
  <c r="AF872" i="16"/>
  <c r="Z873" i="16"/>
  <c r="AF873" i="16"/>
  <c r="Z874" i="16"/>
  <c r="AF874" i="16"/>
  <c r="Z875" i="16"/>
  <c r="AF875" i="16"/>
  <c r="Z876" i="16"/>
  <c r="AF876" i="16"/>
  <c r="Z877" i="16"/>
  <c r="AF877" i="16"/>
  <c r="Z878" i="16"/>
  <c r="AF878" i="16"/>
  <c r="Z879" i="16"/>
  <c r="AF879" i="16"/>
  <c r="Z880" i="16"/>
  <c r="AF880" i="16"/>
  <c r="Z881" i="16"/>
  <c r="AF881" i="16"/>
  <c r="Z882" i="16"/>
  <c r="AF882" i="16"/>
  <c r="Z883" i="16"/>
  <c r="AF883" i="16"/>
  <c r="Z884" i="16"/>
  <c r="AF884" i="16"/>
  <c r="Z885" i="16"/>
  <c r="AF885" i="16"/>
  <c r="Z886" i="16"/>
  <c r="AF886" i="16"/>
  <c r="Y2" i="25"/>
  <c r="Z2" i="25"/>
  <c r="AA2" i="25"/>
  <c r="AE2" i="25"/>
  <c r="AF2" i="25"/>
  <c r="AG2" i="25"/>
  <c r="AK2" i="25"/>
  <c r="AL2" i="25"/>
  <c r="AP2" i="25"/>
  <c r="AQ2" i="25"/>
  <c r="AU2" i="25"/>
  <c r="AV2" i="25"/>
  <c r="Y3" i="25"/>
  <c r="Z3" i="25"/>
  <c r="AA3" i="25"/>
  <c r="AE3" i="25"/>
  <c r="AF3" i="25"/>
  <c r="AG3" i="25"/>
  <c r="AK3" i="25"/>
  <c r="AL3" i="25"/>
  <c r="AP3" i="25"/>
  <c r="AQ3" i="25"/>
  <c r="AU3" i="25"/>
  <c r="AV3" i="25"/>
  <c r="Y4" i="25"/>
  <c r="Z4" i="25"/>
  <c r="AA4" i="25"/>
  <c r="AE4" i="25"/>
  <c r="AF4" i="25"/>
  <c r="AG4" i="25"/>
  <c r="AK4" i="25"/>
  <c r="AL4" i="25"/>
  <c r="AP4" i="25"/>
  <c r="AQ4" i="25"/>
  <c r="AU4" i="25"/>
  <c r="AV4" i="25"/>
  <c r="Y5" i="25"/>
  <c r="Z5" i="25"/>
  <c r="AA5" i="25"/>
  <c r="AE5" i="25"/>
  <c r="AF5" i="25"/>
  <c r="AG5" i="25"/>
  <c r="AK5" i="25"/>
  <c r="AL5" i="25"/>
  <c r="AP5" i="25"/>
  <c r="AQ5" i="25"/>
  <c r="AU5" i="25"/>
  <c r="AV5" i="25"/>
  <c r="Y6" i="25"/>
  <c r="Z6" i="25"/>
  <c r="AA6" i="25"/>
  <c r="AE6" i="25"/>
  <c r="AF6" i="25"/>
  <c r="AG6" i="25"/>
  <c r="AK6" i="25"/>
  <c r="AL6" i="25"/>
  <c r="AP6" i="25"/>
  <c r="AQ6" i="25"/>
  <c r="AU6" i="25"/>
  <c r="AV6" i="25"/>
  <c r="Y7" i="25"/>
  <c r="Z7" i="25"/>
  <c r="AA7" i="25"/>
  <c r="AE7" i="25"/>
  <c r="AF7" i="25"/>
  <c r="AG7" i="25"/>
  <c r="AK7" i="25"/>
  <c r="AL7" i="25"/>
  <c r="AP7" i="25"/>
  <c r="AQ7" i="25"/>
  <c r="AU7" i="25"/>
  <c r="AV7" i="25"/>
  <c r="Y8" i="25"/>
  <c r="Z8" i="25"/>
  <c r="AA8" i="25"/>
  <c r="AE8" i="25"/>
  <c r="AF8" i="25"/>
  <c r="AG8" i="25"/>
  <c r="AK8" i="25"/>
  <c r="AL8" i="25"/>
  <c r="AP8" i="25"/>
  <c r="AQ8" i="25"/>
  <c r="AU8" i="25"/>
  <c r="AV8" i="25"/>
  <c r="Y9" i="25"/>
  <c r="Z9" i="25"/>
  <c r="AA9" i="25"/>
  <c r="AE9" i="25"/>
  <c r="AF9" i="25"/>
  <c r="AG9" i="25"/>
  <c r="AK9" i="25"/>
  <c r="AL9" i="25"/>
  <c r="AP9" i="25"/>
  <c r="AQ9" i="25"/>
  <c r="AU9" i="25"/>
  <c r="AV9" i="25"/>
  <c r="Y10" i="25"/>
  <c r="Z10" i="25"/>
  <c r="AA10" i="25"/>
  <c r="AE10" i="25"/>
  <c r="AF10" i="25"/>
  <c r="AG10" i="25"/>
  <c r="AK10" i="25"/>
  <c r="AL10" i="25"/>
  <c r="AP10" i="25"/>
  <c r="AQ10" i="25"/>
  <c r="AU10" i="25"/>
  <c r="AV10" i="25"/>
  <c r="Y11" i="25"/>
  <c r="Z11" i="25"/>
  <c r="AA11" i="25"/>
  <c r="AE11" i="25"/>
  <c r="AF11" i="25"/>
  <c r="AG11" i="25"/>
  <c r="Y12" i="25"/>
  <c r="Z12" i="25"/>
  <c r="AA12" i="25"/>
  <c r="AE12" i="25"/>
  <c r="AF12" i="25"/>
  <c r="AG12" i="25"/>
  <c r="Y13" i="25"/>
  <c r="Z13" i="25"/>
  <c r="AA13" i="25"/>
  <c r="AE13" i="25"/>
  <c r="AF13" i="25"/>
  <c r="AG13" i="25"/>
  <c r="Y14" i="25"/>
  <c r="Z14" i="25"/>
  <c r="AA14" i="25"/>
  <c r="AE14" i="25"/>
  <c r="AF14" i="25"/>
  <c r="AG14" i="25"/>
  <c r="Y15" i="25"/>
  <c r="Z15" i="25"/>
  <c r="AA15" i="25"/>
  <c r="AE15" i="25"/>
  <c r="AF15" i="25"/>
  <c r="AG15" i="25"/>
  <c r="Y16" i="25"/>
  <c r="Z16" i="25"/>
  <c r="AA16" i="25"/>
  <c r="AE16" i="25"/>
  <c r="AF16" i="25"/>
  <c r="AG16" i="25"/>
  <c r="Y17" i="25"/>
  <c r="Z17" i="25"/>
  <c r="AA17" i="25"/>
  <c r="AE17" i="25"/>
  <c r="AF17" i="25"/>
  <c r="AG17" i="25"/>
  <c r="Y18" i="25"/>
  <c r="Z18" i="25"/>
  <c r="AA18" i="25"/>
  <c r="AE18" i="25"/>
  <c r="AF18" i="25"/>
  <c r="AG18" i="25"/>
  <c r="Y19" i="25"/>
  <c r="Z19" i="25"/>
  <c r="AA19" i="25"/>
  <c r="AE19" i="25"/>
  <c r="AF19" i="25"/>
  <c r="AG19" i="25"/>
  <c r="Y20" i="25"/>
  <c r="Z20" i="25"/>
  <c r="AA20" i="25"/>
  <c r="AE20" i="25"/>
  <c r="AF20" i="25"/>
  <c r="AG20" i="25"/>
  <c r="Y21" i="25"/>
  <c r="Z21" i="25"/>
  <c r="AA21" i="25"/>
  <c r="AE21" i="25"/>
  <c r="AF21" i="25"/>
  <c r="AG21" i="25"/>
  <c r="Y22" i="25"/>
  <c r="Z22" i="25"/>
  <c r="AA22" i="25"/>
  <c r="AE22" i="25"/>
  <c r="AF22" i="25"/>
  <c r="AG22" i="25"/>
  <c r="Y23" i="25"/>
  <c r="Z23" i="25"/>
  <c r="AA23" i="25"/>
  <c r="AE23" i="25"/>
  <c r="AF23" i="25"/>
  <c r="AG23" i="25"/>
  <c r="Y24" i="25"/>
  <c r="Z24" i="25"/>
  <c r="AA24" i="25"/>
  <c r="AE24" i="25"/>
  <c r="AF24" i="25"/>
  <c r="AG24" i="25"/>
  <c r="Y25" i="25"/>
  <c r="Z25" i="25"/>
  <c r="AA25" i="25"/>
  <c r="AE25" i="25"/>
  <c r="AF25" i="25"/>
  <c r="AG25" i="25"/>
  <c r="Y26" i="25"/>
  <c r="Z26" i="25"/>
  <c r="AA26" i="25"/>
  <c r="AE26" i="25"/>
  <c r="AF26" i="25"/>
  <c r="AG26" i="25"/>
  <c r="Y27" i="25"/>
  <c r="Z27" i="25"/>
  <c r="AA27" i="25"/>
  <c r="AE27" i="25"/>
  <c r="AF27" i="25"/>
  <c r="AG27" i="25"/>
  <c r="Y28" i="25"/>
  <c r="Z28" i="25"/>
  <c r="AA28" i="25"/>
  <c r="AE28" i="25"/>
  <c r="AF28" i="25"/>
  <c r="AG28" i="25"/>
  <c r="Y29" i="25"/>
  <c r="AE29" i="25"/>
  <c r="Y30" i="25"/>
  <c r="AE30" i="25"/>
  <c r="Y31" i="25"/>
  <c r="AE31" i="25"/>
  <c r="Y32" i="25"/>
  <c r="AE32" i="25"/>
  <c r="Y33" i="25"/>
  <c r="AE33" i="25"/>
  <c r="Y34" i="25"/>
  <c r="AE34" i="25"/>
  <c r="Y35" i="25"/>
  <c r="AE35" i="25"/>
  <c r="Y36" i="25"/>
  <c r="AE36" i="25"/>
  <c r="Y37" i="25"/>
  <c r="AE37" i="25"/>
  <c r="Y38" i="25"/>
  <c r="AE38" i="25"/>
  <c r="Y39" i="25"/>
  <c r="AE39" i="25"/>
  <c r="Y40" i="25"/>
  <c r="AE40" i="25"/>
  <c r="Z41" i="25"/>
  <c r="AA41" i="25"/>
  <c r="AF41" i="25"/>
  <c r="AG41" i="25"/>
  <c r="Z42" i="25"/>
  <c r="AA42" i="25"/>
  <c r="AF42" i="25"/>
  <c r="AG42" i="25"/>
  <c r="Z43" i="25"/>
  <c r="AA43" i="25"/>
  <c r="AF43" i="25"/>
  <c r="AG43" i="25"/>
  <c r="Z44" i="25"/>
  <c r="AA44" i="25"/>
  <c r="AF44" i="25"/>
  <c r="AG44" i="25"/>
  <c r="Y45" i="25"/>
  <c r="AE45" i="25"/>
  <c r="Y46" i="25"/>
  <c r="AE46" i="25"/>
  <c r="Z47" i="25"/>
  <c r="AA47" i="25"/>
  <c r="AF47" i="25"/>
  <c r="AG47" i="25"/>
  <c r="Z48" i="25"/>
  <c r="AA48" i="25"/>
  <c r="AF48" i="25"/>
  <c r="AG48" i="25"/>
  <c r="Z49" i="25"/>
  <c r="AA49" i="25"/>
  <c r="AF49" i="25"/>
  <c r="AG49" i="25"/>
  <c r="Z50" i="25"/>
  <c r="AA50" i="25"/>
  <c r="AF50" i="25"/>
  <c r="AG50" i="25"/>
  <c r="Z51" i="25"/>
  <c r="AA51" i="25"/>
  <c r="AF51" i="25"/>
  <c r="AG51" i="25"/>
  <c r="Z52" i="25"/>
  <c r="AA52" i="25"/>
  <c r="AF52" i="25"/>
  <c r="AG52" i="25"/>
  <c r="Z53" i="25"/>
  <c r="AA53" i="25"/>
  <c r="AF53" i="25"/>
  <c r="AG53" i="25"/>
  <c r="Z54" i="25"/>
  <c r="AA54" i="25"/>
  <c r="AF54" i="25"/>
  <c r="AG54" i="25"/>
  <c r="Z55" i="25"/>
  <c r="AA55" i="25"/>
  <c r="AF55" i="25"/>
  <c r="AG55" i="25"/>
  <c r="Z56" i="25"/>
  <c r="AA56" i="25"/>
  <c r="AF56" i="25"/>
  <c r="AG56" i="25"/>
  <c r="Z57" i="25"/>
  <c r="AA57" i="25"/>
  <c r="AF57" i="25"/>
  <c r="AG57" i="25"/>
  <c r="Y58" i="25"/>
  <c r="AE58" i="25"/>
  <c r="Y59" i="25"/>
  <c r="AE59" i="25"/>
  <c r="Y60" i="25"/>
  <c r="AE60" i="25"/>
  <c r="Y61" i="25"/>
  <c r="AE61" i="25"/>
  <c r="Y62" i="25"/>
  <c r="AE62" i="25"/>
  <c r="Y63" i="25"/>
  <c r="AE63" i="25"/>
  <c r="Y64" i="25"/>
  <c r="AE64" i="25"/>
  <c r="Y65" i="25"/>
  <c r="AE65" i="25"/>
  <c r="Y66" i="25"/>
  <c r="AE66" i="25"/>
  <c r="Z67" i="25"/>
  <c r="AA67" i="25"/>
  <c r="AF67" i="25"/>
  <c r="AG67" i="25"/>
  <c r="Z68" i="25"/>
  <c r="AA68" i="25"/>
  <c r="AF68" i="25"/>
  <c r="AG68" i="25"/>
  <c r="Z69" i="25"/>
  <c r="AA69" i="25"/>
  <c r="AF69" i="25"/>
  <c r="AG69" i="25"/>
  <c r="Z70" i="25"/>
  <c r="AA70" i="25"/>
  <c r="AF70" i="25"/>
  <c r="AG70" i="25"/>
  <c r="Z71" i="25"/>
  <c r="AA71" i="25"/>
  <c r="AF71" i="25"/>
  <c r="AG71" i="25"/>
  <c r="Z72" i="25"/>
  <c r="AA72" i="25"/>
  <c r="AF72" i="25"/>
  <c r="AG72" i="25"/>
  <c r="Z73" i="25"/>
  <c r="AA73" i="25"/>
  <c r="AF73" i="25"/>
  <c r="AG73" i="25"/>
  <c r="Z74" i="25"/>
  <c r="AA74" i="25"/>
  <c r="AF74" i="25"/>
  <c r="AG74" i="25"/>
  <c r="Z75" i="25"/>
  <c r="AA75" i="25"/>
  <c r="AF75" i="25"/>
  <c r="AG75" i="25"/>
  <c r="Y76" i="25"/>
  <c r="AE76" i="25"/>
  <c r="Y77" i="25"/>
  <c r="AE77" i="25"/>
  <c r="Y78" i="25"/>
  <c r="AE78" i="25"/>
  <c r="Y79" i="25"/>
  <c r="AE79" i="25"/>
  <c r="Y80" i="25"/>
  <c r="AE80" i="25"/>
  <c r="Y81" i="25"/>
  <c r="AE81" i="25"/>
  <c r="Y82" i="25"/>
  <c r="AE82" i="25"/>
  <c r="Y83" i="25"/>
  <c r="AE83" i="25"/>
  <c r="Y84" i="25"/>
  <c r="Z84" i="25"/>
  <c r="AA84" i="25"/>
  <c r="AE84" i="25"/>
  <c r="AF84" i="25"/>
  <c r="AG84" i="25"/>
  <c r="Y85" i="25"/>
  <c r="Z85" i="25"/>
  <c r="AA85" i="25"/>
  <c r="AE85" i="25"/>
  <c r="AF85" i="25"/>
  <c r="AG85" i="25"/>
  <c r="Y86" i="25"/>
  <c r="Z86" i="25"/>
  <c r="AA86" i="25"/>
  <c r="AE86" i="25"/>
  <c r="AF86" i="25"/>
  <c r="AG86" i="25"/>
  <c r="Y87" i="25"/>
  <c r="Z87" i="25"/>
  <c r="AA87" i="25"/>
  <c r="AE87" i="25"/>
  <c r="AF87" i="25"/>
  <c r="AG87" i="25"/>
  <c r="Y88" i="25"/>
  <c r="Z88" i="25"/>
  <c r="AA88" i="25"/>
  <c r="AE88" i="25"/>
  <c r="AF88" i="25"/>
  <c r="AG88" i="25"/>
  <c r="Y89" i="25"/>
  <c r="Z89" i="25"/>
  <c r="AA89" i="25"/>
  <c r="AE89" i="25"/>
  <c r="AF89" i="25"/>
  <c r="AG89" i="25"/>
  <c r="Y90" i="25"/>
  <c r="Z90" i="25"/>
  <c r="AA90" i="25"/>
  <c r="AE90" i="25"/>
  <c r="AF90" i="25"/>
  <c r="AG90" i="25"/>
  <c r="Y91" i="25"/>
  <c r="Z91" i="25"/>
  <c r="AA91" i="25"/>
  <c r="AE91" i="25"/>
  <c r="AF91" i="25"/>
  <c r="AG91" i="25"/>
  <c r="Y92" i="25"/>
  <c r="Z92" i="25"/>
  <c r="AA92" i="25"/>
  <c r="AE92" i="25"/>
  <c r="AF92" i="25"/>
  <c r="AG92" i="25"/>
  <c r="Y93" i="25"/>
  <c r="Z93" i="25"/>
  <c r="AA93" i="25"/>
  <c r="AE93" i="25"/>
  <c r="AF93" i="25"/>
  <c r="AG93" i="25"/>
  <c r="Y94" i="25"/>
  <c r="Z94" i="25"/>
  <c r="AA94" i="25"/>
  <c r="AE94" i="25"/>
  <c r="AF94" i="25"/>
  <c r="AG94" i="25"/>
  <c r="Y95" i="25"/>
  <c r="Z95" i="25"/>
  <c r="AA95" i="25"/>
  <c r="AE95" i="25"/>
  <c r="AF95" i="25"/>
  <c r="AG95" i="25"/>
  <c r="Y96" i="25"/>
  <c r="Z96" i="25"/>
  <c r="AA96" i="25"/>
  <c r="AE96" i="25"/>
  <c r="AF96" i="25"/>
  <c r="AG96" i="25"/>
  <c r="Y97" i="25"/>
  <c r="Z97" i="25"/>
  <c r="AA97" i="25"/>
  <c r="AE97" i="25"/>
  <c r="AF97" i="25"/>
  <c r="AG97" i="25"/>
  <c r="Y98" i="25"/>
  <c r="Z98" i="25"/>
  <c r="AA98" i="25"/>
  <c r="AE98" i="25"/>
  <c r="AF98" i="25"/>
  <c r="AG98" i="25"/>
  <c r="Y99" i="25"/>
  <c r="Z99" i="25"/>
  <c r="AA99" i="25"/>
  <c r="AE99" i="25"/>
  <c r="AF99" i="25"/>
  <c r="AG99" i="25"/>
  <c r="Y100" i="25"/>
  <c r="Z100" i="25"/>
  <c r="AA100" i="25"/>
  <c r="AE100" i="25"/>
  <c r="AF100" i="25"/>
  <c r="AG100" i="25"/>
  <c r="Y101" i="25"/>
  <c r="Z101" i="25"/>
  <c r="AA101" i="25"/>
  <c r="AE101" i="25"/>
  <c r="AF101" i="25"/>
  <c r="AG101" i="25"/>
  <c r="Y102" i="25"/>
  <c r="Z102" i="25"/>
  <c r="AA102" i="25"/>
  <c r="AE102" i="25"/>
  <c r="AF102" i="25"/>
  <c r="AG102" i="25"/>
  <c r="Y103" i="25"/>
  <c r="Z103" i="25"/>
  <c r="AA103" i="25"/>
  <c r="AE103" i="25"/>
  <c r="AF103" i="25"/>
  <c r="AG103" i="25"/>
  <c r="Y104" i="25"/>
  <c r="Z104" i="25"/>
  <c r="AA104" i="25"/>
  <c r="AE104" i="25"/>
  <c r="AF104" i="25"/>
  <c r="AG104" i="25"/>
  <c r="Y105" i="25"/>
  <c r="Z105" i="25"/>
  <c r="AA105" i="25"/>
  <c r="AE105" i="25"/>
  <c r="AF105" i="25"/>
  <c r="AG105" i="25"/>
  <c r="Y106" i="25"/>
  <c r="Z106" i="25"/>
  <c r="AA106" i="25"/>
  <c r="AE106" i="25"/>
  <c r="AF106" i="25"/>
  <c r="AG106" i="25"/>
  <c r="Y107" i="25"/>
  <c r="Z107" i="25"/>
  <c r="AA107" i="25"/>
  <c r="AE107" i="25"/>
  <c r="AF107" i="25"/>
  <c r="AG107" i="25"/>
  <c r="Y108" i="25"/>
  <c r="Z108" i="25"/>
  <c r="AA108" i="25"/>
  <c r="AE108" i="25"/>
  <c r="AF108" i="25"/>
  <c r="AG108" i="25"/>
  <c r="Y109" i="25"/>
  <c r="Z109" i="25"/>
  <c r="AA109" i="25"/>
  <c r="AE109" i="25"/>
  <c r="AF109" i="25"/>
  <c r="AG109" i="25"/>
  <c r="Y110" i="25"/>
  <c r="Z110" i="25"/>
  <c r="AA110" i="25"/>
  <c r="AE110" i="25"/>
  <c r="AF110" i="25"/>
  <c r="AG110" i="25"/>
  <c r="Y111" i="25"/>
  <c r="Z111" i="25"/>
  <c r="AA111" i="25"/>
  <c r="AE111" i="25"/>
  <c r="AF111" i="25"/>
  <c r="AG111" i="25"/>
  <c r="Y112" i="25"/>
  <c r="Z112" i="25"/>
  <c r="AA112" i="25"/>
  <c r="AE112" i="25"/>
  <c r="AF112" i="25"/>
  <c r="AG112" i="25"/>
  <c r="Y113" i="25"/>
  <c r="Z113" i="25"/>
  <c r="AA113" i="25"/>
  <c r="AE113" i="25"/>
  <c r="AF113" i="25"/>
  <c r="AG113" i="25"/>
  <c r="Y114" i="25"/>
  <c r="Z114" i="25"/>
  <c r="AA114" i="25"/>
  <c r="AE114" i="25"/>
  <c r="AF114" i="25"/>
  <c r="AG114" i="25"/>
  <c r="Y115" i="25"/>
  <c r="Z115" i="25"/>
  <c r="AA115" i="25"/>
  <c r="AE115" i="25"/>
  <c r="AF115" i="25"/>
  <c r="AG115" i="25"/>
  <c r="Y116" i="25"/>
  <c r="Z116" i="25"/>
  <c r="AA116" i="25"/>
  <c r="AE116" i="25"/>
  <c r="AF116" i="25"/>
  <c r="AG116" i="25"/>
  <c r="Y117" i="25"/>
  <c r="Z117" i="25"/>
  <c r="AA117" i="25"/>
  <c r="AE117" i="25"/>
  <c r="AF117" i="25"/>
  <c r="AG117" i="25"/>
  <c r="Y118" i="25"/>
  <c r="Z118" i="25"/>
  <c r="AA118" i="25"/>
  <c r="AE118" i="25"/>
  <c r="AF118" i="25"/>
  <c r="AG118" i="25"/>
  <c r="Y119" i="25"/>
  <c r="Z119" i="25"/>
  <c r="AA119" i="25"/>
  <c r="AE119" i="25"/>
  <c r="AF119" i="25"/>
  <c r="AG119" i="25"/>
  <c r="Y120" i="25"/>
  <c r="Z120" i="25"/>
  <c r="AA120" i="25"/>
  <c r="AE120" i="25"/>
  <c r="AF120" i="25"/>
  <c r="AG120" i="25"/>
  <c r="Y121" i="25"/>
  <c r="Z121" i="25"/>
  <c r="AA121" i="25"/>
  <c r="AE121" i="25"/>
  <c r="AF121" i="25"/>
  <c r="AG121" i="25"/>
  <c r="Y122" i="25"/>
  <c r="Z122" i="25"/>
  <c r="AA122" i="25"/>
  <c r="AE122" i="25"/>
  <c r="AF122" i="25"/>
  <c r="AG122" i="25"/>
  <c r="Y123" i="25"/>
  <c r="Z123" i="25"/>
  <c r="AA123" i="25"/>
  <c r="AE123" i="25"/>
  <c r="AF123" i="25"/>
  <c r="AG123" i="25"/>
  <c r="Y124" i="25"/>
  <c r="Z124" i="25"/>
  <c r="AA124" i="25"/>
  <c r="AE124" i="25"/>
  <c r="AF124" i="25"/>
  <c r="AG124" i="25"/>
  <c r="Y125" i="25"/>
  <c r="Z125" i="25"/>
  <c r="AA125" i="25"/>
  <c r="AE125" i="25"/>
  <c r="AF125" i="25"/>
  <c r="AG125" i="25"/>
  <c r="Y126" i="25"/>
  <c r="Z126" i="25"/>
  <c r="AA126" i="25"/>
  <c r="AE126" i="25"/>
  <c r="AF126" i="25"/>
  <c r="AG126" i="25"/>
  <c r="Y127" i="25"/>
  <c r="Z127" i="25"/>
  <c r="AA127" i="25"/>
  <c r="AE127" i="25"/>
  <c r="AF127" i="25"/>
  <c r="AG127" i="25"/>
  <c r="Y128" i="25"/>
  <c r="Z128" i="25"/>
  <c r="AA128" i="25"/>
  <c r="AE128" i="25"/>
  <c r="AF128" i="25"/>
  <c r="AG128" i="25"/>
  <c r="Y129" i="25"/>
  <c r="Z129" i="25"/>
  <c r="AA129" i="25"/>
  <c r="AE129" i="25"/>
  <c r="AF129" i="25"/>
  <c r="AG129" i="25"/>
  <c r="Y130" i="25"/>
  <c r="Z130" i="25"/>
  <c r="AA130" i="25"/>
  <c r="AE130" i="25"/>
  <c r="AF130" i="25"/>
  <c r="AG130" i="25"/>
  <c r="Y131" i="25"/>
  <c r="Z131" i="25"/>
  <c r="AA131" i="25"/>
  <c r="AE131" i="25"/>
  <c r="AF131" i="25"/>
  <c r="AG131" i="25"/>
  <c r="Z132" i="25"/>
  <c r="AA132" i="25"/>
  <c r="AF132" i="25"/>
  <c r="AG132" i="25"/>
  <c r="Z133" i="25"/>
  <c r="AA133" i="25"/>
  <c r="AF133" i="25"/>
  <c r="AG133" i="25"/>
  <c r="Z134" i="25"/>
  <c r="AA134" i="25"/>
  <c r="AF134" i="25"/>
  <c r="AG134" i="25"/>
  <c r="Z135" i="25"/>
  <c r="AA135" i="25"/>
  <c r="AF135" i="25"/>
  <c r="AG135" i="25"/>
  <c r="Z136" i="25"/>
  <c r="AA136" i="25"/>
  <c r="AF136" i="25"/>
  <c r="AG136" i="25"/>
  <c r="Z137" i="25"/>
  <c r="AA137" i="25"/>
  <c r="AF137" i="25"/>
  <c r="AG137" i="25"/>
  <c r="Z138" i="25"/>
  <c r="AA138" i="25"/>
  <c r="AF138" i="25"/>
  <c r="AG138" i="25"/>
  <c r="Z139" i="25"/>
  <c r="AA139" i="25"/>
  <c r="AF139" i="25"/>
  <c r="AG139" i="25"/>
  <c r="Z140" i="25"/>
  <c r="AA140" i="25"/>
  <c r="AF140" i="25"/>
  <c r="AG140" i="25"/>
  <c r="Z141" i="25"/>
  <c r="AA141" i="25"/>
  <c r="AF141" i="25"/>
  <c r="AG141" i="25"/>
  <c r="Z142" i="25"/>
  <c r="AA142" i="25"/>
  <c r="AF142" i="25"/>
  <c r="AG142" i="25"/>
  <c r="Z143" i="25"/>
  <c r="AA143" i="25"/>
  <c r="AF143" i="25"/>
  <c r="AG143" i="25"/>
  <c r="Z144" i="25"/>
  <c r="AA144" i="25"/>
  <c r="AF144" i="25"/>
  <c r="AG144" i="25"/>
  <c r="Z145" i="25"/>
  <c r="AA145" i="25"/>
  <c r="AF145" i="25"/>
  <c r="AG145" i="25"/>
  <c r="Z146" i="25"/>
  <c r="AA146" i="25"/>
  <c r="AF146" i="25"/>
  <c r="AG146" i="25"/>
  <c r="Z147" i="25"/>
  <c r="AA147" i="25"/>
  <c r="AF147" i="25"/>
  <c r="AG147" i="25"/>
  <c r="Z148" i="25"/>
  <c r="AA148" i="25"/>
  <c r="AF148" i="25"/>
  <c r="AG148" i="25"/>
  <c r="Z149" i="25"/>
  <c r="AA149" i="25"/>
  <c r="AF149" i="25"/>
  <c r="AG149" i="25"/>
  <c r="Z150" i="25"/>
  <c r="AA150" i="25"/>
  <c r="AF150" i="25"/>
  <c r="AG150" i="25"/>
  <c r="Z151" i="25"/>
  <c r="AA151" i="25"/>
  <c r="AF151" i="25"/>
  <c r="AG151" i="25"/>
  <c r="Z152" i="25"/>
  <c r="AA152" i="25"/>
  <c r="AF152" i="25"/>
  <c r="AG152" i="25"/>
  <c r="Z153" i="25"/>
  <c r="AA153" i="25"/>
  <c r="AF153" i="25"/>
  <c r="AG153" i="25"/>
  <c r="Z154" i="25"/>
  <c r="AA154" i="25"/>
  <c r="AF154" i="25"/>
  <c r="AG154" i="25"/>
  <c r="Z155" i="25"/>
  <c r="AA155" i="25"/>
  <c r="AF155" i="25"/>
  <c r="AG155" i="25"/>
  <c r="Y156" i="25"/>
  <c r="AE156" i="25"/>
  <c r="Y157" i="25"/>
  <c r="AE157" i="25"/>
  <c r="Y158" i="25"/>
  <c r="AE158" i="25"/>
  <c r="Y159" i="25"/>
  <c r="AE159" i="25"/>
  <c r="Y160" i="25"/>
  <c r="AE160" i="25"/>
  <c r="Y161" i="25"/>
  <c r="AE161" i="25"/>
  <c r="Y162" i="25"/>
  <c r="AE162" i="25"/>
  <c r="Y163" i="25"/>
  <c r="AE163" i="25"/>
  <c r="Y164" i="25"/>
  <c r="AE164" i="25"/>
  <c r="Y165" i="25"/>
  <c r="AE165" i="25"/>
  <c r="Y166" i="25"/>
  <c r="AE166" i="25"/>
  <c r="Y167" i="25"/>
  <c r="AE167" i="25"/>
  <c r="Y168" i="25"/>
  <c r="AE168" i="25"/>
  <c r="Y169" i="25"/>
  <c r="AE169" i="25"/>
  <c r="Y170" i="25"/>
  <c r="AE170" i="25"/>
  <c r="Y171" i="25"/>
  <c r="AE171" i="25"/>
  <c r="Y172" i="25"/>
  <c r="AE172" i="25"/>
  <c r="Y173" i="25"/>
  <c r="AE173" i="25"/>
  <c r="Y174" i="25"/>
  <c r="AE174" i="25"/>
  <c r="Y175" i="25"/>
  <c r="AE175" i="25"/>
  <c r="Y176" i="25"/>
  <c r="AE176" i="25"/>
  <c r="Y177" i="25"/>
  <c r="AE177" i="25"/>
  <c r="Y178" i="25"/>
  <c r="AE178" i="25"/>
  <c r="Y179" i="25"/>
  <c r="AE179" i="25"/>
  <c r="Z180" i="25"/>
  <c r="AA180" i="25"/>
  <c r="AF180" i="25"/>
  <c r="AG180" i="25"/>
  <c r="Z181" i="25"/>
  <c r="AA181" i="25"/>
  <c r="AF181" i="25"/>
  <c r="AG181" i="25"/>
  <c r="Z182" i="25"/>
  <c r="AA182" i="25"/>
  <c r="AF182" i="25"/>
  <c r="AG182" i="25"/>
  <c r="Z183" i="25"/>
  <c r="AA183" i="25"/>
  <c r="AF183" i="25"/>
  <c r="AG183" i="25"/>
  <c r="Z184" i="25"/>
  <c r="AA184" i="25"/>
  <c r="AF184" i="25"/>
  <c r="AG184" i="25"/>
  <c r="Z185" i="25"/>
  <c r="AA185" i="25"/>
  <c r="AF185" i="25"/>
  <c r="AG185" i="25"/>
  <c r="Z186" i="25"/>
  <c r="AA186" i="25"/>
  <c r="AF186" i="25"/>
  <c r="AG186" i="25"/>
  <c r="Z187" i="25"/>
  <c r="AA187" i="25"/>
  <c r="AF187" i="25"/>
  <c r="AG187" i="25"/>
  <c r="Z188" i="25"/>
  <c r="AA188" i="25"/>
  <c r="AF188" i="25"/>
  <c r="AG188" i="25"/>
  <c r="Z189" i="25"/>
  <c r="AA189" i="25"/>
  <c r="AF189" i="25"/>
  <c r="AG189" i="25"/>
  <c r="Z190" i="25"/>
  <c r="AA190" i="25"/>
  <c r="AF190" i="25"/>
  <c r="AG190" i="25"/>
  <c r="Z191" i="25"/>
  <c r="AA191" i="25"/>
  <c r="AF191" i="25"/>
  <c r="AG191" i="25"/>
  <c r="Z192" i="25"/>
  <c r="AA192" i="25"/>
  <c r="AF192" i="25"/>
  <c r="AG192" i="25"/>
  <c r="Z193" i="25"/>
  <c r="AA193" i="25"/>
  <c r="AF193" i="25"/>
  <c r="AG193" i="25"/>
  <c r="Z194" i="25"/>
  <c r="AA194" i="25"/>
  <c r="AF194" i="25"/>
  <c r="AG194" i="25"/>
  <c r="Z195" i="25"/>
  <c r="AA195" i="25"/>
  <c r="AF195" i="25"/>
  <c r="AG195" i="25"/>
  <c r="Z196" i="25"/>
  <c r="AA196" i="25"/>
  <c r="AF196" i="25"/>
  <c r="AG196" i="25"/>
  <c r="Z197" i="25"/>
  <c r="AA197" i="25"/>
  <c r="AF197" i="25"/>
  <c r="AG197" i="25"/>
  <c r="Z198" i="25"/>
  <c r="AA198" i="25"/>
  <c r="AF198" i="25"/>
  <c r="AG198" i="25"/>
  <c r="Z199" i="25"/>
  <c r="AA199" i="25"/>
  <c r="AF199" i="25"/>
  <c r="AG199" i="25"/>
  <c r="Z200" i="25"/>
  <c r="AA200" i="25"/>
  <c r="AF200" i="25"/>
  <c r="AG200" i="25"/>
  <c r="Z201" i="25"/>
  <c r="AA201" i="25"/>
  <c r="AF201" i="25"/>
  <c r="AG201" i="25"/>
  <c r="Z202" i="25"/>
  <c r="AA202" i="25"/>
  <c r="AF202" i="25"/>
  <c r="AG202" i="25"/>
  <c r="Z203" i="25"/>
  <c r="AA203" i="25"/>
  <c r="AF203" i="25"/>
  <c r="AG203" i="25"/>
  <c r="Z204" i="25"/>
  <c r="AF204" i="25"/>
  <c r="Z205" i="25"/>
  <c r="AF205" i="25"/>
  <c r="Z206" i="25"/>
  <c r="AF206" i="25"/>
  <c r="Z207" i="25"/>
  <c r="AF207" i="25"/>
  <c r="Z208" i="25"/>
  <c r="AF208" i="25"/>
  <c r="Z209" i="25"/>
  <c r="AF209" i="25"/>
  <c r="Z210" i="25"/>
  <c r="AF210" i="25"/>
  <c r="Z211" i="25"/>
  <c r="AF211" i="25"/>
  <c r="Z212" i="25"/>
  <c r="AF212" i="25"/>
  <c r="Z213" i="25"/>
  <c r="AF213" i="25"/>
  <c r="Z214" i="25"/>
  <c r="AF214" i="25"/>
  <c r="Z215" i="25"/>
  <c r="AF215" i="25"/>
  <c r="Y216" i="25"/>
  <c r="AE216" i="25"/>
  <c r="Y217" i="25"/>
  <c r="AE217" i="25"/>
  <c r="Y218" i="25"/>
  <c r="AE218" i="25"/>
  <c r="Y219" i="25"/>
  <c r="AE219" i="25"/>
  <c r="Y220" i="25"/>
  <c r="AE220" i="25"/>
  <c r="Y221" i="25"/>
  <c r="AE221" i="25"/>
  <c r="Y222" i="25"/>
  <c r="AE222" i="25"/>
  <c r="Y223" i="25"/>
  <c r="AE223" i="25"/>
  <c r="Y224" i="25"/>
  <c r="AE224" i="25"/>
  <c r="Y225" i="25"/>
  <c r="AE225" i="25"/>
  <c r="Y226" i="25"/>
  <c r="AE226" i="25"/>
  <c r="Y227" i="25"/>
  <c r="AE227" i="25"/>
  <c r="Z228" i="25"/>
  <c r="AF228" i="25"/>
  <c r="Z229" i="25"/>
  <c r="AF229" i="25"/>
  <c r="Z230" i="25"/>
  <c r="AF230" i="25"/>
  <c r="Z231" i="25"/>
  <c r="AF231" i="25"/>
  <c r="Z232" i="25"/>
  <c r="AF232" i="25"/>
  <c r="Z233" i="25"/>
  <c r="AF233" i="25"/>
  <c r="Z234" i="25"/>
  <c r="AF234" i="25"/>
  <c r="Z235" i="25"/>
  <c r="AF235" i="25"/>
  <c r="Z236" i="25"/>
  <c r="AF236" i="25"/>
  <c r="Z237" i="25"/>
  <c r="AF237" i="25"/>
  <c r="Z238" i="25"/>
  <c r="AF238" i="25"/>
  <c r="Z239" i="25"/>
  <c r="AF239" i="25"/>
  <c r="Z240" i="25"/>
  <c r="AA240" i="25"/>
  <c r="AF240" i="25"/>
  <c r="AG240" i="25"/>
  <c r="Z241" i="25"/>
  <c r="AA241" i="25"/>
  <c r="AF241" i="25"/>
  <c r="AG241" i="25"/>
  <c r="Z242" i="25"/>
  <c r="AA242" i="25"/>
  <c r="AF242" i="25"/>
  <c r="AG242" i="25"/>
  <c r="Z243" i="25"/>
  <c r="AA243" i="25"/>
  <c r="AF243" i="25"/>
  <c r="AG243" i="25"/>
  <c r="Z244" i="25"/>
  <c r="AA244" i="25"/>
  <c r="AF244" i="25"/>
  <c r="AG244" i="25"/>
  <c r="Z245" i="25"/>
  <c r="AA245" i="25"/>
  <c r="AF245" i="25"/>
  <c r="AG245" i="25"/>
  <c r="Z246" i="25"/>
  <c r="AA246" i="25"/>
  <c r="AF246" i="25"/>
  <c r="AG246" i="25"/>
  <c r="Z247" i="25"/>
  <c r="AA247" i="25"/>
  <c r="AF247" i="25"/>
  <c r="AG247" i="25"/>
  <c r="Z248" i="25"/>
  <c r="AA248" i="25"/>
  <c r="AF248" i="25"/>
  <c r="AG248" i="25"/>
  <c r="Z249" i="25"/>
  <c r="AA249" i="25"/>
  <c r="AF249" i="25"/>
  <c r="AG249" i="25"/>
  <c r="Z250" i="25"/>
  <c r="AA250" i="25"/>
  <c r="AF250" i="25"/>
  <c r="AG250" i="25"/>
  <c r="Z251" i="25"/>
  <c r="AA251" i="25"/>
  <c r="AF251" i="25"/>
  <c r="AG251" i="25"/>
  <c r="Z252" i="25"/>
  <c r="AA252" i="25"/>
  <c r="AF252" i="25"/>
  <c r="AG252" i="25"/>
  <c r="Z253" i="25"/>
  <c r="AA253" i="25"/>
  <c r="AF253" i="25"/>
  <c r="AG253" i="25"/>
  <c r="Z254" i="25"/>
  <c r="AA254" i="25"/>
  <c r="AF254" i="25"/>
  <c r="AG254" i="25"/>
  <c r="Z255" i="25"/>
  <c r="AA255" i="25"/>
  <c r="AF255" i="25"/>
  <c r="AG255" i="25"/>
  <c r="Z256" i="25"/>
  <c r="AA256" i="25"/>
  <c r="AF256" i="25"/>
  <c r="AG256" i="25"/>
  <c r="Z257" i="25"/>
  <c r="AA257" i="25"/>
  <c r="AF257" i="25"/>
  <c r="AG257" i="25"/>
  <c r="Z258" i="25"/>
  <c r="AA258" i="25"/>
  <c r="AF258" i="25"/>
  <c r="AG258" i="25"/>
  <c r="Z259" i="25"/>
  <c r="AA259" i="25"/>
  <c r="AF259" i="25"/>
  <c r="AG259" i="25"/>
  <c r="Z260" i="25"/>
  <c r="AA260" i="25"/>
  <c r="AF260" i="25"/>
  <c r="AG260" i="25"/>
  <c r="Z261" i="25"/>
  <c r="AA261" i="25"/>
  <c r="AF261" i="25"/>
  <c r="AG261" i="25"/>
  <c r="Z262" i="25"/>
  <c r="AA262" i="25"/>
  <c r="AF262" i="25"/>
  <c r="AG262" i="25"/>
  <c r="Z263" i="25"/>
  <c r="AA263" i="25"/>
  <c r="AF263" i="25"/>
  <c r="AG263" i="25"/>
  <c r="Y264" i="25"/>
  <c r="AE264" i="25"/>
  <c r="Y265" i="25"/>
  <c r="AE265" i="25"/>
  <c r="Y266" i="25"/>
  <c r="AE266" i="25"/>
  <c r="Y267" i="25"/>
  <c r="AE267" i="25"/>
  <c r="Y268" i="25"/>
  <c r="AE268" i="25"/>
  <c r="Y269" i="25"/>
  <c r="AE269" i="25"/>
  <c r="Y270" i="25"/>
  <c r="AE270" i="25"/>
  <c r="Y271" i="25"/>
  <c r="AE271" i="25"/>
  <c r="Y272" i="25"/>
  <c r="AE272" i="25"/>
  <c r="Y273" i="25"/>
  <c r="AE273" i="25"/>
  <c r="Y274" i="25"/>
  <c r="AE274" i="25"/>
  <c r="Y275" i="25"/>
  <c r="AE275" i="25"/>
  <c r="Y276" i="25"/>
  <c r="AE276" i="25"/>
  <c r="Y277" i="25"/>
  <c r="AE277" i="25"/>
  <c r="Y278" i="25"/>
  <c r="AE278" i="25"/>
  <c r="Y279" i="25"/>
  <c r="AE279" i="25"/>
  <c r="Y280" i="25"/>
  <c r="AE280" i="25"/>
  <c r="Y281" i="25"/>
  <c r="AE281" i="25"/>
  <c r="Y282" i="25"/>
  <c r="AE282" i="25"/>
  <c r="Y283" i="25"/>
  <c r="AE283" i="25"/>
  <c r="Y284" i="25"/>
  <c r="AE284" i="25"/>
  <c r="Y285" i="25"/>
  <c r="AE285" i="25"/>
  <c r="Y286" i="25"/>
  <c r="AE286" i="25"/>
  <c r="Y287" i="25"/>
  <c r="AE287" i="25"/>
  <c r="Z288" i="25"/>
  <c r="AA288" i="25"/>
  <c r="AF288" i="25"/>
  <c r="AG288" i="25"/>
  <c r="Z289" i="25"/>
  <c r="AA289" i="25"/>
  <c r="AF289" i="25"/>
  <c r="AG289" i="25"/>
  <c r="Z290" i="25"/>
  <c r="AA290" i="25"/>
  <c r="AF290" i="25"/>
  <c r="AG290" i="25"/>
  <c r="Z291" i="25"/>
  <c r="AA291" i="25"/>
  <c r="AF291" i="25"/>
  <c r="AG291" i="25"/>
  <c r="Z292" i="25"/>
  <c r="AA292" i="25"/>
  <c r="AF292" i="25"/>
  <c r="AG292" i="25"/>
  <c r="Z293" i="25"/>
  <c r="AA293" i="25"/>
  <c r="AF293" i="25"/>
  <c r="AG293" i="25"/>
  <c r="Z294" i="25"/>
  <c r="AA294" i="25"/>
  <c r="AF294" i="25"/>
  <c r="AG294" i="25"/>
  <c r="Z295" i="25"/>
  <c r="AA295" i="25"/>
  <c r="AF295" i="25"/>
  <c r="AG295" i="25"/>
  <c r="Z296" i="25"/>
  <c r="AA296" i="25"/>
  <c r="AF296" i="25"/>
  <c r="AG296" i="25"/>
  <c r="Z297" i="25"/>
  <c r="AA297" i="25"/>
  <c r="AF297" i="25"/>
  <c r="AG297" i="25"/>
  <c r="Z298" i="25"/>
  <c r="AA298" i="25"/>
  <c r="AF298" i="25"/>
  <c r="AG298" i="25"/>
  <c r="Z299" i="25"/>
  <c r="AA299" i="25"/>
  <c r="AF299" i="25"/>
  <c r="AG299" i="25"/>
  <c r="Z300" i="25"/>
  <c r="AA300" i="25"/>
  <c r="AF300" i="25"/>
  <c r="AG300" i="25"/>
  <c r="Z301" i="25"/>
  <c r="AA301" i="25"/>
  <c r="AF301" i="25"/>
  <c r="AG301" i="25"/>
  <c r="Z302" i="25"/>
  <c r="AA302" i="25"/>
  <c r="AF302" i="25"/>
  <c r="AG302" i="25"/>
  <c r="Z303" i="25"/>
  <c r="AA303" i="25"/>
  <c r="AF303" i="25"/>
  <c r="AG303" i="25"/>
  <c r="Z304" i="25"/>
  <c r="AA304" i="25"/>
  <c r="AF304" i="25"/>
  <c r="AG304" i="25"/>
  <c r="Z305" i="25"/>
  <c r="AA305" i="25"/>
  <c r="AF305" i="25"/>
  <c r="AG305" i="25"/>
  <c r="Z306" i="25"/>
  <c r="AA306" i="25"/>
  <c r="AF306" i="25"/>
  <c r="AG306" i="25"/>
  <c r="Z307" i="25"/>
  <c r="AA307" i="25"/>
  <c r="AF307" i="25"/>
  <c r="AG307" i="25"/>
  <c r="Z308" i="25"/>
  <c r="AA308" i="25"/>
  <c r="AF308" i="25"/>
  <c r="AG308" i="25"/>
  <c r="Z309" i="25"/>
  <c r="AA309" i="25"/>
  <c r="AF309" i="25"/>
  <c r="AG309" i="25"/>
  <c r="Z310" i="25"/>
  <c r="AA310" i="25"/>
  <c r="AF310" i="25"/>
  <c r="AG310" i="25"/>
  <c r="Z311" i="25"/>
  <c r="AA311" i="25"/>
  <c r="AF311" i="25"/>
  <c r="AG311" i="25"/>
  <c r="Z312" i="25"/>
  <c r="AA312" i="25"/>
  <c r="AF312" i="25"/>
  <c r="AG312" i="25"/>
  <c r="Z313" i="25"/>
  <c r="AA313" i="25"/>
  <c r="AF313" i="25"/>
  <c r="AG313" i="25"/>
  <c r="Z314" i="25"/>
  <c r="AA314" i="25"/>
  <c r="AF314" i="25"/>
  <c r="AG314" i="25"/>
  <c r="Z315" i="25"/>
  <c r="AA315" i="25"/>
  <c r="AF315" i="25"/>
  <c r="AG315" i="25"/>
  <c r="Z316" i="25"/>
  <c r="AA316" i="25"/>
  <c r="AF316" i="25"/>
  <c r="AG316" i="25"/>
  <c r="Z317" i="25"/>
  <c r="AA317" i="25"/>
  <c r="AF317" i="25"/>
  <c r="AG317" i="25"/>
  <c r="Z318" i="25"/>
  <c r="AA318" i="25"/>
  <c r="AF318" i="25"/>
  <c r="AG318" i="25"/>
  <c r="Z319" i="25"/>
  <c r="AA319" i="25"/>
  <c r="AF319" i="25"/>
  <c r="AG319" i="25"/>
  <c r="Z320" i="25"/>
  <c r="AA320" i="25"/>
  <c r="AF320" i="25"/>
  <c r="AG320" i="25"/>
  <c r="Z321" i="25"/>
  <c r="AA321" i="25"/>
  <c r="AF321" i="25"/>
  <c r="AG321" i="25"/>
  <c r="Z322" i="25"/>
  <c r="AA322" i="25"/>
  <c r="AF322" i="25"/>
  <c r="AG322" i="25"/>
  <c r="Z323" i="25"/>
  <c r="AA323" i="25"/>
  <c r="AF323" i="25"/>
  <c r="AG323" i="25"/>
  <c r="Z324" i="25"/>
  <c r="AA324" i="25"/>
  <c r="AF324" i="25"/>
  <c r="AG324" i="25"/>
  <c r="Z325" i="25"/>
  <c r="AA325" i="25"/>
  <c r="AF325" i="25"/>
  <c r="AG325" i="25"/>
  <c r="Z326" i="25"/>
  <c r="AA326" i="25"/>
  <c r="AF326" i="25"/>
  <c r="AG326" i="25"/>
  <c r="Z327" i="25"/>
  <c r="AA327" i="25"/>
  <c r="AF327" i="25"/>
  <c r="AG327" i="25"/>
  <c r="Z328" i="25"/>
  <c r="AA328" i="25"/>
  <c r="AF328" i="25"/>
  <c r="AG328" i="25"/>
  <c r="Z329" i="25"/>
  <c r="AA329" i="25"/>
  <c r="AF329" i="25"/>
  <c r="AG329" i="25"/>
  <c r="Z330" i="25"/>
  <c r="AA330" i="25"/>
  <c r="AF330" i="25"/>
  <c r="AG330" i="25"/>
  <c r="Z331" i="25"/>
  <c r="AA331" i="25"/>
  <c r="AF331" i="25"/>
  <c r="AG331" i="25"/>
  <c r="Z332" i="25"/>
  <c r="AA332" i="25"/>
  <c r="AF332" i="25"/>
  <c r="AG332" i="25"/>
  <c r="Z333" i="25"/>
  <c r="AA333" i="25"/>
  <c r="AF333" i="25"/>
  <c r="AG333" i="25"/>
  <c r="Z334" i="25"/>
  <c r="AA334" i="25"/>
  <c r="AF334" i="25"/>
  <c r="AG334" i="25"/>
  <c r="Z335" i="25"/>
  <c r="AA335" i="25"/>
  <c r="AF335" i="25"/>
  <c r="AG335" i="25"/>
  <c r="Y336" i="25"/>
  <c r="AE336" i="25"/>
  <c r="Y337" i="25"/>
  <c r="AE337" i="25"/>
  <c r="Y338" i="25"/>
  <c r="AE338" i="25"/>
  <c r="Y339" i="25"/>
  <c r="AE339" i="25"/>
  <c r="Y340" i="25"/>
  <c r="AE340" i="25"/>
  <c r="Y341" i="25"/>
  <c r="AE341" i="25"/>
  <c r="Y342" i="25"/>
  <c r="AE342" i="25"/>
  <c r="Y343" i="25"/>
  <c r="AE343" i="25"/>
  <c r="Y344" i="25"/>
  <c r="AE344" i="25"/>
  <c r="Y345" i="25"/>
  <c r="AE345" i="25"/>
  <c r="Y346" i="25"/>
  <c r="AE346" i="25"/>
  <c r="Y347" i="25"/>
  <c r="AE347" i="25"/>
  <c r="Y348" i="25"/>
  <c r="AE348" i="25"/>
  <c r="Y349" i="25"/>
  <c r="AE349" i="25"/>
  <c r="Y350" i="25"/>
  <c r="AE350" i="25"/>
  <c r="Y351" i="25"/>
  <c r="AE351" i="25"/>
  <c r="Y352" i="25"/>
  <c r="AE352" i="25"/>
  <c r="Y353" i="25"/>
  <c r="AE353" i="25"/>
  <c r="Y354" i="25"/>
  <c r="AE354" i="25"/>
  <c r="Y355" i="25"/>
  <c r="AE355" i="25"/>
  <c r="Y356" i="25"/>
  <c r="AE356" i="25"/>
  <c r="Y357" i="25"/>
  <c r="AE357" i="25"/>
  <c r="Y358" i="25"/>
  <c r="AE358" i="25"/>
  <c r="Y359" i="25"/>
  <c r="AE359" i="25"/>
  <c r="Z360" i="25"/>
  <c r="AA360" i="25"/>
  <c r="AF360" i="25"/>
  <c r="AG360" i="25"/>
  <c r="Z361" i="25"/>
  <c r="AA361" i="25"/>
  <c r="AF361" i="25"/>
  <c r="AG361" i="25"/>
  <c r="Z362" i="25"/>
  <c r="AA362" i="25"/>
  <c r="AF362" i="25"/>
  <c r="AG362" i="25"/>
  <c r="Z363" i="25"/>
  <c r="AA363" i="25"/>
  <c r="AF363" i="25"/>
  <c r="AG363" i="25"/>
  <c r="Z364" i="25"/>
  <c r="AA364" i="25"/>
  <c r="AF364" i="25"/>
  <c r="AG364" i="25"/>
  <c r="Z365" i="25"/>
  <c r="AA365" i="25"/>
  <c r="AF365" i="25"/>
  <c r="AG365" i="25"/>
  <c r="Z366" i="25"/>
  <c r="AA366" i="25"/>
  <c r="AF366" i="25"/>
  <c r="AG366" i="25"/>
  <c r="Z367" i="25"/>
  <c r="AA367" i="25"/>
  <c r="AF367" i="25"/>
  <c r="AG367" i="25"/>
  <c r="Z368" i="25"/>
  <c r="AA368" i="25"/>
  <c r="AF368" i="25"/>
  <c r="AG368" i="25"/>
  <c r="Z369" i="25"/>
  <c r="AA369" i="25"/>
  <c r="AF369" i="25"/>
  <c r="AG369" i="25"/>
  <c r="Z370" i="25"/>
  <c r="AA370" i="25"/>
  <c r="AF370" i="25"/>
  <c r="AG370" i="25"/>
  <c r="Z371" i="25"/>
  <c r="AA371" i="25"/>
  <c r="AF371" i="25"/>
  <c r="AG371" i="25"/>
  <c r="Z372" i="25"/>
  <c r="AA372" i="25"/>
  <c r="AF372" i="25"/>
  <c r="AG372" i="25"/>
  <c r="Z373" i="25"/>
  <c r="AA373" i="25"/>
  <c r="AF373" i="25"/>
  <c r="AG373" i="25"/>
  <c r="Z374" i="25"/>
  <c r="AA374" i="25"/>
  <c r="AF374" i="25"/>
  <c r="AG374" i="25"/>
  <c r="Z375" i="25"/>
  <c r="AA375" i="25"/>
  <c r="AF375" i="25"/>
  <c r="AG375" i="25"/>
  <c r="Z376" i="25"/>
  <c r="AA376" i="25"/>
  <c r="AF376" i="25"/>
  <c r="AG376" i="25"/>
  <c r="Z377" i="25"/>
  <c r="AA377" i="25"/>
  <c r="AF377" i="25"/>
  <c r="AG377" i="25"/>
  <c r="Z378" i="25"/>
  <c r="AA378" i="25"/>
  <c r="AF378" i="25"/>
  <c r="AG378" i="25"/>
  <c r="Z379" i="25"/>
  <c r="AA379" i="25"/>
  <c r="AF379" i="25"/>
  <c r="AG379" i="25"/>
  <c r="Z380" i="25"/>
  <c r="AA380" i="25"/>
  <c r="AF380" i="25"/>
  <c r="AG380" i="25"/>
  <c r="Z381" i="25"/>
  <c r="AA381" i="25"/>
  <c r="AF381" i="25"/>
  <c r="AG381" i="25"/>
  <c r="Z382" i="25"/>
  <c r="AA382" i="25"/>
  <c r="AF382" i="25"/>
  <c r="AG382" i="25"/>
  <c r="Z383" i="25"/>
  <c r="AA383" i="25"/>
  <c r="AF383" i="25"/>
  <c r="AG383" i="25"/>
  <c r="Z384" i="25"/>
  <c r="AA384" i="25"/>
  <c r="AF384" i="25"/>
  <c r="AG384" i="25"/>
  <c r="Z385" i="25"/>
  <c r="AA385" i="25"/>
  <c r="AF385" i="25"/>
  <c r="AG385" i="25"/>
  <c r="Z386" i="25"/>
  <c r="AA386" i="25"/>
  <c r="AF386" i="25"/>
  <c r="AG386" i="25"/>
  <c r="Z387" i="25"/>
  <c r="AA387" i="25"/>
  <c r="AF387" i="25"/>
  <c r="AG387" i="25"/>
  <c r="Z388" i="25"/>
  <c r="AA388" i="25"/>
  <c r="AF388" i="25"/>
  <c r="AG388" i="25"/>
  <c r="Z389" i="25"/>
  <c r="AA389" i="25"/>
  <c r="AF389" i="25"/>
  <c r="AG389" i="25"/>
  <c r="Z390" i="25"/>
  <c r="AA390" i="25"/>
  <c r="AF390" i="25"/>
  <c r="AG390" i="25"/>
  <c r="Z391" i="25"/>
  <c r="AA391" i="25"/>
  <c r="AF391" i="25"/>
  <c r="AG391" i="25"/>
  <c r="Z392" i="25"/>
  <c r="AA392" i="25"/>
  <c r="AF392" i="25"/>
  <c r="AG392" i="25"/>
  <c r="Z393" i="25"/>
  <c r="AA393" i="25"/>
  <c r="AF393" i="25"/>
  <c r="AG393" i="25"/>
  <c r="Z394" i="25"/>
  <c r="AA394" i="25"/>
  <c r="AF394" i="25"/>
  <c r="AG394" i="25"/>
  <c r="Z395" i="25"/>
  <c r="AA395" i="25"/>
  <c r="AF395" i="25"/>
  <c r="AG395" i="25"/>
  <c r="Z396" i="25"/>
  <c r="AA396" i="25"/>
  <c r="AF396" i="25"/>
  <c r="AG396" i="25"/>
  <c r="Z397" i="25"/>
  <c r="AA397" i="25"/>
  <c r="AF397" i="25"/>
  <c r="AG397" i="25"/>
  <c r="Z398" i="25"/>
  <c r="AA398" i="25"/>
  <c r="AF398" i="25"/>
  <c r="AG398" i="25"/>
  <c r="Z399" i="25"/>
  <c r="AA399" i="25"/>
  <c r="AF399" i="25"/>
  <c r="AG399" i="25"/>
  <c r="Z400" i="25"/>
  <c r="AA400" i="25"/>
  <c r="AF400" i="25"/>
  <c r="AG400" i="25"/>
  <c r="Z401" i="25"/>
  <c r="AA401" i="25"/>
  <c r="AF401" i="25"/>
  <c r="AG401" i="25"/>
  <c r="Z402" i="25"/>
  <c r="AA402" i="25"/>
  <c r="AF402" i="25"/>
  <c r="AG402" i="25"/>
  <c r="Z403" i="25"/>
  <c r="AA403" i="25"/>
  <c r="AF403" i="25"/>
  <c r="AG403" i="25"/>
  <c r="Z404" i="25"/>
  <c r="AA404" i="25"/>
  <c r="AF404" i="25"/>
  <c r="AG404" i="25"/>
  <c r="Z405" i="25"/>
  <c r="AA405" i="25"/>
  <c r="AF405" i="25"/>
  <c r="AG405" i="25"/>
  <c r="Z406" i="25"/>
  <c r="AA406" i="25"/>
  <c r="AF406" i="25"/>
  <c r="AG406" i="25"/>
  <c r="Z407" i="25"/>
  <c r="AA407" i="25"/>
  <c r="AF407" i="25"/>
  <c r="AG407" i="25"/>
  <c r="Y408" i="25"/>
  <c r="AE408" i="25"/>
  <c r="Y409" i="25"/>
  <c r="AE409" i="25"/>
  <c r="Y410" i="25"/>
  <c r="AE410" i="25"/>
  <c r="Y411" i="25"/>
  <c r="AE411" i="25"/>
  <c r="Y412" i="25"/>
  <c r="AE412" i="25"/>
  <c r="Y413" i="25"/>
  <c r="AE413" i="25"/>
  <c r="Y414" i="25"/>
  <c r="AE414" i="25"/>
  <c r="Y415" i="25"/>
  <c r="AE415" i="25"/>
  <c r="Y416" i="25"/>
  <c r="AE416" i="25"/>
  <c r="Y417" i="25"/>
  <c r="AE417" i="25"/>
  <c r="Y418" i="25"/>
  <c r="AE418" i="25"/>
  <c r="Y419" i="25"/>
  <c r="AE419" i="25"/>
  <c r="Z420" i="25"/>
  <c r="AA420" i="25"/>
  <c r="AF420" i="25"/>
  <c r="AG420" i="25"/>
  <c r="Z421" i="25"/>
  <c r="AA421" i="25"/>
  <c r="AF421" i="25"/>
  <c r="AG421" i="25"/>
  <c r="Z422" i="25"/>
  <c r="AA422" i="25"/>
  <c r="AF422" i="25"/>
  <c r="AG422" i="25"/>
  <c r="Z423" i="25"/>
  <c r="AA423" i="25"/>
  <c r="AF423" i="25"/>
  <c r="AG423" i="25"/>
  <c r="Z424" i="25"/>
  <c r="AA424" i="25"/>
  <c r="AF424" i="25"/>
  <c r="AG424" i="25"/>
  <c r="Z425" i="25"/>
  <c r="AA425" i="25"/>
  <c r="AF425" i="25"/>
  <c r="AG425" i="25"/>
  <c r="Z426" i="25"/>
  <c r="AA426" i="25"/>
  <c r="AF426" i="25"/>
  <c r="AG426" i="25"/>
  <c r="Z427" i="25"/>
  <c r="AA427" i="25"/>
  <c r="AF427" i="25"/>
  <c r="AG427" i="25"/>
  <c r="Z428" i="25"/>
  <c r="AA428" i="25"/>
  <c r="AF428" i="25"/>
  <c r="AG428" i="25"/>
  <c r="Z429" i="25"/>
  <c r="AA429" i="25"/>
  <c r="AF429" i="25"/>
  <c r="AG429" i="25"/>
  <c r="Z430" i="25"/>
  <c r="AA430" i="25"/>
  <c r="AF430" i="25"/>
  <c r="AG430" i="25"/>
  <c r="Z431" i="25"/>
  <c r="AA431" i="25"/>
  <c r="AF431" i="25"/>
  <c r="AG431" i="25"/>
  <c r="Z432" i="25"/>
  <c r="AA432" i="25"/>
  <c r="AF432" i="25"/>
  <c r="AG432" i="25"/>
  <c r="Z433" i="25"/>
  <c r="AA433" i="25"/>
  <c r="AF433" i="25"/>
  <c r="AG433" i="25"/>
  <c r="Z434" i="25"/>
  <c r="AA434" i="25"/>
  <c r="AF434" i="25"/>
  <c r="AG434" i="25"/>
  <c r="Y435" i="25"/>
  <c r="AE435" i="25"/>
  <c r="Y436" i="25"/>
  <c r="AE436" i="25"/>
  <c r="Y437" i="25"/>
  <c r="AE437" i="25"/>
  <c r="Z438" i="25"/>
  <c r="AA438" i="25"/>
  <c r="AF438" i="25"/>
  <c r="AG438" i="25"/>
  <c r="Z439" i="25"/>
  <c r="AA439" i="25"/>
  <c r="AF439" i="25"/>
  <c r="AG439" i="25"/>
  <c r="Z440" i="25"/>
  <c r="AA440" i="25"/>
  <c r="AF440" i="25"/>
  <c r="AG440" i="25"/>
  <c r="Z441" i="25"/>
  <c r="AA441" i="25"/>
  <c r="AF441" i="25"/>
  <c r="AG441" i="25"/>
  <c r="Z442" i="25"/>
  <c r="AA442" i="25"/>
  <c r="AF442" i="25"/>
  <c r="AG442" i="25"/>
  <c r="Z443" i="25"/>
  <c r="AA443" i="25"/>
  <c r="AF443" i="25"/>
  <c r="AG443" i="25"/>
  <c r="Z444" i="25"/>
  <c r="AA444" i="25"/>
  <c r="AF444" i="25"/>
  <c r="AG444" i="25"/>
  <c r="Y445" i="25"/>
  <c r="AE445" i="25"/>
  <c r="Y446" i="25"/>
  <c r="AE446" i="25"/>
  <c r="Y447" i="25"/>
  <c r="AE447" i="25"/>
  <c r="Y448" i="25"/>
  <c r="AE448" i="25"/>
  <c r="Z449" i="25"/>
  <c r="AA449" i="25"/>
  <c r="AF449" i="25"/>
  <c r="AG449" i="25"/>
  <c r="Z450" i="25"/>
  <c r="AA450" i="25"/>
  <c r="AF450" i="25"/>
  <c r="AG450" i="25"/>
  <c r="Z451" i="25"/>
  <c r="AA451" i="25"/>
  <c r="AF451" i="25"/>
  <c r="AG451" i="25"/>
  <c r="Z452" i="25"/>
  <c r="AA452" i="25"/>
  <c r="AF452" i="25"/>
  <c r="AG452" i="25"/>
  <c r="Z453" i="25"/>
  <c r="AA453" i="25"/>
  <c r="AF453" i="25"/>
  <c r="AG453" i="25"/>
  <c r="Z454" i="25"/>
  <c r="AA454" i="25"/>
  <c r="AF454" i="25"/>
  <c r="AG454" i="25"/>
  <c r="Z455" i="25"/>
  <c r="AA455" i="25"/>
  <c r="AF455" i="25"/>
  <c r="AG455" i="25"/>
  <c r="Z456" i="25"/>
  <c r="AA456" i="25"/>
  <c r="AF456" i="25"/>
  <c r="AG456" i="25"/>
  <c r="Z457" i="25"/>
  <c r="AA457" i="25"/>
  <c r="AF457" i="25"/>
  <c r="AG457" i="25"/>
  <c r="Z458" i="25"/>
  <c r="AA458" i="25"/>
  <c r="AF458" i="25"/>
  <c r="AG458" i="25"/>
  <c r="Z459" i="25"/>
  <c r="AA459" i="25"/>
  <c r="AF459" i="25"/>
  <c r="AG459" i="25"/>
  <c r="Z460" i="25"/>
  <c r="AA460" i="25"/>
  <c r="AF460" i="25"/>
  <c r="AG460" i="25"/>
  <c r="Z461" i="25"/>
  <c r="AA461" i="25"/>
  <c r="AF461" i="25"/>
  <c r="AG461" i="25"/>
  <c r="Z462" i="25"/>
  <c r="AA462" i="25"/>
  <c r="AF462" i="25"/>
  <c r="AG462" i="25"/>
  <c r="Z463" i="25"/>
  <c r="AA463" i="25"/>
  <c r="AF463" i="25"/>
  <c r="AG463" i="25"/>
  <c r="Z464" i="25"/>
  <c r="AA464" i="25"/>
  <c r="AF464" i="25"/>
  <c r="AG464" i="25"/>
  <c r="Y465" i="25"/>
  <c r="AE465" i="25"/>
  <c r="Y466" i="25"/>
  <c r="AE466" i="25"/>
  <c r="Y467" i="25"/>
  <c r="AE467" i="25"/>
  <c r="Y468" i="25"/>
  <c r="AE468" i="25"/>
  <c r="Y469" i="25"/>
  <c r="AE469" i="25"/>
  <c r="Y470" i="25"/>
  <c r="AE470" i="25"/>
  <c r="Y471" i="25"/>
  <c r="AE471" i="25"/>
  <c r="Y472" i="25"/>
  <c r="AE472" i="25"/>
  <c r="Y473" i="25"/>
  <c r="AE473" i="25"/>
  <c r="Y474" i="25"/>
  <c r="AE474" i="25"/>
  <c r="Y475" i="25"/>
  <c r="AE475" i="25"/>
  <c r="Y476" i="25"/>
  <c r="AE476" i="25"/>
  <c r="Z477" i="25"/>
  <c r="AA477" i="25"/>
  <c r="AF477" i="25"/>
  <c r="AG477" i="25"/>
  <c r="Z478" i="25"/>
  <c r="AA478" i="25"/>
  <c r="AF478" i="25"/>
  <c r="AG478" i="25"/>
  <c r="Z479" i="25"/>
  <c r="AA479" i="25"/>
  <c r="AF479" i="25"/>
  <c r="AG479" i="25"/>
  <c r="Z480" i="25"/>
  <c r="AA480" i="25"/>
  <c r="AF480" i="25"/>
  <c r="AG480" i="25"/>
  <c r="Z481" i="25"/>
  <c r="AA481" i="25"/>
  <c r="AF481" i="25"/>
  <c r="AG481" i="25"/>
  <c r="Z482" i="25"/>
  <c r="AA482" i="25"/>
  <c r="AF482" i="25"/>
  <c r="AG482" i="25"/>
  <c r="Z483" i="25"/>
  <c r="AA483" i="25"/>
  <c r="AF483" i="25"/>
  <c r="AG483" i="25"/>
  <c r="Z484" i="25"/>
  <c r="AA484" i="25"/>
  <c r="AF484" i="25"/>
  <c r="AG484" i="25"/>
  <c r="Z485" i="25"/>
  <c r="AA485" i="25"/>
  <c r="AF485" i="25"/>
  <c r="AG485" i="25"/>
  <c r="Z486" i="25"/>
  <c r="AA486" i="25"/>
  <c r="AF486" i="25"/>
  <c r="AG486" i="25"/>
  <c r="Z487" i="25"/>
  <c r="AA487" i="25"/>
  <c r="AF487" i="25"/>
  <c r="AG487" i="25"/>
  <c r="Z488" i="25"/>
  <c r="AA488" i="25"/>
  <c r="AF488" i="25"/>
  <c r="AG488" i="25"/>
  <c r="Z489" i="25"/>
  <c r="AA489" i="25"/>
  <c r="AF489" i="25"/>
  <c r="AG489" i="25"/>
  <c r="Z490" i="25"/>
  <c r="AA490" i="25"/>
  <c r="AF490" i="25"/>
  <c r="AG490" i="25"/>
  <c r="Z491" i="25"/>
  <c r="AA491" i="25"/>
  <c r="AF491" i="25"/>
  <c r="AG491" i="25"/>
  <c r="Z492" i="25"/>
  <c r="AA492" i="25"/>
  <c r="AF492" i="25"/>
  <c r="AG492" i="25"/>
  <c r="Z493" i="25"/>
  <c r="AA493" i="25"/>
  <c r="AF493" i="25"/>
  <c r="AG493" i="25"/>
  <c r="Z494" i="25"/>
  <c r="AA494" i="25"/>
  <c r="AF494" i="25"/>
  <c r="AG494" i="25"/>
  <c r="Z495" i="25"/>
  <c r="AA495" i="25"/>
  <c r="AF495" i="25"/>
  <c r="AG495" i="25"/>
  <c r="Z496" i="25"/>
  <c r="AA496" i="25"/>
  <c r="AF496" i="25"/>
  <c r="AG496" i="25"/>
  <c r="Z497" i="25"/>
  <c r="AA497" i="25"/>
  <c r="AF497" i="25"/>
  <c r="AG497" i="25"/>
  <c r="Z498" i="25"/>
  <c r="AA498" i="25"/>
  <c r="AF498" i="25"/>
  <c r="AG498" i="25"/>
  <c r="Z499" i="25"/>
  <c r="AA499" i="25"/>
  <c r="AF499" i="25"/>
  <c r="AG499" i="25"/>
  <c r="Z500" i="25"/>
  <c r="AA500" i="25"/>
  <c r="AF500" i="25"/>
  <c r="AG500" i="25"/>
  <c r="Z501" i="25"/>
  <c r="AA501" i="25"/>
  <c r="AF501" i="25"/>
  <c r="AG501" i="25"/>
  <c r="Z502" i="25"/>
  <c r="AA502" i="25"/>
  <c r="AF502" i="25"/>
  <c r="AG502" i="25"/>
  <c r="Z503" i="25"/>
  <c r="AA503" i="25"/>
  <c r="AF503" i="25"/>
  <c r="AG503" i="25"/>
  <c r="Z504" i="25"/>
  <c r="AA504" i="25"/>
  <c r="AF504" i="25"/>
  <c r="AG504" i="25"/>
  <c r="Z505" i="25"/>
  <c r="AA505" i="25"/>
  <c r="AF505" i="25"/>
  <c r="AG505" i="25"/>
  <c r="Z506" i="25"/>
  <c r="AA506" i="25"/>
  <c r="AF506" i="25"/>
  <c r="AG506" i="25"/>
  <c r="Z507" i="25"/>
  <c r="AA507" i="25"/>
  <c r="AF507" i="25"/>
  <c r="AG507" i="25"/>
  <c r="Z508" i="25"/>
  <c r="AA508" i="25"/>
  <c r="AF508" i="25"/>
  <c r="AG508" i="25"/>
  <c r="Z509" i="25"/>
  <c r="AA509" i="25"/>
  <c r="AF509" i="25"/>
  <c r="AG509" i="25"/>
  <c r="Z510" i="25"/>
  <c r="AA510" i="25"/>
  <c r="AF510" i="25"/>
  <c r="AG510" i="25"/>
  <c r="Z511" i="25"/>
  <c r="AA511" i="25"/>
  <c r="AF511" i="25"/>
  <c r="AG511" i="25"/>
  <c r="Z512" i="25"/>
  <c r="AA512" i="25"/>
  <c r="AF512" i="25"/>
  <c r="AG512" i="25"/>
  <c r="Z513" i="25"/>
  <c r="AA513" i="25"/>
  <c r="AF513" i="25"/>
  <c r="AG513" i="25"/>
  <c r="Z514" i="25"/>
  <c r="AA514" i="25"/>
  <c r="AF514" i="25"/>
  <c r="AG514" i="25"/>
  <c r="Z515" i="25"/>
  <c r="AA515" i="25"/>
  <c r="AF515" i="25"/>
  <c r="AG515" i="25"/>
  <c r="Z516" i="25"/>
  <c r="AA516" i="25"/>
  <c r="AF516" i="25"/>
  <c r="AG516" i="25"/>
  <c r="Z517" i="25"/>
  <c r="AA517" i="25"/>
  <c r="AF517" i="25"/>
  <c r="AG517" i="25"/>
  <c r="Z518" i="25"/>
  <c r="AA518" i="25"/>
  <c r="AF518" i="25"/>
  <c r="AG518" i="25"/>
  <c r="Z519" i="25"/>
  <c r="AA519" i="25"/>
  <c r="AF519" i="25"/>
  <c r="AG519" i="25"/>
  <c r="Z520" i="25"/>
  <c r="AA520" i="25"/>
  <c r="AF520" i="25"/>
  <c r="AG520" i="25"/>
  <c r="Z521" i="25"/>
  <c r="AA521" i="25"/>
  <c r="AF521" i="25"/>
  <c r="AG521" i="25"/>
  <c r="Z522" i="25"/>
  <c r="AA522" i="25"/>
  <c r="AF522" i="25"/>
  <c r="AG522" i="25"/>
  <c r="Z523" i="25"/>
  <c r="AA523" i="25"/>
  <c r="AF523" i="25"/>
  <c r="AG523" i="25"/>
  <c r="Z524" i="25"/>
  <c r="AA524" i="25"/>
  <c r="AF524" i="25"/>
  <c r="AG524" i="25"/>
  <c r="Z525" i="25"/>
  <c r="AA525" i="25"/>
  <c r="AF525" i="25"/>
  <c r="AG525" i="25"/>
  <c r="Z526" i="25"/>
  <c r="AA526" i="25"/>
  <c r="AF526" i="25"/>
  <c r="AG526" i="25"/>
  <c r="Z527" i="25"/>
  <c r="AA527" i="25"/>
  <c r="AF527" i="25"/>
  <c r="AG527" i="25"/>
  <c r="Z528" i="25"/>
  <c r="AA528" i="25"/>
  <c r="AF528" i="25"/>
  <c r="AG528" i="25"/>
  <c r="Z529" i="25"/>
  <c r="AA529" i="25"/>
  <c r="AF529" i="25"/>
  <c r="AG529" i="25"/>
  <c r="Z530" i="25"/>
  <c r="AA530" i="25"/>
  <c r="AF530" i="25"/>
  <c r="AG530" i="25"/>
  <c r="Z531" i="25"/>
  <c r="AA531" i="25"/>
  <c r="AF531" i="25"/>
  <c r="AG531" i="25"/>
  <c r="Z532" i="25"/>
  <c r="AA532" i="25"/>
  <c r="AF532" i="25"/>
  <c r="AG532" i="25"/>
  <c r="Z533" i="25"/>
  <c r="AA533" i="25"/>
  <c r="AF533" i="25"/>
  <c r="AG533" i="25"/>
  <c r="Z534" i="25"/>
  <c r="AA534" i="25"/>
  <c r="AF534" i="25"/>
  <c r="AG534" i="25"/>
  <c r="Z535" i="25"/>
  <c r="AA535" i="25"/>
  <c r="AF535" i="25"/>
  <c r="AG535" i="25"/>
  <c r="Z536" i="25"/>
  <c r="AA536" i="25"/>
  <c r="AF536" i="25"/>
  <c r="AG536" i="25"/>
  <c r="Z537" i="25"/>
  <c r="AA537" i="25"/>
  <c r="AF537" i="25"/>
  <c r="AG537" i="25"/>
  <c r="Z538" i="25"/>
  <c r="AA538" i="25"/>
  <c r="AF538" i="25"/>
  <c r="AG538" i="25"/>
  <c r="Z539" i="25"/>
  <c r="AA539" i="25"/>
  <c r="AF539" i="25"/>
  <c r="AG539" i="25"/>
  <c r="Z540" i="25"/>
  <c r="AA540" i="25"/>
  <c r="AF540" i="25"/>
  <c r="AG540" i="25"/>
  <c r="Z541" i="25"/>
  <c r="AA541" i="25"/>
  <c r="AF541" i="25"/>
  <c r="AG541" i="25"/>
  <c r="Z542" i="25"/>
  <c r="AA542" i="25"/>
  <c r="AF542" i="25"/>
  <c r="AG542" i="25"/>
  <c r="Z543" i="25"/>
  <c r="AA543" i="25"/>
  <c r="AF543" i="25"/>
  <c r="AG543" i="25"/>
  <c r="Z544" i="25"/>
  <c r="AA544" i="25"/>
  <c r="AF544" i="25"/>
  <c r="AG544" i="25"/>
  <c r="Z545" i="25"/>
  <c r="AA545" i="25"/>
  <c r="AF545" i="25"/>
  <c r="AG545" i="25"/>
  <c r="Z546" i="25"/>
  <c r="AA546" i="25"/>
  <c r="AF546" i="25"/>
  <c r="AG546" i="25"/>
  <c r="Z547" i="25"/>
  <c r="AA547" i="25"/>
  <c r="AF547" i="25"/>
  <c r="AG547" i="25"/>
  <c r="Z548" i="25"/>
  <c r="AA548" i="25"/>
  <c r="AF548" i="25"/>
  <c r="AG548" i="25"/>
  <c r="Z549" i="25"/>
  <c r="AA549" i="25"/>
  <c r="AF549" i="25"/>
  <c r="AG549" i="25"/>
  <c r="Z550" i="25"/>
  <c r="AA550" i="25"/>
  <c r="AF550" i="25"/>
  <c r="AG550" i="25"/>
  <c r="Z551" i="25"/>
  <c r="AA551" i="25"/>
  <c r="AF551" i="25"/>
  <c r="AG551" i="25"/>
  <c r="Z552" i="25"/>
  <c r="AA552" i="25"/>
  <c r="AF552" i="25"/>
  <c r="AG552" i="25"/>
  <c r="Z553" i="25"/>
  <c r="AA553" i="25"/>
  <c r="AF553" i="25"/>
  <c r="AG553" i="25"/>
  <c r="Z554" i="25"/>
  <c r="AA554" i="25"/>
  <c r="AF554" i="25"/>
  <c r="AG554" i="25"/>
  <c r="Z555" i="25"/>
  <c r="AA555" i="25"/>
  <c r="AF555" i="25"/>
  <c r="AG555" i="25"/>
  <c r="Z556" i="25"/>
  <c r="AA556" i="25"/>
  <c r="AF556" i="25"/>
  <c r="AG556" i="25"/>
  <c r="Z557" i="25"/>
  <c r="AA557" i="25"/>
  <c r="AF557" i="25"/>
  <c r="AG557" i="25"/>
  <c r="Z558" i="25"/>
  <c r="AA558" i="25"/>
  <c r="AF558" i="25"/>
  <c r="AG558" i="25"/>
  <c r="Z559" i="25"/>
  <c r="AA559" i="25"/>
  <c r="AF559" i="25"/>
  <c r="AG559" i="25"/>
  <c r="Z560" i="25"/>
  <c r="AA560" i="25"/>
  <c r="AF560" i="25"/>
  <c r="AG560" i="25"/>
  <c r="Z561" i="25"/>
  <c r="AA561" i="25"/>
  <c r="AF561" i="25"/>
  <c r="AG561" i="25"/>
  <c r="Z562" i="25"/>
  <c r="AA562" i="25"/>
  <c r="AF562" i="25"/>
  <c r="AG562" i="25"/>
  <c r="Z563" i="25"/>
  <c r="AA563" i="25"/>
  <c r="AF563" i="25"/>
  <c r="AG563" i="25"/>
  <c r="Z564" i="25"/>
  <c r="AA564" i="25"/>
  <c r="AF564" i="25"/>
  <c r="AG564" i="25"/>
  <c r="Z565" i="25"/>
  <c r="AA565" i="25"/>
  <c r="AF565" i="25"/>
  <c r="AG565" i="25"/>
  <c r="Z566" i="25"/>
  <c r="AA566" i="25"/>
  <c r="AF566" i="25"/>
  <c r="AG566" i="25"/>
  <c r="Z567" i="25"/>
  <c r="AA567" i="25"/>
  <c r="AF567" i="25"/>
  <c r="AG567" i="25"/>
  <c r="Z568" i="25"/>
  <c r="AA568" i="25"/>
  <c r="AF568" i="25"/>
  <c r="AG568" i="25"/>
  <c r="Z569" i="25"/>
  <c r="AA569" i="25"/>
  <c r="AF569" i="25"/>
  <c r="AG569" i="25"/>
  <c r="Z570" i="25"/>
  <c r="AA570" i="25"/>
  <c r="AF570" i="25"/>
  <c r="AG570" i="25"/>
  <c r="Z571" i="25"/>
  <c r="AA571" i="25"/>
  <c r="AF571" i="25"/>
  <c r="AG571" i="25"/>
  <c r="Z572" i="25"/>
  <c r="AA572" i="25"/>
  <c r="AF572" i="25"/>
  <c r="AG572" i="25"/>
  <c r="Z573" i="25"/>
  <c r="AA573" i="25"/>
  <c r="AF573" i="25"/>
  <c r="AG573" i="25"/>
  <c r="Z574" i="25"/>
  <c r="AA574" i="25"/>
  <c r="AF574" i="25"/>
  <c r="AG574" i="25"/>
  <c r="Z575" i="25"/>
  <c r="AA575" i="25"/>
  <c r="AF575" i="25"/>
  <c r="AG575" i="25"/>
  <c r="Z576" i="25"/>
  <c r="AA576" i="25"/>
  <c r="AF576" i="25"/>
  <c r="AG576" i="25"/>
  <c r="Z577" i="25"/>
  <c r="AA577" i="25"/>
  <c r="AF577" i="25"/>
  <c r="AG577" i="25"/>
  <c r="Z578" i="25"/>
  <c r="AA578" i="25"/>
  <c r="AF578" i="25"/>
  <c r="AG578" i="25"/>
  <c r="Z579" i="25"/>
  <c r="AA579" i="25"/>
  <c r="AF579" i="25"/>
  <c r="AG579" i="25"/>
  <c r="Z580" i="25"/>
  <c r="AA580" i="25"/>
  <c r="AF580" i="25"/>
  <c r="AG580" i="25"/>
  <c r="Z581" i="25"/>
  <c r="AA581" i="25"/>
  <c r="AF581" i="25"/>
  <c r="AG581" i="25"/>
  <c r="Z582" i="25"/>
  <c r="AA582" i="25"/>
  <c r="AF582" i="25"/>
  <c r="AG582" i="25"/>
  <c r="Z583" i="25"/>
  <c r="AA583" i="25"/>
  <c r="AF583" i="25"/>
  <c r="AG583" i="25"/>
  <c r="Z584" i="25"/>
  <c r="AA584" i="25"/>
  <c r="AF584" i="25"/>
  <c r="AG584" i="25"/>
  <c r="Z585" i="25"/>
  <c r="AA585" i="25"/>
  <c r="AF585" i="25"/>
  <c r="AG585" i="25"/>
  <c r="Z586" i="25"/>
  <c r="AA586" i="25"/>
  <c r="AF586" i="25"/>
  <c r="AG586" i="25"/>
  <c r="Z587" i="25"/>
  <c r="AA587" i="25"/>
  <c r="AF587" i="25"/>
  <c r="AG587" i="25"/>
  <c r="Z588" i="25"/>
  <c r="AA588" i="25"/>
  <c r="AF588" i="25"/>
  <c r="AG588" i="25"/>
  <c r="Z589" i="25"/>
  <c r="AA589" i="25"/>
  <c r="AF589" i="25"/>
  <c r="AG589" i="25"/>
  <c r="Z590" i="25"/>
  <c r="AA590" i="25"/>
  <c r="AF590" i="25"/>
  <c r="AG590" i="25"/>
  <c r="Z591" i="25"/>
  <c r="AA591" i="25"/>
  <c r="AF591" i="25"/>
  <c r="AG591" i="25"/>
  <c r="Z592" i="25"/>
  <c r="AA592" i="25"/>
  <c r="AF592" i="25"/>
  <c r="AG592" i="25"/>
  <c r="Z593" i="25"/>
  <c r="AA593" i="25"/>
  <c r="AF593" i="25"/>
  <c r="AG593" i="25"/>
  <c r="Z594" i="25"/>
  <c r="AA594" i="25"/>
  <c r="AF594" i="25"/>
  <c r="AG594" i="25"/>
  <c r="Z595" i="25"/>
  <c r="AA595" i="25"/>
  <c r="AF595" i="25"/>
  <c r="AG595" i="25"/>
  <c r="Z596" i="25"/>
  <c r="AA596" i="25"/>
  <c r="AF596" i="25"/>
  <c r="AG596" i="25"/>
  <c r="Z597" i="25"/>
  <c r="AA597" i="25"/>
  <c r="AF597" i="25"/>
  <c r="AG597" i="25"/>
  <c r="Z598" i="25"/>
  <c r="AA598" i="25"/>
  <c r="AF598" i="25"/>
  <c r="AG598" i="25"/>
  <c r="Z599" i="25"/>
  <c r="AA599" i="25"/>
  <c r="AF599" i="25"/>
  <c r="AG599" i="25"/>
  <c r="Z600" i="25"/>
  <c r="AA600" i="25"/>
  <c r="AF600" i="25"/>
  <c r="AG600" i="25"/>
  <c r="Z601" i="25"/>
  <c r="AA601" i="25"/>
  <c r="AF601" i="25"/>
  <c r="AG601" i="25"/>
  <c r="Z602" i="25"/>
  <c r="AA602" i="25"/>
  <c r="AF602" i="25"/>
  <c r="AG602" i="25"/>
  <c r="Z603" i="25"/>
  <c r="AA603" i="25"/>
  <c r="AF603" i="25"/>
  <c r="AG603" i="25"/>
  <c r="Z604" i="25"/>
  <c r="AA604" i="25"/>
  <c r="AF604" i="25"/>
  <c r="AG604" i="25"/>
  <c r="Z605" i="25"/>
  <c r="AA605" i="25"/>
  <c r="AF605" i="25"/>
  <c r="AG605" i="25"/>
  <c r="Z606" i="25"/>
  <c r="AA606" i="25"/>
  <c r="AF606" i="25"/>
  <c r="AG606" i="25"/>
  <c r="Z607" i="25"/>
  <c r="AA607" i="25"/>
  <c r="AF607" i="25"/>
  <c r="AG607" i="25"/>
  <c r="Z608" i="25"/>
  <c r="AA608" i="25"/>
  <c r="AF608" i="25"/>
  <c r="AG608" i="25"/>
  <c r="Z609" i="25"/>
  <c r="AA609" i="25"/>
  <c r="AF609" i="25"/>
  <c r="AG609" i="25"/>
  <c r="Z610" i="25"/>
  <c r="AA610" i="25"/>
  <c r="AF610" i="25"/>
  <c r="AG610" i="25"/>
  <c r="Z611" i="25"/>
  <c r="AA611" i="25"/>
  <c r="AF611" i="25"/>
  <c r="AG611" i="25"/>
  <c r="Z612" i="25"/>
  <c r="AA612" i="25"/>
  <c r="AF612" i="25"/>
  <c r="AG612" i="25"/>
  <c r="Z613" i="25"/>
  <c r="AA613" i="25"/>
  <c r="AF613" i="25"/>
  <c r="AG613" i="25"/>
  <c r="Z614" i="25"/>
  <c r="AA614" i="25"/>
  <c r="AF614" i="25"/>
  <c r="AG614" i="25"/>
  <c r="Z615" i="25"/>
  <c r="AA615" i="25"/>
  <c r="AF615" i="25"/>
  <c r="AG615" i="25"/>
  <c r="Z616" i="25"/>
  <c r="AA616" i="25"/>
  <c r="AF616" i="25"/>
  <c r="AG616" i="25"/>
  <c r="Z617" i="25"/>
  <c r="AA617" i="25"/>
  <c r="AF617" i="25"/>
  <c r="AG617" i="25"/>
  <c r="Z618" i="25"/>
  <c r="AA618" i="25"/>
  <c r="AF618" i="25"/>
  <c r="AG618" i="25"/>
  <c r="Z619" i="25"/>
  <c r="AA619" i="25"/>
  <c r="AF619" i="25"/>
  <c r="AG619" i="25"/>
  <c r="Z620" i="25"/>
  <c r="AA620" i="25"/>
  <c r="AF620" i="25"/>
  <c r="AG620" i="25"/>
  <c r="Z621" i="25"/>
  <c r="AA621" i="25"/>
  <c r="AF621" i="25"/>
  <c r="AG621" i="25"/>
  <c r="Z622" i="25"/>
  <c r="AA622" i="25"/>
  <c r="AF622" i="25"/>
  <c r="AG622" i="25"/>
  <c r="Z623" i="25"/>
  <c r="AA623" i="25"/>
  <c r="AF623" i="25"/>
  <c r="AG623" i="25"/>
  <c r="Z624" i="25"/>
  <c r="AA624" i="25"/>
  <c r="AF624" i="25"/>
  <c r="AG624" i="25"/>
  <c r="Z625" i="25"/>
  <c r="AA625" i="25"/>
  <c r="AF625" i="25"/>
  <c r="AG625" i="25"/>
  <c r="Z626" i="25"/>
  <c r="AA626" i="25"/>
  <c r="AF626" i="25"/>
  <c r="AG626" i="25"/>
  <c r="Z627" i="25"/>
  <c r="AA627" i="25"/>
  <c r="AF627" i="25"/>
  <c r="AG627" i="25"/>
  <c r="Z628" i="25"/>
  <c r="AA628" i="25"/>
  <c r="AF628" i="25"/>
  <c r="AG628" i="25"/>
  <c r="Z629" i="25"/>
  <c r="AA629" i="25"/>
  <c r="AF629" i="25"/>
  <c r="AG629" i="25"/>
  <c r="Z630" i="25"/>
  <c r="AA630" i="25"/>
  <c r="AF630" i="25"/>
  <c r="AG630" i="25"/>
  <c r="Z631" i="25"/>
  <c r="AA631" i="25"/>
  <c r="AF631" i="25"/>
  <c r="AG631" i="25"/>
  <c r="Z632" i="25"/>
  <c r="AA632" i="25"/>
  <c r="AF632" i="25"/>
  <c r="AG632" i="25"/>
  <c r="Z633" i="25"/>
  <c r="AA633" i="25"/>
  <c r="AF633" i="25"/>
  <c r="AG633" i="25"/>
  <c r="Z634" i="25"/>
  <c r="AA634" i="25"/>
  <c r="AF634" i="25"/>
  <c r="AG634" i="25"/>
  <c r="Z635" i="25"/>
  <c r="AA635" i="25"/>
  <c r="AF635" i="25"/>
  <c r="AG635" i="25"/>
  <c r="Z636" i="25"/>
  <c r="AA636" i="25"/>
  <c r="AF636" i="25"/>
  <c r="AG636" i="25"/>
  <c r="Z637" i="25"/>
  <c r="AA637" i="25"/>
  <c r="AF637" i="25"/>
  <c r="AG637" i="25"/>
  <c r="Z638" i="25"/>
  <c r="AA638" i="25"/>
  <c r="AF638" i="25"/>
  <c r="AG638" i="25"/>
  <c r="Z639" i="25"/>
  <c r="AA639" i="25"/>
  <c r="AF639" i="25"/>
  <c r="AG639" i="25"/>
  <c r="Z640" i="25"/>
  <c r="AA640" i="25"/>
  <c r="AF640" i="25"/>
  <c r="AG640" i="25"/>
  <c r="Z641" i="25"/>
  <c r="AA641" i="25"/>
  <c r="AF641" i="25"/>
  <c r="AG641" i="25"/>
  <c r="Z642" i="25"/>
  <c r="AA642" i="25"/>
  <c r="AF642" i="25"/>
  <c r="AG642" i="25"/>
  <c r="Z643" i="25"/>
  <c r="AA643" i="25"/>
  <c r="AF643" i="25"/>
  <c r="AG643" i="25"/>
  <c r="Z644" i="25"/>
  <c r="AA644" i="25"/>
  <c r="AF644" i="25"/>
  <c r="AG644" i="25"/>
  <c r="Z645" i="25"/>
  <c r="AA645" i="25"/>
  <c r="AF645" i="25"/>
  <c r="AG645" i="25"/>
  <c r="Z646" i="25"/>
  <c r="AA646" i="25"/>
  <c r="AF646" i="25"/>
  <c r="AG646" i="25"/>
  <c r="Z647" i="25"/>
  <c r="AA647" i="25"/>
  <c r="AF647" i="25"/>
  <c r="AG647" i="25"/>
  <c r="Z648" i="25"/>
  <c r="AA648" i="25"/>
  <c r="AF648" i="25"/>
  <c r="AG648" i="25"/>
  <c r="Z649" i="25"/>
  <c r="AA649" i="25"/>
  <c r="AF649" i="25"/>
  <c r="AG649" i="25"/>
  <c r="Z650" i="25"/>
  <c r="AA650" i="25"/>
  <c r="AF650" i="25"/>
  <c r="AG650" i="25"/>
  <c r="Z651" i="25"/>
  <c r="AA651" i="25"/>
  <c r="AF651" i="25"/>
  <c r="AG651" i="25"/>
  <c r="Z652" i="25"/>
  <c r="AA652" i="25"/>
  <c r="AF652" i="25"/>
  <c r="AG652" i="25"/>
  <c r="Z653" i="25"/>
  <c r="AA653" i="25"/>
  <c r="AF653" i="25"/>
  <c r="AG653" i="25"/>
  <c r="Z654" i="25"/>
  <c r="AA654" i="25"/>
  <c r="AF654" i="25"/>
  <c r="AG654" i="25"/>
  <c r="Z655" i="25"/>
  <c r="AA655" i="25"/>
  <c r="AF655" i="25"/>
  <c r="AG655" i="25"/>
  <c r="Z656" i="25"/>
  <c r="AA656" i="25"/>
  <c r="AF656" i="25"/>
  <c r="AG656" i="25"/>
  <c r="Z657" i="25"/>
  <c r="AA657" i="25"/>
  <c r="AF657" i="25"/>
  <c r="AG657" i="25"/>
  <c r="Z658" i="25"/>
  <c r="AA658" i="25"/>
  <c r="AF658" i="25"/>
  <c r="AG658" i="25"/>
  <c r="Z659" i="25"/>
  <c r="AA659" i="25"/>
  <c r="AF659" i="25"/>
  <c r="AG659" i="25"/>
  <c r="Z660" i="25"/>
  <c r="AA660" i="25"/>
  <c r="AF660" i="25"/>
  <c r="AG660" i="25"/>
  <c r="Z661" i="25"/>
  <c r="AA661" i="25"/>
  <c r="AF661" i="25"/>
  <c r="AG661" i="25"/>
  <c r="Z662" i="25"/>
  <c r="AA662" i="25"/>
  <c r="AF662" i="25"/>
  <c r="AG662" i="25"/>
  <c r="Z663" i="25"/>
  <c r="AA663" i="25"/>
  <c r="AF663" i="25"/>
  <c r="AG663" i="25"/>
  <c r="Z664" i="25"/>
  <c r="AA664" i="25"/>
  <c r="AF664" i="25"/>
  <c r="AG664" i="25"/>
  <c r="Z665" i="25"/>
  <c r="AA665" i="25"/>
  <c r="AF665" i="25"/>
  <c r="AG665" i="25"/>
  <c r="Z666" i="25"/>
  <c r="AA666" i="25"/>
  <c r="AF666" i="25"/>
  <c r="AG666" i="25"/>
  <c r="Z667" i="25"/>
  <c r="AA667" i="25"/>
  <c r="AF667" i="25"/>
  <c r="AG667" i="25"/>
  <c r="Z668" i="25"/>
  <c r="AA668" i="25"/>
  <c r="AF668" i="25"/>
  <c r="AG668" i="25"/>
  <c r="Z669" i="25"/>
  <c r="AA669" i="25"/>
  <c r="AF669" i="25"/>
  <c r="AG669" i="25"/>
  <c r="Z670" i="25"/>
  <c r="AA670" i="25"/>
  <c r="AF670" i="25"/>
  <c r="AG670" i="25"/>
  <c r="Z671" i="25"/>
  <c r="AA671" i="25"/>
  <c r="AF671" i="25"/>
  <c r="AG671" i="25"/>
  <c r="Z672" i="25"/>
  <c r="AA672" i="25"/>
  <c r="AF672" i="25"/>
  <c r="AG672" i="25"/>
  <c r="Z673" i="25"/>
  <c r="AA673" i="25"/>
  <c r="AF673" i="25"/>
  <c r="AG673" i="25"/>
  <c r="Z674" i="25"/>
  <c r="AA674" i="25"/>
  <c r="AF674" i="25"/>
  <c r="AG674" i="25"/>
  <c r="Z675" i="25"/>
  <c r="AA675" i="25"/>
  <c r="AF675" i="25"/>
  <c r="AG675" i="25"/>
  <c r="Z676" i="25"/>
  <c r="AA676" i="25"/>
  <c r="AF676" i="25"/>
  <c r="AG676" i="25"/>
  <c r="Z677" i="25"/>
  <c r="AA677" i="25"/>
  <c r="AF677" i="25"/>
  <c r="AG677" i="25"/>
  <c r="Z678" i="25"/>
  <c r="AA678" i="25"/>
  <c r="AF678" i="25"/>
  <c r="AG678" i="25"/>
  <c r="Z679" i="25"/>
  <c r="AA679" i="25"/>
  <c r="AF679" i="25"/>
  <c r="AG679" i="25"/>
  <c r="Z680" i="25"/>
  <c r="AA680" i="25"/>
  <c r="AF680" i="25"/>
  <c r="AG680" i="25"/>
  <c r="Z681" i="25"/>
  <c r="AA681" i="25"/>
  <c r="AF681" i="25"/>
  <c r="AG681" i="25"/>
  <c r="Z682" i="25"/>
  <c r="AA682" i="25"/>
  <c r="AF682" i="25"/>
  <c r="AG682" i="25"/>
  <c r="Z683" i="25"/>
  <c r="AA683" i="25"/>
  <c r="AF683" i="25"/>
  <c r="AG683" i="25"/>
  <c r="Z684" i="25"/>
  <c r="AA684" i="25"/>
  <c r="AF684" i="25"/>
  <c r="AG684" i="25"/>
  <c r="Z685" i="25"/>
  <c r="AA685" i="25"/>
  <c r="AF685" i="25"/>
  <c r="AG685" i="25"/>
  <c r="Z686" i="25"/>
  <c r="AA686" i="25"/>
  <c r="AF686" i="25"/>
  <c r="AG686" i="25"/>
  <c r="Z687" i="25"/>
  <c r="AA687" i="25"/>
  <c r="AF687" i="25"/>
  <c r="AG687" i="25"/>
  <c r="Z688" i="25"/>
  <c r="AA688" i="25"/>
  <c r="AF688" i="25"/>
  <c r="AG688" i="25"/>
  <c r="Z689" i="25"/>
  <c r="AA689" i="25"/>
  <c r="AF689" i="25"/>
  <c r="AG689" i="25"/>
  <c r="Z690" i="25"/>
  <c r="AA690" i="25"/>
  <c r="AF690" i="25"/>
  <c r="AG690" i="25"/>
  <c r="Z691" i="25"/>
  <c r="AA691" i="25"/>
  <c r="AF691" i="25"/>
  <c r="AG691" i="25"/>
  <c r="Z692" i="25"/>
  <c r="AA692" i="25"/>
  <c r="AF692" i="25"/>
  <c r="AG692" i="25"/>
  <c r="Z693" i="25"/>
  <c r="AA693" i="25"/>
  <c r="AF693" i="25"/>
  <c r="AG693" i="25"/>
  <c r="Z694" i="25"/>
  <c r="AA694" i="25"/>
  <c r="AF694" i="25"/>
  <c r="AG694" i="25"/>
  <c r="Z695" i="25"/>
  <c r="AA695" i="25"/>
  <c r="AF695" i="25"/>
  <c r="AG695" i="25"/>
  <c r="Z696" i="25"/>
  <c r="AA696" i="25"/>
  <c r="AF696" i="25"/>
  <c r="AG696" i="25"/>
  <c r="Z697" i="25"/>
  <c r="AA697" i="25"/>
  <c r="AF697" i="25"/>
  <c r="AG697" i="25"/>
  <c r="Z698" i="25"/>
  <c r="AA698" i="25"/>
  <c r="AF698" i="25"/>
  <c r="AG698" i="25"/>
  <c r="Z699" i="25"/>
  <c r="AA699" i="25"/>
  <c r="AF699" i="25"/>
  <c r="AG699" i="25"/>
  <c r="Z700" i="25"/>
  <c r="AA700" i="25"/>
  <c r="AF700" i="25"/>
  <c r="AG700" i="25"/>
  <c r="Z701" i="25"/>
  <c r="AA701" i="25"/>
  <c r="AF701" i="25"/>
  <c r="AG701" i="25"/>
  <c r="Z702" i="25"/>
  <c r="AA702" i="25"/>
  <c r="AF702" i="25"/>
  <c r="AG702" i="25"/>
  <c r="Z703" i="25"/>
  <c r="AA703" i="25"/>
  <c r="AF703" i="25"/>
  <c r="AG703" i="25"/>
  <c r="Z704" i="25"/>
  <c r="AA704" i="25"/>
  <c r="AF704" i="25"/>
  <c r="AG704" i="25"/>
  <c r="Z705" i="25"/>
  <c r="AA705" i="25"/>
  <c r="AF705" i="25"/>
  <c r="AG705" i="25"/>
  <c r="Z706" i="25"/>
  <c r="AA706" i="25"/>
  <c r="AF706" i="25"/>
  <c r="AG706" i="25"/>
  <c r="Z707" i="25"/>
  <c r="AA707" i="25"/>
  <c r="AF707" i="25"/>
  <c r="AG707" i="25"/>
  <c r="Z708" i="25"/>
  <c r="AA708" i="25"/>
  <c r="AF708" i="25"/>
  <c r="AG708" i="25"/>
  <c r="Z709" i="25"/>
  <c r="AA709" i="25"/>
  <c r="AF709" i="25"/>
  <c r="AG709" i="25"/>
  <c r="Z710" i="25"/>
  <c r="AA710" i="25"/>
  <c r="AF710" i="25"/>
  <c r="AG710" i="25"/>
  <c r="Z711" i="25"/>
  <c r="AA711" i="25"/>
  <c r="AF711" i="25"/>
  <c r="AG711" i="25"/>
  <c r="Z712" i="25"/>
  <c r="AA712" i="25"/>
  <c r="AF712" i="25"/>
  <c r="AG712" i="25"/>
  <c r="Z713" i="25"/>
  <c r="AA713" i="25"/>
  <c r="AF713" i="25"/>
  <c r="AG713" i="25"/>
  <c r="Z714" i="25"/>
  <c r="AA714" i="25"/>
  <c r="AF714" i="25"/>
  <c r="AG714" i="25"/>
  <c r="Z715" i="25"/>
  <c r="AA715" i="25"/>
  <c r="AF715" i="25"/>
  <c r="AG715" i="25"/>
  <c r="Z716" i="25"/>
  <c r="AA716" i="25"/>
  <c r="AF716" i="25"/>
  <c r="AG716" i="25"/>
  <c r="Z717" i="25"/>
  <c r="AA717" i="25"/>
  <c r="AF717" i="25"/>
  <c r="AG717" i="25"/>
  <c r="Z718" i="25"/>
  <c r="AA718" i="25"/>
  <c r="AF718" i="25"/>
  <c r="AG718" i="25"/>
  <c r="Z719" i="25"/>
  <c r="AA719" i="25"/>
  <c r="AF719" i="25"/>
  <c r="AG719" i="25"/>
  <c r="Z720" i="25"/>
  <c r="AA720" i="25"/>
  <c r="AF720" i="25"/>
  <c r="AG720" i="25"/>
  <c r="Z721" i="25"/>
  <c r="AA721" i="25"/>
  <c r="AF721" i="25"/>
  <c r="AG721" i="25"/>
  <c r="Z722" i="25"/>
  <c r="AA722" i="25"/>
  <c r="AF722" i="25"/>
  <c r="AG722" i="25"/>
  <c r="Z723" i="25"/>
  <c r="AA723" i="25"/>
  <c r="AF723" i="25"/>
  <c r="AG723" i="25"/>
  <c r="Z724" i="25"/>
  <c r="AA724" i="25"/>
  <c r="AF724" i="25"/>
  <c r="AG724" i="25"/>
  <c r="Z725" i="25"/>
  <c r="AA725" i="25"/>
  <c r="AF725" i="25"/>
  <c r="AG725" i="25"/>
  <c r="Z726" i="25"/>
  <c r="AA726" i="25"/>
  <c r="AF726" i="25"/>
  <c r="AG726" i="25"/>
  <c r="Z727" i="25"/>
  <c r="AA727" i="25"/>
  <c r="AF727" i="25"/>
  <c r="AG727" i="25"/>
  <c r="Z728" i="25"/>
  <c r="AA728" i="25"/>
  <c r="AF728" i="25"/>
  <c r="AG728" i="25"/>
  <c r="Z729" i="25"/>
  <c r="AA729" i="25"/>
  <c r="AF729" i="25"/>
  <c r="AG729" i="25"/>
  <c r="Z730" i="25"/>
  <c r="AA730" i="25"/>
  <c r="AF730" i="25"/>
  <c r="AG730" i="25"/>
  <c r="Z731" i="25"/>
  <c r="AA731" i="25"/>
  <c r="AF731" i="25"/>
  <c r="AG731" i="25"/>
  <c r="Z732" i="25"/>
  <c r="AA732" i="25"/>
  <c r="AF732" i="25"/>
  <c r="AG732" i="25"/>
  <c r="Z733" i="25"/>
  <c r="AA733" i="25"/>
  <c r="AF733" i="25"/>
  <c r="AG733" i="25"/>
  <c r="Z734" i="25"/>
  <c r="AA734" i="25"/>
  <c r="AF734" i="25"/>
  <c r="AG734" i="25"/>
  <c r="Z735" i="25"/>
  <c r="AA735" i="25"/>
  <c r="AF735" i="25"/>
  <c r="AG735" i="25"/>
  <c r="Z736" i="25"/>
  <c r="AA736" i="25"/>
  <c r="AF736" i="25"/>
  <c r="AG736" i="25"/>
  <c r="Z737" i="25"/>
  <c r="AA737" i="25"/>
  <c r="AF737" i="25"/>
  <c r="AG737" i="25"/>
  <c r="Z738" i="25"/>
  <c r="AA738" i="25"/>
  <c r="AF738" i="25"/>
  <c r="AG738" i="25"/>
  <c r="Z739" i="25"/>
  <c r="AA739" i="25"/>
  <c r="AF739" i="25"/>
  <c r="AG739" i="25"/>
  <c r="Z740" i="25"/>
  <c r="AA740" i="25"/>
  <c r="AF740" i="25"/>
  <c r="AG740" i="25"/>
  <c r="Z741" i="25"/>
  <c r="AA741" i="25"/>
  <c r="AF741" i="25"/>
  <c r="AG741" i="25"/>
  <c r="Z742" i="25"/>
  <c r="AA742" i="25"/>
  <c r="AF742" i="25"/>
  <c r="AG742" i="25"/>
  <c r="Z743" i="25"/>
  <c r="AA743" i="25"/>
  <c r="AF743" i="25"/>
  <c r="AG743" i="25"/>
  <c r="Z744" i="25"/>
  <c r="AA744" i="25"/>
  <c r="AF744" i="25"/>
  <c r="AG744" i="25"/>
  <c r="Z745" i="25"/>
  <c r="AA745" i="25"/>
  <c r="AF745" i="25"/>
  <c r="AG745" i="25"/>
  <c r="Z746" i="25"/>
  <c r="AA746" i="25"/>
  <c r="AF746" i="25"/>
  <c r="AG746" i="25"/>
  <c r="Z747" i="25"/>
  <c r="AA747" i="25"/>
  <c r="AF747" i="25"/>
  <c r="AG747" i="25"/>
  <c r="Z748" i="25"/>
  <c r="AA748" i="25"/>
  <c r="AF748" i="25"/>
  <c r="AG748" i="25"/>
  <c r="Z749" i="25"/>
  <c r="AA749" i="25"/>
  <c r="AF749" i="25"/>
  <c r="AG749" i="25"/>
  <c r="Z750" i="25"/>
  <c r="AA750" i="25"/>
  <c r="AF750" i="25"/>
  <c r="AG750" i="25"/>
  <c r="Z751" i="25"/>
  <c r="AA751" i="25"/>
  <c r="AF751" i="25"/>
  <c r="AG751" i="25"/>
  <c r="Z752" i="25"/>
  <c r="AA752" i="25"/>
  <c r="AF752" i="25"/>
  <c r="AG752" i="25"/>
  <c r="Z753" i="25"/>
  <c r="AA753" i="25"/>
  <c r="AF753" i="25"/>
  <c r="AG753" i="25"/>
  <c r="Z754" i="25"/>
  <c r="AA754" i="25"/>
  <c r="AF754" i="25"/>
  <c r="AG754" i="25"/>
  <c r="Z755" i="25"/>
  <c r="AA755" i="25"/>
  <c r="AF755" i="25"/>
  <c r="AG755" i="25"/>
  <c r="Z756" i="25"/>
  <c r="AA756" i="25"/>
  <c r="AF756" i="25"/>
  <c r="AG756" i="25"/>
  <c r="Z757" i="25"/>
  <c r="AA757" i="25"/>
  <c r="AF757" i="25"/>
  <c r="AG757" i="25"/>
  <c r="Z758" i="25"/>
  <c r="AA758" i="25"/>
  <c r="AF758" i="25"/>
  <c r="AG758" i="25"/>
  <c r="Z759" i="25"/>
  <c r="AA759" i="25"/>
  <c r="AF759" i="25"/>
  <c r="AG759" i="25"/>
  <c r="Z760" i="25"/>
  <c r="AA760" i="25"/>
  <c r="AF760" i="25"/>
  <c r="AG760" i="25"/>
  <c r="Z761" i="25"/>
  <c r="AA761" i="25"/>
  <c r="AF761" i="25"/>
  <c r="AG761" i="25"/>
  <c r="Z762" i="25"/>
  <c r="AA762" i="25"/>
  <c r="AF762" i="25"/>
  <c r="AG762" i="25"/>
  <c r="Z763" i="25"/>
  <c r="AA763" i="25"/>
  <c r="AF763" i="25"/>
  <c r="AG763" i="25"/>
  <c r="Z764" i="25"/>
  <c r="AA764" i="25"/>
  <c r="AF764" i="25"/>
  <c r="AG764" i="25"/>
  <c r="Z765" i="25"/>
  <c r="AA765" i="25"/>
  <c r="AF765" i="25"/>
  <c r="AG765" i="25"/>
  <c r="Z766" i="25"/>
  <c r="AA766" i="25"/>
  <c r="AF766" i="25"/>
  <c r="AG766" i="25"/>
  <c r="Z767" i="25"/>
  <c r="AA767" i="25"/>
  <c r="AF767" i="25"/>
  <c r="AG767" i="25"/>
  <c r="Z768" i="25"/>
  <c r="AA768" i="25"/>
  <c r="AF768" i="25"/>
  <c r="AG768" i="25"/>
  <c r="Z769" i="25"/>
  <c r="AA769" i="25"/>
  <c r="AF769" i="25"/>
  <c r="AG769" i="25"/>
  <c r="Z770" i="25"/>
  <c r="AA770" i="25"/>
  <c r="AF770" i="25"/>
  <c r="AG770" i="25"/>
  <c r="Z771" i="25"/>
  <c r="AA771" i="25"/>
  <c r="AF771" i="25"/>
  <c r="AG771" i="25"/>
  <c r="Z772" i="25"/>
  <c r="AA772" i="25"/>
  <c r="AF772" i="25"/>
  <c r="AG772" i="25"/>
  <c r="Z773" i="25"/>
  <c r="AA773" i="25"/>
  <c r="AF773" i="25"/>
  <c r="AG773" i="25"/>
  <c r="Z774" i="25"/>
  <c r="AA774" i="25"/>
  <c r="AF774" i="25"/>
  <c r="AG774" i="25"/>
  <c r="Z775" i="25"/>
  <c r="AA775" i="25"/>
  <c r="AF775" i="25"/>
  <c r="AG775" i="25"/>
  <c r="Z776" i="25"/>
  <c r="AA776" i="25"/>
  <c r="AF776" i="25"/>
  <c r="AG776" i="25"/>
  <c r="Z777" i="25"/>
  <c r="AA777" i="25"/>
  <c r="AF777" i="25"/>
  <c r="AG777" i="25"/>
  <c r="Z778" i="25"/>
  <c r="AA778" i="25"/>
  <c r="AF778" i="25"/>
  <c r="AG778" i="25"/>
  <c r="Z779" i="25"/>
  <c r="AA779" i="25"/>
  <c r="AF779" i="25"/>
  <c r="AG779" i="25"/>
  <c r="Z780" i="25"/>
  <c r="AA780" i="25"/>
  <c r="AF780" i="25"/>
  <c r="AG780" i="25"/>
  <c r="Z781" i="25"/>
  <c r="AA781" i="25"/>
  <c r="AF781" i="25"/>
  <c r="AG781" i="25"/>
  <c r="Z782" i="25"/>
  <c r="AA782" i="25"/>
  <c r="AF782" i="25"/>
  <c r="AG782" i="25"/>
  <c r="Z783" i="25"/>
  <c r="AA783" i="25"/>
  <c r="AF783" i="25"/>
  <c r="AG783" i="25"/>
  <c r="Z784" i="25"/>
  <c r="AA784" i="25"/>
  <c r="AF784" i="25"/>
  <c r="AG784" i="25"/>
  <c r="Z785" i="25"/>
  <c r="AA785" i="25"/>
  <c r="AF785" i="25"/>
  <c r="AG785" i="25"/>
  <c r="Z786" i="25"/>
  <c r="AA786" i="25"/>
  <c r="AF786" i="25"/>
  <c r="AG786" i="25"/>
  <c r="Z787" i="25"/>
  <c r="AA787" i="25"/>
  <c r="AF787" i="25"/>
  <c r="AG787" i="25"/>
  <c r="Z788" i="25"/>
  <c r="AA788" i="25"/>
  <c r="AF788" i="25"/>
  <c r="AG788" i="25"/>
  <c r="Z789" i="25"/>
  <c r="AA789" i="25"/>
  <c r="AF789" i="25"/>
  <c r="AG789" i="25"/>
  <c r="Z790" i="25"/>
  <c r="AA790" i="25"/>
  <c r="AF790" i="25"/>
  <c r="AG790" i="25"/>
  <c r="Z791" i="25"/>
  <c r="AA791" i="25"/>
  <c r="AF791" i="25"/>
  <c r="AG791" i="25"/>
  <c r="Z792" i="25"/>
  <c r="AA792" i="25"/>
  <c r="AF792" i="25"/>
  <c r="AG792" i="25"/>
  <c r="Z793" i="25"/>
  <c r="AA793" i="25"/>
  <c r="AF793" i="25"/>
  <c r="AG793" i="25"/>
  <c r="Z794" i="25"/>
  <c r="AA794" i="25"/>
  <c r="AF794" i="25"/>
  <c r="AG794" i="25"/>
  <c r="Z795" i="25"/>
  <c r="AA795" i="25"/>
  <c r="AF795" i="25"/>
  <c r="AG795" i="25"/>
  <c r="Z796" i="25"/>
  <c r="AA796" i="25"/>
  <c r="AF796" i="25"/>
  <c r="AG796" i="25"/>
  <c r="Z797" i="25"/>
  <c r="AA797" i="25"/>
  <c r="AF797" i="25"/>
  <c r="AG797" i="25"/>
  <c r="Z798" i="25"/>
  <c r="AA798" i="25"/>
  <c r="AF798" i="25"/>
  <c r="AG798" i="25"/>
  <c r="Z799" i="25"/>
  <c r="AA799" i="25"/>
  <c r="AF799" i="25"/>
  <c r="AG799" i="25"/>
  <c r="Z800" i="25"/>
  <c r="AA800" i="25"/>
  <c r="AF800" i="25"/>
  <c r="AG800" i="25"/>
  <c r="Z801" i="25"/>
  <c r="AA801" i="25"/>
  <c r="AF801" i="25"/>
  <c r="AG801" i="25"/>
  <c r="Z802" i="25"/>
  <c r="AA802" i="25"/>
  <c r="AF802" i="25"/>
  <c r="AG802" i="25"/>
  <c r="Z803" i="25"/>
  <c r="AA803" i="25"/>
  <c r="AF803" i="25"/>
  <c r="AG803" i="25"/>
  <c r="Z804" i="25"/>
  <c r="AA804" i="25"/>
  <c r="AF804" i="25"/>
  <c r="AG804" i="25"/>
  <c r="Z805" i="25"/>
  <c r="AA805" i="25"/>
  <c r="AF805" i="25"/>
  <c r="AG805" i="25"/>
  <c r="Z806" i="25"/>
  <c r="AA806" i="25"/>
  <c r="AF806" i="25"/>
  <c r="AG806" i="25"/>
  <c r="Z807" i="25"/>
  <c r="AA807" i="25"/>
  <c r="AF807" i="25"/>
  <c r="AG807" i="25"/>
  <c r="Z808" i="25"/>
  <c r="AA808" i="25"/>
  <c r="AF808" i="25"/>
  <c r="AG808" i="25"/>
  <c r="Z809" i="25"/>
  <c r="AA809" i="25"/>
  <c r="AF809" i="25"/>
  <c r="AG809" i="25"/>
  <c r="Z810" i="25"/>
  <c r="AA810" i="25"/>
  <c r="AF810" i="25"/>
  <c r="AG810" i="25"/>
  <c r="Z811" i="25"/>
  <c r="AA811" i="25"/>
  <c r="AF811" i="25"/>
  <c r="AG811" i="25"/>
  <c r="Z812" i="25"/>
  <c r="AA812" i="25"/>
  <c r="AF812" i="25"/>
  <c r="AG812" i="25"/>
  <c r="Z813" i="25"/>
  <c r="AA813" i="25"/>
  <c r="AF813" i="25"/>
  <c r="AG813" i="25"/>
  <c r="Z814" i="25"/>
  <c r="AA814" i="25"/>
  <c r="AF814" i="25"/>
  <c r="AG814" i="25"/>
  <c r="Z815" i="25"/>
  <c r="AA815" i="25"/>
  <c r="AF815" i="25"/>
  <c r="AG815" i="25"/>
  <c r="Z816" i="25"/>
  <c r="AA816" i="25"/>
  <c r="AF816" i="25"/>
  <c r="AG816" i="25"/>
  <c r="Z817" i="25"/>
  <c r="AA817" i="25"/>
  <c r="AF817" i="25"/>
  <c r="AG817" i="25"/>
  <c r="Z818" i="25"/>
  <c r="AA818" i="25"/>
  <c r="AF818" i="25"/>
  <c r="AG818" i="25"/>
  <c r="Z819" i="25"/>
  <c r="AA819" i="25"/>
  <c r="AF819" i="25"/>
  <c r="AG819" i="25"/>
  <c r="Z820" i="25"/>
  <c r="AA820" i="25"/>
  <c r="AF820" i="25"/>
  <c r="AG820" i="25"/>
  <c r="Z821" i="25"/>
  <c r="AA821" i="25"/>
  <c r="AF821" i="25"/>
  <c r="AG821" i="25"/>
  <c r="Z822" i="25"/>
  <c r="AA822" i="25"/>
  <c r="AF822" i="25"/>
  <c r="AG822" i="25"/>
  <c r="Z823" i="25"/>
  <c r="AA823" i="25"/>
  <c r="AF823" i="25"/>
  <c r="AG823" i="25"/>
  <c r="Z824" i="25"/>
  <c r="AA824" i="25"/>
  <c r="AF824" i="25"/>
  <c r="AG824" i="25"/>
  <c r="Z825" i="25"/>
  <c r="AA825" i="25"/>
  <c r="AF825" i="25"/>
  <c r="AG825" i="25"/>
  <c r="Z826" i="25"/>
  <c r="AA826" i="25"/>
  <c r="AF826" i="25"/>
  <c r="AG826" i="25"/>
  <c r="Z827" i="25"/>
  <c r="AA827" i="25"/>
  <c r="AF827" i="25"/>
  <c r="AG827" i="25"/>
  <c r="Z828" i="25"/>
  <c r="AA828" i="25"/>
  <c r="AF828" i="25"/>
  <c r="AG828" i="25"/>
  <c r="Z829" i="25"/>
  <c r="AA829" i="25"/>
  <c r="AF829" i="25"/>
  <c r="AG829" i="25"/>
  <c r="Z830" i="25"/>
  <c r="AA830" i="25"/>
  <c r="AF830" i="25"/>
  <c r="AG830" i="25"/>
  <c r="Z831" i="25"/>
  <c r="AA831" i="25"/>
  <c r="AF831" i="25"/>
  <c r="AG831" i="25"/>
  <c r="Z832" i="25"/>
  <c r="AA832" i="25"/>
  <c r="AF832" i="25"/>
  <c r="AG832" i="25"/>
  <c r="Z833" i="25"/>
  <c r="AA833" i="25"/>
  <c r="AF833" i="25"/>
  <c r="AG833" i="25"/>
  <c r="Z834" i="25"/>
  <c r="AA834" i="25"/>
  <c r="AF834" i="25"/>
  <c r="AG834" i="25"/>
  <c r="Z835" i="25"/>
  <c r="AA835" i="25"/>
  <c r="AF835" i="25"/>
  <c r="AG835" i="25"/>
  <c r="Z836" i="25"/>
  <c r="AA836" i="25"/>
  <c r="AF836" i="25"/>
  <c r="AG836" i="25"/>
  <c r="Z837" i="25"/>
  <c r="AA837" i="25"/>
  <c r="AF837" i="25"/>
  <c r="AG837" i="25"/>
  <c r="Z838" i="25"/>
  <c r="AA838" i="25"/>
  <c r="AF838" i="25"/>
  <c r="AG838" i="25"/>
  <c r="Z839" i="25"/>
  <c r="AA839" i="25"/>
  <c r="AF839" i="25"/>
  <c r="AG839" i="25"/>
  <c r="Z840" i="25"/>
  <c r="AA840" i="25"/>
  <c r="AF840" i="25"/>
  <c r="AG840" i="25"/>
  <c r="Z841" i="25"/>
  <c r="AA841" i="25"/>
  <c r="AF841" i="25"/>
  <c r="AG841" i="25"/>
  <c r="Z842" i="25"/>
  <c r="AA842" i="25"/>
  <c r="AF842" i="25"/>
  <c r="AG842" i="25"/>
  <c r="Z843" i="25"/>
  <c r="AA843" i="25"/>
  <c r="AF843" i="25"/>
  <c r="AG843" i="25"/>
  <c r="Z844" i="25"/>
  <c r="AA844" i="25"/>
  <c r="AF844" i="25"/>
  <c r="AG844" i="25"/>
  <c r="Z845" i="25"/>
  <c r="AA845" i="25"/>
  <c r="AF845" i="25"/>
  <c r="AG845" i="25"/>
  <c r="Z846" i="25"/>
  <c r="AA846" i="25"/>
  <c r="AF846" i="25"/>
  <c r="AG846" i="25"/>
  <c r="Z847" i="25"/>
  <c r="AA847" i="25"/>
  <c r="AF847" i="25"/>
  <c r="AG847" i="25"/>
  <c r="Z848" i="25"/>
  <c r="AA848" i="25"/>
  <c r="AF848" i="25"/>
  <c r="AG848" i="25"/>
  <c r="Z849" i="25"/>
  <c r="AA849" i="25"/>
  <c r="AF849" i="25"/>
  <c r="AG849" i="25"/>
  <c r="Z850" i="25"/>
  <c r="AA850" i="25"/>
  <c r="AF850" i="25"/>
  <c r="AG850" i="25"/>
  <c r="Z851" i="25"/>
  <c r="AA851" i="25"/>
  <c r="AF851" i="25"/>
  <c r="AG851" i="25"/>
  <c r="Z852" i="25"/>
  <c r="AA852" i="25"/>
  <c r="AF852" i="25"/>
  <c r="AG852" i="25"/>
  <c r="Z853" i="25"/>
  <c r="AA853" i="25"/>
  <c r="AF853" i="25"/>
  <c r="AG853" i="25"/>
  <c r="Z854" i="25"/>
  <c r="AA854" i="25"/>
  <c r="AF854" i="25"/>
  <c r="AG854" i="25"/>
  <c r="Z855" i="25"/>
  <c r="AA855" i="25"/>
  <c r="AF855" i="25"/>
  <c r="AG855" i="25"/>
  <c r="Z856" i="25"/>
  <c r="AA856" i="25"/>
  <c r="AF856" i="25"/>
  <c r="AG856" i="25"/>
  <c r="Z857" i="25"/>
  <c r="AA857" i="25"/>
  <c r="AF857" i="25"/>
  <c r="AG857" i="25"/>
  <c r="Z858" i="25"/>
  <c r="AA858" i="25"/>
  <c r="AF858" i="25"/>
  <c r="AG858" i="25"/>
  <c r="Z859" i="25"/>
  <c r="AA859" i="25"/>
  <c r="AF859" i="25"/>
  <c r="AG859" i="25"/>
  <c r="Z860" i="25"/>
  <c r="AA860" i="25"/>
  <c r="AF860" i="25"/>
  <c r="AG860" i="25"/>
  <c r="Z861" i="25"/>
  <c r="AA861" i="25"/>
  <c r="AF861" i="25"/>
  <c r="AG861" i="25"/>
  <c r="Z862" i="25"/>
  <c r="AA862" i="25"/>
  <c r="AF862" i="25"/>
  <c r="AG862" i="25"/>
  <c r="Z863" i="25"/>
  <c r="AA863" i="25"/>
  <c r="AF863" i="25"/>
  <c r="AG863" i="25"/>
  <c r="Z864" i="25"/>
  <c r="AA864" i="25"/>
  <c r="AF864" i="25"/>
  <c r="AG864" i="25"/>
  <c r="Z865" i="25"/>
  <c r="AA865" i="25"/>
  <c r="AF865" i="25"/>
  <c r="AG865" i="25"/>
  <c r="Z866" i="25"/>
  <c r="AA866" i="25"/>
  <c r="AF866" i="25"/>
  <c r="AG866" i="25"/>
  <c r="Z867" i="25"/>
  <c r="AA867" i="25"/>
  <c r="AF867" i="25"/>
  <c r="AG867" i="25"/>
  <c r="Z868" i="25"/>
  <c r="AA868" i="25"/>
  <c r="AF868" i="25"/>
  <c r="AG868" i="25"/>
  <c r="Z869" i="25"/>
  <c r="AA869" i="25"/>
  <c r="AF869" i="25"/>
  <c r="AG869" i="25"/>
  <c r="Z870" i="25"/>
  <c r="AA870" i="25"/>
  <c r="AF870" i="25"/>
  <c r="AG870" i="25"/>
  <c r="Z871" i="25"/>
  <c r="AA871" i="25"/>
  <c r="AF871" i="25"/>
  <c r="AG871" i="25"/>
  <c r="Z872" i="25"/>
  <c r="AA872" i="25"/>
  <c r="AF872" i="25"/>
  <c r="AG872" i="25"/>
  <c r="Z873" i="25"/>
  <c r="AA873" i="25"/>
  <c r="AF873" i="25"/>
  <c r="AG873" i="25"/>
  <c r="Z874" i="25"/>
  <c r="AA874" i="25"/>
  <c r="AF874" i="25"/>
  <c r="AG874" i="25"/>
  <c r="Z875" i="25"/>
  <c r="AA875" i="25"/>
  <c r="AF875" i="25"/>
  <c r="AG875" i="25"/>
  <c r="Z876" i="25"/>
  <c r="AA876" i="25"/>
  <c r="AF876" i="25"/>
  <c r="AG876" i="25"/>
  <c r="Z877" i="25"/>
  <c r="AA877" i="25"/>
  <c r="AF877" i="25"/>
  <c r="AG877" i="25"/>
  <c r="Z878" i="25"/>
  <c r="AA878" i="25"/>
  <c r="AF878" i="25"/>
  <c r="AG878" i="25"/>
  <c r="Z879" i="25"/>
  <c r="AA879" i="25"/>
  <c r="AF879" i="25"/>
  <c r="AG879" i="25"/>
  <c r="Z880" i="25"/>
  <c r="AA880" i="25"/>
  <c r="AF880" i="25"/>
  <c r="AG880" i="25"/>
  <c r="Z881" i="25"/>
  <c r="AA881" i="25"/>
  <c r="AF881" i="25"/>
  <c r="AG881" i="25"/>
  <c r="Z882" i="25"/>
  <c r="AA882" i="25"/>
  <c r="AF882" i="25"/>
  <c r="AG882" i="25"/>
  <c r="Z883" i="25"/>
  <c r="AA883" i="25"/>
  <c r="AF883" i="25"/>
  <c r="AG883" i="25"/>
  <c r="Z884" i="25"/>
  <c r="AA884" i="25"/>
  <c r="AF884" i="25"/>
  <c r="AG884" i="25"/>
  <c r="Z885" i="25"/>
  <c r="AA885" i="25"/>
  <c r="AF885" i="25"/>
  <c r="AG885" i="25"/>
  <c r="Z886" i="25"/>
  <c r="AA886" i="25"/>
  <c r="AF886" i="25"/>
  <c r="AG886" i="25"/>
  <c r="Z892" i="25"/>
  <c r="D7" i="30"/>
  <c r="R7" i="30"/>
  <c r="S7" i="30"/>
  <c r="V7" i="30"/>
  <c r="W7" i="30"/>
  <c r="X7" i="30"/>
  <c r="D9" i="30"/>
  <c r="R9" i="30"/>
  <c r="S9" i="30"/>
  <c r="V9" i="30"/>
  <c r="W9" i="30"/>
  <c r="X9" i="30"/>
  <c r="D11" i="30"/>
  <c r="R11" i="30"/>
  <c r="S11" i="30"/>
  <c r="V11" i="30"/>
  <c r="W11" i="30"/>
  <c r="X11" i="30"/>
  <c r="D13" i="30"/>
  <c r="R13" i="30"/>
  <c r="S13" i="30"/>
  <c r="V13" i="30"/>
  <c r="W13" i="30"/>
  <c r="X13" i="30"/>
  <c r="D14" i="30"/>
  <c r="R14" i="30"/>
  <c r="S14" i="30"/>
  <c r="V14" i="30"/>
  <c r="W14" i="30"/>
  <c r="X14" i="30"/>
  <c r="D15" i="30"/>
  <c r="R15" i="30"/>
  <c r="S15" i="30"/>
  <c r="V15" i="30"/>
  <c r="W15" i="30"/>
  <c r="X15" i="30"/>
  <c r="Y2" i="17"/>
  <c r="Z2" i="17"/>
  <c r="AD2" i="17"/>
  <c r="AE2" i="17"/>
  <c r="AJ2" i="17"/>
  <c r="Y3" i="17"/>
  <c r="Z3" i="17"/>
  <c r="AD3" i="17"/>
  <c r="AE3" i="17"/>
  <c r="AJ3" i="17"/>
  <c r="Y4" i="17"/>
  <c r="Z4" i="17"/>
  <c r="AD4" i="17"/>
  <c r="AE4" i="17"/>
  <c r="Y5" i="17"/>
  <c r="Z5" i="17"/>
  <c r="AD5" i="17"/>
  <c r="AE5" i="17"/>
  <c r="AJ5" i="17"/>
  <c r="Y6" i="17"/>
  <c r="Z6" i="17"/>
  <c r="AD6" i="17"/>
  <c r="AE6" i="17"/>
  <c r="AJ6" i="17"/>
  <c r="Y7" i="17"/>
  <c r="Z7" i="17"/>
  <c r="AD7" i="17"/>
  <c r="AE7" i="17"/>
  <c r="AJ7" i="17"/>
  <c r="Y8" i="17"/>
  <c r="Z8" i="17"/>
  <c r="AD8" i="17"/>
  <c r="AE8" i="17"/>
  <c r="AJ8" i="17"/>
  <c r="Y9" i="17"/>
  <c r="Z9" i="17"/>
  <c r="AD9" i="17"/>
  <c r="AE9" i="17"/>
  <c r="AJ9" i="17"/>
  <c r="Y10" i="17"/>
  <c r="Z10" i="17"/>
  <c r="AD10" i="17"/>
  <c r="AE10" i="17"/>
  <c r="Y11" i="17"/>
  <c r="Z11" i="17"/>
  <c r="AD11" i="17"/>
  <c r="AE11" i="17"/>
  <c r="AJ11" i="17"/>
  <c r="Y12" i="17"/>
  <c r="Z12" i="17"/>
  <c r="AD12" i="17"/>
  <c r="AE12" i="17"/>
  <c r="Y13" i="17"/>
  <c r="Z13" i="17"/>
  <c r="AD13" i="17"/>
  <c r="AE13" i="17"/>
  <c r="Y14" i="17"/>
  <c r="Z14" i="17"/>
  <c r="AD14" i="17"/>
  <c r="AE14" i="17"/>
  <c r="Y15" i="17"/>
  <c r="Z15" i="17"/>
  <c r="AD15" i="17"/>
  <c r="AE15" i="17"/>
  <c r="Y16" i="17"/>
  <c r="Z16" i="17"/>
  <c r="AD16" i="17"/>
  <c r="AE16" i="17"/>
  <c r="Y17" i="17"/>
  <c r="Z17" i="17"/>
  <c r="AD17" i="17"/>
  <c r="AE17" i="17"/>
  <c r="Y18" i="17"/>
  <c r="Z18" i="17"/>
  <c r="AD18" i="17"/>
  <c r="AE18" i="17"/>
  <c r="Y19" i="17"/>
  <c r="Z19" i="17"/>
  <c r="AD19" i="17"/>
  <c r="AE19" i="17"/>
  <c r="Y20" i="17"/>
  <c r="Z20" i="17"/>
  <c r="AD20" i="17"/>
  <c r="AE20" i="17"/>
  <c r="Y21" i="17"/>
  <c r="Z21" i="17"/>
  <c r="AD21" i="17"/>
  <c r="AE21" i="17"/>
  <c r="Y22" i="17"/>
  <c r="Z22" i="17"/>
  <c r="AD22" i="17"/>
  <c r="AE22" i="17"/>
  <c r="Y23" i="17"/>
  <c r="Z23" i="17"/>
  <c r="AD23" i="17"/>
  <c r="AE23" i="17"/>
  <c r="Y24" i="17"/>
  <c r="Z24" i="17"/>
  <c r="AD24" i="17"/>
  <c r="AE24" i="17"/>
  <c r="Y25" i="17"/>
  <c r="Z25" i="17"/>
  <c r="AD25" i="17"/>
  <c r="AE25" i="17"/>
  <c r="Y26" i="17"/>
  <c r="Z26" i="17"/>
  <c r="AD26" i="17"/>
  <c r="AE26" i="17"/>
  <c r="Y27" i="17"/>
  <c r="AD27" i="17"/>
  <c r="Y28" i="17"/>
  <c r="AD28" i="17"/>
  <c r="Y29" i="17"/>
  <c r="AD29" i="17"/>
  <c r="Y30" i="17"/>
  <c r="AD30" i="17"/>
  <c r="Y31" i="17"/>
  <c r="AD31" i="17"/>
  <c r="Y32" i="17"/>
  <c r="AD32" i="17"/>
  <c r="Y33" i="17"/>
  <c r="AD33" i="17"/>
  <c r="Y34" i="17"/>
  <c r="AD34" i="17"/>
  <c r="Y35" i="17"/>
  <c r="AD35" i="17"/>
  <c r="Y36" i="17"/>
  <c r="AD36" i="17"/>
  <c r="Y37" i="17"/>
  <c r="AD37" i="17"/>
  <c r="Y38" i="17"/>
  <c r="AD38" i="17"/>
  <c r="Z39" i="17"/>
  <c r="AE39" i="17"/>
  <c r="Z40" i="17"/>
  <c r="AE40" i="17"/>
  <c r="Z41" i="17"/>
  <c r="AE41" i="17"/>
  <c r="Z42" i="17"/>
  <c r="AE42" i="17"/>
  <c r="Y43" i="17"/>
  <c r="AD43" i="17"/>
  <c r="Y44" i="17"/>
  <c r="AD44" i="17"/>
  <c r="Z45" i="17"/>
  <c r="AE45" i="17"/>
  <c r="Z46" i="17"/>
  <c r="AE46" i="17"/>
  <c r="Z47" i="17"/>
  <c r="AE47" i="17"/>
  <c r="Z48" i="17"/>
  <c r="AE48" i="17"/>
  <c r="Z49" i="17"/>
  <c r="AE49" i="17"/>
  <c r="Z50" i="17"/>
  <c r="AE50" i="17"/>
  <c r="Z51" i="17"/>
  <c r="AE51" i="17"/>
  <c r="Z52" i="17"/>
  <c r="AE52" i="17"/>
  <c r="Z53" i="17"/>
  <c r="AE53" i="17"/>
  <c r="Z54" i="17"/>
  <c r="AE54" i="17"/>
  <c r="Z55" i="17"/>
  <c r="AE55" i="17"/>
  <c r="Y56" i="17"/>
  <c r="AD56" i="17"/>
  <c r="Y57" i="17"/>
  <c r="AD57" i="17"/>
  <c r="Y58" i="17"/>
  <c r="AD58" i="17"/>
  <c r="Y59" i="17"/>
  <c r="AD59" i="17"/>
  <c r="Y60" i="17"/>
  <c r="AD60" i="17"/>
  <c r="Y61" i="17"/>
  <c r="AD61" i="17"/>
  <c r="Y62" i="17"/>
  <c r="AD62" i="17"/>
  <c r="Y63" i="17"/>
  <c r="AD63" i="17"/>
  <c r="Y64" i="17"/>
  <c r="AD64" i="17"/>
  <c r="Z65" i="17"/>
  <c r="AE65" i="17"/>
  <c r="Z66" i="17"/>
  <c r="AE66" i="17"/>
  <c r="Z67" i="17"/>
  <c r="AE67" i="17"/>
  <c r="Z68" i="17"/>
  <c r="AE68" i="17"/>
  <c r="Z69" i="17"/>
  <c r="AE69" i="17"/>
  <c r="Z70" i="17"/>
  <c r="AE70" i="17"/>
  <c r="Z71" i="17"/>
  <c r="AE71" i="17"/>
  <c r="Z72" i="17"/>
  <c r="AE72" i="17"/>
  <c r="Z73" i="17"/>
  <c r="AE73" i="17"/>
  <c r="Y74" i="17"/>
  <c r="AD74" i="17"/>
  <c r="Y75" i="17"/>
  <c r="AD75" i="17"/>
  <c r="Y76" i="17"/>
  <c r="AD76" i="17"/>
  <c r="Y77" i="17"/>
  <c r="AD77" i="17"/>
  <c r="Y78" i="17"/>
  <c r="AD78" i="17"/>
  <c r="Y79" i="17"/>
  <c r="AD79" i="17"/>
  <c r="Y80" i="17"/>
  <c r="AD80" i="17"/>
  <c r="Y81" i="17"/>
  <c r="AD81" i="17"/>
  <c r="Y82" i="17"/>
  <c r="Z82" i="17"/>
  <c r="AD82" i="17"/>
  <c r="AE82" i="17"/>
  <c r="Y83" i="17"/>
  <c r="Z83" i="17"/>
  <c r="AD83" i="17"/>
  <c r="AE83" i="17"/>
  <c r="Y84" i="17"/>
  <c r="Z84" i="17"/>
  <c r="AD84" i="17"/>
  <c r="AE84" i="17"/>
  <c r="Y85" i="17"/>
  <c r="Z85" i="17"/>
  <c r="AD85" i="17"/>
  <c r="AE85" i="17"/>
  <c r="Y86" i="17"/>
  <c r="Z86" i="17"/>
  <c r="AD86" i="17"/>
  <c r="AE86" i="17"/>
  <c r="Y87" i="17"/>
  <c r="Z87" i="17"/>
  <c r="AD87" i="17"/>
  <c r="AE87" i="17"/>
  <c r="Y88" i="17"/>
  <c r="Z88" i="17"/>
  <c r="AD88" i="17"/>
  <c r="AE88" i="17"/>
  <c r="Y89" i="17"/>
  <c r="Z89" i="17"/>
  <c r="AD89" i="17"/>
  <c r="AE89" i="17"/>
  <c r="Y90" i="17"/>
  <c r="Z90" i="17"/>
  <c r="AD90" i="17"/>
  <c r="AE90" i="17"/>
  <c r="Y91" i="17"/>
  <c r="Z91" i="17"/>
  <c r="AD91" i="17"/>
  <c r="AE91" i="17"/>
  <c r="Y92" i="17"/>
  <c r="Z92" i="17"/>
  <c r="AD92" i="17"/>
  <c r="AE92" i="17"/>
  <c r="Y93" i="17"/>
  <c r="Z93" i="17"/>
  <c r="AD93" i="17"/>
  <c r="AE93" i="17"/>
  <c r="Y94" i="17"/>
  <c r="Z94" i="17"/>
  <c r="AD94" i="17"/>
  <c r="AE94" i="17"/>
  <c r="Y95" i="17"/>
  <c r="Z95" i="17"/>
  <c r="AD95" i="17"/>
  <c r="AE95" i="17"/>
  <c r="Y96" i="17"/>
  <c r="Z96" i="17"/>
  <c r="AD96" i="17"/>
  <c r="AE96" i="17"/>
  <c r="Y97" i="17"/>
  <c r="Z97" i="17"/>
  <c r="AD97" i="17"/>
  <c r="AE97" i="17"/>
  <c r="Y98" i="17"/>
  <c r="Z98" i="17"/>
  <c r="AD98" i="17"/>
  <c r="AE98" i="17"/>
  <c r="Y99" i="17"/>
  <c r="Z99" i="17"/>
  <c r="AD99" i="17"/>
  <c r="AE99" i="17"/>
  <c r="Y100" i="17"/>
  <c r="Z100" i="17"/>
  <c r="AD100" i="17"/>
  <c r="AE100" i="17"/>
  <c r="Y101" i="17"/>
  <c r="Z101" i="17"/>
  <c r="AD101" i="17"/>
  <c r="AE101" i="17"/>
  <c r="Y102" i="17"/>
  <c r="Z102" i="17"/>
  <c r="AD102" i="17"/>
  <c r="AE102" i="17"/>
  <c r="Y103" i="17"/>
  <c r="Z103" i="17"/>
  <c r="AD103" i="17"/>
  <c r="AE103" i="17"/>
  <c r="Y104" i="17"/>
  <c r="Z104" i="17"/>
  <c r="AD104" i="17"/>
  <c r="AE104" i="17"/>
  <c r="Y105" i="17"/>
  <c r="Z105" i="17"/>
  <c r="AD105" i="17"/>
  <c r="AE105" i="17"/>
  <c r="Z106" i="17"/>
  <c r="AE106" i="17"/>
  <c r="Z107" i="17"/>
  <c r="AE107" i="17"/>
  <c r="Z108" i="17"/>
  <c r="AE108" i="17"/>
  <c r="Z109" i="17"/>
  <c r="AE109" i="17"/>
  <c r="Z110" i="17"/>
  <c r="AE110" i="17"/>
  <c r="Z111" i="17"/>
  <c r="AE111" i="17"/>
  <c r="Z112" i="17"/>
  <c r="AE112" i="17"/>
  <c r="Z113" i="17"/>
  <c r="AE113" i="17"/>
  <c r="Z114" i="17"/>
  <c r="AE114" i="17"/>
  <c r="Z115" i="17"/>
  <c r="AE115" i="17"/>
  <c r="Z116" i="17"/>
  <c r="AE116" i="17"/>
  <c r="Z117" i="17"/>
  <c r="AE117" i="17"/>
  <c r="Y118" i="17"/>
  <c r="AD118" i="17"/>
  <c r="Y119" i="17"/>
  <c r="AD119" i="17"/>
  <c r="Y120" i="17"/>
  <c r="AD120" i="17"/>
  <c r="Y121" i="17"/>
  <c r="AD121" i="17"/>
  <c r="Y122" i="17"/>
  <c r="AD122" i="17"/>
  <c r="Y123" i="17"/>
  <c r="AD123" i="17"/>
  <c r="Y124" i="17"/>
  <c r="AD124" i="17"/>
  <c r="Y125" i="17"/>
  <c r="AD125" i="17"/>
  <c r="Y126" i="17"/>
  <c r="AD126" i="17"/>
  <c r="Y127" i="17"/>
  <c r="AD127" i="17"/>
  <c r="Y128" i="17"/>
  <c r="AD128" i="17"/>
  <c r="Y129" i="17"/>
  <c r="AD129" i="17"/>
  <c r="Z130" i="17"/>
  <c r="AE130" i="17"/>
  <c r="Z131" i="17"/>
  <c r="AE131" i="17"/>
  <c r="Z132" i="17"/>
  <c r="AE132" i="17"/>
  <c r="Z133" i="17"/>
  <c r="AE133" i="17"/>
  <c r="Z134" i="17"/>
  <c r="AE134" i="17"/>
  <c r="Z135" i="17"/>
  <c r="AE135" i="17"/>
  <c r="Z136" i="17"/>
  <c r="AE136" i="17"/>
  <c r="Z137" i="17"/>
  <c r="AE137" i="17"/>
  <c r="Z138" i="17"/>
  <c r="AE138" i="17"/>
  <c r="Z139" i="17"/>
  <c r="AE139" i="17"/>
  <c r="Z140" i="17"/>
  <c r="AE140" i="17"/>
  <c r="Z141" i="17"/>
  <c r="AE141" i="17"/>
  <c r="Z142" i="17"/>
  <c r="AE142" i="17"/>
  <c r="Z143" i="17"/>
  <c r="AE143" i="17"/>
  <c r="Z144" i="17"/>
  <c r="AE144" i="17"/>
  <c r="Z145" i="17"/>
  <c r="AE145" i="17"/>
  <c r="Z146" i="17"/>
  <c r="AE146" i="17"/>
  <c r="Z147" i="17"/>
  <c r="AE147" i="17"/>
  <c r="Z148" i="17"/>
  <c r="AE148" i="17"/>
  <c r="Z149" i="17"/>
  <c r="AE149" i="17"/>
  <c r="Z150" i="17"/>
  <c r="AE150" i="17"/>
  <c r="Z151" i="17"/>
  <c r="AE151" i="17"/>
  <c r="Z152" i="17"/>
  <c r="AE152" i="17"/>
  <c r="Z153" i="17"/>
  <c r="AE153" i="17"/>
  <c r="Z154" i="17"/>
  <c r="AE154" i="17"/>
  <c r="Z155" i="17"/>
  <c r="AE155" i="17"/>
  <c r="Z156" i="17"/>
  <c r="AE156" i="17"/>
  <c r="Z157" i="17"/>
  <c r="AE157" i="17"/>
  <c r="Z158" i="17"/>
  <c r="AE158" i="17"/>
  <c r="Z159" i="17"/>
  <c r="AE159" i="17"/>
  <c r="Z160" i="17"/>
  <c r="AE160" i="17"/>
  <c r="Z161" i="17"/>
  <c r="AE161" i="17"/>
  <c r="Z162" i="17"/>
  <c r="AE162" i="17"/>
  <c r="Z163" i="17"/>
  <c r="AE163" i="17"/>
  <c r="Z164" i="17"/>
  <c r="AE164" i="17"/>
  <c r="Z165" i="17"/>
  <c r="AE165" i="17"/>
  <c r="Y166" i="17"/>
  <c r="AD166" i="17"/>
  <c r="Y167" i="17"/>
  <c r="AD167" i="17"/>
  <c r="Y168" i="17"/>
  <c r="AD168" i="17"/>
  <c r="Y169" i="17"/>
  <c r="AD169" i="17"/>
  <c r="Y170" i="17"/>
  <c r="AD170" i="17"/>
  <c r="Y171" i="17"/>
  <c r="AD171" i="17"/>
  <c r="Y172" i="17"/>
  <c r="AD172" i="17"/>
  <c r="Y173" i="17"/>
  <c r="AD173" i="17"/>
  <c r="Y174" i="17"/>
  <c r="AD174" i="17"/>
  <c r="Y175" i="17"/>
  <c r="AD175" i="17"/>
  <c r="Y176" i="17"/>
  <c r="AD176" i="17"/>
  <c r="Y177" i="17"/>
  <c r="AD177" i="17"/>
  <c r="Z178" i="17"/>
  <c r="AE178" i="17"/>
  <c r="Z179" i="17"/>
  <c r="AE179" i="17"/>
  <c r="Z180" i="17"/>
  <c r="AE180" i="17"/>
  <c r="Z181" i="17"/>
  <c r="AE181" i="17"/>
  <c r="Z182" i="17"/>
  <c r="AE182" i="17"/>
  <c r="Z183" i="17"/>
  <c r="AE183" i="17"/>
  <c r="Z184" i="17"/>
  <c r="AE184" i="17"/>
  <c r="Z185" i="17"/>
  <c r="AE185" i="17"/>
  <c r="Z186" i="17"/>
  <c r="AE186" i="17"/>
  <c r="Z187" i="17"/>
  <c r="AE187" i="17"/>
  <c r="Z188" i="17"/>
  <c r="AE188" i="17"/>
  <c r="Z189" i="17"/>
  <c r="AE189" i="17"/>
  <c r="Z190" i="17"/>
  <c r="AE190" i="17"/>
  <c r="Z191" i="17"/>
  <c r="AE191" i="17"/>
  <c r="Z192" i="17"/>
  <c r="AE192" i="17"/>
  <c r="Y193" i="17"/>
  <c r="AD193" i="17"/>
  <c r="Y194" i="17"/>
  <c r="AD194" i="17"/>
  <c r="Y195" i="17"/>
  <c r="AD195" i="17"/>
  <c r="Z196" i="17"/>
  <c r="AE196" i="17"/>
  <c r="Z197" i="17"/>
  <c r="AE197" i="17"/>
  <c r="Z198" i="17"/>
  <c r="AE198" i="17"/>
  <c r="Z199" i="17"/>
  <c r="AE199" i="17"/>
  <c r="Z200" i="17"/>
  <c r="AE200" i="17"/>
  <c r="Z201" i="17"/>
  <c r="AE201" i="17"/>
  <c r="Z202" i="17"/>
  <c r="AE202" i="17"/>
  <c r="Y203" i="17"/>
  <c r="AD203" i="17"/>
  <c r="Y204" i="17"/>
  <c r="AD204" i="17"/>
  <c r="Y205" i="17"/>
  <c r="AD205" i="17"/>
  <c r="Y206" i="17"/>
  <c r="AD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Z218" i="17"/>
  <c r="AE218" i="17"/>
  <c r="Z219" i="17"/>
  <c r="AE219" i="17"/>
  <c r="Z220" i="17"/>
  <c r="AE220" i="17"/>
  <c r="Z221" i="17"/>
  <c r="AE221" i="17"/>
  <c r="Z222" i="17"/>
  <c r="AE222" i="17"/>
  <c r="Y223" i="17"/>
  <c r="AD223" i="17"/>
  <c r="Y224" i="17"/>
  <c r="AD224" i="17"/>
  <c r="Y225" i="17"/>
  <c r="AD225" i="17"/>
  <c r="Y226" i="17"/>
  <c r="AD226" i="17"/>
  <c r="Y227" i="17"/>
  <c r="AD227" i="17"/>
  <c r="Y228" i="17"/>
  <c r="AD228" i="17"/>
  <c r="Y229" i="17"/>
  <c r="AD229" i="17"/>
  <c r="Y230" i="17"/>
  <c r="AD230" i="17"/>
  <c r="Y231" i="17"/>
  <c r="AD231" i="17"/>
  <c r="Y232" i="17"/>
  <c r="AD232" i="17"/>
  <c r="Y233" i="17"/>
  <c r="AD233" i="17"/>
  <c r="Y234" i="17"/>
  <c r="AD234" i="17"/>
  <c r="Z235" i="17"/>
  <c r="AE235" i="17"/>
  <c r="Z236" i="17"/>
  <c r="AE236" i="17"/>
  <c r="Z237" i="17"/>
  <c r="AE237" i="17"/>
  <c r="Z238" i="17"/>
  <c r="AE238" i="17"/>
  <c r="Z239" i="17"/>
  <c r="AE239" i="17"/>
  <c r="Z240" i="17"/>
  <c r="AE240" i="17"/>
  <c r="Z241" i="17"/>
  <c r="AE241" i="17"/>
  <c r="Z242" i="17"/>
  <c r="AE242" i="17"/>
  <c r="Z243" i="17"/>
  <c r="AE243" i="17"/>
  <c r="Z244" i="17"/>
  <c r="AE244" i="17"/>
  <c r="Z245" i="17"/>
  <c r="AE245" i="17"/>
  <c r="Z246" i="17"/>
  <c r="AE246" i="17"/>
  <c r="Z247" i="17"/>
  <c r="AE247" i="17"/>
  <c r="Z248" i="17"/>
  <c r="AE248" i="17"/>
  <c r="Z249" i="17"/>
  <c r="AE249" i="17"/>
  <c r="Z250" i="17"/>
  <c r="AE250" i="17"/>
  <c r="Z251" i="17"/>
  <c r="AE251" i="17"/>
  <c r="Z252" i="17"/>
  <c r="AE252" i="17"/>
  <c r="Z253" i="17"/>
  <c r="AE253" i="17"/>
  <c r="Z254" i="17"/>
  <c r="AE254" i="17"/>
  <c r="Z255" i="17"/>
  <c r="AE255" i="17"/>
  <c r="Z256" i="17"/>
  <c r="AE256" i="17"/>
  <c r="Z257" i="17"/>
  <c r="AE257" i="17"/>
  <c r="Z258" i="17"/>
  <c r="AE258" i="17"/>
  <c r="Z259" i="17"/>
  <c r="AE259" i="17"/>
  <c r="Z260" i="17"/>
  <c r="AE260" i="17"/>
  <c r="Z261" i="17"/>
  <c r="AE261" i="17"/>
  <c r="Z262" i="17"/>
  <c r="AE262" i="17"/>
  <c r="Z263" i="17"/>
  <c r="AE263" i="17"/>
  <c r="Z264" i="17"/>
  <c r="AE264" i="17"/>
  <c r="Z265" i="17"/>
  <c r="AE265" i="17"/>
  <c r="Z266" i="17"/>
  <c r="AE266" i="17"/>
  <c r="Z267" i="17"/>
  <c r="AE267" i="17"/>
  <c r="Z268" i="17"/>
  <c r="AE268" i="17"/>
  <c r="Z269" i="17"/>
  <c r="AE269" i="17"/>
  <c r="Z270" i="17"/>
  <c r="AE270" i="17"/>
  <c r="Z271" i="17"/>
  <c r="AE271" i="17"/>
  <c r="Z272" i="17"/>
  <c r="AE272" i="17"/>
  <c r="Z273" i="17"/>
  <c r="AE273" i="17"/>
  <c r="Z274" i="17"/>
  <c r="AE274" i="17"/>
  <c r="Z275" i="17"/>
  <c r="AE275" i="17"/>
  <c r="Z276" i="17"/>
  <c r="AE276" i="17"/>
  <c r="Z277" i="17"/>
  <c r="AE277" i="17"/>
  <c r="Z278" i="17"/>
  <c r="AE278" i="17"/>
  <c r="Z279" i="17"/>
  <c r="AE279" i="17"/>
  <c r="Z280" i="17"/>
  <c r="AE280" i="17"/>
  <c r="Z281" i="17"/>
  <c r="AE281" i="17"/>
  <c r="Z282" i="17"/>
  <c r="AE282" i="17"/>
  <c r="Z283" i="17"/>
  <c r="AE283" i="17"/>
  <c r="Z284" i="17"/>
  <c r="AE284" i="17"/>
  <c r="Z285" i="17"/>
  <c r="AE285" i="17"/>
  <c r="Z286" i="17"/>
  <c r="AE286" i="17"/>
  <c r="Z287" i="17"/>
  <c r="AE287" i="17"/>
  <c r="Z288" i="17"/>
  <c r="AE288" i="17"/>
  <c r="Z289" i="17"/>
  <c r="AE289" i="17"/>
  <c r="Z290" i="17"/>
  <c r="AE290" i="17"/>
  <c r="Z291" i="17"/>
  <c r="AE291" i="17"/>
  <c r="Z292" i="17"/>
  <c r="AE292" i="17"/>
  <c r="Z293" i="17"/>
  <c r="AE293" i="17"/>
  <c r="Z294" i="17"/>
  <c r="AE294" i="17"/>
  <c r="Z295" i="17"/>
  <c r="AE295" i="17"/>
  <c r="Z296" i="17"/>
  <c r="AE296" i="17"/>
  <c r="Z297" i="17"/>
  <c r="AE297" i="17"/>
  <c r="Z298" i="17"/>
  <c r="AE298" i="17"/>
  <c r="Z299" i="17"/>
  <c r="AE299" i="17"/>
  <c r="Z300" i="17"/>
  <c r="AE300" i="17"/>
  <c r="Z301" i="17"/>
  <c r="AE301" i="17"/>
  <c r="Z302" i="17"/>
  <c r="AE302" i="17"/>
  <c r="Z303" i="17"/>
  <c r="AE303" i="17"/>
  <c r="Z304" i="17"/>
  <c r="AE304" i="17"/>
  <c r="Z305" i="17"/>
  <c r="AE305" i="17"/>
  <c r="Z306" i="17"/>
  <c r="AE306" i="17"/>
  <c r="Z307" i="17"/>
  <c r="AE307" i="17"/>
  <c r="Z308" i="17"/>
  <c r="AE308" i="17"/>
  <c r="Z309" i="17"/>
  <c r="AE309" i="17"/>
  <c r="Z310" i="17"/>
  <c r="AE310" i="17"/>
  <c r="Z311" i="17"/>
  <c r="AE311" i="17"/>
  <c r="Z312" i="17"/>
  <c r="AE312" i="17"/>
  <c r="Z313" i="17"/>
  <c r="AE313" i="17"/>
  <c r="Z314" i="17"/>
  <c r="AE314" i="17"/>
  <c r="Z315" i="17"/>
  <c r="AE315" i="17"/>
  <c r="Z316" i="17"/>
  <c r="AE316" i="17"/>
  <c r="Z317" i="17"/>
  <c r="AE317" i="17"/>
  <c r="Z318" i="17"/>
  <c r="AE318" i="17"/>
  <c r="Z319" i="17"/>
  <c r="AE319" i="17"/>
  <c r="Z320" i="17"/>
  <c r="AE320" i="17"/>
  <c r="Z321" i="17"/>
  <c r="AE321" i="17"/>
  <c r="Z322" i="17"/>
  <c r="AE322" i="17"/>
  <c r="Z323" i="17"/>
  <c r="AE323" i="17"/>
  <c r="Z324" i="17"/>
  <c r="AE324" i="17"/>
  <c r="Z325" i="17"/>
  <c r="AE325" i="17"/>
  <c r="Z326" i="17"/>
  <c r="AE326" i="17"/>
  <c r="Z327" i="17"/>
  <c r="AE327" i="17"/>
  <c r="Z328" i="17"/>
  <c r="AE328" i="17"/>
  <c r="Z329" i="17"/>
  <c r="AE329" i="17"/>
  <c r="Z330" i="17"/>
  <c r="AE330" i="17"/>
  <c r="Z331" i="17"/>
  <c r="AE331" i="17"/>
  <c r="Z332" i="17"/>
  <c r="AE332" i="17"/>
  <c r="Z333" i="17"/>
  <c r="AE333" i="17"/>
  <c r="Z334" i="17"/>
  <c r="AE334" i="17"/>
  <c r="Z335" i="17"/>
  <c r="AE335" i="17"/>
  <c r="Z336" i="17"/>
  <c r="AE336" i="17"/>
  <c r="Z337" i="17"/>
  <c r="AE337" i="17"/>
  <c r="Z338" i="17"/>
  <c r="AE338" i="17"/>
  <c r="Z339" i="17"/>
  <c r="AE339" i="17"/>
  <c r="Z340" i="17"/>
  <c r="AE340" i="17"/>
  <c r="Z341" i="17"/>
  <c r="AE341" i="17"/>
  <c r="Z342" i="17"/>
  <c r="AE342" i="17"/>
  <c r="Z343" i="17"/>
  <c r="AE343" i="17"/>
  <c r="Z344" i="17"/>
  <c r="AE344" i="17"/>
  <c r="Z345" i="17"/>
  <c r="AE345" i="17"/>
  <c r="Z346" i="17"/>
  <c r="AE346" i="17"/>
  <c r="Z347" i="17"/>
  <c r="AE347" i="17"/>
  <c r="Z348" i="17"/>
  <c r="AE348" i="17"/>
  <c r="Z349" i="17"/>
  <c r="AE349" i="17"/>
  <c r="Z350" i="17"/>
  <c r="AE350" i="17"/>
  <c r="Z351" i="17"/>
  <c r="AE351" i="17"/>
  <c r="Z352" i="17"/>
  <c r="AE352" i="17"/>
  <c r="Z353" i="17"/>
  <c r="AE353" i="17"/>
  <c r="Z354" i="17"/>
  <c r="AE354" i="17"/>
  <c r="Z355" i="17"/>
  <c r="AE355" i="17"/>
  <c r="Z356" i="17"/>
  <c r="AE356" i="17"/>
  <c r="Z357" i="17"/>
  <c r="AE357" i="17"/>
  <c r="Z358" i="17"/>
  <c r="AE358" i="17"/>
  <c r="Z359" i="17"/>
  <c r="AE359" i="17"/>
  <c r="Z360" i="17"/>
  <c r="AE360" i="17"/>
  <c r="Z361" i="17"/>
  <c r="AE361" i="17"/>
  <c r="Z362" i="17"/>
  <c r="AE362" i="17"/>
  <c r="Z363" i="17"/>
  <c r="AE363" i="17"/>
  <c r="Z364" i="17"/>
  <c r="AE364" i="17"/>
  <c r="Z365" i="17"/>
  <c r="AE365" i="17"/>
  <c r="Z366" i="17"/>
  <c r="AE366" i="17"/>
  <c r="Z367" i="17"/>
  <c r="AE367" i="17"/>
  <c r="Z368" i="17"/>
  <c r="AE368" i="17"/>
  <c r="Z369" i="17"/>
  <c r="AE369" i="17"/>
  <c r="Z370" i="17"/>
  <c r="AE370" i="17"/>
  <c r="Z371" i="17"/>
  <c r="AE371" i="17"/>
  <c r="Z372" i="17"/>
  <c r="AE372" i="17"/>
  <c r="Z373" i="17"/>
  <c r="AE373" i="17"/>
  <c r="Z374" i="17"/>
  <c r="AE374" i="17"/>
  <c r="Z375" i="17"/>
  <c r="AE375" i="17"/>
  <c r="Z376" i="17"/>
  <c r="AE376" i="17"/>
  <c r="Z377" i="17"/>
  <c r="AE377" i="17"/>
  <c r="Z378" i="17"/>
  <c r="AE378" i="17"/>
  <c r="Z379" i="17"/>
  <c r="AE379" i="17"/>
  <c r="Z380" i="17"/>
  <c r="AE380" i="17"/>
  <c r="Z381" i="17"/>
  <c r="AE381" i="17"/>
  <c r="Z382" i="17"/>
  <c r="AE382" i="17"/>
  <c r="Z383" i="17"/>
  <c r="AE383" i="17"/>
  <c r="Z384" i="17"/>
  <c r="AE384" i="17"/>
  <c r="Z385" i="17"/>
  <c r="AE385" i="17"/>
  <c r="Z386" i="17"/>
  <c r="AE386" i="17"/>
  <c r="Z387" i="17"/>
  <c r="AE387" i="17"/>
  <c r="Z388" i="17"/>
  <c r="AE388" i="17"/>
  <c r="Z389" i="17"/>
  <c r="AE389" i="17"/>
  <c r="Z390" i="17"/>
  <c r="AE390" i="17"/>
  <c r="Z391" i="17"/>
  <c r="AE391" i="17"/>
  <c r="Z392" i="17"/>
  <c r="AE392" i="17"/>
  <c r="Z393" i="17"/>
  <c r="AE393" i="17"/>
  <c r="Z394" i="17"/>
  <c r="AE394" i="17"/>
  <c r="Z395" i="17"/>
  <c r="AE395" i="17"/>
  <c r="Z396" i="17"/>
  <c r="AE396" i="17"/>
  <c r="Z397" i="17"/>
  <c r="AE397" i="17"/>
  <c r="Z398" i="17"/>
  <c r="AE398" i="17"/>
  <c r="Z399" i="17"/>
  <c r="AE399" i="17"/>
  <c r="Z400" i="17"/>
  <c r="AE400" i="17"/>
  <c r="Z401" i="17"/>
  <c r="AE401" i="17"/>
  <c r="Z402" i="17"/>
  <c r="AE402" i="17"/>
  <c r="Z403" i="17"/>
  <c r="AE403" i="17"/>
  <c r="Z404" i="17"/>
  <c r="AE404" i="17"/>
  <c r="Z405" i="17"/>
  <c r="AE405" i="17"/>
  <c r="Z406" i="17"/>
  <c r="AE406" i="17"/>
  <c r="Z407" i="17"/>
  <c r="AE407" i="17"/>
  <c r="Z408" i="17"/>
  <c r="AE408" i="17"/>
  <c r="Z409" i="17"/>
  <c r="AE409" i="17"/>
  <c r="Z410" i="17"/>
  <c r="AE410" i="17"/>
  <c r="Z411" i="17"/>
  <c r="AE411" i="17"/>
  <c r="Z412" i="17"/>
  <c r="AE412" i="17"/>
  <c r="Z413" i="17"/>
  <c r="AE413" i="17"/>
  <c r="Z414" i="17"/>
  <c r="AE414" i="17"/>
  <c r="Z415" i="17"/>
  <c r="AE415" i="17"/>
  <c r="Z416" i="17"/>
  <c r="AE416" i="17"/>
  <c r="E5" i="33"/>
  <c r="F5" i="33"/>
  <c r="G5" i="33"/>
  <c r="H5" i="33"/>
  <c r="I5" i="33"/>
  <c r="R5" i="33"/>
  <c r="S5" i="33"/>
  <c r="U5" i="33"/>
  <c r="E6" i="33"/>
  <c r="F6" i="33"/>
  <c r="G6" i="33"/>
  <c r="H6" i="33"/>
  <c r="I6" i="33"/>
  <c r="R6" i="33"/>
  <c r="S6" i="33"/>
  <c r="U6" i="33"/>
  <c r="E7" i="33"/>
  <c r="F7" i="33"/>
  <c r="H7" i="33"/>
  <c r="I7" i="33"/>
  <c r="R7" i="33"/>
  <c r="S7" i="33"/>
  <c r="U7" i="33"/>
  <c r="E8" i="33"/>
  <c r="F8" i="33"/>
  <c r="H8" i="33"/>
  <c r="I8" i="33"/>
  <c r="R8" i="33"/>
  <c r="S8" i="33"/>
  <c r="U8" i="33"/>
  <c r="E9" i="33"/>
  <c r="H9" i="33"/>
  <c r="R9" i="33"/>
  <c r="S9" i="33"/>
  <c r="U9" i="33"/>
  <c r="F10" i="33"/>
  <c r="G10" i="33"/>
  <c r="I10" i="33"/>
  <c r="R10" i="33"/>
  <c r="S10" i="33"/>
  <c r="U10" i="33"/>
  <c r="F11" i="33"/>
  <c r="G11" i="33"/>
  <c r="I11" i="33"/>
  <c r="R11" i="33"/>
  <c r="S11" i="33"/>
  <c r="U11" i="33"/>
  <c r="E12" i="33"/>
  <c r="H12" i="33"/>
  <c r="R12" i="33"/>
  <c r="S12" i="33"/>
  <c r="U12" i="33"/>
  <c r="F13" i="33"/>
  <c r="I13" i="33"/>
  <c r="R13" i="33"/>
  <c r="S13" i="33"/>
  <c r="U13" i="33"/>
  <c r="F14" i="33"/>
  <c r="I14" i="33"/>
  <c r="R14" i="33"/>
  <c r="S14" i="33"/>
  <c r="U14" i="33"/>
  <c r="E15" i="33"/>
  <c r="H15" i="33"/>
  <c r="R15" i="33"/>
  <c r="S15" i="33"/>
  <c r="U15" i="33"/>
  <c r="E16" i="33"/>
  <c r="F16" i="33"/>
  <c r="G16" i="33"/>
  <c r="H16" i="33"/>
  <c r="I16" i="33"/>
  <c r="R16" i="33"/>
  <c r="S16" i="33"/>
  <c r="U16" i="33"/>
  <c r="E17" i="33"/>
  <c r="F17" i="33"/>
  <c r="G17" i="33"/>
  <c r="H17" i="33"/>
  <c r="I17" i="33"/>
  <c r="R17" i="33"/>
  <c r="S17" i="33"/>
  <c r="U17" i="33"/>
  <c r="E18" i="33"/>
  <c r="F18" i="33"/>
  <c r="H18" i="33"/>
  <c r="I18" i="33"/>
  <c r="R18" i="33"/>
  <c r="S18" i="33"/>
  <c r="U18" i="33"/>
  <c r="E19" i="33"/>
  <c r="F19" i="33"/>
  <c r="H19" i="33"/>
  <c r="I19" i="33"/>
  <c r="R19" i="33"/>
  <c r="S19" i="33"/>
  <c r="U19" i="33"/>
  <c r="E20" i="33"/>
  <c r="H20" i="33"/>
  <c r="R20" i="33"/>
  <c r="S20" i="33"/>
  <c r="U20" i="33"/>
  <c r="F21" i="33"/>
  <c r="G21" i="33"/>
  <c r="I21" i="33"/>
  <c r="R21" i="33"/>
  <c r="S21" i="33"/>
  <c r="U21" i="33"/>
  <c r="F22" i="33"/>
  <c r="G22" i="33"/>
  <c r="I22" i="33"/>
  <c r="R22" i="33"/>
  <c r="S22" i="33"/>
  <c r="U22" i="33"/>
  <c r="E23" i="33"/>
  <c r="H23" i="33"/>
  <c r="R23" i="33"/>
  <c r="S23" i="33"/>
  <c r="U23" i="33"/>
  <c r="F24" i="33"/>
  <c r="I24" i="33"/>
  <c r="R24" i="33"/>
  <c r="S24" i="33"/>
  <c r="U24" i="33"/>
  <c r="F25" i="33"/>
  <c r="I25" i="33"/>
  <c r="R25" i="33"/>
  <c r="S25" i="33"/>
  <c r="U25" i="33"/>
  <c r="E26" i="33"/>
  <c r="H26" i="33"/>
  <c r="R26" i="33"/>
  <c r="S26" i="33"/>
  <c r="U26" i="33"/>
  <c r="R27" i="33"/>
  <c r="S27" i="33"/>
  <c r="U27" i="33"/>
  <c r="R28" i="33"/>
  <c r="S28" i="33"/>
  <c r="U28" i="33"/>
  <c r="R29" i="33"/>
  <c r="S29" i="33"/>
  <c r="U29" i="33"/>
  <c r="R30" i="33"/>
  <c r="S30" i="33"/>
  <c r="U30" i="33"/>
  <c r="R31" i="33"/>
  <c r="S31" i="33"/>
  <c r="U31" i="33"/>
  <c r="R32" i="33"/>
  <c r="S32" i="33"/>
  <c r="U32" i="33"/>
  <c r="R33" i="33"/>
  <c r="S33" i="33"/>
  <c r="U33" i="33"/>
  <c r="Q34" i="33"/>
  <c r="T34" i="33"/>
  <c r="Q35" i="33"/>
  <c r="T35" i="33"/>
  <c r="G5" i="22"/>
  <c r="I5" i="22"/>
  <c r="G6" i="22"/>
  <c r="I6" i="22"/>
  <c r="G7" i="22"/>
  <c r="I7" i="22"/>
  <c r="G10" i="22"/>
  <c r="I10" i="22"/>
  <c r="G11" i="22"/>
  <c r="I11" i="22"/>
  <c r="G12" i="22"/>
  <c r="I12" i="22"/>
  <c r="G15" i="22"/>
  <c r="I15" i="22"/>
  <c r="G16" i="22"/>
  <c r="I16" i="22"/>
  <c r="G18" i="22"/>
  <c r="I18" i="22"/>
  <c r="G19" i="22"/>
  <c r="I19" i="22"/>
  <c r="G20" i="22"/>
  <c r="I20" i="22"/>
  <c r="G23" i="22"/>
  <c r="I23" i="22"/>
  <c r="G24" i="22"/>
  <c r="I24" i="22"/>
  <c r="G25" i="22"/>
  <c r="I25" i="22"/>
  <c r="D30" i="22"/>
  <c r="F30" i="22"/>
  <c r="G30" i="22"/>
  <c r="D31" i="22"/>
  <c r="F31" i="22"/>
  <c r="G31" i="22"/>
  <c r="F32" i="22"/>
  <c r="G32" i="22"/>
  <c r="F33" i="22"/>
  <c r="G33" i="22"/>
  <c r="D34" i="22"/>
  <c r="F34" i="22"/>
  <c r="G34" i="22"/>
  <c r="D35" i="22"/>
  <c r="F35" i="22"/>
  <c r="G35" i="22"/>
  <c r="D36" i="22"/>
  <c r="F36" i="22"/>
  <c r="G36" i="22"/>
  <c r="AB5" i="24"/>
  <c r="AI5" i="24"/>
  <c r="AL5" i="24"/>
  <c r="AB6" i="24"/>
  <c r="AI6" i="24"/>
  <c r="AL6" i="24"/>
  <c r="AB7" i="24"/>
  <c r="AI7" i="24"/>
  <c r="AL7" i="24"/>
  <c r="AB8" i="24"/>
  <c r="AI8" i="24"/>
  <c r="AL8" i="24"/>
  <c r="AB9" i="24"/>
  <c r="AI9" i="24"/>
  <c r="AL9" i="24"/>
  <c r="AB10" i="24"/>
  <c r="AI10" i="24"/>
  <c r="AL10" i="24"/>
  <c r="AB11" i="24"/>
  <c r="AI11" i="24"/>
  <c r="AL11" i="24"/>
  <c r="AB12" i="24"/>
  <c r="AI12" i="24"/>
  <c r="AL12" i="24"/>
  <c r="AB13" i="24"/>
  <c r="AI13" i="24"/>
  <c r="AL13" i="24"/>
  <c r="AB14" i="24"/>
  <c r="AI14" i="24"/>
  <c r="AL14" i="24"/>
  <c r="AB15" i="24"/>
  <c r="AI15" i="24"/>
  <c r="AL15" i="24"/>
  <c r="AB16" i="24"/>
  <c r="AI16" i="24"/>
  <c r="AL16" i="24"/>
  <c r="AB17" i="24"/>
  <c r="AI17" i="24"/>
  <c r="AL17" i="24"/>
  <c r="AB18" i="24"/>
  <c r="AI18" i="24"/>
  <c r="AL18" i="24"/>
  <c r="AB19" i="24"/>
  <c r="AI19" i="24"/>
  <c r="AL19" i="24"/>
  <c r="AB20" i="24"/>
  <c r="AI20" i="24"/>
  <c r="AL20" i="24"/>
  <c r="AB21" i="24"/>
  <c r="AI21" i="24"/>
  <c r="AL21" i="24"/>
  <c r="AB22" i="24"/>
  <c r="AI22" i="24"/>
  <c r="AL22" i="24"/>
  <c r="AB23" i="24"/>
  <c r="AI23" i="24"/>
  <c r="AL23" i="24"/>
  <c r="AB24" i="24"/>
  <c r="AI24" i="24"/>
  <c r="AL24" i="24"/>
  <c r="AB25" i="24"/>
  <c r="AI25" i="24"/>
  <c r="AL25" i="24"/>
  <c r="AB26" i="24"/>
  <c r="AI26" i="24"/>
  <c r="AL26" i="24"/>
  <c r="AB27" i="24"/>
  <c r="AI27" i="24"/>
  <c r="AL27" i="24"/>
  <c r="AB28" i="24"/>
  <c r="AI28" i="24"/>
  <c r="AL28" i="24"/>
  <c r="AB29" i="24"/>
  <c r="AI29" i="24"/>
  <c r="AL29" i="24"/>
  <c r="AB30" i="24"/>
  <c r="AI30" i="24"/>
  <c r="AL30" i="24"/>
  <c r="AB31" i="24"/>
  <c r="AI31" i="24"/>
  <c r="AL31" i="24"/>
  <c r="AB32" i="24"/>
  <c r="AI32" i="24"/>
  <c r="AL32" i="24"/>
  <c r="AB33" i="24"/>
  <c r="AI33" i="24"/>
  <c r="AL33" i="24"/>
  <c r="AB34" i="24"/>
  <c r="AI34" i="24"/>
  <c r="AL34" i="24"/>
  <c r="AB35" i="24"/>
  <c r="AI35" i="24"/>
  <c r="AL35" i="24"/>
  <c r="AB36" i="24"/>
  <c r="AI36" i="24"/>
  <c r="AL36" i="24"/>
  <c r="AB37" i="24"/>
  <c r="AI37" i="24"/>
  <c r="AL37" i="24"/>
  <c r="AB38" i="24"/>
  <c r="AI38" i="24"/>
  <c r="AL38" i="24"/>
  <c r="AB39" i="24"/>
  <c r="AI39" i="24"/>
  <c r="AL39" i="24"/>
  <c r="AB40" i="24"/>
  <c r="AI40" i="24"/>
  <c r="AL40" i="24"/>
  <c r="AB41" i="24"/>
  <c r="AI41" i="24"/>
  <c r="AL41" i="24"/>
  <c r="AB42" i="24"/>
  <c r="AI42" i="24"/>
  <c r="AL42" i="24"/>
  <c r="AB43" i="24"/>
  <c r="AI43" i="24"/>
  <c r="AL43" i="24"/>
  <c r="AB44" i="24"/>
  <c r="AI44" i="24"/>
  <c r="AL44" i="24"/>
  <c r="AB46" i="24"/>
  <c r="N7" i="6"/>
  <c r="AJ7" i="6"/>
  <c r="AK7" i="6"/>
  <c r="N8" i="6"/>
  <c r="AJ8" i="6"/>
  <c r="AK8" i="6"/>
  <c r="N11" i="6"/>
  <c r="AJ11" i="6"/>
  <c r="AK11" i="6"/>
  <c r="N12" i="6"/>
  <c r="AJ12" i="6"/>
  <c r="AK12" i="6"/>
  <c r="N13" i="6"/>
  <c r="AJ13" i="6"/>
  <c r="AK13" i="6"/>
  <c r="N14" i="6"/>
  <c r="AJ14" i="6"/>
  <c r="AK14" i="6"/>
  <c r="N16" i="6"/>
  <c r="AJ16" i="6"/>
  <c r="AK16" i="6"/>
  <c r="N19" i="6"/>
  <c r="AJ19" i="6"/>
  <c r="AK19" i="6"/>
  <c r="N20" i="6"/>
  <c r="AJ20" i="6"/>
  <c r="AK20" i="6"/>
  <c r="N23" i="6"/>
  <c r="AJ23" i="6"/>
  <c r="AK23" i="6"/>
  <c r="N24" i="6"/>
  <c r="AJ24" i="6"/>
  <c r="AK24" i="6"/>
  <c r="N25" i="6"/>
  <c r="AJ25" i="6"/>
  <c r="AK25" i="6"/>
  <c r="N26" i="6"/>
  <c r="AJ26" i="6"/>
  <c r="AK26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2" i="6"/>
  <c r="AJ52" i="6"/>
  <c r="AK52" i="6"/>
  <c r="N53" i="6"/>
  <c r="AJ53" i="6"/>
  <c r="AK53" i="6"/>
  <c r="N54" i="6"/>
  <c r="AJ54" i="6"/>
  <c r="AK54" i="6"/>
  <c r="N55" i="6"/>
  <c r="AJ55" i="6"/>
  <c r="AK55" i="6"/>
  <c r="N56" i="6"/>
  <c r="AJ56" i="6"/>
  <c r="AK56" i="6"/>
  <c r="N57" i="6"/>
  <c r="AJ57" i="6"/>
  <c r="AK57" i="6"/>
  <c r="N58" i="6"/>
  <c r="AJ58" i="6"/>
  <c r="AK58" i="6"/>
  <c r="N59" i="6"/>
  <c r="AJ59" i="6"/>
  <c r="AK59" i="6"/>
  <c r="N60" i="6"/>
  <c r="AJ60" i="6"/>
  <c r="AK60" i="6"/>
  <c r="N61" i="6"/>
  <c r="AJ61" i="6"/>
  <c r="AK61" i="6"/>
  <c r="N62" i="6"/>
  <c r="AJ62" i="6"/>
  <c r="AK62" i="6"/>
  <c r="N63" i="6"/>
  <c r="AJ63" i="6"/>
  <c r="AK63" i="6"/>
  <c r="N67" i="6"/>
  <c r="AJ67" i="6"/>
  <c r="AK67" i="6"/>
  <c r="N72" i="6"/>
  <c r="AJ72" i="6"/>
  <c r="AK72" i="6"/>
  <c r="L75" i="6"/>
  <c r="N75" i="6"/>
  <c r="O75" i="6"/>
  <c r="L76" i="6"/>
  <c r="N76" i="6"/>
  <c r="O76" i="6"/>
  <c r="L77" i="6"/>
  <c r="N77" i="6"/>
  <c r="N78" i="6"/>
  <c r="L79" i="6"/>
  <c r="L80" i="6"/>
  <c r="L81" i="6"/>
  <c r="L82" i="6"/>
  <c r="L83" i="6"/>
  <c r="N5" i="28"/>
  <c r="AB5" i="28"/>
  <c r="AC5" i="28"/>
  <c r="AF5" i="28"/>
  <c r="AG5" i="28"/>
  <c r="N6" i="28"/>
  <c r="AB6" i="28"/>
  <c r="AC6" i="28"/>
  <c r="AF6" i="28"/>
  <c r="AG6" i="28"/>
  <c r="N7" i="28"/>
  <c r="AB7" i="28"/>
  <c r="AC7" i="28"/>
  <c r="AF7" i="28"/>
  <c r="AG7" i="28"/>
  <c r="N8" i="28"/>
  <c r="AB8" i="28"/>
  <c r="AC8" i="28"/>
  <c r="AF8" i="28"/>
  <c r="AG8" i="28"/>
  <c r="N9" i="28"/>
  <c r="AB9" i="28"/>
  <c r="AC9" i="28"/>
  <c r="AF9" i="28"/>
  <c r="AG9" i="28"/>
  <c r="N10" i="28"/>
  <c r="AB10" i="28"/>
  <c r="AC10" i="28"/>
  <c r="AF10" i="28"/>
  <c r="AG10" i="28"/>
  <c r="N11" i="28"/>
  <c r="AB11" i="28"/>
  <c r="AC11" i="28"/>
  <c r="AF11" i="28"/>
  <c r="AG11" i="28"/>
  <c r="N12" i="28"/>
  <c r="AB12" i="28"/>
  <c r="AC12" i="28"/>
  <c r="AF12" i="28"/>
  <c r="AG12" i="28"/>
  <c r="N13" i="28"/>
  <c r="AB13" i="28"/>
  <c r="AC13" i="28"/>
  <c r="AF13" i="28"/>
  <c r="AG13" i="28"/>
  <c r="N14" i="28"/>
  <c r="AB14" i="28"/>
  <c r="AC14" i="28"/>
  <c r="AF14" i="28"/>
  <c r="AG14" i="28"/>
  <c r="N15" i="28"/>
  <c r="AB15" i="28"/>
  <c r="AC15" i="28"/>
  <c r="AF15" i="28"/>
  <c r="AG15" i="28"/>
  <c r="N16" i="28"/>
  <c r="AB16" i="28"/>
  <c r="AC16" i="28"/>
  <c r="AF16" i="28"/>
  <c r="AG16" i="28"/>
  <c r="N17" i="28"/>
  <c r="AB17" i="28"/>
  <c r="AC17" i="28"/>
  <c r="AF17" i="28"/>
  <c r="AG17" i="28"/>
  <c r="N18" i="28"/>
  <c r="AB18" i="28"/>
  <c r="AC18" i="28"/>
  <c r="AF18" i="28"/>
  <c r="AG18" i="28"/>
  <c r="N19" i="28"/>
  <c r="AB19" i="28"/>
  <c r="AC19" i="28"/>
  <c r="AF19" i="28"/>
  <c r="AG19" i="28"/>
  <c r="N20" i="28"/>
  <c r="AB20" i="28"/>
  <c r="AC20" i="28"/>
  <c r="AF20" i="28"/>
  <c r="AG20" i="28"/>
  <c r="N21" i="28"/>
  <c r="AB21" i="28"/>
  <c r="AC21" i="28"/>
  <c r="AF21" i="28"/>
  <c r="AG21" i="28"/>
  <c r="N22" i="28"/>
  <c r="AB22" i="28"/>
  <c r="AC22" i="28"/>
  <c r="AF22" i="28"/>
  <c r="AG22" i="28"/>
  <c r="N23" i="28"/>
  <c r="AB23" i="28"/>
  <c r="AC23" i="28"/>
  <c r="AF23" i="28"/>
  <c r="AG23" i="28"/>
  <c r="N24" i="28"/>
  <c r="AB24" i="28"/>
  <c r="AC24" i="28"/>
  <c r="AF24" i="28"/>
  <c r="AG24" i="28"/>
  <c r="N25" i="28"/>
  <c r="AB25" i="28"/>
  <c r="AC25" i="28"/>
  <c r="AF25" i="28"/>
  <c r="AG25" i="28"/>
  <c r="N26" i="28"/>
  <c r="AB26" i="28"/>
  <c r="AC26" i="28"/>
  <c r="AF26" i="28"/>
  <c r="AG26" i="28"/>
  <c r="N27" i="28"/>
  <c r="AB27" i="28"/>
  <c r="AC27" i="28"/>
  <c r="AF27" i="28"/>
  <c r="AG27" i="28"/>
  <c r="N28" i="28"/>
  <c r="AB28" i="28"/>
  <c r="AC28" i="28"/>
  <c r="AF28" i="28"/>
  <c r="AG28" i="28"/>
  <c r="N29" i="28"/>
  <c r="AB29" i="28"/>
  <c r="AC29" i="28"/>
  <c r="AF29" i="28"/>
  <c r="AG29" i="28"/>
  <c r="N30" i="28"/>
  <c r="AB30" i="28"/>
  <c r="AC30" i="28"/>
  <c r="AF30" i="28"/>
  <c r="AG30" i="28"/>
  <c r="N31" i="28"/>
  <c r="AB31" i="28"/>
  <c r="AC31" i="28"/>
  <c r="AF31" i="28"/>
  <c r="AG31" i="28"/>
  <c r="N32" i="28"/>
  <c r="AB32" i="28"/>
  <c r="AC32" i="28"/>
  <c r="AF32" i="28"/>
  <c r="AG32" i="28"/>
  <c r="N33" i="28"/>
  <c r="AB33" i="28"/>
  <c r="AC33" i="28"/>
  <c r="AF33" i="28"/>
  <c r="AG33" i="28"/>
  <c r="N34" i="28"/>
  <c r="AB34" i="28"/>
  <c r="AC34" i="28"/>
  <c r="AF34" i="28"/>
  <c r="AG34" i="28"/>
  <c r="N35" i="28"/>
  <c r="AB35" i="28"/>
  <c r="AC35" i="28"/>
  <c r="AF35" i="28"/>
  <c r="AG35" i="28"/>
  <c r="N36" i="28"/>
  <c r="AB36" i="28"/>
  <c r="AC36" i="28"/>
  <c r="AF36" i="28"/>
  <c r="AG36" i="28"/>
  <c r="N37" i="28"/>
  <c r="AB37" i="28"/>
  <c r="AC37" i="28"/>
  <c r="AF37" i="28"/>
  <c r="AG37" i="28"/>
  <c r="N38" i="28"/>
  <c r="AB38" i="28"/>
  <c r="AC38" i="28"/>
  <c r="AF38" i="28"/>
  <c r="AG38" i="28"/>
  <c r="N39" i="28"/>
  <c r="AB39" i="28"/>
  <c r="AC39" i="28"/>
  <c r="AF39" i="28"/>
  <c r="AG39" i="28"/>
  <c r="N40" i="28"/>
  <c r="AB40" i="28"/>
  <c r="AC40" i="28"/>
  <c r="AF40" i="28"/>
  <c r="AG40" i="28"/>
  <c r="N41" i="28"/>
  <c r="AB41" i="28"/>
  <c r="AC41" i="28"/>
  <c r="AF41" i="28"/>
  <c r="AG41" i="28"/>
  <c r="N42" i="28"/>
  <c r="AB42" i="28"/>
  <c r="AC42" i="28"/>
  <c r="AF42" i="28"/>
  <c r="AG42" i="28"/>
  <c r="N43" i="28"/>
  <c r="AB43" i="28"/>
  <c r="AC43" i="28"/>
  <c r="AF43" i="28"/>
  <c r="AG43" i="28"/>
  <c r="N44" i="28"/>
  <c r="AB44" i="28"/>
  <c r="AC44" i="28"/>
  <c r="AF44" i="28"/>
  <c r="AG44" i="28"/>
  <c r="N45" i="28"/>
  <c r="AB45" i="28"/>
  <c r="AC45" i="28"/>
  <c r="AF45" i="28"/>
  <c r="AG45" i="28"/>
  <c r="N46" i="28"/>
  <c r="AB46" i="28"/>
  <c r="AC46" i="28"/>
  <c r="AF46" i="28"/>
  <c r="AG46" i="28"/>
  <c r="N47" i="28"/>
  <c r="AB47" i="28"/>
  <c r="AC47" i="28"/>
  <c r="AF47" i="28"/>
  <c r="AG47" i="28"/>
  <c r="N48" i="28"/>
  <c r="AB48" i="28"/>
  <c r="AC48" i="28"/>
  <c r="AF48" i="28"/>
  <c r="AG48" i="28"/>
  <c r="N49" i="28"/>
  <c r="AB49" i="28"/>
  <c r="AC49" i="28"/>
  <c r="AF49" i="28"/>
  <c r="AG49" i="28"/>
  <c r="N50" i="28"/>
  <c r="AB50" i="28"/>
  <c r="AC50" i="28"/>
  <c r="AF50" i="28"/>
  <c r="AG50" i="28"/>
  <c r="N51" i="28"/>
  <c r="AB51" i="28"/>
  <c r="AC51" i="28"/>
  <c r="AF51" i="28"/>
  <c r="AG51" i="28"/>
  <c r="N52" i="28"/>
  <c r="AB52" i="28"/>
  <c r="AC52" i="28"/>
  <c r="AF52" i="28"/>
  <c r="AG52" i="28"/>
  <c r="N53" i="28"/>
  <c r="AB53" i="28"/>
  <c r="AC53" i="28"/>
  <c r="AF53" i="28"/>
  <c r="AG53" i="28"/>
  <c r="N54" i="28"/>
  <c r="AB54" i="28"/>
  <c r="AC54" i="28"/>
  <c r="AF54" i="28"/>
  <c r="AG54" i="28"/>
  <c r="N55" i="28"/>
  <c r="AB55" i="28"/>
  <c r="AC55" i="28"/>
  <c r="AF55" i="28"/>
  <c r="AG55" i="28"/>
  <c r="N56" i="28"/>
  <c r="AB56" i="28"/>
  <c r="AC56" i="28"/>
  <c r="AF56" i="28"/>
  <c r="AG56" i="28"/>
  <c r="N57" i="28"/>
  <c r="AB57" i="28"/>
  <c r="AC57" i="28"/>
  <c r="AF57" i="28"/>
  <c r="AG57" i="28"/>
  <c r="N58" i="28"/>
  <c r="AB58" i="28"/>
  <c r="AC58" i="28"/>
  <c r="AF58" i="28"/>
  <c r="AG58" i="28"/>
  <c r="N59" i="28"/>
  <c r="AB59" i="28"/>
  <c r="AC59" i="28"/>
  <c r="AF59" i="28"/>
  <c r="AG59" i="28"/>
  <c r="N60" i="28"/>
  <c r="AB60" i="28"/>
  <c r="AC60" i="28"/>
  <c r="AF60" i="28"/>
  <c r="AG60" i="28"/>
  <c r="N61" i="28"/>
  <c r="AB61" i="28"/>
  <c r="AC61" i="28"/>
  <c r="AF61" i="28"/>
  <c r="AG61" i="28"/>
  <c r="N62" i="28"/>
  <c r="AB62" i="28"/>
  <c r="AC62" i="28"/>
  <c r="AF62" i="28"/>
  <c r="AG62" i="28"/>
  <c r="N63" i="28"/>
  <c r="AB63" i="28"/>
  <c r="AC63" i="28"/>
  <c r="AF63" i="28"/>
  <c r="AG63" i="28"/>
  <c r="N69" i="28"/>
  <c r="AB69" i="28"/>
  <c r="AC69" i="28"/>
  <c r="AF69" i="28"/>
  <c r="AG69" i="28"/>
  <c r="N70" i="28"/>
  <c r="AB70" i="28"/>
  <c r="AC70" i="28"/>
  <c r="AF70" i="28"/>
  <c r="AG70" i="28"/>
  <c r="N71" i="28"/>
  <c r="AB71" i="28"/>
  <c r="AC71" i="28"/>
  <c r="AF71" i="28"/>
  <c r="AG71" i="28"/>
  <c r="N72" i="28"/>
  <c r="AB72" i="28"/>
  <c r="AC72" i="28"/>
  <c r="AF72" i="28"/>
  <c r="AG72" i="28"/>
  <c r="N73" i="28"/>
  <c r="AB73" i="28"/>
  <c r="AC73" i="28"/>
  <c r="AF73" i="28"/>
  <c r="AG73" i="28"/>
  <c r="N74" i="28"/>
  <c r="AB74" i="28"/>
  <c r="AC74" i="28"/>
  <c r="AF74" i="28"/>
  <c r="AG74" i="28"/>
  <c r="N75" i="28"/>
  <c r="AB75" i="28"/>
  <c r="AC75" i="28"/>
  <c r="AF75" i="28"/>
  <c r="AG75" i="28"/>
  <c r="N76" i="28"/>
  <c r="AB76" i="28"/>
  <c r="AC76" i="28"/>
  <c r="AF76" i="28"/>
  <c r="AG76" i="28"/>
  <c r="N77" i="28"/>
  <c r="AB77" i="28"/>
  <c r="AC77" i="28"/>
  <c r="AF77" i="28"/>
  <c r="AG77" i="28"/>
  <c r="N78" i="28"/>
  <c r="AB78" i="28"/>
  <c r="AC78" i="28"/>
  <c r="AF78" i="28"/>
  <c r="AG78" i="28"/>
  <c r="N79" i="28"/>
  <c r="AB79" i="28"/>
  <c r="AC79" i="28"/>
  <c r="AF79" i="28"/>
  <c r="AG79" i="28"/>
  <c r="N80" i="28"/>
  <c r="AB80" i="28"/>
  <c r="AC80" i="28"/>
  <c r="AF80" i="28"/>
  <c r="AG80" i="28"/>
  <c r="N81" i="28"/>
  <c r="AB81" i="28"/>
  <c r="AC81" i="28"/>
  <c r="AF81" i="28"/>
  <c r="AG81" i="28"/>
  <c r="N82" i="28"/>
  <c r="AB82" i="28"/>
  <c r="AC82" i="28"/>
  <c r="AF82" i="28"/>
  <c r="AG82" i="28"/>
  <c r="N83" i="28"/>
  <c r="AB83" i="28"/>
  <c r="AC83" i="28"/>
  <c r="AF83" i="28"/>
  <c r="AG83" i="28"/>
  <c r="N84" i="28"/>
  <c r="AB84" i="28"/>
  <c r="AC84" i="28"/>
  <c r="AF84" i="28"/>
  <c r="AG84" i="28"/>
  <c r="N85" i="28"/>
  <c r="AB85" i="28"/>
  <c r="AC85" i="28"/>
  <c r="AF85" i="28"/>
  <c r="AG85" i="28"/>
  <c r="N86" i="28"/>
  <c r="AB86" i="28"/>
  <c r="AC86" i="28"/>
  <c r="AF86" i="28"/>
  <c r="AG86" i="28"/>
  <c r="N87" i="28"/>
  <c r="AB87" i="28"/>
  <c r="AC87" i="28"/>
  <c r="AF87" i="28"/>
  <c r="AG87" i="28"/>
  <c r="N88" i="28"/>
  <c r="AB88" i="28"/>
  <c r="AC88" i="28"/>
  <c r="AF88" i="28"/>
  <c r="AG88" i="28"/>
  <c r="N89" i="28"/>
  <c r="AB89" i="28"/>
  <c r="AC89" i="28"/>
  <c r="AF89" i="28"/>
  <c r="AG89" i="28"/>
  <c r="N90" i="28"/>
  <c r="AB90" i="28"/>
  <c r="AC90" i="28"/>
  <c r="AF90" i="28"/>
  <c r="AG90" i="28"/>
  <c r="N91" i="28"/>
  <c r="AB91" i="28"/>
  <c r="AC91" i="28"/>
  <c r="AF91" i="28"/>
  <c r="AG91" i="28"/>
  <c r="N92" i="28"/>
  <c r="AB92" i="28"/>
  <c r="AC92" i="28"/>
  <c r="AF92" i="28"/>
  <c r="AG92" i="28"/>
  <c r="N93" i="28"/>
  <c r="AB93" i="28"/>
  <c r="AC93" i="28"/>
  <c r="AF93" i="28"/>
  <c r="AG93" i="28"/>
  <c r="N94" i="28"/>
  <c r="AB94" i="28"/>
  <c r="AC94" i="28"/>
  <c r="AF94" i="28"/>
  <c r="AG94" i="28"/>
  <c r="N95" i="28"/>
  <c r="AB95" i="28"/>
  <c r="AC95" i="28"/>
  <c r="AF95" i="28"/>
  <c r="AG95" i="28"/>
  <c r="N96" i="28"/>
  <c r="AB96" i="28"/>
  <c r="AC96" i="28"/>
  <c r="AF96" i="28"/>
  <c r="AG96" i="28"/>
  <c r="N97" i="28"/>
  <c r="AB97" i="28"/>
  <c r="AC97" i="28"/>
  <c r="AF97" i="28"/>
  <c r="AG97" i="28"/>
  <c r="N98" i="28"/>
  <c r="AB98" i="28"/>
  <c r="AC98" i="28"/>
  <c r="AF98" i="28"/>
  <c r="AG98" i="28"/>
  <c r="N99" i="28"/>
  <c r="AB99" i="28"/>
  <c r="AC99" i="28"/>
  <c r="AF99" i="28"/>
  <c r="AG99" i="28"/>
  <c r="N100" i="28"/>
  <c r="AB100" i="28"/>
  <c r="AC100" i="28"/>
  <c r="AF100" i="28"/>
  <c r="AG100" i="28"/>
  <c r="N101" i="28"/>
  <c r="AB101" i="28"/>
  <c r="AC101" i="28"/>
  <c r="AF101" i="28"/>
  <c r="AG101" i="28"/>
  <c r="N102" i="28"/>
  <c r="AB102" i="28"/>
  <c r="AC102" i="28"/>
  <c r="AF102" i="28"/>
  <c r="AG102" i="28"/>
  <c r="N103" i="28"/>
  <c r="AB103" i="28"/>
  <c r="AC103" i="28"/>
  <c r="AF103" i="28"/>
  <c r="AG103" i="28"/>
  <c r="N104" i="28"/>
  <c r="AB104" i="28"/>
  <c r="AC104" i="28"/>
  <c r="AF104" i="28"/>
  <c r="AG104" i="28"/>
  <c r="N105" i="28"/>
  <c r="AB105" i="28"/>
  <c r="AC105" i="28"/>
  <c r="AF105" i="28"/>
  <c r="AG105" i="28"/>
  <c r="N106" i="28"/>
  <c r="AB106" i="28"/>
  <c r="AC106" i="28"/>
  <c r="AF106" i="28"/>
  <c r="AG106" i="28"/>
  <c r="N107" i="28"/>
  <c r="AB107" i="28"/>
  <c r="AC107" i="28"/>
  <c r="AF107" i="28"/>
  <c r="AG107" i="28"/>
  <c r="N108" i="28"/>
  <c r="AB108" i="28"/>
  <c r="AC108" i="28"/>
  <c r="AF108" i="28"/>
  <c r="AG108" i="28"/>
  <c r="N109" i="28"/>
  <c r="AB109" i="28"/>
  <c r="AC109" i="28"/>
  <c r="AF109" i="28"/>
  <c r="AG109" i="28"/>
  <c r="N110" i="28"/>
  <c r="AB110" i="28"/>
  <c r="AC110" i="28"/>
  <c r="AF110" i="28"/>
  <c r="AG110" i="28"/>
  <c r="N111" i="28"/>
  <c r="AB111" i="28"/>
  <c r="AC111" i="28"/>
  <c r="AF111" i="28"/>
  <c r="AG111" i="28"/>
  <c r="N112" i="28"/>
  <c r="AB112" i="28"/>
  <c r="AC112" i="28"/>
  <c r="AF112" i="28"/>
  <c r="AG112" i="28"/>
  <c r="N113" i="28"/>
  <c r="AB113" i="28"/>
  <c r="AC113" i="28"/>
  <c r="AF113" i="28"/>
  <c r="AG113" i="28"/>
  <c r="N114" i="28"/>
  <c r="AB114" i="28"/>
  <c r="AC114" i="28"/>
  <c r="AF114" i="28"/>
  <c r="AG114" i="28"/>
  <c r="N115" i="28"/>
  <c r="AB115" i="28"/>
  <c r="AC115" i="28"/>
  <c r="AF115" i="28"/>
  <c r="AG115" i="28"/>
  <c r="N116" i="28"/>
  <c r="AB116" i="28"/>
  <c r="AC116" i="28"/>
  <c r="AF116" i="28"/>
  <c r="AG116" i="28"/>
  <c r="N117" i="28"/>
  <c r="AB117" i="28"/>
  <c r="AC117" i="28"/>
  <c r="AF117" i="28"/>
  <c r="AG117" i="28"/>
  <c r="N118" i="28"/>
  <c r="AB118" i="28"/>
  <c r="AC118" i="28"/>
  <c r="AF118" i="28"/>
  <c r="AG118" i="28"/>
  <c r="N119" i="28"/>
  <c r="AB119" i="28"/>
  <c r="AC119" i="28"/>
  <c r="AF119" i="28"/>
  <c r="AG119" i="28"/>
  <c r="N120" i="28"/>
  <c r="AB120" i="28"/>
  <c r="AC120" i="28"/>
  <c r="AF120" i="28"/>
  <c r="AG120" i="28"/>
  <c r="N121" i="28"/>
  <c r="AB121" i="28"/>
  <c r="AC121" i="28"/>
  <c r="AF121" i="28"/>
  <c r="AG121" i="28"/>
  <c r="N122" i="28"/>
  <c r="AB122" i="28"/>
  <c r="AC122" i="28"/>
  <c r="AF122" i="28"/>
  <c r="AG122" i="28"/>
  <c r="N123" i="28"/>
  <c r="AB123" i="28"/>
  <c r="AC123" i="28"/>
  <c r="AF123" i="28"/>
  <c r="AG123" i="28"/>
  <c r="N124" i="28"/>
  <c r="AB124" i="28"/>
  <c r="AC124" i="28"/>
  <c r="AF124" i="28"/>
  <c r="AG124" i="28"/>
  <c r="N125" i="28"/>
  <c r="AB125" i="28"/>
  <c r="AC125" i="28"/>
  <c r="AF125" i="28"/>
  <c r="AG125" i="28"/>
  <c r="N126" i="28"/>
  <c r="AB126" i="28"/>
  <c r="AC126" i="28"/>
  <c r="AF126" i="28"/>
  <c r="AG126" i="28"/>
  <c r="N127" i="28"/>
  <c r="AB127" i="28"/>
  <c r="AC127" i="28"/>
  <c r="AF127" i="28"/>
  <c r="AG127" i="28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2" i="7"/>
  <c r="T52" i="7"/>
  <c r="AJ52" i="7"/>
  <c r="AK52" i="7"/>
  <c r="AL52" i="7"/>
  <c r="AM52" i="7"/>
  <c r="N53" i="7"/>
  <c r="T53" i="7"/>
  <c r="AJ53" i="7"/>
  <c r="AK53" i="7"/>
  <c r="AL53" i="7"/>
  <c r="AM53" i="7"/>
  <c r="N54" i="7"/>
  <c r="T54" i="7"/>
  <c r="AJ54" i="7"/>
  <c r="AK54" i="7"/>
  <c r="AL54" i="7"/>
  <c r="AM54" i="7"/>
  <c r="N55" i="7"/>
  <c r="T55" i="7"/>
  <c r="AJ55" i="7"/>
  <c r="AK55" i="7"/>
  <c r="AL55" i="7"/>
  <c r="AM55" i="7"/>
  <c r="N56" i="7"/>
  <c r="T56" i="7"/>
  <c r="AJ56" i="7"/>
  <c r="AK56" i="7"/>
  <c r="AL56" i="7"/>
  <c r="AM56" i="7"/>
  <c r="N57" i="7"/>
  <c r="T57" i="7"/>
  <c r="AJ57" i="7"/>
  <c r="AK57" i="7"/>
  <c r="AL57" i="7"/>
  <c r="AM57" i="7"/>
  <c r="N58" i="7"/>
  <c r="T58" i="7"/>
  <c r="AJ58" i="7"/>
  <c r="AK58" i="7"/>
  <c r="AL58" i="7"/>
  <c r="AM58" i="7"/>
  <c r="N59" i="7"/>
  <c r="T59" i="7"/>
  <c r="AJ59" i="7"/>
  <c r="AK59" i="7"/>
  <c r="AL59" i="7"/>
  <c r="AM59" i="7"/>
  <c r="N60" i="7"/>
  <c r="T60" i="7"/>
  <c r="AJ60" i="7"/>
  <c r="AK60" i="7"/>
  <c r="AL60" i="7"/>
  <c r="AM60" i="7"/>
  <c r="N61" i="7"/>
  <c r="T61" i="7"/>
  <c r="AJ61" i="7"/>
  <c r="AK61" i="7"/>
  <c r="AL61" i="7"/>
  <c r="AM61" i="7"/>
  <c r="N62" i="7"/>
  <c r="T62" i="7"/>
  <c r="AJ62" i="7"/>
  <c r="AK62" i="7"/>
  <c r="AL62" i="7"/>
  <c r="AM62" i="7"/>
  <c r="N63" i="7"/>
  <c r="T63" i="7"/>
  <c r="AJ63" i="7"/>
  <c r="AK63" i="7"/>
  <c r="AL63" i="7"/>
  <c r="AM63" i="7"/>
  <c r="N65" i="7"/>
  <c r="T65" i="7"/>
  <c r="AJ65" i="7"/>
  <c r="AK65" i="7"/>
  <c r="AL65" i="7"/>
  <c r="AM65" i="7"/>
  <c r="N70" i="7"/>
  <c r="AE70" i="7"/>
  <c r="AF70" i="7"/>
  <c r="AJ70" i="7"/>
  <c r="AK70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AO9" i="8"/>
  <c r="AP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2" i="8"/>
  <c r="T52" i="8"/>
  <c r="AE52" i="8"/>
  <c r="AF52" i="8"/>
  <c r="AG52" i="8"/>
  <c r="AJ52" i="8"/>
  <c r="AK52" i="8"/>
  <c r="AL52" i="8"/>
  <c r="AM52" i="8"/>
  <c r="AO52" i="8"/>
  <c r="AP52" i="8"/>
  <c r="N53" i="8"/>
  <c r="T53" i="8"/>
  <c r="AE53" i="8"/>
  <c r="AF53" i="8"/>
  <c r="AG53" i="8"/>
  <c r="AJ53" i="8"/>
  <c r="AK53" i="8"/>
  <c r="AL53" i="8"/>
  <c r="AM53" i="8"/>
  <c r="AO53" i="8"/>
  <c r="AP53" i="8"/>
  <c r="N54" i="8"/>
  <c r="T54" i="8"/>
  <c r="AE54" i="8"/>
  <c r="AF54" i="8"/>
  <c r="AG54" i="8"/>
  <c r="AJ54" i="8"/>
  <c r="AK54" i="8"/>
  <c r="AL54" i="8"/>
  <c r="AM54" i="8"/>
  <c r="AO54" i="8"/>
  <c r="AP54" i="8"/>
  <c r="N55" i="8"/>
  <c r="T55" i="8"/>
  <c r="AE55" i="8"/>
  <c r="AF55" i="8"/>
  <c r="AG55" i="8"/>
  <c r="AJ55" i="8"/>
  <c r="AK55" i="8"/>
  <c r="AL55" i="8"/>
  <c r="AM55" i="8"/>
  <c r="AO55" i="8"/>
  <c r="AP55" i="8"/>
  <c r="N56" i="8"/>
  <c r="T56" i="8"/>
  <c r="AE56" i="8"/>
  <c r="AF56" i="8"/>
  <c r="AG56" i="8"/>
  <c r="AJ56" i="8"/>
  <c r="AK56" i="8"/>
  <c r="AL56" i="8"/>
  <c r="AM56" i="8"/>
  <c r="AO56" i="8"/>
  <c r="AP56" i="8"/>
  <c r="N57" i="8"/>
  <c r="T57" i="8"/>
  <c r="AE57" i="8"/>
  <c r="AF57" i="8"/>
  <c r="AG57" i="8"/>
  <c r="AJ57" i="8"/>
  <c r="AK57" i="8"/>
  <c r="AL57" i="8"/>
  <c r="AM57" i="8"/>
  <c r="AO57" i="8"/>
  <c r="AP57" i="8"/>
  <c r="N58" i="8"/>
  <c r="T58" i="8"/>
  <c r="AE58" i="8"/>
  <c r="AF58" i="8"/>
  <c r="AG58" i="8"/>
  <c r="AJ58" i="8"/>
  <c r="AK58" i="8"/>
  <c r="AL58" i="8"/>
  <c r="AM58" i="8"/>
  <c r="AO58" i="8"/>
  <c r="AP58" i="8"/>
  <c r="N59" i="8"/>
  <c r="T59" i="8"/>
  <c r="AE59" i="8"/>
  <c r="AF59" i="8"/>
  <c r="AG59" i="8"/>
  <c r="AJ59" i="8"/>
  <c r="AK59" i="8"/>
  <c r="AL59" i="8"/>
  <c r="AM59" i="8"/>
  <c r="AO59" i="8"/>
  <c r="AP59" i="8"/>
  <c r="N60" i="8"/>
  <c r="T60" i="8"/>
  <c r="AE60" i="8"/>
  <c r="AF60" i="8"/>
  <c r="AG60" i="8"/>
  <c r="AJ60" i="8"/>
  <c r="AK60" i="8"/>
  <c r="AL60" i="8"/>
  <c r="AM60" i="8"/>
  <c r="AO60" i="8"/>
  <c r="AP60" i="8"/>
  <c r="N61" i="8"/>
  <c r="T61" i="8"/>
  <c r="AE61" i="8"/>
  <c r="AF61" i="8"/>
  <c r="AG61" i="8"/>
  <c r="AJ61" i="8"/>
  <c r="AK61" i="8"/>
  <c r="AL61" i="8"/>
  <c r="AM61" i="8"/>
  <c r="AO61" i="8"/>
  <c r="AP61" i="8"/>
  <c r="N62" i="8"/>
  <c r="T62" i="8"/>
  <c r="AE62" i="8"/>
  <c r="AF62" i="8"/>
  <c r="AG62" i="8"/>
  <c r="AJ62" i="8"/>
  <c r="AK62" i="8"/>
  <c r="AL62" i="8"/>
  <c r="AM62" i="8"/>
  <c r="AO62" i="8"/>
  <c r="AP62" i="8"/>
  <c r="N63" i="8"/>
  <c r="T63" i="8"/>
  <c r="AE63" i="8"/>
  <c r="AF63" i="8"/>
  <c r="AG63" i="8"/>
  <c r="AJ63" i="8"/>
  <c r="AK63" i="8"/>
  <c r="AL63" i="8"/>
  <c r="AM63" i="8"/>
  <c r="AO63" i="8"/>
  <c r="AP63" i="8"/>
  <c r="N65" i="8"/>
  <c r="T65" i="8"/>
  <c r="AE65" i="8"/>
  <c r="AF65" i="8"/>
  <c r="AG65" i="8"/>
  <c r="AJ65" i="8"/>
  <c r="AK65" i="8"/>
  <c r="AL65" i="8"/>
  <c r="AM65" i="8"/>
  <c r="AO65" i="8"/>
  <c r="AP65" i="8"/>
  <c r="AO67" i="8"/>
  <c r="AP67" i="8"/>
  <c r="AE70" i="8"/>
  <c r="AF70" i="8"/>
  <c r="N5" i="23"/>
  <c r="T5" i="23"/>
  <c r="AE5" i="23"/>
  <c r="AF5" i="23"/>
  <c r="AG5" i="23"/>
  <c r="AJ5" i="23"/>
  <c r="AK5" i="23"/>
  <c r="AL5" i="23"/>
  <c r="AM5" i="23"/>
  <c r="AO5" i="23"/>
  <c r="AP5" i="23"/>
  <c r="AW5" i="23"/>
  <c r="AX5" i="23"/>
  <c r="AZ5" i="23"/>
  <c r="N6" i="23"/>
  <c r="T6" i="23"/>
  <c r="AE6" i="23"/>
  <c r="AF6" i="23"/>
  <c r="AG6" i="23"/>
  <c r="AJ6" i="23"/>
  <c r="AK6" i="23"/>
  <c r="AL6" i="23"/>
  <c r="AM6" i="23"/>
  <c r="AO6" i="23"/>
  <c r="AP6" i="23"/>
  <c r="AW6" i="23"/>
  <c r="AX6" i="23"/>
  <c r="AZ6" i="23"/>
  <c r="N7" i="23"/>
  <c r="T7" i="23"/>
  <c r="AE7" i="23"/>
  <c r="AF7" i="23"/>
  <c r="AG7" i="23"/>
  <c r="AJ7" i="23"/>
  <c r="AK7" i="23"/>
  <c r="AL7" i="23"/>
  <c r="AM7" i="23"/>
  <c r="AO7" i="23"/>
  <c r="AP7" i="23"/>
  <c r="AW7" i="23"/>
  <c r="AX7" i="23"/>
  <c r="AZ7" i="23"/>
  <c r="N8" i="23"/>
  <c r="T8" i="23"/>
  <c r="AE8" i="23"/>
  <c r="AF8" i="23"/>
  <c r="AG8" i="23"/>
  <c r="AJ8" i="23"/>
  <c r="AK8" i="23"/>
  <c r="AL8" i="23"/>
  <c r="AM8" i="23"/>
  <c r="AO8" i="23"/>
  <c r="AP8" i="23"/>
  <c r="AW8" i="23"/>
  <c r="AX8" i="23"/>
  <c r="AZ8" i="23"/>
  <c r="N9" i="23"/>
  <c r="T9" i="23"/>
  <c r="AE9" i="23"/>
  <c r="AF9" i="23"/>
  <c r="AG9" i="23"/>
  <c r="AJ9" i="23"/>
  <c r="AK9" i="23"/>
  <c r="AL9" i="23"/>
  <c r="AM9" i="23"/>
  <c r="AO9" i="23"/>
  <c r="AP9" i="23"/>
  <c r="AW9" i="23"/>
  <c r="AX9" i="23"/>
  <c r="AZ9" i="23"/>
  <c r="N10" i="23"/>
  <c r="T10" i="23"/>
  <c r="AE10" i="23"/>
  <c r="AF10" i="23"/>
  <c r="AG10" i="23"/>
  <c r="AJ10" i="23"/>
  <c r="AK10" i="23"/>
  <c r="AL10" i="23"/>
  <c r="AM10" i="23"/>
  <c r="AO10" i="23"/>
  <c r="AP10" i="23"/>
  <c r="AW10" i="23"/>
  <c r="AX10" i="23"/>
  <c r="AZ10" i="23"/>
  <c r="N11" i="23"/>
  <c r="T11" i="23"/>
  <c r="AE11" i="23"/>
  <c r="AF11" i="23"/>
  <c r="AG11" i="23"/>
  <c r="AJ11" i="23"/>
  <c r="AK11" i="23"/>
  <c r="AL11" i="23"/>
  <c r="AM11" i="23"/>
  <c r="AO11" i="23"/>
  <c r="AP11" i="23"/>
  <c r="AW11" i="23"/>
  <c r="AX11" i="23"/>
  <c r="AZ11" i="23"/>
  <c r="N12" i="23"/>
  <c r="T12" i="23"/>
  <c r="AE12" i="23"/>
  <c r="AF12" i="23"/>
  <c r="AG12" i="23"/>
  <c r="AJ12" i="23"/>
  <c r="AK12" i="23"/>
  <c r="AL12" i="23"/>
  <c r="AM12" i="23"/>
  <c r="AO12" i="23"/>
  <c r="AP12" i="23"/>
  <c r="AW12" i="23"/>
  <c r="AX12" i="23"/>
  <c r="AZ12" i="23"/>
  <c r="N13" i="23"/>
  <c r="T13" i="23"/>
  <c r="AE13" i="23"/>
  <c r="AF13" i="23"/>
  <c r="AG13" i="23"/>
  <c r="AJ13" i="23"/>
  <c r="AK13" i="23"/>
  <c r="AL13" i="23"/>
  <c r="AM13" i="23"/>
  <c r="AO13" i="23"/>
  <c r="AP13" i="23"/>
  <c r="AW13" i="23"/>
  <c r="AX13" i="23"/>
  <c r="AZ13" i="23"/>
  <c r="N14" i="23"/>
  <c r="T14" i="23"/>
  <c r="AE14" i="23"/>
  <c r="AF14" i="23"/>
  <c r="AG14" i="23"/>
  <c r="AJ14" i="23"/>
  <c r="AK14" i="23"/>
  <c r="AL14" i="23"/>
  <c r="AM14" i="23"/>
  <c r="AO14" i="23"/>
  <c r="AP14" i="23"/>
  <c r="AW14" i="23"/>
  <c r="AX14" i="23"/>
  <c r="AZ14" i="23"/>
  <c r="N15" i="23"/>
  <c r="T15" i="23"/>
  <c r="AE15" i="23"/>
  <c r="AF15" i="23"/>
  <c r="AG15" i="23"/>
  <c r="AJ15" i="23"/>
  <c r="AK15" i="23"/>
  <c r="AL15" i="23"/>
  <c r="AM15" i="23"/>
  <c r="AO15" i="23"/>
  <c r="AP15" i="23"/>
  <c r="AW15" i="23"/>
  <c r="AX15" i="23"/>
  <c r="AZ15" i="23"/>
  <c r="N16" i="23"/>
  <c r="T16" i="23"/>
  <c r="AE16" i="23"/>
  <c r="AF16" i="23"/>
  <c r="AG16" i="23"/>
  <c r="AJ16" i="23"/>
  <c r="AK16" i="23"/>
  <c r="AL16" i="23"/>
  <c r="AM16" i="23"/>
  <c r="AO16" i="23"/>
  <c r="AP16" i="23"/>
  <c r="AW16" i="23"/>
  <c r="AX16" i="23"/>
  <c r="AZ16" i="23"/>
  <c r="N17" i="23"/>
  <c r="T17" i="23"/>
  <c r="AE17" i="23"/>
  <c r="AF17" i="23"/>
  <c r="AG17" i="23"/>
  <c r="AJ17" i="23"/>
  <c r="AK17" i="23"/>
  <c r="AL17" i="23"/>
  <c r="AM17" i="23"/>
  <c r="AO17" i="23"/>
  <c r="AP17" i="23"/>
  <c r="AW17" i="23"/>
  <c r="AX17" i="23"/>
  <c r="AZ17" i="23"/>
  <c r="N18" i="23"/>
  <c r="T18" i="23"/>
  <c r="AE18" i="23"/>
  <c r="AF18" i="23"/>
  <c r="AG18" i="23"/>
  <c r="AJ18" i="23"/>
  <c r="AK18" i="23"/>
  <c r="AL18" i="23"/>
  <c r="AM18" i="23"/>
  <c r="AO18" i="23"/>
  <c r="AP18" i="23"/>
  <c r="AW18" i="23"/>
  <c r="AX18" i="23"/>
  <c r="AZ18" i="23"/>
  <c r="N19" i="23"/>
  <c r="T19" i="23"/>
  <c r="AE19" i="23"/>
  <c r="AF19" i="23"/>
  <c r="AG19" i="23"/>
  <c r="AJ19" i="23"/>
  <c r="AK19" i="23"/>
  <c r="AL19" i="23"/>
  <c r="AM19" i="23"/>
  <c r="AO19" i="23"/>
  <c r="AP19" i="23"/>
  <c r="AW19" i="23"/>
  <c r="AX19" i="23"/>
  <c r="AZ19" i="23"/>
  <c r="N20" i="23"/>
  <c r="T20" i="23"/>
  <c r="AE20" i="23"/>
  <c r="AF20" i="23"/>
  <c r="AG20" i="23"/>
  <c r="AJ20" i="23"/>
  <c r="AK20" i="23"/>
  <c r="AL20" i="23"/>
  <c r="AM20" i="23"/>
  <c r="AO20" i="23"/>
  <c r="AP20" i="23"/>
  <c r="AW20" i="23"/>
  <c r="AX20" i="23"/>
  <c r="AZ20" i="23"/>
  <c r="N21" i="23"/>
  <c r="T21" i="23"/>
  <c r="AE21" i="23"/>
  <c r="AF21" i="23"/>
  <c r="AG21" i="23"/>
  <c r="AJ21" i="23"/>
  <c r="AK21" i="23"/>
  <c r="AL21" i="23"/>
  <c r="AM21" i="23"/>
  <c r="AO21" i="23"/>
  <c r="AP21" i="23"/>
  <c r="AW21" i="23"/>
  <c r="AX21" i="23"/>
  <c r="AZ21" i="23"/>
  <c r="N22" i="23"/>
  <c r="T22" i="23"/>
  <c r="AE22" i="23"/>
  <c r="AF22" i="23"/>
  <c r="AG22" i="23"/>
  <c r="AJ22" i="23"/>
  <c r="AK22" i="23"/>
  <c r="AL22" i="23"/>
  <c r="AM22" i="23"/>
  <c r="AO22" i="23"/>
  <c r="AP22" i="23"/>
  <c r="AW22" i="23"/>
  <c r="AX22" i="23"/>
  <c r="AZ22" i="23"/>
  <c r="N23" i="23"/>
  <c r="T23" i="23"/>
  <c r="AE23" i="23"/>
  <c r="AF23" i="23"/>
  <c r="AG23" i="23"/>
  <c r="AJ23" i="23"/>
  <c r="AK23" i="23"/>
  <c r="AL23" i="23"/>
  <c r="AM23" i="23"/>
  <c r="AO23" i="23"/>
  <c r="AP23" i="23"/>
  <c r="AW23" i="23"/>
  <c r="AX23" i="23"/>
  <c r="AZ23" i="23"/>
  <c r="N24" i="23"/>
  <c r="T24" i="23"/>
  <c r="AE24" i="23"/>
  <c r="AF24" i="23"/>
  <c r="AG24" i="23"/>
  <c r="AJ24" i="23"/>
  <c r="AK24" i="23"/>
  <c r="AL24" i="23"/>
  <c r="AM24" i="23"/>
  <c r="AO24" i="23"/>
  <c r="AP24" i="23"/>
  <c r="AW24" i="23"/>
  <c r="AX24" i="23"/>
  <c r="AZ24" i="23"/>
  <c r="N25" i="23"/>
  <c r="T25" i="23"/>
  <c r="AE25" i="23"/>
  <c r="AF25" i="23"/>
  <c r="AG25" i="23"/>
  <c r="AJ25" i="23"/>
  <c r="AK25" i="23"/>
  <c r="AL25" i="23"/>
  <c r="AM25" i="23"/>
  <c r="AO25" i="23"/>
  <c r="AP25" i="23"/>
  <c r="AW25" i="23"/>
  <c r="AX25" i="23"/>
  <c r="AZ25" i="23"/>
  <c r="N26" i="23"/>
  <c r="T26" i="23"/>
  <c r="AE26" i="23"/>
  <c r="AF26" i="23"/>
  <c r="AG26" i="23"/>
  <c r="AJ26" i="23"/>
  <c r="AK26" i="23"/>
  <c r="AL26" i="23"/>
  <c r="AM26" i="23"/>
  <c r="AO26" i="23"/>
  <c r="AP26" i="23"/>
  <c r="AW26" i="23"/>
  <c r="AX26" i="23"/>
  <c r="AZ26" i="23"/>
  <c r="N27" i="23"/>
  <c r="T27" i="23"/>
  <c r="AE27" i="23"/>
  <c r="AF27" i="23"/>
  <c r="AG27" i="23"/>
  <c r="AJ27" i="23"/>
  <c r="AK27" i="23"/>
  <c r="AL27" i="23"/>
  <c r="AM27" i="23"/>
  <c r="AO27" i="23"/>
  <c r="AP27" i="23"/>
  <c r="AW27" i="23"/>
  <c r="AX27" i="23"/>
  <c r="AZ27" i="23"/>
  <c r="N28" i="23"/>
  <c r="T28" i="23"/>
  <c r="AE28" i="23"/>
  <c r="AF28" i="23"/>
  <c r="AG28" i="23"/>
  <c r="AJ28" i="23"/>
  <c r="AK28" i="23"/>
  <c r="AL28" i="23"/>
  <c r="AM28" i="23"/>
  <c r="AO28" i="23"/>
  <c r="AP28" i="23"/>
  <c r="AW28" i="23"/>
  <c r="AX28" i="23"/>
  <c r="AZ28" i="23"/>
  <c r="N29" i="23"/>
  <c r="T29" i="23"/>
  <c r="AE29" i="23"/>
  <c r="AF29" i="23"/>
  <c r="AG29" i="23"/>
  <c r="AJ29" i="23"/>
  <c r="AK29" i="23"/>
  <c r="AL29" i="23"/>
  <c r="AM29" i="23"/>
  <c r="AO29" i="23"/>
  <c r="AP29" i="23"/>
  <c r="AW29" i="23"/>
  <c r="AX29" i="23"/>
  <c r="AZ29" i="23"/>
  <c r="N30" i="23"/>
  <c r="T30" i="23"/>
  <c r="AE30" i="23"/>
  <c r="AF30" i="23"/>
  <c r="AG30" i="23"/>
  <c r="AJ30" i="23"/>
  <c r="AK30" i="23"/>
  <c r="AL30" i="23"/>
  <c r="AM30" i="23"/>
  <c r="AO30" i="23"/>
  <c r="AP30" i="23"/>
  <c r="AW30" i="23"/>
  <c r="AX30" i="23"/>
  <c r="AZ30" i="23"/>
  <c r="N31" i="23"/>
  <c r="T31" i="23"/>
  <c r="AE31" i="23"/>
  <c r="AF31" i="23"/>
  <c r="AG31" i="23"/>
  <c r="AJ31" i="23"/>
  <c r="AK31" i="23"/>
  <c r="AL31" i="23"/>
  <c r="AM31" i="23"/>
  <c r="AO31" i="23"/>
  <c r="AP31" i="23"/>
  <c r="AW31" i="23"/>
  <c r="AX31" i="23"/>
  <c r="AZ31" i="23"/>
  <c r="N32" i="23"/>
  <c r="T32" i="23"/>
  <c r="AE32" i="23"/>
  <c r="AF32" i="23"/>
  <c r="AG32" i="23"/>
  <c r="AJ32" i="23"/>
  <c r="AK32" i="23"/>
  <c r="AL32" i="23"/>
  <c r="AM32" i="23"/>
  <c r="AO32" i="23"/>
  <c r="AP32" i="23"/>
  <c r="AW32" i="23"/>
  <c r="AX32" i="23"/>
  <c r="AZ32" i="23"/>
  <c r="N33" i="23"/>
  <c r="T33" i="23"/>
  <c r="AE33" i="23"/>
  <c r="AF33" i="23"/>
  <c r="AG33" i="23"/>
  <c r="AJ33" i="23"/>
  <c r="AK33" i="23"/>
  <c r="AL33" i="23"/>
  <c r="AM33" i="23"/>
  <c r="AO33" i="23"/>
  <c r="AP33" i="23"/>
  <c r="AW33" i="23"/>
  <c r="AX33" i="23"/>
  <c r="AZ33" i="23"/>
  <c r="N34" i="23"/>
  <c r="T34" i="23"/>
  <c r="AE34" i="23"/>
  <c r="AF34" i="23"/>
  <c r="AG34" i="23"/>
  <c r="AJ34" i="23"/>
  <c r="AK34" i="23"/>
  <c r="AL34" i="23"/>
  <c r="AM34" i="23"/>
  <c r="AO34" i="23"/>
  <c r="AP34" i="23"/>
  <c r="AW34" i="23"/>
  <c r="AX34" i="23"/>
  <c r="AZ34" i="23"/>
  <c r="N35" i="23"/>
  <c r="T35" i="23"/>
  <c r="AE35" i="23"/>
  <c r="AF35" i="23"/>
  <c r="AG35" i="23"/>
  <c r="AJ35" i="23"/>
  <c r="AK35" i="23"/>
  <c r="AL35" i="23"/>
  <c r="AM35" i="23"/>
  <c r="AO35" i="23"/>
  <c r="AP35" i="23"/>
  <c r="AW35" i="23"/>
  <c r="AX35" i="23"/>
  <c r="AZ35" i="23"/>
  <c r="N36" i="23"/>
  <c r="T36" i="23"/>
  <c r="AE36" i="23"/>
  <c r="AF36" i="23"/>
  <c r="AG36" i="23"/>
  <c r="AJ36" i="23"/>
  <c r="AK36" i="23"/>
  <c r="AL36" i="23"/>
  <c r="AM36" i="23"/>
  <c r="AO36" i="23"/>
  <c r="AP36" i="23"/>
  <c r="AW36" i="23"/>
  <c r="AX36" i="23"/>
  <c r="AZ36" i="23"/>
  <c r="N37" i="23"/>
  <c r="T37" i="23"/>
  <c r="AE37" i="23"/>
  <c r="AF37" i="23"/>
  <c r="AG37" i="23"/>
  <c r="AJ37" i="23"/>
  <c r="AK37" i="23"/>
  <c r="AL37" i="23"/>
  <c r="AM37" i="23"/>
  <c r="AO37" i="23"/>
  <c r="AP37" i="23"/>
  <c r="AW37" i="23"/>
  <c r="AX37" i="23"/>
  <c r="AZ37" i="23"/>
  <c r="N38" i="23"/>
  <c r="T38" i="23"/>
  <c r="AE38" i="23"/>
  <c r="AF38" i="23"/>
  <c r="AG38" i="23"/>
  <c r="AJ38" i="23"/>
  <c r="AK38" i="23"/>
  <c r="AL38" i="23"/>
  <c r="AM38" i="23"/>
  <c r="AO38" i="23"/>
  <c r="AP38" i="23"/>
  <c r="AW38" i="23"/>
  <c r="AX38" i="23"/>
  <c r="AZ38" i="23"/>
  <c r="N39" i="23"/>
  <c r="T39" i="23"/>
  <c r="AE39" i="23"/>
  <c r="AF39" i="23"/>
  <c r="AG39" i="23"/>
  <c r="AJ39" i="23"/>
  <c r="AK39" i="23"/>
  <c r="AL39" i="23"/>
  <c r="AM39" i="23"/>
  <c r="AO39" i="23"/>
  <c r="AP39" i="23"/>
  <c r="AW39" i="23"/>
  <c r="AX39" i="23"/>
  <c r="AZ39" i="23"/>
  <c r="N40" i="23"/>
  <c r="T40" i="23"/>
  <c r="AE40" i="23"/>
  <c r="AF40" i="23"/>
  <c r="AG40" i="23"/>
  <c r="AJ40" i="23"/>
  <c r="AK40" i="23"/>
  <c r="AL40" i="23"/>
  <c r="AM40" i="23"/>
  <c r="AO40" i="23"/>
  <c r="AP40" i="23"/>
  <c r="AW40" i="23"/>
  <c r="AX40" i="23"/>
  <c r="AZ40" i="23"/>
  <c r="N41" i="23"/>
  <c r="T41" i="23"/>
  <c r="AE41" i="23"/>
  <c r="AF41" i="23"/>
  <c r="AG41" i="23"/>
  <c r="AJ41" i="23"/>
  <c r="AK41" i="23"/>
  <c r="AL41" i="23"/>
  <c r="AM41" i="23"/>
  <c r="AO41" i="23"/>
  <c r="AP41" i="23"/>
  <c r="AW41" i="23"/>
  <c r="AX41" i="23"/>
  <c r="AZ41" i="23"/>
  <c r="N42" i="23"/>
  <c r="T42" i="23"/>
  <c r="AE42" i="23"/>
  <c r="AF42" i="23"/>
  <c r="AG42" i="23"/>
  <c r="AJ42" i="23"/>
  <c r="AK42" i="23"/>
  <c r="AL42" i="23"/>
  <c r="AM42" i="23"/>
  <c r="AO42" i="23"/>
  <c r="AP42" i="23"/>
  <c r="AW42" i="23"/>
  <c r="AX42" i="23"/>
  <c r="AZ42" i="23"/>
  <c r="N43" i="23"/>
  <c r="T43" i="23"/>
  <c r="AE43" i="23"/>
  <c r="AF43" i="23"/>
  <c r="AG43" i="23"/>
  <c r="AJ43" i="23"/>
  <c r="AK43" i="23"/>
  <c r="AL43" i="23"/>
  <c r="AM43" i="23"/>
  <c r="AO43" i="23"/>
  <c r="AP43" i="23"/>
  <c r="AW43" i="23"/>
  <c r="AX43" i="23"/>
  <c r="AZ43" i="23"/>
  <c r="N44" i="23"/>
  <c r="T44" i="23"/>
  <c r="AE44" i="23"/>
  <c r="AF44" i="23"/>
  <c r="AG44" i="23"/>
  <c r="AJ44" i="23"/>
  <c r="AK44" i="23"/>
  <c r="AL44" i="23"/>
  <c r="AM44" i="23"/>
  <c r="AO44" i="23"/>
  <c r="AP44" i="23"/>
  <c r="AW44" i="23"/>
  <c r="AX44" i="23"/>
  <c r="AZ44" i="23"/>
  <c r="N45" i="23"/>
  <c r="T45" i="23"/>
  <c r="AE45" i="23"/>
  <c r="AF45" i="23"/>
  <c r="AG45" i="23"/>
  <c r="AJ45" i="23"/>
  <c r="AK45" i="23"/>
  <c r="AL45" i="23"/>
  <c r="AM45" i="23"/>
  <c r="AO45" i="23"/>
  <c r="AP45" i="23"/>
  <c r="AW45" i="23"/>
  <c r="AX45" i="23"/>
  <c r="AZ45" i="23"/>
  <c r="N46" i="23"/>
  <c r="T46" i="23"/>
  <c r="AE46" i="23"/>
  <c r="AF46" i="23"/>
  <c r="AG46" i="23"/>
  <c r="AJ46" i="23"/>
  <c r="AK46" i="23"/>
  <c r="AL46" i="23"/>
  <c r="AM46" i="23"/>
  <c r="AO46" i="23"/>
  <c r="AP46" i="23"/>
  <c r="AW46" i="23"/>
  <c r="AX46" i="23"/>
  <c r="AZ46" i="23"/>
  <c r="N47" i="23"/>
  <c r="T47" i="23"/>
  <c r="AE47" i="23"/>
  <c r="AF47" i="23"/>
  <c r="AG47" i="23"/>
  <c r="AJ47" i="23"/>
  <c r="AK47" i="23"/>
  <c r="AL47" i="23"/>
  <c r="AM47" i="23"/>
  <c r="AO47" i="23"/>
  <c r="AP47" i="23"/>
  <c r="AW47" i="23"/>
  <c r="AX47" i="23"/>
  <c r="AZ47" i="23"/>
  <c r="N48" i="23"/>
  <c r="T48" i="23"/>
  <c r="AE48" i="23"/>
  <c r="AF48" i="23"/>
  <c r="AG48" i="23"/>
  <c r="AJ48" i="23"/>
  <c r="AK48" i="23"/>
  <c r="AL48" i="23"/>
  <c r="AM48" i="23"/>
  <c r="AO48" i="23"/>
  <c r="AP48" i="23"/>
  <c r="AW48" i="23"/>
  <c r="AX48" i="23"/>
  <c r="AZ48" i="23"/>
  <c r="N49" i="23"/>
  <c r="T49" i="23"/>
  <c r="AE49" i="23"/>
  <c r="AF49" i="23"/>
  <c r="AG49" i="23"/>
  <c r="AJ49" i="23"/>
  <c r="AK49" i="23"/>
  <c r="AL49" i="23"/>
  <c r="AM49" i="23"/>
  <c r="AO49" i="23"/>
  <c r="AP49" i="23"/>
  <c r="AW49" i="23"/>
  <c r="AX49" i="23"/>
  <c r="AZ49" i="23"/>
  <c r="N50" i="23"/>
  <c r="T50" i="23"/>
  <c r="AE50" i="23"/>
  <c r="AF50" i="23"/>
  <c r="AG50" i="23"/>
  <c r="AJ50" i="23"/>
  <c r="AK50" i="23"/>
  <c r="AL50" i="23"/>
  <c r="AM50" i="23"/>
  <c r="AO50" i="23"/>
  <c r="AP50" i="23"/>
  <c r="AW50" i="23"/>
  <c r="AX50" i="23"/>
  <c r="AZ50" i="23"/>
  <c r="N51" i="23"/>
  <c r="T51" i="23"/>
  <c r="AE51" i="23"/>
  <c r="AF51" i="23"/>
  <c r="AG51" i="23"/>
  <c r="AJ51" i="23"/>
  <c r="AK51" i="23"/>
  <c r="AL51" i="23"/>
  <c r="AM51" i="23"/>
  <c r="AO51" i="23"/>
  <c r="AP51" i="23"/>
  <c r="AW51" i="23"/>
  <c r="AX51" i="23"/>
  <c r="AZ51" i="23"/>
  <c r="N52" i="23"/>
  <c r="T52" i="23"/>
  <c r="AE52" i="23"/>
  <c r="AF52" i="23"/>
  <c r="AG52" i="23"/>
  <c r="AJ52" i="23"/>
  <c r="AK52" i="23"/>
  <c r="AL52" i="23"/>
  <c r="AM52" i="23"/>
  <c r="AO52" i="23"/>
  <c r="AP52" i="23"/>
  <c r="AW52" i="23"/>
  <c r="AX52" i="23"/>
  <c r="AZ52" i="23"/>
  <c r="N53" i="23"/>
  <c r="T53" i="23"/>
  <c r="AE53" i="23"/>
  <c r="AF53" i="23"/>
  <c r="AG53" i="23"/>
  <c r="AJ53" i="23"/>
  <c r="AK53" i="23"/>
  <c r="AL53" i="23"/>
  <c r="AM53" i="23"/>
  <c r="AO53" i="23"/>
  <c r="AP53" i="23"/>
  <c r="AW53" i="23"/>
  <c r="AX53" i="23"/>
  <c r="AZ53" i="23"/>
  <c r="N54" i="23"/>
  <c r="T54" i="23"/>
  <c r="AE54" i="23"/>
  <c r="AF54" i="23"/>
  <c r="AG54" i="23"/>
  <c r="AJ54" i="23"/>
  <c r="AK54" i="23"/>
  <c r="AL54" i="23"/>
  <c r="AM54" i="23"/>
  <c r="AO54" i="23"/>
  <c r="AP54" i="23"/>
  <c r="AW54" i="23"/>
  <c r="AX54" i="23"/>
  <c r="AZ54" i="23"/>
  <c r="N55" i="23"/>
  <c r="T55" i="23"/>
  <c r="AE55" i="23"/>
  <c r="AF55" i="23"/>
  <c r="AG55" i="23"/>
  <c r="AJ55" i="23"/>
  <c r="AK55" i="23"/>
  <c r="AL55" i="23"/>
  <c r="AM55" i="23"/>
  <c r="AO55" i="23"/>
  <c r="AP55" i="23"/>
  <c r="AW55" i="23"/>
  <c r="AX55" i="23"/>
  <c r="AZ55" i="23"/>
  <c r="N56" i="23"/>
  <c r="T56" i="23"/>
  <c r="AE56" i="23"/>
  <c r="AF56" i="23"/>
  <c r="AG56" i="23"/>
  <c r="AJ56" i="23"/>
  <c r="AK56" i="23"/>
  <c r="AL56" i="23"/>
  <c r="AM56" i="23"/>
  <c r="AO56" i="23"/>
  <c r="AP56" i="23"/>
  <c r="AW56" i="23"/>
  <c r="AX56" i="23"/>
  <c r="AZ56" i="23"/>
  <c r="N57" i="23"/>
  <c r="T57" i="23"/>
  <c r="AE57" i="23"/>
  <c r="AF57" i="23"/>
  <c r="AG57" i="23"/>
  <c r="AJ57" i="23"/>
  <c r="AK57" i="23"/>
  <c r="AL57" i="23"/>
  <c r="AM57" i="23"/>
  <c r="AO57" i="23"/>
  <c r="AP57" i="23"/>
  <c r="AW57" i="23"/>
  <c r="AX57" i="23"/>
  <c r="AZ57" i="23"/>
  <c r="N58" i="23"/>
  <c r="T58" i="23"/>
  <c r="AE58" i="23"/>
  <c r="AF58" i="23"/>
  <c r="AG58" i="23"/>
  <c r="AJ58" i="23"/>
  <c r="AK58" i="23"/>
  <c r="AL58" i="23"/>
  <c r="AM58" i="23"/>
  <c r="AO58" i="23"/>
  <c r="AP58" i="23"/>
  <c r="AW58" i="23"/>
  <c r="AX58" i="23"/>
  <c r="AZ58" i="23"/>
  <c r="N59" i="23"/>
  <c r="T59" i="23"/>
  <c r="AE59" i="23"/>
  <c r="AF59" i="23"/>
  <c r="AG59" i="23"/>
  <c r="AJ59" i="23"/>
  <c r="AK59" i="23"/>
  <c r="AL59" i="23"/>
  <c r="AM59" i="23"/>
  <c r="AO59" i="23"/>
  <c r="AP59" i="23"/>
  <c r="AW59" i="23"/>
  <c r="AX59" i="23"/>
  <c r="AZ59" i="23"/>
  <c r="N60" i="23"/>
  <c r="T60" i="23"/>
  <c r="AE60" i="23"/>
  <c r="AF60" i="23"/>
  <c r="AG60" i="23"/>
  <c r="AJ60" i="23"/>
  <c r="AK60" i="23"/>
  <c r="AL60" i="23"/>
  <c r="AM60" i="23"/>
  <c r="AO60" i="23"/>
  <c r="AP60" i="23"/>
  <c r="AW60" i="23"/>
  <c r="AX60" i="23"/>
  <c r="AZ60" i="23"/>
  <c r="N61" i="23"/>
  <c r="T61" i="23"/>
  <c r="AE61" i="23"/>
  <c r="AF61" i="23"/>
  <c r="AG61" i="23"/>
  <c r="AJ61" i="23"/>
  <c r="AK61" i="23"/>
  <c r="AL61" i="23"/>
  <c r="AM61" i="23"/>
  <c r="AO61" i="23"/>
  <c r="AP61" i="23"/>
  <c r="AW61" i="23"/>
  <c r="AX61" i="23"/>
  <c r="AZ61" i="23"/>
  <c r="N62" i="23"/>
  <c r="T62" i="23"/>
  <c r="AE62" i="23"/>
  <c r="AF62" i="23"/>
  <c r="AG62" i="23"/>
  <c r="AJ62" i="23"/>
  <c r="AK62" i="23"/>
  <c r="AL62" i="23"/>
  <c r="AM62" i="23"/>
  <c r="AO62" i="23"/>
  <c r="AP62" i="23"/>
  <c r="AW62" i="23"/>
  <c r="AX62" i="23"/>
  <c r="AZ62" i="23"/>
  <c r="N63" i="23"/>
  <c r="T63" i="23"/>
  <c r="AE63" i="23"/>
  <c r="AF63" i="23"/>
  <c r="AG63" i="23"/>
  <c r="AJ63" i="23"/>
  <c r="AK63" i="23"/>
  <c r="AL63" i="23"/>
  <c r="AM63" i="23"/>
  <c r="AO63" i="23"/>
  <c r="AP63" i="23"/>
  <c r="AW63" i="23"/>
  <c r="AX63" i="23"/>
  <c r="AZ63" i="23"/>
  <c r="N65" i="23"/>
  <c r="T65" i="23"/>
  <c r="AE65" i="23"/>
  <c r="AF65" i="23"/>
  <c r="AG65" i="23"/>
  <c r="AJ65" i="23"/>
  <c r="AK65" i="23"/>
  <c r="AL65" i="23"/>
  <c r="AM65" i="23"/>
  <c r="AO65" i="23"/>
  <c r="AP65" i="23"/>
  <c r="AO67" i="23"/>
  <c r="AP67" i="23"/>
  <c r="AE70" i="23"/>
  <c r="AF70" i="23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E9" i="9"/>
  <c r="AF9" i="9"/>
  <c r="AG9" i="9"/>
  <c r="AJ9" i="9"/>
  <c r="AK9" i="9"/>
  <c r="AL9" i="9"/>
  <c r="AM9" i="9"/>
  <c r="AO9" i="9"/>
  <c r="AP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2" i="9"/>
  <c r="T52" i="9"/>
  <c r="AE52" i="9"/>
  <c r="AF52" i="9"/>
  <c r="AG52" i="9"/>
  <c r="AJ52" i="9"/>
  <c r="AK52" i="9"/>
  <c r="AL52" i="9"/>
  <c r="AM52" i="9"/>
  <c r="AO52" i="9"/>
  <c r="AP52" i="9"/>
  <c r="N53" i="9"/>
  <c r="T53" i="9"/>
  <c r="AE53" i="9"/>
  <c r="AF53" i="9"/>
  <c r="AG53" i="9"/>
  <c r="AJ53" i="9"/>
  <c r="AK53" i="9"/>
  <c r="AL53" i="9"/>
  <c r="AM53" i="9"/>
  <c r="AO53" i="9"/>
  <c r="AP53" i="9"/>
  <c r="N54" i="9"/>
  <c r="T54" i="9"/>
  <c r="AE54" i="9"/>
  <c r="AF54" i="9"/>
  <c r="AG54" i="9"/>
  <c r="AJ54" i="9"/>
  <c r="AK54" i="9"/>
  <c r="AL54" i="9"/>
  <c r="AM54" i="9"/>
  <c r="AO54" i="9"/>
  <c r="AP54" i="9"/>
  <c r="N55" i="9"/>
  <c r="T55" i="9"/>
  <c r="AE55" i="9"/>
  <c r="AF55" i="9"/>
  <c r="AG55" i="9"/>
  <c r="AJ55" i="9"/>
  <c r="AK55" i="9"/>
  <c r="AL55" i="9"/>
  <c r="AM55" i="9"/>
  <c r="AO55" i="9"/>
  <c r="AP55" i="9"/>
  <c r="N56" i="9"/>
  <c r="T56" i="9"/>
  <c r="AE56" i="9"/>
  <c r="AF56" i="9"/>
  <c r="AG56" i="9"/>
  <c r="AJ56" i="9"/>
  <c r="AK56" i="9"/>
  <c r="AL56" i="9"/>
  <c r="AM56" i="9"/>
  <c r="AO56" i="9"/>
  <c r="AP56" i="9"/>
  <c r="N57" i="9"/>
  <c r="T57" i="9"/>
  <c r="AE57" i="9"/>
  <c r="AF57" i="9"/>
  <c r="AG57" i="9"/>
  <c r="AJ57" i="9"/>
  <c r="AK57" i="9"/>
  <c r="AL57" i="9"/>
  <c r="AM57" i="9"/>
  <c r="AO57" i="9"/>
  <c r="AP57" i="9"/>
  <c r="N58" i="9"/>
  <c r="T58" i="9"/>
  <c r="AE58" i="9"/>
  <c r="AF58" i="9"/>
  <c r="AG58" i="9"/>
  <c r="AJ58" i="9"/>
  <c r="AK58" i="9"/>
  <c r="AL58" i="9"/>
  <c r="AM58" i="9"/>
  <c r="AO58" i="9"/>
  <c r="AP58" i="9"/>
  <c r="N59" i="9"/>
  <c r="T59" i="9"/>
  <c r="AE59" i="9"/>
  <c r="AF59" i="9"/>
  <c r="AG59" i="9"/>
  <c r="AJ59" i="9"/>
  <c r="AK59" i="9"/>
  <c r="AL59" i="9"/>
  <c r="AM59" i="9"/>
  <c r="AO59" i="9"/>
  <c r="AP59" i="9"/>
  <c r="N60" i="9"/>
  <c r="T60" i="9"/>
  <c r="AE60" i="9"/>
  <c r="AF60" i="9"/>
  <c r="AG60" i="9"/>
  <c r="AJ60" i="9"/>
  <c r="AK60" i="9"/>
  <c r="AL60" i="9"/>
  <c r="AM60" i="9"/>
  <c r="AO60" i="9"/>
  <c r="AP60" i="9"/>
  <c r="N61" i="9"/>
  <c r="T61" i="9"/>
  <c r="AE61" i="9"/>
  <c r="AF61" i="9"/>
  <c r="AG61" i="9"/>
  <c r="AJ61" i="9"/>
  <c r="AK61" i="9"/>
  <c r="AL61" i="9"/>
  <c r="AM61" i="9"/>
  <c r="AO61" i="9"/>
  <c r="AP61" i="9"/>
  <c r="N62" i="9"/>
  <c r="T62" i="9"/>
  <c r="AE62" i="9"/>
  <c r="AF62" i="9"/>
  <c r="AG62" i="9"/>
  <c r="AJ62" i="9"/>
  <c r="AK62" i="9"/>
  <c r="AL62" i="9"/>
  <c r="AM62" i="9"/>
  <c r="AO62" i="9"/>
  <c r="AP62" i="9"/>
  <c r="N63" i="9"/>
  <c r="T63" i="9"/>
  <c r="AE63" i="9"/>
  <c r="AF63" i="9"/>
  <c r="AG63" i="9"/>
  <c r="AJ63" i="9"/>
  <c r="AK63" i="9"/>
  <c r="AL63" i="9"/>
  <c r="AM63" i="9"/>
  <c r="AO63" i="9"/>
  <c r="AP63" i="9"/>
  <c r="N65" i="9"/>
  <c r="T65" i="9"/>
  <c r="AE65" i="9"/>
  <c r="AF65" i="9"/>
  <c r="AG65" i="9"/>
  <c r="AJ65" i="9"/>
  <c r="AK65" i="9"/>
  <c r="AL65" i="9"/>
  <c r="AM65" i="9"/>
  <c r="AO65" i="9"/>
  <c r="AP65" i="9"/>
  <c r="AO67" i="9"/>
  <c r="AP6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34965233-0A62-4032-94E9-FEFEF98D61F5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5898B4-9C13-49F9-8A44-DA48CD1E0233}" name="Conexão" type="7" refreshedVersion="8" background="1" saveData="1"/>
  <connection id="2" xr16:uid="{99177376-386C-4E37-B107-52A353B6FBC0}" name="Conexão1" type="7" refreshedVersion="8" background="1" saveData="1"/>
  <connection id="3" xr16:uid="{C05FDB9E-D01F-4F63-916A-EF89EFF4002A}" name="Conexão2" type="7" refreshedVersion="8" background="1" saveData="1"/>
</connections>
</file>

<file path=xl/sharedStrings.xml><?xml version="1.0" encoding="utf-8"?>
<sst xmlns="http://schemas.openxmlformats.org/spreadsheetml/2006/main" count="46894" uniqueCount="1434">
  <si>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</si>
  <si>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</si>
  <si>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</si>
  <si>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</si>
  <si>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</si>
  <si>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</si>
  <si>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</si>
  <si>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</si>
  <si>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</si>
  <si>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</si>
  <si>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</si>
  <si>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</si>
  <si>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</si>
  <si>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</si>
  <si>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</si>
  <si>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</si>
  <si>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</si>
  <si>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</si>
  <si>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</si>
  <si>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</si>
  <si>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</si>
  <si>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</si>
  <si>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</si>
  <si>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</si>
  <si>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</si>
  <si>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</si>
  <si>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</si>
  <si>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</si>
  <si>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</si>
  <si>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</si>
  <si>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</si>
  <si>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</si>
  <si>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</si>
  <si>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</si>
  <si>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</si>
  <si>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</si>
  <si>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</si>
  <si>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</si>
  <si>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</si>
  <si>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</si>
  <si>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Verde</t>
  </si>
  <si>
    <t>Comercial</t>
  </si>
  <si>
    <t>Azul</t>
  </si>
  <si>
    <t>B2</t>
  </si>
  <si>
    <t>Rural</t>
  </si>
  <si>
    <t>A3a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</si>
  <si>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</si>
  <si>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</si>
  <si>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</si>
  <si>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</si>
  <si>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</si>
  <si>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</si>
  <si>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</si>
  <si>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</si>
  <si>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</si>
  <si>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</si>
  <si>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</si>
  <si>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PROJETADO</t>
  </si>
  <si>
    <t>Fonte incentivada</t>
  </si>
  <si>
    <t>LIVRE</t>
  </si>
  <si>
    <t>Geração</t>
  </si>
  <si>
    <t>CACHOEIRA DO LAVRINHA (ANTIGA SÃO PATRÍCIO)</t>
  </si>
  <si>
    <t>GERAÇÃO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</si>
  <si>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</si>
  <si>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</si>
  <si>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</si>
  <si>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</si>
  <si>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</si>
  <si>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</si>
  <si>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</si>
  <si>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</si>
  <si>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</si>
  <si>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</si>
  <si>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</si>
  <si>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</si>
  <si>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</si>
  <si>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</si>
  <si>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</si>
  <si>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</si>
  <si>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</si>
  <si>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</si>
  <si>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</si>
  <si>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convencional</t>
  </si>
  <si>
    <t>E</t>
  </si>
  <si>
    <t>kW</t>
  </si>
  <si>
    <t>DP</t>
  </si>
  <si>
    <t>DFP</t>
  </si>
  <si>
    <t>APE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</si>
  <si>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</si>
  <si>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</si>
  <si>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</si>
  <si>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</si>
  <si>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</si>
  <si>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</si>
  <si>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</si>
  <si>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</si>
  <si>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</si>
  <si>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</si>
  <si>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44562A3aAzulNão se aplicaNão se aplicaNão se aplicaNão se aplicaFora ponta</t>
  </si>
  <si>
    <t>44562A3aAzulNão se aplicaNão se aplicaNão se aplicaNão se aplicaPonta</t>
  </si>
  <si>
    <t>44713A3aAzulNão se aplicaNão se aplicaNão se aplicaNão se aplicaFora ponta</t>
  </si>
  <si>
    <t>44743A3aAzulNão se aplicaNão se aplicaNão se aplicaNão se aplicaFora ponta</t>
  </si>
  <si>
    <t>44774A3aAzulNão se aplicaNão se aplicaNão se aplicaNão se aplicaFora ponta</t>
  </si>
  <si>
    <t>44501A3aAzulNão se aplicaNão se aplicaNão se aplicaNão se aplicaFora ponta</t>
  </si>
  <si>
    <t>44531A3aAzulNão se aplicaNão se aplicaNão se aplicaNão se aplicaFora ponta</t>
  </si>
  <si>
    <t>44593A3aAzulNão se aplicaNão se aplicaNão se aplicaNão se aplicaFora ponta</t>
  </si>
  <si>
    <t>44621A3aAzulNão se aplicaNão se aplicaNão se aplicaNão se aplicaFora ponta</t>
  </si>
  <si>
    <t>44652A3aAzulNão se aplicaNão se aplicaNão se aplicaNão se aplicaFora ponta</t>
  </si>
  <si>
    <t>44682A3aAzulNão se aplicaNão se aplicaNão se aplicaNão se aplicaFora ponta</t>
  </si>
  <si>
    <t>44805A3aAzulNão se aplicaNão se aplicaNão se aplicaNão se aplicaFora ponta</t>
  </si>
  <si>
    <t>44835A3aAzulNão se aplicaNão se aplicaNão se aplicaNão se aplicaFora ponta</t>
  </si>
  <si>
    <t>44501A3aAzulNão se aplicaNão se aplicaNão se aplicaNão se aplicaPonta</t>
  </si>
  <si>
    <t>44531A3aAzulNão se aplicaNão se aplicaNão se aplicaNão se aplicaPonta</t>
  </si>
  <si>
    <t>44593A3aAzulNão se aplicaNão se aplicaNão se aplicaNão se aplicaPonta</t>
  </si>
  <si>
    <t>44621A3aAzulNão se aplicaNão se aplicaNão se aplicaNão se aplicaPonta</t>
  </si>
  <si>
    <t>44652A3aAzulNão se aplicaNão se aplicaNão se aplicaNão se aplicaPonta</t>
  </si>
  <si>
    <t>44682A3aAzulNão se aplicaNão se aplicaNão se aplicaNão se aplicaPonta</t>
  </si>
  <si>
    <t>44713A3aAzulNão se aplicaNão se aplicaNão se aplicaNão se aplicaPonta</t>
  </si>
  <si>
    <t>44743A3aAzulNão se aplicaNão se aplicaNão se aplicaNão se aplicaPonta</t>
  </si>
  <si>
    <t>44774A3aAzulNão se aplicaNão se aplicaNão se aplicaNão se aplicaPonta</t>
  </si>
  <si>
    <t>44805A3aAzulNão se aplicaNão se aplicaNão se aplicaNão se aplicaPonta</t>
  </si>
  <si>
    <t>44835A3aAzulNão se aplicaNão se aplicaNão se aplicaNão se aplicaPonta</t>
  </si>
  <si>
    <t>44501A3aGeraçãoNão se aplicaNão se aplicaNão se aplicaNão se aplicaNão se aplica</t>
  </si>
  <si>
    <t>44531A3aGeraçãoNão se aplicaNão se aplicaNão se aplicaNão se aplicaNão se aplica</t>
  </si>
  <si>
    <t>44562A3aGeraçãoNão se aplicaNão se aplicaNão se aplicaNão se aplicaNão se aplica</t>
  </si>
  <si>
    <t>44593A3aGeraçãoNão se aplicaNão se aplicaNão se aplicaNão se aplicaNão se aplica</t>
  </si>
  <si>
    <t>44621A3aGeraçãoNão se aplicaNão se aplicaNão se aplicaNão se aplicaNão se aplica</t>
  </si>
  <si>
    <t>44652A3aGeraçãoNão se aplicaNão se aplicaNão se aplicaNão se aplicaNão se aplica</t>
  </si>
  <si>
    <t>44682A3aGeraçãoNão se aplicaNão se aplicaNão se aplicaNão se aplicaNão se aplica</t>
  </si>
  <si>
    <t>44713A3aGeraçãoNão se aplicaNão se aplicaNão se aplicaNão se aplicaNão se aplica</t>
  </si>
  <si>
    <t>44743A3aGeraçãoNão se aplicaNão se aplicaNão se aplicaNão se aplicaNão se aplica</t>
  </si>
  <si>
    <t>44774A3aGeraçãoNão se aplicaNão se aplicaNão se aplicaNão se aplicaNão se aplica</t>
  </si>
  <si>
    <t>44805A3aGeraçãoNão se aplicaNão se aplicaNão se aplicaNão se aplicaNão se aplica</t>
  </si>
  <si>
    <t>44835A3aGeraçãoNão se aplicaNão se aplicaNão se aplicaNão se aplicaNão se aplica</t>
  </si>
  <si>
    <t>44805A3aVerdeNão se aplicaNão se aplicaNão se aplicaNão se aplicaFora ponta</t>
  </si>
  <si>
    <t>44835A3aVerdeNão se aplicaNão se aplicaNão se aplicaNão se aplicaFora ponta</t>
  </si>
  <si>
    <t>44805A3aVerdeNão se aplicaNão se aplicaNão se aplicaNão se aplicaNão se aplica</t>
  </si>
  <si>
    <t>44835A3aVerdeNão se aplicaNão se aplicaNão se aplicaNão se aplicaNão se aplica</t>
  </si>
  <si>
    <t>44805A3aVerdeNão se aplicaNão se aplicaNão se aplicaNão se aplicaPonta</t>
  </si>
  <si>
    <t>44835A3aVerdeNão se aplicaNão se aplicaNão se aplicaNão se aplicaPonta</t>
  </si>
  <si>
    <t>44593A3aVerdeNão se aplicaNão se aplicaNão se aplicaNão se aplicaFora ponta</t>
  </si>
  <si>
    <t>44621A3aVerdeNão se aplicaNão se aplicaNão se aplicaNão se aplicaFora ponta</t>
  </si>
  <si>
    <t>44652A3aVerdeNão se aplicaNão se aplicaNão se aplicaNão se aplicaFora ponta</t>
  </si>
  <si>
    <t>44682A3aVerdeNão se aplicaNão se aplicaNão se aplicaNão se aplicaFora ponta</t>
  </si>
  <si>
    <t>44713A3aVerdeNão se aplicaNão se aplicaNão se aplicaNão se aplicaFora ponta</t>
  </si>
  <si>
    <t>44743A3aVerdeNão se aplicaNão se aplicaNão se aplicaNão se aplicaFora ponta</t>
  </si>
  <si>
    <t>44774A3aVerdeNão se aplicaNão se aplicaNão se aplicaNão se aplicaFora ponta</t>
  </si>
  <si>
    <t>44593A3aVerdeNão se aplicaNão se aplicaNão se aplicaNão se aplicaNão se aplica</t>
  </si>
  <si>
    <t>44621A3aVerdeNão se aplicaNão se aplicaNão se aplicaNão se aplicaNão se aplica</t>
  </si>
  <si>
    <t>44652A3aVerdeNão se aplicaNão se aplicaNão se aplicaNão se aplicaNão se aplica</t>
  </si>
  <si>
    <t>44682A3aVerdeNão se aplicaNão se aplicaNão se aplicaNão se aplicaNão se aplica</t>
  </si>
  <si>
    <t>44713A3aVerdeNão se aplicaNão se aplicaNão se aplicaNão se aplicaNão se aplica</t>
  </si>
  <si>
    <t>44743A3aVerdeNão se aplicaNão se aplicaNão se aplicaNão se aplicaNão se aplica</t>
  </si>
  <si>
    <t>44774A3aVerdeNão se aplicaNão se aplicaNão se aplicaNão se aplicaNão se aplica</t>
  </si>
  <si>
    <t>44593A3aVerdeNão se aplicaNão se aplicaNão se aplicaNão se aplicaPonta</t>
  </si>
  <si>
    <t>44621A3aVerdeNão se aplicaNão se aplicaNão se aplicaNão se aplicaPonta</t>
  </si>
  <si>
    <t>44652A3aVerdeNão se aplicaNão se aplicaNão se aplicaNão se aplicaPonta</t>
  </si>
  <si>
    <t>44682A3aVerdeNão se aplicaNão se aplicaNão se aplicaNão se aplicaPonta</t>
  </si>
  <si>
    <t>44713A3aVerdeNão se aplicaNão se aplicaNão se aplicaNão se aplicaPonta</t>
  </si>
  <si>
    <t>44743A3aVerdeNão se aplicaNão se aplicaNão se aplicaNão se aplicaPonta</t>
  </si>
  <si>
    <t>44774A3aVerdeNão se aplicaNão se aplicaNão se aplicaNão se aplicaPonta</t>
  </si>
  <si>
    <t>44501A3aVerdeNão se aplicaNão se aplicaNão se aplicaNão se aplicaNão se aplica</t>
  </si>
  <si>
    <t>44531A3aVerdeNão se aplicaNão se aplicaNão se aplicaNão se aplicaNão se aplica</t>
  </si>
  <si>
    <t>44562A3aVerdeNão se aplicaNão se aplicaNão se aplicaNão se aplicaNão se aplica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</si>
  <si>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</si>
  <si>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</si>
  <si>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</si>
  <si>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</si>
  <si>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</si>
  <si>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</si>
  <si>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</si>
  <si>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</si>
  <si>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44743A4AzulNão se aplicaNão se aplicaNão se aplicaNão se aplicaFora ponta</t>
  </si>
  <si>
    <t>44774A4AzulNão se aplicaNão se aplicaNão se aplicaNão se aplicaFora ponta</t>
  </si>
  <si>
    <t>44805A4AzulNão se aplicaNão se aplicaNão se aplicaNão se aplicaFora ponta</t>
  </si>
  <si>
    <t>44835A4AzulNão se aplicaNão se aplicaNão se aplicaNão se aplicaFora 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</si>
  <si>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</si>
  <si>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</si>
  <si>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</si>
  <si>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</si>
  <si>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</si>
  <si>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</si>
  <si>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</si>
  <si>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</si>
  <si>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44743A4AzulNão se aplicaNão se aplicaNão se aplicaNão se aplicaPonta</t>
  </si>
  <si>
    <t>44774A4AzulNão se aplicaNão se aplicaNão se aplicaNão se aplicaPonta</t>
  </si>
  <si>
    <t>44805A4AzulNão se aplicaNão se aplicaNão se aplicaNão se aplicaPonta</t>
  </si>
  <si>
    <t>44835A4AzulNão se aplicaNão se aplicaNão se aplicaNão se aplicaPonta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</si>
  <si>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</si>
  <si>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</si>
  <si>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</si>
  <si>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</si>
  <si>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</si>
  <si>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</si>
  <si>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</si>
  <si>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</si>
  <si>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44743A4VerdeNão se aplicaNão se aplicaNão se aplicaNão se aplicaFora ponta</t>
  </si>
  <si>
    <t>44774A4VerdeNão se aplicaNão se aplicaNão se aplicaNão se aplicaFora ponta</t>
  </si>
  <si>
    <t>44805A4VerdeNão se aplicaNão se aplicaNão se aplicaNão se aplicaFora ponta</t>
  </si>
  <si>
    <t>44835A4VerdeNão se aplicaNão se aplicaNão se aplicaNão se aplicaFora ponta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</si>
  <si>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</si>
  <si>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</si>
  <si>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</si>
  <si>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</si>
  <si>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</si>
  <si>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</si>
  <si>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</si>
  <si>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</si>
  <si>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44743A4VerdeNão se aplicaNão se aplicaNão se aplicaNão se aplicaNão se aplica</t>
  </si>
  <si>
    <t>44774A4VerdeNão se aplicaNão se aplicaNão se aplicaNão se aplicaNão se aplica</t>
  </si>
  <si>
    <t>44805A4VerdeNão se aplicaNão se aplicaNão se aplicaNão se aplicaNão se aplica</t>
  </si>
  <si>
    <t>44835A4VerdeNão se aplicaNão se aplicaNão se aplicaNão se aplicaNão se aplica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</si>
  <si>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</si>
  <si>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</si>
  <si>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</si>
  <si>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</si>
  <si>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</si>
  <si>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</si>
  <si>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</si>
  <si>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</si>
  <si>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44743A4VerdeNão se aplicaNão se aplicaNão se aplicaNão se aplicaPonta</t>
  </si>
  <si>
    <t>44774A4VerdeNão se aplicaNão se aplicaNão se aplicaNão se aplicaPonta</t>
  </si>
  <si>
    <t>44805A4VerdeNão se aplicaNão se aplicaNão se aplicaNão se aplicaPonta</t>
  </si>
  <si>
    <t>44835A4VerdeNão se aplicaNão se aplicaNão se aplicaNão se aplicaPonta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</si>
  <si>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</si>
  <si>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</si>
  <si>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</si>
  <si>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</si>
  <si>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</si>
  <si>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</si>
  <si>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</si>
  <si>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</si>
  <si>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44743B1BrancaResidencialResidencialNão se aplicaNão se aplicaFora ponta</t>
  </si>
  <si>
    <t>44774B1BrancaResidencialResidencialNão se aplicaNão se aplicaFora ponta</t>
  </si>
  <si>
    <t>44805B1BrancaResidencialResidencialNão se aplicaNão se aplicaFora ponta</t>
  </si>
  <si>
    <t>44835B1BrancaResidencialResidencialNão se aplicaNão se aplicaFora ponta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</si>
  <si>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</si>
  <si>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</si>
  <si>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</si>
  <si>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</si>
  <si>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</si>
  <si>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</si>
  <si>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</si>
  <si>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</si>
  <si>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44743B1BrancaResidencialResidencialNão se aplicaNão se aplicaIntermediário</t>
  </si>
  <si>
    <t>44774B1BrancaResidencialResidencialNão se aplicaNão se aplicaIntermediário</t>
  </si>
  <si>
    <t>44805B1BrancaResidencialResidencialNão se aplicaNão se aplicaIntermediário</t>
  </si>
  <si>
    <t>44835B1BrancaResidencialResidencialNão se aplicaNão se aplicaIntermediário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</si>
  <si>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</si>
  <si>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</si>
  <si>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</si>
  <si>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</si>
  <si>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</si>
  <si>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</si>
  <si>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</si>
  <si>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</si>
  <si>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44743B1BrancaResidencialResidencialNão se aplicaNão se aplicaPonta</t>
  </si>
  <si>
    <t>44774B1BrancaResidencialResidencialNão se aplicaNão se aplicaPonta</t>
  </si>
  <si>
    <t>44805B1BrancaResidencialResidencialNão se aplicaNão se aplicaPonta</t>
  </si>
  <si>
    <t>44835B1BrancaResidencialResidencialNão se aplicaNão se aplicaPonta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</si>
  <si>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</si>
  <si>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</si>
  <si>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</si>
  <si>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</si>
  <si>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</si>
  <si>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</si>
  <si>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</si>
  <si>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</si>
  <si>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44743B1ConvencionalResidencialResidencialNão se aplicaNão se aplicaNão se aplica</t>
  </si>
  <si>
    <t>44774B1ConvencionalResidencialResidencialNão se aplicaNão se aplicaNão se aplica</t>
  </si>
  <si>
    <t>44805B1ConvencionalResidencialResidencialNão se aplicaNão se aplicaNão se aplica</t>
  </si>
  <si>
    <t>44835B1ConvencionalResidencialResidencialNão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</si>
  <si>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</si>
  <si>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</si>
  <si>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</si>
  <si>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</si>
  <si>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</si>
  <si>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</si>
  <si>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</si>
  <si>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</si>
  <si>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44743B1ConvencionalResidencialResidencial baixa renda – faixa 01Não se aplicaNão se aplicaNão se aplica</t>
  </si>
  <si>
    <t>44774B1ConvencionalResidencialResidencial baixa renda – faixa 01Não se aplicaNão se aplicaNão se aplica</t>
  </si>
  <si>
    <t>44805B1ConvencionalResidencialResidencial baixa renda – faixa 01Não se aplicaNão se aplicaNão se aplica</t>
  </si>
  <si>
    <t>44835B1ConvencionalResidencialResidencial baixa renda – faixa 01Não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</si>
  <si>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</si>
  <si>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</si>
  <si>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</si>
  <si>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</si>
  <si>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</si>
  <si>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</si>
  <si>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</si>
  <si>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</si>
  <si>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44743B1ConvencionalResidencialResidencial baixa renda – faixa 02Não se aplicaNão se aplicaNão se aplica</t>
  </si>
  <si>
    <t>44774B1ConvencionalResidencialResidencial baixa renda – faixa 02Não se aplicaNão se aplicaNão se aplica</t>
  </si>
  <si>
    <t>44805B1ConvencionalResidencialResidencial baixa renda – faixa 02Não se aplicaNão se aplicaNão se aplica</t>
  </si>
  <si>
    <t>44835B1ConvencionalResidencialResidencial baixa renda – faixa 02Não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</si>
  <si>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</si>
  <si>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</si>
  <si>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</si>
  <si>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</si>
  <si>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</si>
  <si>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</si>
  <si>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</si>
  <si>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</si>
  <si>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44743B1ConvencionalResidencialResidencial baixa renda – faixa 03Não se aplicaNão se aplicaNão se aplica</t>
  </si>
  <si>
    <t>44774B1ConvencionalResidencialResidencial baixa renda – faixa 03Não se aplicaNão se aplicaNão se aplica</t>
  </si>
  <si>
    <t>44805B1ConvencionalResidencialResidencial baixa renda – faixa 03Não se aplicaNão se aplicaNão se aplica</t>
  </si>
  <si>
    <t>44835B1ConvencionalResidencialResidencial baixa renda – faixa 03Não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</si>
  <si>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</si>
  <si>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</si>
  <si>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</si>
  <si>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</si>
  <si>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</si>
  <si>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</si>
  <si>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</si>
  <si>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</si>
  <si>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44743B1ConvencionalResidencialResidencial baixa renda – faixa 04Não se aplicaNão se aplicaNão se aplica</t>
  </si>
  <si>
    <t>44774B1ConvencionalResidencialResidencial baixa renda – faixa 04Não se aplicaNão se aplicaNão se aplica</t>
  </si>
  <si>
    <t>44805B1ConvencionalResidencialResidencial baixa renda – faixa 04Não se aplicaNão se aplicaNão se aplica</t>
  </si>
  <si>
    <t>44835B1ConvencionalResidencialResidencial baixa renda – faixa 04Não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</si>
  <si>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</si>
  <si>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</si>
  <si>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</si>
  <si>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</si>
  <si>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</si>
  <si>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</si>
  <si>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</si>
  <si>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</si>
  <si>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44743B2ConvencionalRuralNão se aplicaNão se aplicaNão se aplicaNão se aplica</t>
  </si>
  <si>
    <t>44774B2ConvencionalRuralNão se aplicaNão se aplicaNão se aplicaNão se aplica</t>
  </si>
  <si>
    <t>44805B2ConvencionalRuralNão se aplicaNão se aplicaNão se aplicaNão se aplica</t>
  </si>
  <si>
    <t>44835B2ConvencionalRuralNão se aplicaNão se aplicaNão se aplicaNão se aplica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</si>
  <si>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</si>
  <si>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</si>
  <si>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</si>
  <si>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</si>
  <si>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</si>
  <si>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</si>
  <si>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</si>
  <si>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</si>
  <si>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44743B3BrancaNão se aplicaNão se aplicaNão se aplicaNão se aplicaFora ponta</t>
  </si>
  <si>
    <t>44774B3BrancaNão se aplicaNão se aplicaNão se aplicaNão se aplicaFora ponta</t>
  </si>
  <si>
    <t>44805B3BrancaNão se aplicaNão se aplicaNão se aplicaNão se aplicaFora ponta</t>
  </si>
  <si>
    <t>44835B3BrancaNão se aplicaNão se aplicaNão se aplicaNão se aplicaFora ponta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</si>
  <si>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</si>
  <si>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</si>
  <si>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</si>
  <si>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</si>
  <si>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</si>
  <si>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</si>
  <si>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</si>
  <si>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</si>
  <si>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44743B3BrancaNão se aplicaNão se aplicaNão se aplicaNão se aplicaIntermediário</t>
  </si>
  <si>
    <t>44774B3BrancaNão se aplicaNão se aplicaNão se aplicaNão se aplicaIntermediário</t>
  </si>
  <si>
    <t>44805B3BrancaNão se aplicaNão se aplicaNão se aplicaNão se aplicaIntermediário</t>
  </si>
  <si>
    <t>44835B3BrancaNão se aplicaNão se aplicaNão se aplicaNão se aplicaIntermediário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</si>
  <si>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</si>
  <si>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</si>
  <si>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</si>
  <si>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</si>
  <si>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</si>
  <si>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</si>
  <si>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</si>
  <si>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</si>
  <si>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44743B3BrancaNão se aplicaNão se aplicaNão se aplicaNão se aplicaPonta</t>
  </si>
  <si>
    <t>44774B3BrancaNão se aplicaNão se aplicaNão se aplicaNão se aplicaPonta</t>
  </si>
  <si>
    <t>44805B3BrancaNão se aplicaNão se aplicaNão se aplicaNão se aplicaPonta</t>
  </si>
  <si>
    <t>44835B3BrancaNão se aplicaNão se aplicaNão se aplicaNão se aplicaPonta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</si>
  <si>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</si>
  <si>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</si>
  <si>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</si>
  <si>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</si>
  <si>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</si>
  <si>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</si>
  <si>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</si>
  <si>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</si>
  <si>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44743B3ConvencionalNão se aplicaNão se aplicaNão se aplicaNão se aplicaNão se aplica</t>
  </si>
  <si>
    <t>44774B3ConvencionalNão se aplicaNão se aplicaNão se aplicaNão se aplicaNão se aplica</t>
  </si>
  <si>
    <t>44805B3ConvencionalNão se aplicaNão se aplicaNão se aplicaNão se aplicaNão se aplica</t>
  </si>
  <si>
    <t>44835B3ConvencionalNão se aplicaNão se aplicaNão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</si>
  <si>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</si>
  <si>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</si>
  <si>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</si>
  <si>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</si>
  <si>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</si>
  <si>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</si>
  <si>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</si>
  <si>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</si>
  <si>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44743B4ConvencionalIluminação públicaIluminação pública – B4aNão se aplicaNão se aplicaNão se aplica</t>
  </si>
  <si>
    <t>44774B4ConvencionalIluminação públicaIluminação pública – B4aNão se aplicaNão se aplicaNão se aplica</t>
  </si>
  <si>
    <t>44805B4ConvencionalIluminação públicaIluminação pública – B4aNão se aplicaNão se aplicaNão se aplica</t>
  </si>
  <si>
    <t>44835B4ConvencionalIluminação públicaIluminação pública – B4aNão se aplicaNão se aplicaNão se aplica</t>
  </si>
  <si>
    <t>CHAVE TE</t>
  </si>
  <si>
    <t>44562A3aEnergia horáriaNão se aplicaNão se aplicaNão se aplicaNão se aplicaFora ponta</t>
  </si>
  <si>
    <t>44562A3aEnergia horáriaNão se aplicaNão se aplicaNão se aplicaNão se aplicaPonta</t>
  </si>
  <si>
    <t>44713A3aEnergia horáriaNão se aplicaNão se aplicaNão se aplicaNão se aplicaFora ponta</t>
  </si>
  <si>
    <t>44743A3aEnergia horáriaNão se aplicaNão se aplicaNão se aplicaNão se aplicaFora ponta</t>
  </si>
  <si>
    <t>44774A3aEnergia horáriaNão se aplicaNão se aplicaNão se aplicaNão se aplicaFora ponta</t>
  </si>
  <si>
    <t>44501A3aEnergia horáriaNão se aplicaNão se aplicaNão se aplicaNão se aplicaFora ponta</t>
  </si>
  <si>
    <t>44531A3aEnergia horáriaNão se aplicaNão se aplicaNão se aplicaNão se aplicaFora ponta</t>
  </si>
  <si>
    <t>44593A3aEnergia horáriaNão se aplicaNão se aplicaNão se aplicaNão se aplicaFora ponta</t>
  </si>
  <si>
    <t>44621A3aEnergia horáriaNão se aplicaNão se aplicaNão se aplicaNão se aplicaFora ponta</t>
  </si>
  <si>
    <t>44652A3aEnergia horáriaNão se aplicaNão se aplicaNão se aplicaNão se aplicaFora ponta</t>
  </si>
  <si>
    <t>44682A3aEnergia horáriaNão se aplicaNão se aplicaNão se aplicaNão se aplicaFora ponta</t>
  </si>
  <si>
    <t>44805A3aEnergia horáriaNão se aplicaNão se aplicaNão se aplicaNão se aplicaFora ponta</t>
  </si>
  <si>
    <t>44835A3aEnergia horáriaNão se aplicaNão se aplicaNão se aplicaNão se aplicaFora ponta</t>
  </si>
  <si>
    <t>44501A3aEnergia horáriaNão se aplicaNão se aplicaNão se aplicaNão se aplicaPonta</t>
  </si>
  <si>
    <t>44531A3aEnergia horáriaNão se aplicaNão se aplicaNão se aplicaNão se aplicaPonta</t>
  </si>
  <si>
    <t>44593A3aEnergia horáriaNão se aplicaNão se aplicaNão se aplicaNão se aplicaPonta</t>
  </si>
  <si>
    <t>44621A3aEnergia horáriaNão se aplicaNão se aplicaNão se aplicaNão se aplicaPonta</t>
  </si>
  <si>
    <t>44652A3aEnergia horáriaNão se aplicaNão se aplicaNão se aplicaNão se aplicaPonta</t>
  </si>
  <si>
    <t>44682A3aEnergia horáriaNão se aplicaNão se aplicaNão se aplicaNão se aplicaPonta</t>
  </si>
  <si>
    <t>44713A3aEnergia horáriaNão se aplicaNão se aplicaNão se aplicaNão se aplicaPonta</t>
  </si>
  <si>
    <t>44743A3aEnergia horáriaNão se aplicaNão se aplicaNão se aplicaNão se aplicaPonta</t>
  </si>
  <si>
    <t>44774A3aEnergia horáriaNão se aplicaNão se aplicaNão se aplicaNão se aplicaPonta</t>
  </si>
  <si>
    <t>44805A3aEnergia horáriaNão se aplicaNão se aplicaNão se aplicaNão se aplicaPonta</t>
  </si>
  <si>
    <t>44835A3aEnergia horáriaNão se aplicaNão se aplicaNão se aplicaNão se aplicaPonta</t>
  </si>
  <si>
    <t>CUIDADO</t>
  </si>
  <si>
    <t>Desculpe, mas não foi encontrado posto Não se aplica, modalidade Energia horária, subgrupo A3a no banco de regras.</t>
  </si>
  <si>
    <t>Mercado_Receita</t>
  </si>
  <si>
    <t>S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</si>
  <si>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</si>
  <si>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</si>
  <si>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</si>
  <si>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</si>
  <si>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</si>
  <si>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</si>
  <si>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</si>
  <si>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</si>
  <si>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44743A4Energia horáriaNão se aplicaNão se aplicaNão se aplicaNão se aplicaFora ponta</t>
  </si>
  <si>
    <t>44774A4Energia horáriaNão se aplicaNão se aplicaNão se aplicaNão se aplicaFora ponta</t>
  </si>
  <si>
    <t>44805A4Energia horáriaNão se aplicaNão se aplicaNão se aplicaNão se aplicaFora ponta</t>
  </si>
  <si>
    <t>44835A4Energia horáriaNão se aplicaNão se aplicaNão se aplicaNão se aplicaFora 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</si>
  <si>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</si>
  <si>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</si>
  <si>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</si>
  <si>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</si>
  <si>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</si>
  <si>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</si>
  <si>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</si>
  <si>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</si>
  <si>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44743A4Energia horáriaNão se aplicaNão se aplicaNão se aplicaNão se aplicaPonta</t>
  </si>
  <si>
    <t>44774A4Energia horáriaNão se aplicaNão se aplicaNão se aplicaNão se aplicaPonta</t>
  </si>
  <si>
    <t>44805A4Energia horáriaNão se aplicaNão se aplicaNão se aplicaNão se aplicaPonta</t>
  </si>
  <si>
    <t>44835A4Energia horáriaNão se aplicaNão se aplicaNão se aplicaNão se aplicaPonta</t>
  </si>
  <si>
    <t>Desculpe, mas não foi encontrado posto Não se aplica, modalidade Energia horária, subgrupo A4 no banco de regras.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</si>
  <si>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</si>
  <si>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</si>
  <si>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</si>
  <si>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</si>
  <si>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</si>
  <si>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</si>
  <si>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</si>
  <si>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</si>
  <si>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44743B1Energia horáriaResidencialResidencialNão se aplicaNão se aplicaFora ponta</t>
  </si>
  <si>
    <t>44774B1Energia horáriaResidencialResidencialNão se aplicaNão se aplicaFora ponta</t>
  </si>
  <si>
    <t>44805B1Energia horáriaResidencialResidencialNão se aplicaNão se aplicaFora ponta</t>
  </si>
  <si>
    <t>44835B1Energia horáriaResidencialResidencialNão se aplicaNão se aplicaFora ponta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</si>
  <si>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</si>
  <si>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</si>
  <si>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</si>
  <si>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</si>
  <si>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</si>
  <si>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</si>
  <si>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</si>
  <si>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</si>
  <si>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44743B1Energia horáriaResidencialResidencialNão se aplicaNão se aplicaIntermediário</t>
  </si>
  <si>
    <t>44774B1Energia horáriaResidencialResidencialNão se aplicaNão se aplicaIntermediário</t>
  </si>
  <si>
    <t>44805B1Energia horáriaResidencialResidencialNão se aplicaNão se aplicaIntermediário</t>
  </si>
  <si>
    <t>44835B1Energia horáriaResidencialResidencialNão se aplicaNão se aplicaIntermediário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</si>
  <si>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</si>
  <si>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</si>
  <si>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</si>
  <si>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</si>
  <si>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</si>
  <si>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</si>
  <si>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</si>
  <si>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</si>
  <si>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44743B1Energia horáriaResidencialResidencialNão se aplicaNão se aplicaPonta</t>
  </si>
  <si>
    <t>44774B1Energia horáriaResidencialResidencialNão se aplicaNão se aplicaPonta</t>
  </si>
  <si>
    <t>44805B1Energia horáriaResidencialResidencialNão se aplicaNão se aplicaPonta</t>
  </si>
  <si>
    <t>44835B1Energia horáriaResidencialResidencialNão se aplicaNão se aplicaPonta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</si>
  <si>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</si>
  <si>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</si>
  <si>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</si>
  <si>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</si>
  <si>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</si>
  <si>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</si>
  <si>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</si>
  <si>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</si>
  <si>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44743B1Energia convencionalResidencialResidencialNão se aplicaNão se aplicaNão se aplica</t>
  </si>
  <si>
    <t>44774B1Energia convencionalResidencialResidencialNão se aplicaNão se aplicaNão se aplica</t>
  </si>
  <si>
    <t>44805B1Energia convencionalResidencialResidencialNão se aplicaNão se aplicaNão se aplica</t>
  </si>
  <si>
    <t>44835B1Energia convencionalResidencialResidencialNão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</si>
  <si>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</si>
  <si>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</si>
  <si>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</si>
  <si>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</si>
  <si>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</si>
  <si>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</si>
  <si>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</si>
  <si>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</si>
  <si>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44743B1Energia convencionalResidencialResidencial baixa renda – faixa 01Não se aplicaNão se aplicaNão se aplica</t>
  </si>
  <si>
    <t>44774B1Energia convencionalResidencialResidencial baixa renda – faixa 01Não se aplicaNão se aplicaNão se aplica</t>
  </si>
  <si>
    <t>44805B1Energia convencionalResidencialResidencial baixa renda – faixa 01Não se aplicaNão se aplicaNão se aplica</t>
  </si>
  <si>
    <t>44835B1Energia convencionalResidencialResidencial baixa renda – faixa 01Não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</si>
  <si>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</si>
  <si>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</si>
  <si>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</si>
  <si>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</si>
  <si>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</si>
  <si>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</si>
  <si>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</si>
  <si>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</si>
  <si>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44743B1Energia convencionalResidencialResidencial baixa renda – faixa 02Não se aplicaNão se aplicaNão se aplica</t>
  </si>
  <si>
    <t>44774B1Energia convencionalResidencialResidencial baixa renda – faixa 02Não se aplicaNão se aplicaNão se aplica</t>
  </si>
  <si>
    <t>44805B1Energia convencionalResidencialResidencial baixa renda – faixa 02Não se aplicaNão se aplicaNão se aplica</t>
  </si>
  <si>
    <t>44835B1Energia convencionalResidencialResidencial baixa renda – faixa 02Não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</si>
  <si>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</si>
  <si>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</si>
  <si>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</si>
  <si>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</si>
  <si>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</si>
  <si>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</si>
  <si>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</si>
  <si>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</si>
  <si>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44743B1Energia convencionalResidencialResidencial baixa renda – faixa 03Não se aplicaNão se aplicaNão se aplica</t>
  </si>
  <si>
    <t>44774B1Energia convencionalResidencialResidencial baixa renda – faixa 03Não se aplicaNão se aplicaNão se aplica</t>
  </si>
  <si>
    <t>44805B1Energia convencionalResidencialResidencial baixa renda – faixa 03Não se aplicaNão se aplicaNão se aplica</t>
  </si>
  <si>
    <t>44835B1Energia convencionalResidencialResidencial baixa renda – faixa 03Não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</si>
  <si>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</si>
  <si>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</si>
  <si>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</si>
  <si>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</si>
  <si>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</si>
  <si>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</si>
  <si>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</si>
  <si>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</si>
  <si>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44743B1Energia convencionalResidencialResidencial baixa renda – faixa 04Não se aplicaNão se aplicaNão se aplica</t>
  </si>
  <si>
    <t>44774B1Energia convencionalResidencialResidencial baixa renda – faixa 04Não se aplicaNão se aplicaNão se aplica</t>
  </si>
  <si>
    <t>44805B1Energia convencionalResidencialResidencial baixa renda – faixa 04Não se aplicaNão se aplicaNão se aplica</t>
  </si>
  <si>
    <t>44835B1Energia convencionalResidencialResidencial baixa renda – faixa 04Não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</si>
  <si>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</si>
  <si>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</si>
  <si>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</si>
  <si>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</si>
  <si>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</si>
  <si>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</si>
  <si>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</si>
  <si>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</si>
  <si>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44743B2Energia convencionalRuralNão se aplicaNão se aplicaNão se aplicaNão se aplica</t>
  </si>
  <si>
    <t>44774B2Energia convencionalRuralNão se aplicaNão se aplicaNão se aplicaNão se aplica</t>
  </si>
  <si>
    <t>44805B2Energia convencionalRuralNão se aplicaNão se aplicaNão se aplicaNão se aplica</t>
  </si>
  <si>
    <t>44835B2Energia convencionalRuralNão se aplicaNão se aplicaNão se aplicaNão se aplica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</si>
  <si>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</si>
  <si>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</si>
  <si>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</si>
  <si>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</si>
  <si>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</si>
  <si>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</si>
  <si>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</si>
  <si>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</si>
  <si>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44743B3Energia horáriaNão se aplicaNão se aplicaNão se aplicaNão se aplicaFora ponta</t>
  </si>
  <si>
    <t>44774B3Energia horáriaNão se aplicaNão se aplicaNão se aplicaNão se aplicaFora ponta</t>
  </si>
  <si>
    <t>44805B3Energia horáriaNão se aplicaNão se aplicaNão se aplicaNão se aplicaFora ponta</t>
  </si>
  <si>
    <t>44835B3Energia horáriaNão se aplicaNão se aplicaNão se aplicaNão se aplicaFora ponta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</si>
  <si>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</si>
  <si>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</si>
  <si>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</si>
  <si>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</si>
  <si>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</si>
  <si>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</si>
  <si>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</si>
  <si>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</si>
  <si>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44743B3Energia horáriaNão se aplicaNão se aplicaNão se aplicaNão se aplicaIntermediário</t>
  </si>
  <si>
    <t>44774B3Energia horáriaNão se aplicaNão se aplicaNão se aplicaNão se aplicaIntermediário</t>
  </si>
  <si>
    <t>44805B3Energia horáriaNão se aplicaNão se aplicaNão se aplicaNão se aplicaIntermediário</t>
  </si>
  <si>
    <t>44835B3Energia horáriaNão se aplicaNão se aplicaNão se aplicaNão se aplicaIntermediário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</si>
  <si>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</si>
  <si>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</si>
  <si>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</si>
  <si>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</si>
  <si>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</si>
  <si>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</si>
  <si>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</si>
  <si>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</si>
  <si>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44743B3Energia horáriaNão se aplicaNão se aplicaNão se aplicaNão se aplicaPonta</t>
  </si>
  <si>
    <t>44774B3Energia horáriaNão se aplicaNão se aplicaNão se aplicaNão se aplicaPonta</t>
  </si>
  <si>
    <t>44805B3Energia horáriaNão se aplicaNão se aplicaNão se aplicaNão se aplicaPonta</t>
  </si>
  <si>
    <t>44835B3Energia horáriaNão se aplicaNão se aplicaNão se aplicaNão se aplicaPonta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</si>
  <si>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</si>
  <si>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</si>
  <si>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</si>
  <si>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</si>
  <si>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</si>
  <si>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</si>
  <si>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</si>
  <si>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</si>
  <si>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44743B3Energia convencionalNão se aplicaNão se aplicaNão se aplicaNão se aplicaNão se aplica</t>
  </si>
  <si>
    <t>44774B3Energia convencionalNão se aplicaNão se aplicaNão se aplicaNão se aplicaNão se aplica</t>
  </si>
  <si>
    <t>44805B3Energia convencionalNão se aplicaNão se aplicaNão se aplicaNão se aplicaNão se aplica</t>
  </si>
  <si>
    <t>44835B3Energia convencionalNão se aplicaNão se aplicaNão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</si>
  <si>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</si>
  <si>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</si>
  <si>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</si>
  <si>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</si>
  <si>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</si>
  <si>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</si>
  <si>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</si>
  <si>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</si>
  <si>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44743B4Energia convencionalIluminação públicaIluminação pública – B4aNão se aplicaNão se aplicaNão se aplica</t>
  </si>
  <si>
    <t>44774B4Energia convencionalIluminação públicaIluminação pública – B4aNão se aplicaNão se aplicaNão se aplica</t>
  </si>
  <si>
    <t>44805B4Energia convencionalIluminação públicaIluminação pública – B4aNão se aplicaNão se aplicaNão se aplica</t>
  </si>
  <si>
    <t>44835B4Energia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</si>
  <si>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</si>
  <si>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</si>
  <si>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</si>
  <si>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</si>
  <si>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</si>
  <si>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</si>
  <si>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</si>
  <si>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</si>
  <si>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</si>
  <si>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</si>
  <si>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</si>
  <si>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</si>
  <si>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</si>
  <si>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</si>
  <si>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</si>
  <si>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</si>
  <si>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</si>
  <si>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</si>
  <si>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</si>
  <si>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</si>
  <si>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</si>
  <si>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</si>
  <si>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</si>
  <si>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</si>
  <si>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</si>
  <si>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</si>
  <si>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</si>
  <si>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</si>
  <si>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</si>
  <si>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</si>
  <si>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</si>
  <si>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</si>
  <si>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</si>
  <si>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</si>
  <si>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</si>
  <si>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</si>
  <si>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</si>
  <si>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</si>
  <si>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</si>
  <si>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</si>
  <si>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</si>
  <si>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</si>
  <si>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</si>
  <si>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</si>
  <si>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</si>
  <si>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</si>
  <si>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</si>
  <si>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</si>
  <si>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</si>
  <si>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</si>
  <si>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</si>
  <si>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</si>
  <si>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</si>
  <si>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</si>
  <si>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</si>
  <si>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</si>
  <si>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</si>
  <si>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</si>
  <si>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</si>
  <si>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</si>
  <si>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</si>
  <si>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</si>
  <si>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</si>
  <si>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</si>
  <si>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</si>
  <si>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</si>
  <si>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</si>
  <si>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</si>
  <si>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</si>
  <si>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</si>
  <si>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</si>
  <si>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</si>
  <si>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</si>
  <si>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</si>
  <si>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</si>
  <si>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</si>
  <si>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</si>
  <si>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</si>
  <si>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</si>
  <si>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</si>
  <si>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</si>
  <si>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</si>
  <si>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</si>
  <si>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</si>
  <si>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</si>
  <si>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</si>
  <si>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</si>
  <si>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</si>
  <si>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</si>
  <si>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</si>
  <si>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</si>
  <si>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</si>
  <si>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</si>
  <si>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</si>
  <si>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</si>
  <si>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</si>
  <si>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</si>
  <si>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</si>
  <si>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</si>
  <si>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</si>
  <si>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</si>
  <si>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2.970, DE 16 DE NOVEMBRO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</si>
  <si>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</si>
  <si>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</si>
  <si>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</si>
  <si>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</si>
  <si>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</si>
  <si>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</si>
  <si>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</si>
  <si>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</si>
  <si>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</si>
  <si>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</si>
  <si>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</si>
  <si>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</si>
  <si>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</si>
  <si>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</si>
  <si>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</si>
  <si>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</si>
  <si>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</si>
  <si>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</si>
  <si>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</si>
  <si>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</si>
  <si>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</si>
  <si>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</si>
  <si>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</si>
  <si>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</si>
  <si>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</si>
  <si>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</si>
  <si>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</si>
  <si>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</si>
  <si>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</si>
  <si>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</si>
  <si>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</si>
  <si>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</si>
  <si>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</si>
  <si>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</si>
  <si>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</si>
  <si>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</si>
  <si>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</si>
  <si>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</si>
  <si>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</si>
  <si>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</si>
  <si>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</si>
  <si>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</si>
  <si>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</si>
  <si>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</si>
  <si>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</si>
  <si>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</si>
  <si>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</si>
  <si>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</si>
  <si>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</si>
  <si>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</si>
  <si>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</si>
  <si>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</si>
  <si>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</si>
  <si>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</si>
  <si>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</si>
  <si>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</si>
  <si>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</si>
  <si>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</si>
  <si>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</si>
  <si>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</si>
  <si>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</si>
  <si>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</si>
  <si>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</si>
  <si>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</si>
  <si>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</si>
  <si>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</si>
  <si>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</si>
  <si>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</si>
  <si>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</si>
  <si>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</si>
  <si>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</si>
  <si>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</si>
  <si>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</si>
  <si>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</si>
  <si>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</si>
  <si>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</si>
  <si>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</si>
  <si>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</si>
  <si>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</si>
  <si>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</si>
  <si>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</si>
  <si>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</si>
  <si>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</si>
  <si>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</si>
  <si>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</si>
  <si>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</si>
  <si>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</si>
  <si>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</si>
  <si>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</si>
  <si>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</si>
  <si>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</si>
  <si>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</si>
  <si>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</si>
  <si>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</si>
  <si>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</si>
  <si>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RURAL</t>
  </si>
  <si>
    <t>SUBSIDIO IRRIGANTE/AQUICULTOR</t>
  </si>
  <si>
    <t>SUBSIDIO GERAÇÃO FONTE INCENTIVADA</t>
  </si>
  <si>
    <t>SUBSIDIO ÁGUA, ESGOTO E SANEAMENTO</t>
  </si>
  <si>
    <t>SUBSIDIO CARGA FONTE INCENTIVADA</t>
  </si>
  <si>
    <t>SUBSIDIO BAIXA RENDA</t>
  </si>
  <si>
    <t>R$ (TV)</t>
  </si>
  <si>
    <t>R$ (TN)</t>
  </si>
  <si>
    <t>SUBSIDIO DISTRIBUIÇÃO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</si>
  <si>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</si>
  <si>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</si>
  <si>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</si>
  <si>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</si>
  <si>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</si>
  <si>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</si>
  <si>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</si>
  <si>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aplicaPlanilha CustoA4</t>
  </si>
  <si>
    <t>2021</t>
  </si>
  <si>
    <t>Planilha Custo</t>
  </si>
  <si>
    <t>Azul1Serviço públicoÁgua, esgoto e saneamentoPlanilha CUSTOA4</t>
  </si>
  <si>
    <t>Planilha CUSTO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</si>
  <si>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</si>
  <si>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</si>
  <si>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</si>
  <si>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Convencional1RuralNão se aplicaRuralB2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</si>
  <si>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</si>
  <si>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</si>
  <si>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</si>
  <si>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</si>
  <si>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</si>
  <si>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</si>
  <si>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</si>
  <si>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</si>
  <si>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Azul1RuralNão se aplicaPlanilha CustoA3a</t>
  </si>
  <si>
    <t>Verde1RuralNão se aplicaPlanilha CustoA3a</t>
  </si>
  <si>
    <t>Azul1RuralNão se aplicaPlanilha CustoA4</t>
  </si>
  <si>
    <t>Verde1RuralNão se aplicaPlanilha CustoA4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</si>
  <si>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</si>
  <si>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</si>
  <si>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</si>
  <si>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</si>
  <si>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</si>
  <si>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</si>
  <si>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</si>
  <si>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</si>
  <si>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</si>
  <si>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</si>
  <si>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</si>
  <si>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</si>
  <si>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</si>
  <si>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</si>
  <si>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</si>
  <si>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</si>
  <si>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</si>
  <si>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</si>
  <si>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</si>
  <si>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</si>
  <si>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</si>
  <si>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</si>
  <si>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</si>
  <si>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</si>
  <si>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</si>
  <si>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</si>
  <si>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</si>
  <si>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</si>
  <si>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</si>
  <si>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</si>
  <si>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</si>
  <si>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</si>
  <si>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</si>
  <si>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</si>
  <si>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</si>
  <si>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</si>
  <si>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</si>
  <si>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</si>
  <si>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</si>
  <si>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</si>
  <si>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</si>
  <si>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</si>
  <si>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</si>
  <si>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</si>
  <si>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IdAgente</t>
  </si>
  <si>
    <t>Ano</t>
  </si>
  <si>
    <t>MERCADO Chesp</t>
  </si>
  <si>
    <t>TARIFAS Chesp</t>
  </si>
  <si>
    <t>TARIFAS Adjacente (ENEL GO)</t>
  </si>
  <si>
    <t>RECEITA Chesp</t>
  </si>
  <si>
    <t>RECEITA Adjacente (ENEL GO)</t>
  </si>
  <si>
    <t>Dp</t>
  </si>
  <si>
    <t>Dfp</t>
  </si>
  <si>
    <t>TE P</t>
  </si>
  <si>
    <t>TE FP</t>
  </si>
  <si>
    <t>TUSD_E P</t>
  </si>
  <si>
    <t>TUSD_E FP</t>
  </si>
  <si>
    <t>ORIGINAL</t>
  </si>
  <si>
    <t>ADJACENTE</t>
  </si>
  <si>
    <t>DECISÃO</t>
  </si>
  <si>
    <t>CONTROLE</t>
  </si>
  <si>
    <t>TARIFAS TUSD</t>
  </si>
  <si>
    <t>TARIFAS TE</t>
  </si>
  <si>
    <t>TARIFAS TOTAIS</t>
  </si>
  <si>
    <t>TARIFA B1 Resid.</t>
  </si>
  <si>
    <t>B1 Convenc.</t>
  </si>
  <si>
    <t>Aplica Lei?</t>
  </si>
  <si>
    <t>Var. Controle TUSD</t>
  </si>
  <si>
    <t>Tarifa Distribuidora</t>
  </si>
  <si>
    <t>Tarifa Adjacente</t>
  </si>
  <si>
    <t>Nova Componente</t>
  </si>
  <si>
    <t>CodTar</t>
  </si>
  <si>
    <t>2050201001010000000000000004022025</t>
  </si>
  <si>
    <t>2050201001010000000000000002022025</t>
  </si>
  <si>
    <t>2050201001010000000000000001032035</t>
  </si>
  <si>
    <t>2050201001020000000000000001032035</t>
  </si>
  <si>
    <t>2050601001010000000000000001022025</t>
  </si>
  <si>
    <t>2050301001010000000000000001022025</t>
  </si>
  <si>
    <t>2050301001010000000000000004032035</t>
  </si>
  <si>
    <t>2050301001010000000000000002032035</t>
  </si>
  <si>
    <t>2050301001020000000000000004032035</t>
  </si>
  <si>
    <t>2050301001020000000000000002032035</t>
  </si>
  <si>
    <t>2050401001010000000000000001022025</t>
  </si>
  <si>
    <t>2050401001010000000000000001032035</t>
  </si>
  <si>
    <t>2060201001010000000000000004022025</t>
  </si>
  <si>
    <t>2060201001010000000000000002022025</t>
  </si>
  <si>
    <t>2060201001010000000000000001032035</t>
  </si>
  <si>
    <t>2060201001020000000000000001032035</t>
  </si>
  <si>
    <t>2060601001010000000000000001022025</t>
  </si>
  <si>
    <t>2060301001010000000000000001022025</t>
  </si>
  <si>
    <t>2060301001010000000000000004032035</t>
  </si>
  <si>
    <t>2060301001010000000000000002032035</t>
  </si>
  <si>
    <t>2060301001020000000000000004032035</t>
  </si>
  <si>
    <t>2060301001020000000000000002032035</t>
  </si>
  <si>
    <t>2130601001120000000000000001022025</t>
  </si>
  <si>
    <t>2130601001130000000000000001022025</t>
  </si>
  <si>
    <t>2080702002010000000000000004032035</t>
  </si>
  <si>
    <t>2080702002010000000000000003032035</t>
  </si>
  <si>
    <t>2080702002010000000000000002032035</t>
  </si>
  <si>
    <t>2080402002010000000000000001032035</t>
  </si>
  <si>
    <t>2080402006010000000000000001032035</t>
  </si>
  <si>
    <t>2081302002010000000000000001032035</t>
  </si>
  <si>
    <t>2081302006010000000000000001032035</t>
  </si>
  <si>
    <t>2090705001010000000000000004032035</t>
  </si>
  <si>
    <t>2090705001010000000000000003032035</t>
  </si>
  <si>
    <t>2090705001010000000000000002032035</t>
  </si>
  <si>
    <t>2100701001010000000000000004032035</t>
  </si>
  <si>
    <t>2100701001010000000000000003032035</t>
  </si>
  <si>
    <t>2100701001010000000000000002032035</t>
  </si>
  <si>
    <t>2100401001010000000000000001032035</t>
  </si>
  <si>
    <t>2101301001010000000000000001032035</t>
  </si>
  <si>
    <t>2110407041010000000000000001032035</t>
  </si>
  <si>
    <t>2110407042010000000000000001032035</t>
  </si>
  <si>
    <t>Var. Controle TE</t>
  </si>
  <si>
    <t>3050801001010000000000000004032035</t>
  </si>
  <si>
    <t>3050801001010000000000000002032035</t>
  </si>
  <si>
    <t>3050901001010000000000000001032035</t>
  </si>
  <si>
    <t>3060801001010000000000000004032035</t>
  </si>
  <si>
    <t>3060801001010000000000000002032035</t>
  </si>
  <si>
    <t>3080802002010000000000000004032035</t>
  </si>
  <si>
    <t>3080802002010000000000000003032035</t>
  </si>
  <si>
    <t>3080802002010000000000000002032035</t>
  </si>
  <si>
    <t>3080902002010000000000000001032035</t>
  </si>
  <si>
    <t>3080902006010000000000000001032035</t>
  </si>
  <si>
    <t>3081402002010000000000000001032035</t>
  </si>
  <si>
    <t>3081402006010000000000000001032035</t>
  </si>
  <si>
    <t>3090805001010000000000000004032035</t>
  </si>
  <si>
    <t>3090805001010000000000000003032035</t>
  </si>
  <si>
    <t>3090805001010000000000000002032035</t>
  </si>
  <si>
    <t>3100801001010000000000000004032035</t>
  </si>
  <si>
    <t>3100801001010000000000000003032035</t>
  </si>
  <si>
    <t>3100801001010000000000000002032035</t>
  </si>
  <si>
    <t>3100901001010000000000000001032035</t>
  </si>
  <si>
    <t>3101401001010000000000000001032035</t>
  </si>
  <si>
    <t>3110907041010000000000000001032035</t>
  </si>
  <si>
    <t>3110907042010000000000000001032035</t>
  </si>
  <si>
    <t>SUBSIDIO LEI 14.299/22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</si>
  <si>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</si>
  <si>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</si>
  <si>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</si>
  <si>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</si>
  <si>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</si>
  <si>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</si>
  <si>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</si>
  <si>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</si>
  <si>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</si>
  <si>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</si>
  <si>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</si>
  <si>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</si>
  <si>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</si>
  <si>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</si>
  <si>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</si>
  <si>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</si>
  <si>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</si>
  <si>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</si>
  <si>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</si>
  <si>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</si>
  <si>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</si>
  <si>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</si>
  <si>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</si>
  <si>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</si>
  <si>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</si>
  <si>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</si>
  <si>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A3aAzul</t>
  </si>
  <si>
    <t>A3aAzulNão se aplica</t>
  </si>
  <si>
    <t>A3aAzulNão se aplicaNão se aplica</t>
  </si>
  <si>
    <t>A3aAzulNão se aplicaNão se aplicaNão se aplica</t>
  </si>
  <si>
    <t>A3aAzulNão se aplicaNão se aplicaNão se aplicaNão se aplica</t>
  </si>
  <si>
    <t>A3aAzulNão se aplicaNão se aplicaNão se aplicaNão se aplicaDP</t>
  </si>
  <si>
    <t>A3aAzulNão se aplicaNão se aplicaNão se aplicaNão se aplicaDFP</t>
  </si>
  <si>
    <t>A3aAzulNão se aplicaNão se aplicaNão se aplicaNão se aplicaE</t>
  </si>
  <si>
    <t>A3aAzulNão se aplicaNão se aplicaAPE</t>
  </si>
  <si>
    <t>A3aAzulNão se aplicaNão se aplicaAPENão se aplica</t>
  </si>
  <si>
    <t>A3aAzulNão se aplicaNão se aplicaAPENão se aplicaE</t>
  </si>
  <si>
    <t>A3aGeração</t>
  </si>
  <si>
    <t>A3aGeraçãoNão se aplica</t>
  </si>
  <si>
    <t>A3aGeraçãoNão se aplicaNão se aplica</t>
  </si>
  <si>
    <t>A3aGeraçãoNão se aplicaNão se aplicaNão se aplica</t>
  </si>
  <si>
    <t>A3aGeraçãoNão se aplicaNão se aplicaNão se aplicaNão se aplica</t>
  </si>
  <si>
    <t>A3aGeraçãoNão se aplicaNão se aplicaNão se aplicaNão se aplicaD</t>
  </si>
  <si>
    <t>A3aVerde</t>
  </si>
  <si>
    <t>A3aVerdeNão se aplica</t>
  </si>
  <si>
    <t>A3aVerdeNão se aplicaNão se aplica</t>
  </si>
  <si>
    <t>A3aVerdeNão se aplicaNão se aplicaNão se aplica</t>
  </si>
  <si>
    <t>A3aVerdeNão se aplicaNão se aplicaNão se aplicaNão se aplica</t>
  </si>
  <si>
    <t>A3aVerdeNão se aplicaNão se aplicaNão se aplicaNão se aplicaD</t>
  </si>
  <si>
    <t>A3aVerdeNão se aplicaNão se aplicaNão se aplicaNão se aplicaEP</t>
  </si>
  <si>
    <t>A3aVerdeNão se aplicaNão se aplicaNão se aplicaNão se aplicaEFP</t>
  </si>
  <si>
    <t>A3aVerdeNão se aplicaNão se aplicaAPE</t>
  </si>
  <si>
    <t>A3aVerdeNão se aplicaNão se aplicaAPENão se aplica</t>
  </si>
  <si>
    <t>A3aVerdeNão se aplicaNão se aplicaAPENão se aplicaEP</t>
  </si>
  <si>
    <t>A3aVerdeNão se aplicaNão se aplicaAPENão se aplicaEFP</t>
  </si>
  <si>
    <t>A3aConvencional</t>
  </si>
  <si>
    <t>A3aConvencionalNão se aplica</t>
  </si>
  <si>
    <t>A3aConvencionalNão se aplicaNão se aplica</t>
  </si>
  <si>
    <t>A3aConvencionalNão se aplicaNão se aplicaNão se aplica</t>
  </si>
  <si>
    <t>A3aConvencionalNão se aplicaNão se aplicaNão se aplicaNão se aplica</t>
  </si>
  <si>
    <t>A3aConvencionalNão se aplicaNão se aplicaNão se aplicaNão se aplicaD</t>
  </si>
  <si>
    <t>A3aConvencionalNão se aplicaNão se aplicaNão se aplicaNão se aplicaE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</si>
  <si>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</si>
  <si>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</si>
  <si>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</si>
  <si>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</si>
  <si>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</si>
  <si>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</si>
  <si>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</si>
  <si>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</si>
  <si>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</si>
  <si>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</si>
  <si>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</si>
  <si>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</si>
  <si>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</si>
  <si>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</si>
  <si>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</si>
  <si>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</si>
  <si>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</si>
  <si>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</si>
  <si>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</si>
  <si>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</si>
  <si>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</si>
  <si>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</si>
  <si>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</si>
  <si>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</si>
  <si>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</si>
  <si>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</si>
  <si>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</si>
  <si>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</si>
  <si>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</si>
  <si>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</si>
  <si>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</si>
  <si>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</si>
  <si>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</si>
  <si>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</si>
  <si>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</si>
  <si>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</si>
  <si>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</si>
  <si>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</si>
  <si>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</si>
  <si>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</si>
  <si>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</si>
  <si>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</si>
  <si>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</si>
  <si>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</si>
  <si>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</si>
  <si>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</si>
  <si>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</si>
  <si>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</si>
  <si>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</si>
  <si>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</si>
  <si>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</si>
  <si>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</si>
  <si>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</si>
  <si>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</si>
  <si>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</si>
  <si>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</si>
  <si>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</si>
  <si>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</si>
  <si>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</si>
  <si>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</si>
  <si>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</si>
  <si>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</si>
  <si>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</si>
  <si>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</si>
  <si>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</si>
  <si>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</si>
  <si>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</si>
  <si>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</si>
  <si>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</si>
  <si>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</si>
  <si>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</si>
  <si>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</si>
  <si>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</si>
  <si>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</si>
  <si>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</si>
  <si>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</si>
  <si>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</si>
  <si>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</si>
  <si>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</si>
  <si>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</si>
  <si>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</si>
  <si>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</si>
  <si>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</si>
  <si>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</si>
  <si>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</si>
  <si>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</si>
  <si>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</si>
  <si>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</si>
  <si>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</si>
  <si>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</si>
  <si>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</si>
  <si>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</si>
  <si>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</si>
  <si>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</si>
  <si>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</si>
  <si>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</si>
  <si>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</si>
  <si>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</si>
  <si>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</si>
  <si>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</si>
  <si>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</si>
  <si>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</si>
  <si>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</si>
  <si>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</si>
  <si>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</si>
  <si>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</si>
  <si>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</si>
  <si>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</si>
  <si>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</si>
  <si>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</si>
  <si>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</si>
  <si>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</si>
  <si>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</si>
  <si>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</si>
  <si>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</si>
  <si>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</si>
  <si>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</si>
  <si>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</si>
  <si>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</si>
  <si>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</si>
  <si>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</si>
  <si>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</si>
  <si>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</si>
  <si>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</si>
  <si>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</si>
  <si>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</si>
  <si>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</si>
  <si>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</si>
  <si>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</si>
  <si>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</si>
  <si>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</si>
  <si>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</si>
  <si>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</si>
  <si>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</si>
  <si>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</si>
  <si>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</si>
  <si>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</si>
  <si>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</si>
  <si>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</si>
  <si>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</si>
  <si>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</si>
  <si>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</si>
  <si>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</si>
  <si>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</si>
  <si>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</si>
  <si>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</si>
  <si>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</si>
  <si>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</si>
  <si>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</si>
  <si>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</si>
  <si>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</si>
  <si>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</si>
  <si>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</si>
  <si>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</si>
  <si>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</si>
  <si>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</si>
  <si>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</si>
  <si>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</si>
  <si>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</si>
  <si>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</si>
  <si>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</si>
  <si>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</si>
  <si>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</si>
  <si>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</si>
  <si>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</si>
  <si>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</si>
  <si>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</si>
  <si>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</si>
  <si>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</si>
  <si>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</si>
  <si>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A3aEnergia horária</t>
  </si>
  <si>
    <t>A3aEnergia horáriaNão se aplica</t>
  </si>
  <si>
    <t>A3aEnergia horáriaNão se aplicaNão se aplica</t>
  </si>
  <si>
    <t>A3aEnergia horáriaNão se aplicaNão se aplicaNão se aplica</t>
  </si>
  <si>
    <t>A3aEnergia horáriaNão se aplicaNão se aplicaNão se aplicaNão se aplica</t>
  </si>
  <si>
    <t>A3aEnergia horáriaNão se aplicaNão se aplicaNão se aplicaNão se aplicaEP</t>
  </si>
  <si>
    <t>A3aEnergia horáriaNão se aplicaNão se aplicaNão se aplicaNão se aplicaEFP</t>
  </si>
  <si>
    <t>A3aEnergia convencional</t>
  </si>
  <si>
    <t>A3aEnergia convencionalNão se aplica</t>
  </si>
  <si>
    <t>A3aEnergia convencionalNão se aplicaNão se aplica</t>
  </si>
  <si>
    <t>A3aEnergia convencionalNão se aplicaNão se aplicaNão se aplica</t>
  </si>
  <si>
    <t>A3aEnergia convencionalNão se aplicaNão se aplicaNão se aplicaNão se aplica</t>
  </si>
  <si>
    <t>A3aEnergia convencionalNão se aplicaNão se aplicaNão se aplicaNão se aplicaE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</si>
  <si>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</si>
  <si>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</si>
  <si>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</si>
  <si>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</si>
  <si>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</si>
  <si>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</si>
  <si>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</si>
  <si>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</si>
  <si>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</si>
  <si>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</si>
  <si>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</si>
  <si>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</si>
  <si>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</si>
  <si>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</si>
  <si>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</si>
  <si>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</si>
  <si>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</si>
  <si>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</si>
  <si>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</si>
  <si>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</si>
  <si>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</si>
  <si>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</si>
  <si>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</si>
  <si>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</si>
  <si>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</si>
  <si>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</si>
  <si>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</si>
  <si>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</si>
  <si>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</si>
  <si>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</si>
  <si>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</si>
  <si>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</si>
  <si>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</si>
  <si>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</si>
  <si>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</si>
  <si>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</si>
  <si>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</si>
  <si>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</si>
  <si>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</si>
  <si>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</si>
  <si>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</si>
  <si>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</si>
  <si>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</si>
  <si>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</si>
  <si>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</si>
  <si>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</si>
  <si>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</si>
  <si>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</si>
  <si>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</si>
  <si>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</si>
  <si>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</si>
  <si>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</si>
  <si>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</si>
  <si>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</si>
  <si>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</si>
  <si>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</si>
  <si>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</si>
  <si>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</si>
  <si>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</si>
  <si>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</si>
  <si>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</si>
  <si>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</si>
  <si>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</si>
  <si>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</si>
  <si>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</si>
  <si>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</si>
  <si>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</si>
  <si>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</si>
  <si>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</si>
  <si>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</si>
  <si>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</si>
  <si>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</si>
  <si>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</si>
  <si>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</si>
  <si>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</si>
  <si>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</si>
  <si>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</si>
  <si>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</si>
  <si>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</si>
  <si>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</si>
  <si>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</si>
  <si>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</si>
  <si>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</si>
  <si>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</si>
  <si>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</si>
  <si>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</si>
  <si>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</si>
  <si>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</si>
  <si>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</si>
  <si>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</si>
  <si>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</si>
  <si>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</si>
  <si>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</si>
  <si>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</si>
  <si>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</si>
  <si>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</si>
  <si>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</si>
  <si>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</si>
  <si>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</si>
  <si>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</si>
  <si>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</si>
  <si>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</si>
  <si>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</si>
  <si>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</si>
  <si>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</si>
  <si>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</si>
  <si>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</si>
  <si>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</si>
  <si>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</si>
  <si>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</si>
  <si>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</si>
  <si>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</si>
  <si>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</si>
  <si>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</si>
  <si>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</si>
  <si>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</si>
  <si>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</si>
  <si>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</si>
  <si>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</si>
  <si>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</si>
  <si>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</si>
  <si>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</si>
  <si>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</si>
  <si>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</si>
  <si>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</si>
  <si>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</si>
  <si>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</si>
  <si>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</si>
  <si>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</si>
  <si>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</si>
  <si>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</si>
  <si>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</si>
  <si>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</si>
  <si>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</si>
  <si>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</si>
  <si>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</si>
  <si>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</si>
  <si>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</si>
  <si>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</si>
  <si>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</si>
  <si>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</si>
  <si>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</si>
  <si>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</si>
  <si>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</si>
  <si>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</si>
  <si>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</si>
  <si>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</si>
  <si>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</si>
  <si>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</si>
  <si>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</si>
  <si>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</si>
  <si>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</si>
  <si>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</si>
  <si>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</si>
  <si>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</si>
  <si>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</si>
  <si>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</si>
  <si>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</si>
  <si>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</si>
  <si>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</si>
  <si>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</si>
  <si>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</si>
  <si>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</si>
  <si>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</si>
  <si>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</si>
  <si>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</si>
  <si>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</si>
  <si>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</si>
  <si>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</si>
  <si>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</si>
  <si>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</si>
  <si>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</si>
  <si>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</si>
  <si>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</si>
  <si>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</si>
  <si>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</si>
  <si>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</si>
  <si>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</si>
  <si>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</si>
  <si>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</si>
  <si>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</si>
  <si>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</si>
  <si>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BENEFICIO_L14299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</si>
  <si>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</si>
  <si>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</si>
  <si>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</si>
  <si>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</si>
  <si>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</si>
  <si>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</si>
  <si>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</si>
  <si>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</si>
  <si>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</si>
  <si>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</si>
  <si>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</si>
  <si>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</si>
  <si>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</si>
  <si>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</si>
  <si>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</si>
  <si>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 BENEFICIO_L14299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</si>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</sst>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;[Red]#,##0.00"/>
  </numFmts>
  <fonts count="14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64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3" fillId="0" borderId="8" xfId="0" applyNumberFormat="1" applyFont="1" applyBorder="1" applyAlignment="1">
      <alignment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3" xfId="0" applyNumberFormat="1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6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0" fontId="6" fillId="0" borderId="0" xfId="0" applyFont="1"/>
    <xf numFmtId="40" fontId="0" fillId="0" borderId="0" xfId="0" applyNumberFormat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164" fontId="0" fillId="0" borderId="18" xfId="1" applyFont="1" applyBorder="1"/>
    <xf numFmtId="164" fontId="0" fillId="0" borderId="22" xfId="1" applyFont="1" applyBorder="1"/>
    <xf numFmtId="164" fontId="0" fillId="0" borderId="13" xfId="1" applyFont="1" applyBorder="1"/>
    <xf numFmtId="164" fontId="0" fillId="0" borderId="23" xfId="1" applyFont="1" applyBorder="1"/>
    <xf numFmtId="164" fontId="0" fillId="0" borderId="20" xfId="1" applyFont="1" applyBorder="1"/>
    <xf numFmtId="164" fontId="0" fillId="0" borderId="24" xfId="1" applyFont="1" applyBorder="1"/>
    <xf numFmtId="164" fontId="0" fillId="0" borderId="10" xfId="1" applyFont="1" applyBorder="1"/>
    <xf numFmtId="164" fontId="0" fillId="0" borderId="25" xfId="1" applyFont="1" applyBorder="1"/>
    <xf numFmtId="0" fontId="0" fillId="0" borderId="25" xfId="0" applyBorder="1"/>
    <xf numFmtId="0" fontId="0" fillId="0" borderId="21" xfId="0" applyBorder="1"/>
    <xf numFmtId="0" fontId="0" fillId="0" borderId="26" xfId="0" applyBorder="1"/>
    <xf numFmtId="0" fontId="0" fillId="0" borderId="27" xfId="0" applyBorder="1"/>
    <xf numFmtId="164" fontId="0" fillId="0" borderId="26" xfId="1" applyFont="1" applyBorder="1"/>
    <xf numFmtId="0" fontId="3" fillId="0" borderId="0" xfId="0" quotePrefix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Alignment="1">
      <alignment horizontal="left" indent="5"/>
    </xf>
    <xf numFmtId="0" fontId="0" fillId="0" borderId="0" xfId="0" applyAlignment="1">
      <alignment horizontal="left" indent="6"/>
    </xf>
    <xf numFmtId="0" fontId="0" fillId="0" borderId="0" xfId="0" applyAlignment="1">
      <alignment horizontal="left" indent="7"/>
    </xf>
    <xf numFmtId="14" fontId="0" fillId="0" borderId="0" xfId="0" applyNumberFormat="1" applyAlignment="1">
      <alignment horizontal="left" indent="8"/>
    </xf>
    <xf numFmtId="167" fontId="0" fillId="0" borderId="0" xfId="0" applyNumberFormat="1"/>
    <xf numFmtId="165" fontId="3" fillId="0" borderId="0" xfId="0" applyNumberFormat="1" applyFont="1"/>
    <xf numFmtId="0" fontId="3" fillId="0" borderId="13" xfId="0" applyFont="1" applyBorder="1" applyAlignment="1">
      <alignment vertical="center"/>
    </xf>
    <xf numFmtId="168" fontId="3" fillId="0" borderId="0" xfId="0" applyNumberFormat="1" applyFont="1"/>
    <xf numFmtId="168" fontId="1" fillId="0" borderId="0" xfId="0" applyNumberFormat="1" applyFont="1" applyAlignment="1">
      <alignment horizontal="center" vertical="center"/>
    </xf>
    <xf numFmtId="165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164" fontId="9" fillId="3" borderId="13" xfId="1" applyFont="1" applyFill="1" applyBorder="1" applyAlignment="1" applyProtection="1">
      <alignment vertical="center"/>
      <protection hidden="1"/>
    </xf>
    <xf numFmtId="10" fontId="3" fillId="0" borderId="0" xfId="0" applyNumberFormat="1" applyFont="1"/>
    <xf numFmtId="2" fontId="10" fillId="4" borderId="29" xfId="0" applyNumberFormat="1" applyFont="1" applyFill="1" applyBorder="1" applyAlignment="1">
      <alignment horizontal="center" vertical="center"/>
    </xf>
    <xf numFmtId="0" fontId="10" fillId="4" borderId="29" xfId="0" applyFont="1" applyFill="1" applyBorder="1" applyAlignment="1">
      <alignment horizontal="left" vertical="center" indent="1"/>
    </xf>
    <xf numFmtId="4" fontId="10" fillId="5" borderId="0" xfId="0" applyNumberFormat="1" applyFont="1" applyFill="1" applyAlignment="1">
      <alignment vertical="center"/>
    </xf>
    <xf numFmtId="0" fontId="10" fillId="5" borderId="0" xfId="0" applyFont="1" applyFill="1" applyAlignment="1">
      <alignment horizontal="left" vertical="center" indent="1"/>
    </xf>
    <xf numFmtId="10" fontId="10" fillId="4" borderId="0" xfId="0" applyNumberFormat="1" applyFont="1" applyFill="1" applyAlignment="1">
      <alignment vertical="center"/>
    </xf>
    <xf numFmtId="0" fontId="10" fillId="4" borderId="0" xfId="0" applyFont="1" applyFill="1" applyAlignment="1">
      <alignment horizontal="left" vertical="center" indent="1"/>
    </xf>
    <xf numFmtId="10" fontId="10" fillId="5" borderId="0" xfId="0" applyNumberFormat="1" applyFont="1" applyFill="1" applyAlignment="1">
      <alignment vertical="center"/>
    </xf>
    <xf numFmtId="0" fontId="11" fillId="6" borderId="30" xfId="0" applyFont="1" applyFill="1" applyBorder="1" applyAlignment="1">
      <alignment horizontal="center" vertical="center"/>
    </xf>
    <xf numFmtId="40" fontId="10" fillId="4" borderId="29" xfId="0" applyNumberFormat="1" applyFont="1" applyFill="1" applyBorder="1" applyAlignment="1">
      <alignment horizontal="center" vertical="center"/>
    </xf>
    <xf numFmtId="169" fontId="10" fillId="5" borderId="0" xfId="0" applyNumberFormat="1" applyFont="1" applyFill="1" applyAlignment="1">
      <alignment horizontal="center" vertical="center"/>
    </xf>
    <xf numFmtId="4" fontId="13" fillId="7" borderId="32" xfId="0" applyNumberFormat="1" applyFont="1" applyFill="1" applyBorder="1"/>
    <xf numFmtId="4" fontId="13" fillId="7" borderId="12" xfId="0" applyNumberFormat="1" applyFont="1" applyFill="1" applyBorder="1"/>
    <xf numFmtId="4" fontId="13" fillId="7" borderId="33" xfId="0" applyNumberFormat="1" applyFont="1" applyFill="1" applyBorder="1"/>
    <xf numFmtId="4" fontId="13" fillId="7" borderId="6" xfId="0" applyNumberFormat="1" applyFont="1" applyFill="1" applyBorder="1"/>
    <xf numFmtId="4" fontId="13" fillId="7" borderId="13" xfId="0" applyNumberFormat="1" applyFont="1" applyFill="1" applyBorder="1"/>
    <xf numFmtId="4" fontId="13" fillId="7" borderId="5" xfId="0" applyNumberFormat="1" applyFont="1" applyFill="1" applyBorder="1"/>
    <xf numFmtId="4" fontId="13" fillId="7" borderId="34" xfId="0" applyNumberFormat="1" applyFont="1" applyFill="1" applyBorder="1"/>
    <xf numFmtId="4" fontId="13" fillId="7" borderId="10" xfId="0" applyNumberFormat="1" applyFont="1" applyFill="1" applyBorder="1"/>
    <xf numFmtId="4" fontId="13" fillId="7" borderId="31" xfId="0" applyNumberFormat="1" applyFont="1" applyFill="1" applyBorder="1"/>
    <xf numFmtId="4" fontId="13" fillId="7" borderId="12" xfId="0" applyNumberFormat="1" applyFont="1" applyFill="1" applyBorder="1" applyAlignment="1">
      <alignment horizontal="center"/>
    </xf>
    <xf numFmtId="4" fontId="13" fillId="7" borderId="33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7" xfId="0" applyBorder="1" applyAlignment="1">
      <alignment vertical="center"/>
    </xf>
    <xf numFmtId="0" fontId="4" fillId="0" borderId="28" xfId="0" applyFont="1" applyBorder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3" fillId="0" borderId="10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4" fontId="13" fillId="7" borderId="13" xfId="0" applyNumberFormat="1" applyFont="1" applyFill="1" applyBorder="1" applyAlignment="1">
      <alignment horizontal="center"/>
    </xf>
    <xf numFmtId="4" fontId="13" fillId="7" borderId="5" xfId="0" applyNumberFormat="1" applyFont="1" applyFill="1" applyBorder="1" applyAlignment="1">
      <alignment horizontal="center"/>
    </xf>
    <xf numFmtId="4" fontId="13" fillId="7" borderId="12" xfId="0" applyNumberFormat="1" applyFont="1" applyFill="1" applyBorder="1" applyAlignment="1">
      <alignment horizontal="center"/>
    </xf>
    <xf numFmtId="4" fontId="13" fillId="7" borderId="33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426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2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3.3905064106053836E-3</c:v>
                </c:pt>
                <c:pt idx="1">
                  <c:v>2.3953795251907542E-4</c:v>
                </c:pt>
                <c:pt idx="2">
                  <c:v>9.6047542582011411E-4</c:v>
                </c:pt>
                <c:pt idx="3">
                  <c:v>0</c:v>
                </c:pt>
                <c:pt idx="4">
                  <c:v>0</c:v>
                </c:pt>
                <c:pt idx="5">
                  <c:v>0.17964888437583859</c:v>
                </c:pt>
                <c:pt idx="6">
                  <c:v>2.2225339271035486E-2</c:v>
                </c:pt>
                <c:pt idx="7">
                  <c:v>0</c:v>
                </c:pt>
                <c:pt idx="8">
                  <c:v>2.5600210048034928E-2</c:v>
                </c:pt>
                <c:pt idx="9">
                  <c:v>6.3462964484378688E-3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4.6309578553794313E-2</c:v>
                </c:pt>
                <c:pt idx="16">
                  <c:v>7.5720082364457751E-3</c:v>
                </c:pt>
                <c:pt idx="17">
                  <c:v>0</c:v>
                </c:pt>
                <c:pt idx="18">
                  <c:v>-4.3561697469397661E-3</c:v>
                </c:pt>
                <c:pt idx="19">
                  <c:v>6.6326391005196809E-5</c:v>
                </c:pt>
                <c:pt idx="20">
                  <c:v>-2.4488632946308896E-4</c:v>
                </c:pt>
                <c:pt idx="21">
                  <c:v>-5.8565604974930661E-4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5C-4BA4-BAA1-2582E958A83C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1.3483642121837548E-3</c:v>
                </c:pt>
                <c:pt idx="1">
                  <c:v>2.3664666038388741E-4</c:v>
                </c:pt>
                <c:pt idx="2">
                  <c:v>9.0201243746949227E-4</c:v>
                </c:pt>
                <c:pt idx="3">
                  <c:v>0</c:v>
                </c:pt>
                <c:pt idx="4">
                  <c:v>0</c:v>
                </c:pt>
                <c:pt idx="5">
                  <c:v>0.11260296602322309</c:v>
                </c:pt>
                <c:pt idx="6">
                  <c:v>1.6238907653412064E-2</c:v>
                </c:pt>
                <c:pt idx="7">
                  <c:v>0</c:v>
                </c:pt>
                <c:pt idx="8">
                  <c:v>1.491704600243233E-2</c:v>
                </c:pt>
                <c:pt idx="9">
                  <c:v>3.5455939845979566E-3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5.1290026053441455E-2</c:v>
                </c:pt>
                <c:pt idx="16">
                  <c:v>9.8114058582212688E-3</c:v>
                </c:pt>
                <c:pt idx="17">
                  <c:v>0</c:v>
                </c:pt>
                <c:pt idx="18">
                  <c:v>-2.0166018711506172E-3</c:v>
                </c:pt>
                <c:pt idx="19">
                  <c:v>1.9457579450693689E-5</c:v>
                </c:pt>
                <c:pt idx="20">
                  <c:v>3.5162582326342101E-5</c:v>
                </c:pt>
                <c:pt idx="21">
                  <c:v>-2.4348982124183525E-4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5C-4BA4-BAA1-2582E958A83C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1.3483642121837548E-3</c:v>
                </c:pt>
                <c:pt idx="1">
                  <c:v>2.3664666038388741E-4</c:v>
                </c:pt>
                <c:pt idx="2">
                  <c:v>9.0201243746949227E-4</c:v>
                </c:pt>
                <c:pt idx="3">
                  <c:v>0</c:v>
                </c:pt>
                <c:pt idx="4">
                  <c:v>0</c:v>
                </c:pt>
                <c:pt idx="5">
                  <c:v>0.11260296602322309</c:v>
                </c:pt>
                <c:pt idx="6">
                  <c:v>1.6238907653412064E-2</c:v>
                </c:pt>
                <c:pt idx="7">
                  <c:v>0</c:v>
                </c:pt>
                <c:pt idx="8">
                  <c:v>1.491704600243233E-2</c:v>
                </c:pt>
                <c:pt idx="9">
                  <c:v>3.5455939845979566E-3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5.1290026053441455E-2</c:v>
                </c:pt>
                <c:pt idx="16">
                  <c:v>9.8114058582212688E-3</c:v>
                </c:pt>
                <c:pt idx="17">
                  <c:v>0</c:v>
                </c:pt>
                <c:pt idx="18">
                  <c:v>-2.0166018711506172E-3</c:v>
                </c:pt>
                <c:pt idx="19">
                  <c:v>1.9457579450693689E-5</c:v>
                </c:pt>
                <c:pt idx="20">
                  <c:v>3.5162582326342101E-5</c:v>
                </c:pt>
                <c:pt idx="21">
                  <c:v>-2.4348982124183525E-4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5C-4BA4-BAA1-2582E958A83C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765C-4BA4-BAA1-2582E958A83C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765C-4BA4-BAA1-2582E958A83C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765C-4BA4-BAA1-2582E958A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274768"/>
        <c:axId val="647277720"/>
      </c:radarChart>
      <c:catAx>
        <c:axId val="64727476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47277720"/>
        <c:crosses val="autoZero"/>
        <c:auto val="1"/>
        <c:lblAlgn val="ctr"/>
        <c:lblOffset val="100"/>
        <c:noMultiLvlLbl val="0"/>
      </c:catAx>
      <c:valAx>
        <c:axId val="647277720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647274768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9.8023184680559575E-5</c:v>
                </c:pt>
                <c:pt idx="1">
                  <c:v>3.2646677380181746E-2</c:v>
                </c:pt>
                <c:pt idx="2">
                  <c:v>0</c:v>
                </c:pt>
                <c:pt idx="3">
                  <c:v>2.3284206320178705E-2</c:v>
                </c:pt>
                <c:pt idx="4">
                  <c:v>-7.0777160958957225E-2</c:v>
                </c:pt>
                <c:pt idx="5">
                  <c:v>-5.4907427249403055E-2</c:v>
                </c:pt>
                <c:pt idx="6">
                  <c:v>2.5649118896957693E-3</c:v>
                </c:pt>
                <c:pt idx="7">
                  <c:v>1.5694701505749337E-3</c:v>
                </c:pt>
                <c:pt idx="8">
                  <c:v>0</c:v>
                </c:pt>
                <c:pt idx="9">
                  <c:v>1.0228911645889467E-2</c:v>
                </c:pt>
                <c:pt idx="10">
                  <c:v>9.9964081262838688E-4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0-45AA-BF33-BE1BB0766A38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#,##0.00%_);[Red]\(#,##0.00%\)</c:formatCode>
                <c:ptCount val="11"/>
                <c:pt idx="0">
                  <c:v>9.3784176771326338E-6</c:v>
                </c:pt>
                <c:pt idx="1">
                  <c:v>3.3295877568445743E-2</c:v>
                </c:pt>
                <c:pt idx="2">
                  <c:v>0</c:v>
                </c:pt>
                <c:pt idx="3">
                  <c:v>2.4145557552944674E-2</c:v>
                </c:pt>
                <c:pt idx="4">
                  <c:v>-7.3395416183351117E-2</c:v>
                </c:pt>
                <c:pt idx="5">
                  <c:v>-6.2444001456183909E-2</c:v>
                </c:pt>
                <c:pt idx="6">
                  <c:v>2.4416723686671196E-3</c:v>
                </c:pt>
                <c:pt idx="7">
                  <c:v>1.4697552066836592E-3</c:v>
                </c:pt>
                <c:pt idx="8">
                  <c:v>0</c:v>
                </c:pt>
                <c:pt idx="9">
                  <c:v>1.0641738930835441E-2</c:v>
                </c:pt>
                <c:pt idx="10">
                  <c:v>8.1824089097252755E-4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E0-45AA-BF33-BE1BB0766A38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#,##0.00%_);[Red]\(#,##0.00%\)</c:formatCode>
                <c:ptCount val="11"/>
                <c:pt idx="0">
                  <c:v>9.3784176771326338E-6</c:v>
                </c:pt>
                <c:pt idx="1">
                  <c:v>3.3295877568445743E-2</c:v>
                </c:pt>
                <c:pt idx="2">
                  <c:v>0</c:v>
                </c:pt>
                <c:pt idx="3">
                  <c:v>2.4145557552944674E-2</c:v>
                </c:pt>
                <c:pt idx="4">
                  <c:v>-7.3395416183351117E-2</c:v>
                </c:pt>
                <c:pt idx="5">
                  <c:v>-6.2444001456183909E-2</c:v>
                </c:pt>
                <c:pt idx="6">
                  <c:v>2.4416723686671196E-3</c:v>
                </c:pt>
                <c:pt idx="7">
                  <c:v>1.4697552066836592E-3</c:v>
                </c:pt>
                <c:pt idx="8">
                  <c:v>0</c:v>
                </c:pt>
                <c:pt idx="9">
                  <c:v>1.0641738930835441E-2</c:v>
                </c:pt>
                <c:pt idx="10">
                  <c:v>8.1824089097252755E-4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E0-45AA-BF33-BE1BB0766A38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D2E0-45AA-BF33-BE1BB0766A38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D2E0-45AA-BF33-BE1BB0766A38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D2E0-45AA-BF33-BE1BB0766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461296"/>
        <c:axId val="463460312"/>
      </c:radarChart>
      <c:catAx>
        <c:axId val="4634612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463460312"/>
        <c:crosses val="autoZero"/>
        <c:auto val="1"/>
        <c:lblAlgn val="ctr"/>
        <c:lblOffset val="100"/>
        <c:noMultiLvlLbl val="0"/>
      </c:catAx>
      <c:valAx>
        <c:axId val="463460312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46346129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449620</xdr:colOff>
      <xdr:row>17</xdr:row>
      <xdr:rowOff>19050</xdr:rowOff>
    </xdr:from>
    <xdr:to>
      <xdr:col>12</xdr:col>
      <xdr:colOff>624840</xdr:colOff>
      <xdr:row>48</xdr:row>
      <xdr:rowOff>54253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4A7CF86-D285-3C1A-F9AD-D45F678E2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582931</xdr:colOff>
      <xdr:row>17</xdr:row>
      <xdr:rowOff>19050</xdr:rowOff>
    </xdr:from>
    <xdr:to>
      <xdr:col>13</xdr:col>
      <xdr:colOff>1</xdr:colOff>
      <xdr:row>48</xdr:row>
      <xdr:rowOff>54253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347BDC4-E67E-9178-B074-7D78F3B51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52.442462847219" createdVersion="5" refreshedVersion="8" minRefreshableVersion="3" recordCount="885" xr:uid="{5D2ACBD4-24CE-4106-AE4F-BE6FF84F3F1B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a"/>
        <s v="A4"/>
        <s v="B1"/>
        <s v="B2"/>
        <s v="B3"/>
        <s v="B4"/>
      </sharedItems>
    </cacheField>
    <cacheField name="Modalidade" numFmtId="0">
      <sharedItems count="5">
        <s v="Azul"/>
        <s v="Geração"/>
        <s v="Verde"/>
        <s v="Branca"/>
        <s v="Convencional"/>
      </sharedItems>
    </cacheField>
    <cacheField name="Classe" numFmtId="0">
      <sharedItems count="9">
        <s v="Comercial"/>
        <s v="Rural"/>
        <s v="Não se aplica"/>
        <s v="Serviço público"/>
        <s v="Industrial"/>
        <s v="Poder público"/>
        <s v="Residencial"/>
        <s v="Consumo próprio"/>
        <s v="Iluminação pública"/>
      </sharedItems>
    </cacheField>
    <cacheField name="Subclasse" numFmtId="0">
      <sharedItems count="10">
        <s v="Não se aplica"/>
        <s v="Agropecuária rural"/>
        <s v="Aquicultur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4">
        <s v="Não se aplica"/>
        <s v="IRRIG./AQUIC. PR"/>
        <s v="Fonte incentivada"/>
        <s v="IRRIG./AQUIC."/>
      </sharedItems>
    </cacheField>
    <cacheField name="Agente" numFmtId="0">
      <sharedItems count="2">
        <s v="Não se aplica"/>
        <s v="CACHOEIRA DO LAVRINHA (ANTIGA SÃO PATRÍCIO)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21-11-01T00:00:00" maxDate="2022-10-02T00:00:00" count="12">
        <d v="2022-01-01T00:00:00"/>
        <d v="2022-06-01T00:00:00"/>
        <d v="2022-07-01T00:00:00"/>
        <d v="2022-08-01T00:00:00"/>
        <d v="2021-11-01T00:00:00"/>
        <d v="2021-12-01T00:00:00"/>
        <d v="2022-02-01T00:00:00"/>
        <d v="2022-03-01T00:00:00"/>
        <d v="2022-04-01T00:00:00"/>
        <d v="2022-05-01T00:00:00"/>
        <d v="2022-09-01T00:00:00"/>
        <d v="2022-10-01T00:00:00"/>
      </sharedItems>
    </cacheField>
    <cacheField name="D" numFmtId="40">
      <sharedItems containsSemiMixedTypes="0" containsString="0" containsNumber="1" containsInteger="1" minValue="0" maxValue="4550"/>
    </cacheField>
    <cacheField name="Daj" numFmtId="40">
      <sharedItems containsSemiMixedTypes="0" containsString="0" containsNumber="1" minValue="0" maxValue="4550"/>
    </cacheField>
    <cacheField name="TUSD_E" numFmtId="40">
      <sharedItems containsSemiMixedTypes="0" containsString="0" containsNumber="1" minValue="-0.3" maxValue="4193.3450000000003"/>
    </cacheField>
    <cacheField name="TUSD_Eaj" numFmtId="40">
      <sharedItems containsSemiMixedTypes="0" containsString="0" containsNumber="1" minValue="-0.3" maxValue="4193.3450000000003"/>
    </cacheField>
    <cacheField name="TE_E" numFmtId="40">
      <sharedItems containsSemiMixedTypes="0" containsString="0" containsNumber="1" minValue="-0.3" maxValue="4193.3450000000003"/>
    </cacheField>
    <cacheField name="TE_Eaj" numFmtId="40">
      <sharedItems containsSemiMixedTypes="0" containsString="0" containsNumber="1" minValue="-0.3" maxValue="4193.3450000000003"/>
    </cacheField>
    <cacheField name="UC" numFmtId="40">
      <sharedItems containsSemiMixedTypes="0" containsString="0" containsNumber="1" containsInteger="1" minValue="0" maxValue="27228"/>
    </cacheField>
    <cacheField name="OPÇÃO" numFmtId="0">
      <sharedItems count="3">
        <s v="CATIVO"/>
        <s v="GERAÇÃO"/>
        <s v="LIVRE"/>
      </sharedItems>
    </cacheField>
    <cacheField name="CóD. AUX." numFmtId="0">
      <sharedItems containsSemiMixedTypes="0" containsString="0" containsNumber="1" containsInteger="1" minValue="0" maxValue="26879"/>
    </cacheField>
    <cacheField name="CóD. AUX. TUSD R$/kW" numFmtId="40">
      <sharedItems containsSemiMixedTypes="0" containsString="0" containsNumber="1" containsInteger="1" minValue="0" maxValue="13"/>
    </cacheField>
    <cacheField name="CóD. AUX. TUSD R$/MWh" numFmtId="40">
      <sharedItems containsSemiMixedTypes="0" containsString="0" containsNumber="1" containsInteger="1" minValue="0" maxValue="60"/>
    </cacheField>
    <cacheField name="CóD. AUX. TE R$/MWh" numFmtId="40">
      <sharedItems containsSemiMixedTypes="0" containsString="0" containsNumber="1" containsInteger="1" minValue="0" maxValue="101"/>
    </cacheField>
    <cacheField name="TUSD (R$/kW)" numFmtId="40">
      <sharedItems containsSemiMixedTypes="0" containsString="0" containsNumber="1" minValue="0" maxValue="45.73"/>
    </cacheField>
    <cacheField name="TUSD (R$/MWh)" numFmtId="40">
      <sharedItems containsSemiMixedTypes="0" containsString="0" containsNumber="1" minValue="0" maxValue="1195.82"/>
    </cacheField>
    <cacheField name="TE (R$/MWh)" numFmtId="40">
      <sharedItems containsSemiMixedTypes="0" containsString="0" containsNumber="1" minValue="0" maxValue="391.54"/>
    </cacheField>
    <cacheField name="TUSD (R$/kW) NOVA" numFmtId="40">
      <sharedItems containsString="0" containsBlank="1" containsNumber="1" minValue="19.280177728950576" maxValue="78.286295907151739"/>
    </cacheField>
    <cacheField name="TUSD (R$/MWh) NOVA" numFmtId="40">
      <sharedItems containsString="0" containsBlank="1" containsNumber="1" minValue="114.30345333487438" maxValue="2051.1203590831656"/>
    </cacheField>
    <cacheField name="TE (R$/MWh) NOVA" numFmtId="40">
      <sharedItems containsString="0" containsBlank="1" containsNumber="1" minValue="83.645659054702648" maxValue="364.92243737572466"/>
    </cacheField>
    <cacheField name="RA0 ou RV - TUSD (kW)" numFmtId="40">
      <sharedItems containsSemiMixedTypes="0" containsString="0" containsNumber="1" minValue="0" maxValue="86086.000000000015"/>
    </cacheField>
    <cacheField name="RA0 ou RV - TUSD (MWh)" numFmtId="40">
      <sharedItems containsSemiMixedTypes="0" containsString="0" containsNumber="1" minValue="-113.886" maxValue="1591877.6289000001"/>
    </cacheField>
    <cacheField name="RA0 ou RV - TE (MWh)" numFmtId="40">
      <sharedItems containsSemiMixedTypes="0" containsString="0" containsNumber="1" minValue="-76.550999999999988" maxValue="1070015.8436499999"/>
    </cacheField>
    <cacheField name="RA1 ou RRD - TUSD (kW)" numFmtId="40">
      <sharedItems containsSemiMixedTypes="0" containsString="0" containsNumber="1" minValue="0" maxValue="148134.10096645224"/>
    </cacheField>
    <cacheField name="RA1 ou RRD - TUSD (MWh)" numFmtId="40">
      <sharedItems containsSemiMixedTypes="0" containsString="0" containsNumber="1" minValue="-144.82918904528245" maxValue="2024395.8524569669"/>
    </cacheField>
    <cacheField name="RA1 ou RRD - TE (MWh)" numFmtId="40">
      <sharedItems containsSemiMixedTypes="0" containsString="0" containsNumber="1" minValue="-71.696279189745127" maxValue="1002157.446196406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52.442600462964" createdVersion="5" refreshedVersion="8" minRefreshableVersion="3" recordCount="415" xr:uid="{9A1DFE20-2EEA-4E19-B259-B35D11070CD5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3a"/>
        <s v="A4"/>
        <s v="B1"/>
        <s v="B2"/>
        <s v="B3"/>
      </sharedItems>
    </cacheField>
    <cacheField name="Modalidade" numFmtId="0">
      <sharedItems count="4">
        <s v="Azul"/>
        <s v="Geração"/>
        <s v="Verde"/>
        <s v="Convencional"/>
      </sharedItems>
    </cacheField>
    <cacheField name="Classe" numFmtId="0">
      <sharedItems count="5">
        <s v="Rural"/>
        <s v="Não se aplica"/>
        <s v="Serviço público"/>
        <s v="Industrial"/>
        <s v="Residencial"/>
      </sharedItems>
    </cacheField>
    <cacheField name="Subclasse" numFmtId="0">
      <sharedItems count="9">
        <s v="Agropecuária rural"/>
        <s v="Não se aplica"/>
        <s v="Aquicultur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4">
        <s v="IRRIG./AQUIC. PR"/>
        <s v="Não se aplica"/>
        <s v="Fonte incentivada"/>
        <s v="IRRIG./AQUIC."/>
      </sharedItems>
    </cacheField>
    <cacheField name="Agente" numFmtId="0">
      <sharedItems count="2">
        <s v="Não se aplica"/>
        <s v="CACHOEIRA DO LAVRINHA (ANTIGA SÃO PATRÍCIO)"/>
      </sharedItems>
    </cacheField>
    <cacheField name="Posto" numFmtId="0">
      <sharedItems count="3">
        <s v="Fora ponta"/>
        <s v="Ponta"/>
        <s v="Não se aplica"/>
      </sharedItems>
    </cacheField>
    <cacheField name="AnoMes" numFmtId="14">
      <sharedItems containsSemiMixedTypes="0" containsNonDate="0" containsDate="1" containsString="0" minDate="2021-11-01T00:00:00" maxDate="2022-10-02T00:00:00" count="12">
        <d v="2022-06-01T00:00:00"/>
        <d v="2022-07-01T00:00:00"/>
        <d v="2022-08-01T00:00:00"/>
        <d v="2021-11-01T00:00:00"/>
        <d v="2021-12-01T00:00:00"/>
        <d v="2022-02-01T00:00:00"/>
        <d v="2022-03-01T00:00:00"/>
        <d v="2022-04-01T00:00:00"/>
        <d v="2022-05-01T00:00:00"/>
        <d v="2022-09-01T00:00:00"/>
        <d v="2022-10-01T00:00:00"/>
        <d v="2022-01-01T00:00:00"/>
      </sharedItems>
    </cacheField>
    <cacheField name="D" numFmtId="40">
      <sharedItems containsSemiMixedTypes="0" containsString="0" containsNumber="1" containsInteger="1" minValue="0" maxValue="3010"/>
    </cacheField>
    <cacheField name="Daj" numFmtId="40">
      <sharedItems containsSemiMixedTypes="0" containsString="0" containsNumber="1" minValue="0" maxValue="3010"/>
    </cacheField>
    <cacheField name="TUSD_E" numFmtId="40">
      <sharedItems containsSemiMixedTypes="0" containsString="0" containsNumber="1" minValue="0" maxValue="4079.2910000000002"/>
    </cacheField>
    <cacheField name="TUSD_Eaj" numFmtId="40">
      <sharedItems containsSemiMixedTypes="0" containsString="0" containsNumber="1" minValue="-6.7500000000000004E-2" maxValue="4079.2910000000002"/>
    </cacheField>
    <cacheField name="TE_E" numFmtId="40">
      <sharedItems containsSemiMixedTypes="0" containsString="0" containsNumber="1" minValue="0" maxValue="4079.2910000000002"/>
    </cacheField>
    <cacheField name="TE_Eaj" numFmtId="40">
      <sharedItems containsSemiMixedTypes="0" containsString="0" containsNumber="1" minValue="-6.7500000000000004E-2" maxValue="4079.2910000000002"/>
    </cacheField>
    <cacheField name="UC" numFmtId="40">
      <sharedItems containsSemiMixedTypes="0" containsString="0" containsNumber="1" containsInteger="1" minValue="0" maxValue="27228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26879"/>
    </cacheField>
    <cacheField name="CóD. AUX. TUSD R$/kW" numFmtId="0">
      <sharedItems containsSemiMixedTypes="0" containsString="0" containsNumber="1" containsInteger="1" minValue="0" maxValue="13"/>
    </cacheField>
    <cacheField name="CóD. AUX. TUSD R$/MWh" numFmtId="0">
      <sharedItems containsSemiMixedTypes="0" containsString="0" containsNumber="1" containsInteger="1" minValue="0" maxValue="58"/>
    </cacheField>
    <cacheField name="CóD. AUX. TE R$/MWh" numFmtId="0">
      <sharedItems containsSemiMixedTypes="0" containsString="0" containsNumber="1" containsInteger="1" minValue="0" maxValue="99"/>
    </cacheField>
    <cacheField name="TUSD (R$/kW)" numFmtId="40">
      <sharedItems containsSemiMixedTypes="0" containsString="0" containsNumber="1" minValue="0" maxValue="45.73"/>
    </cacheField>
    <cacheField name="TUSD (R$/MWh)" numFmtId="40">
      <sharedItems containsSemiMixedTypes="0" containsString="0" containsNumber="1" minValue="0" maxValue="1195.82"/>
    </cacheField>
    <cacheField name="TE (R$/MWh)" numFmtId="40">
      <sharedItems containsSemiMixedTypes="0" containsString="0" containsNumber="1" minValue="0" maxValue="391.54"/>
    </cacheField>
    <cacheField name="TUSD (R$/kW) NOVA" numFmtId="40">
      <sharedItems containsString="0" containsBlank="1" containsNumber="1" minValue="19.280177728950576" maxValue="78.286295907151739"/>
    </cacheField>
    <cacheField name="TUSD (R$/MWh) NOVA" numFmtId="40">
      <sharedItems containsString="0" containsBlank="1" containsNumber="1" minValue="114.30345333487438" maxValue="2051.1203590831656"/>
    </cacheField>
    <cacheField name="TE (R$/MWh) NOVA" numFmtId="40">
      <sharedItems containsString="0" containsBlank="1" containsNumber="1" minValue="83.645659054702648" maxValue="364.92243737572466"/>
    </cacheField>
    <cacheField name="SUBSIDIO kW - TV" numFmtId="40">
      <sharedItems containsSemiMixedTypes="0" containsString="0" containsNumber="1" minValue="0" maxValue="19866"/>
    </cacheField>
    <cacheField name="SUBSIDIO MWh - TV" numFmtId="40">
      <sharedItems containsSemiMixedTypes="0" containsString="0" containsNumber="1" minValue="0" maxValue="130821.33977600001"/>
    </cacheField>
    <cacheField name="SUBSIDIO kW - TN" numFmtId="40">
      <sharedItems containsSemiMixedTypes="0" containsString="0" containsNumber="1" minValue="0" maxValue="34184.792530719751"/>
    </cacheField>
    <cacheField name="SUBSIDIO MWh - TN" numFmtId="40">
      <sharedItems containsSemiMixedTypes="0" containsString="0" containsNumber="1" minValue="0" maxValue="149453.55571337871"/>
    </cacheField>
    <cacheField name="TIPO" numFmtId="0">
      <sharedItems containsBlank="1" count="7">
        <s v="SUBSIDIO IRRIGANTE/AQUICULTOR"/>
        <s v="SUBSIDIO RURAL"/>
        <s v="SUBSIDIO GERAÇÃO FONTE INCENTIVADA"/>
        <s v="SUBSIDIO ÁGUA, ESGOTO E SANEAMENTO"/>
        <s v="SUBSIDIO CARGA FONTE INCENTIVADA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52.443357175929" createdVersion="8" refreshedVersion="8" minRefreshableVersion="3" recordCount="885" xr:uid="{C91AA0C4-57F1-438B-95BF-F767D875D188}">
  <cacheSource type="worksheet">
    <worksheetSource name="Efeito4"/>
  </cacheSource>
  <cacheFields count="36">
    <cacheField name="TipoMercado" numFmtId="0">
      <sharedItems/>
    </cacheField>
    <cacheField name="Subgrupo" numFmtId="0">
      <sharedItems count="6">
        <s v="A3a"/>
        <s v="A4"/>
        <s v="B1"/>
        <s v="B2"/>
        <s v="B3"/>
        <s v="B4"/>
      </sharedItems>
    </cacheField>
    <cacheField name="Modalidade" numFmtId="0">
      <sharedItems count="5">
        <s v="Azul"/>
        <s v="Geração"/>
        <s v="Verde"/>
        <s v="Branca"/>
        <s v="Convencional"/>
      </sharedItems>
    </cacheField>
    <cacheField name="Classe" numFmtId="0">
      <sharedItems count="9">
        <s v="Comercial"/>
        <s v="Rural"/>
        <s v="Não se aplica"/>
        <s v="Serviço público"/>
        <s v="Industrial"/>
        <s v="Poder público"/>
        <s v="Residencial"/>
        <s v="Consumo próprio"/>
        <s v="Iluminação pública"/>
      </sharedItems>
    </cacheField>
    <cacheField name="Subclasse" numFmtId="0">
      <sharedItems count="10">
        <s v="Não se aplica"/>
        <s v="Agropecuária rural"/>
        <s v="Aquicultur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4">
        <s v="Não se aplica"/>
        <s v="IRRIG./AQUIC. PR"/>
        <s v="Fonte incentivada"/>
        <s v="IRRIG./AQUIC."/>
      </sharedItems>
    </cacheField>
    <cacheField name="Agente" numFmtId="0">
      <sharedItems count="2">
        <s v="Não se aplica"/>
        <s v="CACHOEIRA DO LAVRINHA (ANTIGA SÃO PATRÍCIO)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21-11-01T00:00:00" maxDate="2022-10-02T00:00:00" count="12">
        <d v="2022-01-01T00:00:00"/>
        <d v="2022-06-01T00:00:00"/>
        <d v="2022-07-01T00:00:00"/>
        <d v="2022-08-01T00:00:00"/>
        <d v="2021-11-01T00:00:00"/>
        <d v="2021-12-01T00:00:00"/>
        <d v="2022-02-01T00:00:00"/>
        <d v="2022-03-01T00:00:00"/>
        <d v="2022-04-01T00:00:00"/>
        <d v="2022-05-01T00:00:00"/>
        <d v="2022-09-01T00:00:00"/>
        <d v="2022-10-01T00:00:00"/>
      </sharedItems>
    </cacheField>
    <cacheField name="D" numFmtId="40">
      <sharedItems containsSemiMixedTypes="0" containsString="0" containsNumber="1" containsInteger="1" minValue="0" maxValue="4550"/>
    </cacheField>
    <cacheField name="Daj" numFmtId="40">
      <sharedItems containsSemiMixedTypes="0" containsString="0" containsNumber="1" containsInteger="1" minValue="0" maxValue="4550"/>
    </cacheField>
    <cacheField name="TUSD_E" numFmtId="40">
      <sharedItems containsSemiMixedTypes="0" containsString="0" containsNumber="1" minValue="-0.3" maxValue="4193.3450000000003"/>
    </cacheField>
    <cacheField name="TUSD_Eaj" numFmtId="40">
      <sharedItems containsSemiMixedTypes="0" containsString="0" containsNumber="1" minValue="-0.3" maxValue="4193.3450000000003"/>
    </cacheField>
    <cacheField name="TE_E" numFmtId="40">
      <sharedItems containsSemiMixedTypes="0" containsString="0" containsNumber="1" minValue="-0.3" maxValue="4193.3450000000003"/>
    </cacheField>
    <cacheField name="TE_Eaj" numFmtId="40">
      <sharedItems containsSemiMixedTypes="0" containsString="0" containsNumber="1" minValue="-0.3" maxValue="4193.3450000000003"/>
    </cacheField>
    <cacheField name="UC" numFmtId="40">
      <sharedItems containsSemiMixedTypes="0" containsString="0" containsNumber="1" containsInteger="1" minValue="0" maxValue="27228"/>
    </cacheField>
    <cacheField name="OPÇÃO" numFmtId="0">
      <sharedItems count="3">
        <s v="CATIVO"/>
        <s v="GERAÇÃO"/>
        <s v="LIVRE"/>
      </sharedItems>
    </cacheField>
    <cacheField name="CóD. AUX." numFmtId="0">
      <sharedItems containsSemiMixedTypes="0" containsString="0" containsNumber="1" containsInteger="1" minValue="0" maxValue="26879"/>
    </cacheField>
    <cacheField name="CóD. AUX. TUSD R$/kW" numFmtId="40">
      <sharedItems containsSemiMixedTypes="0" containsString="0" containsNumber="1" containsInteger="1" minValue="0" maxValue="13"/>
    </cacheField>
    <cacheField name="CóD. AUX. TUSD R$/MWh" numFmtId="40">
      <sharedItems containsSemiMixedTypes="0" containsString="0" containsNumber="1" containsInteger="1" minValue="0" maxValue="60"/>
    </cacheField>
    <cacheField name="CóD. AUX. TE R$/MWh" numFmtId="40">
      <sharedItems containsSemiMixedTypes="0" containsString="0" containsNumber="1" containsInteger="1" minValue="0" maxValue="101"/>
    </cacheField>
    <cacheField name="TUSD (R$/kW)" numFmtId="40">
      <sharedItems containsSemiMixedTypes="0" containsString="0" containsNumber="1" minValue="0" maxValue="45.73"/>
    </cacheField>
    <cacheField name="TUSD (R$/MWh)" numFmtId="40">
      <sharedItems containsSemiMixedTypes="0" containsString="0" containsNumber="1" minValue="0" maxValue="1195.82"/>
    </cacheField>
    <cacheField name="TE (R$/MWh)" numFmtId="40">
      <sharedItems containsSemiMixedTypes="0" containsString="0" containsNumber="1" minValue="0" maxValue="391.54"/>
    </cacheField>
    <cacheField name="TUSD (R$/kW) NOVA" numFmtId="40">
      <sharedItems containsString="0" containsBlank="1" containsNumber="1" minValue="19.280177728950576" maxValue="78.325042728896165"/>
    </cacheField>
    <cacheField name="TUSD (R$/MWh) NOVA" numFmtId="40">
      <sharedItems containsString="0" containsBlank="1" containsNumber="1" minValue="114.2868702802878" maxValue="2052.0522166669912"/>
    </cacheField>
    <cacheField name="TE (R$/MWh) NOVA" numFmtId="40">
      <sharedItems containsString="0" containsBlank="1" containsNumber="1" minValue="83.645659054702648" maxValue="364.92243737572466"/>
    </cacheField>
    <cacheField name="RA0 ou RV - TUSD (kW)" numFmtId="40">
      <sharedItems containsSemiMixedTypes="0" containsString="0" containsNumber="1" minValue="0" maxValue="86086.000000000015"/>
    </cacheField>
    <cacheField name="RA0 ou RV - TUSD (MWh)" numFmtId="40">
      <sharedItems containsSemiMixedTypes="0" containsString="0" containsNumber="1" minValue="-113.886" maxValue="1591877.6289000001"/>
    </cacheField>
    <cacheField name="RA0 ou RV - TE (MWh)" numFmtId="40">
      <sharedItems containsSemiMixedTypes="0" containsString="0" containsNumber="1" minValue="-76.550999999999988" maxValue="1070015.8436499999"/>
    </cacheField>
    <cacheField name="RA1 ou RRD - TUSD (kW)" numFmtId="40">
      <sharedItems containsSemiMixedTypes="0" containsString="0" containsNumber="1" minValue="0" maxValue="148134.10096645224"/>
    </cacheField>
    <cacheField name="RA1 ou RRD - TUSD (MWh)" numFmtId="40">
      <sharedItems containsSemiMixedTypes="0" containsString="0" containsNumber="1" minValue="-144.82918904528245" maxValue="2024395.8524569669"/>
    </cacheField>
    <cacheField name="RA1 ou RRD - TE (MWh)" numFmtId="40">
      <sharedItems containsSemiMixedTypes="0" containsString="0" containsNumber="1" minValue="-71.696279189745127" maxValue="1002157.446196406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5">
  <r>
    <s v="Regular"/>
    <x v="0"/>
    <x v="0"/>
    <x v="0"/>
    <x v="0"/>
    <x v="0"/>
    <x v="0"/>
    <x v="0"/>
    <x v="0"/>
    <n v="30"/>
    <n v="30"/>
    <n v="0"/>
    <n v="0"/>
    <n v="0"/>
    <n v="0"/>
    <n v="0"/>
    <x v="0"/>
    <n v="0"/>
    <n v="3"/>
    <n v="0"/>
    <n v="0"/>
    <n v="18.920000000000002"/>
    <n v="0"/>
    <n v="0"/>
    <n v="32.556945267352141"/>
    <n v="146.90220900317223"/>
    <n v="227.53897547400734"/>
    <n v="567.6"/>
    <n v="0"/>
    <n v="0"/>
    <n v="976.70835802056422"/>
    <n v="0"/>
    <n v="0"/>
  </r>
  <r>
    <s v="Regular"/>
    <x v="0"/>
    <x v="0"/>
    <x v="0"/>
    <x v="0"/>
    <x v="0"/>
    <x v="0"/>
    <x v="1"/>
    <x v="0"/>
    <n v="30"/>
    <n v="30"/>
    <n v="0"/>
    <n v="0"/>
    <n v="0"/>
    <n v="0"/>
    <n v="0"/>
    <x v="0"/>
    <n v="0"/>
    <n v="1"/>
    <n v="0"/>
    <n v="0"/>
    <n v="45.73"/>
    <n v="0"/>
    <n v="0"/>
    <n v="78.286295907151739"/>
    <n v="146.90220900317223"/>
    <n v="364.92243737572466"/>
    <n v="1371.8999999999999"/>
    <n v="0"/>
    <n v="0"/>
    <n v="2348.5888772145522"/>
    <n v="0"/>
    <n v="0"/>
  </r>
  <r>
    <s v="Regular"/>
    <x v="0"/>
    <x v="0"/>
    <x v="1"/>
    <x v="1"/>
    <x v="1"/>
    <x v="0"/>
    <x v="0"/>
    <x v="1"/>
    <n v="0"/>
    <n v="0"/>
    <n v="169.28800000000001"/>
    <n v="33.857599999999998"/>
    <n v="169.28800000000001"/>
    <n v="33.857599999999998"/>
    <n v="0"/>
    <x v="0"/>
    <n v="0"/>
    <n v="0"/>
    <n v="6"/>
    <n v="63"/>
    <n v="0"/>
    <n v="84.99"/>
    <n v="242.77"/>
    <n v="32.556945267352141"/>
    <n v="146.90220900317223"/>
    <n v="227.53897547400734"/>
    <n v="0"/>
    <n v="2877.5574239999996"/>
    <n v="8219.6095519999999"/>
    <n v="0"/>
    <n v="4973.7562315458035"/>
    <n v="7703.9236160087503"/>
  </r>
  <r>
    <s v="Regular"/>
    <x v="0"/>
    <x v="0"/>
    <x v="1"/>
    <x v="1"/>
    <x v="1"/>
    <x v="0"/>
    <x v="0"/>
    <x v="2"/>
    <n v="0"/>
    <n v="0"/>
    <n v="169.28800000000001"/>
    <n v="33.857599999999998"/>
    <n v="169.28800000000001"/>
    <n v="33.857599999999998"/>
    <n v="0"/>
    <x v="0"/>
    <n v="0"/>
    <n v="0"/>
    <n v="6"/>
    <n v="63"/>
    <n v="0"/>
    <n v="84.99"/>
    <n v="242.77"/>
    <n v="32.556945267352141"/>
    <n v="146.90220900317223"/>
    <n v="227.53897547400734"/>
    <n v="0"/>
    <n v="2877.5574239999996"/>
    <n v="8219.6095519999999"/>
    <n v="0"/>
    <n v="4973.7562315458035"/>
    <n v="7703.9236160087503"/>
  </r>
  <r>
    <s v="Regular"/>
    <x v="0"/>
    <x v="0"/>
    <x v="1"/>
    <x v="1"/>
    <x v="1"/>
    <x v="0"/>
    <x v="0"/>
    <x v="3"/>
    <n v="0"/>
    <n v="0"/>
    <n v="498.92200000000003"/>
    <n v="99.784400000000005"/>
    <n v="498.92200000000003"/>
    <n v="99.784400000000005"/>
    <n v="0"/>
    <x v="0"/>
    <n v="0"/>
    <n v="0"/>
    <n v="6"/>
    <n v="63"/>
    <n v="0"/>
    <n v="84.99"/>
    <n v="242.77"/>
    <n v="32.556945267352141"/>
    <n v="146.90220900317223"/>
    <n v="227.53897547400734"/>
    <n v="0"/>
    <n v="8480.6761559999995"/>
    <n v="24224.658788000001"/>
    <n v="0"/>
    <n v="14658.54878405614"/>
    <n v="22704.840144288541"/>
  </r>
  <r>
    <s v="Regular"/>
    <x v="0"/>
    <x v="0"/>
    <x v="1"/>
    <x v="1"/>
    <x v="0"/>
    <x v="0"/>
    <x v="0"/>
    <x v="4"/>
    <n v="114"/>
    <n v="109.44"/>
    <n v="0"/>
    <n v="0"/>
    <n v="0"/>
    <n v="0"/>
    <n v="0"/>
    <x v="0"/>
    <n v="0"/>
    <n v="3"/>
    <n v="0"/>
    <n v="0"/>
    <n v="18.920000000000002"/>
    <n v="0"/>
    <n v="0"/>
    <n v="32.556945267352141"/>
    <n v="146.90220900317223"/>
    <n v="227.53897547400734"/>
    <n v="2070.6048000000001"/>
    <n v="0"/>
    <n v="0"/>
    <n v="3563.0320900590182"/>
    <n v="0"/>
    <n v="0"/>
  </r>
  <r>
    <s v="Regular"/>
    <x v="0"/>
    <x v="0"/>
    <x v="1"/>
    <x v="1"/>
    <x v="0"/>
    <x v="0"/>
    <x v="0"/>
    <x v="5"/>
    <n v="114"/>
    <n v="109.44"/>
    <n v="0"/>
    <n v="0"/>
    <n v="0"/>
    <n v="0"/>
    <n v="0"/>
    <x v="0"/>
    <n v="0"/>
    <n v="3"/>
    <n v="0"/>
    <n v="0"/>
    <n v="18.920000000000002"/>
    <n v="0"/>
    <n v="0"/>
    <n v="32.556945267352141"/>
    <n v="146.90220900317223"/>
    <n v="227.53897547400734"/>
    <n v="2070.6048000000001"/>
    <n v="0"/>
    <n v="0"/>
    <n v="3563.0320900590182"/>
    <n v="0"/>
    <n v="0"/>
  </r>
  <r>
    <s v="Regular"/>
    <x v="0"/>
    <x v="0"/>
    <x v="1"/>
    <x v="1"/>
    <x v="0"/>
    <x v="0"/>
    <x v="0"/>
    <x v="6"/>
    <n v="114"/>
    <n v="109.44"/>
    <n v="0"/>
    <n v="0"/>
    <n v="0"/>
    <n v="0"/>
    <n v="0"/>
    <x v="0"/>
    <n v="0"/>
    <n v="3"/>
    <n v="0"/>
    <n v="0"/>
    <n v="18.920000000000002"/>
    <n v="0"/>
    <n v="0"/>
    <n v="32.556945267352141"/>
    <n v="146.90220900317223"/>
    <n v="227.53897547400734"/>
    <n v="2070.6048000000001"/>
    <n v="0"/>
    <n v="0"/>
    <n v="3563.0320900590182"/>
    <n v="0"/>
    <n v="0"/>
  </r>
  <r>
    <s v="Regular"/>
    <x v="0"/>
    <x v="0"/>
    <x v="1"/>
    <x v="1"/>
    <x v="0"/>
    <x v="0"/>
    <x v="0"/>
    <x v="7"/>
    <n v="114"/>
    <n v="109.44"/>
    <n v="0"/>
    <n v="0"/>
    <n v="0"/>
    <n v="0"/>
    <n v="0"/>
    <x v="0"/>
    <n v="0"/>
    <n v="3"/>
    <n v="0"/>
    <n v="0"/>
    <n v="18.920000000000002"/>
    <n v="0"/>
    <n v="0"/>
    <n v="32.556945267352141"/>
    <n v="146.90220900317223"/>
    <n v="227.53897547400734"/>
    <n v="2070.6048000000001"/>
    <n v="0"/>
    <n v="0"/>
    <n v="3563.0320900590182"/>
    <n v="0"/>
    <n v="0"/>
  </r>
  <r>
    <s v="Regular"/>
    <x v="0"/>
    <x v="0"/>
    <x v="1"/>
    <x v="1"/>
    <x v="0"/>
    <x v="0"/>
    <x v="0"/>
    <x v="8"/>
    <n v="114"/>
    <n v="109.44"/>
    <n v="0"/>
    <n v="0"/>
    <n v="0"/>
    <n v="0"/>
    <n v="0"/>
    <x v="0"/>
    <n v="0"/>
    <n v="3"/>
    <n v="0"/>
    <n v="0"/>
    <n v="18.920000000000002"/>
    <n v="0"/>
    <n v="0"/>
    <n v="32.556945267352141"/>
    <n v="146.90220900317223"/>
    <n v="227.53897547400734"/>
    <n v="2070.6048000000001"/>
    <n v="0"/>
    <n v="0"/>
    <n v="3563.0320900590182"/>
    <n v="0"/>
    <n v="0"/>
  </r>
  <r>
    <s v="Regular"/>
    <x v="0"/>
    <x v="0"/>
    <x v="1"/>
    <x v="1"/>
    <x v="0"/>
    <x v="0"/>
    <x v="0"/>
    <x v="9"/>
    <n v="114"/>
    <n v="109.44"/>
    <n v="0"/>
    <n v="0"/>
    <n v="0"/>
    <n v="0"/>
    <n v="0"/>
    <x v="0"/>
    <n v="0"/>
    <n v="3"/>
    <n v="0"/>
    <n v="0"/>
    <n v="18.920000000000002"/>
    <n v="0"/>
    <n v="0"/>
    <n v="32.556945267352141"/>
    <n v="146.90220900317223"/>
    <n v="227.53897547400734"/>
    <n v="2070.6048000000001"/>
    <n v="0"/>
    <n v="0"/>
    <n v="3563.0320900590182"/>
    <n v="0"/>
    <n v="0"/>
  </r>
  <r>
    <s v="Regular"/>
    <x v="0"/>
    <x v="0"/>
    <x v="1"/>
    <x v="1"/>
    <x v="0"/>
    <x v="0"/>
    <x v="0"/>
    <x v="1"/>
    <n v="1100"/>
    <n v="1056"/>
    <n v="249.721"/>
    <n v="239.73215999999999"/>
    <n v="249.721"/>
    <n v="239.73215999999999"/>
    <n v="0"/>
    <x v="0"/>
    <n v="0"/>
    <n v="3"/>
    <n v="6"/>
    <n v="63"/>
    <n v="18.920000000000002"/>
    <n v="84.99"/>
    <n v="242.77"/>
    <n v="32.556945267352141"/>
    <n v="146.90220900317223"/>
    <n v="227.53897547400734"/>
    <n v="19979.52"/>
    <n v="20374.836278399998"/>
    <n v="58199.776483200003"/>
    <n v="34380.134202323861"/>
    <n v="35217.183873101923"/>
    <n v="54548.410074570806"/>
  </r>
  <r>
    <s v="Regular"/>
    <x v="0"/>
    <x v="0"/>
    <x v="1"/>
    <x v="1"/>
    <x v="0"/>
    <x v="0"/>
    <x v="0"/>
    <x v="2"/>
    <n v="1100"/>
    <n v="1056"/>
    <n v="249.721"/>
    <n v="239.73215999999999"/>
    <n v="249.721"/>
    <n v="239.73215999999999"/>
    <n v="0"/>
    <x v="0"/>
    <n v="0"/>
    <n v="3"/>
    <n v="6"/>
    <n v="63"/>
    <n v="18.920000000000002"/>
    <n v="84.99"/>
    <n v="242.77"/>
    <n v="32.556945267352141"/>
    <n v="146.90220900317223"/>
    <n v="227.53897547400734"/>
    <n v="19979.52"/>
    <n v="20374.836278399998"/>
    <n v="58199.776483200003"/>
    <n v="34380.134202323861"/>
    <n v="35217.183873101923"/>
    <n v="54548.410074570806"/>
  </r>
  <r>
    <s v="Regular"/>
    <x v="0"/>
    <x v="0"/>
    <x v="1"/>
    <x v="1"/>
    <x v="0"/>
    <x v="0"/>
    <x v="0"/>
    <x v="3"/>
    <n v="1100"/>
    <n v="1056"/>
    <n v="422.24400000000003"/>
    <n v="405.35424"/>
    <n v="422.24400000000003"/>
    <n v="405.35424"/>
    <n v="0"/>
    <x v="0"/>
    <n v="0"/>
    <n v="3"/>
    <n v="6"/>
    <n v="63"/>
    <n v="18.920000000000002"/>
    <n v="84.99"/>
    <n v="242.77"/>
    <n v="32.556945267352141"/>
    <n v="146.90220900317223"/>
    <n v="227.53897547400734"/>
    <n v="19979.52"/>
    <n v="34451.056857600001"/>
    <n v="98407.848844799999"/>
    <n v="34380.134202323861"/>
    <n v="59547.433284802035"/>
    <n v="92233.888473644882"/>
  </r>
  <r>
    <s v="Regular"/>
    <x v="0"/>
    <x v="0"/>
    <x v="1"/>
    <x v="1"/>
    <x v="0"/>
    <x v="0"/>
    <x v="0"/>
    <x v="10"/>
    <n v="110"/>
    <n v="105.6"/>
    <n v="0"/>
    <n v="0"/>
    <n v="0"/>
    <n v="0"/>
    <n v="0"/>
    <x v="0"/>
    <n v="0"/>
    <n v="3"/>
    <n v="0"/>
    <n v="0"/>
    <n v="18.920000000000002"/>
    <n v="0"/>
    <n v="0"/>
    <n v="32.556945267352141"/>
    <n v="146.90220900317223"/>
    <n v="227.53897547400734"/>
    <n v="1997.952"/>
    <n v="0"/>
    <n v="0"/>
    <n v="3438.0134202323861"/>
    <n v="0"/>
    <n v="0"/>
  </r>
  <r>
    <s v="PROJETADO"/>
    <x v="0"/>
    <x v="0"/>
    <x v="1"/>
    <x v="1"/>
    <x v="0"/>
    <x v="0"/>
    <x v="0"/>
    <x v="11"/>
    <n v="110"/>
    <n v="105.6"/>
    <n v="0"/>
    <n v="0"/>
    <n v="0"/>
    <n v="0"/>
    <n v="0"/>
    <x v="0"/>
    <n v="0"/>
    <n v="3"/>
    <n v="0"/>
    <n v="0"/>
    <n v="18.920000000000002"/>
    <n v="0"/>
    <n v="0"/>
    <n v="32.556945267352141"/>
    <n v="146.90220900317223"/>
    <n v="227.53897547400734"/>
    <n v="1997.952"/>
    <n v="0"/>
    <n v="0"/>
    <n v="3438.0134202323861"/>
    <n v="0"/>
    <n v="0"/>
  </r>
  <r>
    <s v="Regular"/>
    <x v="0"/>
    <x v="0"/>
    <x v="1"/>
    <x v="1"/>
    <x v="0"/>
    <x v="0"/>
    <x v="1"/>
    <x v="4"/>
    <n v="111"/>
    <n v="106.56"/>
    <n v="0"/>
    <n v="0"/>
    <n v="0"/>
    <n v="0"/>
    <n v="0"/>
    <x v="0"/>
    <n v="0"/>
    <n v="1"/>
    <n v="0"/>
    <n v="0"/>
    <n v="45.73"/>
    <n v="0"/>
    <n v="0"/>
    <n v="78.286295907151739"/>
    <n v="146.90220900317223"/>
    <n v="364.92243737572466"/>
    <n v="4872.9888000000001"/>
    <n v="0"/>
    <n v="0"/>
    <n v="8342.1876918660892"/>
    <n v="0"/>
    <n v="0"/>
  </r>
  <r>
    <s v="Regular"/>
    <x v="0"/>
    <x v="0"/>
    <x v="1"/>
    <x v="1"/>
    <x v="0"/>
    <x v="0"/>
    <x v="1"/>
    <x v="5"/>
    <n v="111"/>
    <n v="106.56"/>
    <n v="0"/>
    <n v="0"/>
    <n v="0"/>
    <n v="0"/>
    <n v="0"/>
    <x v="0"/>
    <n v="0"/>
    <n v="1"/>
    <n v="0"/>
    <n v="0"/>
    <n v="45.73"/>
    <n v="0"/>
    <n v="0"/>
    <n v="78.286295907151739"/>
    <n v="146.90220900317223"/>
    <n v="364.92243737572466"/>
    <n v="4872.9888000000001"/>
    <n v="0"/>
    <n v="0"/>
    <n v="8342.1876918660892"/>
    <n v="0"/>
    <n v="0"/>
  </r>
  <r>
    <s v="Regular"/>
    <x v="0"/>
    <x v="0"/>
    <x v="1"/>
    <x v="1"/>
    <x v="0"/>
    <x v="0"/>
    <x v="1"/>
    <x v="6"/>
    <n v="111"/>
    <n v="106.56"/>
    <n v="0"/>
    <n v="0"/>
    <n v="0"/>
    <n v="0"/>
    <n v="0"/>
    <x v="0"/>
    <n v="0"/>
    <n v="1"/>
    <n v="0"/>
    <n v="0"/>
    <n v="45.73"/>
    <n v="0"/>
    <n v="0"/>
    <n v="78.286295907151739"/>
    <n v="146.90220900317223"/>
    <n v="364.92243737572466"/>
    <n v="4872.9888000000001"/>
    <n v="0"/>
    <n v="0"/>
    <n v="8342.1876918660892"/>
    <n v="0"/>
    <n v="0"/>
  </r>
  <r>
    <s v="Regular"/>
    <x v="0"/>
    <x v="0"/>
    <x v="1"/>
    <x v="1"/>
    <x v="0"/>
    <x v="0"/>
    <x v="1"/>
    <x v="7"/>
    <n v="111"/>
    <n v="106.56"/>
    <n v="0"/>
    <n v="0"/>
    <n v="0"/>
    <n v="0"/>
    <n v="0"/>
    <x v="0"/>
    <n v="0"/>
    <n v="1"/>
    <n v="0"/>
    <n v="0"/>
    <n v="45.73"/>
    <n v="0"/>
    <n v="0"/>
    <n v="78.286295907151739"/>
    <n v="146.90220900317223"/>
    <n v="364.92243737572466"/>
    <n v="4872.9888000000001"/>
    <n v="0"/>
    <n v="0"/>
    <n v="8342.1876918660892"/>
    <n v="0"/>
    <n v="0"/>
  </r>
  <r>
    <s v="Regular"/>
    <x v="0"/>
    <x v="0"/>
    <x v="1"/>
    <x v="1"/>
    <x v="0"/>
    <x v="0"/>
    <x v="1"/>
    <x v="8"/>
    <n v="111"/>
    <n v="106.56"/>
    <n v="0"/>
    <n v="0"/>
    <n v="0"/>
    <n v="0"/>
    <n v="0"/>
    <x v="0"/>
    <n v="0"/>
    <n v="1"/>
    <n v="0"/>
    <n v="0"/>
    <n v="45.73"/>
    <n v="0"/>
    <n v="0"/>
    <n v="78.286295907151739"/>
    <n v="146.90220900317223"/>
    <n v="364.92243737572466"/>
    <n v="4872.9888000000001"/>
    <n v="0"/>
    <n v="0"/>
    <n v="8342.1876918660892"/>
    <n v="0"/>
    <n v="0"/>
  </r>
  <r>
    <s v="Regular"/>
    <x v="0"/>
    <x v="0"/>
    <x v="1"/>
    <x v="1"/>
    <x v="0"/>
    <x v="0"/>
    <x v="1"/>
    <x v="9"/>
    <n v="111"/>
    <n v="106.56"/>
    <n v="0"/>
    <n v="0"/>
    <n v="0"/>
    <n v="0"/>
    <n v="0"/>
    <x v="0"/>
    <n v="0"/>
    <n v="1"/>
    <n v="0"/>
    <n v="0"/>
    <n v="45.73"/>
    <n v="0"/>
    <n v="0"/>
    <n v="78.286295907151739"/>
    <n v="146.90220900317223"/>
    <n v="364.92243737572466"/>
    <n v="4872.9888000000001"/>
    <n v="0"/>
    <n v="0"/>
    <n v="8342.1876918660892"/>
    <n v="0"/>
    <n v="0"/>
  </r>
  <r>
    <s v="Regular"/>
    <x v="0"/>
    <x v="0"/>
    <x v="1"/>
    <x v="1"/>
    <x v="0"/>
    <x v="0"/>
    <x v="1"/>
    <x v="1"/>
    <n v="1100"/>
    <n v="1056"/>
    <n v="0.437"/>
    <n v="0.41952"/>
    <n v="0.437"/>
    <n v="0.41952"/>
    <n v="0"/>
    <x v="0"/>
    <n v="0"/>
    <n v="1"/>
    <n v="6"/>
    <n v="62"/>
    <n v="45.73"/>
    <n v="84.99"/>
    <n v="391.54"/>
    <n v="78.286295907151739"/>
    <n v="146.90220900317223"/>
    <n v="364.92243737572466"/>
    <n v="48290.879999999997"/>
    <n v="35.6550048"/>
    <n v="164.25886080000001"/>
    <n v="82670.328477952236"/>
    <n v="61.628414721010813"/>
    <n v="153.092260927864"/>
  </r>
  <r>
    <s v="Regular"/>
    <x v="0"/>
    <x v="0"/>
    <x v="1"/>
    <x v="1"/>
    <x v="0"/>
    <x v="0"/>
    <x v="1"/>
    <x v="2"/>
    <n v="1100"/>
    <n v="1056"/>
    <n v="0.437"/>
    <n v="0.41952"/>
    <n v="0.437"/>
    <n v="0.41952"/>
    <n v="0"/>
    <x v="0"/>
    <n v="0"/>
    <n v="1"/>
    <n v="6"/>
    <n v="62"/>
    <n v="45.73"/>
    <n v="84.99"/>
    <n v="391.54"/>
    <n v="78.286295907151739"/>
    <n v="146.90220900317223"/>
    <n v="364.92243737572466"/>
    <n v="48290.879999999997"/>
    <n v="35.6550048"/>
    <n v="164.25886080000001"/>
    <n v="82670.328477952236"/>
    <n v="61.628414721010813"/>
    <n v="153.092260927864"/>
  </r>
  <r>
    <s v="Regular"/>
    <x v="0"/>
    <x v="0"/>
    <x v="1"/>
    <x v="1"/>
    <x v="0"/>
    <x v="0"/>
    <x v="1"/>
    <x v="3"/>
    <n v="1100"/>
    <n v="1056"/>
    <n v="5.5E-2"/>
    <n v="5.28E-2"/>
    <n v="5.5E-2"/>
    <n v="5.28E-2"/>
    <n v="0"/>
    <x v="0"/>
    <n v="0"/>
    <n v="1"/>
    <n v="6"/>
    <n v="62"/>
    <n v="45.73"/>
    <n v="84.99"/>
    <n v="391.54"/>
    <n v="78.286295907151739"/>
    <n v="146.90220900317223"/>
    <n v="364.92243737572466"/>
    <n v="48290.879999999997"/>
    <n v="4.4874719999999995"/>
    <n v="20.673311999999999"/>
    <n v="82670.328477952236"/>
    <n v="7.7564366353674936"/>
    <n v="19.267904693438261"/>
  </r>
  <r>
    <s v="Regular"/>
    <x v="0"/>
    <x v="0"/>
    <x v="1"/>
    <x v="1"/>
    <x v="0"/>
    <x v="0"/>
    <x v="1"/>
    <x v="10"/>
    <n v="110"/>
    <n v="105.6"/>
    <n v="0"/>
    <n v="0"/>
    <n v="0"/>
    <n v="0"/>
    <n v="0"/>
    <x v="0"/>
    <n v="0"/>
    <n v="1"/>
    <n v="0"/>
    <n v="0"/>
    <n v="45.73"/>
    <n v="0"/>
    <n v="0"/>
    <n v="78.286295907151739"/>
    <n v="146.90220900317223"/>
    <n v="364.92243737572466"/>
    <n v="4829.0879999999997"/>
    <n v="0"/>
    <n v="0"/>
    <n v="8267.0328477952226"/>
    <n v="0"/>
    <n v="0"/>
  </r>
  <r>
    <s v="PROJETADO"/>
    <x v="0"/>
    <x v="0"/>
    <x v="1"/>
    <x v="1"/>
    <x v="0"/>
    <x v="0"/>
    <x v="1"/>
    <x v="11"/>
    <n v="110"/>
    <n v="105.6"/>
    <n v="0"/>
    <n v="0"/>
    <n v="0"/>
    <n v="0"/>
    <n v="0"/>
    <x v="0"/>
    <n v="0"/>
    <n v="1"/>
    <n v="0"/>
    <n v="0"/>
    <n v="45.73"/>
    <n v="0"/>
    <n v="0"/>
    <n v="78.286295907151739"/>
    <n v="146.90220900317223"/>
    <n v="364.92243737572466"/>
    <n v="4829.0879999999997"/>
    <n v="0"/>
    <n v="0"/>
    <n v="8267.0328477952226"/>
    <n v="0"/>
    <n v="0"/>
  </r>
  <r>
    <s v="Regular"/>
    <x v="0"/>
    <x v="1"/>
    <x v="2"/>
    <x v="0"/>
    <x v="0"/>
    <x v="1"/>
    <x v="2"/>
    <x v="4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5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0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6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7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8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9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1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2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3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10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PROJETADO"/>
    <x v="0"/>
    <x v="1"/>
    <x v="2"/>
    <x v="0"/>
    <x v="0"/>
    <x v="1"/>
    <x v="2"/>
    <x v="11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2"/>
    <x v="1"/>
    <x v="1"/>
    <x v="1"/>
    <x v="0"/>
    <x v="0"/>
    <x v="10"/>
    <n v="0"/>
    <n v="0"/>
    <n v="5.2069999999999999"/>
    <n v="1.0414000000000001"/>
    <n v="5.2069999999999999"/>
    <n v="1.0414000000000001"/>
    <n v="0"/>
    <x v="0"/>
    <n v="0"/>
    <n v="0"/>
    <n v="16"/>
    <n v="63"/>
    <n v="0"/>
    <n v="84.99"/>
    <n v="242.77"/>
    <m/>
    <n v="146.90220900317223"/>
    <n v="227.53897547400734"/>
    <n v="0"/>
    <n v="88.508586000000008"/>
    <n v="252.82067800000004"/>
    <n v="0"/>
    <n v="152.98396045590357"/>
    <n v="236.95908905863126"/>
  </r>
  <r>
    <s v="PROJETADO"/>
    <x v="0"/>
    <x v="2"/>
    <x v="1"/>
    <x v="1"/>
    <x v="1"/>
    <x v="0"/>
    <x v="0"/>
    <x v="11"/>
    <n v="0"/>
    <n v="0"/>
    <n v="5.2069999999999999"/>
    <n v="1.0414000000000001"/>
    <n v="5.2069999999999999"/>
    <n v="1.0414000000000001"/>
    <n v="0"/>
    <x v="0"/>
    <n v="0"/>
    <n v="0"/>
    <n v="16"/>
    <n v="63"/>
    <n v="0"/>
    <n v="84.99"/>
    <n v="242.77"/>
    <m/>
    <n v="146.90220900317223"/>
    <n v="227.53897547400734"/>
    <n v="0"/>
    <n v="88.508586000000008"/>
    <n v="252.82067800000004"/>
    <n v="0"/>
    <n v="152.98396045590357"/>
    <n v="236.95908905863126"/>
  </r>
  <r>
    <s v="Regular"/>
    <x v="0"/>
    <x v="2"/>
    <x v="1"/>
    <x v="1"/>
    <x v="0"/>
    <x v="0"/>
    <x v="0"/>
    <x v="10"/>
    <n v="0"/>
    <n v="0"/>
    <n v="9.7170000000000005"/>
    <n v="9.3283199999999997"/>
    <n v="9.7170000000000005"/>
    <n v="9.3283199999999997"/>
    <n v="0"/>
    <x v="0"/>
    <n v="0"/>
    <n v="0"/>
    <n v="16"/>
    <n v="63"/>
    <n v="0"/>
    <n v="84.99"/>
    <n v="242.77"/>
    <m/>
    <n v="146.90220900317223"/>
    <n v="227.53897547400734"/>
    <n v="0"/>
    <n v="792.8139167999999"/>
    <n v="2264.6362463999999"/>
    <n v="0"/>
    <n v="1370.3508142884716"/>
    <n v="2122.5563756936922"/>
  </r>
  <r>
    <s v="PROJETADO"/>
    <x v="0"/>
    <x v="2"/>
    <x v="1"/>
    <x v="1"/>
    <x v="0"/>
    <x v="0"/>
    <x v="0"/>
    <x v="11"/>
    <n v="0"/>
    <n v="0"/>
    <n v="9.7170000000000005"/>
    <n v="9.3283199999999997"/>
    <n v="9.7170000000000005"/>
    <n v="9.3283199999999997"/>
    <n v="0"/>
    <x v="0"/>
    <n v="0"/>
    <n v="0"/>
    <n v="16"/>
    <n v="63"/>
    <n v="0"/>
    <n v="84.99"/>
    <n v="242.77"/>
    <m/>
    <n v="146.90220900317223"/>
    <n v="227.53897547400734"/>
    <n v="0"/>
    <n v="792.8139167999999"/>
    <n v="2264.6362463999999"/>
    <n v="0"/>
    <n v="1370.3508142884716"/>
    <n v="2122.5563756936922"/>
  </r>
  <r>
    <s v="Regular"/>
    <x v="0"/>
    <x v="2"/>
    <x v="1"/>
    <x v="1"/>
    <x v="0"/>
    <x v="0"/>
    <x v="2"/>
    <x v="10"/>
    <n v="106"/>
    <n v="101.76"/>
    <n v="0"/>
    <n v="0"/>
    <n v="0"/>
    <n v="0"/>
    <n v="1"/>
    <x v="0"/>
    <n v="0"/>
    <n v="11"/>
    <n v="0"/>
    <n v="0"/>
    <n v="18.920000000000002"/>
    <n v="0"/>
    <n v="0"/>
    <n v="32.556945267352141"/>
    <m/>
    <m/>
    <n v="1925.2992000000004"/>
    <n v="0"/>
    <n v="0"/>
    <n v="3312.9947504057541"/>
    <n v="0"/>
    <n v="0"/>
  </r>
  <r>
    <s v="PROJETADO"/>
    <x v="0"/>
    <x v="2"/>
    <x v="1"/>
    <x v="1"/>
    <x v="0"/>
    <x v="0"/>
    <x v="2"/>
    <x v="11"/>
    <n v="106"/>
    <n v="101.76"/>
    <n v="0"/>
    <n v="0"/>
    <n v="0"/>
    <n v="0"/>
    <n v="1"/>
    <x v="0"/>
    <n v="0"/>
    <n v="11"/>
    <n v="0"/>
    <n v="0"/>
    <n v="18.920000000000002"/>
    <n v="0"/>
    <n v="0"/>
    <n v="32.556945267352141"/>
    <m/>
    <m/>
    <n v="1925.2992000000004"/>
    <n v="0"/>
    <n v="0"/>
    <n v="3312.9947504057541"/>
    <n v="0"/>
    <n v="0"/>
  </r>
  <r>
    <s v="Regular"/>
    <x v="0"/>
    <x v="2"/>
    <x v="1"/>
    <x v="1"/>
    <x v="0"/>
    <x v="0"/>
    <x v="1"/>
    <x v="10"/>
    <n v="0"/>
    <n v="0"/>
    <n v="1.8859999999999999"/>
    <n v="1.8105599999999999"/>
    <n v="1.8859999999999999"/>
    <n v="1.8105599999999999"/>
    <n v="0"/>
    <x v="0"/>
    <n v="0"/>
    <n v="0"/>
    <n v="14"/>
    <n v="62"/>
    <n v="0"/>
    <n v="1195.82"/>
    <n v="391.54"/>
    <m/>
    <n v="2051.1203590831656"/>
    <n v="364.92243737572466"/>
    <n v="0"/>
    <n v="2165.1038592"/>
    <n v="708.90666240000007"/>
    <n v="0"/>
    <n v="3713.6764773416162"/>
    <n v="660.71396821499206"/>
  </r>
  <r>
    <s v="PROJETADO"/>
    <x v="0"/>
    <x v="2"/>
    <x v="1"/>
    <x v="1"/>
    <x v="0"/>
    <x v="0"/>
    <x v="1"/>
    <x v="11"/>
    <n v="0"/>
    <n v="0"/>
    <n v="1.8859999999999999"/>
    <n v="1.8105599999999999"/>
    <n v="1.8859999999999999"/>
    <n v="1.8105599999999999"/>
    <n v="0"/>
    <x v="0"/>
    <n v="0"/>
    <n v="0"/>
    <n v="14"/>
    <n v="62"/>
    <n v="0"/>
    <n v="1195.82"/>
    <n v="391.54"/>
    <m/>
    <n v="2051.1203590831656"/>
    <n v="364.92243737572466"/>
    <n v="0"/>
    <n v="2165.1038592"/>
    <n v="708.90666240000007"/>
    <n v="0"/>
    <n v="3713.6764773416162"/>
    <n v="660.71396821499206"/>
  </r>
  <r>
    <s v="Regular"/>
    <x v="0"/>
    <x v="2"/>
    <x v="1"/>
    <x v="2"/>
    <x v="0"/>
    <x v="0"/>
    <x v="0"/>
    <x v="6"/>
    <n v="0"/>
    <n v="0"/>
    <n v="0.42099999999999999"/>
    <n v="0.40416000000000002"/>
    <n v="0.42099999999999999"/>
    <n v="0.40416000000000002"/>
    <n v="0"/>
    <x v="0"/>
    <n v="0"/>
    <n v="0"/>
    <n v="16"/>
    <n v="63"/>
    <n v="0"/>
    <n v="84.99"/>
    <n v="242.77"/>
    <m/>
    <n v="146.90220900317223"/>
    <n v="227.53897547400734"/>
    <n v="0"/>
    <n v="34.349558399999999"/>
    <n v="98.117923200000007"/>
    <n v="0"/>
    <n v="59.371996790722093"/>
    <n v="91.962152327574813"/>
  </r>
  <r>
    <s v="Regular"/>
    <x v="0"/>
    <x v="2"/>
    <x v="1"/>
    <x v="2"/>
    <x v="0"/>
    <x v="0"/>
    <x v="0"/>
    <x v="7"/>
    <n v="0"/>
    <n v="0"/>
    <n v="0.45"/>
    <n v="0.432"/>
    <n v="0.45"/>
    <n v="0.432"/>
    <n v="0"/>
    <x v="0"/>
    <n v="0"/>
    <n v="0"/>
    <n v="16"/>
    <n v="63"/>
    <n v="0"/>
    <n v="84.99"/>
    <n v="242.77"/>
    <m/>
    <n v="146.90220900317223"/>
    <n v="227.53897547400734"/>
    <n v="0"/>
    <n v="36.715679999999999"/>
    <n v="104.87664000000001"/>
    <n v="0"/>
    <n v="63.461754289370404"/>
    <n v="98.296837404771168"/>
  </r>
  <r>
    <s v="Regular"/>
    <x v="0"/>
    <x v="2"/>
    <x v="1"/>
    <x v="2"/>
    <x v="0"/>
    <x v="0"/>
    <x v="0"/>
    <x v="8"/>
    <n v="0"/>
    <n v="0"/>
    <n v="0.48299999999999998"/>
    <n v="0.46367999999999998"/>
    <n v="0.48299999999999998"/>
    <n v="0.46367999999999998"/>
    <n v="0"/>
    <x v="0"/>
    <n v="0"/>
    <n v="0"/>
    <n v="16"/>
    <n v="63"/>
    <n v="0"/>
    <n v="84.99"/>
    <n v="242.77"/>
    <m/>
    <n v="146.90220900317223"/>
    <n v="227.53897547400734"/>
    <n v="0"/>
    <n v="39.408163199999997"/>
    <n v="112.5675936"/>
    <n v="0"/>
    <n v="68.115616270590891"/>
    <n v="105.50527214778772"/>
  </r>
  <r>
    <s v="Regular"/>
    <x v="0"/>
    <x v="2"/>
    <x v="1"/>
    <x v="2"/>
    <x v="0"/>
    <x v="0"/>
    <x v="0"/>
    <x v="9"/>
    <n v="0"/>
    <n v="0"/>
    <n v="0.58699999999999997"/>
    <n v="0.56352000000000002"/>
    <n v="0.58699999999999997"/>
    <n v="0.56352000000000002"/>
    <n v="0"/>
    <x v="0"/>
    <n v="0"/>
    <n v="0"/>
    <n v="16"/>
    <n v="63"/>
    <n v="0"/>
    <n v="84.99"/>
    <n v="242.77"/>
    <m/>
    <n v="146.90220900317223"/>
    <n v="227.53897547400734"/>
    <n v="0"/>
    <n v="47.8935648"/>
    <n v="136.80575040000002"/>
    <n v="0"/>
    <n v="82.782332817467619"/>
    <n v="128.22276345911263"/>
  </r>
  <r>
    <s v="Regular"/>
    <x v="0"/>
    <x v="2"/>
    <x v="1"/>
    <x v="2"/>
    <x v="0"/>
    <x v="0"/>
    <x v="0"/>
    <x v="1"/>
    <n v="0"/>
    <n v="0"/>
    <n v="0.55700000000000005"/>
    <n v="0.53471999999999997"/>
    <n v="0.55700000000000005"/>
    <n v="0.53471999999999997"/>
    <n v="0"/>
    <x v="0"/>
    <n v="0"/>
    <n v="0"/>
    <n v="16"/>
    <n v="63"/>
    <n v="0"/>
    <n v="84.99"/>
    <n v="242.77"/>
    <m/>
    <n v="146.90220900317223"/>
    <n v="227.53897547400734"/>
    <n v="0"/>
    <n v="45.445852799999997"/>
    <n v="129.81397440000001"/>
    <n v="0"/>
    <n v="78.551549198176247"/>
    <n v="121.6696409654612"/>
  </r>
  <r>
    <s v="Regular"/>
    <x v="0"/>
    <x v="2"/>
    <x v="1"/>
    <x v="2"/>
    <x v="0"/>
    <x v="0"/>
    <x v="0"/>
    <x v="2"/>
    <n v="0"/>
    <n v="0"/>
    <n v="0.94299999999999995"/>
    <n v="0.90527999999999997"/>
    <n v="0.94299999999999995"/>
    <n v="0.90527999999999997"/>
    <n v="0"/>
    <x v="0"/>
    <n v="0"/>
    <n v="0"/>
    <n v="16"/>
    <n v="63"/>
    <n v="0"/>
    <n v="84.99"/>
    <n v="242.77"/>
    <m/>
    <n v="146.90220900317223"/>
    <n v="227.53897547400734"/>
    <n v="0"/>
    <n v="76.939747199999999"/>
    <n v="219.77482560000001"/>
    <n v="0"/>
    <n v="132.98763176639176"/>
    <n v="205.98648371710937"/>
  </r>
  <r>
    <s v="Regular"/>
    <x v="0"/>
    <x v="2"/>
    <x v="1"/>
    <x v="2"/>
    <x v="0"/>
    <x v="0"/>
    <x v="0"/>
    <x v="3"/>
    <n v="0"/>
    <n v="0"/>
    <n v="2.7690000000000001"/>
    <n v="2.6582400000000002"/>
    <n v="2.7690000000000001"/>
    <n v="2.6582400000000002"/>
    <n v="0"/>
    <x v="0"/>
    <n v="0"/>
    <n v="0"/>
    <n v="16"/>
    <n v="63"/>
    <n v="0"/>
    <n v="84.99"/>
    <n v="242.77"/>
    <m/>
    <n v="146.90220900317223"/>
    <n v="227.53897547400734"/>
    <n v="0"/>
    <n v="225.92381760000001"/>
    <n v="645.34092480000004"/>
    <n v="0"/>
    <n v="390.50132806059258"/>
    <n v="604.85320616402532"/>
  </r>
  <r>
    <s v="Regular"/>
    <x v="0"/>
    <x v="2"/>
    <x v="1"/>
    <x v="2"/>
    <x v="0"/>
    <x v="0"/>
    <x v="0"/>
    <x v="10"/>
    <n v="0"/>
    <n v="0"/>
    <n v="5.2640000000000002"/>
    <n v="5.0534400000000002"/>
    <n v="5.2640000000000002"/>
    <n v="5.0534400000000002"/>
    <n v="0"/>
    <x v="0"/>
    <n v="0"/>
    <n v="0"/>
    <n v="16"/>
    <n v="63"/>
    <n v="0"/>
    <n v="84.99"/>
    <n v="242.77"/>
    <m/>
    <n v="146.90220900317223"/>
    <n v="227.53897547400734"/>
    <n v="0"/>
    <n v="429.49186559999998"/>
    <n v="1226.8236288000001"/>
    <n v="0"/>
    <n v="742.36149906499065"/>
    <n v="1149.8545602193676"/>
  </r>
  <r>
    <s v="PROJETADO"/>
    <x v="0"/>
    <x v="2"/>
    <x v="1"/>
    <x v="2"/>
    <x v="0"/>
    <x v="0"/>
    <x v="0"/>
    <x v="11"/>
    <n v="0"/>
    <n v="0"/>
    <n v="5.2640000000000002"/>
    <n v="5.0534400000000002"/>
    <n v="5.2640000000000002"/>
    <n v="5.0534400000000002"/>
    <n v="0"/>
    <x v="0"/>
    <n v="0"/>
    <n v="0"/>
    <n v="16"/>
    <n v="63"/>
    <n v="0"/>
    <n v="84.99"/>
    <n v="242.77"/>
    <m/>
    <n v="146.90220900317223"/>
    <n v="227.53897547400734"/>
    <n v="0"/>
    <n v="429.49186559999998"/>
    <n v="1226.8236288000001"/>
    <n v="0"/>
    <n v="742.36149906499065"/>
    <n v="1149.8545602193676"/>
  </r>
  <r>
    <s v="Regular"/>
    <x v="0"/>
    <x v="2"/>
    <x v="1"/>
    <x v="2"/>
    <x v="0"/>
    <x v="0"/>
    <x v="2"/>
    <x v="6"/>
    <n v="1"/>
    <n v="0.96"/>
    <n v="0"/>
    <n v="0"/>
    <n v="0"/>
    <n v="0"/>
    <n v="1"/>
    <x v="0"/>
    <n v="0"/>
    <n v="11"/>
    <n v="0"/>
    <n v="0"/>
    <n v="18.920000000000002"/>
    <n v="0"/>
    <n v="0"/>
    <n v="32.556945267352141"/>
    <m/>
    <m/>
    <n v="18.1632"/>
    <n v="0"/>
    <n v="0"/>
    <n v="31.254667456658055"/>
    <n v="0"/>
    <n v="0"/>
  </r>
  <r>
    <s v="Regular"/>
    <x v="0"/>
    <x v="2"/>
    <x v="1"/>
    <x v="2"/>
    <x v="0"/>
    <x v="0"/>
    <x v="2"/>
    <x v="7"/>
    <n v="1"/>
    <n v="0.96"/>
    <n v="0"/>
    <n v="0"/>
    <n v="0"/>
    <n v="0"/>
    <n v="2"/>
    <x v="0"/>
    <n v="0"/>
    <n v="11"/>
    <n v="0"/>
    <n v="0"/>
    <n v="18.920000000000002"/>
    <n v="0"/>
    <n v="0"/>
    <n v="32.556945267352141"/>
    <m/>
    <m/>
    <n v="18.1632"/>
    <n v="0"/>
    <n v="0"/>
    <n v="31.254667456658055"/>
    <n v="0"/>
    <n v="0"/>
  </r>
  <r>
    <s v="Regular"/>
    <x v="0"/>
    <x v="2"/>
    <x v="1"/>
    <x v="2"/>
    <x v="0"/>
    <x v="0"/>
    <x v="2"/>
    <x v="8"/>
    <n v="3"/>
    <n v="2.88"/>
    <n v="0"/>
    <n v="0"/>
    <n v="0"/>
    <n v="0"/>
    <n v="2"/>
    <x v="0"/>
    <n v="0"/>
    <n v="11"/>
    <n v="0"/>
    <n v="0"/>
    <n v="18.920000000000002"/>
    <n v="0"/>
    <n v="0"/>
    <n v="32.556945267352141"/>
    <m/>
    <m/>
    <n v="54.489600000000003"/>
    <n v="0"/>
    <n v="0"/>
    <n v="93.764002369974165"/>
    <n v="0"/>
    <n v="0"/>
  </r>
  <r>
    <s v="Regular"/>
    <x v="0"/>
    <x v="2"/>
    <x v="1"/>
    <x v="2"/>
    <x v="0"/>
    <x v="0"/>
    <x v="2"/>
    <x v="9"/>
    <n v="3"/>
    <n v="2.88"/>
    <n v="0"/>
    <n v="0"/>
    <n v="0"/>
    <n v="0"/>
    <n v="2"/>
    <x v="0"/>
    <n v="0"/>
    <n v="11"/>
    <n v="0"/>
    <n v="0"/>
    <n v="18.920000000000002"/>
    <n v="0"/>
    <n v="0"/>
    <n v="32.556945267352141"/>
    <m/>
    <m/>
    <n v="54.489600000000003"/>
    <n v="0"/>
    <n v="0"/>
    <n v="93.764002369974165"/>
    <n v="0"/>
    <n v="0"/>
  </r>
  <r>
    <s v="Regular"/>
    <x v="0"/>
    <x v="2"/>
    <x v="1"/>
    <x v="2"/>
    <x v="0"/>
    <x v="0"/>
    <x v="2"/>
    <x v="1"/>
    <n v="3"/>
    <n v="2.88"/>
    <n v="0"/>
    <n v="0"/>
    <n v="0"/>
    <n v="0"/>
    <n v="2"/>
    <x v="0"/>
    <n v="0"/>
    <n v="11"/>
    <n v="0"/>
    <n v="0"/>
    <n v="18.920000000000002"/>
    <n v="0"/>
    <n v="0"/>
    <n v="32.556945267352141"/>
    <m/>
    <m/>
    <n v="54.489600000000003"/>
    <n v="0"/>
    <n v="0"/>
    <n v="93.764002369974165"/>
    <n v="0"/>
    <n v="0"/>
  </r>
  <r>
    <s v="Regular"/>
    <x v="0"/>
    <x v="2"/>
    <x v="1"/>
    <x v="2"/>
    <x v="0"/>
    <x v="0"/>
    <x v="2"/>
    <x v="2"/>
    <n v="4"/>
    <n v="3.84"/>
    <n v="0"/>
    <n v="0"/>
    <n v="0"/>
    <n v="0"/>
    <n v="2"/>
    <x v="0"/>
    <n v="0"/>
    <n v="11"/>
    <n v="0"/>
    <n v="0"/>
    <n v="18.920000000000002"/>
    <n v="0"/>
    <n v="0"/>
    <n v="32.556945267352141"/>
    <m/>
    <m/>
    <n v="72.652799999999999"/>
    <n v="0"/>
    <n v="0"/>
    <n v="125.01866982663222"/>
    <n v="0"/>
    <n v="0"/>
  </r>
  <r>
    <s v="Regular"/>
    <x v="0"/>
    <x v="2"/>
    <x v="1"/>
    <x v="2"/>
    <x v="0"/>
    <x v="0"/>
    <x v="2"/>
    <x v="3"/>
    <n v="10"/>
    <n v="9.6"/>
    <n v="0"/>
    <n v="0"/>
    <n v="0"/>
    <n v="0"/>
    <n v="2"/>
    <x v="0"/>
    <n v="0"/>
    <n v="11"/>
    <n v="0"/>
    <n v="0"/>
    <n v="18.920000000000002"/>
    <n v="0"/>
    <n v="0"/>
    <n v="32.556945267352141"/>
    <m/>
    <m/>
    <n v="181.63200000000001"/>
    <n v="0"/>
    <n v="0"/>
    <n v="312.54667456658052"/>
    <n v="0"/>
    <n v="0"/>
  </r>
  <r>
    <s v="Regular"/>
    <x v="0"/>
    <x v="2"/>
    <x v="1"/>
    <x v="2"/>
    <x v="0"/>
    <x v="0"/>
    <x v="2"/>
    <x v="10"/>
    <n v="11"/>
    <n v="10.56"/>
    <n v="0"/>
    <n v="0"/>
    <n v="0"/>
    <n v="0"/>
    <n v="2"/>
    <x v="0"/>
    <n v="0"/>
    <n v="11"/>
    <n v="0"/>
    <n v="0"/>
    <n v="18.920000000000002"/>
    <n v="0"/>
    <n v="0"/>
    <n v="32.556945267352141"/>
    <m/>
    <m/>
    <n v="199.79520000000002"/>
    <n v="0"/>
    <n v="0"/>
    <n v="343.80134202323865"/>
    <n v="0"/>
    <n v="0"/>
  </r>
  <r>
    <s v="PROJETADO"/>
    <x v="0"/>
    <x v="2"/>
    <x v="1"/>
    <x v="2"/>
    <x v="0"/>
    <x v="0"/>
    <x v="2"/>
    <x v="11"/>
    <n v="11"/>
    <n v="10.56"/>
    <n v="0"/>
    <n v="0"/>
    <n v="0"/>
    <n v="0"/>
    <n v="2"/>
    <x v="0"/>
    <n v="0"/>
    <n v="11"/>
    <n v="0"/>
    <n v="0"/>
    <n v="18.920000000000002"/>
    <n v="0"/>
    <n v="0"/>
    <n v="32.556945267352141"/>
    <m/>
    <m/>
    <n v="199.79520000000002"/>
    <n v="0"/>
    <n v="0"/>
    <n v="343.80134202323865"/>
    <n v="0"/>
    <n v="0"/>
  </r>
  <r>
    <s v="Regular"/>
    <x v="0"/>
    <x v="2"/>
    <x v="1"/>
    <x v="2"/>
    <x v="0"/>
    <x v="0"/>
    <x v="1"/>
    <x v="6"/>
    <n v="0"/>
    <n v="0"/>
    <n v="5.6000000000000001E-2"/>
    <n v="5.3760000000000002E-2"/>
    <n v="5.6000000000000001E-2"/>
    <n v="5.3760000000000002E-2"/>
    <n v="0"/>
    <x v="0"/>
    <n v="0"/>
    <n v="0"/>
    <n v="14"/>
    <n v="62"/>
    <n v="0"/>
    <n v="1195.82"/>
    <n v="391.54"/>
    <m/>
    <n v="2051.1203590831656"/>
    <n v="364.92243737572466"/>
    <n v="0"/>
    <n v="64.287283200000005"/>
    <n v="21.049190400000001"/>
    <n v="0"/>
    <n v="110.26823050431099"/>
    <n v="19.618230233318958"/>
  </r>
  <r>
    <s v="Regular"/>
    <x v="0"/>
    <x v="2"/>
    <x v="1"/>
    <x v="2"/>
    <x v="0"/>
    <x v="0"/>
    <x v="1"/>
    <x v="7"/>
    <n v="0"/>
    <n v="0"/>
    <n v="6.8000000000000005E-2"/>
    <n v="6.5280000000000005E-2"/>
    <n v="6.8000000000000005E-2"/>
    <n v="6.5280000000000005E-2"/>
    <n v="0"/>
    <x v="0"/>
    <n v="0"/>
    <n v="0"/>
    <n v="14"/>
    <n v="62"/>
    <n v="0"/>
    <n v="1195.82"/>
    <n v="391.54"/>
    <m/>
    <n v="2051.1203590831656"/>
    <n v="364.92243737572466"/>
    <n v="0"/>
    <n v="78.063129599999996"/>
    <n v="25.559731200000002"/>
    <n v="0"/>
    <n v="133.89713704094905"/>
    <n v="23.822136711887307"/>
  </r>
  <r>
    <s v="Regular"/>
    <x v="0"/>
    <x v="2"/>
    <x v="1"/>
    <x v="2"/>
    <x v="0"/>
    <x v="0"/>
    <x v="1"/>
    <x v="8"/>
    <n v="0"/>
    <n v="0"/>
    <n v="7.2999999999999995E-2"/>
    <n v="7.0080000000000003E-2"/>
    <n v="7.2999999999999995E-2"/>
    <n v="7.0080000000000003E-2"/>
    <n v="0"/>
    <x v="0"/>
    <n v="0"/>
    <n v="0"/>
    <n v="14"/>
    <n v="62"/>
    <n v="0"/>
    <n v="1195.82"/>
    <n v="391.54"/>
    <m/>
    <n v="2051.1203590831656"/>
    <n v="364.92243737572466"/>
    <n v="0"/>
    <n v="83.803065599999996"/>
    <n v="27.439123200000004"/>
    <n v="0"/>
    <n v="143.74251476454825"/>
    <n v="25.573764411290785"/>
  </r>
  <r>
    <s v="Regular"/>
    <x v="0"/>
    <x v="2"/>
    <x v="1"/>
    <x v="2"/>
    <x v="0"/>
    <x v="0"/>
    <x v="1"/>
    <x v="9"/>
    <n v="0"/>
    <n v="0"/>
    <n v="0.1"/>
    <n v="9.6000000000000002E-2"/>
    <n v="0.1"/>
    <n v="9.6000000000000002E-2"/>
    <n v="0"/>
    <x v="0"/>
    <n v="0"/>
    <n v="0"/>
    <n v="14"/>
    <n v="62"/>
    <n v="0"/>
    <n v="1195.82"/>
    <n v="391.54"/>
    <m/>
    <n v="2051.1203590831656"/>
    <n v="364.92243737572466"/>
    <n v="0"/>
    <n v="114.79872"/>
    <n v="37.58784"/>
    <n v="0"/>
    <n v="196.9075544719839"/>
    <n v="35.032553988069566"/>
  </r>
  <r>
    <s v="Regular"/>
    <x v="0"/>
    <x v="2"/>
    <x v="1"/>
    <x v="2"/>
    <x v="0"/>
    <x v="0"/>
    <x v="1"/>
    <x v="1"/>
    <n v="0"/>
    <n v="0"/>
    <n v="9.7000000000000003E-2"/>
    <n v="9.3119999999999994E-2"/>
    <n v="9.7000000000000003E-2"/>
    <n v="9.3119999999999994E-2"/>
    <n v="0"/>
    <x v="0"/>
    <n v="0"/>
    <n v="0"/>
    <n v="14"/>
    <n v="62"/>
    <n v="0"/>
    <n v="1195.82"/>
    <n v="391.54"/>
    <m/>
    <n v="2051.1203590831656"/>
    <n v="364.92243737572466"/>
    <n v="0"/>
    <n v="111.35475839999999"/>
    <n v="36.4602048"/>
    <n v="0"/>
    <n v="191.00032783782436"/>
    <n v="33.98157736842748"/>
  </r>
  <r>
    <s v="Regular"/>
    <x v="0"/>
    <x v="2"/>
    <x v="1"/>
    <x v="2"/>
    <x v="0"/>
    <x v="0"/>
    <x v="1"/>
    <x v="2"/>
    <n v="0"/>
    <n v="0"/>
    <n v="0.10199999999999999"/>
    <n v="9.7919999999999993E-2"/>
    <n v="0.10199999999999999"/>
    <n v="9.7919999999999993E-2"/>
    <n v="0"/>
    <x v="0"/>
    <n v="0"/>
    <n v="0"/>
    <n v="14"/>
    <n v="62"/>
    <n v="0"/>
    <n v="1195.82"/>
    <n v="391.54"/>
    <m/>
    <n v="2051.1203590831656"/>
    <n v="364.92243737572466"/>
    <n v="0"/>
    <n v="117.09469439999998"/>
    <n v="38.339596800000002"/>
    <n v="0"/>
    <n v="200.84570556142356"/>
    <n v="35.733205067830959"/>
  </r>
  <r>
    <s v="Regular"/>
    <x v="0"/>
    <x v="2"/>
    <x v="1"/>
    <x v="2"/>
    <x v="0"/>
    <x v="0"/>
    <x v="1"/>
    <x v="3"/>
    <n v="0"/>
    <n v="0"/>
    <n v="0.129"/>
    <n v="0.12384000000000001"/>
    <n v="0.129"/>
    <n v="0.12384000000000001"/>
    <n v="0"/>
    <x v="0"/>
    <n v="0"/>
    <n v="0"/>
    <n v="14"/>
    <n v="62"/>
    <n v="0"/>
    <n v="1195.82"/>
    <n v="391.54"/>
    <m/>
    <n v="2051.1203590831656"/>
    <n v="364.92243737572466"/>
    <n v="0"/>
    <n v="148.09034879999999"/>
    <n v="48.488313600000005"/>
    <n v="0"/>
    <n v="254.01074526885924"/>
    <n v="45.191994644609743"/>
  </r>
  <r>
    <s v="Regular"/>
    <x v="0"/>
    <x v="2"/>
    <x v="1"/>
    <x v="2"/>
    <x v="0"/>
    <x v="0"/>
    <x v="1"/>
    <x v="10"/>
    <n v="0"/>
    <n v="0"/>
    <n v="0.54700000000000004"/>
    <n v="0.52512000000000003"/>
    <n v="0.54700000000000004"/>
    <n v="0.52512000000000003"/>
    <n v="0"/>
    <x v="0"/>
    <n v="0"/>
    <n v="0"/>
    <n v="14"/>
    <n v="62"/>
    <n v="0"/>
    <n v="1195.82"/>
    <n v="391.54"/>
    <m/>
    <n v="2051.1203590831656"/>
    <n v="364.92243737572466"/>
    <n v="0"/>
    <n v="627.94899840000005"/>
    <n v="205.60548480000003"/>
    <n v="0"/>
    <n v="1077.0843229617519"/>
    <n v="191.62807031474054"/>
  </r>
  <r>
    <s v="PROJETADO"/>
    <x v="0"/>
    <x v="2"/>
    <x v="1"/>
    <x v="2"/>
    <x v="0"/>
    <x v="0"/>
    <x v="1"/>
    <x v="11"/>
    <n v="0"/>
    <n v="0"/>
    <n v="0.54700000000000004"/>
    <n v="0.52512000000000003"/>
    <n v="0.54700000000000004"/>
    <n v="0.52512000000000003"/>
    <n v="0"/>
    <x v="0"/>
    <n v="0"/>
    <n v="0"/>
    <n v="14"/>
    <n v="62"/>
    <n v="0"/>
    <n v="1195.82"/>
    <n v="391.54"/>
    <m/>
    <n v="2051.1203590831656"/>
    <n v="364.92243737572466"/>
    <n v="0"/>
    <n v="627.94899840000005"/>
    <n v="205.60548480000003"/>
    <n v="0"/>
    <n v="1077.0843229617519"/>
    <n v="191.62807031474054"/>
  </r>
  <r>
    <s v="Sistema de Compensação"/>
    <x v="0"/>
    <x v="2"/>
    <x v="1"/>
    <x v="0"/>
    <x v="0"/>
    <x v="0"/>
    <x v="2"/>
    <x v="4"/>
    <n v="37"/>
    <n v="35.519999999999996"/>
    <n v="0"/>
    <n v="0"/>
    <n v="0"/>
    <n v="0"/>
    <n v="1"/>
    <x v="0"/>
    <n v="0"/>
    <n v="11"/>
    <n v="0"/>
    <n v="0"/>
    <n v="18.920000000000002"/>
    <n v="0"/>
    <n v="0"/>
    <n v="32.556945267352141"/>
    <m/>
    <m/>
    <n v="672.03840000000002"/>
    <n v="0"/>
    <n v="0"/>
    <n v="1156.4226958963479"/>
    <n v="0"/>
    <n v="0"/>
  </r>
  <r>
    <s v="Sistema de Compensação"/>
    <x v="0"/>
    <x v="2"/>
    <x v="1"/>
    <x v="0"/>
    <x v="0"/>
    <x v="0"/>
    <x v="2"/>
    <x v="5"/>
    <n v="27"/>
    <n v="25.919999999999998"/>
    <n v="0"/>
    <n v="0"/>
    <n v="0"/>
    <n v="0"/>
    <n v="1"/>
    <x v="0"/>
    <n v="0"/>
    <n v="11"/>
    <n v="0"/>
    <n v="0"/>
    <n v="18.920000000000002"/>
    <n v="0"/>
    <n v="0"/>
    <n v="32.556945267352141"/>
    <m/>
    <m/>
    <n v="490.40640000000002"/>
    <n v="0"/>
    <n v="0"/>
    <n v="843.87602132976747"/>
    <n v="0"/>
    <n v="0"/>
  </r>
  <r>
    <s v="Sistema de Compensação"/>
    <x v="0"/>
    <x v="2"/>
    <x v="1"/>
    <x v="0"/>
    <x v="0"/>
    <x v="0"/>
    <x v="2"/>
    <x v="0"/>
    <n v="35"/>
    <n v="33.6"/>
    <n v="0"/>
    <n v="0"/>
    <n v="0"/>
    <n v="0"/>
    <n v="1"/>
    <x v="0"/>
    <n v="0"/>
    <n v="11"/>
    <n v="0"/>
    <n v="0"/>
    <n v="18.920000000000002"/>
    <n v="0"/>
    <n v="0"/>
    <n v="32.556945267352141"/>
    <m/>
    <m/>
    <n v="635.7120000000001"/>
    <n v="0"/>
    <n v="0"/>
    <n v="1093.9133609830319"/>
    <n v="0"/>
    <n v="0"/>
  </r>
  <r>
    <s v="Sistema de Compensação"/>
    <x v="0"/>
    <x v="2"/>
    <x v="1"/>
    <x v="0"/>
    <x v="0"/>
    <x v="0"/>
    <x v="2"/>
    <x v="6"/>
    <n v="195"/>
    <n v="187.2"/>
    <n v="0"/>
    <n v="0"/>
    <n v="0"/>
    <n v="0"/>
    <n v="1"/>
    <x v="0"/>
    <n v="0"/>
    <n v="11"/>
    <n v="0"/>
    <n v="0"/>
    <n v="18.920000000000002"/>
    <n v="0"/>
    <n v="0"/>
    <n v="32.556945267352141"/>
    <m/>
    <m/>
    <n v="3541.8240000000001"/>
    <n v="0"/>
    <n v="0"/>
    <n v="6094.6601540483207"/>
    <n v="0"/>
    <n v="0"/>
  </r>
  <r>
    <s v="Sistema de Compensação"/>
    <x v="0"/>
    <x v="2"/>
    <x v="1"/>
    <x v="0"/>
    <x v="0"/>
    <x v="0"/>
    <x v="2"/>
    <x v="7"/>
    <n v="34"/>
    <n v="32.64"/>
    <n v="0"/>
    <n v="0"/>
    <n v="0"/>
    <n v="0"/>
    <n v="1"/>
    <x v="0"/>
    <n v="0"/>
    <n v="11"/>
    <n v="0"/>
    <n v="0"/>
    <n v="18.920000000000002"/>
    <n v="0"/>
    <n v="0"/>
    <n v="32.556945267352141"/>
    <m/>
    <m/>
    <n v="617.54880000000003"/>
    <n v="0"/>
    <n v="0"/>
    <n v="1062.658693526374"/>
    <n v="0"/>
    <n v="0"/>
  </r>
  <r>
    <s v="Sistema de Compensação"/>
    <x v="0"/>
    <x v="2"/>
    <x v="1"/>
    <x v="0"/>
    <x v="0"/>
    <x v="0"/>
    <x v="2"/>
    <x v="8"/>
    <n v="26"/>
    <n v="24.96"/>
    <n v="0"/>
    <n v="0"/>
    <n v="0"/>
    <n v="0"/>
    <n v="1"/>
    <x v="0"/>
    <n v="0"/>
    <n v="11"/>
    <n v="0"/>
    <n v="0"/>
    <n v="18.920000000000002"/>
    <n v="0"/>
    <n v="0"/>
    <n v="32.556945267352141"/>
    <m/>
    <m/>
    <n v="472.24320000000006"/>
    <n v="0"/>
    <n v="0"/>
    <n v="812.62135387310946"/>
    <n v="0"/>
    <n v="0"/>
  </r>
  <r>
    <s v="Sistema de Compensação"/>
    <x v="0"/>
    <x v="2"/>
    <x v="1"/>
    <x v="0"/>
    <x v="0"/>
    <x v="0"/>
    <x v="2"/>
    <x v="9"/>
    <n v="31"/>
    <n v="29.759999999999998"/>
    <n v="0"/>
    <n v="0"/>
    <n v="0"/>
    <n v="0"/>
    <n v="1"/>
    <x v="0"/>
    <n v="0"/>
    <n v="11"/>
    <n v="0"/>
    <n v="0"/>
    <n v="18.920000000000002"/>
    <n v="0"/>
    <n v="0"/>
    <n v="32.556945267352141"/>
    <m/>
    <m/>
    <n v="563.05920000000003"/>
    <n v="0"/>
    <n v="0"/>
    <n v="968.89469115639963"/>
    <n v="0"/>
    <n v="0"/>
  </r>
  <r>
    <s v="Sistema de Compensação"/>
    <x v="0"/>
    <x v="2"/>
    <x v="1"/>
    <x v="0"/>
    <x v="0"/>
    <x v="0"/>
    <x v="2"/>
    <x v="1"/>
    <n v="41"/>
    <n v="39.36"/>
    <n v="0"/>
    <n v="0"/>
    <n v="0"/>
    <n v="0"/>
    <n v="1"/>
    <x v="0"/>
    <n v="0"/>
    <n v="11"/>
    <n v="0"/>
    <n v="0"/>
    <n v="18.920000000000002"/>
    <n v="0"/>
    <n v="0"/>
    <n v="32.556945267352141"/>
    <m/>
    <m/>
    <n v="744.69120000000009"/>
    <n v="0"/>
    <n v="0"/>
    <n v="1281.4413657229802"/>
    <n v="0"/>
    <n v="0"/>
  </r>
  <r>
    <s v="Regular"/>
    <x v="1"/>
    <x v="0"/>
    <x v="0"/>
    <x v="0"/>
    <x v="0"/>
    <x v="0"/>
    <x v="0"/>
    <x v="4"/>
    <n v="73"/>
    <n v="73"/>
    <n v="40.456000000000003"/>
    <n v="40.456000000000003"/>
    <n v="40.456000000000003"/>
    <n v="40.456000000000003"/>
    <n v="0"/>
    <x v="0"/>
    <n v="0"/>
    <n v="5"/>
    <n v="8"/>
    <n v="66"/>
    <n v="18.920000000000002"/>
    <n v="84.99"/>
    <n v="242.77"/>
    <n v="32.556945267352141"/>
    <n v="146.90220900317223"/>
    <n v="227.53897547400734"/>
    <n v="1381.16"/>
    <n v="3438.3554400000003"/>
    <n v="9821.5031200000012"/>
    <n v="2376.6570045167064"/>
    <n v="5943.0757674323359"/>
    <n v="9205.3167917764422"/>
  </r>
  <r>
    <s v="Regular"/>
    <x v="1"/>
    <x v="0"/>
    <x v="0"/>
    <x v="0"/>
    <x v="0"/>
    <x v="0"/>
    <x v="0"/>
    <x v="5"/>
    <n v="73"/>
    <n v="73"/>
    <n v="41.588000000000001"/>
    <n v="41.588000000000001"/>
    <n v="41.588000000000001"/>
    <n v="41.588000000000001"/>
    <n v="0"/>
    <x v="0"/>
    <n v="0"/>
    <n v="5"/>
    <n v="8"/>
    <n v="66"/>
    <n v="18.920000000000002"/>
    <n v="84.99"/>
    <n v="242.77"/>
    <n v="32.556945267352141"/>
    <n v="146.90220900317223"/>
    <n v="227.53897547400734"/>
    <n v="1381.16"/>
    <n v="3534.56412"/>
    <n v="10096.31876"/>
    <n v="2376.6570045167064"/>
    <n v="6109.369068023927"/>
    <n v="9462.8909120130174"/>
  </r>
  <r>
    <s v="Regular"/>
    <x v="1"/>
    <x v="0"/>
    <x v="0"/>
    <x v="0"/>
    <x v="0"/>
    <x v="0"/>
    <x v="0"/>
    <x v="0"/>
    <n v="73"/>
    <n v="73"/>
    <n v="41.439"/>
    <n v="41.439"/>
    <n v="41.439"/>
    <n v="41.439"/>
    <n v="0"/>
    <x v="0"/>
    <n v="0"/>
    <n v="5"/>
    <n v="8"/>
    <n v="66"/>
    <n v="18.920000000000002"/>
    <n v="84.99"/>
    <n v="242.77"/>
    <n v="32.556945267352141"/>
    <n v="146.90220900317223"/>
    <n v="227.53897547400734"/>
    <n v="1381.16"/>
    <n v="3521.9006099999997"/>
    <n v="10060.14603"/>
    <n v="2376.6570045167064"/>
    <n v="6087.4806388824545"/>
    <n v="9428.9876046673908"/>
  </r>
  <r>
    <s v="Regular"/>
    <x v="1"/>
    <x v="0"/>
    <x v="0"/>
    <x v="0"/>
    <x v="0"/>
    <x v="0"/>
    <x v="0"/>
    <x v="6"/>
    <n v="71"/>
    <n v="71"/>
    <n v="37.423999999999999"/>
    <n v="37.423999999999999"/>
    <n v="37.423999999999999"/>
    <n v="37.423999999999999"/>
    <n v="0"/>
    <x v="0"/>
    <n v="0"/>
    <n v="5"/>
    <n v="8"/>
    <n v="66"/>
    <n v="18.920000000000002"/>
    <n v="84.99"/>
    <n v="242.77"/>
    <n v="32.556945267352141"/>
    <n v="146.90220900317223"/>
    <n v="227.53897547400734"/>
    <n v="1343.3200000000002"/>
    <n v="3180.6657599999999"/>
    <n v="9085.4244799999997"/>
    <n v="2311.5431139820021"/>
    <n v="5497.6682697347178"/>
    <n v="8515.4186181392506"/>
  </r>
  <r>
    <s v="Regular"/>
    <x v="1"/>
    <x v="0"/>
    <x v="0"/>
    <x v="0"/>
    <x v="0"/>
    <x v="0"/>
    <x v="0"/>
    <x v="7"/>
    <n v="73"/>
    <n v="73"/>
    <n v="42.923000000000002"/>
    <n v="42.923000000000002"/>
    <n v="42.923000000000002"/>
    <n v="42.923000000000002"/>
    <n v="0"/>
    <x v="0"/>
    <n v="0"/>
    <n v="5"/>
    <n v="8"/>
    <n v="66"/>
    <n v="18.920000000000002"/>
    <n v="84.99"/>
    <n v="242.77"/>
    <n v="32.556945267352141"/>
    <n v="146.90220900317223"/>
    <n v="227.53897547400734"/>
    <n v="1381.16"/>
    <n v="3648.0257699999997"/>
    <n v="10420.416710000001"/>
    <n v="2376.6570045167064"/>
    <n v="6305.4835170431616"/>
    <n v="9766.6554442708184"/>
  </r>
  <r>
    <s v="Regular"/>
    <x v="1"/>
    <x v="0"/>
    <x v="0"/>
    <x v="0"/>
    <x v="0"/>
    <x v="0"/>
    <x v="0"/>
    <x v="8"/>
    <n v="72"/>
    <n v="72"/>
    <n v="42.067"/>
    <n v="42.067"/>
    <n v="42.067"/>
    <n v="42.067"/>
    <n v="0"/>
    <x v="0"/>
    <n v="0"/>
    <n v="5"/>
    <n v="8"/>
    <n v="66"/>
    <n v="18.920000000000002"/>
    <n v="84.99"/>
    <n v="242.77"/>
    <n v="32.556945267352141"/>
    <n v="146.90220900317223"/>
    <n v="227.53897547400734"/>
    <n v="1362.2400000000002"/>
    <n v="3575.2743299999997"/>
    <n v="10212.605590000001"/>
    <n v="2344.1000592493542"/>
    <n v="6179.7352261364467"/>
    <n v="9571.8820812650665"/>
  </r>
  <r>
    <s v="Regular"/>
    <x v="1"/>
    <x v="0"/>
    <x v="0"/>
    <x v="0"/>
    <x v="0"/>
    <x v="0"/>
    <x v="0"/>
    <x v="9"/>
    <n v="71"/>
    <n v="71"/>
    <n v="37.844999999999999"/>
    <n v="37.844999999999999"/>
    <n v="37.844999999999999"/>
    <n v="37.844999999999999"/>
    <n v="0"/>
    <x v="0"/>
    <n v="0"/>
    <n v="5"/>
    <n v="8"/>
    <n v="66"/>
    <n v="18.920000000000002"/>
    <n v="84.99"/>
    <n v="242.77"/>
    <n v="32.556945267352141"/>
    <n v="146.90220900317223"/>
    <n v="227.53897547400734"/>
    <n v="1343.3200000000002"/>
    <n v="3216.4465499999997"/>
    <n v="9187.630650000001"/>
    <n v="2311.5431139820021"/>
    <n v="5559.5140997250528"/>
    <n v="8611.2125268138079"/>
  </r>
  <r>
    <s v="Regular"/>
    <x v="1"/>
    <x v="0"/>
    <x v="0"/>
    <x v="0"/>
    <x v="0"/>
    <x v="0"/>
    <x v="0"/>
    <x v="1"/>
    <n v="69"/>
    <n v="69"/>
    <n v="31.007000000000001"/>
    <n v="31.007000000000001"/>
    <n v="31.007000000000001"/>
    <n v="31.007000000000001"/>
    <n v="0"/>
    <x v="0"/>
    <n v="0"/>
    <n v="5"/>
    <n v="8"/>
    <n v="66"/>
    <n v="18.920000000000002"/>
    <n v="84.99"/>
    <n v="242.77"/>
    <n v="32.556945267352141"/>
    <n v="146.90220900317223"/>
    <n v="227.53897547400734"/>
    <n v="1305.48"/>
    <n v="2635.2849299999998"/>
    <n v="7527.5693900000006"/>
    <n v="2246.4292234472978"/>
    <n v="4554.9967945613616"/>
    <n v="7055.3010125225464"/>
  </r>
  <r>
    <s v="Regular"/>
    <x v="1"/>
    <x v="0"/>
    <x v="0"/>
    <x v="0"/>
    <x v="0"/>
    <x v="0"/>
    <x v="0"/>
    <x v="2"/>
    <n v="69"/>
    <n v="69"/>
    <n v="33.862000000000002"/>
    <n v="33.862000000000002"/>
    <n v="33.862000000000002"/>
    <n v="33.862000000000002"/>
    <n v="0"/>
    <x v="0"/>
    <n v="0"/>
    <n v="5"/>
    <n v="8"/>
    <n v="66"/>
    <n v="18.920000000000002"/>
    <n v="84.99"/>
    <n v="242.77"/>
    <n v="32.556945267352141"/>
    <n v="146.90220900317223"/>
    <n v="227.53897547400734"/>
    <n v="1305.48"/>
    <n v="2877.93138"/>
    <n v="8220.677740000001"/>
    <n v="2246.4292234472978"/>
    <n v="4974.4026012654185"/>
    <n v="7704.9247875008368"/>
  </r>
  <r>
    <s v="Regular"/>
    <x v="1"/>
    <x v="0"/>
    <x v="0"/>
    <x v="0"/>
    <x v="0"/>
    <x v="0"/>
    <x v="0"/>
    <x v="3"/>
    <n v="71"/>
    <n v="71"/>
    <n v="39.929000000000002"/>
    <n v="39.929000000000002"/>
    <n v="39.929000000000002"/>
    <n v="39.929000000000002"/>
    <n v="0"/>
    <x v="0"/>
    <n v="0"/>
    <n v="5"/>
    <n v="8"/>
    <n v="66"/>
    <n v="18.920000000000002"/>
    <n v="84.99"/>
    <n v="242.77"/>
    <n v="32.556945267352141"/>
    <n v="146.90220900317223"/>
    <n v="227.53897547400734"/>
    <n v="1343.3200000000002"/>
    <n v="3393.5657099999999"/>
    <n v="9693.5633300000009"/>
    <n v="2311.5431139820021"/>
    <n v="5865.6583032876642"/>
    <n v="9085.4037517016404"/>
  </r>
  <r>
    <s v="Regular"/>
    <x v="1"/>
    <x v="0"/>
    <x v="0"/>
    <x v="0"/>
    <x v="0"/>
    <x v="0"/>
    <x v="0"/>
    <x v="10"/>
    <n v="71"/>
    <n v="71"/>
    <n v="37.898000000000003"/>
    <n v="37.898000000000003"/>
    <n v="37.898000000000003"/>
    <n v="37.898000000000003"/>
    <n v="0"/>
    <x v="0"/>
    <n v="0"/>
    <n v="5"/>
    <n v="8"/>
    <n v="66"/>
    <n v="18.920000000000002"/>
    <n v="84.99"/>
    <n v="242.77"/>
    <n v="32.556945267352141"/>
    <n v="146.90220900317223"/>
    <n v="227.53897547400734"/>
    <n v="1343.3200000000002"/>
    <n v="3220.95102"/>
    <n v="9200.4974600000005"/>
    <n v="2311.5431139820021"/>
    <n v="5567.2999168022216"/>
    <n v="8623.2720925139311"/>
  </r>
  <r>
    <s v="PROJETADO"/>
    <x v="1"/>
    <x v="0"/>
    <x v="0"/>
    <x v="0"/>
    <x v="0"/>
    <x v="0"/>
    <x v="0"/>
    <x v="11"/>
    <n v="71"/>
    <n v="71"/>
    <n v="37.898000000000003"/>
    <n v="37.898000000000003"/>
    <n v="37.898000000000003"/>
    <n v="37.898000000000003"/>
    <n v="0"/>
    <x v="0"/>
    <n v="0"/>
    <n v="5"/>
    <n v="8"/>
    <n v="66"/>
    <n v="18.920000000000002"/>
    <n v="84.99"/>
    <n v="242.77"/>
    <n v="32.556945267352141"/>
    <n v="146.90220900317223"/>
    <n v="227.53897547400734"/>
    <n v="1343.3200000000002"/>
    <n v="3220.95102"/>
    <n v="9200.4974600000005"/>
    <n v="2311.5431139820021"/>
    <n v="5567.2999168022216"/>
    <n v="8623.2720925139311"/>
  </r>
  <r>
    <s v="Regular"/>
    <x v="1"/>
    <x v="0"/>
    <x v="0"/>
    <x v="0"/>
    <x v="0"/>
    <x v="0"/>
    <x v="1"/>
    <x v="4"/>
    <n v="69"/>
    <n v="69"/>
    <n v="3.7280000000000002"/>
    <n v="3.7280000000000002"/>
    <n v="3.7280000000000002"/>
    <n v="3.7280000000000002"/>
    <n v="0"/>
    <x v="0"/>
    <n v="0"/>
    <n v="4"/>
    <n v="8"/>
    <n v="65"/>
    <n v="45.73"/>
    <n v="84.99"/>
    <n v="391.54"/>
    <n v="78.286295907151739"/>
    <n v="146.90220900317223"/>
    <n v="364.92243737572466"/>
    <n v="3155.37"/>
    <n v="316.84271999999999"/>
    <n v="1459.6611200000002"/>
    <n v="5401.75441759347"/>
    <n v="547.65143516382614"/>
    <n v="1360.4308465367017"/>
  </r>
  <r>
    <s v="Regular"/>
    <x v="1"/>
    <x v="0"/>
    <x v="0"/>
    <x v="0"/>
    <x v="0"/>
    <x v="0"/>
    <x v="1"/>
    <x v="5"/>
    <n v="69"/>
    <n v="69"/>
    <n v="4.2489999999999997"/>
    <n v="4.2489999999999997"/>
    <n v="4.2489999999999997"/>
    <n v="4.2489999999999997"/>
    <n v="0"/>
    <x v="0"/>
    <n v="0"/>
    <n v="4"/>
    <n v="8"/>
    <n v="65"/>
    <n v="45.73"/>
    <n v="84.99"/>
    <n v="391.54"/>
    <n v="78.286295907151739"/>
    <n v="146.90220900317223"/>
    <n v="364.92243737572466"/>
    <n v="3155.37"/>
    <n v="361.12250999999998"/>
    <n v="1663.65346"/>
    <n v="5401.75441759347"/>
    <n v="624.18748605447877"/>
    <n v="1550.5554364094539"/>
  </r>
  <r>
    <s v="Regular"/>
    <x v="1"/>
    <x v="0"/>
    <x v="0"/>
    <x v="0"/>
    <x v="0"/>
    <x v="0"/>
    <x v="1"/>
    <x v="0"/>
    <n v="71"/>
    <n v="71"/>
    <n v="3.9460000000000002"/>
    <n v="3.9460000000000002"/>
    <n v="3.9460000000000002"/>
    <n v="3.9460000000000002"/>
    <n v="0"/>
    <x v="0"/>
    <n v="0"/>
    <n v="4"/>
    <n v="8"/>
    <n v="65"/>
    <n v="45.73"/>
    <n v="84.99"/>
    <n v="391.54"/>
    <n v="78.286295907151739"/>
    <n v="146.90220900317223"/>
    <n v="364.92243737572466"/>
    <n v="3246.83"/>
    <n v="335.37054000000001"/>
    <n v="1545.0168400000002"/>
    <n v="5558.3270094077734"/>
    <n v="579.67611672651765"/>
    <n v="1439.9839378846095"/>
  </r>
  <r>
    <s v="Regular"/>
    <x v="1"/>
    <x v="0"/>
    <x v="0"/>
    <x v="0"/>
    <x v="0"/>
    <x v="0"/>
    <x v="1"/>
    <x v="6"/>
    <n v="69"/>
    <n v="69"/>
    <n v="3.734"/>
    <n v="3.734"/>
    <n v="3.734"/>
    <n v="3.734"/>
    <n v="0"/>
    <x v="0"/>
    <n v="0"/>
    <n v="4"/>
    <n v="8"/>
    <n v="65"/>
    <n v="45.73"/>
    <n v="84.99"/>
    <n v="391.54"/>
    <n v="78.286295907151739"/>
    <n v="146.90220900317223"/>
    <n v="364.92243737572466"/>
    <n v="3155.37"/>
    <n v="317.35265999999996"/>
    <n v="1462.01036"/>
    <n v="5401.75441759347"/>
    <n v="548.53284841784512"/>
    <n v="1362.620381160956"/>
  </r>
  <r>
    <s v="Regular"/>
    <x v="1"/>
    <x v="0"/>
    <x v="0"/>
    <x v="0"/>
    <x v="0"/>
    <x v="0"/>
    <x v="1"/>
    <x v="7"/>
    <n v="69"/>
    <n v="69"/>
    <n v="4.2190000000000003"/>
    <n v="4.2190000000000003"/>
    <n v="4.2190000000000003"/>
    <n v="4.2190000000000003"/>
    <n v="0"/>
    <x v="0"/>
    <n v="0"/>
    <n v="4"/>
    <n v="8"/>
    <n v="65"/>
    <n v="45.73"/>
    <n v="84.99"/>
    <n v="391.54"/>
    <n v="78.286295907151739"/>
    <n v="146.90220900317223"/>
    <n v="364.92243737572466"/>
    <n v="3155.37"/>
    <n v="358.57281"/>
    <n v="1651.9072600000002"/>
    <n v="5401.75441759347"/>
    <n v="619.78041978438364"/>
    <n v="1539.6077632881825"/>
  </r>
  <r>
    <s v="Regular"/>
    <x v="1"/>
    <x v="0"/>
    <x v="0"/>
    <x v="0"/>
    <x v="0"/>
    <x v="0"/>
    <x v="1"/>
    <x v="8"/>
    <n v="69"/>
    <n v="69"/>
    <n v="3.7389999999999999"/>
    <n v="3.7389999999999999"/>
    <n v="3.7389999999999999"/>
    <n v="3.7389999999999999"/>
    <n v="0"/>
    <x v="0"/>
    <n v="0"/>
    <n v="4"/>
    <n v="8"/>
    <n v="65"/>
    <n v="45.73"/>
    <n v="84.99"/>
    <n v="391.54"/>
    <n v="78.286295907151739"/>
    <n v="146.90220900317223"/>
    <n v="364.92243737572466"/>
    <n v="3155.37"/>
    <n v="317.77760999999998"/>
    <n v="1463.9680599999999"/>
    <n v="5401.75441759347"/>
    <n v="549.26735946286101"/>
    <n v="1364.4449933478345"/>
  </r>
  <r>
    <s v="Regular"/>
    <x v="1"/>
    <x v="0"/>
    <x v="0"/>
    <x v="0"/>
    <x v="0"/>
    <x v="0"/>
    <x v="1"/>
    <x v="9"/>
    <n v="69"/>
    <n v="69"/>
    <n v="3.806"/>
    <n v="3.806"/>
    <n v="3.806"/>
    <n v="3.806"/>
    <n v="0"/>
    <x v="0"/>
    <n v="0"/>
    <n v="4"/>
    <n v="8"/>
    <n v="65"/>
    <n v="45.73"/>
    <n v="84.99"/>
    <n v="391.54"/>
    <n v="78.286295907151739"/>
    <n v="146.90220900317223"/>
    <n v="364.92243737572466"/>
    <n v="3155.37"/>
    <n v="323.47193999999996"/>
    <n v="1490.2012400000001"/>
    <n v="5401.75441759347"/>
    <n v="559.10980746607356"/>
    <n v="1388.8947966520082"/>
  </r>
  <r>
    <s v="Regular"/>
    <x v="1"/>
    <x v="0"/>
    <x v="0"/>
    <x v="0"/>
    <x v="0"/>
    <x v="0"/>
    <x v="1"/>
    <x v="1"/>
    <n v="69"/>
    <n v="69"/>
    <n v="3.0289999999999999"/>
    <n v="3.0289999999999999"/>
    <n v="3.0289999999999999"/>
    <n v="3.0289999999999999"/>
    <n v="0"/>
    <x v="0"/>
    <n v="0"/>
    <n v="4"/>
    <n v="8"/>
    <n v="65"/>
    <n v="45.73"/>
    <n v="84.99"/>
    <n v="391.54"/>
    <n v="78.286295907151739"/>
    <n v="146.90220900317223"/>
    <n v="364.92243737572466"/>
    <n v="3155.37"/>
    <n v="257.43471"/>
    <n v="1185.9746600000001"/>
    <n v="5401.75441759347"/>
    <n v="444.96679107060868"/>
    <n v="1105.3500628110698"/>
  </r>
  <r>
    <s v="Regular"/>
    <x v="1"/>
    <x v="0"/>
    <x v="0"/>
    <x v="0"/>
    <x v="0"/>
    <x v="0"/>
    <x v="1"/>
    <x v="2"/>
    <n v="69"/>
    <n v="69"/>
    <n v="3.2509999999999999"/>
    <n v="3.2509999999999999"/>
    <n v="3.2509999999999999"/>
    <n v="3.2509999999999999"/>
    <n v="0"/>
    <x v="0"/>
    <n v="0"/>
    <n v="4"/>
    <n v="8"/>
    <n v="65"/>
    <n v="45.73"/>
    <n v="84.99"/>
    <n v="391.54"/>
    <n v="78.286295907151739"/>
    <n v="146.90220900317223"/>
    <n v="364.92243737572466"/>
    <n v="3155.37"/>
    <n v="276.30248999999998"/>
    <n v="1272.89654"/>
    <n v="5401.75441759347"/>
    <n v="477.57908146931288"/>
    <n v="1186.3628439084807"/>
  </r>
  <r>
    <s v="Regular"/>
    <x v="1"/>
    <x v="0"/>
    <x v="0"/>
    <x v="0"/>
    <x v="0"/>
    <x v="0"/>
    <x v="1"/>
    <x v="3"/>
    <n v="69"/>
    <n v="69"/>
    <n v="4.1680000000000001"/>
    <n v="4.1680000000000001"/>
    <n v="4.1680000000000001"/>
    <n v="4.1680000000000001"/>
    <n v="0"/>
    <x v="0"/>
    <n v="0"/>
    <n v="4"/>
    <n v="8"/>
    <n v="65"/>
    <n v="45.73"/>
    <n v="84.99"/>
    <n v="391.54"/>
    <n v="78.286295907151739"/>
    <n v="146.90220900317223"/>
    <n v="364.92243737572466"/>
    <n v="3155.37"/>
    <n v="354.23831999999999"/>
    <n v="1631.9387200000001"/>
    <n v="5401.75441759347"/>
    <n v="612.28840712522185"/>
    <n v="1520.9967189820204"/>
  </r>
  <r>
    <s v="Regular"/>
    <x v="1"/>
    <x v="0"/>
    <x v="0"/>
    <x v="0"/>
    <x v="0"/>
    <x v="0"/>
    <x v="1"/>
    <x v="10"/>
    <n v="69"/>
    <n v="69"/>
    <n v="3.67"/>
    <n v="3.67"/>
    <n v="3.67"/>
    <n v="3.67"/>
    <n v="0"/>
    <x v="0"/>
    <n v="0"/>
    <n v="4"/>
    <n v="8"/>
    <n v="65"/>
    <n v="45.73"/>
    <n v="84.99"/>
    <n v="391.54"/>
    <n v="78.286295907151739"/>
    <n v="146.90220900317223"/>
    <n v="364.92243737572466"/>
    <n v="3155.37"/>
    <n v="311.91329999999999"/>
    <n v="1436.9518"/>
    <n v="5401.75441759347"/>
    <n v="539.13110704164205"/>
    <n v="1339.2653451689096"/>
  </r>
  <r>
    <s v="PROJETADO"/>
    <x v="1"/>
    <x v="0"/>
    <x v="0"/>
    <x v="0"/>
    <x v="0"/>
    <x v="0"/>
    <x v="1"/>
    <x v="11"/>
    <n v="69"/>
    <n v="69"/>
    <n v="3.67"/>
    <n v="3.67"/>
    <n v="3.67"/>
    <n v="3.67"/>
    <n v="0"/>
    <x v="0"/>
    <n v="0"/>
    <n v="4"/>
    <n v="8"/>
    <n v="65"/>
    <n v="45.73"/>
    <n v="84.99"/>
    <n v="391.54"/>
    <n v="78.286295907151739"/>
    <n v="146.90220900317223"/>
    <n v="364.92243737572466"/>
    <n v="3155.37"/>
    <n v="311.91329999999999"/>
    <n v="1436.9518"/>
    <n v="5401.75441759347"/>
    <n v="539.13110704164205"/>
    <n v="1339.2653451689096"/>
  </r>
  <r>
    <s v="Regular"/>
    <x v="1"/>
    <x v="0"/>
    <x v="3"/>
    <x v="3"/>
    <x v="0"/>
    <x v="0"/>
    <x v="0"/>
    <x v="4"/>
    <n v="505"/>
    <n v="429.25"/>
    <n v="222.565"/>
    <n v="209.21109999999999"/>
    <n v="222.565"/>
    <n v="209.21109999999999"/>
    <n v="0"/>
    <x v="0"/>
    <n v="0"/>
    <n v="5"/>
    <n v="8"/>
    <n v="66"/>
    <n v="18.920000000000002"/>
    <n v="84.99"/>
    <n v="242.77"/>
    <n v="32.556945267352141"/>
    <n v="146.90220900317223"/>
    <n v="227.53897547400734"/>
    <n v="8121.4100000000008"/>
    <n v="17780.851388999999"/>
    <n v="50790.178746999998"/>
    <n v="13975.068756010907"/>
    <n v="30733.572737983563"/>
    <n v="47603.679351790095"/>
  </r>
  <r>
    <s v="Regular"/>
    <x v="1"/>
    <x v="0"/>
    <x v="3"/>
    <x v="3"/>
    <x v="0"/>
    <x v="0"/>
    <x v="0"/>
    <x v="5"/>
    <n v="504"/>
    <n v="428.4"/>
    <n v="220.71299999999999"/>
    <n v="207.47022000000001"/>
    <n v="220.71299999999999"/>
    <n v="207.47022000000001"/>
    <n v="0"/>
    <x v="0"/>
    <n v="0"/>
    <n v="5"/>
    <n v="8"/>
    <n v="66"/>
    <n v="18.920000000000002"/>
    <n v="84.99"/>
    <n v="242.77"/>
    <n v="32.556945267352141"/>
    <n v="146.90220900317223"/>
    <n v="227.53897547400734"/>
    <n v="8105.3280000000004"/>
    <n v="17632.893997800002"/>
    <n v="50367.545309400004"/>
    <n v="13947.395352533656"/>
    <n v="30477.833620374124"/>
    <n v="47207.561300166912"/>
  </r>
  <r>
    <s v="Regular"/>
    <x v="1"/>
    <x v="0"/>
    <x v="3"/>
    <x v="3"/>
    <x v="0"/>
    <x v="0"/>
    <x v="0"/>
    <x v="0"/>
    <n v="505"/>
    <n v="429.25"/>
    <n v="224.678"/>
    <n v="211.19731999999999"/>
    <n v="224.678"/>
    <n v="211.19731999999999"/>
    <n v="0"/>
    <x v="0"/>
    <n v="0"/>
    <n v="5"/>
    <n v="8"/>
    <n v="66"/>
    <n v="18.920000000000002"/>
    <n v="84.99"/>
    <n v="242.77"/>
    <n v="32.556945267352141"/>
    <n v="146.90220900317223"/>
    <n v="227.53897547400734"/>
    <n v="8121.4100000000008"/>
    <n v="17949.660226799999"/>
    <n v="51272.373376399999"/>
    <n v="13975.068756010907"/>
    <n v="31025.352843549845"/>
    <n v="48055.621815656079"/>
  </r>
  <r>
    <s v="Regular"/>
    <x v="1"/>
    <x v="0"/>
    <x v="3"/>
    <x v="3"/>
    <x v="0"/>
    <x v="0"/>
    <x v="0"/>
    <x v="6"/>
    <n v="501"/>
    <n v="425.84999999999997"/>
    <n v="190.18799999999999"/>
    <n v="178.77672000000001"/>
    <n v="190.18799999999999"/>
    <n v="178.77672000000001"/>
    <n v="0"/>
    <x v="0"/>
    <n v="0"/>
    <n v="5"/>
    <n v="8"/>
    <n v="66"/>
    <n v="18.920000000000002"/>
    <n v="84.99"/>
    <n v="242.77"/>
    <n v="32.556945267352141"/>
    <n v="146.90220900317223"/>
    <n v="227.53897547400734"/>
    <n v="8057.0820000000003"/>
    <n v="15194.2334328"/>
    <n v="43401.624314400004"/>
    <n v="13864.375142101908"/>
    <n v="26262.695086341602"/>
    <n v="40678.671707403482"/>
  </r>
  <r>
    <s v="Regular"/>
    <x v="1"/>
    <x v="0"/>
    <x v="3"/>
    <x v="3"/>
    <x v="0"/>
    <x v="0"/>
    <x v="0"/>
    <x v="7"/>
    <n v="501"/>
    <n v="425.84999999999997"/>
    <n v="215.52799999999999"/>
    <n v="202.59631999999999"/>
    <n v="215.52799999999999"/>
    <n v="202.59631999999999"/>
    <n v="0"/>
    <x v="0"/>
    <n v="0"/>
    <n v="5"/>
    <n v="8"/>
    <n v="66"/>
    <n v="18.920000000000002"/>
    <n v="84.99"/>
    <n v="242.77"/>
    <n v="32.556945267352141"/>
    <n v="146.90220900317223"/>
    <n v="227.53897547400734"/>
    <n v="8057.0820000000003"/>
    <n v="17218.661236799999"/>
    <n v="49184.308606400002"/>
    <n v="13864.375142101908"/>
    <n v="29761.846943913562"/>
    <n v="46098.559087604139"/>
  </r>
  <r>
    <s v="Regular"/>
    <x v="1"/>
    <x v="0"/>
    <x v="3"/>
    <x v="3"/>
    <x v="0"/>
    <x v="0"/>
    <x v="0"/>
    <x v="8"/>
    <n v="502"/>
    <n v="426.7"/>
    <n v="224.44300000000001"/>
    <n v="210.97641999999999"/>
    <n v="224.44300000000001"/>
    <n v="210.97641999999999"/>
    <n v="0"/>
    <x v="0"/>
    <n v="0"/>
    <n v="5"/>
    <n v="8"/>
    <n v="66"/>
    <n v="18.920000000000002"/>
    <n v="84.99"/>
    <n v="242.77"/>
    <n v="32.556945267352141"/>
    <n v="146.90220900317223"/>
    <n v="227.53897547400734"/>
    <n v="8073.1640000000007"/>
    <n v="17930.885935799997"/>
    <n v="51218.745483400002"/>
    <n v="13892.048545579159"/>
    <n v="30992.902145581043"/>
    <n v="48005.358455973874"/>
  </r>
  <r>
    <s v="Regular"/>
    <x v="1"/>
    <x v="0"/>
    <x v="3"/>
    <x v="3"/>
    <x v="0"/>
    <x v="0"/>
    <x v="0"/>
    <x v="9"/>
    <n v="501"/>
    <n v="425.84999999999997"/>
    <n v="230.06399999999999"/>
    <n v="216.26016000000001"/>
    <n v="230.06399999999999"/>
    <n v="216.26016000000001"/>
    <n v="0"/>
    <x v="0"/>
    <n v="0"/>
    <n v="5"/>
    <n v="8"/>
    <n v="66"/>
    <n v="18.920000000000002"/>
    <n v="84.99"/>
    <n v="242.77"/>
    <n v="32.556945267352141"/>
    <n v="146.90220900317223"/>
    <n v="227.53897547400734"/>
    <n v="8057.0820000000003"/>
    <n v="18379.9509984"/>
    <n v="52501.479043200008"/>
    <n v="13864.375142101908"/>
    <n v="31769.095223379471"/>
    <n v="49207.615242244909"/>
  </r>
  <r>
    <s v="Regular"/>
    <x v="1"/>
    <x v="0"/>
    <x v="3"/>
    <x v="3"/>
    <x v="0"/>
    <x v="0"/>
    <x v="0"/>
    <x v="1"/>
    <n v="501"/>
    <n v="425.84999999999997"/>
    <n v="217.18299999999999"/>
    <n v="204.15201999999999"/>
    <n v="217.18299999999999"/>
    <n v="204.15201999999999"/>
    <n v="0"/>
    <x v="0"/>
    <n v="0"/>
    <n v="5"/>
    <n v="8"/>
    <n v="66"/>
    <n v="18.920000000000002"/>
    <n v="84.99"/>
    <n v="242.77"/>
    <n v="32.556945267352141"/>
    <n v="146.90220900317223"/>
    <n v="227.53897547400734"/>
    <n v="8057.0820000000003"/>
    <n v="17350.880179799999"/>
    <n v="49561.985895400001"/>
    <n v="13864.375142101908"/>
    <n v="29990.382710459795"/>
    <n v="46452.541471749057"/>
  </r>
  <r>
    <s v="Regular"/>
    <x v="1"/>
    <x v="0"/>
    <x v="3"/>
    <x v="3"/>
    <x v="0"/>
    <x v="0"/>
    <x v="0"/>
    <x v="2"/>
    <n v="500"/>
    <n v="425"/>
    <n v="227.62"/>
    <n v="213.96279999999999"/>
    <n v="227.62"/>
    <n v="213.96279999999999"/>
    <n v="0"/>
    <x v="0"/>
    <n v="0"/>
    <n v="5"/>
    <n v="8"/>
    <n v="66"/>
    <n v="18.920000000000002"/>
    <n v="84.99"/>
    <n v="242.77"/>
    <n v="32.556945267352141"/>
    <n v="146.90220900317223"/>
    <n v="227.53897547400734"/>
    <n v="8041.0000000000009"/>
    <n v="18184.698371999999"/>
    <n v="51943.748955999996"/>
    <n v="13836.701738624661"/>
    <n v="31431.607964503939"/>
    <n v="48684.876301549935"/>
  </r>
  <r>
    <s v="Regular"/>
    <x v="1"/>
    <x v="0"/>
    <x v="3"/>
    <x v="3"/>
    <x v="0"/>
    <x v="0"/>
    <x v="0"/>
    <x v="3"/>
    <n v="500"/>
    <n v="425"/>
    <n v="242.39400000000001"/>
    <n v="227.85035999999999"/>
    <n v="242.39400000000001"/>
    <n v="227.85035999999999"/>
    <n v="0"/>
    <x v="0"/>
    <n v="0"/>
    <n v="5"/>
    <n v="8"/>
    <n v="66"/>
    <n v="18.920000000000002"/>
    <n v="84.99"/>
    <n v="242.77"/>
    <n v="32.556945267352141"/>
    <n v="146.90220900317223"/>
    <n v="227.53897547400734"/>
    <n v="8041.0000000000009"/>
    <n v="19365.0020964"/>
    <n v="55315.231897199999"/>
    <n v="13836.701738624661"/>
    <n v="33471.721206168033"/>
    <n v="51844.837475783745"/>
  </r>
  <r>
    <s v="Regular"/>
    <x v="1"/>
    <x v="0"/>
    <x v="3"/>
    <x v="3"/>
    <x v="0"/>
    <x v="0"/>
    <x v="0"/>
    <x v="10"/>
    <n v="500"/>
    <n v="425"/>
    <n v="249.33799999999999"/>
    <n v="234.37772000000001"/>
    <n v="249.33799999999999"/>
    <n v="234.37772000000001"/>
    <n v="0"/>
    <x v="0"/>
    <n v="0"/>
    <n v="5"/>
    <n v="8"/>
    <n v="66"/>
    <n v="18.920000000000002"/>
    <n v="84.99"/>
    <n v="242.77"/>
    <n v="32.556945267352141"/>
    <n v="146.90220900317223"/>
    <n v="227.53897547400734"/>
    <n v="8041.0000000000009"/>
    <n v="19919.762422799999"/>
    <n v="56899.879084400003"/>
    <n v="13836.701738624661"/>
    <n v="34430.604809126984"/>
    <n v="53330.066282733766"/>
  </r>
  <r>
    <s v="PROJETADO"/>
    <x v="1"/>
    <x v="0"/>
    <x v="3"/>
    <x v="3"/>
    <x v="0"/>
    <x v="0"/>
    <x v="0"/>
    <x v="11"/>
    <n v="500"/>
    <n v="425"/>
    <n v="249.33799999999999"/>
    <n v="234.37772000000001"/>
    <n v="249.33799999999999"/>
    <n v="234.37772000000001"/>
    <n v="0"/>
    <x v="0"/>
    <n v="0"/>
    <n v="5"/>
    <n v="8"/>
    <n v="66"/>
    <n v="18.920000000000002"/>
    <n v="84.99"/>
    <n v="242.77"/>
    <n v="32.556945267352141"/>
    <n v="146.90220900317223"/>
    <n v="227.53897547400734"/>
    <n v="8041.0000000000009"/>
    <n v="19919.762422799999"/>
    <n v="56899.879084400003"/>
    <n v="13836.701738624661"/>
    <n v="34430.604809126984"/>
    <n v="53330.066282733766"/>
  </r>
  <r>
    <s v="Regular"/>
    <x v="1"/>
    <x v="0"/>
    <x v="3"/>
    <x v="3"/>
    <x v="0"/>
    <x v="0"/>
    <x v="1"/>
    <x v="4"/>
    <n v="504"/>
    <n v="428.4"/>
    <n v="26.707000000000001"/>
    <n v="25.104579999999999"/>
    <n v="26.707000000000001"/>
    <n v="25.104579999999999"/>
    <n v="0"/>
    <x v="0"/>
    <n v="0"/>
    <n v="4"/>
    <n v="8"/>
    <n v="65"/>
    <n v="45.73"/>
    <n v="84.99"/>
    <n v="391.54"/>
    <n v="78.286295907151739"/>
    <n v="146.90220900317223"/>
    <n v="364.92243737572466"/>
    <n v="19590.731999999996"/>
    <n v="2133.6382541999997"/>
    <n v="9829.4472532"/>
    <n v="33537.849166623804"/>
    <n v="3687.9182580968572"/>
    <n v="9161.22452289387"/>
  </r>
  <r>
    <s v="Regular"/>
    <x v="1"/>
    <x v="0"/>
    <x v="3"/>
    <x v="3"/>
    <x v="0"/>
    <x v="0"/>
    <x v="1"/>
    <x v="5"/>
    <n v="503"/>
    <n v="427.55"/>
    <n v="30.75"/>
    <n v="28.905000000000001"/>
    <n v="30.75"/>
    <n v="28.905000000000001"/>
    <n v="0"/>
    <x v="0"/>
    <n v="0"/>
    <n v="4"/>
    <n v="8"/>
    <n v="65"/>
    <n v="45.73"/>
    <n v="84.99"/>
    <n v="391.54"/>
    <n v="78.286295907151739"/>
    <n v="146.90220900317223"/>
    <n v="364.92243737572466"/>
    <n v="19551.861499999999"/>
    <n v="2456.6359499999999"/>
    <n v="11317.4637"/>
    <n v="33471.305815102729"/>
    <n v="4246.2083512366935"/>
    <n v="10548.083052345322"/>
  </r>
  <r>
    <s v="Regular"/>
    <x v="1"/>
    <x v="0"/>
    <x v="3"/>
    <x v="3"/>
    <x v="0"/>
    <x v="0"/>
    <x v="1"/>
    <x v="0"/>
    <n v="503"/>
    <n v="427.55"/>
    <n v="27.852"/>
    <n v="26.180879999999998"/>
    <n v="27.852"/>
    <n v="26.180879999999998"/>
    <n v="0"/>
    <x v="0"/>
    <n v="0"/>
    <n v="4"/>
    <n v="8"/>
    <n v="65"/>
    <n v="45.73"/>
    <n v="84.99"/>
    <n v="391.54"/>
    <n v="78.286295907151739"/>
    <n v="146.90220900317223"/>
    <n v="364.92243737572466"/>
    <n v="19551.861499999999"/>
    <n v="2225.1129911999997"/>
    <n v="10250.8617552"/>
    <n v="33471.305815102729"/>
    <n v="3846.0291056469714"/>
    <n v="9553.9905422413613"/>
  </r>
  <r>
    <s v="Regular"/>
    <x v="1"/>
    <x v="0"/>
    <x v="3"/>
    <x v="3"/>
    <x v="0"/>
    <x v="0"/>
    <x v="1"/>
    <x v="6"/>
    <n v="496"/>
    <n v="421.59999999999997"/>
    <n v="25.864999999999998"/>
    <n v="24.313099999999999"/>
    <n v="25.864999999999998"/>
    <n v="24.313099999999999"/>
    <n v="0"/>
    <x v="0"/>
    <n v="0"/>
    <n v="4"/>
    <n v="8"/>
    <n v="65"/>
    <n v="45.73"/>
    <n v="84.99"/>
    <n v="391.54"/>
    <n v="78.286295907151739"/>
    <n v="146.90220900317223"/>
    <n v="364.92243737572466"/>
    <n v="19279.767999999996"/>
    <n v="2066.3703689999998"/>
    <n v="9519.5511740000002"/>
    <n v="33005.502354455173"/>
    <n v="3571.6480977150268"/>
    <n v="8872.3957121597305"/>
  </r>
  <r>
    <s v="Regular"/>
    <x v="1"/>
    <x v="0"/>
    <x v="3"/>
    <x v="3"/>
    <x v="0"/>
    <x v="0"/>
    <x v="1"/>
    <x v="7"/>
    <n v="496"/>
    <n v="421.59999999999997"/>
    <n v="28.08"/>
    <n v="26.395199999999999"/>
    <n v="28.08"/>
    <n v="26.395199999999999"/>
    <n v="0"/>
    <x v="0"/>
    <n v="0"/>
    <n v="4"/>
    <n v="8"/>
    <n v="65"/>
    <n v="45.73"/>
    <n v="84.99"/>
    <n v="391.54"/>
    <n v="78.286295907151739"/>
    <n v="146.90220900317223"/>
    <n v="364.92243737572466"/>
    <n v="19279.767999999996"/>
    <n v="2243.3280479999999"/>
    <n v="10334.776608"/>
    <n v="33005.502354455173"/>
    <n v="3877.5131870805317"/>
    <n v="9632.2007190197273"/>
  </r>
  <r>
    <s v="Regular"/>
    <x v="1"/>
    <x v="0"/>
    <x v="3"/>
    <x v="3"/>
    <x v="0"/>
    <x v="0"/>
    <x v="1"/>
    <x v="8"/>
    <n v="496"/>
    <n v="421.59999999999997"/>
    <n v="24.72"/>
    <n v="23.236799999999999"/>
    <n v="24.72"/>
    <n v="23.236799999999999"/>
    <n v="0"/>
    <x v="0"/>
    <n v="0"/>
    <n v="4"/>
    <n v="8"/>
    <n v="65"/>
    <n v="45.73"/>
    <n v="84.99"/>
    <n v="391.54"/>
    <n v="78.286295907151739"/>
    <n v="146.90220900317223"/>
    <n v="364.92243737572466"/>
    <n v="19279.767999999996"/>
    <n v="1974.8956319999998"/>
    <n v="9098.1366720000005"/>
    <n v="33005.502354455173"/>
    <n v="3413.5372501649122"/>
    <n v="8479.6296928122374"/>
  </r>
  <r>
    <s v="Regular"/>
    <x v="1"/>
    <x v="0"/>
    <x v="3"/>
    <x v="3"/>
    <x v="0"/>
    <x v="0"/>
    <x v="1"/>
    <x v="9"/>
    <n v="495"/>
    <n v="420.75"/>
    <n v="28.018000000000001"/>
    <n v="26.336919999999999"/>
    <n v="28.018000000000001"/>
    <n v="26.336919999999999"/>
    <n v="0"/>
    <x v="0"/>
    <n v="0"/>
    <n v="4"/>
    <n v="8"/>
    <n v="65"/>
    <n v="45.73"/>
    <n v="84.99"/>
    <n v="391.54"/>
    <n v="78.286295907151739"/>
    <n v="146.90220900317223"/>
    <n v="364.92243737572466"/>
    <n v="19240.897499999999"/>
    <n v="2238.3748307999999"/>
    <n v="10311.957656800001"/>
    <n v="32938.959002934098"/>
    <n v="3868.9517263398266"/>
    <n v="9610.933039369469"/>
  </r>
  <r>
    <s v="Regular"/>
    <x v="1"/>
    <x v="0"/>
    <x v="3"/>
    <x v="3"/>
    <x v="0"/>
    <x v="0"/>
    <x v="1"/>
    <x v="1"/>
    <n v="495"/>
    <n v="420.75"/>
    <n v="26.640999999999998"/>
    <n v="25.042539999999999"/>
    <n v="26.640999999999998"/>
    <n v="25.042539999999999"/>
    <n v="0"/>
    <x v="0"/>
    <n v="0"/>
    <n v="4"/>
    <n v="8"/>
    <n v="65"/>
    <n v="45.73"/>
    <n v="84.99"/>
    <n v="391.54"/>
    <n v="78.286295907151739"/>
    <n v="146.90220900317223"/>
    <n v="364.92243737572466"/>
    <n v="19240.897499999999"/>
    <n v="2128.3654745999997"/>
    <n v="9805.1561115999993"/>
    <n v="32938.959002934098"/>
    <n v="3678.8044450503007"/>
    <n v="9138.5847348790794"/>
  </r>
  <r>
    <s v="Regular"/>
    <x v="1"/>
    <x v="0"/>
    <x v="3"/>
    <x v="3"/>
    <x v="0"/>
    <x v="0"/>
    <x v="1"/>
    <x v="2"/>
    <n v="495"/>
    <n v="420.75"/>
    <n v="26.555"/>
    <n v="24.9617"/>
    <n v="26.555"/>
    <n v="24.9617"/>
    <n v="0"/>
    <x v="0"/>
    <n v="0"/>
    <n v="4"/>
    <n v="8"/>
    <n v="65"/>
    <n v="45.73"/>
    <n v="84.99"/>
    <n v="391.54"/>
    <n v="78.286295907151739"/>
    <n v="146.90220900317223"/>
    <n v="364.92243737572466"/>
    <n v="19240.897499999999"/>
    <n v="2121.4948829999998"/>
    <n v="9773.5040180000015"/>
    <n v="32938.959002934098"/>
    <n v="3666.9288704744845"/>
    <n v="9109.0844050416272"/>
  </r>
  <r>
    <s v="Regular"/>
    <x v="1"/>
    <x v="0"/>
    <x v="3"/>
    <x v="3"/>
    <x v="0"/>
    <x v="0"/>
    <x v="1"/>
    <x v="3"/>
    <n v="495"/>
    <n v="420.75"/>
    <n v="28.975000000000001"/>
    <n v="27.236499999999999"/>
    <n v="28.975000000000001"/>
    <n v="27.236499999999999"/>
    <n v="0"/>
    <x v="0"/>
    <n v="0"/>
    <n v="4"/>
    <n v="8"/>
    <n v="65"/>
    <n v="45.73"/>
    <n v="84.99"/>
    <n v="391.54"/>
    <n v="78.286295907151739"/>
    <n v="146.90220900317223"/>
    <n v="364.92243737572466"/>
    <n v="19240.897499999999"/>
    <n v="2314.8301349999997"/>
    <n v="10664.17921"/>
    <n v="32938.959002934098"/>
    <n v="4001.1020155149004"/>
    <n v="9939.2099655839247"/>
  </r>
  <r>
    <s v="Regular"/>
    <x v="1"/>
    <x v="0"/>
    <x v="3"/>
    <x v="3"/>
    <x v="0"/>
    <x v="0"/>
    <x v="1"/>
    <x v="10"/>
    <n v="495"/>
    <n v="420.75"/>
    <n v="26.323"/>
    <n v="24.74362"/>
    <n v="26.323"/>
    <n v="24.74362"/>
    <n v="0"/>
    <x v="0"/>
    <n v="0"/>
    <n v="4"/>
    <n v="8"/>
    <n v="65"/>
    <n v="45.73"/>
    <n v="84.99"/>
    <n v="391.54"/>
    <n v="78.286295907151739"/>
    <n v="146.90220900317223"/>
    <n v="364.92243737572466"/>
    <n v="19240.897499999999"/>
    <n v="2102.9602637999997"/>
    <n v="9688.1169748000011"/>
    <n v="32938.959002934098"/>
    <n v="3634.8924367350724"/>
    <n v="9029.5021198987288"/>
  </r>
  <r>
    <s v="PROJETADO"/>
    <x v="1"/>
    <x v="0"/>
    <x v="3"/>
    <x v="3"/>
    <x v="0"/>
    <x v="0"/>
    <x v="1"/>
    <x v="11"/>
    <n v="495"/>
    <n v="420.75"/>
    <n v="26.323"/>
    <n v="24.74362"/>
    <n v="26.323"/>
    <n v="24.74362"/>
    <n v="0"/>
    <x v="0"/>
    <n v="0"/>
    <n v="4"/>
    <n v="8"/>
    <n v="65"/>
    <n v="45.73"/>
    <n v="84.99"/>
    <n v="391.54"/>
    <n v="78.286295907151739"/>
    <n v="146.90220900317223"/>
    <n v="364.92243737572466"/>
    <n v="19240.897499999999"/>
    <n v="2102.9602637999997"/>
    <n v="9688.1169748000011"/>
    <n v="32938.959002934098"/>
    <n v="3634.8924367350724"/>
    <n v="9029.5021198987288"/>
  </r>
  <r>
    <s v="Regular"/>
    <x v="1"/>
    <x v="2"/>
    <x v="0"/>
    <x v="0"/>
    <x v="0"/>
    <x v="0"/>
    <x v="0"/>
    <x v="4"/>
    <n v="0"/>
    <n v="0"/>
    <n v="250.30500000000001"/>
    <n v="250.30500000000001"/>
    <n v="250.30500000000001"/>
    <n v="250.30500000000001"/>
    <n v="0"/>
    <x v="0"/>
    <n v="0"/>
    <n v="0"/>
    <n v="17"/>
    <n v="66"/>
    <n v="0"/>
    <n v="84.99"/>
    <n v="242.77"/>
    <m/>
    <n v="146.90220900317223"/>
    <n v="227.53897547400734"/>
    <n v="0"/>
    <n v="21273.42195"/>
    <n v="60766.544850000006"/>
    <n v="0"/>
    <n v="36770.357424539026"/>
    <n v="56954.143256021409"/>
  </r>
  <r>
    <s v="Sistema de Compensação"/>
    <x v="1"/>
    <x v="2"/>
    <x v="0"/>
    <x v="0"/>
    <x v="0"/>
    <x v="0"/>
    <x v="0"/>
    <x v="4"/>
    <n v="0"/>
    <n v="0"/>
    <n v="36.600999999999999"/>
    <n v="36.600999999999999"/>
    <n v="36.600999999999999"/>
    <n v="36.600999999999999"/>
    <n v="0"/>
    <x v="0"/>
    <n v="0"/>
    <n v="0"/>
    <n v="17"/>
    <n v="66"/>
    <n v="0"/>
    <n v="84.99"/>
    <n v="242.77"/>
    <m/>
    <n v="146.90220900317223"/>
    <n v="227.53897547400734"/>
    <n v="0"/>
    <n v="3110.7189899999998"/>
    <n v="8885.6247700000004"/>
    <n v="0"/>
    <n v="5376.7677517251068"/>
    <n v="8328.1540413241419"/>
  </r>
  <r>
    <s v="Regular"/>
    <x v="1"/>
    <x v="2"/>
    <x v="0"/>
    <x v="0"/>
    <x v="0"/>
    <x v="0"/>
    <x v="0"/>
    <x v="5"/>
    <n v="0"/>
    <n v="0"/>
    <n v="248.839"/>
    <n v="248.839"/>
    <n v="248.839"/>
    <n v="248.839"/>
    <n v="0"/>
    <x v="0"/>
    <n v="0"/>
    <n v="0"/>
    <n v="17"/>
    <n v="66"/>
    <n v="0"/>
    <n v="84.99"/>
    <n v="242.77"/>
    <m/>
    <n v="146.90220900317223"/>
    <n v="227.53897547400734"/>
    <n v="0"/>
    <n v="21148.82661"/>
    <n v="60410.644030000003"/>
    <n v="0"/>
    <n v="36554.998786140372"/>
    <n v="56620.571117976513"/>
  </r>
  <r>
    <s v="Sistema de Compensação"/>
    <x v="1"/>
    <x v="2"/>
    <x v="0"/>
    <x v="0"/>
    <x v="0"/>
    <x v="0"/>
    <x v="0"/>
    <x v="5"/>
    <n v="0"/>
    <n v="0"/>
    <n v="42.082000000000001"/>
    <n v="42.082000000000001"/>
    <n v="42.082000000000001"/>
    <n v="42.082000000000001"/>
    <n v="0"/>
    <x v="0"/>
    <n v="0"/>
    <n v="0"/>
    <n v="17"/>
    <n v="66"/>
    <n v="0"/>
    <n v="84.99"/>
    <n v="242.77"/>
    <m/>
    <n v="146.90220900317223"/>
    <n v="227.53897547400734"/>
    <n v="0"/>
    <n v="3576.54918"/>
    <n v="10216.247140000001"/>
    <n v="0"/>
    <n v="6181.9387592714938"/>
    <n v="9575.2951658971779"/>
  </r>
  <r>
    <s v="Regular"/>
    <x v="1"/>
    <x v="2"/>
    <x v="0"/>
    <x v="0"/>
    <x v="0"/>
    <x v="0"/>
    <x v="0"/>
    <x v="0"/>
    <n v="0"/>
    <n v="0"/>
    <n v="260.56799999999998"/>
    <n v="260.56799999999998"/>
    <n v="260.56799999999998"/>
    <n v="260.56799999999998"/>
    <n v="0"/>
    <x v="0"/>
    <n v="0"/>
    <n v="0"/>
    <n v="17"/>
    <n v="66"/>
    <n v="0"/>
    <n v="84.99"/>
    <n v="242.77"/>
    <m/>
    <n v="146.90220900317223"/>
    <n v="227.53897547400734"/>
    <n v="0"/>
    <n v="22145.674319999998"/>
    <n v="63258.093359999999"/>
    <n v="0"/>
    <n v="38278.014795538576"/>
    <n v="59289.375761311145"/>
  </r>
  <r>
    <s v="Sistema de Compensação"/>
    <x v="1"/>
    <x v="2"/>
    <x v="0"/>
    <x v="0"/>
    <x v="0"/>
    <x v="0"/>
    <x v="0"/>
    <x v="0"/>
    <n v="0"/>
    <n v="0"/>
    <n v="37.851999999999997"/>
    <n v="37.851999999999997"/>
    <n v="37.851999999999997"/>
    <n v="37.851999999999997"/>
    <n v="0"/>
    <x v="0"/>
    <n v="0"/>
    <n v="0"/>
    <n v="17"/>
    <n v="66"/>
    <n v="0"/>
    <n v="84.99"/>
    <n v="242.77"/>
    <m/>
    <n v="146.90220900317223"/>
    <n v="227.53897547400734"/>
    <n v="0"/>
    <n v="3217.0414799999994"/>
    <n v="9189.3300399999989"/>
    <n v="0"/>
    <n v="5560.5424151880752"/>
    <n v="8612.8052996421247"/>
  </r>
  <r>
    <s v="Regular"/>
    <x v="1"/>
    <x v="2"/>
    <x v="0"/>
    <x v="0"/>
    <x v="0"/>
    <x v="0"/>
    <x v="0"/>
    <x v="6"/>
    <n v="0"/>
    <n v="0"/>
    <n v="248.054"/>
    <n v="248.054"/>
    <n v="248.054"/>
    <n v="248.054"/>
    <n v="0"/>
    <x v="0"/>
    <n v="0"/>
    <n v="0"/>
    <n v="17"/>
    <n v="66"/>
    <n v="0"/>
    <n v="84.99"/>
    <n v="242.77"/>
    <m/>
    <n v="146.90220900317223"/>
    <n v="227.53897547400734"/>
    <n v="0"/>
    <n v="21082.10946"/>
    <n v="60220.069580000003"/>
    <n v="0"/>
    <n v="36439.680552072889"/>
    <n v="56441.95302222942"/>
  </r>
  <r>
    <s v="Sistema de Compensação"/>
    <x v="1"/>
    <x v="2"/>
    <x v="0"/>
    <x v="0"/>
    <x v="0"/>
    <x v="0"/>
    <x v="0"/>
    <x v="6"/>
    <n v="0"/>
    <n v="0"/>
    <n v="29.741"/>
    <n v="29.741"/>
    <n v="29.741"/>
    <n v="29.741"/>
    <n v="0"/>
    <x v="0"/>
    <n v="0"/>
    <n v="0"/>
    <n v="17"/>
    <n v="66"/>
    <n v="0"/>
    <n v="84.99"/>
    <n v="242.77"/>
    <m/>
    <n v="146.90220900317223"/>
    <n v="227.53897547400734"/>
    <n v="0"/>
    <n v="2527.68759"/>
    <n v="7220.2225699999999"/>
    <n v="0"/>
    <n v="4369.0185979633452"/>
    <n v="6767.2366695724522"/>
  </r>
  <r>
    <s v="Regular"/>
    <x v="1"/>
    <x v="2"/>
    <x v="0"/>
    <x v="0"/>
    <x v="0"/>
    <x v="0"/>
    <x v="0"/>
    <x v="7"/>
    <n v="0"/>
    <n v="0"/>
    <n v="300.5"/>
    <n v="300.5"/>
    <n v="300.5"/>
    <n v="300.5"/>
    <n v="0"/>
    <x v="0"/>
    <n v="0"/>
    <n v="0"/>
    <n v="17"/>
    <n v="66"/>
    <n v="0"/>
    <n v="84.99"/>
    <n v="242.77"/>
    <m/>
    <n v="146.90220900317223"/>
    <n v="227.53897547400734"/>
    <n v="0"/>
    <n v="25539.494999999999"/>
    <n v="72952.385000000009"/>
    <n v="0"/>
    <n v="44144.113805453257"/>
    <n v="68375.462129939202"/>
  </r>
  <r>
    <s v="Sistema de Compensação"/>
    <x v="1"/>
    <x v="2"/>
    <x v="0"/>
    <x v="0"/>
    <x v="0"/>
    <x v="0"/>
    <x v="0"/>
    <x v="7"/>
    <n v="0"/>
    <n v="0"/>
    <n v="40.207000000000001"/>
    <n v="40.207000000000001"/>
    <n v="40.207000000000001"/>
    <n v="40.207000000000001"/>
    <n v="0"/>
    <x v="0"/>
    <n v="0"/>
    <n v="0"/>
    <n v="17"/>
    <n v="66"/>
    <n v="0"/>
    <n v="84.99"/>
    <n v="242.77"/>
    <m/>
    <n v="146.90220900317223"/>
    <n v="227.53897547400734"/>
    <n v="0"/>
    <n v="3417.1929299999997"/>
    <n v="9761.0533900000009"/>
    <n v="0"/>
    <n v="5906.497117390546"/>
    <n v="9148.6595868834138"/>
  </r>
  <r>
    <s v="Regular"/>
    <x v="1"/>
    <x v="2"/>
    <x v="0"/>
    <x v="0"/>
    <x v="0"/>
    <x v="0"/>
    <x v="0"/>
    <x v="8"/>
    <n v="0"/>
    <n v="0"/>
    <n v="288.178"/>
    <n v="288.178"/>
    <n v="288.178"/>
    <n v="288.178"/>
    <n v="0"/>
    <x v="0"/>
    <n v="0"/>
    <n v="0"/>
    <n v="17"/>
    <n v="66"/>
    <n v="0"/>
    <n v="84.99"/>
    <n v="242.77"/>
    <m/>
    <n v="146.90220900317223"/>
    <n v="227.53897547400734"/>
    <n v="0"/>
    <n v="24492.248219999998"/>
    <n v="69960.973060000004"/>
    <n v="0"/>
    <n v="42333.984786116169"/>
    <n v="65571.726874148488"/>
  </r>
  <r>
    <s v="Sistema de Compensação"/>
    <x v="1"/>
    <x v="2"/>
    <x v="0"/>
    <x v="0"/>
    <x v="0"/>
    <x v="0"/>
    <x v="0"/>
    <x v="8"/>
    <n v="0"/>
    <n v="0"/>
    <n v="32.713000000000001"/>
    <n v="32.713000000000001"/>
    <n v="32.713000000000001"/>
    <n v="32.713000000000001"/>
    <n v="0"/>
    <x v="0"/>
    <n v="0"/>
    <n v="0"/>
    <n v="17"/>
    <n v="66"/>
    <n v="0"/>
    <n v="84.99"/>
    <n v="242.77"/>
    <m/>
    <n v="146.90220900317223"/>
    <n v="227.53897547400734"/>
    <n v="0"/>
    <n v="2780.2778699999999"/>
    <n v="7941.7350100000003"/>
    <n v="0"/>
    <n v="4805.611963120773"/>
    <n v="7443.482504681202"/>
  </r>
  <r>
    <s v="Regular"/>
    <x v="1"/>
    <x v="2"/>
    <x v="0"/>
    <x v="0"/>
    <x v="0"/>
    <x v="0"/>
    <x v="0"/>
    <x v="9"/>
    <n v="0"/>
    <n v="0"/>
    <n v="258.25200000000001"/>
    <n v="258.25200000000001"/>
    <n v="258.25200000000001"/>
    <n v="258.25200000000001"/>
    <n v="0"/>
    <x v="0"/>
    <n v="0"/>
    <n v="0"/>
    <n v="17"/>
    <n v="66"/>
    <n v="0"/>
    <n v="84.99"/>
    <n v="242.77"/>
    <m/>
    <n v="146.90220900317223"/>
    <n v="227.53897547400734"/>
    <n v="0"/>
    <n v="21948.837479999998"/>
    <n v="62695.838040000002"/>
    <n v="0"/>
    <n v="37937.789279487239"/>
    <n v="58762.395494113349"/>
  </r>
  <r>
    <s v="Sistema de Compensação"/>
    <x v="1"/>
    <x v="2"/>
    <x v="0"/>
    <x v="0"/>
    <x v="0"/>
    <x v="0"/>
    <x v="0"/>
    <x v="9"/>
    <n v="0"/>
    <n v="0"/>
    <n v="33.741"/>
    <n v="33.741"/>
    <n v="33.741"/>
    <n v="33.741"/>
    <n v="0"/>
    <x v="0"/>
    <n v="0"/>
    <n v="0"/>
    <n v="17"/>
    <n v="66"/>
    <n v="0"/>
    <n v="84.99"/>
    <n v="242.77"/>
    <m/>
    <n v="146.90220900317223"/>
    <n v="227.53897547400734"/>
    <n v="0"/>
    <n v="2867.6475899999996"/>
    <n v="8191.3025699999998"/>
    <n v="0"/>
    <n v="4956.6274339760339"/>
    <n v="7677.3925714684819"/>
  </r>
  <r>
    <s v="Regular"/>
    <x v="1"/>
    <x v="2"/>
    <x v="0"/>
    <x v="0"/>
    <x v="0"/>
    <x v="0"/>
    <x v="0"/>
    <x v="1"/>
    <n v="0"/>
    <n v="0"/>
    <n v="240.71"/>
    <n v="240.71"/>
    <n v="240.71"/>
    <n v="240.71"/>
    <n v="0"/>
    <x v="0"/>
    <n v="0"/>
    <n v="0"/>
    <n v="17"/>
    <n v="66"/>
    <n v="0"/>
    <n v="84.99"/>
    <n v="242.77"/>
    <m/>
    <n v="146.90220900317223"/>
    <n v="227.53897547400734"/>
    <n v="0"/>
    <n v="20457.942899999998"/>
    <n v="58437.166700000002"/>
    <n v="0"/>
    <n v="35360.830729153589"/>
    <n v="54770.906786348307"/>
  </r>
  <r>
    <s v="Sistema de Compensação"/>
    <x v="1"/>
    <x v="2"/>
    <x v="0"/>
    <x v="0"/>
    <x v="0"/>
    <x v="0"/>
    <x v="0"/>
    <x v="1"/>
    <n v="0"/>
    <n v="0"/>
    <n v="34.392000000000003"/>
    <n v="34.392000000000003"/>
    <n v="34.392000000000003"/>
    <n v="34.392000000000003"/>
    <n v="0"/>
    <x v="0"/>
    <n v="0"/>
    <n v="0"/>
    <n v="17"/>
    <n v="66"/>
    <n v="0"/>
    <n v="84.99"/>
    <n v="242.77"/>
    <m/>
    <n v="146.90220900317223"/>
    <n v="227.53897547400734"/>
    <n v="0"/>
    <n v="2922.9760799999999"/>
    <n v="8349.3458400000018"/>
    <n v="0"/>
    <n v="5052.2607720370997"/>
    <n v="7825.5204445020609"/>
  </r>
  <r>
    <s v="Regular"/>
    <x v="1"/>
    <x v="2"/>
    <x v="0"/>
    <x v="0"/>
    <x v="0"/>
    <x v="0"/>
    <x v="0"/>
    <x v="2"/>
    <n v="0"/>
    <n v="0"/>
    <n v="200.34700000000001"/>
    <n v="200.34700000000001"/>
    <n v="200.34700000000001"/>
    <n v="200.34700000000001"/>
    <n v="0"/>
    <x v="0"/>
    <n v="0"/>
    <n v="0"/>
    <n v="17"/>
    <n v="66"/>
    <n v="0"/>
    <n v="84.99"/>
    <n v="242.77"/>
    <m/>
    <n v="146.90220900317223"/>
    <n v="227.53897547400734"/>
    <n v="0"/>
    <n v="17027.491529999999"/>
    <n v="48638.241190000001"/>
    <n v="0"/>
    <n v="29431.416867158547"/>
    <n v="45586.751119290951"/>
  </r>
  <r>
    <s v="Sistema de Compensação"/>
    <x v="1"/>
    <x v="2"/>
    <x v="0"/>
    <x v="0"/>
    <x v="0"/>
    <x v="0"/>
    <x v="0"/>
    <x v="2"/>
    <n v="0"/>
    <n v="0"/>
    <n v="33.978999999999999"/>
    <n v="33.978999999999999"/>
    <n v="33.978999999999999"/>
    <n v="33.978999999999999"/>
    <n v="0"/>
    <x v="0"/>
    <n v="0"/>
    <n v="0"/>
    <n v="17"/>
    <n v="66"/>
    <n v="0"/>
    <n v="84.99"/>
    <n v="242.77"/>
    <m/>
    <n v="146.90220900317223"/>
    <n v="227.53897547400734"/>
    <n v="0"/>
    <n v="2887.8752099999997"/>
    <n v="8249.081830000001"/>
    <n v="0"/>
    <n v="4991.5901597187894"/>
    <n v="7731.5468476312953"/>
  </r>
  <r>
    <s v="Regular"/>
    <x v="1"/>
    <x v="2"/>
    <x v="0"/>
    <x v="0"/>
    <x v="0"/>
    <x v="0"/>
    <x v="0"/>
    <x v="3"/>
    <n v="0"/>
    <n v="0"/>
    <n v="238.97200000000001"/>
    <n v="238.97200000000001"/>
    <n v="238.97200000000001"/>
    <n v="238.97200000000001"/>
    <n v="0"/>
    <x v="0"/>
    <n v="0"/>
    <n v="0"/>
    <n v="17"/>
    <n v="66"/>
    <n v="0"/>
    <n v="84.99"/>
    <n v="242.77"/>
    <m/>
    <n v="146.90220900317223"/>
    <n v="227.53897547400734"/>
    <n v="0"/>
    <n v="20310.23028"/>
    <n v="58015.232440000007"/>
    <n v="0"/>
    <n v="35105.514689906078"/>
    <n v="54375.444046974488"/>
  </r>
  <r>
    <s v="Sistema de Compensação"/>
    <x v="1"/>
    <x v="2"/>
    <x v="0"/>
    <x v="0"/>
    <x v="0"/>
    <x v="0"/>
    <x v="0"/>
    <x v="3"/>
    <n v="0"/>
    <n v="0"/>
    <n v="29.895"/>
    <n v="29.895"/>
    <n v="29.895"/>
    <n v="29.895"/>
    <n v="0"/>
    <x v="0"/>
    <n v="0"/>
    <n v="0"/>
    <n v="17"/>
    <n v="66"/>
    <n v="0"/>
    <n v="84.99"/>
    <n v="242.77"/>
    <m/>
    <n v="146.90220900317223"/>
    <n v="227.53897547400734"/>
    <n v="0"/>
    <n v="2540.7760499999999"/>
    <n v="7257.6091500000002"/>
    <n v="0"/>
    <n v="4391.6415381498337"/>
    <n v="6802.2776717954494"/>
  </r>
  <r>
    <s v="Regular"/>
    <x v="1"/>
    <x v="2"/>
    <x v="0"/>
    <x v="0"/>
    <x v="0"/>
    <x v="0"/>
    <x v="0"/>
    <x v="10"/>
    <n v="0"/>
    <n v="0"/>
    <n v="266.291"/>
    <n v="266.291"/>
    <n v="266.291"/>
    <n v="266.291"/>
    <n v="0"/>
    <x v="0"/>
    <n v="0"/>
    <n v="0"/>
    <n v="17"/>
    <n v="66"/>
    <n v="0"/>
    <n v="84.99"/>
    <n v="242.77"/>
    <m/>
    <n v="146.90220900317223"/>
    <n v="227.53897547400734"/>
    <n v="0"/>
    <n v="22632.072089999998"/>
    <n v="64647.466070000002"/>
    <n v="0"/>
    <n v="39118.736137663735"/>
    <n v="60591.581317948891"/>
  </r>
  <r>
    <s v="Sistema de Compensação"/>
    <x v="1"/>
    <x v="2"/>
    <x v="0"/>
    <x v="0"/>
    <x v="0"/>
    <x v="0"/>
    <x v="0"/>
    <x v="10"/>
    <n v="0"/>
    <n v="0"/>
    <n v="35.994999999999997"/>
    <n v="35.994999999999997"/>
    <n v="35.994999999999997"/>
    <n v="35.994999999999997"/>
    <n v="0"/>
    <x v="0"/>
    <n v="0"/>
    <n v="0"/>
    <n v="17"/>
    <n v="66"/>
    <n v="0"/>
    <n v="84.99"/>
    <n v="242.77"/>
    <m/>
    <n v="146.90220900317223"/>
    <n v="227.53897547400734"/>
    <n v="0"/>
    <n v="3059.2150499999998"/>
    <n v="8738.5061499999993"/>
    <n v="0"/>
    <n v="5287.7450130691841"/>
    <n v="8190.2654221868934"/>
  </r>
  <r>
    <s v="PROJETADO"/>
    <x v="1"/>
    <x v="2"/>
    <x v="0"/>
    <x v="0"/>
    <x v="0"/>
    <x v="0"/>
    <x v="0"/>
    <x v="11"/>
    <n v="0"/>
    <n v="0"/>
    <n v="266.291"/>
    <n v="266.291"/>
    <n v="266.291"/>
    <n v="266.291"/>
    <n v="0"/>
    <x v="0"/>
    <n v="0"/>
    <n v="0"/>
    <n v="17"/>
    <n v="66"/>
    <n v="0"/>
    <n v="84.99"/>
    <n v="242.77"/>
    <m/>
    <n v="146.90220900317223"/>
    <n v="227.53897547400734"/>
    <n v="0"/>
    <n v="22632.072089999998"/>
    <n v="64647.466070000002"/>
    <n v="0"/>
    <n v="39118.736137663735"/>
    <n v="60591.581317948891"/>
  </r>
  <r>
    <s v="PROJETADO"/>
    <x v="1"/>
    <x v="2"/>
    <x v="0"/>
    <x v="0"/>
    <x v="0"/>
    <x v="0"/>
    <x v="0"/>
    <x v="11"/>
    <n v="0"/>
    <n v="0"/>
    <n v="35.994999999999997"/>
    <n v="35.994999999999997"/>
    <n v="35.994999999999997"/>
    <n v="35.994999999999997"/>
    <n v="0"/>
    <x v="0"/>
    <n v="0"/>
    <n v="0"/>
    <n v="17"/>
    <n v="66"/>
    <n v="0"/>
    <n v="84.99"/>
    <n v="242.77"/>
    <m/>
    <n v="146.90220900317223"/>
    <n v="227.53897547400734"/>
    <n v="0"/>
    <n v="3059.2150499999998"/>
    <n v="8738.5061499999993"/>
    <n v="0"/>
    <n v="5287.7450130691841"/>
    <n v="8190.2654221868934"/>
  </r>
  <r>
    <s v="Regular"/>
    <x v="1"/>
    <x v="2"/>
    <x v="0"/>
    <x v="0"/>
    <x v="0"/>
    <x v="0"/>
    <x v="2"/>
    <x v="4"/>
    <n v="1522"/>
    <n v="1522"/>
    <n v="0"/>
    <n v="0"/>
    <n v="0"/>
    <n v="0"/>
    <n v="20"/>
    <x v="0"/>
    <n v="0"/>
    <n v="13"/>
    <n v="0"/>
    <n v="0"/>
    <n v="18.920000000000002"/>
    <n v="0"/>
    <n v="0"/>
    <n v="32.556945267352141"/>
    <m/>
    <m/>
    <n v="28796.240000000002"/>
    <n v="0"/>
    <n v="0"/>
    <n v="49551.670696909961"/>
    <n v="0"/>
    <n v="0"/>
  </r>
  <r>
    <s v="Sistema de Compensação"/>
    <x v="1"/>
    <x v="2"/>
    <x v="0"/>
    <x v="0"/>
    <x v="0"/>
    <x v="0"/>
    <x v="2"/>
    <x v="4"/>
    <n v="507"/>
    <n v="507"/>
    <n v="0"/>
    <n v="0"/>
    <n v="0"/>
    <n v="0"/>
    <n v="4"/>
    <x v="0"/>
    <n v="0"/>
    <n v="13"/>
    <n v="0"/>
    <n v="0"/>
    <n v="18.920000000000002"/>
    <n v="0"/>
    <n v="0"/>
    <n v="32.556945267352141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5"/>
    <n v="1520"/>
    <n v="1520"/>
    <n v="0"/>
    <n v="0"/>
    <n v="0"/>
    <n v="0"/>
    <n v="20"/>
    <x v="0"/>
    <n v="0"/>
    <n v="13"/>
    <n v="0"/>
    <n v="0"/>
    <n v="18.920000000000002"/>
    <n v="0"/>
    <n v="0"/>
    <n v="32.556945267352141"/>
    <m/>
    <m/>
    <n v="28758.400000000001"/>
    <n v="0"/>
    <n v="0"/>
    <n v="49486.556806375258"/>
    <n v="0"/>
    <n v="0"/>
  </r>
  <r>
    <s v="Sistema de Compensação"/>
    <x v="1"/>
    <x v="2"/>
    <x v="0"/>
    <x v="0"/>
    <x v="0"/>
    <x v="0"/>
    <x v="2"/>
    <x v="5"/>
    <n v="507"/>
    <n v="507"/>
    <n v="0"/>
    <n v="0"/>
    <n v="0"/>
    <n v="0"/>
    <n v="4"/>
    <x v="0"/>
    <n v="0"/>
    <n v="13"/>
    <n v="0"/>
    <n v="0"/>
    <n v="18.920000000000002"/>
    <n v="0"/>
    <n v="0"/>
    <n v="32.556945267352141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0"/>
    <n v="1983"/>
    <n v="1983"/>
    <n v="0"/>
    <n v="0"/>
    <n v="0"/>
    <n v="0"/>
    <n v="27"/>
    <x v="0"/>
    <n v="0"/>
    <n v="13"/>
    <n v="0"/>
    <n v="0"/>
    <n v="18.920000000000002"/>
    <n v="0"/>
    <n v="0"/>
    <n v="32.556945267352141"/>
    <m/>
    <m/>
    <n v="37518.36"/>
    <n v="0"/>
    <n v="0"/>
    <n v="64560.422465159296"/>
    <n v="0"/>
    <n v="0"/>
  </r>
  <r>
    <s v="Sistema de Compensação"/>
    <x v="1"/>
    <x v="2"/>
    <x v="0"/>
    <x v="0"/>
    <x v="0"/>
    <x v="0"/>
    <x v="2"/>
    <x v="0"/>
    <n v="507"/>
    <n v="507"/>
    <n v="0"/>
    <n v="0"/>
    <n v="0"/>
    <n v="0"/>
    <n v="4"/>
    <x v="0"/>
    <n v="0"/>
    <n v="13"/>
    <n v="0"/>
    <n v="0"/>
    <n v="18.920000000000002"/>
    <n v="0"/>
    <n v="0"/>
    <n v="32.556945267352141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6"/>
    <n v="1701"/>
    <n v="1701"/>
    <n v="0"/>
    <n v="0"/>
    <n v="0"/>
    <n v="0"/>
    <n v="23"/>
    <x v="0"/>
    <n v="0"/>
    <n v="13"/>
    <n v="0"/>
    <n v="0"/>
    <n v="18.920000000000002"/>
    <n v="0"/>
    <n v="0"/>
    <n v="32.556945267352141"/>
    <m/>
    <m/>
    <n v="32182.920000000002"/>
    <n v="0"/>
    <n v="0"/>
    <n v="55379.363899765995"/>
    <n v="0"/>
    <n v="0"/>
  </r>
  <r>
    <s v="Sistema de Compensação"/>
    <x v="1"/>
    <x v="2"/>
    <x v="0"/>
    <x v="0"/>
    <x v="0"/>
    <x v="0"/>
    <x v="2"/>
    <x v="6"/>
    <n v="507"/>
    <n v="507"/>
    <n v="0"/>
    <n v="0"/>
    <n v="0"/>
    <n v="0"/>
    <n v="4"/>
    <x v="0"/>
    <n v="0"/>
    <n v="13"/>
    <n v="0"/>
    <n v="0"/>
    <n v="18.920000000000002"/>
    <n v="0"/>
    <n v="0"/>
    <n v="32.556945267352141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7"/>
    <n v="1705"/>
    <n v="1705"/>
    <n v="0"/>
    <n v="0"/>
    <n v="0"/>
    <n v="0"/>
    <n v="23"/>
    <x v="0"/>
    <n v="0"/>
    <n v="13"/>
    <n v="0"/>
    <n v="0"/>
    <n v="18.920000000000002"/>
    <n v="0"/>
    <n v="0"/>
    <n v="32.556945267352141"/>
    <m/>
    <m/>
    <n v="32258.600000000002"/>
    <n v="0"/>
    <n v="0"/>
    <n v="55509.591680835401"/>
    <n v="0"/>
    <n v="0"/>
  </r>
  <r>
    <s v="Sistema de Compensação"/>
    <x v="1"/>
    <x v="2"/>
    <x v="0"/>
    <x v="0"/>
    <x v="0"/>
    <x v="0"/>
    <x v="2"/>
    <x v="7"/>
    <n v="507"/>
    <n v="507"/>
    <n v="0"/>
    <n v="0"/>
    <n v="0"/>
    <n v="0"/>
    <n v="4"/>
    <x v="0"/>
    <n v="0"/>
    <n v="13"/>
    <n v="0"/>
    <n v="0"/>
    <n v="18.920000000000002"/>
    <n v="0"/>
    <n v="0"/>
    <n v="32.556945267352141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8"/>
    <n v="1750"/>
    <n v="1750"/>
    <n v="0"/>
    <n v="0"/>
    <n v="0"/>
    <n v="0"/>
    <n v="23"/>
    <x v="0"/>
    <n v="0"/>
    <n v="13"/>
    <n v="0"/>
    <n v="0"/>
    <n v="18.920000000000002"/>
    <n v="0"/>
    <n v="0"/>
    <n v="32.556945267352141"/>
    <m/>
    <m/>
    <n v="33110"/>
    <n v="0"/>
    <n v="0"/>
    <n v="56974.654217866249"/>
    <n v="0"/>
    <n v="0"/>
  </r>
  <r>
    <s v="Sistema de Compensação"/>
    <x v="1"/>
    <x v="2"/>
    <x v="0"/>
    <x v="0"/>
    <x v="0"/>
    <x v="0"/>
    <x v="2"/>
    <x v="8"/>
    <n v="522"/>
    <n v="522"/>
    <n v="0"/>
    <n v="0"/>
    <n v="0"/>
    <n v="0"/>
    <n v="4"/>
    <x v="0"/>
    <n v="0"/>
    <n v="13"/>
    <n v="0"/>
    <n v="0"/>
    <n v="18.920000000000002"/>
    <n v="0"/>
    <n v="0"/>
    <n v="32.556945267352141"/>
    <m/>
    <m/>
    <n v="9876.2400000000016"/>
    <n v="0"/>
    <n v="0"/>
    <n v="16994.725429557817"/>
    <n v="0"/>
    <n v="0"/>
  </r>
  <r>
    <s v="Regular"/>
    <x v="1"/>
    <x v="2"/>
    <x v="0"/>
    <x v="0"/>
    <x v="0"/>
    <x v="0"/>
    <x v="2"/>
    <x v="9"/>
    <n v="1819"/>
    <n v="1819"/>
    <n v="0"/>
    <n v="0"/>
    <n v="0"/>
    <n v="0"/>
    <n v="23"/>
    <x v="0"/>
    <n v="0"/>
    <n v="13"/>
    <n v="0"/>
    <n v="0"/>
    <n v="18.920000000000002"/>
    <n v="0"/>
    <n v="0"/>
    <n v="32.556945267352141"/>
    <m/>
    <m/>
    <n v="34415.480000000003"/>
    <n v="0"/>
    <n v="0"/>
    <n v="59221.083441313545"/>
    <n v="0"/>
    <n v="0"/>
  </r>
  <r>
    <s v="Sistema de Compensação"/>
    <x v="1"/>
    <x v="2"/>
    <x v="0"/>
    <x v="0"/>
    <x v="0"/>
    <x v="0"/>
    <x v="2"/>
    <x v="9"/>
    <n v="507"/>
    <n v="507"/>
    <n v="0"/>
    <n v="0"/>
    <n v="0"/>
    <n v="0"/>
    <n v="4"/>
    <x v="0"/>
    <n v="0"/>
    <n v="13"/>
    <n v="0"/>
    <n v="0"/>
    <n v="18.920000000000002"/>
    <n v="0"/>
    <n v="0"/>
    <n v="32.556945267352141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1"/>
    <n v="1811"/>
    <n v="1811"/>
    <n v="0"/>
    <n v="0"/>
    <n v="0"/>
    <n v="0"/>
    <n v="23"/>
    <x v="0"/>
    <n v="0"/>
    <n v="13"/>
    <n v="0"/>
    <n v="0"/>
    <n v="18.920000000000002"/>
    <n v="0"/>
    <n v="0"/>
    <n v="32.556945267352141"/>
    <m/>
    <m/>
    <n v="34264.120000000003"/>
    <n v="0"/>
    <n v="0"/>
    <n v="58960.627879174725"/>
    <n v="0"/>
    <n v="0"/>
  </r>
  <r>
    <s v="Sistema de Compensação"/>
    <x v="1"/>
    <x v="2"/>
    <x v="0"/>
    <x v="0"/>
    <x v="0"/>
    <x v="0"/>
    <x v="2"/>
    <x v="1"/>
    <n v="507"/>
    <n v="507"/>
    <n v="0"/>
    <n v="0"/>
    <n v="0"/>
    <n v="0"/>
    <n v="4"/>
    <x v="0"/>
    <n v="0"/>
    <n v="13"/>
    <n v="0"/>
    <n v="0"/>
    <n v="18.920000000000002"/>
    <n v="0"/>
    <n v="0"/>
    <n v="32.556945267352141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2"/>
    <n v="1647"/>
    <n v="1647"/>
    <n v="0"/>
    <n v="0"/>
    <n v="0"/>
    <n v="0"/>
    <n v="22"/>
    <x v="0"/>
    <n v="0"/>
    <n v="13"/>
    <n v="0"/>
    <n v="0"/>
    <n v="18.920000000000002"/>
    <n v="0"/>
    <n v="0"/>
    <n v="32.556945267352141"/>
    <m/>
    <m/>
    <n v="31161.24"/>
    <n v="0"/>
    <n v="0"/>
    <n v="53621.288855328974"/>
    <n v="0"/>
    <n v="0"/>
  </r>
  <r>
    <s v="Sistema de Compensação"/>
    <x v="1"/>
    <x v="2"/>
    <x v="0"/>
    <x v="0"/>
    <x v="0"/>
    <x v="0"/>
    <x v="2"/>
    <x v="2"/>
    <n v="507"/>
    <n v="507"/>
    <n v="0"/>
    <n v="0"/>
    <n v="0"/>
    <n v="0"/>
    <n v="4"/>
    <x v="0"/>
    <n v="0"/>
    <n v="13"/>
    <n v="0"/>
    <n v="0"/>
    <n v="18.920000000000002"/>
    <n v="0"/>
    <n v="0"/>
    <n v="32.556945267352141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3"/>
    <n v="1665"/>
    <n v="1665"/>
    <n v="0"/>
    <n v="0"/>
    <n v="0"/>
    <n v="0"/>
    <n v="22"/>
    <x v="0"/>
    <n v="0"/>
    <n v="13"/>
    <n v="0"/>
    <n v="0"/>
    <n v="18.920000000000002"/>
    <n v="0"/>
    <n v="0"/>
    <n v="32.556945267352141"/>
    <m/>
    <m/>
    <n v="31501.800000000003"/>
    <n v="0"/>
    <n v="0"/>
    <n v="54207.313870141312"/>
    <n v="0"/>
    <n v="0"/>
  </r>
  <r>
    <s v="Sistema de Compensação"/>
    <x v="1"/>
    <x v="2"/>
    <x v="0"/>
    <x v="0"/>
    <x v="0"/>
    <x v="0"/>
    <x v="2"/>
    <x v="3"/>
    <n v="507"/>
    <n v="507"/>
    <n v="0"/>
    <n v="0"/>
    <n v="0"/>
    <n v="0"/>
    <n v="4"/>
    <x v="0"/>
    <n v="0"/>
    <n v="13"/>
    <n v="0"/>
    <n v="0"/>
    <n v="18.920000000000002"/>
    <n v="0"/>
    <n v="0"/>
    <n v="32.556945267352141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10"/>
    <n v="1708"/>
    <n v="1708"/>
    <n v="0"/>
    <n v="0"/>
    <n v="0"/>
    <n v="0"/>
    <n v="22"/>
    <x v="0"/>
    <n v="0"/>
    <n v="13"/>
    <n v="0"/>
    <n v="0"/>
    <n v="18.920000000000002"/>
    <n v="0"/>
    <n v="0"/>
    <n v="32.556945267352141"/>
    <m/>
    <m/>
    <n v="32315.360000000004"/>
    <n v="0"/>
    <n v="0"/>
    <n v="55607.262516637456"/>
    <n v="0"/>
    <n v="0"/>
  </r>
  <r>
    <s v="Sistema de Compensação"/>
    <x v="1"/>
    <x v="2"/>
    <x v="0"/>
    <x v="0"/>
    <x v="0"/>
    <x v="0"/>
    <x v="2"/>
    <x v="10"/>
    <n v="507"/>
    <n v="507"/>
    <n v="0"/>
    <n v="0"/>
    <n v="0"/>
    <n v="0"/>
    <n v="4"/>
    <x v="0"/>
    <n v="0"/>
    <n v="13"/>
    <n v="0"/>
    <n v="0"/>
    <n v="18.920000000000002"/>
    <n v="0"/>
    <n v="0"/>
    <n v="32.556945267352141"/>
    <m/>
    <m/>
    <n v="9592.44"/>
    <n v="0"/>
    <n v="0"/>
    <n v="16506.371250547534"/>
    <n v="0"/>
    <n v="0"/>
  </r>
  <r>
    <s v="PROJETADO"/>
    <x v="1"/>
    <x v="2"/>
    <x v="0"/>
    <x v="0"/>
    <x v="0"/>
    <x v="0"/>
    <x v="2"/>
    <x v="11"/>
    <n v="1708"/>
    <n v="1708"/>
    <n v="0"/>
    <n v="0"/>
    <n v="0"/>
    <n v="0"/>
    <n v="22"/>
    <x v="0"/>
    <n v="0"/>
    <n v="13"/>
    <n v="0"/>
    <n v="0"/>
    <n v="18.920000000000002"/>
    <n v="0"/>
    <n v="0"/>
    <n v="32.556945267352141"/>
    <m/>
    <m/>
    <n v="32315.360000000004"/>
    <n v="0"/>
    <n v="0"/>
    <n v="55607.262516637456"/>
    <n v="0"/>
    <n v="0"/>
  </r>
  <r>
    <s v="PROJETADO"/>
    <x v="1"/>
    <x v="2"/>
    <x v="0"/>
    <x v="0"/>
    <x v="0"/>
    <x v="0"/>
    <x v="2"/>
    <x v="11"/>
    <n v="507"/>
    <n v="507"/>
    <n v="0"/>
    <n v="0"/>
    <n v="0"/>
    <n v="0"/>
    <n v="4"/>
    <x v="0"/>
    <n v="0"/>
    <n v="13"/>
    <n v="0"/>
    <n v="0"/>
    <n v="18.920000000000002"/>
    <n v="0"/>
    <n v="0"/>
    <n v="32.556945267352141"/>
    <m/>
    <m/>
    <n v="9592.44"/>
    <n v="0"/>
    <n v="0"/>
    <n v="16506.371250547534"/>
    <n v="0"/>
    <n v="0"/>
  </r>
  <r>
    <s v="Regular"/>
    <x v="1"/>
    <x v="2"/>
    <x v="0"/>
    <x v="0"/>
    <x v="0"/>
    <x v="0"/>
    <x v="1"/>
    <x v="4"/>
    <n v="0"/>
    <n v="0"/>
    <n v="26.192"/>
    <n v="26.192"/>
    <n v="26.192"/>
    <n v="26.192"/>
    <n v="0"/>
    <x v="0"/>
    <n v="0"/>
    <n v="0"/>
    <n v="15"/>
    <n v="65"/>
    <n v="0"/>
    <n v="1195.82"/>
    <n v="391.54"/>
    <m/>
    <n v="2051.1203590831656"/>
    <n v="364.92243737572466"/>
    <n v="0"/>
    <n v="31320.917439999997"/>
    <n v="10255.215680000001"/>
    <n v="0"/>
    <n v="53722.944445106274"/>
    <n v="9558.0484797449808"/>
  </r>
  <r>
    <s v="Sistema de Compensação"/>
    <x v="1"/>
    <x v="2"/>
    <x v="0"/>
    <x v="0"/>
    <x v="0"/>
    <x v="0"/>
    <x v="1"/>
    <x v="4"/>
    <n v="0"/>
    <n v="0"/>
    <n v="7.835"/>
    <n v="7.835"/>
    <n v="7.835"/>
    <n v="7.835"/>
    <n v="0"/>
    <x v="0"/>
    <n v="0"/>
    <n v="0"/>
    <n v="15"/>
    <n v="65"/>
    <n v="0"/>
    <n v="1195.82"/>
    <n v="391.54"/>
    <m/>
    <n v="2051.1203590831656"/>
    <n v="364.92243737572466"/>
    <n v="0"/>
    <n v="9369.2497000000003"/>
    <n v="3067.7159000000001"/>
    <n v="0"/>
    <n v="16070.528013416602"/>
    <n v="2859.1672968388025"/>
  </r>
  <r>
    <s v="Regular"/>
    <x v="1"/>
    <x v="2"/>
    <x v="0"/>
    <x v="0"/>
    <x v="0"/>
    <x v="0"/>
    <x v="1"/>
    <x v="5"/>
    <n v="0"/>
    <n v="0"/>
    <n v="25.745999999999999"/>
    <n v="25.745999999999999"/>
    <n v="25.745999999999999"/>
    <n v="25.745999999999999"/>
    <n v="0"/>
    <x v="0"/>
    <n v="0"/>
    <n v="0"/>
    <n v="15"/>
    <n v="65"/>
    <n v="0"/>
    <n v="1195.82"/>
    <n v="391.54"/>
    <m/>
    <n v="2051.1203590831656"/>
    <n v="364.92243737572466"/>
    <n v="0"/>
    <n v="30787.581719999998"/>
    <n v="10080.58884"/>
    <n v="0"/>
    <n v="52808.144764955177"/>
    <n v="9395.2930726754057"/>
  </r>
  <r>
    <s v="Sistema de Compensação"/>
    <x v="1"/>
    <x v="2"/>
    <x v="0"/>
    <x v="0"/>
    <x v="0"/>
    <x v="0"/>
    <x v="1"/>
    <x v="5"/>
    <n v="0"/>
    <n v="0"/>
    <n v="7.01"/>
    <n v="7.01"/>
    <n v="7.01"/>
    <n v="7.01"/>
    <n v="0"/>
    <x v="0"/>
    <n v="0"/>
    <n v="0"/>
    <n v="15"/>
    <n v="65"/>
    <n v="0"/>
    <n v="1195.82"/>
    <n v="391.54"/>
    <m/>
    <n v="2051.1203590831656"/>
    <n v="364.92243737572466"/>
    <n v="0"/>
    <n v="8382.6981999999989"/>
    <n v="2744.6954000000001"/>
    <n v="0"/>
    <n v="14378.353717172989"/>
    <n v="2558.1062860038296"/>
  </r>
  <r>
    <s v="Regular"/>
    <x v="1"/>
    <x v="2"/>
    <x v="0"/>
    <x v="0"/>
    <x v="0"/>
    <x v="0"/>
    <x v="1"/>
    <x v="0"/>
    <n v="0"/>
    <n v="0"/>
    <n v="21.728000000000002"/>
    <n v="21.728000000000002"/>
    <n v="21.728000000000002"/>
    <n v="21.728000000000002"/>
    <n v="0"/>
    <x v="0"/>
    <n v="0"/>
    <n v="0"/>
    <n v="15"/>
    <n v="65"/>
    <n v="0"/>
    <n v="1195.82"/>
    <n v="391.54"/>
    <m/>
    <n v="2051.1203590831656"/>
    <n v="364.92243737572466"/>
    <n v="0"/>
    <n v="25982.776959999999"/>
    <n v="8507.3811200000018"/>
    <n v="0"/>
    <n v="44566.743162159022"/>
    <n v="7929.034719299746"/>
  </r>
  <r>
    <s v="Sistema de Compensação"/>
    <x v="1"/>
    <x v="2"/>
    <x v="0"/>
    <x v="0"/>
    <x v="0"/>
    <x v="0"/>
    <x v="1"/>
    <x v="0"/>
    <n v="0"/>
    <n v="0"/>
    <n v="7.5380000000000003"/>
    <n v="7.5380000000000003"/>
    <n v="7.5380000000000003"/>
    <n v="7.5380000000000003"/>
    <n v="0"/>
    <x v="0"/>
    <n v="0"/>
    <n v="0"/>
    <n v="15"/>
    <n v="65"/>
    <n v="0"/>
    <n v="1195.82"/>
    <n v="391.54"/>
    <m/>
    <n v="2051.1203590831656"/>
    <n v="364.92243737572466"/>
    <n v="0"/>
    <n v="9014.0911599999999"/>
    <n v="2951.4285200000004"/>
    <n v="0"/>
    <n v="15461.345266768903"/>
    <n v="2750.7853329382124"/>
  </r>
  <r>
    <s v="Regular"/>
    <x v="1"/>
    <x v="2"/>
    <x v="0"/>
    <x v="0"/>
    <x v="0"/>
    <x v="0"/>
    <x v="1"/>
    <x v="6"/>
    <n v="0"/>
    <n v="0"/>
    <n v="26.103999999999999"/>
    <n v="26.103999999999999"/>
    <n v="26.103999999999999"/>
    <n v="26.103999999999999"/>
    <n v="0"/>
    <x v="0"/>
    <n v="0"/>
    <n v="0"/>
    <n v="15"/>
    <n v="65"/>
    <n v="0"/>
    <n v="1195.82"/>
    <n v="391.54"/>
    <m/>
    <n v="2051.1203590831656"/>
    <n v="364.92243737572466"/>
    <n v="0"/>
    <n v="31215.685279999998"/>
    <n v="10220.76016"/>
    <n v="0"/>
    <n v="53542.44585350695"/>
    <n v="9525.9353052559163"/>
  </r>
  <r>
    <s v="Sistema de Compensação"/>
    <x v="1"/>
    <x v="2"/>
    <x v="0"/>
    <x v="0"/>
    <x v="0"/>
    <x v="0"/>
    <x v="1"/>
    <x v="6"/>
    <n v="0"/>
    <n v="0"/>
    <n v="6.7990000000000004"/>
    <n v="6.7990000000000004"/>
    <n v="6.7990000000000004"/>
    <n v="6.7990000000000004"/>
    <n v="0"/>
    <x v="0"/>
    <n v="0"/>
    <n v="0"/>
    <n v="15"/>
    <n v="65"/>
    <n v="0"/>
    <n v="1195.82"/>
    <n v="391.54"/>
    <m/>
    <n v="2051.1203590831656"/>
    <n v="364.92243737572466"/>
    <n v="0"/>
    <n v="8130.3801800000001"/>
    <n v="2662.0804600000001"/>
    <n v="0"/>
    <n v="13945.567321406443"/>
    <n v="2481.107651717552"/>
  </r>
  <r>
    <s v="Regular"/>
    <x v="1"/>
    <x v="2"/>
    <x v="0"/>
    <x v="0"/>
    <x v="0"/>
    <x v="0"/>
    <x v="1"/>
    <x v="7"/>
    <n v="0"/>
    <n v="0"/>
    <n v="35.015000000000001"/>
    <n v="35.015000000000001"/>
    <n v="35.015000000000001"/>
    <n v="35.015000000000001"/>
    <n v="0"/>
    <x v="0"/>
    <n v="0"/>
    <n v="0"/>
    <n v="15"/>
    <n v="65"/>
    <n v="0"/>
    <n v="1195.82"/>
    <n v="391.54"/>
    <m/>
    <n v="2051.1203590831656"/>
    <n v="364.92243737572466"/>
    <n v="0"/>
    <n v="41871.637299999995"/>
    <n v="13709.7731"/>
    <n v="0"/>
    <n v="71819.979373297043"/>
    <n v="12777.759144710999"/>
  </r>
  <r>
    <s v="Sistema de Compensação"/>
    <x v="1"/>
    <x v="2"/>
    <x v="0"/>
    <x v="0"/>
    <x v="0"/>
    <x v="0"/>
    <x v="1"/>
    <x v="7"/>
    <n v="0"/>
    <n v="0"/>
    <n v="10.304"/>
    <n v="10.304"/>
    <n v="10.304"/>
    <n v="10.304"/>
    <n v="0"/>
    <x v="0"/>
    <n v="0"/>
    <n v="0"/>
    <n v="15"/>
    <n v="65"/>
    <n v="0"/>
    <n v="1195.82"/>
    <n v="391.54"/>
    <m/>
    <n v="2051.1203590831656"/>
    <n v="364.92243737572466"/>
    <n v="0"/>
    <n v="12321.72928"/>
    <n v="4034.4281600000004"/>
    <n v="0"/>
    <n v="21134.74417999294"/>
    <n v="3760.160794719467"/>
  </r>
  <r>
    <s v="Regular"/>
    <x v="1"/>
    <x v="2"/>
    <x v="0"/>
    <x v="0"/>
    <x v="0"/>
    <x v="0"/>
    <x v="1"/>
    <x v="8"/>
    <n v="0"/>
    <n v="0"/>
    <n v="30.991"/>
    <n v="30.991"/>
    <n v="30.991"/>
    <n v="30.991"/>
    <n v="0"/>
    <x v="0"/>
    <n v="0"/>
    <n v="0"/>
    <n v="15"/>
    <n v="65"/>
    <n v="0"/>
    <n v="1195.82"/>
    <n v="391.54"/>
    <m/>
    <n v="2051.1203590831656"/>
    <n v="364.92243737572466"/>
    <n v="0"/>
    <n v="37059.657619999998"/>
    <n v="12134.21614"/>
    <n v="0"/>
    <n v="63566.271048346382"/>
    <n v="11309.311256711082"/>
  </r>
  <r>
    <s v="Sistema de Compensação"/>
    <x v="1"/>
    <x v="2"/>
    <x v="0"/>
    <x v="0"/>
    <x v="0"/>
    <x v="0"/>
    <x v="1"/>
    <x v="8"/>
    <n v="0"/>
    <n v="0"/>
    <n v="8.5730000000000004"/>
    <n v="8.5730000000000004"/>
    <n v="8.5730000000000004"/>
    <n v="8.5730000000000004"/>
    <n v="0"/>
    <x v="0"/>
    <n v="0"/>
    <n v="0"/>
    <n v="15"/>
    <n v="65"/>
    <n v="0"/>
    <n v="1195.82"/>
    <n v="391.54"/>
    <m/>
    <n v="2051.1203590831656"/>
    <n v="364.92243737572466"/>
    <n v="0"/>
    <n v="10251.764859999999"/>
    <n v="3356.6724200000003"/>
    <n v="0"/>
    <n v="17584.25483841998"/>
    <n v="3128.4800556220875"/>
  </r>
  <r>
    <s v="Regular"/>
    <x v="1"/>
    <x v="2"/>
    <x v="0"/>
    <x v="0"/>
    <x v="0"/>
    <x v="0"/>
    <x v="1"/>
    <x v="9"/>
    <n v="0"/>
    <n v="0"/>
    <n v="28.847999999999999"/>
    <n v="28.847999999999999"/>
    <n v="28.847999999999999"/>
    <n v="28.847999999999999"/>
    <n v="0"/>
    <x v="0"/>
    <n v="0"/>
    <n v="0"/>
    <n v="15"/>
    <n v="65"/>
    <n v="0"/>
    <n v="1195.82"/>
    <n v="391.54"/>
    <m/>
    <n v="2051.1203590831656"/>
    <n v="364.92243737572466"/>
    <n v="0"/>
    <n v="34497.015359999998"/>
    <n v="11295.145920000001"/>
    <n v="0"/>
    <n v="59170.720118831159"/>
    <n v="10527.282473414905"/>
  </r>
  <r>
    <s v="Sistema de Compensação"/>
    <x v="1"/>
    <x v="2"/>
    <x v="0"/>
    <x v="0"/>
    <x v="0"/>
    <x v="0"/>
    <x v="1"/>
    <x v="9"/>
    <n v="0"/>
    <n v="0"/>
    <n v="9.3439999999999994"/>
    <n v="9.3439999999999994"/>
    <n v="9.3439999999999994"/>
    <n v="9.3439999999999994"/>
    <n v="0"/>
    <x v="0"/>
    <n v="0"/>
    <n v="0"/>
    <n v="15"/>
    <n v="65"/>
    <n v="0"/>
    <n v="1195.82"/>
    <n v="391.54"/>
    <m/>
    <n v="2051.1203590831656"/>
    <n v="364.92243737572466"/>
    <n v="0"/>
    <n v="11173.742079999998"/>
    <n v="3658.5497599999999"/>
    <n v="0"/>
    <n v="19165.668635273098"/>
    <n v="3409.8352548387711"/>
  </r>
  <r>
    <s v="Regular"/>
    <x v="1"/>
    <x v="2"/>
    <x v="0"/>
    <x v="0"/>
    <x v="0"/>
    <x v="0"/>
    <x v="1"/>
    <x v="1"/>
    <n v="0"/>
    <n v="0"/>
    <n v="26.05"/>
    <n v="26.05"/>
    <n v="26.05"/>
    <n v="26.05"/>
    <n v="0"/>
    <x v="0"/>
    <n v="0"/>
    <n v="0"/>
    <n v="15"/>
    <n v="65"/>
    <n v="0"/>
    <n v="1195.82"/>
    <n v="391.54"/>
    <m/>
    <n v="2051.1203590831656"/>
    <n v="364.92243737572466"/>
    <n v="0"/>
    <n v="31151.111000000001"/>
    <n v="10199.617"/>
    <n v="0"/>
    <n v="53431.685354116467"/>
    <n v="9506.2294936376275"/>
  </r>
  <r>
    <s v="Sistema de Compensação"/>
    <x v="1"/>
    <x v="2"/>
    <x v="0"/>
    <x v="0"/>
    <x v="0"/>
    <x v="0"/>
    <x v="1"/>
    <x v="1"/>
    <n v="0"/>
    <n v="0"/>
    <n v="12.593999999999999"/>
    <n v="12.593999999999999"/>
    <n v="12.593999999999999"/>
    <n v="12.593999999999999"/>
    <n v="0"/>
    <x v="0"/>
    <n v="0"/>
    <n v="0"/>
    <n v="15"/>
    <n v="65"/>
    <n v="0"/>
    <n v="1195.82"/>
    <n v="391.54"/>
    <m/>
    <n v="2051.1203590831656"/>
    <n v="364.92243737572466"/>
    <n v="0"/>
    <n v="15060.157079999999"/>
    <n v="4931.05476"/>
    <n v="0"/>
    <n v="25831.809802293385"/>
    <n v="4595.8331763098759"/>
  </r>
  <r>
    <s v="Regular"/>
    <x v="1"/>
    <x v="2"/>
    <x v="0"/>
    <x v="0"/>
    <x v="0"/>
    <x v="0"/>
    <x v="1"/>
    <x v="2"/>
    <n v="0"/>
    <n v="0"/>
    <n v="16.786000000000001"/>
    <n v="16.786000000000001"/>
    <n v="16.786000000000001"/>
    <n v="16.786000000000001"/>
    <n v="0"/>
    <x v="0"/>
    <n v="0"/>
    <n v="0"/>
    <n v="15"/>
    <n v="65"/>
    <n v="0"/>
    <n v="1195.82"/>
    <n v="391.54"/>
    <m/>
    <n v="2051.1203590831656"/>
    <n v="364.92243737572466"/>
    <n v="0"/>
    <n v="20073.034520000001"/>
    <n v="6572.390440000001"/>
    <n v="0"/>
    <n v="34430.106347570021"/>
    <n v="6125.5880337889148"/>
  </r>
  <r>
    <s v="Sistema de Compensação"/>
    <x v="1"/>
    <x v="2"/>
    <x v="0"/>
    <x v="0"/>
    <x v="0"/>
    <x v="0"/>
    <x v="1"/>
    <x v="2"/>
    <n v="0"/>
    <n v="0"/>
    <n v="11.019"/>
    <n v="11.019"/>
    <n v="11.019"/>
    <n v="11.019"/>
    <n v="0"/>
    <x v="0"/>
    <n v="0"/>
    <n v="0"/>
    <n v="15"/>
    <n v="65"/>
    <n v="0"/>
    <n v="1195.82"/>
    <n v="391.54"/>
    <m/>
    <n v="2051.1203590831656"/>
    <n v="364.92243737572466"/>
    <n v="0"/>
    <n v="13176.74058"/>
    <n v="4314.3792600000006"/>
    <n v="0"/>
    <n v="22601.295236737402"/>
    <n v="4021.0803374431102"/>
  </r>
  <r>
    <s v="Regular"/>
    <x v="1"/>
    <x v="2"/>
    <x v="0"/>
    <x v="0"/>
    <x v="0"/>
    <x v="0"/>
    <x v="1"/>
    <x v="3"/>
    <n v="0"/>
    <n v="0"/>
    <n v="25.280999999999999"/>
    <n v="25.280999999999999"/>
    <n v="25.280999999999999"/>
    <n v="25.280999999999999"/>
    <n v="0"/>
    <x v="0"/>
    <n v="0"/>
    <n v="0"/>
    <n v="15"/>
    <n v="65"/>
    <n v="0"/>
    <n v="1195.82"/>
    <n v="391.54"/>
    <m/>
    <n v="2051.1203590831656"/>
    <n v="364.92243737572466"/>
    <n v="0"/>
    <n v="30231.525419999998"/>
    <n v="9898.5227400000003"/>
    <n v="0"/>
    <n v="51854.373797981505"/>
    <n v="9225.604139295694"/>
  </r>
  <r>
    <s v="Sistema de Compensação"/>
    <x v="1"/>
    <x v="2"/>
    <x v="0"/>
    <x v="0"/>
    <x v="0"/>
    <x v="0"/>
    <x v="1"/>
    <x v="3"/>
    <n v="0"/>
    <n v="0"/>
    <n v="11.702"/>
    <n v="11.702"/>
    <n v="11.702"/>
    <n v="11.702"/>
    <n v="0"/>
    <x v="0"/>
    <n v="0"/>
    <n v="0"/>
    <n v="15"/>
    <n v="65"/>
    <n v="0"/>
    <n v="1195.82"/>
    <n v="391.54"/>
    <m/>
    <n v="2051.1203590831656"/>
    <n v="364.92243737572466"/>
    <n v="0"/>
    <n v="13993.485639999999"/>
    <n v="4581.8010800000002"/>
    <n v="0"/>
    <n v="24002.210441991203"/>
    <n v="4270.3223621707302"/>
  </r>
  <r>
    <s v="Regular"/>
    <x v="1"/>
    <x v="2"/>
    <x v="0"/>
    <x v="0"/>
    <x v="0"/>
    <x v="0"/>
    <x v="1"/>
    <x v="10"/>
    <n v="0"/>
    <n v="0"/>
    <n v="29.542000000000002"/>
    <n v="29.542000000000002"/>
    <n v="29.542000000000002"/>
    <n v="29.542000000000002"/>
    <n v="0"/>
    <x v="0"/>
    <n v="0"/>
    <n v="0"/>
    <n v="15"/>
    <n v="65"/>
    <n v="0"/>
    <n v="1195.82"/>
    <n v="391.54"/>
    <m/>
    <n v="2051.1203590831656"/>
    <n v="364.92243737572466"/>
    <n v="0"/>
    <n v="35326.91444"/>
    <n v="11566.874680000001"/>
    <n v="0"/>
    <n v="60594.197648034882"/>
    <n v="10780.538644953658"/>
  </r>
  <r>
    <s v="Sistema de Compensação"/>
    <x v="1"/>
    <x v="2"/>
    <x v="0"/>
    <x v="0"/>
    <x v="0"/>
    <x v="0"/>
    <x v="1"/>
    <x v="10"/>
    <n v="0"/>
    <n v="0"/>
    <n v="8.1170000000000009"/>
    <n v="8.1170000000000009"/>
    <n v="8.1170000000000009"/>
    <n v="8.1170000000000009"/>
    <n v="0"/>
    <x v="0"/>
    <n v="0"/>
    <n v="0"/>
    <n v="15"/>
    <n v="65"/>
    <n v="0"/>
    <n v="1195.82"/>
    <n v="391.54"/>
    <m/>
    <n v="2051.1203590831656"/>
    <n v="364.92243737572466"/>
    <n v="0"/>
    <n v="9706.4709400000011"/>
    <n v="3178.1301800000006"/>
    <n v="0"/>
    <n v="16648.943954678056"/>
    <n v="2962.0754241787572"/>
  </r>
  <r>
    <s v="PROJETADO"/>
    <x v="1"/>
    <x v="2"/>
    <x v="0"/>
    <x v="0"/>
    <x v="0"/>
    <x v="0"/>
    <x v="1"/>
    <x v="11"/>
    <n v="0"/>
    <n v="0"/>
    <n v="29.542000000000002"/>
    <n v="29.542000000000002"/>
    <n v="29.542000000000002"/>
    <n v="29.542000000000002"/>
    <n v="0"/>
    <x v="0"/>
    <n v="0"/>
    <n v="0"/>
    <n v="15"/>
    <n v="65"/>
    <n v="0"/>
    <n v="1195.82"/>
    <n v="391.54"/>
    <m/>
    <n v="2051.1203590831656"/>
    <n v="364.92243737572466"/>
    <n v="0"/>
    <n v="35326.91444"/>
    <n v="11566.874680000001"/>
    <n v="0"/>
    <n v="60594.197648034882"/>
    <n v="10780.538644953658"/>
  </r>
  <r>
    <s v="PROJETADO"/>
    <x v="1"/>
    <x v="2"/>
    <x v="0"/>
    <x v="0"/>
    <x v="0"/>
    <x v="0"/>
    <x v="1"/>
    <x v="11"/>
    <n v="0"/>
    <n v="0"/>
    <n v="8.1170000000000009"/>
    <n v="8.1170000000000009"/>
    <n v="8.1170000000000009"/>
    <n v="8.1170000000000009"/>
    <n v="0"/>
    <x v="0"/>
    <n v="0"/>
    <n v="0"/>
    <n v="15"/>
    <n v="65"/>
    <n v="0"/>
    <n v="1195.82"/>
    <n v="391.54"/>
    <m/>
    <n v="2051.1203590831656"/>
    <n v="364.92243737572466"/>
    <n v="0"/>
    <n v="9706.4709400000011"/>
    <n v="3178.1301800000006"/>
    <n v="0"/>
    <n v="16648.943954678056"/>
    <n v="2962.0754241787572"/>
  </r>
  <r>
    <s v="Regular"/>
    <x v="1"/>
    <x v="2"/>
    <x v="4"/>
    <x v="0"/>
    <x v="2"/>
    <x v="0"/>
    <x v="0"/>
    <x v="4"/>
    <n v="0"/>
    <n v="0"/>
    <n v="575.26099999999997"/>
    <n v="575.26099999999997"/>
    <n v="0"/>
    <n v="0"/>
    <n v="0"/>
    <x v="2"/>
    <n v="0"/>
    <n v="0"/>
    <n v="17"/>
    <n v="0"/>
    <n v="0"/>
    <n v="84.99"/>
    <n v="0"/>
    <m/>
    <n v="146.90220900317223"/>
    <m/>
    <n v="0"/>
    <n v="48891.432389999994"/>
    <n v="0"/>
    <n v="0"/>
    <n v="84507.111653373853"/>
    <n v="0"/>
  </r>
  <r>
    <s v="Regular"/>
    <x v="1"/>
    <x v="2"/>
    <x v="4"/>
    <x v="0"/>
    <x v="2"/>
    <x v="0"/>
    <x v="0"/>
    <x v="5"/>
    <n v="0"/>
    <n v="0"/>
    <n v="596.47500000000002"/>
    <n v="596.47500000000002"/>
    <n v="0"/>
    <n v="0"/>
    <n v="0"/>
    <x v="2"/>
    <n v="0"/>
    <n v="0"/>
    <n v="17"/>
    <n v="0"/>
    <n v="0"/>
    <n v="84.99"/>
    <n v="0"/>
    <m/>
    <n v="146.90220900317223"/>
    <m/>
    <n v="0"/>
    <n v="50694.410250000001"/>
    <n v="0"/>
    <n v="0"/>
    <n v="87623.495115167156"/>
    <n v="0"/>
  </r>
  <r>
    <s v="Regular"/>
    <x v="1"/>
    <x v="2"/>
    <x v="4"/>
    <x v="0"/>
    <x v="2"/>
    <x v="0"/>
    <x v="0"/>
    <x v="0"/>
    <n v="0"/>
    <n v="0"/>
    <n v="604.79100000000005"/>
    <n v="604.79100000000005"/>
    <n v="0"/>
    <n v="0"/>
    <n v="0"/>
    <x v="2"/>
    <n v="0"/>
    <n v="0"/>
    <n v="17"/>
    <n v="0"/>
    <n v="0"/>
    <n v="84.99"/>
    <n v="0"/>
    <m/>
    <n v="146.90220900317223"/>
    <m/>
    <n v="0"/>
    <n v="51401.187089999999"/>
    <n v="0"/>
    <n v="0"/>
    <n v="88845.133885237548"/>
    <n v="0"/>
  </r>
  <r>
    <s v="Regular"/>
    <x v="1"/>
    <x v="2"/>
    <x v="4"/>
    <x v="0"/>
    <x v="2"/>
    <x v="0"/>
    <x v="0"/>
    <x v="6"/>
    <n v="0"/>
    <n v="0"/>
    <n v="605.59"/>
    <n v="605.59"/>
    <n v="0"/>
    <n v="0"/>
    <n v="0"/>
    <x v="2"/>
    <n v="0"/>
    <n v="0"/>
    <n v="17"/>
    <n v="0"/>
    <n v="0"/>
    <n v="84.99"/>
    <n v="0"/>
    <m/>
    <n v="146.90220900317223"/>
    <m/>
    <n v="0"/>
    <n v="51469.094100000002"/>
    <n v="0"/>
    <n v="0"/>
    <n v="88962.508750231078"/>
    <n v="0"/>
  </r>
  <r>
    <s v="Regular"/>
    <x v="1"/>
    <x v="2"/>
    <x v="4"/>
    <x v="0"/>
    <x v="2"/>
    <x v="0"/>
    <x v="0"/>
    <x v="7"/>
    <n v="0"/>
    <n v="0"/>
    <n v="636.11300000000006"/>
    <n v="636.11300000000006"/>
    <n v="0"/>
    <n v="0"/>
    <n v="0"/>
    <x v="2"/>
    <n v="0"/>
    <n v="0"/>
    <n v="17"/>
    <n v="0"/>
    <n v="0"/>
    <n v="84.99"/>
    <n v="0"/>
    <m/>
    <n v="146.90220900317223"/>
    <m/>
    <n v="0"/>
    <n v="54063.243869999998"/>
    <n v="0"/>
    <n v="0"/>
    <n v="93446.404875634908"/>
    <n v="0"/>
  </r>
  <r>
    <s v="Regular"/>
    <x v="1"/>
    <x v="2"/>
    <x v="4"/>
    <x v="0"/>
    <x v="2"/>
    <x v="0"/>
    <x v="0"/>
    <x v="8"/>
    <n v="0"/>
    <n v="0"/>
    <n v="652.21600000000001"/>
    <n v="652.21600000000001"/>
    <n v="0"/>
    <n v="0"/>
    <n v="0"/>
    <x v="2"/>
    <n v="0"/>
    <n v="0"/>
    <n v="17"/>
    <n v="0"/>
    <n v="0"/>
    <n v="84.99"/>
    <n v="0"/>
    <m/>
    <n v="146.90220900317223"/>
    <m/>
    <n v="0"/>
    <n v="55431.83784"/>
    <n v="0"/>
    <n v="0"/>
    <n v="95811.971147212986"/>
    <n v="0"/>
  </r>
  <r>
    <s v="Regular"/>
    <x v="1"/>
    <x v="2"/>
    <x v="4"/>
    <x v="0"/>
    <x v="2"/>
    <x v="0"/>
    <x v="0"/>
    <x v="9"/>
    <n v="0"/>
    <n v="0"/>
    <n v="649.923"/>
    <n v="649.923"/>
    <n v="0"/>
    <n v="0"/>
    <n v="0"/>
    <x v="2"/>
    <n v="0"/>
    <n v="0"/>
    <n v="17"/>
    <n v="0"/>
    <n v="0"/>
    <n v="84.99"/>
    <n v="0"/>
    <m/>
    <n v="146.90220900317223"/>
    <m/>
    <n v="0"/>
    <n v="55236.955769999993"/>
    <n v="0"/>
    <n v="0"/>
    <n v="95475.124381968708"/>
    <n v="0"/>
  </r>
  <r>
    <s v="Regular"/>
    <x v="1"/>
    <x v="2"/>
    <x v="4"/>
    <x v="0"/>
    <x v="2"/>
    <x v="0"/>
    <x v="0"/>
    <x v="1"/>
    <n v="0"/>
    <n v="0"/>
    <n v="575.21400000000006"/>
    <n v="575.21400000000006"/>
    <n v="0"/>
    <n v="0"/>
    <n v="0"/>
    <x v="2"/>
    <n v="0"/>
    <n v="0"/>
    <n v="17"/>
    <n v="0"/>
    <n v="0"/>
    <n v="84.99"/>
    <n v="0"/>
    <m/>
    <n v="146.90220900317223"/>
    <m/>
    <n v="0"/>
    <n v="48887.437859999998"/>
    <n v="0"/>
    <n v="0"/>
    <n v="84500.207249550716"/>
    <n v="0"/>
  </r>
  <r>
    <s v="Regular"/>
    <x v="1"/>
    <x v="2"/>
    <x v="4"/>
    <x v="0"/>
    <x v="2"/>
    <x v="0"/>
    <x v="0"/>
    <x v="2"/>
    <n v="0"/>
    <n v="0"/>
    <n v="748.23299999999995"/>
    <n v="748.23299999999995"/>
    <n v="0"/>
    <n v="0"/>
    <n v="0"/>
    <x v="2"/>
    <n v="0"/>
    <n v="0"/>
    <n v="17"/>
    <n v="0"/>
    <n v="0"/>
    <n v="84.99"/>
    <n v="0"/>
    <m/>
    <n v="146.90220900317223"/>
    <m/>
    <n v="0"/>
    <n v="63592.322669999994"/>
    <n v="0"/>
    <n v="0"/>
    <n v="109917.08054907055"/>
    <n v="0"/>
  </r>
  <r>
    <s v="Regular"/>
    <x v="1"/>
    <x v="2"/>
    <x v="4"/>
    <x v="0"/>
    <x v="2"/>
    <x v="0"/>
    <x v="0"/>
    <x v="3"/>
    <n v="0"/>
    <n v="0"/>
    <n v="706.13199999999995"/>
    <n v="706.13199999999995"/>
    <n v="0"/>
    <n v="0"/>
    <n v="0"/>
    <x v="2"/>
    <n v="0"/>
    <n v="0"/>
    <n v="17"/>
    <n v="0"/>
    <n v="0"/>
    <n v="84.99"/>
    <n v="0"/>
    <m/>
    <n v="146.90220900317223"/>
    <m/>
    <n v="0"/>
    <n v="60014.158679999993"/>
    <n v="0"/>
    <n v="0"/>
    <n v="103732.350647828"/>
    <n v="0"/>
  </r>
  <r>
    <s v="Regular"/>
    <x v="1"/>
    <x v="2"/>
    <x v="4"/>
    <x v="0"/>
    <x v="2"/>
    <x v="0"/>
    <x v="0"/>
    <x v="10"/>
    <n v="0"/>
    <n v="0"/>
    <n v="641.66600000000005"/>
    <n v="641.66600000000005"/>
    <n v="0"/>
    <n v="0"/>
    <n v="0"/>
    <x v="2"/>
    <n v="0"/>
    <n v="0"/>
    <n v="17"/>
    <n v="0"/>
    <n v="0"/>
    <n v="84.99"/>
    <n v="0"/>
    <m/>
    <n v="146.90220900317223"/>
    <m/>
    <n v="0"/>
    <n v="54535.193339999998"/>
    <n v="0"/>
    <n v="0"/>
    <n v="94262.152842229523"/>
    <n v="0"/>
  </r>
  <r>
    <s v="PROJETADO"/>
    <x v="1"/>
    <x v="2"/>
    <x v="4"/>
    <x v="0"/>
    <x v="2"/>
    <x v="0"/>
    <x v="0"/>
    <x v="11"/>
    <n v="0"/>
    <n v="0"/>
    <n v="641.66600000000005"/>
    <n v="641.66600000000005"/>
    <n v="0"/>
    <n v="0"/>
    <n v="0"/>
    <x v="2"/>
    <n v="0"/>
    <n v="0"/>
    <n v="17"/>
    <n v="0"/>
    <n v="0"/>
    <n v="84.99"/>
    <n v="0"/>
    <m/>
    <n v="146.90220900317223"/>
    <m/>
    <n v="0"/>
    <n v="54535.193339999998"/>
    <n v="0"/>
    <n v="0"/>
    <n v="94262.152842229523"/>
    <n v="0"/>
  </r>
  <r>
    <s v="Regular"/>
    <x v="1"/>
    <x v="2"/>
    <x v="4"/>
    <x v="0"/>
    <x v="2"/>
    <x v="0"/>
    <x v="2"/>
    <x v="4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5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0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6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7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8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9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1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2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3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10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PROJETADO"/>
    <x v="1"/>
    <x v="2"/>
    <x v="4"/>
    <x v="0"/>
    <x v="2"/>
    <x v="0"/>
    <x v="2"/>
    <x v="11"/>
    <n v="2100"/>
    <n v="1050"/>
    <n v="0"/>
    <n v="0"/>
    <n v="0"/>
    <n v="0"/>
    <n v="1"/>
    <x v="2"/>
    <n v="0"/>
    <n v="13"/>
    <n v="0"/>
    <n v="0"/>
    <n v="18.920000000000002"/>
    <n v="0"/>
    <n v="0"/>
    <n v="32.556945267352141"/>
    <m/>
    <m/>
    <n v="19866"/>
    <n v="0"/>
    <n v="0"/>
    <n v="34184.792530719751"/>
    <n v="0"/>
    <n v="0"/>
  </r>
  <r>
    <s v="Regular"/>
    <x v="1"/>
    <x v="2"/>
    <x v="4"/>
    <x v="0"/>
    <x v="2"/>
    <x v="0"/>
    <x v="1"/>
    <x v="4"/>
    <n v="0"/>
    <n v="0"/>
    <n v="20.846"/>
    <n v="11.075382657640001"/>
    <n v="0"/>
    <n v="0"/>
    <n v="0"/>
    <x v="2"/>
    <n v="0"/>
    <n v="0"/>
    <n v="15"/>
    <n v="0"/>
    <n v="0"/>
    <n v="1195.82"/>
    <n v="0"/>
    <m/>
    <n v="2051.1203590831656"/>
    <m/>
    <n v="0"/>
    <n v="13244.164089659065"/>
    <n v="0"/>
    <n v="0"/>
    <n v="22716.942853722023"/>
    <n v="0"/>
  </r>
  <r>
    <s v="Regular"/>
    <x v="1"/>
    <x v="2"/>
    <x v="4"/>
    <x v="0"/>
    <x v="2"/>
    <x v="0"/>
    <x v="1"/>
    <x v="5"/>
    <n v="0"/>
    <n v="0"/>
    <n v="24.186"/>
    <n v="12.952480468079999"/>
    <n v="0"/>
    <n v="0"/>
    <n v="0"/>
    <x v="2"/>
    <n v="0"/>
    <n v="0"/>
    <n v="15"/>
    <n v="0"/>
    <n v="0"/>
    <n v="1195.82"/>
    <n v="0"/>
    <m/>
    <n v="2051.1203590831656"/>
    <m/>
    <n v="0"/>
    <n v="15488.835193339424"/>
    <n v="0"/>
    <n v="0"/>
    <n v="26567.096388705937"/>
    <n v="0"/>
  </r>
  <r>
    <s v="Regular"/>
    <x v="1"/>
    <x v="2"/>
    <x v="4"/>
    <x v="0"/>
    <x v="2"/>
    <x v="0"/>
    <x v="1"/>
    <x v="0"/>
    <n v="0"/>
    <n v="0"/>
    <n v="26.704000000000001"/>
    <n v="14.30096082112"/>
    <n v="0"/>
    <n v="0"/>
    <n v="0"/>
    <x v="2"/>
    <n v="0"/>
    <n v="0"/>
    <n v="15"/>
    <n v="0"/>
    <n v="0"/>
    <n v="1195.82"/>
    <n v="0"/>
    <m/>
    <n v="2051.1203590831656"/>
    <m/>
    <n v="0"/>
    <n v="17101.374969111719"/>
    <n v="0"/>
    <n v="0"/>
    <n v="29332.991894649938"/>
    <n v="0"/>
  </r>
  <r>
    <s v="Regular"/>
    <x v="1"/>
    <x v="2"/>
    <x v="4"/>
    <x v="0"/>
    <x v="2"/>
    <x v="0"/>
    <x v="1"/>
    <x v="6"/>
    <n v="0"/>
    <n v="0"/>
    <n v="23.411000000000001"/>
    <n v="12.53743985108"/>
    <n v="0"/>
    <n v="0"/>
    <n v="0"/>
    <x v="2"/>
    <n v="0"/>
    <n v="0"/>
    <n v="15"/>
    <n v="0"/>
    <n v="0"/>
    <n v="1195.82"/>
    <n v="0"/>
    <m/>
    <n v="2051.1203590831656"/>
    <m/>
    <n v="0"/>
    <n v="14992.521322718485"/>
    <n v="0"/>
    <n v="0"/>
    <n v="25715.7981293308"/>
    <n v="0"/>
  </r>
  <r>
    <s v="Regular"/>
    <x v="1"/>
    <x v="2"/>
    <x v="4"/>
    <x v="0"/>
    <x v="2"/>
    <x v="0"/>
    <x v="1"/>
    <x v="7"/>
    <n v="0"/>
    <n v="0"/>
    <n v="22.696999999999999"/>
    <n v="12.15506694716"/>
    <n v="0"/>
    <n v="0"/>
    <n v="0"/>
    <x v="2"/>
    <n v="0"/>
    <n v="0"/>
    <n v="15"/>
    <n v="0"/>
    <n v="0"/>
    <n v="1195.82"/>
    <n v="0"/>
    <m/>
    <n v="2051.1203590831656"/>
    <m/>
    <n v="0"/>
    <n v="14535.27215675287"/>
    <n v="0"/>
    <n v="0"/>
    <n v="24931.505281338737"/>
    <n v="0"/>
  </r>
  <r>
    <s v="Regular"/>
    <x v="1"/>
    <x v="2"/>
    <x v="4"/>
    <x v="0"/>
    <x v="2"/>
    <x v="0"/>
    <x v="1"/>
    <x v="8"/>
    <n v="0"/>
    <n v="0"/>
    <n v="22.974"/>
    <n v="12.30341049672"/>
    <n v="0"/>
    <n v="0"/>
    <n v="0"/>
    <x v="2"/>
    <n v="0"/>
    <n v="0"/>
    <n v="15"/>
    <n v="0"/>
    <n v="0"/>
    <n v="1195.82"/>
    <n v="0"/>
    <m/>
    <n v="2051.1203590831656"/>
    <m/>
    <n v="0"/>
    <n v="14712.66434018771"/>
    <n v="0"/>
    <n v="0"/>
    <n v="25235.775755979914"/>
    <n v="0"/>
  </r>
  <r>
    <s v="Regular"/>
    <x v="1"/>
    <x v="2"/>
    <x v="4"/>
    <x v="0"/>
    <x v="2"/>
    <x v="0"/>
    <x v="1"/>
    <x v="9"/>
    <n v="0"/>
    <n v="0"/>
    <n v="22.655999999999999"/>
    <n v="12.133109959680001"/>
    <n v="0"/>
    <n v="0"/>
    <n v="0"/>
    <x v="2"/>
    <n v="0"/>
    <n v="0"/>
    <n v="15"/>
    <n v="0"/>
    <n v="0"/>
    <n v="1195.82"/>
    <n v="0"/>
    <m/>
    <n v="2051.1203590831656"/>
    <m/>
    <n v="0"/>
    <n v="14509.015551984538"/>
    <n v="0"/>
    <n v="0"/>
    <n v="24886.468857294374"/>
    <n v="0"/>
  </r>
  <r>
    <s v="Regular"/>
    <x v="1"/>
    <x v="2"/>
    <x v="4"/>
    <x v="0"/>
    <x v="2"/>
    <x v="0"/>
    <x v="1"/>
    <x v="1"/>
    <n v="0"/>
    <n v="0"/>
    <n v="19.187999999999999"/>
    <n v="10.27587014064"/>
    <n v="0"/>
    <n v="0"/>
    <n v="0"/>
    <x v="2"/>
    <n v="0"/>
    <n v="0"/>
    <n v="15"/>
    <n v="0"/>
    <n v="0"/>
    <n v="1195.82"/>
    <n v="0"/>
    <m/>
    <n v="2051.1203590831656"/>
    <m/>
    <n v="0"/>
    <n v="12288.091031580125"/>
    <n v="0"/>
    <n v="0"/>
    <n v="21077.046452761497"/>
    <n v="0"/>
  </r>
  <r>
    <s v="Regular"/>
    <x v="1"/>
    <x v="2"/>
    <x v="4"/>
    <x v="0"/>
    <x v="2"/>
    <x v="0"/>
    <x v="1"/>
    <x v="2"/>
    <n v="0"/>
    <n v="0"/>
    <n v="28.712"/>
    <n v="15.376317671360001"/>
    <n v="0"/>
    <n v="0"/>
    <n v="0"/>
    <x v="2"/>
    <n v="0"/>
    <n v="0"/>
    <n v="15"/>
    <n v="0"/>
    <n v="0"/>
    <n v="1195.82"/>
    <n v="0"/>
    <m/>
    <n v="2051.1203590831656"/>
    <m/>
    <n v="0"/>
    <n v="18387.308197765717"/>
    <n v="0"/>
    <n v="0"/>
    <n v="31538.678223456747"/>
    <n v="0"/>
  </r>
  <r>
    <s v="Regular"/>
    <x v="1"/>
    <x v="2"/>
    <x v="4"/>
    <x v="0"/>
    <x v="2"/>
    <x v="0"/>
    <x v="1"/>
    <x v="3"/>
    <n v="0"/>
    <n v="0"/>
    <n v="31.527999999999999"/>
    <n v="16.884387835839998"/>
    <n v="0"/>
    <n v="0"/>
    <n v="0"/>
    <x v="2"/>
    <n v="0"/>
    <n v="0"/>
    <n v="15"/>
    <n v="0"/>
    <n v="0"/>
    <n v="1195.82"/>
    <n v="0"/>
    <m/>
    <n v="2051.1203590831656"/>
    <m/>
    <n v="0"/>
    <n v="20190.688661854187"/>
    <n v="0"/>
    <n v="0"/>
    <n v="34631.911640747567"/>
    <n v="0"/>
  </r>
  <r>
    <s v="Regular"/>
    <x v="1"/>
    <x v="2"/>
    <x v="4"/>
    <x v="0"/>
    <x v="2"/>
    <x v="0"/>
    <x v="1"/>
    <x v="10"/>
    <n v="0"/>
    <n v="0"/>
    <n v="29.128"/>
    <n v="15.599100763839999"/>
    <n v="0"/>
    <n v="0"/>
    <n v="0"/>
    <x v="2"/>
    <n v="0"/>
    <n v="0"/>
    <n v="15"/>
    <n v="0"/>
    <n v="0"/>
    <n v="1195.82"/>
    <n v="0"/>
    <m/>
    <n v="2051.1203590831656"/>
    <m/>
    <n v="0"/>
    <n v="18653.716675415148"/>
    <n v="0"/>
    <n v="0"/>
    <n v="31995.633160101981"/>
    <n v="0"/>
  </r>
  <r>
    <s v="PROJETADO"/>
    <x v="1"/>
    <x v="2"/>
    <x v="4"/>
    <x v="0"/>
    <x v="2"/>
    <x v="0"/>
    <x v="1"/>
    <x v="11"/>
    <n v="0"/>
    <n v="0"/>
    <n v="29.128"/>
    <n v="15.599100763839999"/>
    <n v="0"/>
    <n v="0"/>
    <n v="0"/>
    <x v="2"/>
    <n v="0"/>
    <n v="0"/>
    <n v="15"/>
    <n v="0"/>
    <n v="0"/>
    <n v="1195.82"/>
    <n v="0"/>
    <m/>
    <n v="2051.1203590831656"/>
    <m/>
    <n v="0"/>
    <n v="18653.716675415148"/>
    <n v="0"/>
    <n v="0"/>
    <n v="31995.633160101981"/>
    <n v="0"/>
  </r>
  <r>
    <s v="Regular"/>
    <x v="1"/>
    <x v="2"/>
    <x v="4"/>
    <x v="0"/>
    <x v="0"/>
    <x v="0"/>
    <x v="0"/>
    <x v="4"/>
    <n v="0"/>
    <n v="0"/>
    <n v="849.83"/>
    <n v="849.83"/>
    <n v="849.83"/>
    <n v="849.83"/>
    <n v="0"/>
    <x v="0"/>
    <n v="0"/>
    <n v="0"/>
    <n v="17"/>
    <n v="66"/>
    <n v="0"/>
    <n v="84.99"/>
    <n v="242.77"/>
    <m/>
    <n v="146.90220900317223"/>
    <n v="227.53897547400734"/>
    <n v="0"/>
    <n v="72227.051699999996"/>
    <n v="206313.22910000003"/>
    <n v="0"/>
    <n v="124841.90427716586"/>
    <n v="193369.44752707568"/>
  </r>
  <r>
    <s v="Sistema de Compensação"/>
    <x v="1"/>
    <x v="2"/>
    <x v="4"/>
    <x v="0"/>
    <x v="0"/>
    <x v="0"/>
    <x v="0"/>
    <x v="4"/>
    <n v="0"/>
    <n v="0"/>
    <n v="1"/>
    <n v="1"/>
    <n v="1"/>
    <n v="1"/>
    <n v="0"/>
    <x v="0"/>
    <n v="0"/>
    <n v="0"/>
    <n v="17"/>
    <n v="66"/>
    <n v="0"/>
    <n v="84.99"/>
    <n v="242.77"/>
    <m/>
    <n v="146.90220900317223"/>
    <n v="227.53897547400734"/>
    <n v="0"/>
    <n v="84.99"/>
    <n v="242.77"/>
    <n v="0"/>
    <n v="146.90220900317223"/>
    <n v="227.53897547400734"/>
  </r>
  <r>
    <s v="Regular"/>
    <x v="1"/>
    <x v="2"/>
    <x v="4"/>
    <x v="0"/>
    <x v="0"/>
    <x v="0"/>
    <x v="0"/>
    <x v="5"/>
    <n v="0"/>
    <n v="0"/>
    <n v="751.16800000000001"/>
    <n v="751.16800000000001"/>
    <n v="751.16800000000001"/>
    <n v="751.16800000000001"/>
    <n v="0"/>
    <x v="0"/>
    <n v="0"/>
    <n v="0"/>
    <n v="17"/>
    <n v="66"/>
    <n v="0"/>
    <n v="84.99"/>
    <n v="242.77"/>
    <m/>
    <n v="146.90220900317223"/>
    <n v="227.53897547400734"/>
    <n v="0"/>
    <n v="63841.768319999996"/>
    <n v="182361.05536"/>
    <n v="0"/>
    <n v="110348.23853249488"/>
    <n v="170919.99712885916"/>
  </r>
  <r>
    <s v="Sistema de Compensação"/>
    <x v="1"/>
    <x v="2"/>
    <x v="4"/>
    <x v="0"/>
    <x v="0"/>
    <x v="0"/>
    <x v="0"/>
    <x v="5"/>
    <n v="0"/>
    <n v="0"/>
    <n v="1.2030000000000001"/>
    <n v="1.2030000000000001"/>
    <n v="1.2030000000000001"/>
    <n v="1.2030000000000001"/>
    <n v="0"/>
    <x v="0"/>
    <n v="0"/>
    <n v="0"/>
    <n v="17"/>
    <n v="66"/>
    <n v="0"/>
    <n v="84.99"/>
    <n v="242.77"/>
    <m/>
    <n v="146.90220900317223"/>
    <n v="227.53897547400734"/>
    <n v="0"/>
    <n v="102.24297"/>
    <n v="292.05231000000003"/>
    <n v="0"/>
    <n v="176.72335743081621"/>
    <n v="273.72938749523087"/>
  </r>
  <r>
    <s v="Regular"/>
    <x v="1"/>
    <x v="2"/>
    <x v="4"/>
    <x v="0"/>
    <x v="0"/>
    <x v="0"/>
    <x v="0"/>
    <x v="0"/>
    <n v="0"/>
    <n v="0"/>
    <n v="729.11"/>
    <n v="729.11"/>
    <n v="729.11"/>
    <n v="729.11"/>
    <n v="0"/>
    <x v="0"/>
    <n v="0"/>
    <n v="0"/>
    <n v="17"/>
    <n v="66"/>
    <n v="0"/>
    <n v="84.99"/>
    <n v="242.77"/>
    <m/>
    <n v="146.90220900317223"/>
    <n v="227.53897547400734"/>
    <n v="0"/>
    <n v="61967.058899999996"/>
    <n v="177006.03470000002"/>
    <n v="0"/>
    <n v="107107.86960630291"/>
    <n v="165900.94240785349"/>
  </r>
  <r>
    <s v="Sistema de Compensação"/>
    <x v="1"/>
    <x v="2"/>
    <x v="4"/>
    <x v="0"/>
    <x v="0"/>
    <x v="0"/>
    <x v="0"/>
    <x v="0"/>
    <n v="0"/>
    <n v="0"/>
    <n v="1.08"/>
    <n v="1.08"/>
    <n v="1.08"/>
    <n v="1.08"/>
    <n v="0"/>
    <x v="0"/>
    <n v="0"/>
    <n v="0"/>
    <n v="17"/>
    <n v="66"/>
    <n v="0"/>
    <n v="84.99"/>
    <n v="242.77"/>
    <m/>
    <n v="146.90220900317223"/>
    <n v="227.53897547400734"/>
    <n v="0"/>
    <n v="91.789199999999994"/>
    <n v="262.19160000000005"/>
    <n v="0"/>
    <n v="158.65438572342603"/>
    <n v="245.74209351192795"/>
  </r>
  <r>
    <s v="Regular"/>
    <x v="1"/>
    <x v="2"/>
    <x v="4"/>
    <x v="0"/>
    <x v="0"/>
    <x v="0"/>
    <x v="0"/>
    <x v="6"/>
    <n v="0"/>
    <n v="0"/>
    <n v="748.76099999999997"/>
    <n v="748.76099999999997"/>
    <n v="748.76099999999997"/>
    <n v="748.76099999999997"/>
    <n v="0"/>
    <x v="0"/>
    <n v="0"/>
    <n v="0"/>
    <n v="17"/>
    <n v="66"/>
    <n v="0"/>
    <n v="84.99"/>
    <n v="242.77"/>
    <m/>
    <n v="146.90220900317223"/>
    <n v="227.53897547400734"/>
    <n v="0"/>
    <n v="63637.197389999994"/>
    <n v="181776.70796999999"/>
    <n v="0"/>
    <n v="109994.64491542424"/>
    <n v="170372.31081489319"/>
  </r>
  <r>
    <s v="Sistema de Compensação"/>
    <x v="1"/>
    <x v="2"/>
    <x v="4"/>
    <x v="0"/>
    <x v="0"/>
    <x v="0"/>
    <x v="0"/>
    <x v="6"/>
    <n v="0"/>
    <n v="0"/>
    <n v="1.585"/>
    <n v="1.585"/>
    <n v="1.585"/>
    <n v="1.585"/>
    <n v="0"/>
    <x v="0"/>
    <n v="0"/>
    <n v="0"/>
    <n v="17"/>
    <n v="66"/>
    <n v="0"/>
    <n v="84.99"/>
    <n v="242.77"/>
    <m/>
    <n v="146.90220900317223"/>
    <n v="227.53897547400734"/>
    <n v="0"/>
    <n v="134.70914999999999"/>
    <n v="384.79045000000002"/>
    <n v="0"/>
    <n v="232.84000127002798"/>
    <n v="360.64927612630163"/>
  </r>
  <r>
    <s v="Regular"/>
    <x v="1"/>
    <x v="2"/>
    <x v="4"/>
    <x v="0"/>
    <x v="0"/>
    <x v="0"/>
    <x v="0"/>
    <x v="7"/>
    <n v="0"/>
    <n v="0"/>
    <n v="879.36"/>
    <n v="879.36"/>
    <n v="879.36"/>
    <n v="879.36"/>
    <n v="0"/>
    <x v="0"/>
    <n v="0"/>
    <n v="0"/>
    <n v="17"/>
    <n v="66"/>
    <n v="0"/>
    <n v="84.99"/>
    <n v="242.77"/>
    <m/>
    <n v="146.90220900317223"/>
    <n v="227.53897547400734"/>
    <n v="0"/>
    <n v="74736.806400000001"/>
    <n v="213482.22720000002"/>
    <n v="0"/>
    <n v="129179.92650902954"/>
    <n v="200088.67347282311"/>
  </r>
  <r>
    <s v="Sistema de Compensação"/>
    <x v="1"/>
    <x v="2"/>
    <x v="4"/>
    <x v="0"/>
    <x v="0"/>
    <x v="0"/>
    <x v="0"/>
    <x v="7"/>
    <n v="0"/>
    <n v="0"/>
    <n v="1.5589999999999999"/>
    <n v="1.5589999999999999"/>
    <n v="1.5589999999999999"/>
    <n v="1.5589999999999999"/>
    <n v="0"/>
    <x v="0"/>
    <n v="0"/>
    <n v="0"/>
    <n v="17"/>
    <n v="66"/>
    <n v="0"/>
    <n v="84.99"/>
    <n v="242.77"/>
    <m/>
    <n v="146.90220900317223"/>
    <n v="227.53897547400734"/>
    <n v="0"/>
    <n v="132.49940999999998"/>
    <n v="378.47843"/>
    <n v="0"/>
    <n v="229.02054383594549"/>
    <n v="354.73326276397745"/>
  </r>
  <r>
    <s v="Regular"/>
    <x v="1"/>
    <x v="2"/>
    <x v="4"/>
    <x v="0"/>
    <x v="0"/>
    <x v="0"/>
    <x v="0"/>
    <x v="8"/>
    <n v="0"/>
    <n v="0"/>
    <n v="776.197"/>
    <n v="776.197"/>
    <n v="776.197"/>
    <n v="776.197"/>
    <n v="0"/>
    <x v="0"/>
    <n v="0"/>
    <n v="0"/>
    <n v="17"/>
    <n v="66"/>
    <n v="0"/>
    <n v="84.99"/>
    <n v="242.77"/>
    <m/>
    <n v="146.90220900317223"/>
    <n v="227.53897547400734"/>
    <n v="0"/>
    <n v="65968.983030000003"/>
    <n v="188437.34569000002"/>
    <n v="0"/>
    <n v="114025.05392163528"/>
    <n v="176615.07014599809"/>
  </r>
  <r>
    <s v="Sistema de Compensação"/>
    <x v="1"/>
    <x v="2"/>
    <x v="4"/>
    <x v="0"/>
    <x v="0"/>
    <x v="0"/>
    <x v="0"/>
    <x v="8"/>
    <n v="0"/>
    <n v="0"/>
    <n v="1.232"/>
    <n v="1.232"/>
    <n v="1.232"/>
    <n v="1.232"/>
    <n v="0"/>
    <x v="0"/>
    <n v="0"/>
    <n v="0"/>
    <n v="17"/>
    <n v="66"/>
    <n v="0"/>
    <n v="84.99"/>
    <n v="242.77"/>
    <m/>
    <n v="146.90220900317223"/>
    <n v="227.53897547400734"/>
    <n v="0"/>
    <n v="104.70768"/>
    <n v="299.09264000000002"/>
    <n v="0"/>
    <n v="180.98352149190819"/>
    <n v="280.32801778397703"/>
  </r>
  <r>
    <s v="Regular"/>
    <x v="1"/>
    <x v="2"/>
    <x v="4"/>
    <x v="0"/>
    <x v="0"/>
    <x v="0"/>
    <x v="0"/>
    <x v="9"/>
    <n v="0"/>
    <n v="0"/>
    <n v="673.07399999999996"/>
    <n v="673.07399999999996"/>
    <n v="673.07399999999996"/>
    <n v="673.07399999999996"/>
    <n v="0"/>
    <x v="0"/>
    <n v="0"/>
    <n v="0"/>
    <n v="17"/>
    <n v="66"/>
    <n v="0"/>
    <n v="84.99"/>
    <n v="242.77"/>
    <m/>
    <n v="146.90220900317223"/>
    <n v="227.53897547400734"/>
    <n v="0"/>
    <n v="57204.559259999995"/>
    <n v="163402.17497999998"/>
    <n v="0"/>
    <n v="98876.057422601138"/>
    <n v="153150.56837819202"/>
  </r>
  <r>
    <s v="Sistema de Compensação"/>
    <x v="1"/>
    <x v="2"/>
    <x v="4"/>
    <x v="0"/>
    <x v="0"/>
    <x v="0"/>
    <x v="0"/>
    <x v="9"/>
    <n v="0"/>
    <n v="0"/>
    <n v="1.0860000000000001"/>
    <n v="1.0860000000000001"/>
    <n v="1.0860000000000001"/>
    <n v="1.0860000000000001"/>
    <n v="0"/>
    <x v="0"/>
    <n v="0"/>
    <n v="0"/>
    <n v="17"/>
    <n v="66"/>
    <n v="0"/>
    <n v="84.99"/>
    <n v="242.77"/>
    <m/>
    <n v="146.90220900317223"/>
    <n v="227.53897547400734"/>
    <n v="0"/>
    <n v="92.299139999999994"/>
    <n v="263.64822000000004"/>
    <n v="0"/>
    <n v="159.53579897744507"/>
    <n v="247.107327364772"/>
  </r>
  <r>
    <s v="Regular"/>
    <x v="1"/>
    <x v="2"/>
    <x v="4"/>
    <x v="0"/>
    <x v="0"/>
    <x v="0"/>
    <x v="0"/>
    <x v="1"/>
    <n v="0"/>
    <n v="0"/>
    <n v="639.99800000000005"/>
    <n v="639.99800000000005"/>
    <n v="639.99800000000005"/>
    <n v="639.99800000000005"/>
    <n v="0"/>
    <x v="0"/>
    <n v="0"/>
    <n v="0"/>
    <n v="17"/>
    <n v="66"/>
    <n v="0"/>
    <n v="84.99"/>
    <n v="242.77"/>
    <m/>
    <n v="146.90220900317223"/>
    <n v="227.53897547400734"/>
    <n v="0"/>
    <n v="54393.43002"/>
    <n v="155372.31446000002"/>
    <n v="0"/>
    <n v="94017.119957612231"/>
    <n v="145624.48922541377"/>
  </r>
  <r>
    <s v="Sistema de Compensação"/>
    <x v="1"/>
    <x v="2"/>
    <x v="4"/>
    <x v="0"/>
    <x v="0"/>
    <x v="0"/>
    <x v="0"/>
    <x v="1"/>
    <n v="0"/>
    <n v="0"/>
    <n v="1.1859999999999999"/>
    <n v="1.1859999999999999"/>
    <n v="1.1859999999999999"/>
    <n v="1.1859999999999999"/>
    <n v="0"/>
    <x v="0"/>
    <n v="0"/>
    <n v="0"/>
    <n v="17"/>
    <n v="66"/>
    <n v="0"/>
    <n v="84.99"/>
    <n v="242.77"/>
    <m/>
    <n v="146.90220900317223"/>
    <n v="227.53897547400734"/>
    <n v="0"/>
    <n v="100.79813999999999"/>
    <n v="287.92522000000002"/>
    <n v="0"/>
    <n v="174.22601987776227"/>
    <n v="269.8612249121727"/>
  </r>
  <r>
    <s v="Regular"/>
    <x v="1"/>
    <x v="2"/>
    <x v="4"/>
    <x v="0"/>
    <x v="0"/>
    <x v="0"/>
    <x v="0"/>
    <x v="2"/>
    <n v="0"/>
    <n v="0"/>
    <n v="635.27200000000005"/>
    <n v="635.27200000000005"/>
    <n v="635.27200000000005"/>
    <n v="635.27200000000005"/>
    <n v="0"/>
    <x v="0"/>
    <n v="0"/>
    <n v="0"/>
    <n v="17"/>
    <n v="66"/>
    <n v="0"/>
    <n v="84.99"/>
    <n v="242.77"/>
    <m/>
    <n v="146.90220900317223"/>
    <n v="227.53897547400734"/>
    <n v="0"/>
    <n v="53991.76728"/>
    <n v="154224.98344000001"/>
    <n v="0"/>
    <n v="93322.860117863238"/>
    <n v="144549.14002732359"/>
  </r>
  <r>
    <s v="Sistema de Compensação"/>
    <x v="1"/>
    <x v="2"/>
    <x v="4"/>
    <x v="0"/>
    <x v="0"/>
    <x v="0"/>
    <x v="0"/>
    <x v="2"/>
    <n v="0"/>
    <n v="0"/>
    <n v="0.89600000000000002"/>
    <n v="0.89600000000000002"/>
    <n v="0.89600000000000002"/>
    <n v="0.89600000000000002"/>
    <n v="0"/>
    <x v="0"/>
    <n v="0"/>
    <n v="0"/>
    <n v="17"/>
    <n v="66"/>
    <n v="0"/>
    <n v="84.99"/>
    <n v="242.77"/>
    <m/>
    <n v="146.90220900317223"/>
    <n v="227.53897547400734"/>
    <n v="0"/>
    <n v="76.151039999999995"/>
    <n v="217.52192000000002"/>
    <n v="0"/>
    <n v="131.62437926684231"/>
    <n v="203.87492202471057"/>
  </r>
  <r>
    <s v="Regular"/>
    <x v="1"/>
    <x v="2"/>
    <x v="4"/>
    <x v="0"/>
    <x v="0"/>
    <x v="0"/>
    <x v="0"/>
    <x v="3"/>
    <n v="0"/>
    <n v="0"/>
    <n v="749.01499999999999"/>
    <n v="749.01499999999999"/>
    <n v="749.01499999999999"/>
    <n v="749.01499999999999"/>
    <n v="0"/>
    <x v="0"/>
    <n v="0"/>
    <n v="0"/>
    <n v="17"/>
    <n v="66"/>
    <n v="0"/>
    <n v="84.99"/>
    <n v="242.77"/>
    <m/>
    <n v="146.90220900317223"/>
    <n v="227.53897547400734"/>
    <n v="0"/>
    <n v="63658.784849999996"/>
    <n v="181838.37155000001"/>
    <n v="0"/>
    <n v="110031.95807651104"/>
    <n v="170430.1057146636"/>
  </r>
  <r>
    <s v="Sistema de Compensação"/>
    <x v="1"/>
    <x v="2"/>
    <x v="4"/>
    <x v="0"/>
    <x v="0"/>
    <x v="0"/>
    <x v="0"/>
    <x v="3"/>
    <n v="0"/>
    <n v="0"/>
    <n v="1.2310000000000001"/>
    <n v="1.2310000000000001"/>
    <n v="1.2310000000000001"/>
    <n v="1.2310000000000001"/>
    <n v="0"/>
    <x v="0"/>
    <n v="0"/>
    <n v="0"/>
    <n v="17"/>
    <n v="66"/>
    <n v="0"/>
    <n v="84.99"/>
    <n v="242.77"/>
    <m/>
    <n v="146.90220900317223"/>
    <n v="227.53897547400734"/>
    <n v="0"/>
    <n v="104.62269000000001"/>
    <n v="298.84987000000001"/>
    <n v="0"/>
    <n v="180.83661928290502"/>
    <n v="280.10047880850306"/>
  </r>
  <r>
    <s v="Regular"/>
    <x v="1"/>
    <x v="2"/>
    <x v="4"/>
    <x v="0"/>
    <x v="0"/>
    <x v="0"/>
    <x v="0"/>
    <x v="10"/>
    <n v="0"/>
    <n v="0"/>
    <n v="731.51099999999997"/>
    <n v="731.51099999999997"/>
    <n v="731.51099999999997"/>
    <n v="731.51099999999997"/>
    <n v="0"/>
    <x v="0"/>
    <n v="0"/>
    <n v="0"/>
    <n v="17"/>
    <n v="66"/>
    <n v="0"/>
    <n v="84.99"/>
    <n v="242.77"/>
    <m/>
    <n v="146.90220900317223"/>
    <n v="227.53897547400734"/>
    <n v="0"/>
    <n v="62171.119889999994"/>
    <n v="177588.92546999999"/>
    <n v="0"/>
    <n v="107460.58181011952"/>
    <n v="166447.26348796659"/>
  </r>
  <r>
    <s v="Sistema de Compensação"/>
    <x v="1"/>
    <x v="2"/>
    <x v="4"/>
    <x v="0"/>
    <x v="0"/>
    <x v="0"/>
    <x v="0"/>
    <x v="10"/>
    <n v="0"/>
    <n v="0"/>
    <n v="1.2130000000000001"/>
    <n v="1.2130000000000001"/>
    <n v="1.2130000000000001"/>
    <n v="1.2130000000000001"/>
    <n v="0"/>
    <x v="0"/>
    <n v="0"/>
    <n v="0"/>
    <n v="17"/>
    <n v="66"/>
    <n v="0"/>
    <n v="84.99"/>
    <n v="242.77"/>
    <m/>
    <n v="146.90220900317223"/>
    <n v="227.53897547400734"/>
    <n v="0"/>
    <n v="103.09287"/>
    <n v="294.48001000000005"/>
    <n v="0"/>
    <n v="178.19237952084794"/>
    <n v="276.00477724997091"/>
  </r>
  <r>
    <s v="PROJETADO"/>
    <x v="1"/>
    <x v="2"/>
    <x v="4"/>
    <x v="0"/>
    <x v="0"/>
    <x v="0"/>
    <x v="0"/>
    <x v="11"/>
    <n v="0"/>
    <n v="0"/>
    <n v="731.51099999999997"/>
    <n v="731.51099999999997"/>
    <n v="731.51099999999997"/>
    <n v="731.51099999999997"/>
    <n v="0"/>
    <x v="0"/>
    <n v="0"/>
    <n v="0"/>
    <n v="17"/>
    <n v="66"/>
    <n v="0"/>
    <n v="84.99"/>
    <n v="242.77"/>
    <m/>
    <n v="146.90220900317223"/>
    <n v="227.53897547400734"/>
    <n v="0"/>
    <n v="62171.119889999994"/>
    <n v="177588.92546999999"/>
    <n v="0"/>
    <n v="107460.58181011952"/>
    <n v="166447.26348796659"/>
  </r>
  <r>
    <s v="PROJETADO"/>
    <x v="1"/>
    <x v="2"/>
    <x v="4"/>
    <x v="0"/>
    <x v="0"/>
    <x v="0"/>
    <x v="0"/>
    <x v="11"/>
    <n v="0"/>
    <n v="0"/>
    <n v="1.2130000000000001"/>
    <n v="1.2130000000000001"/>
    <n v="1.2130000000000001"/>
    <n v="1.2130000000000001"/>
    <n v="0"/>
    <x v="0"/>
    <n v="0"/>
    <n v="0"/>
    <n v="17"/>
    <n v="66"/>
    <n v="0"/>
    <n v="84.99"/>
    <n v="242.77"/>
    <m/>
    <n v="146.90220900317223"/>
    <n v="227.53897547400734"/>
    <n v="0"/>
    <n v="103.09287"/>
    <n v="294.48001000000005"/>
    <n v="0"/>
    <n v="178.19237952084794"/>
    <n v="276.00477724997091"/>
  </r>
  <r>
    <s v="Regular"/>
    <x v="1"/>
    <x v="2"/>
    <x v="4"/>
    <x v="0"/>
    <x v="0"/>
    <x v="0"/>
    <x v="2"/>
    <x v="4"/>
    <n v="3988"/>
    <n v="3988"/>
    <n v="0"/>
    <n v="0"/>
    <n v="0"/>
    <n v="0"/>
    <n v="15"/>
    <x v="0"/>
    <n v="0"/>
    <n v="13"/>
    <n v="0"/>
    <n v="0"/>
    <n v="18.920000000000002"/>
    <n v="0"/>
    <n v="0"/>
    <n v="32.556945267352141"/>
    <m/>
    <m/>
    <n v="75452.960000000006"/>
    <n v="0"/>
    <n v="0"/>
    <n v="129837.09772620034"/>
    <n v="0"/>
    <n v="0"/>
  </r>
  <r>
    <s v="Sistema de Compensação"/>
    <x v="1"/>
    <x v="2"/>
    <x v="4"/>
    <x v="0"/>
    <x v="0"/>
    <x v="0"/>
    <x v="2"/>
    <x v="4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5"/>
    <n v="3660"/>
    <n v="3660"/>
    <n v="0"/>
    <n v="0"/>
    <n v="0"/>
    <n v="0"/>
    <n v="15"/>
    <x v="0"/>
    <n v="0"/>
    <n v="13"/>
    <n v="0"/>
    <n v="0"/>
    <n v="18.920000000000002"/>
    <n v="0"/>
    <n v="0"/>
    <n v="32.556945267352141"/>
    <m/>
    <m/>
    <n v="69247.200000000012"/>
    <n v="0"/>
    <n v="0"/>
    <n v="119158.41967850884"/>
    <n v="0"/>
    <n v="0"/>
  </r>
  <r>
    <s v="Sistema de Compensação"/>
    <x v="1"/>
    <x v="2"/>
    <x v="4"/>
    <x v="0"/>
    <x v="0"/>
    <x v="0"/>
    <x v="2"/>
    <x v="5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0"/>
    <n v="3514"/>
    <n v="3514"/>
    <n v="0"/>
    <n v="0"/>
    <n v="0"/>
    <n v="0"/>
    <n v="15"/>
    <x v="0"/>
    <n v="0"/>
    <n v="13"/>
    <n v="0"/>
    <n v="0"/>
    <n v="18.920000000000002"/>
    <n v="0"/>
    <n v="0"/>
    <n v="32.556945267352141"/>
    <m/>
    <m/>
    <n v="66484.88"/>
    <n v="0"/>
    <n v="0"/>
    <n v="114405.10566947542"/>
    <n v="0"/>
    <n v="0"/>
  </r>
  <r>
    <s v="Sistema de Compensação"/>
    <x v="1"/>
    <x v="2"/>
    <x v="4"/>
    <x v="0"/>
    <x v="0"/>
    <x v="0"/>
    <x v="2"/>
    <x v="0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6"/>
    <n v="3548"/>
    <n v="3548"/>
    <n v="0"/>
    <n v="0"/>
    <n v="0"/>
    <n v="0"/>
    <n v="15"/>
    <x v="0"/>
    <n v="0"/>
    <n v="13"/>
    <n v="0"/>
    <n v="0"/>
    <n v="18.920000000000002"/>
    <n v="0"/>
    <n v="0"/>
    <n v="32.556945267352141"/>
    <m/>
    <m/>
    <n v="67128.160000000003"/>
    <n v="0"/>
    <n v="0"/>
    <n v="115512.04180856539"/>
    <n v="0"/>
    <n v="0"/>
  </r>
  <r>
    <s v="Sistema de Compensação"/>
    <x v="1"/>
    <x v="2"/>
    <x v="4"/>
    <x v="0"/>
    <x v="0"/>
    <x v="0"/>
    <x v="2"/>
    <x v="6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7"/>
    <n v="3826"/>
    <n v="3826"/>
    <n v="0"/>
    <n v="0"/>
    <n v="0"/>
    <n v="0"/>
    <n v="15"/>
    <x v="0"/>
    <n v="0"/>
    <n v="13"/>
    <n v="0"/>
    <n v="0"/>
    <n v="18.920000000000002"/>
    <n v="0"/>
    <n v="0"/>
    <n v="32.556945267352141"/>
    <m/>
    <m/>
    <n v="72387.920000000013"/>
    <n v="0"/>
    <n v="0"/>
    <n v="124562.8725928893"/>
    <n v="0"/>
    <n v="0"/>
  </r>
  <r>
    <s v="Sistema de Compensação"/>
    <x v="1"/>
    <x v="2"/>
    <x v="4"/>
    <x v="0"/>
    <x v="0"/>
    <x v="0"/>
    <x v="2"/>
    <x v="7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8"/>
    <n v="4167"/>
    <n v="4167"/>
    <n v="0"/>
    <n v="0"/>
    <n v="0"/>
    <n v="0"/>
    <n v="16"/>
    <x v="0"/>
    <n v="0"/>
    <n v="13"/>
    <n v="0"/>
    <n v="0"/>
    <n v="18.920000000000002"/>
    <n v="0"/>
    <n v="0"/>
    <n v="32.556945267352141"/>
    <m/>
    <m/>
    <n v="78839.640000000014"/>
    <n v="0"/>
    <n v="0"/>
    <n v="135664.79092905638"/>
    <n v="0"/>
    <n v="0"/>
  </r>
  <r>
    <s v="Sistema de Compensação"/>
    <x v="1"/>
    <x v="2"/>
    <x v="4"/>
    <x v="0"/>
    <x v="0"/>
    <x v="0"/>
    <x v="2"/>
    <x v="8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9"/>
    <n v="4194"/>
    <n v="4194"/>
    <n v="0"/>
    <n v="0"/>
    <n v="0"/>
    <n v="0"/>
    <n v="15"/>
    <x v="0"/>
    <n v="0"/>
    <n v="13"/>
    <n v="0"/>
    <n v="0"/>
    <n v="18.920000000000002"/>
    <n v="0"/>
    <n v="0"/>
    <n v="32.556945267352141"/>
    <m/>
    <m/>
    <n v="79350.48000000001"/>
    <n v="0"/>
    <n v="0"/>
    <n v="136543.82845127489"/>
    <n v="0"/>
    <n v="0"/>
  </r>
  <r>
    <s v="Sistema de Compensação"/>
    <x v="1"/>
    <x v="2"/>
    <x v="4"/>
    <x v="0"/>
    <x v="0"/>
    <x v="0"/>
    <x v="2"/>
    <x v="9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1"/>
    <n v="4304"/>
    <n v="4304"/>
    <n v="0"/>
    <n v="0"/>
    <n v="0"/>
    <n v="0"/>
    <n v="15"/>
    <x v="0"/>
    <n v="0"/>
    <n v="13"/>
    <n v="0"/>
    <n v="0"/>
    <n v="18.920000000000002"/>
    <n v="0"/>
    <n v="0"/>
    <n v="32.556945267352141"/>
    <m/>
    <m/>
    <n v="81431.680000000008"/>
    <n v="0"/>
    <n v="0"/>
    <n v="140125.09243068361"/>
    <n v="0"/>
    <n v="0"/>
  </r>
  <r>
    <s v="Sistema de Compensação"/>
    <x v="1"/>
    <x v="2"/>
    <x v="4"/>
    <x v="0"/>
    <x v="0"/>
    <x v="0"/>
    <x v="2"/>
    <x v="1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2"/>
    <n v="3071"/>
    <n v="3071"/>
    <n v="0"/>
    <n v="0"/>
    <n v="0"/>
    <n v="0"/>
    <n v="15"/>
    <x v="0"/>
    <n v="0"/>
    <n v="13"/>
    <n v="0"/>
    <n v="0"/>
    <n v="18.920000000000002"/>
    <n v="0"/>
    <n v="0"/>
    <n v="32.556945267352141"/>
    <m/>
    <m/>
    <n v="58103.320000000007"/>
    <n v="0"/>
    <n v="0"/>
    <n v="99982.378916038419"/>
    <n v="0"/>
    <n v="0"/>
  </r>
  <r>
    <s v="Sistema de Compensação"/>
    <x v="1"/>
    <x v="2"/>
    <x v="4"/>
    <x v="0"/>
    <x v="0"/>
    <x v="0"/>
    <x v="2"/>
    <x v="2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3"/>
    <n v="4328"/>
    <n v="4328"/>
    <n v="0"/>
    <n v="0"/>
    <n v="0"/>
    <n v="0"/>
    <n v="15"/>
    <x v="0"/>
    <n v="0"/>
    <n v="13"/>
    <n v="0"/>
    <n v="0"/>
    <n v="18.920000000000002"/>
    <n v="0"/>
    <n v="0"/>
    <n v="32.556945267352141"/>
    <m/>
    <m/>
    <n v="81885.760000000009"/>
    <n v="0"/>
    <n v="0"/>
    <n v="140906.45911710008"/>
    <n v="0"/>
    <n v="0"/>
  </r>
  <r>
    <s v="Sistema de Compensação"/>
    <x v="1"/>
    <x v="2"/>
    <x v="4"/>
    <x v="0"/>
    <x v="0"/>
    <x v="0"/>
    <x v="2"/>
    <x v="3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10"/>
    <n v="4550"/>
    <n v="4550"/>
    <n v="0"/>
    <n v="0"/>
    <n v="0"/>
    <n v="0"/>
    <n v="16"/>
    <x v="0"/>
    <n v="0"/>
    <n v="13"/>
    <n v="0"/>
    <n v="0"/>
    <n v="18.920000000000002"/>
    <n v="0"/>
    <n v="0"/>
    <n v="32.556945267352141"/>
    <m/>
    <m/>
    <n v="86086.000000000015"/>
    <n v="0"/>
    <n v="0"/>
    <n v="148134.10096645224"/>
    <n v="0"/>
    <n v="0"/>
  </r>
  <r>
    <s v="Sistema de Compensação"/>
    <x v="1"/>
    <x v="2"/>
    <x v="4"/>
    <x v="0"/>
    <x v="0"/>
    <x v="0"/>
    <x v="2"/>
    <x v="10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PROJETADO"/>
    <x v="1"/>
    <x v="2"/>
    <x v="4"/>
    <x v="0"/>
    <x v="0"/>
    <x v="0"/>
    <x v="2"/>
    <x v="11"/>
    <n v="4550"/>
    <n v="4550"/>
    <n v="0"/>
    <n v="0"/>
    <n v="0"/>
    <n v="0"/>
    <n v="16"/>
    <x v="0"/>
    <n v="0"/>
    <n v="13"/>
    <n v="0"/>
    <n v="0"/>
    <n v="18.920000000000002"/>
    <n v="0"/>
    <n v="0"/>
    <n v="32.556945267352141"/>
    <m/>
    <m/>
    <n v="86086.000000000015"/>
    <n v="0"/>
    <n v="0"/>
    <n v="148134.10096645224"/>
    <n v="0"/>
    <n v="0"/>
  </r>
  <r>
    <s v="PROJETADO"/>
    <x v="1"/>
    <x v="2"/>
    <x v="4"/>
    <x v="0"/>
    <x v="0"/>
    <x v="0"/>
    <x v="2"/>
    <x v="11"/>
    <n v="209"/>
    <n v="209"/>
    <n v="0"/>
    <n v="0"/>
    <n v="0"/>
    <n v="0"/>
    <n v="2"/>
    <x v="0"/>
    <n v="0"/>
    <n v="13"/>
    <n v="0"/>
    <n v="0"/>
    <n v="18.920000000000002"/>
    <n v="0"/>
    <n v="0"/>
    <n v="32.556945267352141"/>
    <m/>
    <m/>
    <n v="3954.28"/>
    <n v="0"/>
    <n v="0"/>
    <n v="6804.4015608765976"/>
    <n v="0"/>
    <n v="0"/>
  </r>
  <r>
    <s v="Regular"/>
    <x v="1"/>
    <x v="2"/>
    <x v="4"/>
    <x v="0"/>
    <x v="0"/>
    <x v="0"/>
    <x v="1"/>
    <x v="4"/>
    <n v="0"/>
    <n v="0"/>
    <n v="32.292999999999999"/>
    <n v="32.292999999999999"/>
    <n v="32.292999999999999"/>
    <n v="32.292999999999999"/>
    <n v="0"/>
    <x v="0"/>
    <n v="0"/>
    <n v="0"/>
    <n v="15"/>
    <n v="65"/>
    <n v="0"/>
    <n v="1195.82"/>
    <n v="391.54"/>
    <m/>
    <n v="2051.1203590831656"/>
    <n v="364.92243737572466"/>
    <n v="0"/>
    <n v="38616.615259999999"/>
    <n v="12644.00122"/>
    <n v="0"/>
    <n v="66236.829755872663"/>
    <n v="11784.440270174277"/>
  </r>
  <r>
    <s v="Sistema de Compensação"/>
    <x v="1"/>
    <x v="2"/>
    <x v="4"/>
    <x v="0"/>
    <x v="0"/>
    <x v="0"/>
    <x v="1"/>
    <x v="4"/>
    <n v="0"/>
    <n v="0"/>
    <n v="2.3E-2"/>
    <n v="2.3E-2"/>
    <n v="2.3E-2"/>
    <n v="2.3E-2"/>
    <n v="0"/>
    <x v="0"/>
    <n v="0"/>
    <n v="0"/>
    <n v="15"/>
    <n v="65"/>
    <n v="0"/>
    <n v="1195.82"/>
    <n v="391.54"/>
    <m/>
    <n v="2051.1203590831656"/>
    <n v="364.92243737572466"/>
    <n v="0"/>
    <n v="27.50386"/>
    <n v="9.0054200000000009"/>
    <n v="0"/>
    <n v="47.175768258912804"/>
    <n v="8.3932160596416665"/>
  </r>
  <r>
    <s v="Regular"/>
    <x v="1"/>
    <x v="2"/>
    <x v="4"/>
    <x v="0"/>
    <x v="0"/>
    <x v="0"/>
    <x v="1"/>
    <x v="5"/>
    <n v="0"/>
    <n v="0"/>
    <n v="28.228000000000002"/>
    <n v="28.228000000000002"/>
    <n v="28.228000000000002"/>
    <n v="28.228000000000002"/>
    <n v="0"/>
    <x v="0"/>
    <n v="0"/>
    <n v="0"/>
    <n v="15"/>
    <n v="65"/>
    <n v="0"/>
    <n v="1195.82"/>
    <n v="391.54"/>
    <m/>
    <n v="2051.1203590831656"/>
    <n v="364.92243737572466"/>
    <n v="0"/>
    <n v="33755.606959999997"/>
    <n v="11052.391120000002"/>
    <n v="0"/>
    <n v="57899.025496199603"/>
    <n v="10301.030562241956"/>
  </r>
  <r>
    <s v="Sistema de Compensação"/>
    <x v="1"/>
    <x v="2"/>
    <x v="4"/>
    <x v="0"/>
    <x v="0"/>
    <x v="0"/>
    <x v="1"/>
    <x v="5"/>
    <n v="0"/>
    <n v="0"/>
    <n v="2.5000000000000001E-2"/>
    <n v="2.5000000000000001E-2"/>
    <n v="2.5000000000000001E-2"/>
    <n v="2.5000000000000001E-2"/>
    <n v="0"/>
    <x v="0"/>
    <n v="0"/>
    <n v="0"/>
    <n v="15"/>
    <n v="65"/>
    <n v="0"/>
    <n v="1195.82"/>
    <n v="391.54"/>
    <m/>
    <n v="2051.1203590831656"/>
    <n v="364.92243737572466"/>
    <n v="0"/>
    <n v="29.895499999999998"/>
    <n v="9.7885000000000009"/>
    <n v="0"/>
    <n v="51.278008977079139"/>
    <n v="9.1230609343931164"/>
  </r>
  <r>
    <s v="Regular"/>
    <x v="1"/>
    <x v="2"/>
    <x v="4"/>
    <x v="0"/>
    <x v="0"/>
    <x v="0"/>
    <x v="1"/>
    <x v="0"/>
    <n v="0"/>
    <n v="0"/>
    <n v="25.013999999999999"/>
    <n v="25.013999999999999"/>
    <n v="25.013999999999999"/>
    <n v="25.013999999999999"/>
    <n v="0"/>
    <x v="0"/>
    <n v="0"/>
    <n v="0"/>
    <n v="15"/>
    <n v="65"/>
    <n v="0"/>
    <n v="1195.82"/>
    <n v="391.54"/>
    <m/>
    <n v="2051.1203590831656"/>
    <n v="364.92243737572466"/>
    <n v="0"/>
    <n v="29912.241479999997"/>
    <n v="9793.9815600000002"/>
    <n v="0"/>
    <n v="51306.724662106302"/>
    <n v="9128.1698485163761"/>
  </r>
  <r>
    <s v="Sistema de Compensação"/>
    <x v="1"/>
    <x v="2"/>
    <x v="4"/>
    <x v="0"/>
    <x v="0"/>
    <x v="0"/>
    <x v="1"/>
    <x v="0"/>
    <n v="0"/>
    <n v="0"/>
    <n v="3.1E-2"/>
    <n v="3.1E-2"/>
    <n v="3.1E-2"/>
    <n v="3.1E-2"/>
    <n v="0"/>
    <x v="0"/>
    <n v="0"/>
    <n v="0"/>
    <n v="15"/>
    <n v="65"/>
    <n v="0"/>
    <n v="1195.82"/>
    <n v="391.54"/>
    <m/>
    <n v="2051.1203590831656"/>
    <n v="364.92243737572466"/>
    <n v="0"/>
    <n v="37.070419999999999"/>
    <n v="12.137740000000001"/>
    <n v="0"/>
    <n v="63.584731131578131"/>
    <n v="11.312595558647464"/>
  </r>
  <r>
    <s v="Regular"/>
    <x v="1"/>
    <x v="2"/>
    <x v="4"/>
    <x v="0"/>
    <x v="0"/>
    <x v="0"/>
    <x v="1"/>
    <x v="6"/>
    <n v="0"/>
    <n v="0"/>
    <n v="23.594999999999999"/>
    <n v="23.594999999999999"/>
    <n v="23.594999999999999"/>
    <n v="23.594999999999999"/>
    <n v="0"/>
    <x v="0"/>
    <n v="0"/>
    <n v="0"/>
    <n v="15"/>
    <n v="65"/>
    <n v="0"/>
    <n v="1195.82"/>
    <n v="391.54"/>
    <m/>
    <n v="2051.1203590831656"/>
    <n v="364.92243737572466"/>
    <n v="0"/>
    <n v="28215.372899999998"/>
    <n v="9238.3863000000001"/>
    <n v="0"/>
    <n v="48396.18487256729"/>
    <n v="8610.344909880223"/>
  </r>
  <r>
    <s v="Sistema de Compensação"/>
    <x v="1"/>
    <x v="2"/>
    <x v="4"/>
    <x v="0"/>
    <x v="0"/>
    <x v="0"/>
    <x v="1"/>
    <x v="6"/>
    <n v="0"/>
    <n v="0"/>
    <n v="1.9E-2"/>
    <n v="1.9E-2"/>
    <n v="1.9E-2"/>
    <n v="1.9E-2"/>
    <n v="0"/>
    <x v="0"/>
    <n v="0"/>
    <n v="0"/>
    <n v="15"/>
    <n v="65"/>
    <n v="0"/>
    <n v="1195.82"/>
    <n v="391.54"/>
    <m/>
    <n v="2051.1203590831656"/>
    <n v="364.92243737572466"/>
    <n v="0"/>
    <n v="22.720579999999998"/>
    <n v="7.43926"/>
    <n v="0"/>
    <n v="38.971286822580147"/>
    <n v="6.9335263101387685"/>
  </r>
  <r>
    <s v="Regular"/>
    <x v="1"/>
    <x v="2"/>
    <x v="4"/>
    <x v="0"/>
    <x v="0"/>
    <x v="0"/>
    <x v="1"/>
    <x v="7"/>
    <n v="0"/>
    <n v="0"/>
    <n v="27.001999999999999"/>
    <n v="27.001999999999999"/>
    <n v="27.001999999999999"/>
    <n v="27.001999999999999"/>
    <n v="0"/>
    <x v="0"/>
    <n v="0"/>
    <n v="0"/>
    <n v="15"/>
    <n v="65"/>
    <n v="0"/>
    <n v="1195.82"/>
    <n v="391.54"/>
    <m/>
    <n v="2051.1203590831656"/>
    <n v="364.92243737572466"/>
    <n v="0"/>
    <n v="32289.531639999997"/>
    <n v="10572.363080000001"/>
    <n v="0"/>
    <n v="55384.351935963634"/>
    <n v="9853.6356540193174"/>
  </r>
  <r>
    <s v="Sistema de Compensação"/>
    <x v="1"/>
    <x v="2"/>
    <x v="4"/>
    <x v="0"/>
    <x v="0"/>
    <x v="0"/>
    <x v="1"/>
    <x v="7"/>
    <n v="0"/>
    <n v="0"/>
    <n v="2.3E-2"/>
    <n v="2.3E-2"/>
    <n v="2.3E-2"/>
    <n v="2.3E-2"/>
    <n v="0"/>
    <x v="0"/>
    <n v="0"/>
    <n v="0"/>
    <n v="15"/>
    <n v="65"/>
    <n v="0"/>
    <n v="1195.82"/>
    <n v="391.54"/>
    <m/>
    <n v="2051.1203590831656"/>
    <n v="364.92243737572466"/>
    <n v="0"/>
    <n v="27.50386"/>
    <n v="9.0054200000000009"/>
    <n v="0"/>
    <n v="47.175768258912804"/>
    <n v="8.3932160596416665"/>
  </r>
  <r>
    <s v="Regular"/>
    <x v="1"/>
    <x v="2"/>
    <x v="4"/>
    <x v="0"/>
    <x v="0"/>
    <x v="0"/>
    <x v="1"/>
    <x v="8"/>
    <n v="0"/>
    <n v="0"/>
    <n v="18.097000000000001"/>
    <n v="18.097000000000001"/>
    <n v="18.097000000000001"/>
    <n v="18.097000000000001"/>
    <n v="0"/>
    <x v="0"/>
    <n v="0"/>
    <n v="0"/>
    <n v="15"/>
    <n v="65"/>
    <n v="0"/>
    <n v="1195.82"/>
    <n v="391.54"/>
    <m/>
    <n v="2051.1203590831656"/>
    <n v="364.92243737572466"/>
    <n v="0"/>
    <n v="21640.754540000002"/>
    <n v="7085.6993800000009"/>
    <n v="0"/>
    <n v="37119.125138328047"/>
    <n v="6604.0013491884893"/>
  </r>
  <r>
    <s v="Sistema de Compensação"/>
    <x v="1"/>
    <x v="2"/>
    <x v="4"/>
    <x v="0"/>
    <x v="0"/>
    <x v="0"/>
    <x v="1"/>
    <x v="8"/>
    <n v="0"/>
    <n v="0"/>
    <n v="2.4E-2"/>
    <n v="2.4E-2"/>
    <n v="2.4E-2"/>
    <n v="2.4E-2"/>
    <n v="0"/>
    <x v="0"/>
    <n v="0"/>
    <n v="0"/>
    <n v="15"/>
    <n v="65"/>
    <n v="0"/>
    <n v="1195.82"/>
    <n v="391.54"/>
    <m/>
    <n v="2051.1203590831656"/>
    <n v="364.92243737572466"/>
    <n v="0"/>
    <n v="28.699680000000001"/>
    <n v="9.39696"/>
    <n v="0"/>
    <n v="49.226888617995975"/>
    <n v="8.7581384970173914"/>
  </r>
  <r>
    <s v="Regular"/>
    <x v="1"/>
    <x v="2"/>
    <x v="4"/>
    <x v="0"/>
    <x v="0"/>
    <x v="0"/>
    <x v="1"/>
    <x v="9"/>
    <n v="0"/>
    <n v="0"/>
    <n v="14.175000000000001"/>
    <n v="14.175000000000001"/>
    <n v="14.175000000000001"/>
    <n v="14.175000000000001"/>
    <n v="0"/>
    <x v="0"/>
    <n v="0"/>
    <n v="0"/>
    <n v="15"/>
    <n v="65"/>
    <n v="0"/>
    <n v="1195.82"/>
    <n v="391.54"/>
    <m/>
    <n v="2051.1203590831656"/>
    <n v="364.92243737572466"/>
    <n v="0"/>
    <n v="16950.748500000002"/>
    <n v="5550.0795000000007"/>
    <n v="0"/>
    <n v="29074.631090003873"/>
    <n v="5172.7755498008974"/>
  </r>
  <r>
    <s v="Sistema de Compensação"/>
    <x v="1"/>
    <x v="2"/>
    <x v="4"/>
    <x v="0"/>
    <x v="0"/>
    <x v="0"/>
    <x v="1"/>
    <x v="9"/>
    <n v="0"/>
    <n v="0"/>
    <n v="2.9000000000000001E-2"/>
    <n v="2.9000000000000001E-2"/>
    <n v="2.9000000000000001E-2"/>
    <n v="2.9000000000000001E-2"/>
    <n v="0"/>
    <x v="0"/>
    <n v="0"/>
    <n v="0"/>
    <n v="15"/>
    <n v="65"/>
    <n v="0"/>
    <n v="1195.82"/>
    <n v="391.54"/>
    <m/>
    <n v="2051.1203590831656"/>
    <n v="364.92243737572466"/>
    <n v="0"/>
    <n v="34.678780000000003"/>
    <n v="11.354660000000001"/>
    <n v="0"/>
    <n v="59.482490413411803"/>
    <n v="10.582750683896016"/>
  </r>
  <r>
    <s v="Regular"/>
    <x v="1"/>
    <x v="2"/>
    <x v="4"/>
    <x v="0"/>
    <x v="0"/>
    <x v="0"/>
    <x v="1"/>
    <x v="1"/>
    <n v="0"/>
    <n v="0"/>
    <n v="10.794"/>
    <n v="10.794"/>
    <n v="10.794"/>
    <n v="10.794"/>
    <n v="0"/>
    <x v="0"/>
    <n v="0"/>
    <n v="0"/>
    <n v="15"/>
    <n v="65"/>
    <n v="0"/>
    <n v="1195.82"/>
    <n v="391.54"/>
    <m/>
    <n v="2051.1203590831656"/>
    <n v="364.92243737572466"/>
    <n v="0"/>
    <n v="12907.68108"/>
    <n v="4226.2827600000001"/>
    <n v="0"/>
    <n v="22139.793155943691"/>
    <n v="3938.9727890335721"/>
  </r>
  <r>
    <s v="Sistema de Compensação"/>
    <x v="1"/>
    <x v="2"/>
    <x v="4"/>
    <x v="0"/>
    <x v="0"/>
    <x v="0"/>
    <x v="1"/>
    <x v="1"/>
    <n v="0"/>
    <n v="0"/>
    <n v="2.8000000000000001E-2"/>
    <n v="2.8000000000000001E-2"/>
    <n v="2.8000000000000001E-2"/>
    <n v="2.8000000000000001E-2"/>
    <n v="0"/>
    <x v="0"/>
    <n v="0"/>
    <n v="0"/>
    <n v="15"/>
    <n v="65"/>
    <n v="0"/>
    <n v="1195.82"/>
    <n v="391.54"/>
    <m/>
    <n v="2051.1203590831656"/>
    <n v="364.92243737572466"/>
    <n v="0"/>
    <n v="33.482959999999999"/>
    <n v="10.96312"/>
    <n v="0"/>
    <n v="57.431370054328639"/>
    <n v="10.217828246520291"/>
  </r>
  <r>
    <s v="Regular"/>
    <x v="1"/>
    <x v="2"/>
    <x v="4"/>
    <x v="0"/>
    <x v="0"/>
    <x v="0"/>
    <x v="1"/>
    <x v="2"/>
    <n v="0"/>
    <n v="0"/>
    <n v="10.436999999999999"/>
    <n v="10.436999999999999"/>
    <n v="10.436999999999999"/>
    <n v="10.436999999999999"/>
    <n v="0"/>
    <x v="0"/>
    <n v="0"/>
    <n v="0"/>
    <n v="15"/>
    <n v="65"/>
    <n v="0"/>
    <n v="1195.82"/>
    <n v="391.54"/>
    <m/>
    <n v="2051.1203590831656"/>
    <n v="364.92243737572466"/>
    <n v="0"/>
    <n v="12480.773339999998"/>
    <n v="4086.5029799999998"/>
    <n v="0"/>
    <n v="21407.543187750998"/>
    <n v="3808.6954788904382"/>
  </r>
  <r>
    <s v="Sistema de Compensação"/>
    <x v="1"/>
    <x v="2"/>
    <x v="4"/>
    <x v="0"/>
    <x v="0"/>
    <x v="0"/>
    <x v="1"/>
    <x v="2"/>
    <n v="0"/>
    <n v="0"/>
    <n v="0.03"/>
    <n v="0.03"/>
    <n v="0.03"/>
    <n v="0.03"/>
    <n v="0"/>
    <x v="0"/>
    <n v="0"/>
    <n v="0"/>
    <n v="15"/>
    <n v="65"/>
    <n v="0"/>
    <n v="1195.82"/>
    <n v="391.54"/>
    <m/>
    <n v="2051.1203590831656"/>
    <n v="364.92243737572466"/>
    <n v="0"/>
    <n v="35.874599999999994"/>
    <n v="11.7462"/>
    <n v="0"/>
    <n v="61.533610772494967"/>
    <n v="10.947673121271739"/>
  </r>
  <r>
    <s v="Regular"/>
    <x v="1"/>
    <x v="2"/>
    <x v="4"/>
    <x v="0"/>
    <x v="0"/>
    <x v="0"/>
    <x v="1"/>
    <x v="3"/>
    <n v="0"/>
    <n v="0"/>
    <n v="15.644"/>
    <n v="15.644"/>
    <n v="15.644"/>
    <n v="15.644"/>
    <n v="0"/>
    <x v="0"/>
    <n v="0"/>
    <n v="0"/>
    <n v="15"/>
    <n v="65"/>
    <n v="0"/>
    <n v="1195.82"/>
    <n v="391.54"/>
    <m/>
    <n v="2051.1203590831656"/>
    <n v="364.92243737572466"/>
    <n v="0"/>
    <n v="18707.408079999997"/>
    <n v="6125.2517600000001"/>
    <n v="0"/>
    <n v="32087.726897497043"/>
    <n v="5708.8466103058363"/>
  </r>
  <r>
    <s v="Sistema de Compensação"/>
    <x v="1"/>
    <x v="2"/>
    <x v="4"/>
    <x v="0"/>
    <x v="0"/>
    <x v="0"/>
    <x v="1"/>
    <x v="3"/>
    <n v="0"/>
    <n v="0"/>
    <n v="3.5000000000000003E-2"/>
    <n v="3.5000000000000003E-2"/>
    <n v="3.5000000000000003E-2"/>
    <n v="3.5000000000000003E-2"/>
    <n v="0"/>
    <x v="0"/>
    <n v="0"/>
    <n v="0"/>
    <n v="15"/>
    <n v="65"/>
    <n v="0"/>
    <n v="1195.82"/>
    <n v="391.54"/>
    <m/>
    <n v="2051.1203590831656"/>
    <n v="364.92243737572466"/>
    <n v="0"/>
    <n v="41.853700000000003"/>
    <n v="13.703900000000003"/>
    <n v="0"/>
    <n v="71.789212567910795"/>
    <n v="12.772285308150364"/>
  </r>
  <r>
    <s v="Regular"/>
    <x v="1"/>
    <x v="2"/>
    <x v="4"/>
    <x v="0"/>
    <x v="0"/>
    <x v="0"/>
    <x v="1"/>
    <x v="10"/>
    <n v="0"/>
    <n v="0"/>
    <n v="15.657"/>
    <n v="15.657"/>
    <n v="15.657"/>
    <n v="15.657"/>
    <n v="0"/>
    <x v="0"/>
    <n v="0"/>
    <n v="0"/>
    <n v="15"/>
    <n v="65"/>
    <n v="0"/>
    <n v="1195.82"/>
    <n v="391.54"/>
    <m/>
    <n v="2051.1203590831656"/>
    <n v="364.92243737572466"/>
    <n v="0"/>
    <n v="18722.953740000001"/>
    <n v="6130.3417800000007"/>
    <n v="0"/>
    <n v="32114.391462165124"/>
    <n v="5713.5906019917211"/>
  </r>
  <r>
    <s v="Sistema de Compensação"/>
    <x v="1"/>
    <x v="2"/>
    <x v="4"/>
    <x v="0"/>
    <x v="0"/>
    <x v="0"/>
    <x v="1"/>
    <x v="10"/>
    <n v="0"/>
    <n v="0"/>
    <n v="3.5999999999999997E-2"/>
    <n v="3.5999999999999997E-2"/>
    <n v="3.5999999999999997E-2"/>
    <n v="3.5999999999999997E-2"/>
    <n v="0"/>
    <x v="0"/>
    <n v="0"/>
    <n v="0"/>
    <n v="15"/>
    <n v="65"/>
    <n v="0"/>
    <n v="1195.82"/>
    <n v="391.54"/>
    <m/>
    <n v="2051.1203590831656"/>
    <n v="364.92243737572466"/>
    <n v="0"/>
    <n v="43.049519999999994"/>
    <n v="14.09544"/>
    <n v="0"/>
    <n v="73.840332926993952"/>
    <n v="13.137207745526087"/>
  </r>
  <r>
    <s v="PROJETADO"/>
    <x v="1"/>
    <x v="2"/>
    <x v="4"/>
    <x v="0"/>
    <x v="0"/>
    <x v="0"/>
    <x v="1"/>
    <x v="11"/>
    <n v="0"/>
    <n v="0"/>
    <n v="15.657"/>
    <n v="15.657"/>
    <n v="15.657"/>
    <n v="15.657"/>
    <n v="0"/>
    <x v="0"/>
    <n v="0"/>
    <n v="0"/>
    <n v="15"/>
    <n v="65"/>
    <n v="0"/>
    <n v="1195.82"/>
    <n v="391.54"/>
    <m/>
    <n v="2051.1203590831656"/>
    <n v="364.92243737572466"/>
    <n v="0"/>
    <n v="18722.953740000001"/>
    <n v="6130.3417800000007"/>
    <n v="0"/>
    <n v="32114.391462165124"/>
    <n v="5713.5906019917211"/>
  </r>
  <r>
    <s v="PROJETADO"/>
    <x v="1"/>
    <x v="2"/>
    <x v="4"/>
    <x v="0"/>
    <x v="0"/>
    <x v="0"/>
    <x v="1"/>
    <x v="11"/>
    <n v="0"/>
    <n v="0"/>
    <n v="3.5999999999999997E-2"/>
    <n v="3.5999999999999997E-2"/>
    <n v="3.5999999999999997E-2"/>
    <n v="3.5999999999999997E-2"/>
    <n v="0"/>
    <x v="0"/>
    <n v="0"/>
    <n v="0"/>
    <n v="15"/>
    <n v="65"/>
    <n v="0"/>
    <n v="1195.82"/>
    <n v="391.54"/>
    <m/>
    <n v="2051.1203590831656"/>
    <n v="364.92243737572466"/>
    <n v="0"/>
    <n v="43.049519999999994"/>
    <n v="14.09544"/>
    <n v="0"/>
    <n v="73.840332926993952"/>
    <n v="13.137207745526087"/>
  </r>
  <r>
    <s v="Regular"/>
    <x v="1"/>
    <x v="2"/>
    <x v="5"/>
    <x v="0"/>
    <x v="0"/>
    <x v="0"/>
    <x v="0"/>
    <x v="4"/>
    <n v="0"/>
    <n v="0"/>
    <n v="44.543999999999997"/>
    <n v="44.543999999999997"/>
    <n v="44.543999999999997"/>
    <n v="44.543999999999997"/>
    <n v="0"/>
    <x v="0"/>
    <n v="0"/>
    <n v="0"/>
    <n v="17"/>
    <n v="66"/>
    <n v="0"/>
    <n v="84.99"/>
    <n v="242.77"/>
    <m/>
    <n v="146.90220900317223"/>
    <n v="227.53897547400734"/>
    <n v="0"/>
    <n v="3785.7945599999994"/>
    <n v="10813.94688"/>
    <n v="0"/>
    <n v="6543.6119978373035"/>
    <n v="10135.496123514182"/>
  </r>
  <r>
    <s v="Sistema de Compensação"/>
    <x v="1"/>
    <x v="2"/>
    <x v="5"/>
    <x v="0"/>
    <x v="0"/>
    <x v="0"/>
    <x v="0"/>
    <x v="4"/>
    <n v="0"/>
    <n v="0"/>
    <n v="13.754"/>
    <n v="13.754"/>
    <n v="13.754"/>
    <n v="13.754"/>
    <n v="0"/>
    <x v="0"/>
    <n v="0"/>
    <n v="0"/>
    <n v="17"/>
    <n v="66"/>
    <n v="0"/>
    <n v="84.99"/>
    <n v="242.77"/>
    <m/>
    <n v="146.90220900317223"/>
    <n v="227.53897547400734"/>
    <n v="0"/>
    <n v="1168.95246"/>
    <n v="3339.0585799999999"/>
    <n v="0"/>
    <n v="2020.4929826296309"/>
    <n v="3129.571068669497"/>
  </r>
  <r>
    <s v="Regular"/>
    <x v="1"/>
    <x v="2"/>
    <x v="5"/>
    <x v="0"/>
    <x v="0"/>
    <x v="0"/>
    <x v="0"/>
    <x v="5"/>
    <n v="0"/>
    <n v="0"/>
    <n v="38.204999999999998"/>
    <n v="38.204999999999998"/>
    <n v="38.204999999999998"/>
    <n v="38.204999999999998"/>
    <n v="0"/>
    <x v="0"/>
    <n v="0"/>
    <n v="0"/>
    <n v="17"/>
    <n v="66"/>
    <n v="0"/>
    <n v="84.99"/>
    <n v="242.77"/>
    <m/>
    <n v="146.90220900317223"/>
    <n v="227.53897547400734"/>
    <n v="0"/>
    <n v="3247.0429499999996"/>
    <n v="9275.0278500000004"/>
    <n v="0"/>
    <n v="5612.3988949661953"/>
    <n v="8693.1265579844494"/>
  </r>
  <r>
    <s v="Sistema de Compensação"/>
    <x v="1"/>
    <x v="2"/>
    <x v="5"/>
    <x v="0"/>
    <x v="0"/>
    <x v="0"/>
    <x v="0"/>
    <x v="5"/>
    <n v="0"/>
    <n v="0"/>
    <n v="11.188000000000001"/>
    <n v="11.188000000000001"/>
    <n v="11.188000000000001"/>
    <n v="11.188000000000001"/>
    <n v="0"/>
    <x v="0"/>
    <n v="0"/>
    <n v="0"/>
    <n v="17"/>
    <n v="66"/>
    <n v="0"/>
    <n v="84.99"/>
    <n v="242.77"/>
    <m/>
    <n v="146.90220900317223"/>
    <n v="227.53897547400734"/>
    <n v="0"/>
    <n v="950.86811999999998"/>
    <n v="2716.1107600000005"/>
    <n v="0"/>
    <n v="1643.541914327491"/>
    <n v="2545.7060576031945"/>
  </r>
  <r>
    <s v="Regular"/>
    <x v="1"/>
    <x v="2"/>
    <x v="5"/>
    <x v="0"/>
    <x v="0"/>
    <x v="0"/>
    <x v="0"/>
    <x v="0"/>
    <n v="0"/>
    <n v="0"/>
    <n v="34.058"/>
    <n v="34.058"/>
    <n v="34.058"/>
    <n v="34.058"/>
    <n v="0"/>
    <x v="0"/>
    <n v="0"/>
    <n v="0"/>
    <n v="17"/>
    <n v="66"/>
    <n v="0"/>
    <n v="84.99"/>
    <n v="242.77"/>
    <m/>
    <n v="146.90220900317223"/>
    <n v="227.53897547400734"/>
    <n v="0"/>
    <n v="2894.5894199999998"/>
    <n v="8268.2606599999999"/>
    <n v="0"/>
    <n v="5003.1954342300396"/>
    <n v="7749.5224266937421"/>
  </r>
  <r>
    <s v="Sistema de Compensação"/>
    <x v="1"/>
    <x v="2"/>
    <x v="5"/>
    <x v="0"/>
    <x v="0"/>
    <x v="0"/>
    <x v="0"/>
    <x v="0"/>
    <n v="0"/>
    <n v="0"/>
    <n v="12.085000000000001"/>
    <n v="12.085000000000001"/>
    <n v="12.085000000000001"/>
    <n v="12.085000000000001"/>
    <n v="0"/>
    <x v="0"/>
    <n v="0"/>
    <n v="0"/>
    <n v="17"/>
    <n v="66"/>
    <n v="0"/>
    <n v="84.99"/>
    <n v="242.77"/>
    <m/>
    <n v="146.90220900317223"/>
    <n v="227.53897547400734"/>
    <n v="0"/>
    <n v="1027.1041500000001"/>
    <n v="2933.8754500000005"/>
    <n v="0"/>
    <n v="1775.3131958033366"/>
    <n v="2749.8085186033791"/>
  </r>
  <r>
    <s v="Regular"/>
    <x v="1"/>
    <x v="2"/>
    <x v="5"/>
    <x v="0"/>
    <x v="0"/>
    <x v="0"/>
    <x v="0"/>
    <x v="6"/>
    <n v="0"/>
    <n v="0"/>
    <n v="38.064"/>
    <n v="38.064"/>
    <n v="38.064"/>
    <n v="38.064"/>
    <n v="0"/>
    <x v="0"/>
    <n v="0"/>
    <n v="0"/>
    <n v="17"/>
    <n v="66"/>
    <n v="0"/>
    <n v="84.99"/>
    <n v="242.77"/>
    <m/>
    <n v="146.90220900317223"/>
    <n v="227.53897547400734"/>
    <n v="0"/>
    <n v="3235.0593599999997"/>
    <n v="9240.7972800000007"/>
    <n v="0"/>
    <n v="5591.6856834967475"/>
    <n v="8661.0435624426154"/>
  </r>
  <r>
    <s v="Sistema de Compensação"/>
    <x v="1"/>
    <x v="2"/>
    <x v="5"/>
    <x v="0"/>
    <x v="0"/>
    <x v="0"/>
    <x v="0"/>
    <x v="6"/>
    <n v="0"/>
    <n v="0"/>
    <n v="16.135999999999999"/>
    <n v="16.135999999999999"/>
    <n v="16.135999999999999"/>
    <n v="16.135999999999999"/>
    <n v="0"/>
    <x v="0"/>
    <n v="0"/>
    <n v="0"/>
    <n v="17"/>
    <n v="66"/>
    <n v="0"/>
    <n v="84.99"/>
    <n v="242.77"/>
    <m/>
    <n v="146.90220900317223"/>
    <n v="227.53897547400734"/>
    <n v="0"/>
    <n v="1371.3986399999999"/>
    <n v="3917.3367199999998"/>
    <n v="0"/>
    <n v="2370.414044475187"/>
    <n v="3671.5689082485824"/>
  </r>
  <r>
    <s v="Regular"/>
    <x v="1"/>
    <x v="2"/>
    <x v="5"/>
    <x v="0"/>
    <x v="0"/>
    <x v="0"/>
    <x v="0"/>
    <x v="7"/>
    <n v="0"/>
    <n v="0"/>
    <n v="49.121000000000002"/>
    <n v="49.121000000000002"/>
    <n v="49.121000000000002"/>
    <n v="49.121000000000002"/>
    <n v="0"/>
    <x v="0"/>
    <n v="0"/>
    <n v="0"/>
    <n v="17"/>
    <n v="66"/>
    <n v="0"/>
    <n v="84.99"/>
    <n v="242.77"/>
    <m/>
    <n v="146.90220900317223"/>
    <n v="227.53897547400734"/>
    <n v="0"/>
    <n v="4174.7937899999997"/>
    <n v="11925.105170000001"/>
    <n v="0"/>
    <n v="7215.9834084448239"/>
    <n v="11176.942014258715"/>
  </r>
  <r>
    <s v="Sistema de Compensação"/>
    <x v="1"/>
    <x v="2"/>
    <x v="5"/>
    <x v="0"/>
    <x v="0"/>
    <x v="0"/>
    <x v="0"/>
    <x v="7"/>
    <n v="0"/>
    <n v="0"/>
    <n v="37.816000000000003"/>
    <n v="37.816000000000003"/>
    <n v="37.816000000000003"/>
    <n v="37.816000000000003"/>
    <n v="0"/>
    <x v="0"/>
    <n v="0"/>
    <n v="0"/>
    <n v="17"/>
    <n v="66"/>
    <n v="0"/>
    <n v="84.99"/>
    <n v="242.77"/>
    <m/>
    <n v="146.90220900317223"/>
    <n v="227.53897547400734"/>
    <n v="0"/>
    <n v="3213.9818399999999"/>
    <n v="9180.5903200000012"/>
    <n v="0"/>
    <n v="5555.2539356639618"/>
    <n v="8604.613896525063"/>
  </r>
  <r>
    <s v="Regular"/>
    <x v="1"/>
    <x v="2"/>
    <x v="5"/>
    <x v="0"/>
    <x v="0"/>
    <x v="0"/>
    <x v="0"/>
    <x v="8"/>
    <n v="0"/>
    <n v="0"/>
    <n v="49.987000000000002"/>
    <n v="49.987000000000002"/>
    <n v="49.987000000000002"/>
    <n v="49.987000000000002"/>
    <n v="0"/>
    <x v="0"/>
    <n v="0"/>
    <n v="0"/>
    <n v="17"/>
    <n v="66"/>
    <n v="0"/>
    <n v="84.99"/>
    <n v="242.77"/>
    <m/>
    <n v="146.90220900317223"/>
    <n v="227.53897547400734"/>
    <n v="0"/>
    <n v="4248.3951299999999"/>
    <n v="12135.343990000001"/>
    <n v="0"/>
    <n v="7343.2007214415707"/>
    <n v="11373.990767019206"/>
  </r>
  <r>
    <s v="Sistema de Compensação"/>
    <x v="1"/>
    <x v="2"/>
    <x v="5"/>
    <x v="0"/>
    <x v="0"/>
    <x v="0"/>
    <x v="0"/>
    <x v="8"/>
    <n v="0"/>
    <n v="0"/>
    <n v="40.042999999999999"/>
    <n v="40.042999999999999"/>
    <n v="40.042999999999999"/>
    <n v="40.042999999999999"/>
    <n v="0"/>
    <x v="0"/>
    <n v="0"/>
    <n v="0"/>
    <n v="17"/>
    <n v="66"/>
    <n v="0"/>
    <n v="84.99"/>
    <n v="242.77"/>
    <m/>
    <n v="146.90220900317223"/>
    <n v="227.53897547400734"/>
    <n v="0"/>
    <n v="3403.2545699999996"/>
    <n v="9721.2391100000004"/>
    <n v="0"/>
    <n v="5882.4051551140255"/>
    <n v="9111.3431949056758"/>
  </r>
  <r>
    <s v="Regular"/>
    <x v="1"/>
    <x v="2"/>
    <x v="5"/>
    <x v="0"/>
    <x v="0"/>
    <x v="0"/>
    <x v="0"/>
    <x v="9"/>
    <n v="0"/>
    <n v="0"/>
    <n v="47.21"/>
    <n v="47.21"/>
    <n v="47.21"/>
    <n v="47.21"/>
    <n v="0"/>
    <x v="0"/>
    <n v="0"/>
    <n v="0"/>
    <n v="17"/>
    <n v="66"/>
    <n v="0"/>
    <n v="84.99"/>
    <n v="242.77"/>
    <m/>
    <n v="146.90220900317223"/>
    <n v="227.53897547400734"/>
    <n v="0"/>
    <n v="4012.3779"/>
    <n v="11461.171700000001"/>
    <n v="0"/>
    <n v="6935.2532870397608"/>
    <n v="10742.115032127887"/>
  </r>
  <r>
    <s v="Sistema de Compensação"/>
    <x v="1"/>
    <x v="2"/>
    <x v="5"/>
    <x v="0"/>
    <x v="0"/>
    <x v="0"/>
    <x v="0"/>
    <x v="9"/>
    <n v="0"/>
    <n v="0"/>
    <n v="39.948999999999998"/>
    <n v="39.948999999999998"/>
    <n v="39.948999999999998"/>
    <n v="39.948999999999998"/>
    <n v="0"/>
    <x v="0"/>
    <n v="0"/>
    <n v="0"/>
    <n v="17"/>
    <n v="66"/>
    <n v="0"/>
    <n v="84.99"/>
    <n v="242.77"/>
    <m/>
    <n v="146.90220900317223"/>
    <n v="227.53897547400734"/>
    <n v="0"/>
    <n v="3395.2655099999997"/>
    <n v="9698.4187299999994"/>
    <n v="0"/>
    <n v="5868.5963474677274"/>
    <n v="9089.9545312111186"/>
  </r>
  <r>
    <s v="Regular"/>
    <x v="1"/>
    <x v="2"/>
    <x v="5"/>
    <x v="0"/>
    <x v="0"/>
    <x v="0"/>
    <x v="0"/>
    <x v="1"/>
    <n v="0"/>
    <n v="0"/>
    <n v="40.213000000000001"/>
    <n v="40.213000000000001"/>
    <n v="40.213000000000001"/>
    <n v="40.213000000000001"/>
    <n v="0"/>
    <x v="0"/>
    <n v="0"/>
    <n v="0"/>
    <n v="17"/>
    <n v="66"/>
    <n v="0"/>
    <n v="84.99"/>
    <n v="242.77"/>
    <m/>
    <n v="146.90220900317223"/>
    <n v="227.53897547400734"/>
    <n v="0"/>
    <n v="3417.7028700000001"/>
    <n v="9762.51001"/>
    <n v="0"/>
    <n v="5907.3785306445652"/>
    <n v="9150.0248207362583"/>
  </r>
  <r>
    <s v="Sistema de Compensação"/>
    <x v="1"/>
    <x v="2"/>
    <x v="5"/>
    <x v="0"/>
    <x v="0"/>
    <x v="0"/>
    <x v="0"/>
    <x v="1"/>
    <n v="0"/>
    <n v="0"/>
    <n v="33.003"/>
    <n v="33.003"/>
    <n v="33.003"/>
    <n v="33.003"/>
    <n v="0"/>
    <x v="0"/>
    <n v="0"/>
    <n v="0"/>
    <n v="17"/>
    <n v="66"/>
    <n v="0"/>
    <n v="84.99"/>
    <n v="242.77"/>
    <m/>
    <n v="146.90220900317223"/>
    <n v="227.53897547400734"/>
    <n v="0"/>
    <n v="2804.92497"/>
    <n v="8012.1383100000003"/>
    <n v="0"/>
    <n v="4848.2136037316932"/>
    <n v="7509.4688075686645"/>
  </r>
  <r>
    <s v="Regular"/>
    <x v="1"/>
    <x v="2"/>
    <x v="5"/>
    <x v="0"/>
    <x v="0"/>
    <x v="0"/>
    <x v="0"/>
    <x v="2"/>
    <n v="0"/>
    <n v="0"/>
    <n v="29.54"/>
    <n v="29.54"/>
    <n v="29.54"/>
    <n v="29.54"/>
    <n v="0"/>
    <x v="0"/>
    <n v="0"/>
    <n v="0"/>
    <n v="17"/>
    <n v="66"/>
    <n v="0"/>
    <n v="84.99"/>
    <n v="242.77"/>
    <m/>
    <n v="146.90220900317223"/>
    <n v="227.53897547400734"/>
    <n v="0"/>
    <n v="2510.6045999999997"/>
    <n v="7171.4258"/>
    <n v="0"/>
    <n v="4339.4912539537072"/>
    <n v="6721.5013355021765"/>
  </r>
  <r>
    <s v="Sistema de Compensação"/>
    <x v="1"/>
    <x v="2"/>
    <x v="5"/>
    <x v="0"/>
    <x v="0"/>
    <x v="0"/>
    <x v="0"/>
    <x v="2"/>
    <n v="0"/>
    <n v="0"/>
    <n v="21.186"/>
    <n v="21.186"/>
    <n v="21.186"/>
    <n v="21.186"/>
    <n v="0"/>
    <x v="0"/>
    <n v="0"/>
    <n v="0"/>
    <n v="17"/>
    <n v="66"/>
    <n v="0"/>
    <n v="84.99"/>
    <n v="242.77"/>
    <m/>
    <n v="146.90220900317223"/>
    <n v="227.53897547400734"/>
    <n v="0"/>
    <n v="1800.5981399999998"/>
    <n v="5143.3252200000006"/>
    <n v="0"/>
    <n v="3112.270199941207"/>
    <n v="4820.6407343923192"/>
  </r>
  <r>
    <s v="Regular"/>
    <x v="1"/>
    <x v="2"/>
    <x v="5"/>
    <x v="0"/>
    <x v="0"/>
    <x v="0"/>
    <x v="0"/>
    <x v="3"/>
    <n v="0"/>
    <n v="0"/>
    <n v="55.023000000000003"/>
    <n v="55.023000000000003"/>
    <n v="55.023000000000003"/>
    <n v="55.023000000000003"/>
    <n v="0"/>
    <x v="0"/>
    <n v="0"/>
    <n v="0"/>
    <n v="17"/>
    <n v="66"/>
    <n v="0"/>
    <n v="84.99"/>
    <n v="242.77"/>
    <m/>
    <n v="146.90220900317223"/>
    <n v="227.53897547400734"/>
    <n v="0"/>
    <n v="4676.4047700000001"/>
    <n v="13357.933710000001"/>
    <n v="0"/>
    <n v="8083.000245981546"/>
    <n v="12519.877047506307"/>
  </r>
  <r>
    <s v="Sistema de Compensação"/>
    <x v="1"/>
    <x v="2"/>
    <x v="5"/>
    <x v="0"/>
    <x v="0"/>
    <x v="0"/>
    <x v="0"/>
    <x v="3"/>
    <n v="0"/>
    <n v="0"/>
    <n v="34.936999999999998"/>
    <n v="34.936999999999998"/>
    <n v="34.936999999999998"/>
    <n v="34.936999999999998"/>
    <n v="0"/>
    <x v="0"/>
    <n v="0"/>
    <n v="0"/>
    <n v="17"/>
    <n v="66"/>
    <n v="0"/>
    <n v="84.99"/>
    <n v="242.77"/>
    <m/>
    <n v="146.90220900317223"/>
    <n v="227.53897547400734"/>
    <n v="0"/>
    <n v="2969.2956299999996"/>
    <n v="8481.6554899999992"/>
    <n v="0"/>
    <n v="5132.3224759438281"/>
    <n v="7949.5291861353944"/>
  </r>
  <r>
    <s v="Regular"/>
    <x v="1"/>
    <x v="2"/>
    <x v="5"/>
    <x v="0"/>
    <x v="0"/>
    <x v="0"/>
    <x v="0"/>
    <x v="10"/>
    <n v="0"/>
    <n v="0"/>
    <n v="66.283000000000001"/>
    <n v="66.283000000000001"/>
    <n v="66.283000000000001"/>
    <n v="66.283000000000001"/>
    <n v="0"/>
    <x v="0"/>
    <n v="0"/>
    <n v="0"/>
    <n v="17"/>
    <n v="66"/>
    <n v="0"/>
    <n v="84.99"/>
    <n v="242.77"/>
    <m/>
    <n v="146.90220900317223"/>
    <n v="227.53897547400734"/>
    <n v="0"/>
    <n v="5633.3921700000001"/>
    <n v="16091.523910000002"/>
    <n v="0"/>
    <n v="9737.1191193572649"/>
    <n v="15081.965911343628"/>
  </r>
  <r>
    <s v="Sistema de Compensação"/>
    <x v="1"/>
    <x v="2"/>
    <x v="5"/>
    <x v="0"/>
    <x v="0"/>
    <x v="0"/>
    <x v="0"/>
    <x v="10"/>
    <n v="0"/>
    <n v="0"/>
    <n v="50.369"/>
    <n v="50.369"/>
    <n v="50.369"/>
    <n v="50.369"/>
    <n v="0"/>
    <x v="0"/>
    <n v="0"/>
    <n v="0"/>
    <n v="17"/>
    <n v="66"/>
    <n v="0"/>
    <n v="84.99"/>
    <n v="242.77"/>
    <m/>
    <n v="146.90220900317223"/>
    <n v="227.53897547400734"/>
    <n v="0"/>
    <n v="4280.8613099999993"/>
    <n v="12228.082130000001"/>
    <n v="0"/>
    <n v="7399.3173652807818"/>
    <n v="11460.910655650276"/>
  </r>
  <r>
    <s v="PROJETADO"/>
    <x v="1"/>
    <x v="2"/>
    <x v="5"/>
    <x v="0"/>
    <x v="0"/>
    <x v="0"/>
    <x v="0"/>
    <x v="11"/>
    <n v="0"/>
    <n v="0"/>
    <n v="66.283000000000001"/>
    <n v="66.283000000000001"/>
    <n v="66.283000000000001"/>
    <n v="66.283000000000001"/>
    <n v="0"/>
    <x v="0"/>
    <n v="0"/>
    <n v="0"/>
    <n v="17"/>
    <n v="66"/>
    <n v="0"/>
    <n v="84.99"/>
    <n v="242.77"/>
    <m/>
    <n v="146.90220900317223"/>
    <n v="227.53897547400734"/>
    <n v="0"/>
    <n v="5633.3921700000001"/>
    <n v="16091.523910000002"/>
    <n v="0"/>
    <n v="9737.1191193572649"/>
    <n v="15081.965911343628"/>
  </r>
  <r>
    <s v="PROJETADO"/>
    <x v="1"/>
    <x v="2"/>
    <x v="5"/>
    <x v="0"/>
    <x v="0"/>
    <x v="0"/>
    <x v="0"/>
    <x v="11"/>
    <n v="0"/>
    <n v="0"/>
    <n v="50.369"/>
    <n v="50.369"/>
    <n v="50.369"/>
    <n v="50.369"/>
    <n v="0"/>
    <x v="0"/>
    <n v="0"/>
    <n v="0"/>
    <n v="17"/>
    <n v="66"/>
    <n v="0"/>
    <n v="84.99"/>
    <n v="242.77"/>
    <m/>
    <n v="146.90220900317223"/>
    <n v="227.53897547400734"/>
    <n v="0"/>
    <n v="4280.8613099999993"/>
    <n v="12228.082130000001"/>
    <n v="0"/>
    <n v="7399.3173652807818"/>
    <n v="11460.910655650276"/>
  </r>
  <r>
    <s v="Regular"/>
    <x v="1"/>
    <x v="2"/>
    <x v="5"/>
    <x v="0"/>
    <x v="0"/>
    <x v="0"/>
    <x v="2"/>
    <x v="4"/>
    <n v="395"/>
    <n v="395"/>
    <n v="0"/>
    <n v="0"/>
    <n v="0"/>
    <n v="0"/>
    <n v="7"/>
    <x v="0"/>
    <n v="0"/>
    <n v="13"/>
    <n v="0"/>
    <n v="0"/>
    <n v="18.920000000000002"/>
    <n v="0"/>
    <n v="0"/>
    <n v="32.556945267352141"/>
    <m/>
    <m/>
    <n v="7473.4000000000005"/>
    <n v="0"/>
    <n v="0"/>
    <n v="12859.993380604095"/>
    <n v="0"/>
    <n v="0"/>
  </r>
  <r>
    <s v="Sistema de Compensação"/>
    <x v="1"/>
    <x v="2"/>
    <x v="5"/>
    <x v="0"/>
    <x v="0"/>
    <x v="0"/>
    <x v="2"/>
    <x v="4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5"/>
    <n v="392"/>
    <n v="392"/>
    <n v="0"/>
    <n v="0"/>
    <n v="0"/>
    <n v="0"/>
    <n v="7"/>
    <x v="0"/>
    <n v="0"/>
    <n v="13"/>
    <n v="0"/>
    <n v="0"/>
    <n v="18.920000000000002"/>
    <n v="0"/>
    <n v="0"/>
    <n v="32.556945267352141"/>
    <m/>
    <m/>
    <n v="7416.64"/>
    <n v="0"/>
    <n v="0"/>
    <n v="12762.322544802038"/>
    <n v="0"/>
    <n v="0"/>
  </r>
  <r>
    <s v="Sistema de Compensação"/>
    <x v="1"/>
    <x v="2"/>
    <x v="5"/>
    <x v="0"/>
    <x v="0"/>
    <x v="0"/>
    <x v="2"/>
    <x v="5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0"/>
    <n v="391"/>
    <n v="391"/>
    <n v="0"/>
    <n v="0"/>
    <n v="0"/>
    <n v="0"/>
    <n v="7"/>
    <x v="0"/>
    <n v="0"/>
    <n v="13"/>
    <n v="0"/>
    <n v="0"/>
    <n v="18.920000000000002"/>
    <n v="0"/>
    <n v="0"/>
    <n v="32.556945267352141"/>
    <m/>
    <m/>
    <n v="7397.72"/>
    <n v="0"/>
    <n v="0"/>
    <n v="12729.765599534687"/>
    <n v="0"/>
    <n v="0"/>
  </r>
  <r>
    <s v="Sistema de Compensação"/>
    <x v="1"/>
    <x v="2"/>
    <x v="5"/>
    <x v="0"/>
    <x v="0"/>
    <x v="0"/>
    <x v="2"/>
    <x v="0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6"/>
    <n v="390"/>
    <n v="390"/>
    <n v="0"/>
    <n v="0"/>
    <n v="0"/>
    <n v="0"/>
    <n v="7"/>
    <x v="0"/>
    <n v="0"/>
    <n v="13"/>
    <n v="0"/>
    <n v="0"/>
    <n v="18.920000000000002"/>
    <n v="0"/>
    <n v="0"/>
    <n v="32.556945267352141"/>
    <m/>
    <m/>
    <n v="7378.8000000000011"/>
    <n v="0"/>
    <n v="0"/>
    <n v="12697.208654267335"/>
    <n v="0"/>
    <n v="0"/>
  </r>
  <r>
    <s v="Sistema de Compensação"/>
    <x v="1"/>
    <x v="2"/>
    <x v="5"/>
    <x v="0"/>
    <x v="0"/>
    <x v="0"/>
    <x v="2"/>
    <x v="6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7"/>
    <n v="392"/>
    <n v="392"/>
    <n v="0"/>
    <n v="0"/>
    <n v="0"/>
    <n v="0"/>
    <n v="7"/>
    <x v="0"/>
    <n v="0"/>
    <n v="13"/>
    <n v="0"/>
    <n v="0"/>
    <n v="18.920000000000002"/>
    <n v="0"/>
    <n v="0"/>
    <n v="32.556945267352141"/>
    <m/>
    <m/>
    <n v="7416.64"/>
    <n v="0"/>
    <n v="0"/>
    <n v="12762.322544802038"/>
    <n v="0"/>
    <n v="0"/>
  </r>
  <r>
    <s v="Sistema de Compensação"/>
    <x v="1"/>
    <x v="2"/>
    <x v="5"/>
    <x v="0"/>
    <x v="0"/>
    <x v="0"/>
    <x v="2"/>
    <x v="7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8"/>
    <n v="415"/>
    <n v="415"/>
    <n v="0"/>
    <n v="0"/>
    <n v="0"/>
    <n v="0"/>
    <n v="8"/>
    <x v="0"/>
    <n v="0"/>
    <n v="13"/>
    <n v="0"/>
    <n v="0"/>
    <n v="18.920000000000002"/>
    <n v="0"/>
    <n v="0"/>
    <n v="32.556945267352141"/>
    <m/>
    <m/>
    <n v="7851.8000000000011"/>
    <n v="0"/>
    <n v="0"/>
    <n v="13511.132285951138"/>
    <n v="0"/>
    <n v="0"/>
  </r>
  <r>
    <s v="Sistema de Compensação"/>
    <x v="1"/>
    <x v="2"/>
    <x v="5"/>
    <x v="0"/>
    <x v="0"/>
    <x v="0"/>
    <x v="2"/>
    <x v="8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9"/>
    <n v="456"/>
    <n v="456"/>
    <n v="0"/>
    <n v="0"/>
    <n v="0"/>
    <n v="0"/>
    <n v="9"/>
    <x v="0"/>
    <n v="0"/>
    <n v="13"/>
    <n v="0"/>
    <n v="0"/>
    <n v="18.920000000000002"/>
    <n v="0"/>
    <n v="0"/>
    <n v="32.556945267352141"/>
    <m/>
    <m/>
    <n v="8627.52"/>
    <n v="0"/>
    <n v="0"/>
    <n v="14845.967041912576"/>
    <n v="0"/>
    <n v="0"/>
  </r>
  <r>
    <s v="Sistema de Compensação"/>
    <x v="1"/>
    <x v="2"/>
    <x v="5"/>
    <x v="0"/>
    <x v="0"/>
    <x v="0"/>
    <x v="2"/>
    <x v="9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1"/>
    <n v="441"/>
    <n v="441"/>
    <n v="0"/>
    <n v="0"/>
    <n v="0"/>
    <n v="0"/>
    <n v="9"/>
    <x v="0"/>
    <n v="0"/>
    <n v="13"/>
    <n v="0"/>
    <n v="0"/>
    <n v="18.920000000000002"/>
    <n v="0"/>
    <n v="0"/>
    <n v="32.556945267352141"/>
    <m/>
    <m/>
    <n v="8343.7200000000012"/>
    <n v="0"/>
    <n v="0"/>
    <n v="14357.612862902295"/>
    <n v="0"/>
    <n v="0"/>
  </r>
  <r>
    <s v="Sistema de Compensação"/>
    <x v="1"/>
    <x v="2"/>
    <x v="5"/>
    <x v="0"/>
    <x v="0"/>
    <x v="0"/>
    <x v="2"/>
    <x v="1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2"/>
    <n v="552"/>
    <n v="552"/>
    <n v="0"/>
    <n v="0"/>
    <n v="0"/>
    <n v="0"/>
    <n v="9"/>
    <x v="0"/>
    <n v="0"/>
    <n v="13"/>
    <n v="0"/>
    <n v="0"/>
    <n v="18.920000000000002"/>
    <n v="0"/>
    <n v="0"/>
    <n v="32.556945267352141"/>
    <m/>
    <m/>
    <n v="10443.84"/>
    <n v="0"/>
    <n v="0"/>
    <n v="17971.433787578382"/>
    <n v="0"/>
    <n v="0"/>
  </r>
  <r>
    <s v="Sistema de Compensação"/>
    <x v="1"/>
    <x v="2"/>
    <x v="5"/>
    <x v="0"/>
    <x v="0"/>
    <x v="0"/>
    <x v="2"/>
    <x v="2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3"/>
    <n v="583"/>
    <n v="583"/>
    <n v="0"/>
    <n v="0"/>
    <n v="0"/>
    <n v="0"/>
    <n v="9"/>
    <x v="0"/>
    <n v="0"/>
    <n v="13"/>
    <n v="0"/>
    <n v="0"/>
    <n v="18.920000000000002"/>
    <n v="0"/>
    <n v="0"/>
    <n v="32.556945267352141"/>
    <m/>
    <m/>
    <n v="11030.36"/>
    <n v="0"/>
    <n v="0"/>
    <n v="18980.699090866299"/>
    <n v="0"/>
    <n v="0"/>
  </r>
  <r>
    <s v="Sistema de Compensação"/>
    <x v="1"/>
    <x v="2"/>
    <x v="5"/>
    <x v="0"/>
    <x v="0"/>
    <x v="0"/>
    <x v="2"/>
    <x v="3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10"/>
    <n v="613"/>
    <n v="613"/>
    <n v="0"/>
    <n v="0"/>
    <n v="0"/>
    <n v="0"/>
    <n v="9"/>
    <x v="0"/>
    <n v="0"/>
    <n v="13"/>
    <n v="0"/>
    <n v="0"/>
    <n v="18.920000000000002"/>
    <n v="0"/>
    <n v="0"/>
    <n v="32.556945267352141"/>
    <m/>
    <m/>
    <n v="11597.960000000001"/>
    <n v="0"/>
    <n v="0"/>
    <n v="19957.407448886861"/>
    <n v="0"/>
    <n v="0"/>
  </r>
  <r>
    <s v="Sistema de Compensação"/>
    <x v="1"/>
    <x v="2"/>
    <x v="5"/>
    <x v="0"/>
    <x v="0"/>
    <x v="0"/>
    <x v="2"/>
    <x v="10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PROJETADO"/>
    <x v="1"/>
    <x v="2"/>
    <x v="5"/>
    <x v="0"/>
    <x v="0"/>
    <x v="0"/>
    <x v="2"/>
    <x v="11"/>
    <n v="613"/>
    <n v="613"/>
    <n v="0"/>
    <n v="0"/>
    <n v="0"/>
    <n v="0"/>
    <n v="9"/>
    <x v="0"/>
    <n v="0"/>
    <n v="13"/>
    <n v="0"/>
    <n v="0"/>
    <n v="18.920000000000002"/>
    <n v="0"/>
    <n v="0"/>
    <n v="32.556945267352141"/>
    <m/>
    <m/>
    <n v="11597.960000000001"/>
    <n v="0"/>
    <n v="0"/>
    <n v="19957.407448886861"/>
    <n v="0"/>
    <n v="0"/>
  </r>
  <r>
    <s v="PROJETADO"/>
    <x v="1"/>
    <x v="2"/>
    <x v="5"/>
    <x v="0"/>
    <x v="0"/>
    <x v="0"/>
    <x v="2"/>
    <x v="11"/>
    <n v="320"/>
    <n v="320"/>
    <n v="0"/>
    <n v="0"/>
    <n v="0"/>
    <n v="0"/>
    <n v="2"/>
    <x v="0"/>
    <n v="0"/>
    <n v="13"/>
    <n v="0"/>
    <n v="0"/>
    <n v="18.920000000000002"/>
    <n v="0"/>
    <n v="0"/>
    <n v="32.556945267352141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1"/>
    <x v="4"/>
    <n v="0"/>
    <n v="0"/>
    <n v="3.5510000000000002"/>
    <n v="3.5510000000000002"/>
    <n v="3.5510000000000002"/>
    <n v="3.5510000000000002"/>
    <n v="0"/>
    <x v="0"/>
    <n v="0"/>
    <n v="0"/>
    <n v="15"/>
    <n v="65"/>
    <n v="0"/>
    <n v="1195.82"/>
    <n v="391.54"/>
    <m/>
    <n v="2051.1203590831656"/>
    <n v="364.92243737572466"/>
    <n v="0"/>
    <n v="4246.35682"/>
    <n v="1390.3585400000002"/>
    <n v="0"/>
    <n v="7283.5283951043211"/>
    <n v="1295.8395751211983"/>
  </r>
  <r>
    <s v="Sistema de Compensação"/>
    <x v="1"/>
    <x v="2"/>
    <x v="5"/>
    <x v="0"/>
    <x v="0"/>
    <x v="0"/>
    <x v="1"/>
    <x v="4"/>
    <n v="0"/>
    <n v="0"/>
    <n v="3.101"/>
    <n v="3.101"/>
    <n v="3.101"/>
    <n v="3.101"/>
    <n v="0"/>
    <x v="0"/>
    <n v="0"/>
    <n v="0"/>
    <n v="15"/>
    <n v="65"/>
    <n v="0"/>
    <n v="1195.82"/>
    <n v="391.54"/>
    <m/>
    <n v="2051.1203590831656"/>
    <n v="364.92243737572466"/>
    <n v="0"/>
    <n v="3708.2378199999998"/>
    <n v="1214.16554"/>
    <n v="0"/>
    <n v="6360.5242335168959"/>
    <n v="1131.624478302122"/>
  </r>
  <r>
    <s v="Regular"/>
    <x v="1"/>
    <x v="2"/>
    <x v="5"/>
    <x v="0"/>
    <x v="0"/>
    <x v="0"/>
    <x v="1"/>
    <x v="5"/>
    <n v="0"/>
    <n v="0"/>
    <n v="4.2439999999999998"/>
    <n v="4.2439999999999998"/>
    <n v="4.2439999999999998"/>
    <n v="4.2439999999999998"/>
    <n v="0"/>
    <x v="0"/>
    <n v="0"/>
    <n v="0"/>
    <n v="15"/>
    <n v="65"/>
    <n v="0"/>
    <n v="1195.82"/>
    <n v="391.54"/>
    <m/>
    <n v="2051.1203590831656"/>
    <n v="364.92243737572466"/>
    <n v="0"/>
    <n v="5075.0600799999993"/>
    <n v="1661.6957600000001"/>
    <n v="0"/>
    <n v="8704.9548039489546"/>
    <n v="1548.7308242225754"/>
  </r>
  <r>
    <s v="Sistema de Compensação"/>
    <x v="1"/>
    <x v="2"/>
    <x v="5"/>
    <x v="0"/>
    <x v="0"/>
    <x v="0"/>
    <x v="1"/>
    <x v="5"/>
    <n v="0"/>
    <n v="0"/>
    <n v="3.1509999999999998"/>
    <n v="3.1509999999999998"/>
    <n v="3.1509999999999998"/>
    <n v="3.1509999999999998"/>
    <n v="0"/>
    <x v="0"/>
    <n v="0"/>
    <n v="0"/>
    <n v="15"/>
    <n v="65"/>
    <n v="0"/>
    <n v="1195.82"/>
    <n v="391.54"/>
    <m/>
    <n v="2051.1203590831656"/>
    <n v="364.92243737572466"/>
    <n v="0"/>
    <n v="3768.0288199999995"/>
    <n v="1233.74254"/>
    <n v="0"/>
    <n v="6463.080251471054"/>
    <n v="1149.8706001709083"/>
  </r>
  <r>
    <s v="Regular"/>
    <x v="1"/>
    <x v="2"/>
    <x v="5"/>
    <x v="0"/>
    <x v="0"/>
    <x v="0"/>
    <x v="1"/>
    <x v="0"/>
    <n v="0"/>
    <n v="0"/>
    <n v="2.9239999999999999"/>
    <n v="2.9239999999999999"/>
    <n v="2.9239999999999999"/>
    <n v="2.9239999999999999"/>
    <n v="0"/>
    <x v="0"/>
    <n v="0"/>
    <n v="0"/>
    <n v="15"/>
    <n v="65"/>
    <n v="0"/>
    <n v="1195.82"/>
    <n v="391.54"/>
    <m/>
    <n v="2051.1203590831656"/>
    <n v="364.92243737572466"/>
    <n v="0"/>
    <n v="3496.5776799999999"/>
    <n v="1144.8629599999999"/>
    <n v="0"/>
    <n v="5997.475929959176"/>
    <n v="1067.0332068866189"/>
  </r>
  <r>
    <s v="Sistema de Compensação"/>
    <x v="1"/>
    <x v="2"/>
    <x v="5"/>
    <x v="0"/>
    <x v="0"/>
    <x v="0"/>
    <x v="1"/>
    <x v="0"/>
    <n v="0"/>
    <n v="0"/>
    <n v="2.6309999999999998"/>
    <n v="2.6309999999999998"/>
    <n v="2.6309999999999998"/>
    <n v="2.6309999999999998"/>
    <n v="0"/>
    <x v="0"/>
    <n v="0"/>
    <n v="0"/>
    <n v="15"/>
    <n v="65"/>
    <n v="0"/>
    <n v="1195.82"/>
    <n v="391.54"/>
    <m/>
    <n v="2051.1203590831656"/>
    <n v="364.92243737572466"/>
    <n v="0"/>
    <n v="3146.2024199999996"/>
    <n v="1030.14174"/>
    <n v="0"/>
    <n v="5396.4976647478079"/>
    <n v="960.11093273553149"/>
  </r>
  <r>
    <s v="Regular"/>
    <x v="1"/>
    <x v="2"/>
    <x v="5"/>
    <x v="0"/>
    <x v="0"/>
    <x v="0"/>
    <x v="1"/>
    <x v="6"/>
    <n v="0"/>
    <n v="0"/>
    <n v="3.3050000000000002"/>
    <n v="3.3050000000000002"/>
    <n v="3.3050000000000002"/>
    <n v="3.3050000000000002"/>
    <n v="0"/>
    <x v="0"/>
    <n v="0"/>
    <n v="0"/>
    <n v="15"/>
    <n v="65"/>
    <n v="0"/>
    <n v="1195.82"/>
    <n v="391.54"/>
    <m/>
    <n v="2051.1203590831656"/>
    <n v="364.92243737572466"/>
    <n v="0"/>
    <n v="3952.1851000000001"/>
    <n v="1294.0397"/>
    <n v="0"/>
    <n v="6778.9527867698625"/>
    <n v="1206.06865552677"/>
  </r>
  <r>
    <s v="Sistema de Compensação"/>
    <x v="1"/>
    <x v="2"/>
    <x v="5"/>
    <x v="0"/>
    <x v="0"/>
    <x v="0"/>
    <x v="1"/>
    <x v="6"/>
    <n v="0"/>
    <n v="0"/>
    <n v="2.9140000000000001"/>
    <n v="2.9140000000000001"/>
    <n v="2.9140000000000001"/>
    <n v="2.9140000000000001"/>
    <n v="0"/>
    <x v="0"/>
    <n v="0"/>
    <n v="0"/>
    <n v="15"/>
    <n v="65"/>
    <n v="0"/>
    <n v="1195.82"/>
    <n v="391.54"/>
    <m/>
    <n v="2051.1203590831656"/>
    <n v="364.92243737572466"/>
    <n v="0"/>
    <n v="3484.6194799999998"/>
    <n v="1140.9475600000001"/>
    <n v="0"/>
    <n v="5976.9647263683446"/>
    <n v="1063.3839825128616"/>
  </r>
  <r>
    <s v="Regular"/>
    <x v="1"/>
    <x v="2"/>
    <x v="5"/>
    <x v="0"/>
    <x v="0"/>
    <x v="0"/>
    <x v="1"/>
    <x v="7"/>
    <n v="0"/>
    <n v="0"/>
    <n v="3.7040000000000002"/>
    <n v="3.7040000000000002"/>
    <n v="3.7040000000000002"/>
    <n v="3.7040000000000002"/>
    <n v="0"/>
    <x v="0"/>
    <n v="0"/>
    <n v="0"/>
    <n v="15"/>
    <n v="65"/>
    <n v="0"/>
    <n v="1195.82"/>
    <n v="391.54"/>
    <m/>
    <n v="2051.1203590831656"/>
    <n v="364.92243737572466"/>
    <n v="0"/>
    <n v="4429.3172800000002"/>
    <n v="1450.2641600000002"/>
    <n v="0"/>
    <n v="7597.3498100440456"/>
    <n v="1351.6727080396843"/>
  </r>
  <r>
    <s v="Sistema de Compensação"/>
    <x v="1"/>
    <x v="2"/>
    <x v="5"/>
    <x v="0"/>
    <x v="0"/>
    <x v="0"/>
    <x v="1"/>
    <x v="7"/>
    <n v="0"/>
    <n v="0"/>
    <n v="6.8840000000000003"/>
    <n v="6.8840000000000003"/>
    <n v="6.8840000000000003"/>
    <n v="6.8840000000000003"/>
    <n v="0"/>
    <x v="0"/>
    <n v="0"/>
    <n v="0"/>
    <n v="15"/>
    <n v="65"/>
    <n v="0"/>
    <n v="1195.82"/>
    <n v="391.54"/>
    <m/>
    <n v="2051.1203590831656"/>
    <n v="364.92243737572466"/>
    <n v="0"/>
    <n v="8232.0248800000008"/>
    <n v="2695.3613600000003"/>
    <n v="0"/>
    <n v="14119.912551928512"/>
    <n v="2512.1260588944888"/>
  </r>
  <r>
    <s v="Regular"/>
    <x v="1"/>
    <x v="2"/>
    <x v="5"/>
    <x v="0"/>
    <x v="0"/>
    <x v="0"/>
    <x v="1"/>
    <x v="8"/>
    <n v="0"/>
    <n v="0"/>
    <n v="3.448"/>
    <n v="3.448"/>
    <n v="3.448"/>
    <n v="3.448"/>
    <n v="0"/>
    <x v="0"/>
    <n v="0"/>
    <n v="0"/>
    <n v="15"/>
    <n v="65"/>
    <n v="0"/>
    <n v="1195.82"/>
    <n v="391.54"/>
    <m/>
    <n v="2051.1203590831656"/>
    <n v="364.92243737572466"/>
    <n v="0"/>
    <n v="4123.1873599999999"/>
    <n v="1350.0299199999999"/>
    <n v="0"/>
    <n v="7072.2629981187547"/>
    <n v="1258.2525640714987"/>
  </r>
  <r>
    <s v="Sistema de Compensação"/>
    <x v="1"/>
    <x v="2"/>
    <x v="5"/>
    <x v="0"/>
    <x v="0"/>
    <x v="0"/>
    <x v="1"/>
    <x v="8"/>
    <n v="0"/>
    <n v="0"/>
    <n v="6.7949999999999999"/>
    <n v="6.7949999999999999"/>
    <n v="6.7949999999999999"/>
    <n v="6.7949999999999999"/>
    <n v="0"/>
    <x v="0"/>
    <n v="0"/>
    <n v="0"/>
    <n v="15"/>
    <n v="65"/>
    <n v="0"/>
    <n v="1195.82"/>
    <n v="391.54"/>
    <m/>
    <n v="2051.1203590831656"/>
    <n v="364.92243737572466"/>
    <n v="0"/>
    <n v="8125.5968999999996"/>
    <n v="2660.5143000000003"/>
    <n v="0"/>
    <n v="13937.36283997011"/>
    <n v="2479.647961968049"/>
  </r>
  <r>
    <s v="Regular"/>
    <x v="1"/>
    <x v="2"/>
    <x v="5"/>
    <x v="0"/>
    <x v="0"/>
    <x v="0"/>
    <x v="1"/>
    <x v="9"/>
    <n v="0"/>
    <n v="0"/>
    <n v="3.4220000000000002"/>
    <n v="3.4220000000000002"/>
    <n v="3.4220000000000002"/>
    <n v="3.4220000000000002"/>
    <n v="0"/>
    <x v="0"/>
    <n v="0"/>
    <n v="0"/>
    <n v="15"/>
    <n v="65"/>
    <n v="0"/>
    <n v="1195.82"/>
    <n v="391.54"/>
    <m/>
    <n v="2051.1203590831656"/>
    <n v="364.92243737572466"/>
    <n v="0"/>
    <n v="4092.0960399999999"/>
    <n v="1339.8498800000002"/>
    <n v="0"/>
    <n v="7018.933868782593"/>
    <n v="1248.7645806997298"/>
  </r>
  <r>
    <s v="Sistema de Compensação"/>
    <x v="1"/>
    <x v="2"/>
    <x v="5"/>
    <x v="0"/>
    <x v="0"/>
    <x v="0"/>
    <x v="1"/>
    <x v="9"/>
    <n v="0"/>
    <n v="0"/>
    <n v="7.2409999999999997"/>
    <n v="7.2409999999999997"/>
    <n v="7.2409999999999997"/>
    <n v="7.2409999999999997"/>
    <n v="0"/>
    <x v="0"/>
    <n v="0"/>
    <n v="0"/>
    <n v="15"/>
    <n v="65"/>
    <n v="0"/>
    <n v="1195.82"/>
    <n v="391.54"/>
    <m/>
    <n v="2051.1203590831656"/>
    <n v="364.92243737572466"/>
    <n v="0"/>
    <n v="8658.9326199999996"/>
    <n v="2835.1411400000002"/>
    <n v="0"/>
    <n v="14852.162520121201"/>
    <n v="2642.4033690376223"/>
  </r>
  <r>
    <s v="Regular"/>
    <x v="1"/>
    <x v="2"/>
    <x v="5"/>
    <x v="0"/>
    <x v="0"/>
    <x v="0"/>
    <x v="1"/>
    <x v="1"/>
    <n v="0"/>
    <n v="0"/>
    <n v="3.3050000000000002"/>
    <n v="3.3050000000000002"/>
    <n v="3.3050000000000002"/>
    <n v="3.3050000000000002"/>
    <n v="0"/>
    <x v="0"/>
    <n v="0"/>
    <n v="0"/>
    <n v="15"/>
    <n v="65"/>
    <n v="0"/>
    <n v="1195.82"/>
    <n v="391.54"/>
    <m/>
    <n v="2051.1203590831656"/>
    <n v="364.92243737572466"/>
    <n v="0"/>
    <n v="3952.1851000000001"/>
    <n v="1294.0397"/>
    <n v="0"/>
    <n v="6778.9527867698625"/>
    <n v="1206.06865552677"/>
  </r>
  <r>
    <s v="Sistema de Compensação"/>
    <x v="1"/>
    <x v="2"/>
    <x v="5"/>
    <x v="0"/>
    <x v="0"/>
    <x v="0"/>
    <x v="1"/>
    <x v="1"/>
    <n v="0"/>
    <n v="0"/>
    <n v="6.1420000000000003"/>
    <n v="6.1420000000000003"/>
    <n v="6.1420000000000003"/>
    <n v="6.1420000000000003"/>
    <n v="0"/>
    <x v="0"/>
    <n v="0"/>
    <n v="0"/>
    <n v="15"/>
    <n v="65"/>
    <n v="0"/>
    <n v="1195.82"/>
    <n v="391.54"/>
    <m/>
    <n v="2051.1203590831656"/>
    <n v="364.92243737572466"/>
    <n v="0"/>
    <n v="7344.7264400000004"/>
    <n v="2404.8386800000003"/>
    <n v="0"/>
    <n v="12597.981245488803"/>
    <n v="2241.3536103617012"/>
  </r>
  <r>
    <s v="Regular"/>
    <x v="1"/>
    <x v="2"/>
    <x v="5"/>
    <x v="0"/>
    <x v="0"/>
    <x v="0"/>
    <x v="1"/>
    <x v="2"/>
    <n v="0"/>
    <n v="0"/>
    <n v="2.6240000000000001"/>
    <n v="2.6240000000000001"/>
    <n v="2.6240000000000001"/>
    <n v="2.6240000000000001"/>
    <n v="0"/>
    <x v="0"/>
    <n v="0"/>
    <n v="0"/>
    <n v="15"/>
    <n v="65"/>
    <n v="0"/>
    <n v="1195.82"/>
    <n v="391.54"/>
    <m/>
    <n v="2051.1203590831656"/>
    <n v="364.92243737572466"/>
    <n v="0"/>
    <n v="3137.8316799999998"/>
    <n v="1027.4009600000002"/>
    <n v="0"/>
    <n v="5382.1398222342268"/>
    <n v="957.55647567390156"/>
  </r>
  <r>
    <s v="Sistema de Compensação"/>
    <x v="1"/>
    <x v="2"/>
    <x v="5"/>
    <x v="0"/>
    <x v="0"/>
    <x v="0"/>
    <x v="1"/>
    <x v="2"/>
    <n v="0"/>
    <n v="0"/>
    <n v="3.996"/>
    <n v="3.996"/>
    <n v="3.996"/>
    <n v="3.996"/>
    <n v="0"/>
    <x v="0"/>
    <n v="0"/>
    <n v="0"/>
    <n v="15"/>
    <n v="65"/>
    <n v="0"/>
    <n v="1195.82"/>
    <n v="391.54"/>
    <m/>
    <n v="2051.1203590831656"/>
    <n v="364.92243737572466"/>
    <n v="0"/>
    <n v="4778.4967200000001"/>
    <n v="1564.59384"/>
    <n v="0"/>
    <n v="8196.2769548963297"/>
    <n v="1458.2300597533956"/>
  </r>
  <r>
    <s v="Regular"/>
    <x v="1"/>
    <x v="2"/>
    <x v="5"/>
    <x v="0"/>
    <x v="0"/>
    <x v="0"/>
    <x v="1"/>
    <x v="3"/>
    <n v="0"/>
    <n v="0"/>
    <n v="4.0730000000000004"/>
    <n v="4.0730000000000004"/>
    <n v="4.0730000000000004"/>
    <n v="4.0730000000000004"/>
    <n v="0"/>
    <x v="0"/>
    <n v="0"/>
    <n v="0"/>
    <n v="15"/>
    <n v="65"/>
    <n v="0"/>
    <n v="1195.82"/>
    <n v="391.54"/>
    <m/>
    <n v="2051.1203590831656"/>
    <n v="364.92243737572466"/>
    <n v="0"/>
    <n v="4870.5748600000006"/>
    <n v="1594.7424200000003"/>
    <n v="0"/>
    <n v="8354.2132225457335"/>
    <n v="1486.3290874313266"/>
  </r>
  <r>
    <s v="Sistema de Compensação"/>
    <x v="1"/>
    <x v="2"/>
    <x v="5"/>
    <x v="0"/>
    <x v="0"/>
    <x v="0"/>
    <x v="1"/>
    <x v="3"/>
    <n v="0"/>
    <n v="0"/>
    <n v="6.8949999999999996"/>
    <n v="6.8949999999999996"/>
    <n v="6.8949999999999996"/>
    <n v="6.8949999999999996"/>
    <n v="0"/>
    <x v="0"/>
    <n v="0"/>
    <n v="0"/>
    <n v="15"/>
    <n v="65"/>
    <n v="0"/>
    <n v="1195.82"/>
    <n v="391.54"/>
    <m/>
    <n v="2051.1203590831656"/>
    <n v="364.92243737572466"/>
    <n v="0"/>
    <n v="8245.178899999999"/>
    <n v="2699.6682999999998"/>
    <n v="0"/>
    <n v="14142.474875878426"/>
    <n v="2516.1402057056212"/>
  </r>
  <r>
    <s v="Regular"/>
    <x v="1"/>
    <x v="2"/>
    <x v="5"/>
    <x v="0"/>
    <x v="0"/>
    <x v="0"/>
    <x v="1"/>
    <x v="10"/>
    <n v="0"/>
    <n v="0"/>
    <n v="4.0110000000000001"/>
    <n v="4.0110000000000001"/>
    <n v="4.0110000000000001"/>
    <n v="4.0110000000000001"/>
    <n v="0"/>
    <x v="0"/>
    <n v="0"/>
    <n v="0"/>
    <n v="15"/>
    <n v="65"/>
    <n v="0"/>
    <n v="1195.82"/>
    <n v="391.54"/>
    <m/>
    <n v="2051.1203590831656"/>
    <n v="364.92243737572466"/>
    <n v="0"/>
    <n v="4796.4340199999997"/>
    <n v="1570.46694"/>
    <n v="0"/>
    <n v="8227.0437602825768"/>
    <n v="1463.7038963140317"/>
  </r>
  <r>
    <s v="Sistema de Compensação"/>
    <x v="1"/>
    <x v="2"/>
    <x v="5"/>
    <x v="0"/>
    <x v="0"/>
    <x v="0"/>
    <x v="1"/>
    <x v="10"/>
    <n v="0"/>
    <n v="0"/>
    <n v="8.4139999999999997"/>
    <n v="8.4139999999999997"/>
    <n v="8.4139999999999997"/>
    <n v="8.4139999999999997"/>
    <n v="0"/>
    <x v="0"/>
    <n v="0"/>
    <n v="0"/>
    <n v="15"/>
    <n v="65"/>
    <n v="0"/>
    <n v="1195.82"/>
    <n v="391.54"/>
    <m/>
    <n v="2051.1203590831656"/>
    <n v="364.92243737572466"/>
    <n v="0"/>
    <n v="10061.62948"/>
    <n v="3294.4175599999999"/>
    <n v="0"/>
    <n v="17258.126701325753"/>
    <n v="3070.4573880793473"/>
  </r>
  <r>
    <s v="PROJETADO"/>
    <x v="1"/>
    <x v="2"/>
    <x v="5"/>
    <x v="0"/>
    <x v="0"/>
    <x v="0"/>
    <x v="1"/>
    <x v="11"/>
    <n v="0"/>
    <n v="0"/>
    <n v="4.0110000000000001"/>
    <n v="4.0110000000000001"/>
    <n v="4.0110000000000001"/>
    <n v="4.0110000000000001"/>
    <n v="0"/>
    <x v="0"/>
    <n v="0"/>
    <n v="0"/>
    <n v="15"/>
    <n v="65"/>
    <n v="0"/>
    <n v="1195.82"/>
    <n v="391.54"/>
    <m/>
    <n v="2051.1203590831656"/>
    <n v="364.92243737572466"/>
    <n v="0"/>
    <n v="4796.4340199999997"/>
    <n v="1570.46694"/>
    <n v="0"/>
    <n v="8227.0437602825768"/>
    <n v="1463.7038963140317"/>
  </r>
  <r>
    <s v="PROJETADO"/>
    <x v="1"/>
    <x v="2"/>
    <x v="5"/>
    <x v="0"/>
    <x v="0"/>
    <x v="0"/>
    <x v="1"/>
    <x v="11"/>
    <n v="0"/>
    <n v="0"/>
    <n v="8.4139999999999997"/>
    <n v="8.4139999999999997"/>
    <n v="8.4139999999999997"/>
    <n v="8.4139999999999997"/>
    <n v="0"/>
    <x v="0"/>
    <n v="0"/>
    <n v="0"/>
    <n v="15"/>
    <n v="65"/>
    <n v="0"/>
    <n v="1195.82"/>
    <n v="391.54"/>
    <m/>
    <n v="2051.1203590831656"/>
    <n v="364.92243737572466"/>
    <n v="0"/>
    <n v="10061.62948"/>
    <n v="3294.4175599999999"/>
    <n v="0"/>
    <n v="17258.126701325753"/>
    <n v="3070.4573880793473"/>
  </r>
  <r>
    <s v="Regular"/>
    <x v="1"/>
    <x v="2"/>
    <x v="1"/>
    <x v="1"/>
    <x v="1"/>
    <x v="0"/>
    <x v="0"/>
    <x v="4"/>
    <n v="0"/>
    <n v="0"/>
    <n v="10.618"/>
    <n v="2.1236000000000002"/>
    <n v="10.618"/>
    <n v="2.1236000000000002"/>
    <n v="0"/>
    <x v="0"/>
    <n v="0"/>
    <n v="0"/>
    <n v="17"/>
    <n v="66"/>
    <n v="0"/>
    <n v="84.99"/>
    <n v="242.77"/>
    <m/>
    <n v="146.90220900317223"/>
    <n v="227.53897547400734"/>
    <n v="0"/>
    <n v="180.48476400000001"/>
    <n v="515.54637200000002"/>
    <n v="0"/>
    <n v="311.96153103913656"/>
    <n v="483.20176831660206"/>
  </r>
  <r>
    <s v="Regular"/>
    <x v="1"/>
    <x v="2"/>
    <x v="1"/>
    <x v="1"/>
    <x v="1"/>
    <x v="0"/>
    <x v="0"/>
    <x v="5"/>
    <n v="0"/>
    <n v="0"/>
    <n v="1.8220000000000001"/>
    <n v="0.3644"/>
    <n v="1.8220000000000001"/>
    <n v="0.3644"/>
    <n v="0"/>
    <x v="0"/>
    <n v="0"/>
    <n v="0"/>
    <n v="17"/>
    <n v="66"/>
    <n v="0"/>
    <n v="84.99"/>
    <n v="242.77"/>
    <m/>
    <n v="146.90220900317223"/>
    <n v="227.53897547400734"/>
    <n v="0"/>
    <n v="30.970355999999999"/>
    <n v="88.465388000000004"/>
    <n v="0"/>
    <n v="53.531164960755959"/>
    <n v="82.915202662728277"/>
  </r>
  <r>
    <s v="Regular"/>
    <x v="1"/>
    <x v="2"/>
    <x v="1"/>
    <x v="1"/>
    <x v="1"/>
    <x v="0"/>
    <x v="0"/>
    <x v="0"/>
    <n v="0"/>
    <n v="0"/>
    <n v="10.122999999999999"/>
    <n v="2.0246"/>
    <n v="10.122999999999999"/>
    <n v="2.0246"/>
    <n v="0"/>
    <x v="0"/>
    <n v="0"/>
    <n v="0"/>
    <n v="17"/>
    <n v="66"/>
    <n v="0"/>
    <n v="84.99"/>
    <n v="242.77"/>
    <m/>
    <n v="146.90220900317223"/>
    <n v="227.53897547400734"/>
    <n v="0"/>
    <n v="172.07075399999999"/>
    <n v="491.51214199999998"/>
    <n v="0"/>
    <n v="297.41821234782248"/>
    <n v="460.67540974467528"/>
  </r>
  <r>
    <s v="Regular"/>
    <x v="1"/>
    <x v="2"/>
    <x v="1"/>
    <x v="1"/>
    <x v="1"/>
    <x v="0"/>
    <x v="0"/>
    <x v="6"/>
    <n v="0"/>
    <n v="0"/>
    <n v="2.15"/>
    <n v="0.43"/>
    <n v="2.15"/>
    <n v="0.43"/>
    <n v="0"/>
    <x v="0"/>
    <n v="0"/>
    <n v="0"/>
    <n v="17"/>
    <n v="66"/>
    <n v="0"/>
    <n v="84.99"/>
    <n v="242.77"/>
    <m/>
    <n v="146.90220900317223"/>
    <n v="227.53897547400734"/>
    <n v="0"/>
    <n v="36.545699999999997"/>
    <n v="104.39110000000001"/>
    <n v="0"/>
    <n v="63.167949871364058"/>
    <n v="97.841759453823158"/>
  </r>
  <r>
    <s v="Regular"/>
    <x v="1"/>
    <x v="2"/>
    <x v="1"/>
    <x v="1"/>
    <x v="1"/>
    <x v="0"/>
    <x v="0"/>
    <x v="7"/>
    <n v="0"/>
    <n v="0"/>
    <n v="31.052"/>
    <n v="6.2103999999999999"/>
    <n v="31.052"/>
    <n v="6.2103999999999999"/>
    <n v="0"/>
    <x v="0"/>
    <n v="0"/>
    <n v="0"/>
    <n v="17"/>
    <n v="66"/>
    <n v="0"/>
    <n v="84.99"/>
    <n v="242.77"/>
    <m/>
    <n v="146.90220900317223"/>
    <n v="227.53897547400734"/>
    <n v="0"/>
    <n v="527.82189599999992"/>
    <n v="1507.6988080000001"/>
    <n v="0"/>
    <n v="912.3214787933008"/>
    <n v="1413.1080532837752"/>
  </r>
  <r>
    <s v="Regular"/>
    <x v="1"/>
    <x v="2"/>
    <x v="1"/>
    <x v="1"/>
    <x v="1"/>
    <x v="0"/>
    <x v="0"/>
    <x v="8"/>
    <n v="0"/>
    <n v="0"/>
    <n v="147.99100000000001"/>
    <n v="29.598199999999999"/>
    <n v="147.99100000000001"/>
    <n v="29.598199999999999"/>
    <n v="0"/>
    <x v="0"/>
    <n v="0"/>
    <n v="0"/>
    <n v="17"/>
    <n v="66"/>
    <n v="0"/>
    <n v="84.99"/>
    <n v="242.77"/>
    <m/>
    <n v="146.90220900317223"/>
    <n v="227.53897547400734"/>
    <n v="0"/>
    <n v="2515.5510179999997"/>
    <n v="7185.5550139999996"/>
    <n v="0"/>
    <n v="4348.0409625176917"/>
    <n v="6734.7441038747638"/>
  </r>
  <r>
    <s v="Regular"/>
    <x v="1"/>
    <x v="2"/>
    <x v="1"/>
    <x v="1"/>
    <x v="1"/>
    <x v="0"/>
    <x v="0"/>
    <x v="9"/>
    <n v="0"/>
    <n v="0"/>
    <n v="181.78399999999999"/>
    <n v="36.3568"/>
    <n v="181.78399999999999"/>
    <n v="36.3568"/>
    <n v="0"/>
    <x v="0"/>
    <n v="0"/>
    <n v="0"/>
    <n v="17"/>
    <n v="66"/>
    <n v="0"/>
    <n v="84.99"/>
    <n v="242.77"/>
    <m/>
    <n v="146.90220900317223"/>
    <n v="227.53897547400734"/>
    <n v="0"/>
    <n v="3089.9644319999998"/>
    <n v="8826.3403360000011"/>
    <n v="0"/>
    <n v="5340.8942322865323"/>
    <n v="8272.5890235133902"/>
  </r>
  <r>
    <s v="Regular"/>
    <x v="1"/>
    <x v="2"/>
    <x v="1"/>
    <x v="1"/>
    <x v="1"/>
    <x v="0"/>
    <x v="0"/>
    <x v="1"/>
    <n v="0"/>
    <n v="0"/>
    <n v="131.59800000000001"/>
    <n v="26.319600000000001"/>
    <n v="131.59800000000001"/>
    <n v="26.319600000000001"/>
    <n v="0"/>
    <x v="0"/>
    <n v="0"/>
    <n v="0"/>
    <n v="17"/>
    <n v="66"/>
    <n v="0"/>
    <n v="84.99"/>
    <n v="242.77"/>
    <m/>
    <n v="146.90220900317223"/>
    <n v="227.53897547400734"/>
    <n v="0"/>
    <n v="2236.9028039999998"/>
    <n v="6389.609292000001"/>
    <n v="0"/>
    <n v="3866.4073800798919"/>
    <n v="5988.734818885684"/>
  </r>
  <r>
    <s v="Regular"/>
    <x v="1"/>
    <x v="2"/>
    <x v="1"/>
    <x v="1"/>
    <x v="1"/>
    <x v="0"/>
    <x v="0"/>
    <x v="2"/>
    <n v="0"/>
    <n v="0"/>
    <n v="146.72200000000001"/>
    <n v="29.3444"/>
    <n v="146.72200000000001"/>
    <n v="29.3444"/>
    <n v="0"/>
    <x v="0"/>
    <n v="0"/>
    <n v="0"/>
    <n v="17"/>
    <n v="66"/>
    <n v="0"/>
    <n v="84.99"/>
    <n v="242.77"/>
    <m/>
    <n v="146.90220900317223"/>
    <n v="227.53897547400734"/>
    <n v="0"/>
    <n v="2493.980556"/>
    <n v="7123.9399880000001"/>
    <n v="0"/>
    <n v="4310.7571818726874"/>
    <n v="6676.9947118994614"/>
  </r>
  <r>
    <s v="Regular"/>
    <x v="1"/>
    <x v="2"/>
    <x v="1"/>
    <x v="1"/>
    <x v="1"/>
    <x v="0"/>
    <x v="0"/>
    <x v="3"/>
    <n v="0"/>
    <n v="0"/>
    <n v="147.726"/>
    <n v="29.545200000000001"/>
    <n v="147.726"/>
    <n v="29.545200000000001"/>
    <n v="0"/>
    <x v="0"/>
    <n v="0"/>
    <n v="0"/>
    <n v="17"/>
    <n v="66"/>
    <n v="0"/>
    <n v="84.99"/>
    <n v="242.77"/>
    <m/>
    <n v="146.90220900317223"/>
    <n v="227.53897547400734"/>
    <n v="0"/>
    <n v="2511.0465479999998"/>
    <n v="7172.688204000001"/>
    <n v="0"/>
    <n v="4340.2551454405248"/>
    <n v="6722.6845381746425"/>
  </r>
  <r>
    <s v="Regular"/>
    <x v="1"/>
    <x v="2"/>
    <x v="1"/>
    <x v="1"/>
    <x v="1"/>
    <x v="0"/>
    <x v="0"/>
    <x v="10"/>
    <n v="0"/>
    <n v="0"/>
    <n v="132.041"/>
    <n v="26.408200000000001"/>
    <n v="132.041"/>
    <n v="26.408200000000001"/>
    <n v="0"/>
    <x v="0"/>
    <n v="0"/>
    <n v="0"/>
    <n v="17"/>
    <n v="66"/>
    <n v="0"/>
    <n v="84.99"/>
    <n v="242.77"/>
    <m/>
    <n v="146.90220900317223"/>
    <n v="227.53897547400734"/>
    <n v="0"/>
    <n v="2244.432918"/>
    <n v="6411.1187140000002"/>
    <n v="0"/>
    <n v="3879.4229157975728"/>
    <n v="6008.8947721126806"/>
  </r>
  <r>
    <s v="PROJETADO"/>
    <x v="1"/>
    <x v="2"/>
    <x v="1"/>
    <x v="1"/>
    <x v="1"/>
    <x v="0"/>
    <x v="0"/>
    <x v="11"/>
    <n v="0"/>
    <n v="0"/>
    <n v="132.041"/>
    <n v="26.408200000000001"/>
    <n v="132.041"/>
    <n v="26.408200000000001"/>
    <n v="0"/>
    <x v="0"/>
    <n v="0"/>
    <n v="0"/>
    <n v="17"/>
    <n v="66"/>
    <n v="0"/>
    <n v="84.99"/>
    <n v="242.77"/>
    <m/>
    <n v="146.90220900317223"/>
    <n v="227.53897547400734"/>
    <n v="0"/>
    <n v="2244.432918"/>
    <n v="6411.1187140000002"/>
    <n v="0"/>
    <n v="3879.4229157975728"/>
    <n v="6008.8947721126806"/>
  </r>
  <r>
    <s v="Regular"/>
    <x v="1"/>
    <x v="2"/>
    <x v="1"/>
    <x v="1"/>
    <x v="0"/>
    <x v="0"/>
    <x v="0"/>
    <x v="4"/>
    <n v="0"/>
    <n v="0"/>
    <n v="4.008"/>
    <n v="3.84768"/>
    <n v="4.008"/>
    <n v="3.84768"/>
    <n v="0"/>
    <x v="0"/>
    <n v="0"/>
    <n v="0"/>
    <n v="17"/>
    <n v="66"/>
    <n v="0"/>
    <n v="84.99"/>
    <n v="242.77"/>
    <m/>
    <n v="146.90220900317223"/>
    <n v="227.53897547400734"/>
    <n v="0"/>
    <n v="327.01432319999998"/>
    <n v="934.10127360000001"/>
    <n v="0"/>
    <n v="565.23269153732576"/>
    <n v="875.49716515182854"/>
  </r>
  <r>
    <s v="Regular"/>
    <x v="1"/>
    <x v="2"/>
    <x v="1"/>
    <x v="1"/>
    <x v="0"/>
    <x v="0"/>
    <x v="0"/>
    <x v="5"/>
    <n v="0"/>
    <n v="0"/>
    <n v="3.5409999999999999"/>
    <n v="3.3993600000000002"/>
    <n v="3.5409999999999999"/>
    <n v="3.3993600000000002"/>
    <n v="0"/>
    <x v="0"/>
    <n v="0"/>
    <n v="0"/>
    <n v="17"/>
    <n v="66"/>
    <n v="0"/>
    <n v="84.99"/>
    <n v="242.77"/>
    <m/>
    <n v="146.90220900317223"/>
    <n v="227.53897547400734"/>
    <n v="0"/>
    <n v="288.91160639999998"/>
    <n v="825.26262720000011"/>
    <n v="0"/>
    <n v="499.37349319702361"/>
    <n v="773.48689166732163"/>
  </r>
  <r>
    <s v="Regular"/>
    <x v="1"/>
    <x v="2"/>
    <x v="1"/>
    <x v="1"/>
    <x v="0"/>
    <x v="0"/>
    <x v="0"/>
    <x v="0"/>
    <n v="0"/>
    <n v="0"/>
    <n v="5.49"/>
    <n v="5.2704000000000004"/>
    <n v="5.49"/>
    <n v="5.2704000000000004"/>
    <n v="0"/>
    <x v="0"/>
    <n v="0"/>
    <n v="0"/>
    <n v="17"/>
    <n v="66"/>
    <n v="0"/>
    <n v="84.99"/>
    <n v="242.77"/>
    <m/>
    <n v="146.90220900317223"/>
    <n v="227.53897547400734"/>
    <n v="0"/>
    <n v="447.93129600000003"/>
    <n v="1279.4950080000001"/>
    <n v="0"/>
    <n v="774.233402330319"/>
    <n v="1199.2214163382084"/>
  </r>
  <r>
    <s v="Regular"/>
    <x v="1"/>
    <x v="2"/>
    <x v="1"/>
    <x v="1"/>
    <x v="0"/>
    <x v="0"/>
    <x v="0"/>
    <x v="6"/>
    <n v="0"/>
    <n v="0"/>
    <n v="2.6269999999999998"/>
    <n v="2.5219200000000002"/>
    <n v="2.6269999999999998"/>
    <n v="2.5219200000000002"/>
    <n v="0"/>
    <x v="0"/>
    <n v="0"/>
    <n v="0"/>
    <n v="17"/>
    <n v="66"/>
    <n v="0"/>
    <n v="84.99"/>
    <n v="242.77"/>
    <m/>
    <n v="146.90220900317223"/>
    <n v="227.53897547400734"/>
    <n v="0"/>
    <n v="214.3379808"/>
    <n v="612.24651840000001"/>
    <n v="0"/>
    <n v="370.47561892928013"/>
    <n v="573.83509302740867"/>
  </r>
  <r>
    <s v="Regular"/>
    <x v="1"/>
    <x v="2"/>
    <x v="1"/>
    <x v="1"/>
    <x v="0"/>
    <x v="0"/>
    <x v="0"/>
    <x v="7"/>
    <n v="0"/>
    <n v="0"/>
    <n v="8.43"/>
    <n v="8.0928000000000004"/>
    <n v="8.43"/>
    <n v="8.0928000000000004"/>
    <n v="0"/>
    <x v="0"/>
    <n v="0"/>
    <n v="0"/>
    <n v="17"/>
    <n v="66"/>
    <n v="0"/>
    <n v="84.99"/>
    <n v="242.77"/>
    <m/>
    <n v="146.90220900317223"/>
    <n v="227.53897547400734"/>
    <n v="0"/>
    <n v="687.80707199999995"/>
    <n v="1964.6890560000002"/>
    <n v="0"/>
    <n v="1188.8501970208722"/>
    <n v="1841.4274207160468"/>
  </r>
  <r>
    <s v="Regular"/>
    <x v="1"/>
    <x v="2"/>
    <x v="1"/>
    <x v="1"/>
    <x v="0"/>
    <x v="0"/>
    <x v="0"/>
    <x v="8"/>
    <n v="0"/>
    <n v="0"/>
    <n v="96.036000000000001"/>
    <n v="92.194559999999996"/>
    <n v="96.036000000000001"/>
    <n v="92.194559999999996"/>
    <n v="0"/>
    <x v="0"/>
    <n v="0"/>
    <n v="0"/>
    <n v="17"/>
    <n v="66"/>
    <n v="0"/>
    <n v="84.99"/>
    <n v="242.77"/>
    <m/>
    <n v="146.90220900317223"/>
    <n v="227.53897547400734"/>
    <n v="0"/>
    <n v="7835.6156543999996"/>
    <n v="22382.073331200001"/>
    <n v="0"/>
    <n v="13543.584522075502"/>
    <n v="20977.855726676898"/>
  </r>
  <r>
    <s v="Regular"/>
    <x v="1"/>
    <x v="2"/>
    <x v="1"/>
    <x v="1"/>
    <x v="0"/>
    <x v="0"/>
    <x v="0"/>
    <x v="9"/>
    <n v="0"/>
    <n v="0"/>
    <n v="114.723"/>
    <n v="110.13408"/>
    <n v="114.723"/>
    <n v="110.13408"/>
    <n v="0"/>
    <x v="0"/>
    <n v="0"/>
    <n v="0"/>
    <n v="17"/>
    <n v="66"/>
    <n v="0"/>
    <n v="84.99"/>
    <n v="242.77"/>
    <m/>
    <n v="146.90220900317223"/>
    <n v="227.53897547400734"/>
    <n v="0"/>
    <n v="9360.2954591999987"/>
    <n v="26737.250601600001"/>
    <n v="0"/>
    <n v="16178.939638532091"/>
    <n v="25059.795727972363"/>
  </r>
  <r>
    <s v="Regular"/>
    <x v="1"/>
    <x v="2"/>
    <x v="1"/>
    <x v="1"/>
    <x v="0"/>
    <x v="0"/>
    <x v="0"/>
    <x v="1"/>
    <n v="0"/>
    <n v="0"/>
    <n v="99.3"/>
    <n v="95.328000000000003"/>
    <n v="99.3"/>
    <n v="95.328000000000003"/>
    <n v="0"/>
    <x v="0"/>
    <n v="0"/>
    <n v="0"/>
    <n v="17"/>
    <n v="66"/>
    <n v="0"/>
    <n v="84.99"/>
    <n v="242.77"/>
    <m/>
    <n v="146.90220900317223"/>
    <n v="227.53897547400734"/>
    <n v="0"/>
    <n v="8101.9267199999995"/>
    <n v="23142.778560000002"/>
    <n v="0"/>
    <n v="14003.893779854403"/>
    <n v="21690.835453986172"/>
  </r>
  <r>
    <s v="Regular"/>
    <x v="1"/>
    <x v="2"/>
    <x v="1"/>
    <x v="1"/>
    <x v="0"/>
    <x v="0"/>
    <x v="0"/>
    <x v="2"/>
    <n v="0"/>
    <n v="0"/>
    <n v="126.755"/>
    <n v="121.6848"/>
    <n v="126.755"/>
    <n v="121.6848"/>
    <n v="0"/>
    <x v="0"/>
    <n v="0"/>
    <n v="0"/>
    <n v="17"/>
    <n v="66"/>
    <n v="0"/>
    <n v="84.99"/>
    <n v="242.77"/>
    <m/>
    <n v="146.90220900317223"/>
    <n v="227.53897547400734"/>
    <n v="0"/>
    <n v="10341.991151999999"/>
    <n v="29541.418895999999"/>
    <n v="0"/>
    <n v="17875.765922109211"/>
    <n v="27688.034722759487"/>
  </r>
  <r>
    <s v="Regular"/>
    <x v="1"/>
    <x v="2"/>
    <x v="1"/>
    <x v="1"/>
    <x v="0"/>
    <x v="0"/>
    <x v="0"/>
    <x v="3"/>
    <n v="0"/>
    <n v="0"/>
    <n v="106.91200000000001"/>
    <n v="102.63552"/>
    <n v="106.91200000000001"/>
    <n v="102.63552"/>
    <n v="0"/>
    <x v="0"/>
    <n v="0"/>
    <n v="0"/>
    <n v="17"/>
    <n v="66"/>
    <n v="0"/>
    <n v="84.99"/>
    <n v="242.77"/>
    <m/>
    <n v="146.90220900317223"/>
    <n v="227.53897547400734"/>
    <n v="0"/>
    <n v="8722.9928447999991"/>
    <n v="24916.825190400003"/>
    <n v="0"/>
    <n v="15077.384610189263"/>
    <n v="23353.581068041989"/>
  </r>
  <r>
    <s v="Regular"/>
    <x v="1"/>
    <x v="2"/>
    <x v="1"/>
    <x v="1"/>
    <x v="0"/>
    <x v="0"/>
    <x v="0"/>
    <x v="10"/>
    <n v="0"/>
    <n v="0"/>
    <n v="116.173"/>
    <n v="111.52607999999999"/>
    <n v="116.173"/>
    <n v="111.52607999999999"/>
    <n v="0"/>
    <x v="0"/>
    <n v="0"/>
    <n v="0"/>
    <n v="17"/>
    <n v="66"/>
    <n v="0"/>
    <n v="84.99"/>
    <n v="242.77"/>
    <m/>
    <n v="146.90220900317223"/>
    <n v="227.53897547400734"/>
    <n v="0"/>
    <n v="9478.601539199999"/>
    <n v="27075.186441599999"/>
    <n v="0"/>
    <n v="16383.427513464505"/>
    <n v="25376.52998183218"/>
  </r>
  <r>
    <s v="PROJETADO"/>
    <x v="1"/>
    <x v="2"/>
    <x v="1"/>
    <x v="1"/>
    <x v="0"/>
    <x v="0"/>
    <x v="0"/>
    <x v="11"/>
    <n v="0"/>
    <n v="0"/>
    <n v="116.173"/>
    <n v="111.52607999999999"/>
    <n v="116.173"/>
    <n v="111.52607999999999"/>
    <n v="0"/>
    <x v="0"/>
    <n v="0"/>
    <n v="0"/>
    <n v="17"/>
    <n v="66"/>
    <n v="0"/>
    <n v="84.99"/>
    <n v="242.77"/>
    <m/>
    <n v="146.90220900317223"/>
    <n v="227.53897547400734"/>
    <n v="0"/>
    <n v="9478.601539199999"/>
    <n v="27075.186441599999"/>
    <n v="0"/>
    <n v="16383.427513464505"/>
    <n v="25376.52998183218"/>
  </r>
  <r>
    <s v="Regular"/>
    <x v="1"/>
    <x v="2"/>
    <x v="1"/>
    <x v="1"/>
    <x v="0"/>
    <x v="0"/>
    <x v="2"/>
    <x v="4"/>
    <n v="508"/>
    <n v="487.68"/>
    <n v="0"/>
    <n v="0"/>
    <n v="0"/>
    <n v="0"/>
    <n v="14"/>
    <x v="0"/>
    <n v="0"/>
    <n v="13"/>
    <n v="0"/>
    <n v="0"/>
    <n v="18.920000000000002"/>
    <n v="0"/>
    <n v="0"/>
    <n v="32.556945267352141"/>
    <m/>
    <m/>
    <n v="9226.9056000000019"/>
    <n v="0"/>
    <n v="0"/>
    <n v="15877.371067982293"/>
    <n v="0"/>
    <n v="0"/>
  </r>
  <r>
    <s v="Regular"/>
    <x v="1"/>
    <x v="2"/>
    <x v="1"/>
    <x v="1"/>
    <x v="0"/>
    <x v="0"/>
    <x v="2"/>
    <x v="5"/>
    <n v="337"/>
    <n v="323.52"/>
    <n v="0"/>
    <n v="0"/>
    <n v="0"/>
    <n v="0"/>
    <n v="14"/>
    <x v="0"/>
    <n v="0"/>
    <n v="13"/>
    <n v="0"/>
    <n v="0"/>
    <n v="18.920000000000002"/>
    <n v="0"/>
    <n v="0"/>
    <n v="32.556945267352141"/>
    <m/>
    <m/>
    <n v="6120.9984000000004"/>
    <n v="0"/>
    <n v="0"/>
    <n v="10532.822932893763"/>
    <n v="0"/>
    <n v="0"/>
  </r>
  <r>
    <s v="Regular"/>
    <x v="1"/>
    <x v="2"/>
    <x v="1"/>
    <x v="1"/>
    <x v="0"/>
    <x v="0"/>
    <x v="2"/>
    <x v="0"/>
    <n v="440"/>
    <n v="422.4"/>
    <n v="0"/>
    <n v="0"/>
    <n v="0"/>
    <n v="0"/>
    <n v="8"/>
    <x v="0"/>
    <n v="0"/>
    <n v="13"/>
    <n v="0"/>
    <n v="0"/>
    <n v="18.920000000000002"/>
    <n v="0"/>
    <n v="0"/>
    <n v="32.556945267352141"/>
    <m/>
    <m/>
    <n v="7991.808"/>
    <n v="0"/>
    <n v="0"/>
    <n v="13752.053680929544"/>
    <n v="0"/>
    <n v="0"/>
  </r>
  <r>
    <s v="Regular"/>
    <x v="1"/>
    <x v="2"/>
    <x v="1"/>
    <x v="1"/>
    <x v="0"/>
    <x v="0"/>
    <x v="2"/>
    <x v="6"/>
    <n v="386"/>
    <n v="370.56"/>
    <n v="0"/>
    <n v="0"/>
    <n v="0"/>
    <n v="0"/>
    <n v="12"/>
    <x v="0"/>
    <n v="0"/>
    <n v="13"/>
    <n v="0"/>
    <n v="0"/>
    <n v="18.920000000000002"/>
    <n v="0"/>
    <n v="0"/>
    <n v="32.556945267352141"/>
    <m/>
    <m/>
    <n v="7010.9952000000003"/>
    <n v="0"/>
    <n v="0"/>
    <n v="12064.30163827001"/>
    <n v="0"/>
    <n v="0"/>
  </r>
  <r>
    <s v="Regular"/>
    <x v="1"/>
    <x v="2"/>
    <x v="1"/>
    <x v="1"/>
    <x v="0"/>
    <x v="0"/>
    <x v="2"/>
    <x v="7"/>
    <n v="1604"/>
    <n v="1539.84"/>
    <n v="0"/>
    <n v="0"/>
    <n v="0"/>
    <n v="0"/>
    <n v="12"/>
    <x v="0"/>
    <n v="0"/>
    <n v="13"/>
    <n v="0"/>
    <n v="0"/>
    <n v="18.920000000000002"/>
    <n v="0"/>
    <n v="0"/>
    <n v="32.556945267352141"/>
    <m/>
    <m/>
    <n v="29133.772800000002"/>
    <n v="0"/>
    <n v="0"/>
    <n v="50132.486600479519"/>
    <n v="0"/>
    <n v="0"/>
  </r>
  <r>
    <s v="Regular"/>
    <x v="1"/>
    <x v="2"/>
    <x v="1"/>
    <x v="1"/>
    <x v="0"/>
    <x v="0"/>
    <x v="2"/>
    <x v="8"/>
    <n v="1482"/>
    <n v="1422.72"/>
    <n v="0"/>
    <n v="0"/>
    <n v="0"/>
    <n v="0"/>
    <n v="11"/>
    <x v="0"/>
    <n v="0"/>
    <n v="13"/>
    <n v="0"/>
    <n v="0"/>
    <n v="18.920000000000002"/>
    <n v="0"/>
    <n v="0"/>
    <n v="32.556945267352141"/>
    <m/>
    <m/>
    <n v="26917.862400000002"/>
    <n v="0"/>
    <n v="0"/>
    <n v="46319.417170767236"/>
    <n v="0"/>
    <n v="0"/>
  </r>
  <r>
    <s v="Regular"/>
    <x v="1"/>
    <x v="2"/>
    <x v="1"/>
    <x v="1"/>
    <x v="0"/>
    <x v="0"/>
    <x v="2"/>
    <x v="9"/>
    <n v="1468"/>
    <n v="1409.28"/>
    <n v="0"/>
    <n v="0"/>
    <n v="0"/>
    <n v="0"/>
    <n v="11"/>
    <x v="0"/>
    <n v="0"/>
    <n v="13"/>
    <n v="0"/>
    <n v="0"/>
    <n v="18.920000000000002"/>
    <n v="0"/>
    <n v="0"/>
    <n v="32.556945267352141"/>
    <m/>
    <m/>
    <n v="26663.577600000001"/>
    <n v="0"/>
    <n v="0"/>
    <n v="45881.851826374026"/>
    <n v="0"/>
    <n v="0"/>
  </r>
  <r>
    <s v="Regular"/>
    <x v="1"/>
    <x v="2"/>
    <x v="1"/>
    <x v="1"/>
    <x v="0"/>
    <x v="0"/>
    <x v="2"/>
    <x v="1"/>
    <n v="1577"/>
    <n v="1513.92"/>
    <n v="0"/>
    <n v="0"/>
    <n v="0"/>
    <n v="0"/>
    <n v="11"/>
    <x v="0"/>
    <n v="0"/>
    <n v="13"/>
    <n v="0"/>
    <n v="0"/>
    <n v="18.920000000000002"/>
    <n v="0"/>
    <n v="0"/>
    <n v="32.556945267352141"/>
    <m/>
    <m/>
    <n v="28643.366400000003"/>
    <n v="0"/>
    <n v="0"/>
    <n v="49288.610579149754"/>
    <n v="0"/>
    <n v="0"/>
  </r>
  <r>
    <s v="Regular"/>
    <x v="1"/>
    <x v="2"/>
    <x v="1"/>
    <x v="1"/>
    <x v="0"/>
    <x v="0"/>
    <x v="2"/>
    <x v="2"/>
    <n v="1374"/>
    <n v="1319.04"/>
    <n v="0"/>
    <n v="0"/>
    <n v="0"/>
    <n v="0"/>
    <n v="10"/>
    <x v="0"/>
    <n v="0"/>
    <n v="13"/>
    <n v="0"/>
    <n v="0"/>
    <n v="18.920000000000002"/>
    <n v="0"/>
    <n v="0"/>
    <n v="32.556945267352141"/>
    <m/>
    <m/>
    <n v="24956.236800000002"/>
    <n v="0"/>
    <n v="0"/>
    <n v="42943.91308544817"/>
    <n v="0"/>
    <n v="0"/>
  </r>
  <r>
    <s v="Regular"/>
    <x v="1"/>
    <x v="2"/>
    <x v="1"/>
    <x v="1"/>
    <x v="0"/>
    <x v="0"/>
    <x v="2"/>
    <x v="3"/>
    <n v="1789"/>
    <n v="1717.44"/>
    <n v="0"/>
    <n v="0"/>
    <n v="0"/>
    <n v="0"/>
    <n v="10"/>
    <x v="0"/>
    <n v="0"/>
    <n v="13"/>
    <n v="0"/>
    <n v="0"/>
    <n v="18.920000000000002"/>
    <n v="0"/>
    <n v="0"/>
    <n v="32.556945267352141"/>
    <m/>
    <m/>
    <n v="32493.964800000005"/>
    <n v="0"/>
    <n v="0"/>
    <n v="55914.600079961267"/>
    <n v="0"/>
    <n v="0"/>
  </r>
  <r>
    <s v="Regular"/>
    <x v="1"/>
    <x v="2"/>
    <x v="1"/>
    <x v="1"/>
    <x v="0"/>
    <x v="0"/>
    <x v="2"/>
    <x v="10"/>
    <n v="969"/>
    <n v="930.24"/>
    <n v="0"/>
    <n v="0"/>
    <n v="0"/>
    <n v="0"/>
    <n v="10"/>
    <x v="0"/>
    <n v="0"/>
    <n v="13"/>
    <n v="0"/>
    <n v="0"/>
    <n v="18.920000000000002"/>
    <n v="0"/>
    <n v="0"/>
    <n v="32.556945267352141"/>
    <m/>
    <m/>
    <n v="17600.140800000001"/>
    <n v="0"/>
    <n v="0"/>
    <n v="30285.772765501657"/>
    <n v="0"/>
    <n v="0"/>
  </r>
  <r>
    <s v="PROJETADO"/>
    <x v="1"/>
    <x v="2"/>
    <x v="1"/>
    <x v="1"/>
    <x v="0"/>
    <x v="0"/>
    <x v="2"/>
    <x v="11"/>
    <n v="969"/>
    <n v="930.24"/>
    <n v="0"/>
    <n v="0"/>
    <n v="0"/>
    <n v="0"/>
    <n v="10"/>
    <x v="0"/>
    <n v="0"/>
    <n v="13"/>
    <n v="0"/>
    <n v="0"/>
    <n v="18.920000000000002"/>
    <n v="0"/>
    <n v="0"/>
    <n v="32.556945267352141"/>
    <m/>
    <m/>
    <n v="17600.140800000001"/>
    <n v="0"/>
    <n v="0"/>
    <n v="30285.772765501657"/>
    <n v="0"/>
    <n v="0"/>
  </r>
  <r>
    <s v="Regular"/>
    <x v="1"/>
    <x v="2"/>
    <x v="1"/>
    <x v="1"/>
    <x v="0"/>
    <x v="0"/>
    <x v="1"/>
    <x v="4"/>
    <n v="0"/>
    <n v="0"/>
    <n v="0.48599999999999999"/>
    <n v="0.46655999999999997"/>
    <n v="0.48599999999999999"/>
    <n v="0.46655999999999997"/>
    <n v="0"/>
    <x v="0"/>
    <n v="0"/>
    <n v="0"/>
    <n v="15"/>
    <n v="65"/>
    <n v="0"/>
    <n v="1195.82"/>
    <n v="391.54"/>
    <m/>
    <n v="2051.1203590831656"/>
    <n v="364.92243737572466"/>
    <n v="0"/>
    <n v="557.92177919999995"/>
    <n v="182.67690239999999"/>
    <n v="0"/>
    <n v="956.97071473384165"/>
    <n v="170.25821238201809"/>
  </r>
  <r>
    <s v="Regular"/>
    <x v="1"/>
    <x v="2"/>
    <x v="1"/>
    <x v="1"/>
    <x v="0"/>
    <x v="0"/>
    <x v="1"/>
    <x v="5"/>
    <n v="0"/>
    <n v="0"/>
    <n v="0.51900000000000002"/>
    <n v="0.49824000000000002"/>
    <n v="0.51900000000000002"/>
    <n v="0.49824000000000002"/>
    <n v="0"/>
    <x v="0"/>
    <n v="0"/>
    <n v="0"/>
    <n v="15"/>
    <n v="65"/>
    <n v="0"/>
    <n v="1195.82"/>
    <n v="391.54"/>
    <m/>
    <n v="2051.1203590831656"/>
    <n v="364.92243737572466"/>
    <n v="0"/>
    <n v="595.80535680000003"/>
    <n v="195.08088960000001"/>
    <n v="0"/>
    <n v="1021.9502077095965"/>
    <n v="181.81895519808106"/>
  </r>
  <r>
    <s v="Regular"/>
    <x v="1"/>
    <x v="2"/>
    <x v="1"/>
    <x v="1"/>
    <x v="0"/>
    <x v="0"/>
    <x v="1"/>
    <x v="0"/>
    <n v="0"/>
    <n v="0"/>
    <n v="0.33400000000000002"/>
    <n v="0.32063999999999998"/>
    <n v="0.33400000000000002"/>
    <n v="0.32063999999999998"/>
    <n v="0"/>
    <x v="0"/>
    <n v="0"/>
    <n v="0"/>
    <n v="15"/>
    <n v="65"/>
    <n v="0"/>
    <n v="1195.82"/>
    <n v="391.54"/>
    <m/>
    <n v="2051.1203590831656"/>
    <n v="364.92243737572466"/>
    <n v="0"/>
    <n v="383.42772479999996"/>
    <n v="125.54338559999999"/>
    <n v="0"/>
    <n v="657.67123193642612"/>
    <n v="117.00873032015235"/>
  </r>
  <r>
    <s v="Regular"/>
    <x v="1"/>
    <x v="2"/>
    <x v="1"/>
    <x v="1"/>
    <x v="0"/>
    <x v="0"/>
    <x v="1"/>
    <x v="6"/>
    <n v="0"/>
    <n v="0"/>
    <n v="0.372"/>
    <n v="0.35711999999999999"/>
    <n v="0.372"/>
    <n v="0.35711999999999999"/>
    <n v="0"/>
    <x v="0"/>
    <n v="0"/>
    <n v="0"/>
    <n v="15"/>
    <n v="65"/>
    <n v="0"/>
    <n v="1195.82"/>
    <n v="391.54"/>
    <m/>
    <n v="2051.1203590831656"/>
    <n v="364.92243737572466"/>
    <n v="0"/>
    <n v="427.05123839999999"/>
    <n v="139.82676480000001"/>
    <n v="0"/>
    <n v="732.49610263578006"/>
    <n v="130.32110083561878"/>
  </r>
  <r>
    <s v="Regular"/>
    <x v="1"/>
    <x v="2"/>
    <x v="1"/>
    <x v="1"/>
    <x v="0"/>
    <x v="0"/>
    <x v="1"/>
    <x v="7"/>
    <n v="0"/>
    <n v="0"/>
    <n v="0.71499999999999997"/>
    <n v="0.68640000000000001"/>
    <n v="0.71499999999999997"/>
    <n v="0.68640000000000001"/>
    <n v="0"/>
    <x v="0"/>
    <n v="0"/>
    <n v="0"/>
    <n v="15"/>
    <n v="65"/>
    <n v="0"/>
    <n v="1195.82"/>
    <n v="391.54"/>
    <m/>
    <n v="2051.1203590831656"/>
    <n v="364.92243737572466"/>
    <n v="0"/>
    <n v="820.81084799999996"/>
    <n v="268.75305600000002"/>
    <n v="0"/>
    <n v="1407.8890144746849"/>
    <n v="250.48276101469742"/>
  </r>
  <r>
    <s v="Regular"/>
    <x v="1"/>
    <x v="2"/>
    <x v="1"/>
    <x v="1"/>
    <x v="0"/>
    <x v="0"/>
    <x v="1"/>
    <x v="8"/>
    <n v="0"/>
    <n v="0"/>
    <n v="0.79900000000000004"/>
    <n v="0.76704000000000006"/>
    <n v="0.79900000000000004"/>
    <n v="0.76704000000000006"/>
    <n v="0"/>
    <x v="0"/>
    <n v="0"/>
    <n v="0"/>
    <n v="15"/>
    <n v="65"/>
    <n v="0"/>
    <n v="1195.82"/>
    <n v="391.54"/>
    <m/>
    <n v="2051.1203590831656"/>
    <n v="364.92243737572466"/>
    <n v="0"/>
    <n v="917.24177280000004"/>
    <n v="300.32684160000002"/>
    <n v="0"/>
    <n v="1573.2913602311514"/>
    <n v="279.91010636467587"/>
  </r>
  <r>
    <s v="Regular"/>
    <x v="1"/>
    <x v="2"/>
    <x v="1"/>
    <x v="1"/>
    <x v="0"/>
    <x v="0"/>
    <x v="1"/>
    <x v="9"/>
    <n v="0"/>
    <n v="0"/>
    <n v="0.68500000000000005"/>
    <n v="0.65759999999999996"/>
    <n v="0.68500000000000005"/>
    <n v="0.65759999999999996"/>
    <n v="0"/>
    <x v="0"/>
    <n v="0"/>
    <n v="0"/>
    <n v="15"/>
    <n v="65"/>
    <n v="0"/>
    <n v="1195.82"/>
    <n v="391.54"/>
    <m/>
    <n v="2051.1203590831656"/>
    <n v="364.92243737572466"/>
    <n v="0"/>
    <n v="786.37123199999996"/>
    <n v="257.47670399999998"/>
    <n v="0"/>
    <n v="1348.8167481330895"/>
    <n v="239.97299481827653"/>
  </r>
  <r>
    <s v="Regular"/>
    <x v="1"/>
    <x v="2"/>
    <x v="1"/>
    <x v="1"/>
    <x v="0"/>
    <x v="0"/>
    <x v="1"/>
    <x v="1"/>
    <n v="0"/>
    <n v="0"/>
    <n v="1.2609999999999999"/>
    <n v="1.2105600000000001"/>
    <n v="1.2609999999999999"/>
    <n v="1.2105600000000001"/>
    <n v="0"/>
    <x v="0"/>
    <n v="0"/>
    <n v="0"/>
    <n v="15"/>
    <n v="65"/>
    <n v="0"/>
    <n v="1195.82"/>
    <n v="391.54"/>
    <m/>
    <n v="2051.1203590831656"/>
    <n v="364.92243737572466"/>
    <n v="0"/>
    <n v="1447.6118592"/>
    <n v="473.98266240000004"/>
    <n v="0"/>
    <n v="2483.0042618917169"/>
    <n v="441.76050578955727"/>
  </r>
  <r>
    <s v="Regular"/>
    <x v="1"/>
    <x v="2"/>
    <x v="1"/>
    <x v="1"/>
    <x v="0"/>
    <x v="0"/>
    <x v="1"/>
    <x v="2"/>
    <n v="0"/>
    <n v="0"/>
    <n v="1.0620000000000001"/>
    <n v="1.01952"/>
    <n v="1.0620000000000001"/>
    <n v="1.01952"/>
    <n v="0"/>
    <x v="0"/>
    <n v="0"/>
    <n v="0"/>
    <n v="15"/>
    <n v="65"/>
    <n v="0"/>
    <n v="1195.82"/>
    <n v="391.54"/>
    <m/>
    <n v="2051.1203590831656"/>
    <n v="364.92243737572466"/>
    <n v="0"/>
    <n v="1219.1624064"/>
    <n v="399.18286080000001"/>
    <n v="0"/>
    <n v="2091.1582284924689"/>
    <n v="372.0457233532988"/>
  </r>
  <r>
    <s v="Regular"/>
    <x v="1"/>
    <x v="2"/>
    <x v="1"/>
    <x v="1"/>
    <x v="0"/>
    <x v="0"/>
    <x v="1"/>
    <x v="3"/>
    <n v="0"/>
    <n v="0"/>
    <n v="0.80800000000000005"/>
    <n v="0.77568000000000004"/>
    <n v="0.80800000000000005"/>
    <n v="0.77568000000000004"/>
    <n v="0"/>
    <x v="0"/>
    <n v="0"/>
    <n v="0"/>
    <n v="15"/>
    <n v="65"/>
    <n v="0"/>
    <n v="1195.82"/>
    <n v="391.54"/>
    <m/>
    <n v="2051.1203590831656"/>
    <n v="364.92243737572466"/>
    <n v="0"/>
    <n v="927.57365760000005"/>
    <n v="303.70974720000004"/>
    <n v="0"/>
    <n v="1591.0130401336298"/>
    <n v="283.06303622360213"/>
  </r>
  <r>
    <s v="Regular"/>
    <x v="1"/>
    <x v="2"/>
    <x v="1"/>
    <x v="1"/>
    <x v="0"/>
    <x v="0"/>
    <x v="1"/>
    <x v="10"/>
    <n v="0"/>
    <n v="0"/>
    <n v="0.72499999999999998"/>
    <n v="0.69599999999999995"/>
    <n v="0.72499999999999998"/>
    <n v="0.69599999999999995"/>
    <n v="0"/>
    <x v="0"/>
    <n v="0"/>
    <n v="0"/>
    <n v="15"/>
    <n v="65"/>
    <n v="0"/>
    <n v="1195.82"/>
    <n v="391.54"/>
    <m/>
    <n v="2051.1203590831656"/>
    <n v="364.92243737572466"/>
    <n v="0"/>
    <n v="832.29071999999985"/>
    <n v="272.51184000000001"/>
    <n v="0"/>
    <n v="1427.5797699218831"/>
    <n v="253.98601641350433"/>
  </r>
  <r>
    <s v="PROJETADO"/>
    <x v="1"/>
    <x v="2"/>
    <x v="1"/>
    <x v="1"/>
    <x v="0"/>
    <x v="0"/>
    <x v="1"/>
    <x v="11"/>
    <n v="0"/>
    <n v="0"/>
    <n v="0.72499999999999998"/>
    <n v="0.69599999999999995"/>
    <n v="0.72499999999999998"/>
    <n v="0.69599999999999995"/>
    <n v="0"/>
    <x v="0"/>
    <n v="0"/>
    <n v="0"/>
    <n v="15"/>
    <n v="65"/>
    <n v="0"/>
    <n v="1195.82"/>
    <n v="391.54"/>
    <m/>
    <n v="2051.1203590831656"/>
    <n v="364.92243737572466"/>
    <n v="0"/>
    <n v="832.29071999999985"/>
    <n v="272.51184000000001"/>
    <n v="0"/>
    <n v="1427.5797699218831"/>
    <n v="253.98601641350433"/>
  </r>
  <r>
    <s v="Regular"/>
    <x v="1"/>
    <x v="2"/>
    <x v="1"/>
    <x v="2"/>
    <x v="0"/>
    <x v="0"/>
    <x v="0"/>
    <x v="4"/>
    <n v="0"/>
    <n v="0"/>
    <n v="0.39800000000000002"/>
    <n v="0.38208000000000003"/>
    <n v="0.39800000000000002"/>
    <n v="0.38208000000000003"/>
    <n v="0"/>
    <x v="0"/>
    <n v="0"/>
    <n v="0"/>
    <n v="17"/>
    <n v="66"/>
    <n v="0"/>
    <n v="84.99"/>
    <n v="242.77"/>
    <m/>
    <n v="146.90220900317223"/>
    <n v="227.53897547400734"/>
    <n v="0"/>
    <n v="32.472979199999997"/>
    <n v="92.757561600000017"/>
    <n v="0"/>
    <n v="56.128396015932047"/>
    <n v="86.938091749108736"/>
  </r>
  <r>
    <s v="Regular"/>
    <x v="1"/>
    <x v="2"/>
    <x v="1"/>
    <x v="2"/>
    <x v="0"/>
    <x v="0"/>
    <x v="0"/>
    <x v="5"/>
    <n v="0"/>
    <n v="0"/>
    <n v="0.41799999999999998"/>
    <n v="0.40128000000000003"/>
    <n v="0.41799999999999998"/>
    <n v="0.40128000000000003"/>
    <n v="0"/>
    <x v="0"/>
    <n v="0"/>
    <n v="0"/>
    <n v="17"/>
    <n v="66"/>
    <n v="0"/>
    <n v="84.99"/>
    <n v="242.77"/>
    <m/>
    <n v="146.90220900317223"/>
    <n v="227.53897547400734"/>
    <n v="0"/>
    <n v="34.104787199999997"/>
    <n v="97.418745600000008"/>
    <n v="0"/>
    <n v="58.948918428792958"/>
    <n v="91.306840078209675"/>
  </r>
  <r>
    <s v="Regular"/>
    <x v="1"/>
    <x v="2"/>
    <x v="1"/>
    <x v="2"/>
    <x v="0"/>
    <x v="0"/>
    <x v="0"/>
    <x v="0"/>
    <n v="0"/>
    <n v="0"/>
    <n v="0.42899999999999999"/>
    <n v="0.41183999999999998"/>
    <n v="0.42899999999999999"/>
    <n v="0.41183999999999998"/>
    <n v="0"/>
    <x v="0"/>
    <n v="0"/>
    <n v="0"/>
    <n v="17"/>
    <n v="66"/>
    <n v="0"/>
    <n v="84.99"/>
    <n v="242.77"/>
    <m/>
    <n v="146.90220900317223"/>
    <n v="227.53897547400734"/>
    <n v="0"/>
    <n v="35.002281599999996"/>
    <n v="99.982396800000004"/>
    <n v="0"/>
    <n v="60.500205755866446"/>
    <n v="93.709651659215183"/>
  </r>
  <r>
    <s v="Regular"/>
    <x v="1"/>
    <x v="2"/>
    <x v="1"/>
    <x v="2"/>
    <x v="0"/>
    <x v="0"/>
    <x v="2"/>
    <x v="4"/>
    <n v="1"/>
    <n v="0.96"/>
    <n v="0"/>
    <n v="0"/>
    <n v="0"/>
    <n v="0"/>
    <n v="2"/>
    <x v="0"/>
    <n v="0"/>
    <n v="13"/>
    <n v="0"/>
    <n v="0"/>
    <n v="18.920000000000002"/>
    <n v="0"/>
    <n v="0"/>
    <n v="32.556945267352141"/>
    <m/>
    <m/>
    <n v="18.1632"/>
    <n v="0"/>
    <n v="0"/>
    <n v="31.254667456658055"/>
    <n v="0"/>
    <n v="0"/>
  </r>
  <r>
    <s v="Regular"/>
    <x v="1"/>
    <x v="2"/>
    <x v="1"/>
    <x v="2"/>
    <x v="0"/>
    <x v="0"/>
    <x v="2"/>
    <x v="5"/>
    <n v="1"/>
    <n v="0.96"/>
    <n v="0"/>
    <n v="0"/>
    <n v="0"/>
    <n v="0"/>
    <n v="2"/>
    <x v="0"/>
    <n v="0"/>
    <n v="13"/>
    <n v="0"/>
    <n v="0"/>
    <n v="18.920000000000002"/>
    <n v="0"/>
    <n v="0"/>
    <n v="32.556945267352141"/>
    <m/>
    <m/>
    <n v="18.1632"/>
    <n v="0"/>
    <n v="0"/>
    <n v="31.254667456658055"/>
    <n v="0"/>
    <n v="0"/>
  </r>
  <r>
    <s v="Regular"/>
    <x v="1"/>
    <x v="2"/>
    <x v="1"/>
    <x v="2"/>
    <x v="0"/>
    <x v="0"/>
    <x v="2"/>
    <x v="0"/>
    <n v="1"/>
    <n v="0.96"/>
    <n v="0"/>
    <n v="0"/>
    <n v="0"/>
    <n v="0"/>
    <n v="2"/>
    <x v="0"/>
    <n v="0"/>
    <n v="13"/>
    <n v="0"/>
    <n v="0"/>
    <n v="18.920000000000002"/>
    <n v="0"/>
    <n v="0"/>
    <n v="32.556945267352141"/>
    <m/>
    <m/>
    <n v="18.1632"/>
    <n v="0"/>
    <n v="0"/>
    <n v="31.254667456658055"/>
    <n v="0"/>
    <n v="0"/>
  </r>
  <r>
    <s v="Regular"/>
    <x v="1"/>
    <x v="2"/>
    <x v="1"/>
    <x v="2"/>
    <x v="0"/>
    <x v="0"/>
    <x v="1"/>
    <x v="4"/>
    <n v="0"/>
    <n v="0"/>
    <n v="0.06"/>
    <n v="5.7599999999999998E-2"/>
    <n v="0.06"/>
    <n v="5.7599999999999998E-2"/>
    <n v="0"/>
    <x v="0"/>
    <n v="0"/>
    <n v="0"/>
    <n v="15"/>
    <n v="65"/>
    <n v="0"/>
    <n v="1195.82"/>
    <n v="391.54"/>
    <m/>
    <n v="2051.1203590831656"/>
    <n v="364.92243737572466"/>
    <n v="0"/>
    <n v="68.879231999999988"/>
    <n v="22.552704000000002"/>
    <n v="0"/>
    <n v="118.14453268319033"/>
    <n v="21.019532392841739"/>
  </r>
  <r>
    <s v="Regular"/>
    <x v="1"/>
    <x v="2"/>
    <x v="1"/>
    <x v="2"/>
    <x v="0"/>
    <x v="0"/>
    <x v="1"/>
    <x v="5"/>
    <n v="0"/>
    <n v="0"/>
    <n v="6.5000000000000002E-2"/>
    <n v="6.2399999999999997E-2"/>
    <n v="6.5000000000000002E-2"/>
    <n v="6.2399999999999997E-2"/>
    <n v="0"/>
    <x v="0"/>
    <n v="0"/>
    <n v="0"/>
    <n v="15"/>
    <n v="65"/>
    <n v="0"/>
    <n v="1195.82"/>
    <n v="391.54"/>
    <m/>
    <n v="2051.1203590831656"/>
    <n v="364.92243737572466"/>
    <n v="0"/>
    <n v="74.619167999999988"/>
    <n v="24.432096000000001"/>
    <n v="0"/>
    <n v="127.98991040678952"/>
    <n v="22.771160092245218"/>
  </r>
  <r>
    <s v="Regular"/>
    <x v="1"/>
    <x v="2"/>
    <x v="1"/>
    <x v="2"/>
    <x v="0"/>
    <x v="0"/>
    <x v="1"/>
    <x v="0"/>
    <n v="0"/>
    <n v="0"/>
    <n v="5.3999999999999999E-2"/>
    <n v="5.1839999999999997E-2"/>
    <n v="5.3999999999999999E-2"/>
    <n v="5.1839999999999997E-2"/>
    <n v="0"/>
    <x v="0"/>
    <n v="0"/>
    <n v="0"/>
    <n v="15"/>
    <n v="65"/>
    <n v="0"/>
    <n v="1195.82"/>
    <n v="391.54"/>
    <m/>
    <n v="2051.1203590831656"/>
    <n v="364.92243737572466"/>
    <n v="0"/>
    <n v="61.991308799999992"/>
    <n v="20.297433600000002"/>
    <n v="0"/>
    <n v="106.33007941487129"/>
    <n v="18.917579153557565"/>
  </r>
  <r>
    <s v="Regular"/>
    <x v="1"/>
    <x v="2"/>
    <x v="1"/>
    <x v="0"/>
    <x v="0"/>
    <x v="0"/>
    <x v="0"/>
    <x v="2"/>
    <n v="0"/>
    <n v="0"/>
    <n v="42.765999999999998"/>
    <n v="41.05536"/>
    <n v="42.765999999999998"/>
    <n v="41.05536"/>
    <n v="0"/>
    <x v="0"/>
    <n v="0"/>
    <n v="0"/>
    <n v="17"/>
    <n v="66"/>
    <n v="0"/>
    <n v="84.99"/>
    <n v="242.77"/>
    <m/>
    <n v="146.90220900317223"/>
    <n v="227.53897547400734"/>
    <n v="0"/>
    <n v="3489.2950463999996"/>
    <n v="9967.0097471999998"/>
    <n v="0"/>
    <n v="6031.1230754204771"/>
    <n v="9341.6945521165417"/>
  </r>
  <r>
    <s v="Regular"/>
    <x v="1"/>
    <x v="2"/>
    <x v="1"/>
    <x v="0"/>
    <x v="0"/>
    <x v="0"/>
    <x v="0"/>
    <x v="3"/>
    <n v="0"/>
    <n v="0"/>
    <n v="37.598999999999997"/>
    <n v="36.095039999999997"/>
    <n v="37.598999999999997"/>
    <n v="36.095039999999997"/>
    <n v="0"/>
    <x v="0"/>
    <n v="0"/>
    <n v="0"/>
    <n v="17"/>
    <n v="66"/>
    <n v="0"/>
    <n v="84.99"/>
    <n v="242.77"/>
    <m/>
    <n v="146.90220900317223"/>
    <n v="227.53897547400734"/>
    <n v="0"/>
    <n v="3067.7174495999998"/>
    <n v="8762.7928608000002"/>
    <n v="0"/>
    <n v="5302.4411100578618"/>
    <n v="8213.0284212933129"/>
  </r>
  <r>
    <s v="Regular"/>
    <x v="1"/>
    <x v="2"/>
    <x v="1"/>
    <x v="0"/>
    <x v="0"/>
    <x v="0"/>
    <x v="0"/>
    <x v="10"/>
    <n v="0"/>
    <n v="0"/>
    <n v="35.881999999999998"/>
    <n v="34.446719999999999"/>
    <n v="35.881999999999998"/>
    <n v="34.446719999999999"/>
    <n v="0"/>
    <x v="0"/>
    <n v="0"/>
    <n v="0"/>
    <n v="17"/>
    <n v="66"/>
    <n v="0"/>
    <n v="84.99"/>
    <n v="242.77"/>
    <m/>
    <n v="146.90220900317223"/>
    <n v="227.53897547400734"/>
    <n v="0"/>
    <n v="2927.6267327999999"/>
    <n v="8362.6302144000001"/>
    <n v="0"/>
    <n v="5060.2992609137527"/>
    <n v="7837.9713772399982"/>
  </r>
  <r>
    <s v="PROJETADO"/>
    <x v="1"/>
    <x v="2"/>
    <x v="1"/>
    <x v="0"/>
    <x v="0"/>
    <x v="0"/>
    <x v="0"/>
    <x v="11"/>
    <n v="0"/>
    <n v="0"/>
    <n v="35.881999999999998"/>
    <n v="34.446719999999999"/>
    <n v="35.881999999999998"/>
    <n v="34.446719999999999"/>
    <n v="0"/>
    <x v="0"/>
    <n v="0"/>
    <n v="0"/>
    <n v="17"/>
    <n v="66"/>
    <n v="0"/>
    <n v="84.99"/>
    <n v="242.77"/>
    <m/>
    <n v="146.90220900317223"/>
    <n v="227.53897547400734"/>
    <n v="0"/>
    <n v="2927.6267327999999"/>
    <n v="8362.6302144000001"/>
    <n v="0"/>
    <n v="5060.2992609137527"/>
    <n v="7837.9713772399982"/>
  </r>
  <r>
    <s v="Regular"/>
    <x v="1"/>
    <x v="2"/>
    <x v="1"/>
    <x v="0"/>
    <x v="0"/>
    <x v="0"/>
    <x v="2"/>
    <x v="2"/>
    <n v="149"/>
    <n v="143.04"/>
    <n v="0"/>
    <n v="0"/>
    <n v="0"/>
    <n v="0"/>
    <n v="1"/>
    <x v="0"/>
    <n v="0"/>
    <n v="13"/>
    <n v="0"/>
    <n v="0"/>
    <n v="18.920000000000002"/>
    <n v="0"/>
    <n v="0"/>
    <n v="32.556945267352141"/>
    <m/>
    <m/>
    <n v="2706.3168000000001"/>
    <n v="0"/>
    <n v="0"/>
    <n v="4656.9454510420501"/>
    <n v="0"/>
    <n v="0"/>
  </r>
  <r>
    <s v="Regular"/>
    <x v="1"/>
    <x v="2"/>
    <x v="1"/>
    <x v="0"/>
    <x v="0"/>
    <x v="0"/>
    <x v="2"/>
    <x v="3"/>
    <n v="149"/>
    <n v="143.04"/>
    <n v="0"/>
    <n v="0"/>
    <n v="0"/>
    <n v="0"/>
    <n v="1"/>
    <x v="0"/>
    <n v="0"/>
    <n v="13"/>
    <n v="0"/>
    <n v="0"/>
    <n v="18.920000000000002"/>
    <n v="0"/>
    <n v="0"/>
    <n v="32.556945267352141"/>
    <m/>
    <m/>
    <n v="2706.3168000000001"/>
    <n v="0"/>
    <n v="0"/>
    <n v="4656.9454510420501"/>
    <n v="0"/>
    <n v="0"/>
  </r>
  <r>
    <s v="Regular"/>
    <x v="1"/>
    <x v="2"/>
    <x v="1"/>
    <x v="0"/>
    <x v="0"/>
    <x v="0"/>
    <x v="2"/>
    <x v="10"/>
    <n v="149"/>
    <n v="143.04"/>
    <n v="0"/>
    <n v="0"/>
    <n v="0"/>
    <n v="0"/>
    <n v="1"/>
    <x v="0"/>
    <n v="0"/>
    <n v="13"/>
    <n v="0"/>
    <n v="0"/>
    <n v="18.920000000000002"/>
    <n v="0"/>
    <n v="0"/>
    <n v="32.556945267352141"/>
    <m/>
    <m/>
    <n v="2706.3168000000001"/>
    <n v="0"/>
    <n v="0"/>
    <n v="4656.9454510420501"/>
    <n v="0"/>
    <n v="0"/>
  </r>
  <r>
    <s v="PROJETADO"/>
    <x v="1"/>
    <x v="2"/>
    <x v="1"/>
    <x v="0"/>
    <x v="0"/>
    <x v="0"/>
    <x v="2"/>
    <x v="11"/>
    <n v="149"/>
    <n v="143.04"/>
    <n v="0"/>
    <n v="0"/>
    <n v="0"/>
    <n v="0"/>
    <n v="1"/>
    <x v="0"/>
    <n v="0"/>
    <n v="13"/>
    <n v="0"/>
    <n v="0"/>
    <n v="18.920000000000002"/>
    <n v="0"/>
    <n v="0"/>
    <n v="32.556945267352141"/>
    <m/>
    <m/>
    <n v="2706.3168000000001"/>
    <n v="0"/>
    <n v="0"/>
    <n v="4656.9454510420501"/>
    <n v="0"/>
    <n v="0"/>
  </r>
  <r>
    <s v="Regular"/>
    <x v="1"/>
    <x v="2"/>
    <x v="1"/>
    <x v="0"/>
    <x v="0"/>
    <x v="0"/>
    <x v="1"/>
    <x v="2"/>
    <n v="0"/>
    <n v="0"/>
    <n v="4.8419999999999996"/>
    <n v="4.64832"/>
    <n v="4.8419999999999996"/>
    <n v="4.64832"/>
    <n v="0"/>
    <x v="0"/>
    <n v="0"/>
    <n v="0"/>
    <n v="15"/>
    <n v="65"/>
    <n v="0"/>
    <n v="1195.82"/>
    <n v="391.54"/>
    <m/>
    <n v="2051.1203590831656"/>
    <n v="364.92243737572466"/>
    <n v="0"/>
    <n v="5558.5540223999997"/>
    <n v="1820.0032128"/>
    <n v="0"/>
    <n v="9534.2637875334603"/>
    <n v="1696.2762641023285"/>
  </r>
  <r>
    <s v="Regular"/>
    <x v="1"/>
    <x v="2"/>
    <x v="1"/>
    <x v="0"/>
    <x v="0"/>
    <x v="0"/>
    <x v="1"/>
    <x v="3"/>
    <n v="0"/>
    <n v="0"/>
    <n v="4.8959999999999999"/>
    <n v="4.7001600000000003"/>
    <n v="4.8959999999999999"/>
    <n v="4.7001600000000003"/>
    <n v="0"/>
    <x v="0"/>
    <n v="0"/>
    <n v="0"/>
    <n v="15"/>
    <n v="65"/>
    <n v="0"/>
    <n v="1195.82"/>
    <n v="391.54"/>
    <m/>
    <n v="2051.1203590831656"/>
    <n v="364.92243737572466"/>
    <n v="0"/>
    <n v="5620.5453312"/>
    <n v="1840.3006464000002"/>
    <n v="0"/>
    <n v="9640.593866948333"/>
    <n v="1715.1938432558861"/>
  </r>
  <r>
    <s v="Regular"/>
    <x v="1"/>
    <x v="2"/>
    <x v="1"/>
    <x v="0"/>
    <x v="0"/>
    <x v="0"/>
    <x v="1"/>
    <x v="10"/>
    <n v="0"/>
    <n v="0"/>
    <n v="4.335"/>
    <n v="4.1616"/>
    <n v="4.335"/>
    <n v="4.1616"/>
    <n v="0"/>
    <x v="0"/>
    <n v="0"/>
    <n v="0"/>
    <n v="15"/>
    <n v="65"/>
    <n v="0"/>
    <n v="1195.82"/>
    <n v="391.54"/>
    <m/>
    <n v="2051.1203590831656"/>
    <n v="364.92243737572466"/>
    <n v="0"/>
    <n v="4976.524512"/>
    <n v="1629.4328640000001"/>
    <n v="0"/>
    <n v="8535.9424863605018"/>
    <n v="1518.6612153828157"/>
  </r>
  <r>
    <s v="PROJETADO"/>
    <x v="1"/>
    <x v="2"/>
    <x v="1"/>
    <x v="0"/>
    <x v="0"/>
    <x v="0"/>
    <x v="1"/>
    <x v="11"/>
    <n v="0"/>
    <n v="0"/>
    <n v="4.335"/>
    <n v="4.1616"/>
    <n v="4.335"/>
    <n v="4.1616"/>
    <n v="0"/>
    <x v="0"/>
    <n v="0"/>
    <n v="0"/>
    <n v="15"/>
    <n v="65"/>
    <n v="0"/>
    <n v="1195.82"/>
    <n v="391.54"/>
    <m/>
    <n v="2051.1203590831656"/>
    <n v="364.92243737572466"/>
    <n v="0"/>
    <n v="4976.524512"/>
    <n v="1629.4328640000001"/>
    <n v="0"/>
    <n v="8535.9424863605018"/>
    <n v="1518.6612153828157"/>
  </r>
  <r>
    <s v="Regular"/>
    <x v="1"/>
    <x v="2"/>
    <x v="3"/>
    <x v="3"/>
    <x v="0"/>
    <x v="0"/>
    <x v="0"/>
    <x v="4"/>
    <n v="0"/>
    <n v="0"/>
    <n v="4.2469999999999999"/>
    <n v="3.9921799999999998"/>
    <n v="4.2469999999999999"/>
    <n v="3.9921799999999998"/>
    <n v="0"/>
    <x v="0"/>
    <n v="0"/>
    <n v="0"/>
    <n v="17"/>
    <n v="66"/>
    <n v="0"/>
    <n v="84.99"/>
    <n v="242.77"/>
    <m/>
    <n v="146.90220900317223"/>
    <n v="227.53897547400734"/>
    <n v="0"/>
    <n v="339.29537819999996"/>
    <n v="969.18153859999995"/>
    <n v="0"/>
    <n v="586.46006073828414"/>
    <n v="908.3765471078226"/>
  </r>
  <r>
    <s v="Regular"/>
    <x v="1"/>
    <x v="2"/>
    <x v="3"/>
    <x v="3"/>
    <x v="0"/>
    <x v="0"/>
    <x v="0"/>
    <x v="5"/>
    <n v="0"/>
    <n v="0"/>
    <n v="4.4820000000000002"/>
    <n v="4.2130799999999997"/>
    <n v="4.4820000000000002"/>
    <n v="4.2130799999999997"/>
    <n v="0"/>
    <x v="0"/>
    <n v="0"/>
    <n v="0"/>
    <n v="17"/>
    <n v="66"/>
    <n v="0"/>
    <n v="84.99"/>
    <n v="242.77"/>
    <m/>
    <n v="146.90220900317223"/>
    <n v="227.53897547400734"/>
    <n v="0"/>
    <n v="358.06966919999996"/>
    <n v="1022.8094315999999"/>
    <n v="0"/>
    <n v="618.91075870708482"/>
    <n v="958.63990679003075"/>
  </r>
  <r>
    <s v="Regular"/>
    <x v="1"/>
    <x v="2"/>
    <x v="3"/>
    <x v="3"/>
    <x v="0"/>
    <x v="0"/>
    <x v="0"/>
    <x v="0"/>
    <n v="0"/>
    <n v="0"/>
    <n v="4.8070000000000004"/>
    <n v="4.51858"/>
    <n v="4.8070000000000004"/>
    <n v="4.51858"/>
    <n v="0"/>
    <x v="0"/>
    <n v="0"/>
    <n v="0"/>
    <n v="17"/>
    <n v="66"/>
    <n v="0"/>
    <n v="84.99"/>
    <n v="242.77"/>
    <m/>
    <n v="146.90220900317223"/>
    <n v="227.53897547400734"/>
    <n v="0"/>
    <n v="384.03411419999998"/>
    <n v="1096.9756666000001"/>
    <n v="0"/>
    <n v="663.78938355755395"/>
    <n v="1028.1530637973401"/>
  </r>
  <r>
    <s v="Regular"/>
    <x v="1"/>
    <x v="2"/>
    <x v="3"/>
    <x v="3"/>
    <x v="0"/>
    <x v="0"/>
    <x v="0"/>
    <x v="6"/>
    <n v="0"/>
    <n v="0"/>
    <n v="4.109"/>
    <n v="3.86246"/>
    <n v="4.109"/>
    <n v="3.86246"/>
    <n v="0"/>
    <x v="0"/>
    <n v="0"/>
    <n v="0"/>
    <n v="17"/>
    <n v="66"/>
    <n v="0"/>
    <n v="84.99"/>
    <n v="242.77"/>
    <m/>
    <n v="146.90220900317223"/>
    <n v="227.53897547400734"/>
    <n v="0"/>
    <n v="328.27047539999995"/>
    <n v="937.68941419999999"/>
    <n v="0"/>
    <n v="567.40390618639265"/>
    <n v="878.8601912093344"/>
  </r>
  <r>
    <s v="Regular"/>
    <x v="1"/>
    <x v="2"/>
    <x v="3"/>
    <x v="3"/>
    <x v="0"/>
    <x v="0"/>
    <x v="0"/>
    <x v="7"/>
    <n v="0"/>
    <n v="0"/>
    <n v="4.4290000000000003"/>
    <n v="4.1632600000000002"/>
    <n v="4.4290000000000003"/>
    <n v="4.1632600000000002"/>
    <n v="0"/>
    <x v="0"/>
    <n v="0"/>
    <n v="0"/>
    <n v="17"/>
    <n v="66"/>
    <n v="0"/>
    <n v="84.99"/>
    <n v="242.77"/>
    <m/>
    <n v="146.90220900317223"/>
    <n v="227.53897547400734"/>
    <n v="0"/>
    <n v="353.83546739999997"/>
    <n v="1010.7146302000001"/>
    <n v="0"/>
    <n v="611.59209065454684"/>
    <n v="947.30391503191584"/>
  </r>
  <r>
    <s v="Regular"/>
    <x v="1"/>
    <x v="2"/>
    <x v="3"/>
    <x v="3"/>
    <x v="0"/>
    <x v="0"/>
    <x v="0"/>
    <x v="8"/>
    <n v="0"/>
    <n v="0"/>
    <n v="4.5819999999999999"/>
    <n v="4.30708"/>
    <n v="4.5819999999999999"/>
    <n v="4.30708"/>
    <n v="0"/>
    <x v="0"/>
    <n v="0"/>
    <n v="0"/>
    <n v="17"/>
    <n v="66"/>
    <n v="0"/>
    <n v="84.99"/>
    <n v="242.77"/>
    <m/>
    <n v="146.90220900317223"/>
    <n v="227.53897547400734"/>
    <n v="0"/>
    <n v="366.05872919999996"/>
    <n v="1045.6298116"/>
    <n v="0"/>
    <n v="632.71956635338302"/>
    <n v="980.02857048458759"/>
  </r>
  <r>
    <s v="Regular"/>
    <x v="1"/>
    <x v="2"/>
    <x v="3"/>
    <x v="3"/>
    <x v="0"/>
    <x v="0"/>
    <x v="0"/>
    <x v="9"/>
    <n v="0"/>
    <n v="0"/>
    <n v="4.84"/>
    <n v="4.5495999999999999"/>
    <n v="4.84"/>
    <n v="4.5495999999999999"/>
    <n v="0"/>
    <x v="0"/>
    <n v="0"/>
    <n v="0"/>
    <n v="17"/>
    <n v="66"/>
    <n v="0"/>
    <n v="84.99"/>
    <n v="242.77"/>
    <m/>
    <n v="146.90220900317223"/>
    <n v="227.53897547400734"/>
    <n v="0"/>
    <n v="386.67050399999994"/>
    <n v="1104.506392"/>
    <n v="0"/>
    <n v="668.34629008083232"/>
    <n v="1035.2113228165438"/>
  </r>
  <r>
    <s v="Regular"/>
    <x v="1"/>
    <x v="2"/>
    <x v="3"/>
    <x v="3"/>
    <x v="0"/>
    <x v="0"/>
    <x v="0"/>
    <x v="1"/>
    <n v="0"/>
    <n v="0"/>
    <n v="4.8019999999999996"/>
    <n v="4.5138800000000003"/>
    <n v="4.8019999999999996"/>
    <n v="4.5138800000000003"/>
    <n v="0"/>
    <x v="0"/>
    <n v="0"/>
    <n v="0"/>
    <n v="17"/>
    <n v="66"/>
    <n v="0"/>
    <n v="84.99"/>
    <n v="242.77"/>
    <m/>
    <n v="146.90220900317223"/>
    <n v="227.53897547400734"/>
    <n v="0"/>
    <n v="383.63466119999998"/>
    <n v="1095.8346476000002"/>
    <n v="0"/>
    <n v="663.09894317523913"/>
    <n v="1027.0836306126123"/>
  </r>
  <r>
    <s v="Regular"/>
    <x v="1"/>
    <x v="2"/>
    <x v="3"/>
    <x v="3"/>
    <x v="0"/>
    <x v="0"/>
    <x v="0"/>
    <x v="2"/>
    <n v="0"/>
    <n v="0"/>
    <n v="5.4009999999999998"/>
    <n v="5.0769399999999996"/>
    <n v="5.4009999999999998"/>
    <n v="5.0769399999999996"/>
    <n v="0"/>
    <x v="0"/>
    <n v="0"/>
    <n v="0"/>
    <n v="17"/>
    <n v="66"/>
    <n v="0"/>
    <n v="84.99"/>
    <n v="242.77"/>
    <m/>
    <n v="146.90220900317223"/>
    <n v="227.53897547400734"/>
    <n v="0"/>
    <n v="431.48913059999995"/>
    <n v="1232.5287237999999"/>
    <n v="0"/>
    <n v="745.8137009765652"/>
    <n v="1155.2017261430067"/>
  </r>
  <r>
    <s v="Regular"/>
    <x v="1"/>
    <x v="2"/>
    <x v="3"/>
    <x v="3"/>
    <x v="0"/>
    <x v="0"/>
    <x v="0"/>
    <x v="3"/>
    <n v="0"/>
    <n v="0"/>
    <n v="5.5839999999999996"/>
    <n v="5.2489600000000003"/>
    <n v="5.5839999999999996"/>
    <n v="5.2489600000000003"/>
    <n v="0"/>
    <x v="0"/>
    <n v="0"/>
    <n v="0"/>
    <n v="17"/>
    <n v="66"/>
    <n v="0"/>
    <n v="84.99"/>
    <n v="242.77"/>
    <m/>
    <n v="146.90220900317223"/>
    <n v="227.53897547400734"/>
    <n v="0"/>
    <n v="446.10911040000002"/>
    <n v="1274.2900192000002"/>
    <n v="0"/>
    <n v="771.08381896929097"/>
    <n v="1194.3429807040457"/>
  </r>
  <r>
    <s v="Regular"/>
    <x v="1"/>
    <x v="2"/>
    <x v="3"/>
    <x v="3"/>
    <x v="0"/>
    <x v="0"/>
    <x v="0"/>
    <x v="10"/>
    <n v="0"/>
    <n v="0"/>
    <n v="5.4020000000000001"/>
    <n v="5.0778800000000004"/>
    <n v="5.4020000000000001"/>
    <n v="5.0778800000000004"/>
    <n v="0"/>
    <x v="0"/>
    <n v="0"/>
    <n v="0"/>
    <n v="17"/>
    <n v="66"/>
    <n v="0"/>
    <n v="84.99"/>
    <n v="242.77"/>
    <m/>
    <n v="146.90220900317223"/>
    <n v="227.53897547400734"/>
    <n v="0"/>
    <n v="431.56902120000001"/>
    <n v="1232.7569276000002"/>
    <n v="0"/>
    <n v="745.95178905302828"/>
    <n v="1155.4156127799524"/>
  </r>
  <r>
    <s v="PROJETADO"/>
    <x v="1"/>
    <x v="2"/>
    <x v="3"/>
    <x v="3"/>
    <x v="0"/>
    <x v="0"/>
    <x v="0"/>
    <x v="11"/>
    <n v="0"/>
    <n v="0"/>
    <n v="5.4020000000000001"/>
    <n v="5.0778800000000004"/>
    <n v="5.4020000000000001"/>
    <n v="5.0778800000000004"/>
    <n v="0"/>
    <x v="0"/>
    <n v="0"/>
    <n v="0"/>
    <n v="17"/>
    <n v="66"/>
    <n v="0"/>
    <n v="84.99"/>
    <n v="242.77"/>
    <m/>
    <n v="146.90220900317223"/>
    <n v="227.53897547400734"/>
    <n v="0"/>
    <n v="431.56902120000001"/>
    <n v="1232.7569276000002"/>
    <n v="0"/>
    <n v="745.95178905302828"/>
    <n v="1155.4156127799524"/>
  </r>
  <r>
    <s v="Regular"/>
    <x v="1"/>
    <x v="2"/>
    <x v="3"/>
    <x v="3"/>
    <x v="0"/>
    <x v="0"/>
    <x v="2"/>
    <x v="4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Regular"/>
    <x v="1"/>
    <x v="2"/>
    <x v="3"/>
    <x v="3"/>
    <x v="0"/>
    <x v="0"/>
    <x v="2"/>
    <x v="5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Regular"/>
    <x v="1"/>
    <x v="2"/>
    <x v="3"/>
    <x v="3"/>
    <x v="0"/>
    <x v="0"/>
    <x v="2"/>
    <x v="0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Regular"/>
    <x v="1"/>
    <x v="2"/>
    <x v="3"/>
    <x v="3"/>
    <x v="0"/>
    <x v="0"/>
    <x v="2"/>
    <x v="6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Regular"/>
    <x v="1"/>
    <x v="2"/>
    <x v="3"/>
    <x v="3"/>
    <x v="0"/>
    <x v="0"/>
    <x v="2"/>
    <x v="7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Regular"/>
    <x v="1"/>
    <x v="2"/>
    <x v="3"/>
    <x v="3"/>
    <x v="0"/>
    <x v="0"/>
    <x v="2"/>
    <x v="8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Regular"/>
    <x v="1"/>
    <x v="2"/>
    <x v="3"/>
    <x v="3"/>
    <x v="0"/>
    <x v="0"/>
    <x v="2"/>
    <x v="9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Regular"/>
    <x v="1"/>
    <x v="2"/>
    <x v="3"/>
    <x v="3"/>
    <x v="0"/>
    <x v="0"/>
    <x v="2"/>
    <x v="1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Regular"/>
    <x v="1"/>
    <x v="2"/>
    <x v="3"/>
    <x v="3"/>
    <x v="0"/>
    <x v="0"/>
    <x v="2"/>
    <x v="2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Regular"/>
    <x v="1"/>
    <x v="2"/>
    <x v="3"/>
    <x v="3"/>
    <x v="0"/>
    <x v="0"/>
    <x v="2"/>
    <x v="3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Regular"/>
    <x v="1"/>
    <x v="2"/>
    <x v="3"/>
    <x v="3"/>
    <x v="0"/>
    <x v="0"/>
    <x v="2"/>
    <x v="10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PROJETADO"/>
    <x v="1"/>
    <x v="2"/>
    <x v="3"/>
    <x v="3"/>
    <x v="0"/>
    <x v="0"/>
    <x v="2"/>
    <x v="11"/>
    <n v="30"/>
    <n v="25.5"/>
    <n v="0"/>
    <n v="0"/>
    <n v="0"/>
    <n v="0"/>
    <n v="1"/>
    <x v="0"/>
    <n v="0"/>
    <n v="13"/>
    <n v="0"/>
    <n v="0"/>
    <n v="18.920000000000002"/>
    <n v="0"/>
    <n v="0"/>
    <n v="32.556945267352141"/>
    <m/>
    <m/>
    <n v="482.46000000000004"/>
    <n v="0"/>
    <n v="0"/>
    <n v="830.20210431747955"/>
    <n v="0"/>
    <n v="0"/>
  </r>
  <r>
    <s v="Regular"/>
    <x v="1"/>
    <x v="2"/>
    <x v="3"/>
    <x v="3"/>
    <x v="0"/>
    <x v="0"/>
    <x v="1"/>
    <x v="4"/>
    <n v="0"/>
    <n v="0"/>
    <n v="0.53900000000000003"/>
    <n v="0.50666"/>
    <n v="0.53900000000000003"/>
    <n v="0.50666"/>
    <n v="0"/>
    <x v="0"/>
    <n v="0"/>
    <n v="0"/>
    <n v="15"/>
    <n v="65"/>
    <n v="0"/>
    <n v="1195.82"/>
    <n v="391.54"/>
    <m/>
    <n v="2051.1203590831656"/>
    <n v="364.92243737572466"/>
    <n v="0"/>
    <n v="605.8741612"/>
    <n v="198.37765640000001"/>
    <n v="0"/>
    <n v="1039.2206411330767"/>
    <n v="184.89160212078465"/>
  </r>
  <r>
    <s v="Regular"/>
    <x v="1"/>
    <x v="2"/>
    <x v="3"/>
    <x v="3"/>
    <x v="0"/>
    <x v="0"/>
    <x v="1"/>
    <x v="5"/>
    <n v="0"/>
    <n v="0"/>
    <n v="0.64700000000000002"/>
    <n v="0.60818000000000005"/>
    <n v="0.64700000000000002"/>
    <n v="0.60818000000000005"/>
    <n v="0"/>
    <x v="0"/>
    <n v="0"/>
    <n v="0"/>
    <n v="15"/>
    <n v="65"/>
    <n v="0"/>
    <n v="1195.82"/>
    <n v="391.54"/>
    <m/>
    <n v="2051.1203590831656"/>
    <n v="364.92243737572466"/>
    <n v="0"/>
    <n v="727.27380760000005"/>
    <n v="238.12679720000003"/>
    <n v="0"/>
    <n v="1247.4503799871998"/>
    <n v="221.93852796316824"/>
  </r>
  <r>
    <s v="Regular"/>
    <x v="1"/>
    <x v="2"/>
    <x v="3"/>
    <x v="3"/>
    <x v="0"/>
    <x v="0"/>
    <x v="1"/>
    <x v="0"/>
    <n v="0"/>
    <n v="0"/>
    <n v="0.64900000000000002"/>
    <n v="0.61006000000000005"/>
    <n v="0.64900000000000002"/>
    <n v="0.61006000000000005"/>
    <n v="0"/>
    <x v="0"/>
    <n v="0"/>
    <n v="0"/>
    <n v="15"/>
    <n v="65"/>
    <n v="0"/>
    <n v="1195.82"/>
    <n v="391.54"/>
    <m/>
    <n v="2051.1203590831656"/>
    <n v="364.92243737572466"/>
    <n v="0"/>
    <n v="729.52194919999999"/>
    <n v="238.86289240000002"/>
    <n v="0"/>
    <n v="1251.3064862622762"/>
    <n v="222.6245821454346"/>
  </r>
  <r>
    <s v="Regular"/>
    <x v="1"/>
    <x v="2"/>
    <x v="3"/>
    <x v="3"/>
    <x v="0"/>
    <x v="0"/>
    <x v="1"/>
    <x v="6"/>
    <n v="0"/>
    <n v="0"/>
    <n v="0.57499999999999996"/>
    <n v="0.54049999999999998"/>
    <n v="0.57499999999999996"/>
    <n v="0.54049999999999998"/>
    <n v="0"/>
    <x v="0"/>
    <n v="0"/>
    <n v="0"/>
    <n v="15"/>
    <n v="65"/>
    <n v="0"/>
    <n v="1195.82"/>
    <n v="391.54"/>
    <m/>
    <n v="2051.1203590831656"/>
    <n v="364.92243737572466"/>
    <n v="0"/>
    <n v="646.34070999999994"/>
    <n v="211.62737000000001"/>
    <n v="0"/>
    <n v="1108.630554084451"/>
    <n v="197.24057740157917"/>
  </r>
  <r>
    <s v="Regular"/>
    <x v="1"/>
    <x v="2"/>
    <x v="3"/>
    <x v="3"/>
    <x v="0"/>
    <x v="0"/>
    <x v="1"/>
    <x v="7"/>
    <n v="0"/>
    <n v="0"/>
    <n v="0.61099999999999999"/>
    <n v="0.57433999999999996"/>
    <n v="0.61099999999999999"/>
    <n v="0.57433999999999996"/>
    <n v="0"/>
    <x v="0"/>
    <n v="0"/>
    <n v="0"/>
    <n v="15"/>
    <n v="65"/>
    <n v="0"/>
    <n v="1195.82"/>
    <n v="391.54"/>
    <m/>
    <n v="2051.1203590831656"/>
    <n v="364.92243737572466"/>
    <n v="0"/>
    <n v="686.80725879999989"/>
    <n v="224.87708359999999"/>
    <n v="0"/>
    <n v="1178.0404670358253"/>
    <n v="209.58955268237369"/>
  </r>
  <r>
    <s v="Regular"/>
    <x v="1"/>
    <x v="2"/>
    <x v="3"/>
    <x v="3"/>
    <x v="0"/>
    <x v="0"/>
    <x v="1"/>
    <x v="8"/>
    <n v="0"/>
    <n v="0"/>
    <n v="0.56000000000000005"/>
    <n v="0.52639999999999998"/>
    <n v="0.56000000000000005"/>
    <n v="0.52639999999999998"/>
    <n v="0"/>
    <x v="0"/>
    <n v="0"/>
    <n v="0"/>
    <n v="15"/>
    <n v="65"/>
    <n v="0"/>
    <n v="1195.82"/>
    <n v="391.54"/>
    <m/>
    <n v="2051.1203590831656"/>
    <n v="364.92243737572466"/>
    <n v="0"/>
    <n v="629.479648"/>
    <n v="206.10665600000002"/>
    <n v="0"/>
    <n v="1079.7097570213782"/>
    <n v="192.09517103458145"/>
  </r>
  <r>
    <s v="Regular"/>
    <x v="1"/>
    <x v="2"/>
    <x v="3"/>
    <x v="3"/>
    <x v="0"/>
    <x v="0"/>
    <x v="1"/>
    <x v="9"/>
    <n v="0"/>
    <n v="0"/>
    <n v="0.69699999999999995"/>
    <n v="0.65517999999999998"/>
    <n v="0.69699999999999995"/>
    <n v="0.65517999999999998"/>
    <n v="0"/>
    <x v="0"/>
    <n v="0"/>
    <n v="0"/>
    <n v="15"/>
    <n v="65"/>
    <n v="0"/>
    <n v="1195.82"/>
    <n v="391.54"/>
    <m/>
    <n v="2051.1203590831656"/>
    <n v="364.92243737572466"/>
    <n v="0"/>
    <n v="783.47734759999992"/>
    <n v="256.52917719999999"/>
    <n v="0"/>
    <n v="1343.8530368641084"/>
    <n v="239.08988251982728"/>
  </r>
  <r>
    <s v="Regular"/>
    <x v="1"/>
    <x v="2"/>
    <x v="3"/>
    <x v="3"/>
    <x v="0"/>
    <x v="0"/>
    <x v="1"/>
    <x v="1"/>
    <n v="0"/>
    <n v="0"/>
    <n v="0.65500000000000003"/>
    <n v="0.61570000000000003"/>
    <n v="0.65500000000000003"/>
    <n v="0.61570000000000003"/>
    <n v="0"/>
    <x v="0"/>
    <n v="0"/>
    <n v="0"/>
    <n v="15"/>
    <n v="65"/>
    <n v="0"/>
    <n v="1195.82"/>
    <n v="391.54"/>
    <m/>
    <n v="2051.1203590831656"/>
    <n v="364.92243737572466"/>
    <n v="0"/>
    <n v="736.26637400000004"/>
    <n v="241.07117800000003"/>
    <n v="0"/>
    <n v="1262.8748050875051"/>
    <n v="224.68274469223368"/>
  </r>
  <r>
    <s v="Regular"/>
    <x v="1"/>
    <x v="2"/>
    <x v="3"/>
    <x v="3"/>
    <x v="0"/>
    <x v="0"/>
    <x v="1"/>
    <x v="2"/>
    <n v="0"/>
    <n v="0"/>
    <n v="0.76300000000000001"/>
    <n v="0.71721999999999997"/>
    <n v="0.76300000000000001"/>
    <n v="0.71721999999999997"/>
    <n v="0"/>
    <x v="0"/>
    <n v="0"/>
    <n v="0"/>
    <n v="15"/>
    <n v="65"/>
    <n v="0"/>
    <n v="1195.82"/>
    <n v="391.54"/>
    <m/>
    <n v="2051.1203590831656"/>
    <n v="364.92243737572466"/>
    <n v="0"/>
    <n v="857.66602039999987"/>
    <n v="280.8203188"/>
    <n v="0"/>
    <n v="1471.104543941628"/>
    <n v="261.72967053461724"/>
  </r>
  <r>
    <s v="Regular"/>
    <x v="1"/>
    <x v="2"/>
    <x v="3"/>
    <x v="3"/>
    <x v="0"/>
    <x v="0"/>
    <x v="1"/>
    <x v="3"/>
    <n v="0"/>
    <n v="0"/>
    <n v="0.83099999999999996"/>
    <n v="0.78113999999999995"/>
    <n v="0.83099999999999996"/>
    <n v="0.78113999999999995"/>
    <n v="0"/>
    <x v="0"/>
    <n v="0"/>
    <n v="0"/>
    <n v="15"/>
    <n v="65"/>
    <n v="0"/>
    <n v="1195.82"/>
    <n v="391.54"/>
    <m/>
    <n v="2051.1203590831656"/>
    <n v="364.92243737572466"/>
    <n v="0"/>
    <n v="934.10283479999987"/>
    <n v="305.84755560000002"/>
    <n v="0"/>
    <n v="1602.2121572942237"/>
    <n v="285.05551273167356"/>
  </r>
  <r>
    <s v="Regular"/>
    <x v="1"/>
    <x v="2"/>
    <x v="3"/>
    <x v="3"/>
    <x v="0"/>
    <x v="0"/>
    <x v="1"/>
    <x v="10"/>
    <n v="0"/>
    <n v="0"/>
    <n v="0.748"/>
    <n v="0.70311999999999997"/>
    <n v="0.748"/>
    <n v="0.70311999999999997"/>
    <n v="0"/>
    <x v="0"/>
    <n v="0"/>
    <n v="0"/>
    <n v="15"/>
    <n v="65"/>
    <n v="0"/>
    <n v="1195.82"/>
    <n v="391.54"/>
    <m/>
    <n v="2051.1203590831656"/>
    <n v="364.92243737572466"/>
    <n v="0"/>
    <n v="840.80495839999992"/>
    <n v="275.2996048"/>
    <n v="0"/>
    <n v="1442.1837468785552"/>
    <n v="256.58426416761949"/>
  </r>
  <r>
    <s v="PROJETADO"/>
    <x v="1"/>
    <x v="2"/>
    <x v="3"/>
    <x v="3"/>
    <x v="0"/>
    <x v="0"/>
    <x v="1"/>
    <x v="11"/>
    <n v="0"/>
    <n v="0"/>
    <n v="0.748"/>
    <n v="0.70311999999999997"/>
    <n v="0.748"/>
    <n v="0.70311999999999997"/>
    <n v="0"/>
    <x v="0"/>
    <n v="0"/>
    <n v="0"/>
    <n v="15"/>
    <n v="65"/>
    <n v="0"/>
    <n v="1195.82"/>
    <n v="391.54"/>
    <m/>
    <n v="2051.1203590831656"/>
    <n v="364.92243737572466"/>
    <n v="0"/>
    <n v="840.80495839999992"/>
    <n v="275.2996048"/>
    <n v="0"/>
    <n v="1442.1837468785552"/>
    <n v="256.58426416761949"/>
  </r>
  <r>
    <s v="Regular"/>
    <x v="2"/>
    <x v="3"/>
    <x v="6"/>
    <x v="4"/>
    <x v="0"/>
    <x v="0"/>
    <x v="0"/>
    <x v="4"/>
    <n v="0"/>
    <n v="0"/>
    <n v="5.0039999999999996"/>
    <n v="5.0039999999999996"/>
    <n v="5.0039999999999996"/>
    <n v="5.0039999999999996"/>
    <n v="0"/>
    <x v="0"/>
    <n v="0"/>
    <n v="0"/>
    <n v="29"/>
    <n v="70"/>
    <n v="0"/>
    <n v="284.77"/>
    <n v="242.77"/>
    <m/>
    <n v="377.28596477888118"/>
    <n v="227.53897547400734"/>
    <n v="0"/>
    <n v="1424.9890799999998"/>
    <n v="1214.8210799999999"/>
    <n v="0"/>
    <n v="1887.9389677535212"/>
    <n v="1138.6050332719326"/>
  </r>
  <r>
    <s v="Regular"/>
    <x v="2"/>
    <x v="3"/>
    <x v="6"/>
    <x v="4"/>
    <x v="0"/>
    <x v="0"/>
    <x v="0"/>
    <x v="5"/>
    <n v="0"/>
    <n v="0"/>
    <n v="5.3209999999999997"/>
    <n v="5.3209999999999997"/>
    <n v="5.3209999999999997"/>
    <n v="5.3209999999999997"/>
    <n v="0"/>
    <x v="0"/>
    <n v="0"/>
    <n v="0"/>
    <n v="29"/>
    <n v="70"/>
    <n v="0"/>
    <n v="284.77"/>
    <n v="242.77"/>
    <m/>
    <n v="377.28596477888118"/>
    <n v="227.53897547400734"/>
    <n v="0"/>
    <n v="1515.2611699999998"/>
    <n v="1291.77917"/>
    <n v="0"/>
    <n v="2007.5386185884267"/>
    <n v="1210.734888497193"/>
  </r>
  <r>
    <s v="Regular"/>
    <x v="2"/>
    <x v="3"/>
    <x v="6"/>
    <x v="4"/>
    <x v="0"/>
    <x v="0"/>
    <x v="0"/>
    <x v="0"/>
    <n v="0"/>
    <n v="0"/>
    <n v="5.5810000000000004"/>
    <n v="5.5810000000000004"/>
    <n v="5.5810000000000004"/>
    <n v="5.5810000000000004"/>
    <n v="0"/>
    <x v="0"/>
    <n v="0"/>
    <n v="0"/>
    <n v="29"/>
    <n v="70"/>
    <n v="0"/>
    <n v="284.77"/>
    <n v="242.77"/>
    <m/>
    <n v="377.28596477888118"/>
    <n v="227.53897547400734"/>
    <n v="0"/>
    <n v="1589.3013699999999"/>
    <n v="1354.8993700000001"/>
    <n v="0"/>
    <n v="2105.6329694309361"/>
    <n v="1269.895022120435"/>
  </r>
  <r>
    <s v="Regular"/>
    <x v="2"/>
    <x v="3"/>
    <x v="6"/>
    <x v="4"/>
    <x v="0"/>
    <x v="0"/>
    <x v="0"/>
    <x v="6"/>
    <n v="0"/>
    <n v="0"/>
    <n v="5.8360000000000003"/>
    <n v="5.8360000000000003"/>
    <n v="5.8360000000000003"/>
    <n v="5.8360000000000003"/>
    <n v="0"/>
    <x v="0"/>
    <n v="0"/>
    <n v="0"/>
    <n v="29"/>
    <n v="70"/>
    <n v="0"/>
    <n v="284.77"/>
    <n v="242.77"/>
    <m/>
    <n v="377.28596477888118"/>
    <n v="227.53897547400734"/>
    <n v="0"/>
    <n v="1661.9177199999999"/>
    <n v="1416.8057200000001"/>
    <n v="0"/>
    <n v="2201.8408904495509"/>
    <n v="1327.917460866307"/>
  </r>
  <r>
    <s v="Regular"/>
    <x v="2"/>
    <x v="3"/>
    <x v="6"/>
    <x v="4"/>
    <x v="0"/>
    <x v="0"/>
    <x v="0"/>
    <x v="7"/>
    <n v="0"/>
    <n v="0"/>
    <n v="4.88"/>
    <n v="4.88"/>
    <n v="4.88"/>
    <n v="4.88"/>
    <n v="0"/>
    <x v="0"/>
    <n v="0"/>
    <n v="0"/>
    <n v="29"/>
    <n v="70"/>
    <n v="0"/>
    <n v="284.77"/>
    <n v="242.77"/>
    <m/>
    <n v="377.28596477888118"/>
    <n v="227.53897547400734"/>
    <n v="0"/>
    <n v="1389.6776"/>
    <n v="1184.7175999999999"/>
    <n v="0"/>
    <n v="1841.1555081209401"/>
    <n v="1110.3902003131559"/>
  </r>
  <r>
    <s v="Regular"/>
    <x v="2"/>
    <x v="3"/>
    <x v="6"/>
    <x v="4"/>
    <x v="0"/>
    <x v="0"/>
    <x v="0"/>
    <x v="8"/>
    <n v="0"/>
    <n v="0"/>
    <n v="5.3840000000000003"/>
    <n v="5.3840000000000003"/>
    <n v="5.3840000000000003"/>
    <n v="5.3840000000000003"/>
    <n v="0"/>
    <x v="0"/>
    <n v="0"/>
    <n v="0"/>
    <n v="29"/>
    <n v="70"/>
    <n v="0"/>
    <n v="284.77"/>
    <n v="242.77"/>
    <m/>
    <n v="377.28596477888118"/>
    <n v="227.53897547400734"/>
    <n v="0"/>
    <n v="1533.2016799999999"/>
    <n v="1307.0736800000002"/>
    <n v="0"/>
    <n v="2031.3076343694963"/>
    <n v="1225.0698439520556"/>
  </r>
  <r>
    <s v="Regular"/>
    <x v="2"/>
    <x v="3"/>
    <x v="6"/>
    <x v="4"/>
    <x v="0"/>
    <x v="0"/>
    <x v="0"/>
    <x v="9"/>
    <n v="0"/>
    <n v="0"/>
    <n v="3.298"/>
    <n v="3.298"/>
    <n v="3.298"/>
    <n v="3.298"/>
    <n v="0"/>
    <x v="0"/>
    <n v="0"/>
    <n v="0"/>
    <n v="29"/>
    <n v="70"/>
    <n v="0"/>
    <n v="284.77"/>
    <n v="242.77"/>
    <m/>
    <n v="377.28596477888118"/>
    <n v="227.53897547400734"/>
    <n v="0"/>
    <n v="939.17145999999991"/>
    <n v="800.65546000000006"/>
    <n v="0"/>
    <n v="1244.2891118407501"/>
    <n v="750.4235411132762"/>
  </r>
  <r>
    <s v="Regular"/>
    <x v="2"/>
    <x v="3"/>
    <x v="6"/>
    <x v="4"/>
    <x v="0"/>
    <x v="0"/>
    <x v="0"/>
    <x v="1"/>
    <n v="0"/>
    <n v="0"/>
    <n v="2.508"/>
    <n v="2.508"/>
    <n v="2.508"/>
    <n v="2.508"/>
    <n v="0"/>
    <x v="0"/>
    <n v="0"/>
    <n v="0"/>
    <n v="29"/>
    <n v="70"/>
    <n v="0"/>
    <n v="284.77"/>
    <n v="242.77"/>
    <m/>
    <n v="377.28596477888118"/>
    <n v="227.53897547400734"/>
    <n v="0"/>
    <n v="714.20315999999991"/>
    <n v="608.86716000000001"/>
    <n v="0"/>
    <n v="946.23319966543397"/>
    <n v="570.66775048881038"/>
  </r>
  <r>
    <s v="Regular"/>
    <x v="2"/>
    <x v="3"/>
    <x v="6"/>
    <x v="4"/>
    <x v="0"/>
    <x v="0"/>
    <x v="0"/>
    <x v="2"/>
    <n v="0"/>
    <n v="0"/>
    <n v="2.6120000000000001"/>
    <n v="2.6120000000000001"/>
    <n v="2.6120000000000001"/>
    <n v="2.6120000000000001"/>
    <n v="0"/>
    <x v="0"/>
    <n v="0"/>
    <n v="0"/>
    <n v="29"/>
    <n v="70"/>
    <n v="0"/>
    <n v="284.77"/>
    <n v="242.77"/>
    <m/>
    <n v="377.28596477888118"/>
    <n v="227.53897547400734"/>
    <n v="0"/>
    <n v="743.81924000000004"/>
    <n v="634.11524000000009"/>
    <n v="0"/>
    <n v="985.47094000243771"/>
    <n v="594.33180393810721"/>
  </r>
  <r>
    <s v="Regular"/>
    <x v="2"/>
    <x v="3"/>
    <x v="6"/>
    <x v="4"/>
    <x v="0"/>
    <x v="0"/>
    <x v="0"/>
    <x v="3"/>
    <n v="0"/>
    <n v="0"/>
    <n v="2.7879999999999998"/>
    <n v="2.7879999999999998"/>
    <n v="2.7879999999999998"/>
    <n v="2.7879999999999998"/>
    <n v="0"/>
    <x v="0"/>
    <n v="0"/>
    <n v="0"/>
    <n v="29"/>
    <n v="70"/>
    <n v="0"/>
    <n v="284.77"/>
    <n v="242.77"/>
    <m/>
    <n v="377.28596477888118"/>
    <n v="227.53897547400734"/>
    <n v="0"/>
    <n v="793.93875999999989"/>
    <n v="676.84276"/>
    <n v="0"/>
    <n v="1051.8732698035208"/>
    <n v="634.37866362153238"/>
  </r>
  <r>
    <s v="Regular"/>
    <x v="2"/>
    <x v="3"/>
    <x v="6"/>
    <x v="4"/>
    <x v="0"/>
    <x v="0"/>
    <x v="0"/>
    <x v="10"/>
    <n v="0"/>
    <n v="0"/>
    <n v="2.456"/>
    <n v="2.456"/>
    <n v="2.456"/>
    <n v="2.456"/>
    <n v="0"/>
    <x v="0"/>
    <n v="0"/>
    <n v="0"/>
    <n v="29"/>
    <n v="70"/>
    <n v="0"/>
    <n v="284.77"/>
    <n v="242.77"/>
    <m/>
    <n v="377.28596477888118"/>
    <n v="227.53897547400734"/>
    <n v="0"/>
    <n v="699.39511999999991"/>
    <n v="596.24311999999998"/>
    <n v="0"/>
    <n v="926.61432949693221"/>
    <n v="558.83572376416203"/>
  </r>
  <r>
    <s v="PROJETADO"/>
    <x v="2"/>
    <x v="3"/>
    <x v="6"/>
    <x v="4"/>
    <x v="0"/>
    <x v="0"/>
    <x v="0"/>
    <x v="11"/>
    <n v="0"/>
    <n v="0"/>
    <n v="2.456"/>
    <n v="2.456"/>
    <n v="2.456"/>
    <n v="2.456"/>
    <n v="0"/>
    <x v="0"/>
    <n v="0"/>
    <n v="0"/>
    <n v="29"/>
    <n v="70"/>
    <n v="0"/>
    <n v="284.77"/>
    <n v="242.77"/>
    <m/>
    <n v="377.28596477888118"/>
    <n v="227.53897547400734"/>
    <n v="0"/>
    <n v="699.39511999999991"/>
    <n v="596.24311999999998"/>
    <n v="0"/>
    <n v="926.61432949693221"/>
    <n v="558.83572376416203"/>
  </r>
  <r>
    <s v="Regular"/>
    <x v="2"/>
    <x v="3"/>
    <x v="6"/>
    <x v="4"/>
    <x v="0"/>
    <x v="0"/>
    <x v="3"/>
    <x v="4"/>
    <n v="0"/>
    <n v="0"/>
    <n v="0.34100000000000003"/>
    <n v="0.34100000000000003"/>
    <n v="0.34100000000000003"/>
    <n v="0.34100000000000003"/>
    <n v="0"/>
    <x v="0"/>
    <n v="0"/>
    <n v="0"/>
    <n v="28"/>
    <n v="69"/>
    <n v="0"/>
    <n v="637.07000000000005"/>
    <n v="242.77"/>
    <m/>
    <n v="769.06125598076949"/>
    <n v="227.53897547400734"/>
    <n v="0"/>
    <n v="217.24087000000003"/>
    <n v="82.784570000000016"/>
    <n v="0"/>
    <n v="262.24988828944242"/>
    <n v="77.590790636636513"/>
  </r>
  <r>
    <s v="Regular"/>
    <x v="2"/>
    <x v="3"/>
    <x v="6"/>
    <x v="4"/>
    <x v="0"/>
    <x v="0"/>
    <x v="3"/>
    <x v="5"/>
    <n v="0"/>
    <n v="0"/>
    <n v="0.36499999999999999"/>
    <n v="0.36499999999999999"/>
    <n v="0.36499999999999999"/>
    <n v="0.36499999999999999"/>
    <n v="0"/>
    <x v="0"/>
    <n v="0"/>
    <n v="0"/>
    <n v="28"/>
    <n v="69"/>
    <n v="0"/>
    <n v="637.07000000000005"/>
    <n v="242.77"/>
    <m/>
    <n v="769.06125598076949"/>
    <n v="227.53897547400734"/>
    <n v="0"/>
    <n v="232.53055000000001"/>
    <n v="88.611050000000006"/>
    <n v="0"/>
    <n v="280.70735843298087"/>
    <n v="83.051726048012682"/>
  </r>
  <r>
    <s v="Regular"/>
    <x v="2"/>
    <x v="3"/>
    <x v="6"/>
    <x v="4"/>
    <x v="0"/>
    <x v="0"/>
    <x v="3"/>
    <x v="0"/>
    <n v="0"/>
    <n v="0"/>
    <n v="0.373"/>
    <n v="0.373"/>
    <n v="0.373"/>
    <n v="0.373"/>
    <n v="0"/>
    <x v="0"/>
    <n v="0"/>
    <n v="0"/>
    <n v="28"/>
    <n v="69"/>
    <n v="0"/>
    <n v="637.07000000000005"/>
    <n v="242.77"/>
    <m/>
    <n v="769.06125598076949"/>
    <n v="227.53897547400734"/>
    <n v="0"/>
    <n v="237.62711000000002"/>
    <n v="90.553210000000007"/>
    <n v="0"/>
    <n v="286.859848480827"/>
    <n v="84.872037851804734"/>
  </r>
  <r>
    <s v="Regular"/>
    <x v="2"/>
    <x v="3"/>
    <x v="6"/>
    <x v="4"/>
    <x v="0"/>
    <x v="0"/>
    <x v="3"/>
    <x v="6"/>
    <n v="0"/>
    <n v="0"/>
    <n v="0.38600000000000001"/>
    <n v="0.38600000000000001"/>
    <n v="0.38600000000000001"/>
    <n v="0.38600000000000001"/>
    <n v="0"/>
    <x v="0"/>
    <n v="0"/>
    <n v="0"/>
    <n v="28"/>
    <n v="69"/>
    <n v="0"/>
    <n v="637.07000000000005"/>
    <n v="242.77"/>
    <m/>
    <n v="769.06125598076949"/>
    <n v="227.53897547400734"/>
    <n v="0"/>
    <n v="245.90902000000003"/>
    <n v="93.709220000000002"/>
    <n v="0"/>
    <n v="296.85764480857705"/>
    <n v="87.830044532966838"/>
  </r>
  <r>
    <s v="Regular"/>
    <x v="2"/>
    <x v="3"/>
    <x v="6"/>
    <x v="4"/>
    <x v="0"/>
    <x v="0"/>
    <x v="3"/>
    <x v="7"/>
    <n v="0"/>
    <n v="0"/>
    <n v="0.32900000000000001"/>
    <n v="0.32900000000000001"/>
    <n v="0.32900000000000001"/>
    <n v="0.32900000000000001"/>
    <n v="0"/>
    <x v="0"/>
    <n v="0"/>
    <n v="0"/>
    <n v="28"/>
    <n v="69"/>
    <n v="0"/>
    <n v="637.07000000000005"/>
    <n v="242.77"/>
    <m/>
    <n v="769.06125598076949"/>
    <n v="227.53897547400734"/>
    <n v="0"/>
    <n v="209.59603000000001"/>
    <n v="79.87133"/>
    <n v="0"/>
    <n v="253.02115321767317"/>
    <n v="74.860322930948414"/>
  </r>
  <r>
    <s v="Regular"/>
    <x v="2"/>
    <x v="3"/>
    <x v="6"/>
    <x v="4"/>
    <x v="0"/>
    <x v="0"/>
    <x v="3"/>
    <x v="8"/>
    <n v="0"/>
    <n v="0"/>
    <n v="0.38300000000000001"/>
    <n v="0.38300000000000001"/>
    <n v="0.38300000000000001"/>
    <n v="0.38300000000000001"/>
    <n v="0"/>
    <x v="0"/>
    <n v="0"/>
    <n v="0"/>
    <n v="28"/>
    <n v="69"/>
    <n v="0"/>
    <n v="637.07000000000005"/>
    <n v="242.77"/>
    <m/>
    <n v="769.06125598076949"/>
    <n v="227.53897547400734"/>
    <n v="0"/>
    <n v="243.99781000000002"/>
    <n v="92.980910000000009"/>
    <n v="0"/>
    <n v="294.55046104063473"/>
    <n v="87.147427606544809"/>
  </r>
  <r>
    <s v="Regular"/>
    <x v="2"/>
    <x v="3"/>
    <x v="6"/>
    <x v="4"/>
    <x v="0"/>
    <x v="0"/>
    <x v="3"/>
    <x v="9"/>
    <n v="0"/>
    <n v="0"/>
    <n v="0.23699999999999999"/>
    <n v="0.23699999999999999"/>
    <n v="0.23699999999999999"/>
    <n v="0.23699999999999999"/>
    <n v="0"/>
    <x v="0"/>
    <n v="0"/>
    <n v="0"/>
    <n v="28"/>
    <n v="69"/>
    <n v="0"/>
    <n v="637.07000000000005"/>
    <n v="242.77"/>
    <m/>
    <n v="769.06125598076949"/>
    <n v="227.53897547400734"/>
    <n v="0"/>
    <n v="150.98559"/>
    <n v="57.536490000000001"/>
    <n v="0"/>
    <n v="182.26751766744235"/>
    <n v="53.926737187339739"/>
  </r>
  <r>
    <s v="Regular"/>
    <x v="2"/>
    <x v="3"/>
    <x v="6"/>
    <x v="4"/>
    <x v="0"/>
    <x v="0"/>
    <x v="3"/>
    <x v="1"/>
    <n v="0"/>
    <n v="0"/>
    <n v="0.216"/>
    <n v="0.216"/>
    <n v="0.216"/>
    <n v="0.216"/>
    <n v="0"/>
    <x v="0"/>
    <n v="0"/>
    <n v="0"/>
    <n v="28"/>
    <n v="69"/>
    <n v="0"/>
    <n v="637.07000000000005"/>
    <n v="242.77"/>
    <m/>
    <n v="769.06125598076949"/>
    <n v="227.53897547400734"/>
    <n v="0"/>
    <n v="137.60712000000001"/>
    <n v="52.438320000000004"/>
    <n v="0"/>
    <n v="166.1172312918462"/>
    <n v="49.148418702385584"/>
  </r>
  <r>
    <s v="Regular"/>
    <x v="2"/>
    <x v="3"/>
    <x v="6"/>
    <x v="4"/>
    <x v="0"/>
    <x v="0"/>
    <x v="3"/>
    <x v="2"/>
    <n v="0"/>
    <n v="0"/>
    <n v="0.2"/>
    <n v="0.2"/>
    <n v="0.2"/>
    <n v="0.2"/>
    <n v="0"/>
    <x v="0"/>
    <n v="0"/>
    <n v="0"/>
    <n v="28"/>
    <n v="69"/>
    <n v="0"/>
    <n v="637.07000000000005"/>
    <n v="242.77"/>
    <m/>
    <n v="769.06125598076949"/>
    <n v="227.53897547400734"/>
    <n v="0"/>
    <n v="127.41400000000002"/>
    <n v="48.554000000000002"/>
    <n v="0"/>
    <n v="153.81225119615391"/>
    <n v="45.507795094801473"/>
  </r>
  <r>
    <s v="Regular"/>
    <x v="2"/>
    <x v="3"/>
    <x v="6"/>
    <x v="4"/>
    <x v="0"/>
    <x v="0"/>
    <x v="3"/>
    <x v="3"/>
    <n v="0"/>
    <n v="0"/>
    <n v="0.21299999999999999"/>
    <n v="0.21299999999999999"/>
    <n v="0.21299999999999999"/>
    <n v="0.21299999999999999"/>
    <n v="0"/>
    <x v="0"/>
    <n v="0"/>
    <n v="0"/>
    <n v="28"/>
    <n v="69"/>
    <n v="0"/>
    <n v="637.07000000000005"/>
    <n v="242.77"/>
    <m/>
    <n v="769.06125598076949"/>
    <n v="227.53897547400734"/>
    <n v="0"/>
    <n v="135.69591"/>
    <n v="51.710010000000004"/>
    <n v="0"/>
    <n v="163.8100475239039"/>
    <n v="48.465801775963563"/>
  </r>
  <r>
    <s v="Regular"/>
    <x v="2"/>
    <x v="3"/>
    <x v="6"/>
    <x v="4"/>
    <x v="0"/>
    <x v="0"/>
    <x v="3"/>
    <x v="10"/>
    <n v="0"/>
    <n v="0"/>
    <n v="0.17599999999999999"/>
    <n v="0.17599999999999999"/>
    <n v="0.17599999999999999"/>
    <n v="0.17599999999999999"/>
    <n v="0"/>
    <x v="0"/>
    <n v="0"/>
    <n v="0"/>
    <n v="28"/>
    <n v="69"/>
    <n v="0"/>
    <n v="637.07000000000005"/>
    <n v="242.77"/>
    <m/>
    <n v="769.06125598076949"/>
    <n v="227.53897547400734"/>
    <n v="0"/>
    <n v="112.12432"/>
    <n v="42.727519999999998"/>
    <n v="0"/>
    <n v="135.35478105261541"/>
    <n v="40.046859683425289"/>
  </r>
  <r>
    <s v="PROJETADO"/>
    <x v="2"/>
    <x v="3"/>
    <x v="6"/>
    <x v="4"/>
    <x v="0"/>
    <x v="0"/>
    <x v="3"/>
    <x v="11"/>
    <n v="0"/>
    <n v="0"/>
    <n v="0.17599999999999999"/>
    <n v="0.17599999999999999"/>
    <n v="0.17599999999999999"/>
    <n v="0.17599999999999999"/>
    <n v="0"/>
    <x v="0"/>
    <n v="0"/>
    <n v="0"/>
    <n v="28"/>
    <n v="69"/>
    <n v="0"/>
    <n v="637.07000000000005"/>
    <n v="242.77"/>
    <m/>
    <n v="769.06125598076949"/>
    <n v="227.53897547400734"/>
    <n v="0"/>
    <n v="112.12432"/>
    <n v="42.727519999999998"/>
    <n v="0"/>
    <n v="135.35478105261541"/>
    <n v="40.046859683425289"/>
  </r>
  <r>
    <s v="Regular"/>
    <x v="2"/>
    <x v="3"/>
    <x v="6"/>
    <x v="4"/>
    <x v="0"/>
    <x v="0"/>
    <x v="1"/>
    <x v="4"/>
    <n v="0"/>
    <n v="0"/>
    <n v="0.53500000000000003"/>
    <n v="0.53500000000000003"/>
    <n v="0.53500000000000003"/>
    <n v="0.53500000000000003"/>
    <n v="0"/>
    <x v="0"/>
    <n v="0"/>
    <n v="0"/>
    <n v="27"/>
    <n v="68"/>
    <n v="0"/>
    <n v="989.37"/>
    <n v="391.54"/>
    <m/>
    <n v="1160.8364364581691"/>
    <n v="364.92243737572466"/>
    <n v="0"/>
    <n v="529.31295"/>
    <n v="209.47390000000001"/>
    <n v="0"/>
    <n v="621.04749350512054"/>
    <n v="195.2335039960127"/>
  </r>
  <r>
    <s v="Regular"/>
    <x v="2"/>
    <x v="3"/>
    <x v="6"/>
    <x v="4"/>
    <x v="0"/>
    <x v="0"/>
    <x v="1"/>
    <x v="5"/>
    <n v="0"/>
    <n v="0"/>
    <n v="0.55100000000000005"/>
    <n v="0.55100000000000005"/>
    <n v="0.55100000000000005"/>
    <n v="0.55100000000000005"/>
    <n v="0"/>
    <x v="0"/>
    <n v="0"/>
    <n v="0"/>
    <n v="27"/>
    <n v="68"/>
    <n v="0"/>
    <n v="989.37"/>
    <n v="391.54"/>
    <m/>
    <n v="1160.8364364581691"/>
    <n v="364.92243737572466"/>
    <n v="0"/>
    <n v="545.14287000000002"/>
    <n v="215.73854000000003"/>
    <n v="0"/>
    <n v="639.62087648845124"/>
    <n v="201.0722629940243"/>
  </r>
  <r>
    <s v="Regular"/>
    <x v="2"/>
    <x v="3"/>
    <x v="6"/>
    <x v="4"/>
    <x v="0"/>
    <x v="0"/>
    <x v="1"/>
    <x v="0"/>
    <n v="0"/>
    <n v="0"/>
    <n v="0.56399999999999995"/>
    <n v="0.56399999999999995"/>
    <n v="0.56399999999999995"/>
    <n v="0.56399999999999995"/>
    <n v="0"/>
    <x v="0"/>
    <n v="0"/>
    <n v="0"/>
    <n v="27"/>
    <n v="68"/>
    <n v="0"/>
    <n v="989.37"/>
    <n v="391.54"/>
    <m/>
    <n v="1160.8364364581691"/>
    <n v="364.92243737572466"/>
    <n v="0"/>
    <n v="558.00467999999989"/>
    <n v="220.82855999999998"/>
    <n v="0"/>
    <n v="654.71175016240738"/>
    <n v="205.8162546799087"/>
  </r>
  <r>
    <s v="Regular"/>
    <x v="2"/>
    <x v="3"/>
    <x v="6"/>
    <x v="4"/>
    <x v="0"/>
    <x v="0"/>
    <x v="1"/>
    <x v="6"/>
    <n v="0"/>
    <n v="0"/>
    <n v="0.57899999999999996"/>
    <n v="0.57899999999999996"/>
    <n v="0.57899999999999996"/>
    <n v="0.57899999999999996"/>
    <n v="0"/>
    <x v="0"/>
    <n v="0"/>
    <n v="0"/>
    <n v="27"/>
    <n v="68"/>
    <n v="0"/>
    <n v="989.37"/>
    <n v="391.54"/>
    <m/>
    <n v="1160.8364364581691"/>
    <n v="364.92243737572466"/>
    <n v="0"/>
    <n v="572.84523000000002"/>
    <n v="226.70166"/>
    <n v="0"/>
    <n v="672.12429670927986"/>
    <n v="211.29009124054457"/>
  </r>
  <r>
    <s v="Regular"/>
    <x v="2"/>
    <x v="3"/>
    <x v="6"/>
    <x v="4"/>
    <x v="0"/>
    <x v="0"/>
    <x v="1"/>
    <x v="7"/>
    <n v="0"/>
    <n v="0"/>
    <n v="0.49299999999999999"/>
    <n v="0.49299999999999999"/>
    <n v="0.49299999999999999"/>
    <n v="0.49299999999999999"/>
    <n v="0"/>
    <x v="0"/>
    <n v="0"/>
    <n v="0"/>
    <n v="27"/>
    <n v="68"/>
    <n v="0"/>
    <n v="989.37"/>
    <n v="391.54"/>
    <m/>
    <n v="1160.8364364581691"/>
    <n v="364.92243737572466"/>
    <n v="0"/>
    <n v="487.75941"/>
    <n v="193.02922000000001"/>
    <n v="0"/>
    <n v="572.29236317387733"/>
    <n v="179.90676162623225"/>
  </r>
  <r>
    <s v="Regular"/>
    <x v="2"/>
    <x v="3"/>
    <x v="6"/>
    <x v="4"/>
    <x v="0"/>
    <x v="0"/>
    <x v="1"/>
    <x v="8"/>
    <n v="0"/>
    <n v="0"/>
    <n v="0.57999999999999996"/>
    <n v="0.57999999999999996"/>
    <n v="0.57999999999999996"/>
    <n v="0.57999999999999996"/>
    <n v="0"/>
    <x v="0"/>
    <n v="0"/>
    <n v="0"/>
    <n v="27"/>
    <n v="68"/>
    <n v="0"/>
    <n v="989.37"/>
    <n v="391.54"/>
    <m/>
    <n v="1160.8364364581691"/>
    <n v="364.92243737572466"/>
    <n v="0"/>
    <n v="573.83459999999991"/>
    <n v="227.0932"/>
    <n v="0"/>
    <n v="673.28513314573809"/>
    <n v="211.65501367792029"/>
  </r>
  <r>
    <s v="Regular"/>
    <x v="2"/>
    <x v="3"/>
    <x v="6"/>
    <x v="4"/>
    <x v="0"/>
    <x v="0"/>
    <x v="1"/>
    <x v="9"/>
    <n v="0"/>
    <n v="0"/>
    <n v="0.36099999999999999"/>
    <n v="0.36099999999999999"/>
    <n v="0.36099999999999999"/>
    <n v="0.36099999999999999"/>
    <n v="0"/>
    <x v="0"/>
    <n v="0"/>
    <n v="0"/>
    <n v="27"/>
    <n v="68"/>
    <n v="0"/>
    <n v="989.37"/>
    <n v="391.54"/>
    <m/>
    <n v="1160.8364364581691"/>
    <n v="364.92243737572466"/>
    <n v="0"/>
    <n v="357.16257000000002"/>
    <n v="141.34594000000001"/>
    <n v="0"/>
    <n v="419.06195356139904"/>
    <n v="131.73699989263659"/>
  </r>
  <r>
    <s v="Regular"/>
    <x v="2"/>
    <x v="3"/>
    <x v="6"/>
    <x v="4"/>
    <x v="0"/>
    <x v="0"/>
    <x v="1"/>
    <x v="1"/>
    <n v="0"/>
    <n v="0"/>
    <n v="0.32800000000000001"/>
    <n v="0.32800000000000001"/>
    <n v="0.32800000000000001"/>
    <n v="0.32800000000000001"/>
    <n v="0"/>
    <x v="0"/>
    <n v="0"/>
    <n v="0"/>
    <n v="27"/>
    <n v="68"/>
    <n v="0"/>
    <n v="989.37"/>
    <n v="391.54"/>
    <m/>
    <n v="1160.8364364581691"/>
    <n v="364.92243737572466"/>
    <n v="0"/>
    <n v="324.51336000000003"/>
    <n v="128.42512000000002"/>
    <n v="0"/>
    <n v="380.75435115827952"/>
    <n v="119.69455945923769"/>
  </r>
  <r>
    <s v="Regular"/>
    <x v="2"/>
    <x v="3"/>
    <x v="6"/>
    <x v="4"/>
    <x v="0"/>
    <x v="0"/>
    <x v="1"/>
    <x v="2"/>
    <n v="0"/>
    <n v="0"/>
    <n v="0.32200000000000001"/>
    <n v="0.32200000000000001"/>
    <n v="0.32200000000000001"/>
    <n v="0.32200000000000001"/>
    <n v="0"/>
    <x v="0"/>
    <n v="0"/>
    <n v="0"/>
    <n v="27"/>
    <n v="68"/>
    <n v="0"/>
    <n v="989.37"/>
    <n v="391.54"/>
    <m/>
    <n v="1160.8364364581691"/>
    <n v="364.92243737572466"/>
    <n v="0"/>
    <n v="318.57713999999999"/>
    <n v="126.07588000000001"/>
    <n v="0"/>
    <n v="373.78933253953045"/>
    <n v="117.50502483498335"/>
  </r>
  <r>
    <s v="Regular"/>
    <x v="2"/>
    <x v="3"/>
    <x v="6"/>
    <x v="4"/>
    <x v="0"/>
    <x v="0"/>
    <x v="1"/>
    <x v="3"/>
    <n v="0"/>
    <n v="0"/>
    <n v="0.33700000000000002"/>
    <n v="0.33700000000000002"/>
    <n v="0.33700000000000002"/>
    <n v="0.33700000000000002"/>
    <n v="0"/>
    <x v="0"/>
    <n v="0"/>
    <n v="0"/>
    <n v="27"/>
    <n v="68"/>
    <n v="0"/>
    <n v="989.37"/>
    <n v="391.54"/>
    <m/>
    <n v="1160.8364364581691"/>
    <n v="364.92243737572466"/>
    <n v="0"/>
    <n v="333.41769000000005"/>
    <n v="131.94898000000001"/>
    <n v="0"/>
    <n v="391.20187908640304"/>
    <n v="122.97886139561922"/>
  </r>
  <r>
    <s v="Regular"/>
    <x v="2"/>
    <x v="3"/>
    <x v="6"/>
    <x v="4"/>
    <x v="0"/>
    <x v="0"/>
    <x v="1"/>
    <x v="10"/>
    <n v="0"/>
    <n v="0"/>
    <n v="0.27500000000000002"/>
    <n v="0.27500000000000002"/>
    <n v="0.27500000000000002"/>
    <n v="0.27500000000000002"/>
    <n v="0"/>
    <x v="0"/>
    <n v="0"/>
    <n v="0"/>
    <n v="27"/>
    <n v="68"/>
    <n v="0"/>
    <n v="989.37"/>
    <n v="391.54"/>
    <m/>
    <n v="1160.8364364581691"/>
    <n v="364.92243737572466"/>
    <n v="0"/>
    <n v="272.07675"/>
    <n v="107.67350000000002"/>
    <n v="0"/>
    <n v="319.23002002599657"/>
    <n v="100.35367027832429"/>
  </r>
  <r>
    <s v="PROJETADO"/>
    <x v="2"/>
    <x v="3"/>
    <x v="6"/>
    <x v="4"/>
    <x v="0"/>
    <x v="0"/>
    <x v="1"/>
    <x v="11"/>
    <n v="0"/>
    <n v="0"/>
    <n v="0.27500000000000002"/>
    <n v="0.27500000000000002"/>
    <n v="0.27500000000000002"/>
    <n v="0.27500000000000002"/>
    <n v="0"/>
    <x v="0"/>
    <n v="0"/>
    <n v="0"/>
    <n v="27"/>
    <n v="68"/>
    <n v="0"/>
    <n v="989.37"/>
    <n v="391.54"/>
    <m/>
    <n v="1160.8364364581691"/>
    <n v="364.92243737572466"/>
    <n v="0"/>
    <n v="272.07675"/>
    <n v="107.67350000000002"/>
    <n v="0"/>
    <n v="319.23002002599657"/>
    <n v="100.35367027832429"/>
  </r>
  <r>
    <s v="Regular"/>
    <x v="2"/>
    <x v="4"/>
    <x v="6"/>
    <x v="4"/>
    <x v="0"/>
    <x v="0"/>
    <x v="2"/>
    <x v="4"/>
    <n v="0"/>
    <n v="0"/>
    <n v="4079.2910000000002"/>
    <n v="4079.2910000000002"/>
    <n v="4079.2910000000002"/>
    <n v="4079.2910000000002"/>
    <n v="27228"/>
    <x v="0"/>
    <n v="0"/>
    <n v="0"/>
    <n v="30"/>
    <n v="71"/>
    <n v="0"/>
    <n v="379.62"/>
    <n v="255.17"/>
    <m/>
    <n v="482.76396348427488"/>
    <n v="238.98759729915042"/>
    <n v="0"/>
    <n v="1548580.4494200002"/>
    <n v="1040912.68447"/>
    <n v="0"/>
    <n v="1969334.6913657312"/>
    <n v="974899.95477404865"/>
  </r>
  <r>
    <s v="Refaturamento - Regular"/>
    <x v="2"/>
    <x v="4"/>
    <x v="6"/>
    <x v="4"/>
    <x v="0"/>
    <x v="0"/>
    <x v="2"/>
    <x v="4"/>
    <n v="0"/>
    <n v="0"/>
    <n v="-0.3"/>
    <n v="-0.3"/>
    <n v="-0.3"/>
    <n v="-0.3"/>
    <n v="0"/>
    <x v="0"/>
    <n v="0"/>
    <n v="0"/>
    <n v="30"/>
    <n v="71"/>
    <n v="0"/>
    <n v="379.62"/>
    <n v="255.17"/>
    <m/>
    <n v="482.76396348427488"/>
    <n v="238.98759729915042"/>
    <n v="0"/>
    <n v="-113.886"/>
    <n v="-76.550999999999988"/>
    <n v="0"/>
    <n v="-144.82918904528245"/>
    <n v="-71.696279189745127"/>
  </r>
  <r>
    <s v="Sistema de Compensação"/>
    <x v="2"/>
    <x v="4"/>
    <x v="6"/>
    <x v="4"/>
    <x v="0"/>
    <x v="0"/>
    <x v="2"/>
    <x v="4"/>
    <n v="0"/>
    <n v="0"/>
    <n v="63.996000000000002"/>
    <n v="63.996000000000002"/>
    <n v="63.996000000000002"/>
    <n v="63.996000000000002"/>
    <n v="411"/>
    <x v="0"/>
    <n v="0"/>
    <n v="0"/>
    <n v="30"/>
    <n v="71"/>
    <n v="0"/>
    <n v="379.62"/>
    <n v="255.17"/>
    <m/>
    <n v="482.76396348427488"/>
    <n v="238.98759729915042"/>
    <n v="0"/>
    <n v="24294.161520000001"/>
    <n v="16329.85932"/>
    <n v="0"/>
    <n v="30894.962607139656"/>
    <n v="15294.250276756431"/>
  </r>
  <r>
    <s v="Regular"/>
    <x v="2"/>
    <x v="4"/>
    <x v="6"/>
    <x v="4"/>
    <x v="0"/>
    <x v="0"/>
    <x v="2"/>
    <x v="5"/>
    <n v="0"/>
    <n v="0"/>
    <n v="3895.5329999999999"/>
    <n v="3895.5329999999999"/>
    <n v="3895.5329999999999"/>
    <n v="3895.5329999999999"/>
    <n v="27118"/>
    <x v="0"/>
    <n v="0"/>
    <n v="0"/>
    <n v="30"/>
    <n v="71"/>
    <n v="0"/>
    <n v="379.62"/>
    <n v="255.17"/>
    <m/>
    <n v="482.76396348427488"/>
    <n v="238.98759729915042"/>
    <n v="0"/>
    <n v="1478822.23746"/>
    <n v="994023.1556099999"/>
    <n v="0"/>
    <n v="1880622.9509637877"/>
    <n v="930984.07186955132"/>
  </r>
  <r>
    <s v="Sistema de Compensação"/>
    <x v="2"/>
    <x v="4"/>
    <x v="6"/>
    <x v="4"/>
    <x v="0"/>
    <x v="0"/>
    <x v="2"/>
    <x v="5"/>
    <n v="0"/>
    <n v="0"/>
    <n v="50.265000000000001"/>
    <n v="50.265000000000001"/>
    <n v="50.265000000000001"/>
    <n v="50.265000000000001"/>
    <n v="440"/>
    <x v="0"/>
    <n v="0"/>
    <n v="0"/>
    <n v="30"/>
    <n v="71"/>
    <n v="0"/>
    <n v="379.62"/>
    <n v="255.17"/>
    <m/>
    <n v="482.76396348427488"/>
    <n v="238.98759729915042"/>
    <n v="0"/>
    <n v="19081.599300000002"/>
    <n v="12826.12005"/>
    <n v="0"/>
    <n v="24266.130624537076"/>
    <n v="12012.711578241797"/>
  </r>
  <r>
    <s v="Regular"/>
    <x v="2"/>
    <x v="4"/>
    <x v="6"/>
    <x v="4"/>
    <x v="0"/>
    <x v="0"/>
    <x v="2"/>
    <x v="0"/>
    <n v="0"/>
    <n v="0"/>
    <n v="3972.6260000000002"/>
    <n v="3972.6260000000002"/>
    <n v="3972.6260000000002"/>
    <n v="3972.6260000000002"/>
    <n v="27010"/>
    <x v="0"/>
    <n v="0"/>
    <n v="0"/>
    <n v="30"/>
    <n v="71"/>
    <n v="0"/>
    <n v="379.62"/>
    <n v="255.17"/>
    <m/>
    <n v="482.76396348427488"/>
    <n v="238.98759729915042"/>
    <n v="0"/>
    <n v="1508088.2821200001"/>
    <n v="1013694.97642"/>
    <n v="0"/>
    <n v="1917840.6732006811"/>
    <n v="949408.34270813479"/>
  </r>
  <r>
    <s v="Sistema de Compensação"/>
    <x v="2"/>
    <x v="4"/>
    <x v="6"/>
    <x v="4"/>
    <x v="0"/>
    <x v="0"/>
    <x v="2"/>
    <x v="0"/>
    <n v="0"/>
    <n v="0"/>
    <n v="56.207999999999998"/>
    <n v="56.207999999999998"/>
    <n v="56.207999999999998"/>
    <n v="56.207999999999998"/>
    <n v="466"/>
    <x v="0"/>
    <n v="0"/>
    <n v="0"/>
    <n v="30"/>
    <n v="71"/>
    <n v="0"/>
    <n v="379.62"/>
    <n v="255.17"/>
    <m/>
    <n v="482.76396348427488"/>
    <n v="238.98759729915042"/>
    <n v="0"/>
    <n v="21337.680959999998"/>
    <n v="14342.595359999999"/>
    <n v="0"/>
    <n v="27135.196859524123"/>
    <n v="13433.014868990647"/>
  </r>
  <r>
    <s v="Regular"/>
    <x v="2"/>
    <x v="4"/>
    <x v="6"/>
    <x v="4"/>
    <x v="0"/>
    <x v="0"/>
    <x v="2"/>
    <x v="6"/>
    <n v="0"/>
    <n v="0"/>
    <n v="3941.299"/>
    <n v="3941.299"/>
    <n v="3941.299"/>
    <n v="3941.299"/>
    <n v="26925"/>
    <x v="0"/>
    <n v="0"/>
    <n v="0"/>
    <n v="30"/>
    <n v="71"/>
    <n v="0"/>
    <n v="379.62"/>
    <n v="255.17"/>
    <m/>
    <n v="482.76396348427488"/>
    <n v="238.98759729915042"/>
    <n v="0"/>
    <n v="1496195.9263800001"/>
    <n v="1005701.2658299999"/>
    <n v="0"/>
    <n v="1902717.126516609"/>
    <n v="941921.57824754424"/>
  </r>
  <r>
    <s v="Sistema de Compensação"/>
    <x v="2"/>
    <x v="4"/>
    <x v="6"/>
    <x v="4"/>
    <x v="0"/>
    <x v="0"/>
    <x v="2"/>
    <x v="6"/>
    <n v="0"/>
    <n v="0"/>
    <n v="48.512"/>
    <n v="48.512"/>
    <n v="48.512"/>
    <n v="48.512"/>
    <n v="498"/>
    <x v="0"/>
    <n v="0"/>
    <n v="0"/>
    <n v="30"/>
    <n v="71"/>
    <n v="0"/>
    <n v="379.62"/>
    <n v="255.17"/>
    <m/>
    <n v="482.76396348427488"/>
    <n v="238.98759729915042"/>
    <n v="0"/>
    <n v="18416.12544"/>
    <n v="12378.80704"/>
    <n v="0"/>
    <n v="23419.845396549143"/>
    <n v="11593.766320176386"/>
  </r>
  <r>
    <s v="Regular"/>
    <x v="2"/>
    <x v="4"/>
    <x v="6"/>
    <x v="4"/>
    <x v="0"/>
    <x v="0"/>
    <x v="2"/>
    <x v="7"/>
    <n v="0"/>
    <n v="0"/>
    <n v="3635.4769999999999"/>
    <n v="3635.4769999999999"/>
    <n v="3635.4769999999999"/>
    <n v="3635.4769999999999"/>
    <n v="26796"/>
    <x v="0"/>
    <n v="0"/>
    <n v="0"/>
    <n v="30"/>
    <n v="71"/>
    <n v="0"/>
    <n v="379.62"/>
    <n v="255.17"/>
    <m/>
    <n v="482.76396348427488"/>
    <n v="238.98759729915042"/>
    <n v="0"/>
    <n v="1380099.77874"/>
    <n v="927664.66608999996"/>
    <n v="0"/>
    <n v="1755077.285675921"/>
    <n v="868833.91326632339"/>
  </r>
  <r>
    <s v="Sistema de Compensação"/>
    <x v="2"/>
    <x v="4"/>
    <x v="6"/>
    <x v="4"/>
    <x v="0"/>
    <x v="0"/>
    <x v="2"/>
    <x v="7"/>
    <n v="0"/>
    <n v="0"/>
    <n v="47.52"/>
    <n v="47.52"/>
    <n v="47.52"/>
    <n v="47.52"/>
    <n v="539"/>
    <x v="0"/>
    <n v="0"/>
    <n v="0"/>
    <n v="30"/>
    <n v="71"/>
    <n v="0"/>
    <n v="379.62"/>
    <n v="255.17"/>
    <m/>
    <n v="482.76396348427488"/>
    <n v="238.98759729915042"/>
    <n v="0"/>
    <n v="18039.542400000002"/>
    <n v="12125.678400000001"/>
    <n v="0"/>
    <n v="22940.943544772745"/>
    <n v="11356.69062365563"/>
  </r>
  <r>
    <s v="Regular"/>
    <x v="2"/>
    <x v="4"/>
    <x v="6"/>
    <x v="4"/>
    <x v="0"/>
    <x v="0"/>
    <x v="2"/>
    <x v="8"/>
    <n v="0"/>
    <n v="0"/>
    <n v="4193.3450000000003"/>
    <n v="4193.3450000000003"/>
    <n v="4193.3450000000003"/>
    <n v="4193.3450000000003"/>
    <n v="26454"/>
    <x v="0"/>
    <n v="0"/>
    <n v="0"/>
    <n v="30"/>
    <n v="71"/>
    <n v="0"/>
    <n v="379.62"/>
    <n v="255.17"/>
    <m/>
    <n v="482.76396348427488"/>
    <n v="238.98759729915042"/>
    <n v="0"/>
    <n v="1591877.6289000001"/>
    <n v="1070015.8436499999"/>
    <n v="0"/>
    <n v="2024395.8524569669"/>
    <n v="1002157.446196406"/>
  </r>
  <r>
    <s v="Sistema de Compensação"/>
    <x v="2"/>
    <x v="4"/>
    <x v="6"/>
    <x v="4"/>
    <x v="0"/>
    <x v="0"/>
    <x v="2"/>
    <x v="8"/>
    <n v="0"/>
    <n v="0"/>
    <n v="55.765000000000001"/>
    <n v="55.765000000000001"/>
    <n v="55.765000000000001"/>
    <n v="55.765000000000001"/>
    <n v="562"/>
    <x v="0"/>
    <n v="0"/>
    <n v="0"/>
    <n v="30"/>
    <n v="71"/>
    <n v="0"/>
    <n v="379.62"/>
    <n v="255.17"/>
    <m/>
    <n v="482.76396348427488"/>
    <n v="238.98759729915042"/>
    <n v="0"/>
    <n v="21169.509300000002"/>
    <n v="14229.555049999999"/>
    <n v="0"/>
    <n v="26921.332423700591"/>
    <n v="13327.143363387124"/>
  </r>
  <r>
    <s v="Regular"/>
    <x v="2"/>
    <x v="4"/>
    <x v="6"/>
    <x v="4"/>
    <x v="0"/>
    <x v="0"/>
    <x v="2"/>
    <x v="9"/>
    <n v="0"/>
    <n v="0"/>
    <n v="3836.12"/>
    <n v="3836.12"/>
    <n v="3836.12"/>
    <n v="3836.12"/>
    <n v="26230"/>
    <x v="0"/>
    <n v="0"/>
    <n v="0"/>
    <n v="30"/>
    <n v="71"/>
    <n v="0"/>
    <n v="379.62"/>
    <n v="255.17"/>
    <m/>
    <n v="482.76396348427488"/>
    <n v="238.98759729915042"/>
    <n v="0"/>
    <n v="1456267.8744000001"/>
    <n v="978862.74039999989"/>
    <n v="0"/>
    <n v="1851940.4956012964"/>
    <n v="916785.10175121692"/>
  </r>
  <r>
    <s v="Sistema de Compensação"/>
    <x v="2"/>
    <x v="4"/>
    <x v="6"/>
    <x v="4"/>
    <x v="0"/>
    <x v="0"/>
    <x v="2"/>
    <x v="9"/>
    <n v="0"/>
    <n v="0"/>
    <n v="61.878999999999998"/>
    <n v="61.878999999999998"/>
    <n v="61.878999999999998"/>
    <n v="61.878999999999998"/>
    <n v="585"/>
    <x v="0"/>
    <n v="0"/>
    <n v="0"/>
    <n v="30"/>
    <n v="71"/>
    <n v="0"/>
    <n v="379.62"/>
    <n v="255.17"/>
    <m/>
    <n v="482.76396348427488"/>
    <n v="238.98759729915042"/>
    <n v="0"/>
    <n v="23490.505979999998"/>
    <n v="15789.664429999999"/>
    <n v="0"/>
    <n v="29872.951296443443"/>
    <n v="14788.313533274128"/>
  </r>
  <r>
    <s v="Regular"/>
    <x v="2"/>
    <x v="4"/>
    <x v="6"/>
    <x v="4"/>
    <x v="0"/>
    <x v="0"/>
    <x v="2"/>
    <x v="1"/>
    <n v="0"/>
    <n v="0"/>
    <n v="3379.7689999999998"/>
    <n v="3379.7689999999998"/>
    <n v="3379.7689999999998"/>
    <n v="3379.7689999999998"/>
    <n v="26346"/>
    <x v="0"/>
    <n v="0"/>
    <n v="0"/>
    <n v="30"/>
    <n v="71"/>
    <n v="0"/>
    <n v="379.62"/>
    <n v="255.17"/>
    <m/>
    <n v="482.76396348427488"/>
    <n v="238.98759729915042"/>
    <n v="0"/>
    <n v="1283027.90778"/>
    <n v="862415.65572999988"/>
    <n v="0"/>
    <n v="1631630.6781012842"/>
    <n v="807722.87273615226"/>
  </r>
  <r>
    <s v="Refaturamento - Regular"/>
    <x v="2"/>
    <x v="4"/>
    <x v="6"/>
    <x v="4"/>
    <x v="0"/>
    <x v="0"/>
    <x v="2"/>
    <x v="1"/>
    <n v="0"/>
    <n v="0"/>
    <n v="-9.4E-2"/>
    <n v="-9.4E-2"/>
    <n v="-9.4E-2"/>
    <n v="-9.4E-2"/>
    <n v="0"/>
    <x v="0"/>
    <n v="0"/>
    <n v="0"/>
    <n v="30"/>
    <n v="71"/>
    <n v="0"/>
    <n v="379.62"/>
    <n v="255.17"/>
    <m/>
    <n v="482.76396348427488"/>
    <n v="238.98759729915042"/>
    <n v="0"/>
    <n v="-35.684280000000001"/>
    <n v="-23.985979999999998"/>
    <n v="0"/>
    <n v="-45.379812567521839"/>
    <n v="-22.46483414612014"/>
  </r>
  <r>
    <s v="Sistema de Compensação"/>
    <x v="2"/>
    <x v="4"/>
    <x v="6"/>
    <x v="4"/>
    <x v="0"/>
    <x v="0"/>
    <x v="2"/>
    <x v="1"/>
    <n v="0"/>
    <n v="0"/>
    <n v="57.09"/>
    <n v="57.09"/>
    <n v="57.09"/>
    <n v="57.09"/>
    <n v="639"/>
    <x v="0"/>
    <n v="0"/>
    <n v="0"/>
    <n v="30"/>
    <n v="71"/>
    <n v="0"/>
    <n v="379.62"/>
    <n v="255.17"/>
    <m/>
    <n v="482.76396348427488"/>
    <n v="238.98759729915042"/>
    <n v="0"/>
    <n v="21672.505800000003"/>
    <n v="14567.6553"/>
    <n v="0"/>
    <n v="27560.994675317255"/>
    <n v="13643.801929808498"/>
  </r>
  <r>
    <s v="Regular"/>
    <x v="2"/>
    <x v="4"/>
    <x v="6"/>
    <x v="4"/>
    <x v="0"/>
    <x v="0"/>
    <x v="2"/>
    <x v="2"/>
    <n v="0"/>
    <n v="0"/>
    <n v="3550.944"/>
    <n v="3550.944"/>
    <n v="3550.944"/>
    <n v="3550.944"/>
    <n v="26408"/>
    <x v="0"/>
    <n v="0"/>
    <n v="0"/>
    <n v="30"/>
    <n v="71"/>
    <n v="0"/>
    <n v="379.62"/>
    <n v="255.17"/>
    <m/>
    <n v="482.76396348427488"/>
    <n v="238.98759729915042"/>
    <n v="0"/>
    <n v="1348009.3612800001"/>
    <n v="906094.38047999993"/>
    <n v="0"/>
    <n v="1714267.7995507049"/>
    <n v="848631.57470383437"/>
  </r>
  <r>
    <s v="Sistema de Compensação"/>
    <x v="2"/>
    <x v="4"/>
    <x v="6"/>
    <x v="4"/>
    <x v="0"/>
    <x v="0"/>
    <x v="2"/>
    <x v="2"/>
    <n v="0"/>
    <n v="0"/>
    <n v="63.228000000000002"/>
    <n v="63.228000000000002"/>
    <n v="63.228000000000002"/>
    <n v="63.228000000000002"/>
    <n v="652"/>
    <x v="0"/>
    <n v="0"/>
    <n v="0"/>
    <n v="30"/>
    <n v="71"/>
    <n v="0"/>
    <n v="379.62"/>
    <n v="255.17"/>
    <m/>
    <n v="482.76396348427488"/>
    <n v="238.98759729915042"/>
    <n v="0"/>
    <n v="24002.613359999999"/>
    <n v="16133.88876"/>
    <n v="0"/>
    <n v="30524.199883183734"/>
    <n v="15110.707802030684"/>
  </r>
  <r>
    <s v="Regular"/>
    <x v="2"/>
    <x v="4"/>
    <x v="6"/>
    <x v="4"/>
    <x v="0"/>
    <x v="0"/>
    <x v="2"/>
    <x v="3"/>
    <n v="0"/>
    <n v="0"/>
    <n v="3414.7530000000002"/>
    <n v="3414.7530000000002"/>
    <n v="3414.7530000000002"/>
    <n v="3414.7530000000002"/>
    <n v="26417"/>
    <x v="0"/>
    <n v="0"/>
    <n v="0"/>
    <n v="30"/>
    <n v="71"/>
    <n v="0"/>
    <n v="379.62"/>
    <n v="255.17"/>
    <m/>
    <n v="482.76396348427488"/>
    <n v="238.98759729915042"/>
    <n v="0"/>
    <n v="1296308.5338600001"/>
    <n v="871342.52301"/>
    <n v="0"/>
    <n v="1648519.6925998181"/>
    <n v="816083.61484006583"/>
  </r>
  <r>
    <s v="Sistema de Compensação"/>
    <x v="2"/>
    <x v="4"/>
    <x v="6"/>
    <x v="4"/>
    <x v="0"/>
    <x v="0"/>
    <x v="2"/>
    <x v="3"/>
    <n v="0"/>
    <n v="0"/>
    <n v="63.838999999999999"/>
    <n v="63.838999999999999"/>
    <n v="63.838999999999999"/>
    <n v="63.838999999999999"/>
    <n v="697"/>
    <x v="0"/>
    <n v="0"/>
    <n v="0"/>
    <n v="30"/>
    <n v="71"/>
    <n v="0"/>
    <n v="379.62"/>
    <n v="255.17"/>
    <m/>
    <n v="482.76396348427488"/>
    <n v="238.98759729915042"/>
    <n v="0"/>
    <n v="24234.561180000001"/>
    <n v="16289.797629999999"/>
    <n v="0"/>
    <n v="30819.168664872625"/>
    <n v="15256.729223980463"/>
  </r>
  <r>
    <s v="Regular"/>
    <x v="2"/>
    <x v="4"/>
    <x v="6"/>
    <x v="4"/>
    <x v="0"/>
    <x v="0"/>
    <x v="2"/>
    <x v="10"/>
    <n v="0"/>
    <n v="0"/>
    <n v="4069.8310000000001"/>
    <n v="4069.8310000000001"/>
    <n v="4069.8310000000001"/>
    <n v="4069.8310000000001"/>
    <n v="26434"/>
    <x v="0"/>
    <n v="0"/>
    <n v="0"/>
    <n v="30"/>
    <n v="71"/>
    <n v="0"/>
    <n v="379.62"/>
    <n v="255.17"/>
    <m/>
    <n v="482.76396348427488"/>
    <n v="238.98759729915042"/>
    <n v="0"/>
    <n v="1544989.24422"/>
    <n v="1038498.77627"/>
    <n v="0"/>
    <n v="1964767.7442711699"/>
    <n v="972639.13210359868"/>
  </r>
  <r>
    <s v="Sistema de Compensação"/>
    <x v="2"/>
    <x v="4"/>
    <x v="6"/>
    <x v="4"/>
    <x v="0"/>
    <x v="0"/>
    <x v="2"/>
    <x v="10"/>
    <n v="0"/>
    <n v="0"/>
    <n v="74.814999999999998"/>
    <n v="74.814999999999998"/>
    <n v="74.814999999999998"/>
    <n v="74.814999999999998"/>
    <n v="734"/>
    <x v="0"/>
    <n v="0"/>
    <n v="0"/>
    <n v="30"/>
    <n v="71"/>
    <n v="0"/>
    <n v="379.62"/>
    <n v="255.17"/>
    <m/>
    <n v="482.76396348427488"/>
    <n v="238.98759729915042"/>
    <n v="0"/>
    <n v="28401.2703"/>
    <n v="19090.543549999999"/>
    <n v="0"/>
    <n v="36117.985928076021"/>
    <n v="17879.857091935937"/>
  </r>
  <r>
    <s v="PROJETADO"/>
    <x v="2"/>
    <x v="4"/>
    <x v="6"/>
    <x v="4"/>
    <x v="0"/>
    <x v="0"/>
    <x v="2"/>
    <x v="11"/>
    <n v="0"/>
    <n v="0"/>
    <n v="4069.8310000000001"/>
    <n v="4069.8310000000001"/>
    <n v="4069.8310000000001"/>
    <n v="4069.8310000000001"/>
    <n v="26434"/>
    <x v="0"/>
    <n v="0"/>
    <n v="0"/>
    <n v="30"/>
    <n v="71"/>
    <n v="0"/>
    <n v="379.62"/>
    <n v="255.17"/>
    <m/>
    <n v="482.76396348427488"/>
    <n v="238.98759729915042"/>
    <n v="0"/>
    <n v="1544989.24422"/>
    <n v="1038498.77627"/>
    <n v="0"/>
    <n v="1964767.7442711699"/>
    <n v="972639.13210359868"/>
  </r>
  <r>
    <s v="PROJETADO"/>
    <x v="2"/>
    <x v="4"/>
    <x v="6"/>
    <x v="4"/>
    <x v="0"/>
    <x v="0"/>
    <x v="2"/>
    <x v="11"/>
    <n v="0"/>
    <n v="0"/>
    <n v="74.814999999999998"/>
    <n v="74.814999999999998"/>
    <n v="74.814999999999998"/>
    <n v="74.814999999999998"/>
    <n v="734"/>
    <x v="0"/>
    <n v="0"/>
    <n v="0"/>
    <n v="30"/>
    <n v="71"/>
    <n v="0"/>
    <n v="379.62"/>
    <n v="255.17"/>
    <m/>
    <n v="482.76396348427488"/>
    <n v="238.98759729915042"/>
    <n v="0"/>
    <n v="28401.2703"/>
    <n v="19090.543549999999"/>
    <n v="0"/>
    <n v="36117.985928076021"/>
    <n v="17879.857091935937"/>
  </r>
  <r>
    <s v="Regular"/>
    <x v="2"/>
    <x v="4"/>
    <x v="6"/>
    <x v="5"/>
    <x v="0"/>
    <x v="0"/>
    <x v="2"/>
    <x v="4"/>
    <n v="0"/>
    <n v="0"/>
    <n v="74.97"/>
    <n v="74.97"/>
    <n v="74.97"/>
    <n v="74.97"/>
    <n v="78"/>
    <x v="0"/>
    <n v="0"/>
    <n v="0"/>
    <n v="31"/>
    <n v="72"/>
    <n v="0"/>
    <n v="105.1"/>
    <n v="89.31"/>
    <m/>
    <n v="114.30345333487438"/>
    <n v="83.645659054702648"/>
    <n v="0"/>
    <n v="7879.3469999999998"/>
    <n v="6695.5707000000002"/>
    <n v="0"/>
    <n v="8569.3298965155318"/>
    <n v="6270.9150593310578"/>
  </r>
  <r>
    <s v="Regular"/>
    <x v="2"/>
    <x v="4"/>
    <x v="6"/>
    <x v="5"/>
    <x v="0"/>
    <x v="0"/>
    <x v="2"/>
    <x v="5"/>
    <n v="0"/>
    <n v="0"/>
    <n v="78.33"/>
    <n v="78.33"/>
    <n v="78.33"/>
    <n v="78.33"/>
    <n v="100"/>
    <x v="0"/>
    <n v="0"/>
    <n v="0"/>
    <n v="31"/>
    <n v="72"/>
    <n v="0"/>
    <n v="105.1"/>
    <n v="89.31"/>
    <m/>
    <n v="114.30345333487438"/>
    <n v="83.645659054702648"/>
    <n v="0"/>
    <n v="8232.4830000000002"/>
    <n v="6995.6522999999997"/>
    <n v="0"/>
    <n v="8953.3894997207099"/>
    <n v="6551.9644737548579"/>
  </r>
  <r>
    <s v="Regular"/>
    <x v="2"/>
    <x v="4"/>
    <x v="6"/>
    <x v="5"/>
    <x v="0"/>
    <x v="0"/>
    <x v="2"/>
    <x v="0"/>
    <n v="0"/>
    <n v="0"/>
    <n v="80.010000000000005"/>
    <n v="80.010000000000005"/>
    <n v="80.010000000000005"/>
    <n v="80.010000000000005"/>
    <n v="88"/>
    <x v="0"/>
    <n v="0"/>
    <n v="0"/>
    <n v="31"/>
    <n v="72"/>
    <n v="0"/>
    <n v="105.1"/>
    <n v="89.31"/>
    <m/>
    <n v="114.30345333487438"/>
    <n v="83.645659054702648"/>
    <n v="0"/>
    <n v="8409.0509999999995"/>
    <n v="7145.6931000000004"/>
    <n v="0"/>
    <n v="9145.4193013232998"/>
    <n v="6692.4891809667597"/>
  </r>
  <r>
    <s v="Regular"/>
    <x v="2"/>
    <x v="4"/>
    <x v="6"/>
    <x v="5"/>
    <x v="0"/>
    <x v="0"/>
    <x v="2"/>
    <x v="6"/>
    <n v="0"/>
    <n v="0"/>
    <n v="82.56"/>
    <n v="82.56"/>
    <n v="82.56"/>
    <n v="82.56"/>
    <n v="88"/>
    <x v="0"/>
    <n v="0"/>
    <n v="0"/>
    <n v="31"/>
    <n v="72"/>
    <n v="0"/>
    <n v="105.1"/>
    <n v="89.31"/>
    <m/>
    <n v="114.30345333487438"/>
    <n v="83.645659054702648"/>
    <n v="0"/>
    <n v="8677.0560000000005"/>
    <n v="7373.4336000000003"/>
    <n v="0"/>
    <n v="9436.8931073272288"/>
    <n v="6905.7856115562508"/>
  </r>
  <r>
    <s v="Regular"/>
    <x v="2"/>
    <x v="4"/>
    <x v="6"/>
    <x v="5"/>
    <x v="0"/>
    <x v="0"/>
    <x v="2"/>
    <x v="7"/>
    <n v="0"/>
    <n v="0"/>
    <n v="86.88"/>
    <n v="86.88"/>
    <n v="86.88"/>
    <n v="86.88"/>
    <n v="95"/>
    <x v="0"/>
    <n v="0"/>
    <n v="0"/>
    <n v="31"/>
    <n v="72"/>
    <n v="0"/>
    <n v="105.1"/>
    <n v="89.31"/>
    <m/>
    <n v="114.30345333487438"/>
    <n v="83.645659054702648"/>
    <n v="0"/>
    <n v="9131.0879999999997"/>
    <n v="7759.2528000000002"/>
    <n v="0"/>
    <n v="9930.6840257338845"/>
    <n v="7267.1348586725653"/>
  </r>
  <r>
    <s v="Regular"/>
    <x v="2"/>
    <x v="4"/>
    <x v="6"/>
    <x v="5"/>
    <x v="0"/>
    <x v="0"/>
    <x v="2"/>
    <x v="8"/>
    <n v="0"/>
    <n v="0"/>
    <n v="97.29"/>
    <n v="97.29"/>
    <n v="97.29"/>
    <n v="97.29"/>
    <n v="89"/>
    <x v="0"/>
    <n v="0"/>
    <n v="0"/>
    <n v="31"/>
    <n v="72"/>
    <n v="0"/>
    <n v="105.1"/>
    <n v="89.31"/>
    <m/>
    <n v="114.30345333487438"/>
    <n v="83.645659054702648"/>
    <n v="0"/>
    <n v="10225.179"/>
    <n v="8688.9699000000001"/>
    <n v="0"/>
    <n v="11120.582974949928"/>
    <n v="8137.8861694320212"/>
  </r>
  <r>
    <s v="Regular"/>
    <x v="2"/>
    <x v="4"/>
    <x v="6"/>
    <x v="5"/>
    <x v="0"/>
    <x v="0"/>
    <x v="2"/>
    <x v="9"/>
    <n v="0"/>
    <n v="0"/>
    <n v="105.64"/>
    <n v="105.64"/>
    <n v="105.64"/>
    <n v="105.64"/>
    <n v="104"/>
    <x v="0"/>
    <n v="0"/>
    <n v="0"/>
    <n v="31"/>
    <n v="72"/>
    <n v="0"/>
    <n v="105.1"/>
    <n v="89.31"/>
    <m/>
    <n v="114.30345333487438"/>
    <n v="83.645659054702648"/>
    <n v="0"/>
    <n v="11102.763999999999"/>
    <n v="9434.7083999999995"/>
    <n v="0"/>
    <n v="12075.016810296129"/>
    <n v="8836.3274225387886"/>
  </r>
  <r>
    <s v="Regular"/>
    <x v="2"/>
    <x v="4"/>
    <x v="6"/>
    <x v="5"/>
    <x v="0"/>
    <x v="0"/>
    <x v="2"/>
    <x v="1"/>
    <n v="0"/>
    <n v="0"/>
    <n v="101.1"/>
    <n v="101.1"/>
    <n v="101.1"/>
    <n v="101.1"/>
    <n v="100"/>
    <x v="0"/>
    <n v="0"/>
    <n v="0"/>
    <n v="31"/>
    <n v="72"/>
    <n v="0"/>
    <n v="105.1"/>
    <n v="89.31"/>
    <m/>
    <n v="114.30345333487438"/>
    <n v="83.645659054702648"/>
    <n v="0"/>
    <n v="10625.609999999999"/>
    <n v="9029.241"/>
    <n v="0"/>
    <n v="11556.079132155799"/>
    <n v="8456.5761304304378"/>
  </r>
  <r>
    <s v="Regular"/>
    <x v="2"/>
    <x v="4"/>
    <x v="6"/>
    <x v="5"/>
    <x v="0"/>
    <x v="0"/>
    <x v="2"/>
    <x v="2"/>
    <n v="0"/>
    <n v="0"/>
    <n v="101.28"/>
    <n v="101.28"/>
    <n v="101.28"/>
    <n v="101.28"/>
    <n v="97"/>
    <x v="0"/>
    <n v="0"/>
    <n v="0"/>
    <n v="31"/>
    <n v="72"/>
    <n v="0"/>
    <n v="105.1"/>
    <n v="89.31"/>
    <m/>
    <n v="114.30345333487438"/>
    <n v="83.645659054702648"/>
    <n v="0"/>
    <n v="10644.528"/>
    <n v="9045.3168000000005"/>
    <n v="0"/>
    <n v="11576.653753756076"/>
    <n v="8471.6323490602845"/>
  </r>
  <r>
    <s v="Sistema de Compensação"/>
    <x v="2"/>
    <x v="4"/>
    <x v="6"/>
    <x v="5"/>
    <x v="0"/>
    <x v="0"/>
    <x v="2"/>
    <x v="2"/>
    <n v="0"/>
    <n v="0"/>
    <n v="0.03"/>
    <n v="-6.7500000000000004E-2"/>
    <n v="0.03"/>
    <n v="-6.7500000000000004E-2"/>
    <n v="0"/>
    <x v="0"/>
    <n v="0"/>
    <n v="0"/>
    <n v="31"/>
    <n v="72"/>
    <n v="0"/>
    <n v="105.1"/>
    <n v="89.31"/>
    <m/>
    <n v="114.30345333487438"/>
    <n v="83.645659054702648"/>
    <n v="0"/>
    <n v="-7.0942499999999997"/>
    <n v="-6.0284250000000004"/>
    <n v="0"/>
    <n v="-7.7154831001040209"/>
    <n v="-5.6460819861924287"/>
  </r>
  <r>
    <s v="Regular"/>
    <x v="2"/>
    <x v="4"/>
    <x v="6"/>
    <x v="5"/>
    <x v="0"/>
    <x v="0"/>
    <x v="2"/>
    <x v="3"/>
    <n v="0"/>
    <n v="0"/>
    <n v="100.56"/>
    <n v="100.56"/>
    <n v="100.56"/>
    <n v="100.56"/>
    <n v="114"/>
    <x v="0"/>
    <n v="0"/>
    <n v="0"/>
    <n v="31"/>
    <n v="72"/>
    <n v="0"/>
    <n v="105.1"/>
    <n v="89.31"/>
    <m/>
    <n v="114.30345333487438"/>
    <n v="83.645659054702648"/>
    <n v="0"/>
    <n v="10568.856"/>
    <n v="8981.0136000000002"/>
    <n v="0"/>
    <n v="11494.355267354968"/>
    <n v="8411.407474540898"/>
  </r>
  <r>
    <s v="Regular"/>
    <x v="2"/>
    <x v="4"/>
    <x v="6"/>
    <x v="5"/>
    <x v="0"/>
    <x v="0"/>
    <x v="2"/>
    <x v="10"/>
    <n v="0"/>
    <n v="0"/>
    <n v="100.8"/>
    <n v="100.8"/>
    <n v="100.8"/>
    <n v="100.8"/>
    <n v="89"/>
    <x v="0"/>
    <n v="0"/>
    <n v="0"/>
    <n v="31"/>
    <n v="72"/>
    <n v="0"/>
    <n v="105.1"/>
    <n v="89.31"/>
    <m/>
    <n v="114.30345333487438"/>
    <n v="83.645659054702648"/>
    <n v="0"/>
    <n v="10594.08"/>
    <n v="9002.4480000000003"/>
    <n v="0"/>
    <n v="11521.788096155336"/>
    <n v="8431.4824327140268"/>
  </r>
  <r>
    <s v="Sistema de Compensação"/>
    <x v="2"/>
    <x v="4"/>
    <x v="6"/>
    <x v="5"/>
    <x v="0"/>
    <x v="0"/>
    <x v="2"/>
    <x v="10"/>
    <n v="0"/>
    <n v="0"/>
    <n v="0.03"/>
    <n v="0.03"/>
    <n v="0.03"/>
    <n v="0.03"/>
    <n v="0"/>
    <x v="0"/>
    <n v="0"/>
    <n v="0"/>
    <n v="31"/>
    <n v="72"/>
    <n v="0"/>
    <n v="105.1"/>
    <n v="89.31"/>
    <m/>
    <n v="114.30345333487438"/>
    <n v="83.645659054702648"/>
    <n v="0"/>
    <n v="3.1529999999999996"/>
    <n v="2.6793"/>
    <n v="0"/>
    <n v="3.4291036000462314"/>
    <n v="2.5093697716410794"/>
  </r>
  <r>
    <s v="PROJETADO"/>
    <x v="2"/>
    <x v="4"/>
    <x v="6"/>
    <x v="5"/>
    <x v="0"/>
    <x v="0"/>
    <x v="2"/>
    <x v="11"/>
    <n v="0"/>
    <n v="0"/>
    <n v="100.8"/>
    <n v="100.8"/>
    <n v="100.8"/>
    <n v="100.8"/>
    <n v="89"/>
    <x v="0"/>
    <n v="0"/>
    <n v="0"/>
    <n v="31"/>
    <n v="72"/>
    <n v="0"/>
    <n v="105.1"/>
    <n v="89.31"/>
    <m/>
    <n v="114.30345333487438"/>
    <n v="83.645659054702648"/>
    <n v="0"/>
    <n v="10594.08"/>
    <n v="9002.4480000000003"/>
    <n v="0"/>
    <n v="11521.788096155336"/>
    <n v="8431.4824327140268"/>
  </r>
  <r>
    <s v="PROJETADO"/>
    <x v="2"/>
    <x v="4"/>
    <x v="6"/>
    <x v="5"/>
    <x v="0"/>
    <x v="0"/>
    <x v="2"/>
    <x v="11"/>
    <n v="0"/>
    <n v="0"/>
    <n v="0.03"/>
    <n v="0.03"/>
    <n v="0.03"/>
    <n v="0.03"/>
    <n v="0"/>
    <x v="0"/>
    <n v="0"/>
    <n v="0"/>
    <n v="31"/>
    <n v="72"/>
    <n v="0"/>
    <n v="105.1"/>
    <n v="89.31"/>
    <m/>
    <n v="114.30345333487438"/>
    <n v="83.645659054702648"/>
    <n v="0"/>
    <n v="3.1529999999999996"/>
    <n v="2.6793"/>
    <n v="0"/>
    <n v="3.4291036000462314"/>
    <n v="2.5093697716410794"/>
  </r>
  <r>
    <s v="Regular"/>
    <x v="2"/>
    <x v="4"/>
    <x v="6"/>
    <x v="6"/>
    <x v="0"/>
    <x v="0"/>
    <x v="2"/>
    <x v="4"/>
    <n v="0"/>
    <n v="0"/>
    <n v="153.358"/>
    <n v="153.358"/>
    <n v="153.358"/>
    <n v="153.358"/>
    <n v="651"/>
    <x v="0"/>
    <n v="0"/>
    <n v="0"/>
    <n v="32"/>
    <n v="73"/>
    <n v="0"/>
    <n v="180.18"/>
    <n v="153.1"/>
    <m/>
    <n v="195.94877714549895"/>
    <n v="143.39255837949025"/>
    <n v="0"/>
    <n v="27632.044440000001"/>
    <n v="23479.109799999998"/>
    <n v="0"/>
    <n v="30050.312565479428"/>
    <n v="21990.395967961867"/>
  </r>
  <r>
    <s v="Regular"/>
    <x v="2"/>
    <x v="4"/>
    <x v="6"/>
    <x v="6"/>
    <x v="0"/>
    <x v="0"/>
    <x v="2"/>
    <x v="5"/>
    <n v="0"/>
    <n v="0"/>
    <n v="158.65600000000001"/>
    <n v="158.65600000000001"/>
    <n v="158.65600000000001"/>
    <n v="158.65600000000001"/>
    <n v="681"/>
    <x v="0"/>
    <n v="0"/>
    <n v="0"/>
    <n v="32"/>
    <n v="73"/>
    <n v="0"/>
    <n v="180.18"/>
    <n v="153.1"/>
    <m/>
    <n v="195.94877714549895"/>
    <n v="143.39255837949025"/>
    <n v="0"/>
    <n v="28586.638080000001"/>
    <n v="24290.2336"/>
    <n v="0"/>
    <n v="31088.449186796282"/>
    <n v="22750.089742256405"/>
  </r>
  <r>
    <s v="Regular"/>
    <x v="2"/>
    <x v="4"/>
    <x v="6"/>
    <x v="6"/>
    <x v="0"/>
    <x v="0"/>
    <x v="2"/>
    <x v="0"/>
    <n v="0"/>
    <n v="0"/>
    <n v="164.26400000000001"/>
    <n v="164.26400000000001"/>
    <n v="164.26400000000001"/>
    <n v="164.26400000000001"/>
    <n v="674"/>
    <x v="0"/>
    <n v="0"/>
    <n v="0"/>
    <n v="32"/>
    <n v="73"/>
    <n v="0"/>
    <n v="180.18"/>
    <n v="153.1"/>
    <m/>
    <n v="195.94877714549895"/>
    <n v="143.39255837949025"/>
    <n v="0"/>
    <n v="29597.087520000005"/>
    <n v="25148.8184"/>
    <n v="0"/>
    <n v="32187.329929028241"/>
    <n v="23554.235209648588"/>
  </r>
  <r>
    <s v="Regular"/>
    <x v="2"/>
    <x v="4"/>
    <x v="6"/>
    <x v="6"/>
    <x v="0"/>
    <x v="0"/>
    <x v="2"/>
    <x v="6"/>
    <n v="0"/>
    <n v="0"/>
    <n v="168.87899999999999"/>
    <n v="168.87899999999999"/>
    <n v="168.87899999999999"/>
    <n v="168.87899999999999"/>
    <n v="701"/>
    <x v="0"/>
    <n v="0"/>
    <n v="0"/>
    <n v="32"/>
    <n v="73"/>
    <n v="0"/>
    <n v="180.18"/>
    <n v="153.1"/>
    <m/>
    <n v="195.94877714549895"/>
    <n v="143.39255837949025"/>
    <n v="0"/>
    <n v="30428.61822"/>
    <n v="25855.374899999999"/>
    <n v="0"/>
    <n v="33091.633535554713"/>
    <n v="24215.991866569933"/>
  </r>
  <r>
    <s v="Regular"/>
    <x v="2"/>
    <x v="4"/>
    <x v="6"/>
    <x v="6"/>
    <x v="0"/>
    <x v="0"/>
    <x v="2"/>
    <x v="7"/>
    <n v="0"/>
    <n v="0"/>
    <n v="173.79900000000001"/>
    <n v="173.79900000000001"/>
    <n v="173.79900000000001"/>
    <n v="173.79900000000001"/>
    <n v="871"/>
    <x v="0"/>
    <n v="0"/>
    <n v="0"/>
    <n v="32"/>
    <n v="73"/>
    <n v="0"/>
    <n v="180.18"/>
    <n v="153.1"/>
    <m/>
    <n v="195.94877714549895"/>
    <n v="143.39255837949025"/>
    <n v="0"/>
    <n v="31315.103820000004"/>
    <n v="26608.626899999999"/>
    <n v="0"/>
    <n v="34055.701519110575"/>
    <n v="24921.483253797029"/>
  </r>
  <r>
    <s v="Regular"/>
    <x v="2"/>
    <x v="4"/>
    <x v="6"/>
    <x v="6"/>
    <x v="0"/>
    <x v="0"/>
    <x v="2"/>
    <x v="8"/>
    <n v="0"/>
    <n v="0"/>
    <n v="202.85900000000001"/>
    <n v="202.85900000000001"/>
    <n v="202.85900000000001"/>
    <n v="202.85900000000001"/>
    <n v="739"/>
    <x v="0"/>
    <n v="0"/>
    <n v="0"/>
    <n v="32"/>
    <n v="73"/>
    <n v="0"/>
    <n v="180.18"/>
    <n v="153.1"/>
    <m/>
    <n v="195.94877714549895"/>
    <n v="143.39255837949025"/>
    <n v="0"/>
    <n v="36551.134620000004"/>
    <n v="31057.712899999999"/>
    <n v="0"/>
    <n v="39749.972982958774"/>
    <n v="29088.471000305013"/>
  </r>
  <r>
    <s v="Regular"/>
    <x v="2"/>
    <x v="4"/>
    <x v="6"/>
    <x v="6"/>
    <x v="0"/>
    <x v="0"/>
    <x v="2"/>
    <x v="9"/>
    <n v="0"/>
    <n v="0"/>
    <n v="215.45599999999999"/>
    <n v="215.45599999999999"/>
    <n v="215.45599999999999"/>
    <n v="215.45599999999999"/>
    <n v="953"/>
    <x v="0"/>
    <n v="0"/>
    <n v="0"/>
    <n v="32"/>
    <n v="73"/>
    <n v="0"/>
    <n v="180.18"/>
    <n v="153.1"/>
    <m/>
    <n v="195.94877714549895"/>
    <n v="143.39255837949025"/>
    <n v="0"/>
    <n v="38820.862079999999"/>
    <n v="32986.313599999994"/>
    <n v="0"/>
    <n v="42218.33972866062"/>
    <n v="30894.787058211452"/>
  </r>
  <r>
    <s v="Regular"/>
    <x v="2"/>
    <x v="4"/>
    <x v="6"/>
    <x v="6"/>
    <x v="0"/>
    <x v="0"/>
    <x v="2"/>
    <x v="1"/>
    <n v="0"/>
    <n v="0"/>
    <n v="200.75899999999999"/>
    <n v="200.75899999999999"/>
    <n v="200.75899999999999"/>
    <n v="200.75899999999999"/>
    <n v="1051"/>
    <x v="0"/>
    <n v="0"/>
    <n v="0"/>
    <n v="32"/>
    <n v="73"/>
    <n v="0"/>
    <n v="180.18"/>
    <n v="153.1"/>
    <m/>
    <n v="195.94877714549895"/>
    <n v="143.39255837949025"/>
    <n v="0"/>
    <n v="36172.75662"/>
    <n v="30736.202899999997"/>
    <n v="0"/>
    <n v="39338.480550953223"/>
    <n v="28787.346627708081"/>
  </r>
  <r>
    <s v="Regular"/>
    <x v="2"/>
    <x v="4"/>
    <x v="6"/>
    <x v="6"/>
    <x v="0"/>
    <x v="0"/>
    <x v="2"/>
    <x v="2"/>
    <n v="0"/>
    <n v="0"/>
    <n v="204.48699999999999"/>
    <n v="204.48699999999999"/>
    <n v="204.48699999999999"/>
    <n v="204.48699999999999"/>
    <n v="950"/>
    <x v="0"/>
    <n v="0"/>
    <n v="0"/>
    <n v="32"/>
    <n v="73"/>
    <n v="0"/>
    <n v="180.18"/>
    <n v="153.1"/>
    <m/>
    <n v="195.94877714549895"/>
    <n v="143.39255837949025"/>
    <n v="0"/>
    <n v="36844.467660000002"/>
    <n v="31306.959699999999"/>
    <n v="0"/>
    <n v="40068.977592151641"/>
    <n v="29321.914085346823"/>
  </r>
  <r>
    <s v="Regular"/>
    <x v="2"/>
    <x v="4"/>
    <x v="6"/>
    <x v="6"/>
    <x v="0"/>
    <x v="0"/>
    <x v="2"/>
    <x v="3"/>
    <n v="0"/>
    <n v="0"/>
    <n v="199.404"/>
    <n v="199.404"/>
    <n v="199.404"/>
    <n v="199.404"/>
    <n v="1039"/>
    <x v="0"/>
    <n v="0"/>
    <n v="0"/>
    <n v="32"/>
    <n v="73"/>
    <n v="0"/>
    <n v="180.18"/>
    <n v="153.1"/>
    <m/>
    <n v="195.94877714549895"/>
    <n v="143.39255837949025"/>
    <n v="0"/>
    <n v="35928.612719999997"/>
    <n v="30528.752399999998"/>
    <n v="0"/>
    <n v="39072.969957921072"/>
    <n v="28593.049711103875"/>
  </r>
  <r>
    <s v="Regular"/>
    <x v="2"/>
    <x v="4"/>
    <x v="6"/>
    <x v="6"/>
    <x v="0"/>
    <x v="0"/>
    <x v="2"/>
    <x v="10"/>
    <n v="0"/>
    <n v="0"/>
    <n v="210.48099999999999"/>
    <n v="210.48099999999999"/>
    <n v="210.48099999999999"/>
    <n v="210.48099999999999"/>
    <n v="753"/>
    <x v="0"/>
    <n v="0"/>
    <n v="0"/>
    <n v="32"/>
    <n v="73"/>
    <n v="0"/>
    <n v="180.18"/>
    <n v="153.1"/>
    <m/>
    <n v="195.94877714549895"/>
    <n v="143.39255837949025"/>
    <n v="0"/>
    <n v="37924.46658"/>
    <n v="32224.641099999997"/>
    <n v="0"/>
    <n v="41243.49456236176"/>
    <n v="30181.409080273486"/>
  </r>
  <r>
    <s v="Sistema de Compensação"/>
    <x v="2"/>
    <x v="4"/>
    <x v="6"/>
    <x v="6"/>
    <x v="0"/>
    <x v="0"/>
    <x v="2"/>
    <x v="10"/>
    <n v="0"/>
    <n v="0"/>
    <n v="7.0000000000000007E-2"/>
    <n v="7.0000000000000007E-2"/>
    <n v="7.0000000000000007E-2"/>
    <n v="7.0000000000000007E-2"/>
    <n v="0"/>
    <x v="0"/>
    <n v="0"/>
    <n v="0"/>
    <n v="32"/>
    <n v="73"/>
    <n v="0"/>
    <n v="180.18"/>
    <n v="153.1"/>
    <m/>
    <n v="195.94877714549895"/>
    <n v="143.39255837949025"/>
    <n v="0"/>
    <n v="12.612600000000002"/>
    <n v="10.717000000000001"/>
    <n v="0"/>
    <n v="13.716414400184927"/>
    <n v="10.03747908656432"/>
  </r>
  <r>
    <s v="PROJETADO"/>
    <x v="2"/>
    <x v="4"/>
    <x v="6"/>
    <x v="6"/>
    <x v="0"/>
    <x v="0"/>
    <x v="2"/>
    <x v="11"/>
    <n v="0"/>
    <n v="0"/>
    <n v="210.48099999999999"/>
    <n v="210.48099999999999"/>
    <n v="210.48099999999999"/>
    <n v="210.48099999999999"/>
    <n v="753"/>
    <x v="0"/>
    <n v="0"/>
    <n v="0"/>
    <n v="32"/>
    <n v="73"/>
    <n v="0"/>
    <n v="180.18"/>
    <n v="153.1"/>
    <m/>
    <n v="195.94877714549895"/>
    <n v="143.39255837949025"/>
    <n v="0"/>
    <n v="37924.46658"/>
    <n v="32224.641099999997"/>
    <n v="0"/>
    <n v="41243.49456236176"/>
    <n v="30181.409080273486"/>
  </r>
  <r>
    <s v="PROJETADO"/>
    <x v="2"/>
    <x v="4"/>
    <x v="6"/>
    <x v="6"/>
    <x v="0"/>
    <x v="0"/>
    <x v="2"/>
    <x v="11"/>
    <n v="0"/>
    <n v="0"/>
    <n v="7.0000000000000007E-2"/>
    <n v="7.0000000000000007E-2"/>
    <n v="7.0000000000000007E-2"/>
    <n v="7.0000000000000007E-2"/>
    <n v="0"/>
    <x v="0"/>
    <n v="0"/>
    <n v="0"/>
    <n v="32"/>
    <n v="73"/>
    <n v="0"/>
    <n v="180.18"/>
    <n v="153.1"/>
    <m/>
    <n v="195.94877714549895"/>
    <n v="143.39255837949025"/>
    <n v="0"/>
    <n v="12.612600000000002"/>
    <n v="10.717000000000001"/>
    <n v="0"/>
    <n v="13.716414400184927"/>
    <n v="10.03747908656432"/>
  </r>
  <r>
    <s v="Regular"/>
    <x v="2"/>
    <x v="4"/>
    <x v="6"/>
    <x v="7"/>
    <x v="0"/>
    <x v="0"/>
    <x v="2"/>
    <x v="4"/>
    <n v="0"/>
    <n v="0"/>
    <n v="109.375"/>
    <n v="109.375"/>
    <n v="109.375"/>
    <n v="109.375"/>
    <n v="1473"/>
    <x v="0"/>
    <n v="0"/>
    <n v="0"/>
    <n v="33"/>
    <n v="74"/>
    <n v="0"/>
    <n v="270.27"/>
    <n v="229.65"/>
    <m/>
    <n v="293.92316571824841"/>
    <n v="215.08883756923538"/>
    <n v="0"/>
    <n v="29560.781249999996"/>
    <n v="25117.96875"/>
    <n v="0"/>
    <n v="32147.84625043342"/>
    <n v="23525.341609135121"/>
  </r>
  <r>
    <s v="Regular"/>
    <x v="2"/>
    <x v="4"/>
    <x v="6"/>
    <x v="7"/>
    <x v="0"/>
    <x v="0"/>
    <x v="2"/>
    <x v="5"/>
    <n v="0"/>
    <n v="0"/>
    <n v="109.339"/>
    <n v="109.339"/>
    <n v="109.339"/>
    <n v="109.339"/>
    <n v="1550"/>
    <x v="0"/>
    <n v="0"/>
    <n v="0"/>
    <n v="33"/>
    <n v="74"/>
    <n v="0"/>
    <n v="270.27"/>
    <n v="229.65"/>
    <m/>
    <n v="293.92316571824841"/>
    <n v="215.08883756923538"/>
    <n v="0"/>
    <n v="29551.051529999997"/>
    <n v="25109.701349999999"/>
    <n v="0"/>
    <n v="32137.265016467562"/>
    <n v="23517.598410982628"/>
  </r>
  <r>
    <s v="Regular"/>
    <x v="2"/>
    <x v="4"/>
    <x v="6"/>
    <x v="7"/>
    <x v="0"/>
    <x v="0"/>
    <x v="2"/>
    <x v="0"/>
    <n v="0"/>
    <n v="0"/>
    <n v="118.824"/>
    <n v="118.824"/>
    <n v="118.824"/>
    <n v="118.824"/>
    <n v="1563"/>
    <x v="0"/>
    <n v="0"/>
    <n v="0"/>
    <n v="33"/>
    <n v="74"/>
    <n v="0"/>
    <n v="270.27"/>
    <n v="229.65"/>
    <m/>
    <n v="293.92316571824841"/>
    <n v="215.08883756923538"/>
    <n v="0"/>
    <n v="32114.562479999997"/>
    <n v="27287.9316"/>
    <n v="0"/>
    <n v="34925.126243305152"/>
    <n v="25557.716035326823"/>
  </r>
  <r>
    <s v="Regular"/>
    <x v="2"/>
    <x v="4"/>
    <x v="6"/>
    <x v="7"/>
    <x v="0"/>
    <x v="0"/>
    <x v="2"/>
    <x v="6"/>
    <n v="0"/>
    <n v="0"/>
    <n v="119.429"/>
    <n v="119.429"/>
    <n v="119.429"/>
    <n v="119.429"/>
    <n v="1643"/>
    <x v="0"/>
    <n v="0"/>
    <n v="0"/>
    <n v="33"/>
    <n v="74"/>
    <n v="0"/>
    <n v="270.27"/>
    <n v="229.65"/>
    <m/>
    <n v="293.92316571824841"/>
    <n v="215.08883756923538"/>
    <n v="0"/>
    <n v="32278.075829999998"/>
    <n v="27426.869850000003"/>
    <n v="0"/>
    <n v="35102.94975856469"/>
    <n v="25687.844782056214"/>
  </r>
  <r>
    <s v="Regular"/>
    <x v="2"/>
    <x v="4"/>
    <x v="6"/>
    <x v="7"/>
    <x v="0"/>
    <x v="0"/>
    <x v="2"/>
    <x v="7"/>
    <n v="0"/>
    <n v="0"/>
    <n v="109.42"/>
    <n v="109.42"/>
    <n v="109.42"/>
    <n v="109.42"/>
    <n v="1674"/>
    <x v="0"/>
    <n v="0"/>
    <n v="0"/>
    <n v="33"/>
    <n v="74"/>
    <n v="0"/>
    <n v="270.27"/>
    <n v="229.65"/>
    <m/>
    <n v="293.92316571824841"/>
    <n v="215.08883756923538"/>
    <n v="0"/>
    <n v="29572.9434"/>
    <n v="25128.303"/>
    <n v="0"/>
    <n v="32161.072792890744"/>
    <n v="23535.020606825736"/>
  </r>
  <r>
    <s v="Regular"/>
    <x v="2"/>
    <x v="4"/>
    <x v="6"/>
    <x v="7"/>
    <x v="0"/>
    <x v="0"/>
    <x v="2"/>
    <x v="8"/>
    <n v="0"/>
    <n v="0"/>
    <n v="159.411"/>
    <n v="159.411"/>
    <n v="159.411"/>
    <n v="159.411"/>
    <n v="1893"/>
    <x v="0"/>
    <n v="0"/>
    <n v="0"/>
    <n v="33"/>
    <n v="74"/>
    <n v="0"/>
    <n v="270.27"/>
    <n v="229.65"/>
    <m/>
    <n v="293.92316571824841"/>
    <n v="215.08883756923538"/>
    <n v="0"/>
    <n v="43084.010969999996"/>
    <n v="36608.736150000004"/>
    <n v="0"/>
    <n v="46854.5857703117"/>
    <n v="34287.526685749384"/>
  </r>
  <r>
    <s v="Regular"/>
    <x v="2"/>
    <x v="4"/>
    <x v="6"/>
    <x v="7"/>
    <x v="0"/>
    <x v="0"/>
    <x v="2"/>
    <x v="9"/>
    <n v="0"/>
    <n v="0"/>
    <n v="151.39599999999999"/>
    <n v="151.39599999999999"/>
    <n v="151.39599999999999"/>
    <n v="151.39599999999999"/>
    <n v="2031"/>
    <x v="0"/>
    <n v="0"/>
    <n v="0"/>
    <n v="33"/>
    <n v="74"/>
    <n v="0"/>
    <n v="270.27"/>
    <n v="229.65"/>
    <m/>
    <n v="293.92316571824841"/>
    <n v="215.08883756923538"/>
    <n v="0"/>
    <n v="40917.796919999993"/>
    <n v="34768.091399999998"/>
    <n v="0"/>
    <n v="44498.791597079929"/>
    <n v="32563.589652631956"/>
  </r>
  <r>
    <s v="Regular"/>
    <x v="2"/>
    <x v="4"/>
    <x v="6"/>
    <x v="7"/>
    <x v="0"/>
    <x v="0"/>
    <x v="2"/>
    <x v="1"/>
    <n v="0"/>
    <n v="0"/>
    <n v="119.86199999999999"/>
    <n v="119.86199999999999"/>
    <n v="119.86199999999999"/>
    <n v="119.86199999999999"/>
    <n v="1966"/>
    <x v="0"/>
    <n v="0"/>
    <n v="0"/>
    <n v="33"/>
    <n v="74"/>
    <n v="0"/>
    <n v="270.27"/>
    <n v="229.65"/>
    <m/>
    <n v="293.92316571824841"/>
    <n v="215.08883756923538"/>
    <n v="0"/>
    <n v="32395.102739999995"/>
    <n v="27526.308300000001"/>
    <n v="0"/>
    <n v="35230.218489320687"/>
    <n v="25780.978248723692"/>
  </r>
  <r>
    <s v="Regular"/>
    <x v="2"/>
    <x v="4"/>
    <x v="6"/>
    <x v="7"/>
    <x v="0"/>
    <x v="0"/>
    <x v="2"/>
    <x v="2"/>
    <n v="0"/>
    <n v="0"/>
    <n v="138.29599999999999"/>
    <n v="138.29599999999999"/>
    <n v="138.29599999999999"/>
    <n v="138.29599999999999"/>
    <n v="1982"/>
    <x v="0"/>
    <n v="0"/>
    <n v="0"/>
    <n v="33"/>
    <n v="74"/>
    <n v="0"/>
    <n v="270.27"/>
    <n v="229.65"/>
    <m/>
    <n v="293.92316571824841"/>
    <n v="215.08883756923538"/>
    <n v="0"/>
    <n v="37377.259919999997"/>
    <n v="31759.6764"/>
    <n v="0"/>
    <n v="40648.398126170883"/>
    <n v="29745.925880474973"/>
  </r>
  <r>
    <s v="Regular"/>
    <x v="2"/>
    <x v="4"/>
    <x v="6"/>
    <x v="7"/>
    <x v="0"/>
    <x v="0"/>
    <x v="2"/>
    <x v="3"/>
    <n v="0"/>
    <n v="0"/>
    <n v="122.026"/>
    <n v="122.026"/>
    <n v="122.026"/>
    <n v="122.026"/>
    <n v="1935"/>
    <x v="0"/>
    <n v="0"/>
    <n v="0"/>
    <n v="33"/>
    <n v="74"/>
    <n v="0"/>
    <n v="270.27"/>
    <n v="229.65"/>
    <m/>
    <n v="293.92316571824841"/>
    <n v="215.08883756923538"/>
    <n v="0"/>
    <n v="32979.967019999996"/>
    <n v="28023.2709"/>
    <n v="0"/>
    <n v="35866.26821993498"/>
    <n v="26246.430493223517"/>
  </r>
  <r>
    <s v="Regular"/>
    <x v="2"/>
    <x v="4"/>
    <x v="6"/>
    <x v="7"/>
    <x v="0"/>
    <x v="0"/>
    <x v="2"/>
    <x v="10"/>
    <n v="0"/>
    <n v="0"/>
    <n v="166.53299999999999"/>
    <n v="166.53299999999999"/>
    <n v="166.53299999999999"/>
    <n v="166.53299999999999"/>
    <n v="1994"/>
    <x v="0"/>
    <n v="0"/>
    <n v="0"/>
    <n v="33"/>
    <n v="74"/>
    <n v="0"/>
    <n v="270.27"/>
    <n v="229.65"/>
    <m/>
    <n v="293.92316571824841"/>
    <n v="215.08883756923538"/>
    <n v="0"/>
    <n v="45008.873909999995"/>
    <n v="38244.303449999999"/>
    <n v="0"/>
    <n v="48947.906556557056"/>
    <n v="35819.389386917472"/>
  </r>
  <r>
    <s v="Sistema de Compensação"/>
    <x v="2"/>
    <x v="4"/>
    <x v="6"/>
    <x v="7"/>
    <x v="0"/>
    <x v="0"/>
    <x v="2"/>
    <x v="10"/>
    <n v="0"/>
    <n v="0"/>
    <n v="5.0000000000000001E-3"/>
    <n v="5.0000000000000001E-3"/>
    <n v="5.0000000000000001E-3"/>
    <n v="5.0000000000000001E-3"/>
    <n v="4"/>
    <x v="0"/>
    <n v="0"/>
    <n v="0"/>
    <n v="33"/>
    <n v="74"/>
    <n v="0"/>
    <n v="270.27"/>
    <n v="229.65"/>
    <m/>
    <n v="293.92316571824841"/>
    <n v="215.08883756923538"/>
    <n v="0"/>
    <n v="1.3513499999999998"/>
    <n v="1.14825"/>
    <n v="0"/>
    <n v="1.4696158285912422"/>
    <n v="1.0754441878461769"/>
  </r>
  <r>
    <s v="PROJETADO"/>
    <x v="2"/>
    <x v="4"/>
    <x v="6"/>
    <x v="7"/>
    <x v="0"/>
    <x v="0"/>
    <x v="2"/>
    <x v="11"/>
    <n v="0"/>
    <n v="0"/>
    <n v="166.53299999999999"/>
    <n v="166.53299999999999"/>
    <n v="166.53299999999999"/>
    <n v="166.53299999999999"/>
    <n v="1994"/>
    <x v="0"/>
    <n v="0"/>
    <n v="0"/>
    <n v="33"/>
    <n v="74"/>
    <n v="0"/>
    <n v="270.27"/>
    <n v="229.65"/>
    <m/>
    <n v="293.92316571824841"/>
    <n v="215.08883756923538"/>
    <n v="0"/>
    <n v="45008.873909999995"/>
    <n v="38244.303449999999"/>
    <n v="0"/>
    <n v="48947.906556557056"/>
    <n v="35819.389386917472"/>
  </r>
  <r>
    <s v="PROJETADO"/>
    <x v="2"/>
    <x v="4"/>
    <x v="6"/>
    <x v="7"/>
    <x v="0"/>
    <x v="0"/>
    <x v="2"/>
    <x v="11"/>
    <n v="0"/>
    <n v="0"/>
    <n v="5.0000000000000001E-3"/>
    <n v="5.0000000000000001E-3"/>
    <n v="5.0000000000000001E-3"/>
    <n v="5.0000000000000001E-3"/>
    <n v="4"/>
    <x v="0"/>
    <n v="0"/>
    <n v="0"/>
    <n v="33"/>
    <n v="74"/>
    <n v="0"/>
    <n v="270.27"/>
    <n v="229.65"/>
    <m/>
    <n v="293.92316571824841"/>
    <n v="215.08883756923538"/>
    <n v="0"/>
    <n v="1.3513499999999998"/>
    <n v="1.14825"/>
    <n v="0"/>
    <n v="1.4696158285912422"/>
    <n v="1.0754441878461769"/>
  </r>
  <r>
    <s v="Regular"/>
    <x v="2"/>
    <x v="4"/>
    <x v="6"/>
    <x v="8"/>
    <x v="0"/>
    <x v="0"/>
    <x v="2"/>
    <x v="4"/>
    <n v="0"/>
    <n v="0"/>
    <n v="18.216000000000001"/>
    <n v="18.216000000000001"/>
    <n v="18.216000000000001"/>
    <n v="18.216000000000001"/>
    <n v="297"/>
    <x v="0"/>
    <n v="0"/>
    <n v="0"/>
    <n v="34"/>
    <n v="75"/>
    <n v="0"/>
    <n v="300.3"/>
    <n v="255.17"/>
    <m/>
    <n v="326.58129524249824"/>
    <n v="238.98759729915042"/>
    <n v="0"/>
    <n v="5470.2648000000008"/>
    <n v="4648.1767200000004"/>
    <n v="0"/>
    <n v="5949.0048741373485"/>
    <n v="4353.3980724013245"/>
  </r>
  <r>
    <s v="Regular"/>
    <x v="2"/>
    <x v="4"/>
    <x v="6"/>
    <x v="8"/>
    <x v="0"/>
    <x v="0"/>
    <x v="2"/>
    <x v="5"/>
    <n v="0"/>
    <n v="0"/>
    <n v="17.201000000000001"/>
    <n v="17.201000000000001"/>
    <n v="17.201000000000001"/>
    <n v="17.201000000000001"/>
    <n v="280"/>
    <x v="0"/>
    <n v="0"/>
    <n v="0"/>
    <n v="34"/>
    <n v="75"/>
    <n v="0"/>
    <n v="300.3"/>
    <n v="255.17"/>
    <m/>
    <n v="326.58129524249824"/>
    <n v="238.98759729915042"/>
    <n v="0"/>
    <n v="5165.4603000000006"/>
    <n v="4389.1791700000003"/>
    <n v="0"/>
    <n v="5617.5248594662125"/>
    <n v="4110.8256611426868"/>
  </r>
  <r>
    <s v="Regular"/>
    <x v="2"/>
    <x v="4"/>
    <x v="6"/>
    <x v="8"/>
    <x v="0"/>
    <x v="0"/>
    <x v="2"/>
    <x v="0"/>
    <n v="0"/>
    <n v="0"/>
    <n v="19.754999999999999"/>
    <n v="19.754999999999999"/>
    <n v="19.754999999999999"/>
    <n v="19.754999999999999"/>
    <n v="342"/>
    <x v="0"/>
    <n v="0"/>
    <n v="0"/>
    <n v="34"/>
    <n v="75"/>
    <n v="0"/>
    <n v="300.3"/>
    <n v="255.17"/>
    <m/>
    <n v="326.58129524249824"/>
    <n v="238.98759729915042"/>
    <n v="0"/>
    <n v="5932.4264999999996"/>
    <n v="5040.8833499999992"/>
    <n v="0"/>
    <n v="6451.6134875155522"/>
    <n v="4721.1999846447161"/>
  </r>
  <r>
    <s v="Regular"/>
    <x v="2"/>
    <x v="4"/>
    <x v="6"/>
    <x v="8"/>
    <x v="0"/>
    <x v="0"/>
    <x v="2"/>
    <x v="6"/>
    <n v="0"/>
    <n v="0"/>
    <n v="20.62"/>
    <n v="20.62"/>
    <n v="20.62"/>
    <n v="20.62"/>
    <n v="320"/>
    <x v="0"/>
    <n v="0"/>
    <n v="0"/>
    <n v="34"/>
    <n v="75"/>
    <n v="0"/>
    <n v="300.3"/>
    <n v="255.17"/>
    <m/>
    <n v="326.58129524249824"/>
    <n v="238.98759729915042"/>
    <n v="0"/>
    <n v="6192.1860000000006"/>
    <n v="5261.6054000000004"/>
    <n v="0"/>
    <n v="6734.1063079003143"/>
    <n v="4927.9242563084817"/>
  </r>
  <r>
    <s v="Regular"/>
    <x v="2"/>
    <x v="4"/>
    <x v="6"/>
    <x v="8"/>
    <x v="0"/>
    <x v="0"/>
    <x v="2"/>
    <x v="7"/>
    <n v="0"/>
    <n v="0"/>
    <n v="15.47"/>
    <n v="15.47"/>
    <n v="15.47"/>
    <n v="15.47"/>
    <n v="256"/>
    <x v="0"/>
    <n v="0"/>
    <n v="0"/>
    <n v="34"/>
    <n v="75"/>
    <n v="0"/>
    <n v="300.3"/>
    <n v="255.17"/>
    <m/>
    <n v="326.58129524249824"/>
    <n v="238.98759729915042"/>
    <n v="0"/>
    <n v="4645.6410000000005"/>
    <n v="3947.4798999999998"/>
    <n v="0"/>
    <n v="5052.2126374014479"/>
    <n v="3697.138130217857"/>
  </r>
  <r>
    <s v="Regular"/>
    <x v="2"/>
    <x v="4"/>
    <x v="6"/>
    <x v="8"/>
    <x v="0"/>
    <x v="0"/>
    <x v="2"/>
    <x v="8"/>
    <n v="0"/>
    <n v="0"/>
    <n v="38.283999999999999"/>
    <n v="38.283999999999999"/>
    <n v="38.283999999999999"/>
    <n v="38.283999999999999"/>
    <n v="522"/>
    <x v="0"/>
    <n v="0"/>
    <n v="0"/>
    <n v="34"/>
    <n v="75"/>
    <n v="0"/>
    <n v="300.3"/>
    <n v="255.17"/>
    <m/>
    <n v="326.58129524249824"/>
    <n v="238.98759729915042"/>
    <n v="0"/>
    <n v="11496.6852"/>
    <n v="9768.9282800000001"/>
    <n v="0"/>
    <n v="12502.838307063803"/>
    <n v="9149.4011750006739"/>
  </r>
  <r>
    <s v="Regular"/>
    <x v="2"/>
    <x v="4"/>
    <x v="6"/>
    <x v="8"/>
    <x v="0"/>
    <x v="0"/>
    <x v="2"/>
    <x v="9"/>
    <n v="0"/>
    <n v="0"/>
    <n v="30.593"/>
    <n v="30.593"/>
    <n v="30.593"/>
    <n v="30.593"/>
    <n v="432"/>
    <x v="0"/>
    <n v="0"/>
    <n v="0"/>
    <n v="34"/>
    <n v="75"/>
    <n v="0"/>
    <n v="300.3"/>
    <n v="255.17"/>
    <m/>
    <n v="326.58129524249824"/>
    <n v="238.98759729915042"/>
    <n v="0"/>
    <n v="9187.0779000000002"/>
    <n v="7806.4158099999995"/>
    <n v="0"/>
    <n v="9991.1015653537488"/>
    <n v="7311.3475641729092"/>
  </r>
  <r>
    <s v="Regular"/>
    <x v="2"/>
    <x v="4"/>
    <x v="6"/>
    <x v="8"/>
    <x v="0"/>
    <x v="0"/>
    <x v="2"/>
    <x v="1"/>
    <n v="0"/>
    <n v="0"/>
    <n v="15.170999999999999"/>
    <n v="15.170999999999999"/>
    <n v="15.170999999999999"/>
    <n v="15.170999999999999"/>
    <n v="253"/>
    <x v="0"/>
    <n v="0"/>
    <n v="0"/>
    <n v="34"/>
    <n v="75"/>
    <n v="0"/>
    <n v="300.3"/>
    <n v="255.17"/>
    <m/>
    <n v="326.58129524249824"/>
    <n v="238.98759729915042"/>
    <n v="0"/>
    <n v="4555.8513000000003"/>
    <n v="3871.1840699999998"/>
    <n v="0"/>
    <n v="4954.5648301239407"/>
    <n v="3625.6808386254111"/>
  </r>
  <r>
    <s v="Regular"/>
    <x v="2"/>
    <x v="4"/>
    <x v="6"/>
    <x v="8"/>
    <x v="0"/>
    <x v="0"/>
    <x v="2"/>
    <x v="2"/>
    <n v="0"/>
    <n v="0"/>
    <n v="20.350999999999999"/>
    <n v="20.350999999999999"/>
    <n v="20.350999999999999"/>
    <n v="20.350999999999999"/>
    <n v="347"/>
    <x v="0"/>
    <n v="0"/>
    <n v="0"/>
    <n v="34"/>
    <n v="75"/>
    <n v="0"/>
    <n v="300.3"/>
    <n v="255.17"/>
    <m/>
    <n v="326.58129524249824"/>
    <n v="238.98759729915042"/>
    <n v="0"/>
    <n v="6111.4053000000004"/>
    <n v="5192.9646699999994"/>
    <n v="0"/>
    <n v="6646.255939480081"/>
    <n v="4863.6365926350099"/>
  </r>
  <r>
    <s v="Regular"/>
    <x v="2"/>
    <x v="4"/>
    <x v="6"/>
    <x v="8"/>
    <x v="0"/>
    <x v="0"/>
    <x v="2"/>
    <x v="3"/>
    <n v="0"/>
    <n v="0"/>
    <n v="15.516"/>
    <n v="15.516"/>
    <n v="15.516"/>
    <n v="15.516"/>
    <n v="264"/>
    <x v="0"/>
    <n v="0"/>
    <n v="0"/>
    <n v="34"/>
    <n v="75"/>
    <n v="0"/>
    <n v="300.3"/>
    <n v="255.17"/>
    <m/>
    <n v="326.58129524249824"/>
    <n v="238.98759729915042"/>
    <n v="0"/>
    <n v="4659.4548000000004"/>
    <n v="3959.2177199999996"/>
    <n v="0"/>
    <n v="5067.2353769826032"/>
    <n v="3708.1315596936179"/>
  </r>
  <r>
    <s v="Regular"/>
    <x v="2"/>
    <x v="4"/>
    <x v="6"/>
    <x v="8"/>
    <x v="0"/>
    <x v="0"/>
    <x v="2"/>
    <x v="10"/>
    <n v="0"/>
    <n v="0"/>
    <n v="36.475000000000001"/>
    <n v="36.475000000000001"/>
    <n v="36.475000000000001"/>
    <n v="36.475000000000001"/>
    <n v="524"/>
    <x v="0"/>
    <n v="0"/>
    <n v="0"/>
    <n v="34"/>
    <n v="75"/>
    <n v="0"/>
    <n v="300.3"/>
    <n v="255.17"/>
    <m/>
    <n v="326.58129524249824"/>
    <n v="238.98759729915042"/>
    <n v="0"/>
    <n v="10953.442500000001"/>
    <n v="9307.32575"/>
    <n v="0"/>
    <n v="11912.052743970124"/>
    <n v="8717.072611486512"/>
  </r>
  <r>
    <s v="PROJETADO"/>
    <x v="2"/>
    <x v="4"/>
    <x v="6"/>
    <x v="8"/>
    <x v="0"/>
    <x v="0"/>
    <x v="2"/>
    <x v="11"/>
    <n v="0"/>
    <n v="0"/>
    <n v="36.475000000000001"/>
    <n v="36.475000000000001"/>
    <n v="36.475000000000001"/>
    <n v="36.475000000000001"/>
    <n v="524"/>
    <x v="0"/>
    <n v="0"/>
    <n v="0"/>
    <n v="34"/>
    <n v="75"/>
    <n v="0"/>
    <n v="300.3"/>
    <n v="255.17"/>
    <m/>
    <n v="326.58129524249824"/>
    <n v="238.98759729915042"/>
    <n v="0"/>
    <n v="10953.442500000001"/>
    <n v="9307.32575"/>
    <n v="0"/>
    <n v="11912.052743970124"/>
    <n v="8717.072611486512"/>
  </r>
  <r>
    <s v="Regular"/>
    <x v="3"/>
    <x v="4"/>
    <x v="1"/>
    <x v="1"/>
    <x v="3"/>
    <x v="0"/>
    <x v="2"/>
    <x v="4"/>
    <n v="0"/>
    <n v="0"/>
    <n v="20.692"/>
    <n v="20.692"/>
    <n v="20.692"/>
    <n v="20.692"/>
    <n v="0"/>
    <x v="0"/>
    <n v="0"/>
    <n v="0"/>
    <n v="43"/>
    <n v="84"/>
    <n v="0"/>
    <n v="334.07"/>
    <n v="224.55"/>
    <m/>
    <n v="453.79812567521839"/>
    <n v="224.6483414612014"/>
    <n v="0"/>
    <n v="6912.5764399999998"/>
    <n v="4646.3886000000002"/>
    <n v="0"/>
    <n v="9389.9908164716198"/>
    <n v="4648.4234815151794"/>
  </r>
  <r>
    <s v="Regular"/>
    <x v="3"/>
    <x v="4"/>
    <x v="1"/>
    <x v="1"/>
    <x v="3"/>
    <x v="0"/>
    <x v="2"/>
    <x v="5"/>
    <n v="0"/>
    <n v="0"/>
    <n v="6.3330000000000002"/>
    <n v="6.3330000000000002"/>
    <n v="6.3330000000000002"/>
    <n v="6.3330000000000002"/>
    <n v="0"/>
    <x v="0"/>
    <n v="0"/>
    <n v="0"/>
    <n v="43"/>
    <n v="84"/>
    <n v="0"/>
    <n v="334.07"/>
    <n v="224.55"/>
    <m/>
    <n v="453.79812567521839"/>
    <n v="224.6483414612014"/>
    <n v="0"/>
    <n v="2115.6653099999999"/>
    <n v="1422.0751500000001"/>
    <n v="0"/>
    <n v="2873.903529901158"/>
    <n v="1422.6979464737885"/>
  </r>
  <r>
    <s v="Regular"/>
    <x v="3"/>
    <x v="4"/>
    <x v="1"/>
    <x v="1"/>
    <x v="3"/>
    <x v="0"/>
    <x v="2"/>
    <x v="0"/>
    <n v="0"/>
    <n v="0"/>
    <n v="3.2189999999999999"/>
    <n v="3.2189999999999999"/>
    <n v="3.2189999999999999"/>
    <n v="3.2189999999999999"/>
    <n v="0"/>
    <x v="0"/>
    <n v="0"/>
    <n v="0"/>
    <n v="43"/>
    <n v="84"/>
    <n v="0"/>
    <n v="334.07"/>
    <n v="224.55"/>
    <m/>
    <n v="453.79812567521839"/>
    <n v="224.6483414612014"/>
    <n v="0"/>
    <n v="1075.3713299999999"/>
    <n v="722.82645000000002"/>
    <n v="0"/>
    <n v="1460.776166548528"/>
    <n v="723.1430111636073"/>
  </r>
  <r>
    <s v="Regular"/>
    <x v="3"/>
    <x v="4"/>
    <x v="1"/>
    <x v="1"/>
    <x v="3"/>
    <x v="0"/>
    <x v="2"/>
    <x v="6"/>
    <n v="0"/>
    <n v="0"/>
    <n v="7.2119999999999997"/>
    <n v="7.2119999999999997"/>
    <n v="7.2119999999999997"/>
    <n v="7.2119999999999997"/>
    <n v="0"/>
    <x v="0"/>
    <n v="0"/>
    <n v="0"/>
    <n v="43"/>
    <n v="84"/>
    <n v="0"/>
    <n v="334.07"/>
    <n v="224.55"/>
    <m/>
    <n v="453.79812567521839"/>
    <n v="224.6483414612014"/>
    <n v="0"/>
    <n v="2409.3128400000001"/>
    <n v="1619.4546"/>
    <n v="0"/>
    <n v="3272.792082369675"/>
    <n v="1620.1638386181844"/>
  </r>
  <r>
    <s v="Regular"/>
    <x v="3"/>
    <x v="4"/>
    <x v="1"/>
    <x v="1"/>
    <x v="3"/>
    <x v="0"/>
    <x v="2"/>
    <x v="7"/>
    <n v="0"/>
    <n v="0"/>
    <n v="16.541"/>
    <n v="16.541"/>
    <n v="16.541"/>
    <n v="16.541"/>
    <n v="0"/>
    <x v="0"/>
    <n v="0"/>
    <n v="0"/>
    <n v="43"/>
    <n v="84"/>
    <n v="0"/>
    <n v="334.07"/>
    <n v="224.55"/>
    <m/>
    <n v="453.79812567521839"/>
    <n v="224.6483414612014"/>
    <n v="0"/>
    <n v="5525.8518700000004"/>
    <n v="3714.2815500000002"/>
    <n v="0"/>
    <n v="7506.2747967937876"/>
    <n v="3715.9082161097326"/>
  </r>
  <r>
    <s v="Regular"/>
    <x v="3"/>
    <x v="4"/>
    <x v="1"/>
    <x v="1"/>
    <x v="3"/>
    <x v="0"/>
    <x v="2"/>
    <x v="8"/>
    <n v="0"/>
    <n v="0"/>
    <n v="78.981999999999999"/>
    <n v="78.981999999999999"/>
    <n v="78.981999999999999"/>
    <n v="78.981999999999999"/>
    <n v="0"/>
    <x v="0"/>
    <n v="0"/>
    <n v="0"/>
    <n v="43"/>
    <n v="84"/>
    <n v="0"/>
    <n v="334.07"/>
    <n v="224.55"/>
    <m/>
    <n v="453.79812567521839"/>
    <n v="224.6483414612014"/>
    <n v="0"/>
    <n v="26385.516739999999"/>
    <n v="17735.408100000001"/>
    <n v="0"/>
    <n v="35841.883562080096"/>
    <n v="17743.175305288609"/>
  </r>
  <r>
    <s v="Regular"/>
    <x v="3"/>
    <x v="4"/>
    <x v="1"/>
    <x v="1"/>
    <x v="3"/>
    <x v="0"/>
    <x v="2"/>
    <x v="9"/>
    <n v="0"/>
    <n v="0"/>
    <n v="107.337"/>
    <n v="107.337"/>
    <n v="107.337"/>
    <n v="107.337"/>
    <n v="0"/>
    <x v="0"/>
    <n v="0"/>
    <n v="0"/>
    <n v="43"/>
    <n v="84"/>
    <n v="0"/>
    <n v="334.07"/>
    <n v="224.55"/>
    <m/>
    <n v="453.79812567521839"/>
    <n v="224.6483414612014"/>
    <n v="0"/>
    <n v="35858.07159"/>
    <n v="24102.523350000003"/>
    <n v="0"/>
    <n v="48709.329415600914"/>
    <n v="24113.079027420976"/>
  </r>
  <r>
    <s v="Regular"/>
    <x v="3"/>
    <x v="4"/>
    <x v="1"/>
    <x v="1"/>
    <x v="3"/>
    <x v="0"/>
    <x v="2"/>
    <x v="1"/>
    <n v="0"/>
    <n v="0"/>
    <n v="101.113"/>
    <n v="101.113"/>
    <n v="101.113"/>
    <n v="101.113"/>
    <n v="0"/>
    <x v="0"/>
    <n v="0"/>
    <n v="0"/>
    <n v="43"/>
    <n v="84"/>
    <n v="0"/>
    <n v="334.07"/>
    <n v="224.55"/>
    <m/>
    <n v="453.79812567521839"/>
    <n v="224.6483414612014"/>
    <n v="0"/>
    <n v="33778.819909999998"/>
    <n v="22704.924150000003"/>
    <n v="0"/>
    <n v="45884.889881398354"/>
    <n v="22714.867750166457"/>
  </r>
  <r>
    <s v="Regular"/>
    <x v="3"/>
    <x v="4"/>
    <x v="1"/>
    <x v="1"/>
    <x v="3"/>
    <x v="0"/>
    <x v="2"/>
    <x v="2"/>
    <n v="0"/>
    <n v="0"/>
    <n v="103.361"/>
    <n v="103.361"/>
    <n v="103.361"/>
    <n v="103.361"/>
    <n v="0"/>
    <x v="0"/>
    <n v="0"/>
    <n v="0"/>
    <n v="43"/>
    <n v="84"/>
    <n v="0"/>
    <n v="334.07"/>
    <n v="224.55"/>
    <m/>
    <n v="453.79812567521839"/>
    <n v="224.6483414612014"/>
    <n v="0"/>
    <n v="34529.809269999998"/>
    <n v="23209.712550000004"/>
    <n v="0"/>
    <n v="46905.028067916246"/>
    <n v="23219.877221771239"/>
  </r>
  <r>
    <s v="Regular"/>
    <x v="3"/>
    <x v="4"/>
    <x v="1"/>
    <x v="1"/>
    <x v="3"/>
    <x v="0"/>
    <x v="2"/>
    <x v="3"/>
    <n v="0"/>
    <n v="0"/>
    <n v="103.392"/>
    <n v="103.392"/>
    <n v="103.392"/>
    <n v="103.392"/>
    <n v="0"/>
    <x v="0"/>
    <n v="0"/>
    <n v="0"/>
    <n v="43"/>
    <n v="84"/>
    <n v="0"/>
    <n v="334.07"/>
    <n v="224.55"/>
    <m/>
    <n v="453.79812567521839"/>
    <n v="224.6483414612014"/>
    <n v="0"/>
    <n v="34540.165439999997"/>
    <n v="23216.673600000002"/>
    <n v="0"/>
    <n v="46919.095809812177"/>
    <n v="23226.841320356532"/>
  </r>
  <r>
    <s v="Sistema de Compensação"/>
    <x v="3"/>
    <x v="4"/>
    <x v="1"/>
    <x v="1"/>
    <x v="3"/>
    <x v="0"/>
    <x v="2"/>
    <x v="3"/>
    <n v="0"/>
    <n v="0"/>
    <n v="27.16"/>
    <n v="27.16"/>
    <n v="27.16"/>
    <n v="27.16"/>
    <n v="0"/>
    <x v="0"/>
    <n v="0"/>
    <n v="0"/>
    <n v="43"/>
    <n v="84"/>
    <n v="0"/>
    <n v="334.07"/>
    <n v="224.55"/>
    <m/>
    <n v="453.79812567521839"/>
    <n v="224.6483414612014"/>
    <n v="0"/>
    <n v="9073.3412000000008"/>
    <n v="6098.7780000000002"/>
    <n v="0"/>
    <n v="12325.157093338932"/>
    <n v="6101.4489540862296"/>
  </r>
  <r>
    <s v="Regular"/>
    <x v="3"/>
    <x v="4"/>
    <x v="1"/>
    <x v="1"/>
    <x v="3"/>
    <x v="0"/>
    <x v="2"/>
    <x v="10"/>
    <n v="0"/>
    <n v="0"/>
    <n v="130.322"/>
    <n v="130.322"/>
    <n v="130.322"/>
    <n v="130.322"/>
    <n v="0"/>
    <x v="0"/>
    <n v="0"/>
    <n v="0"/>
    <n v="43"/>
    <n v="84"/>
    <n v="0"/>
    <n v="334.07"/>
    <n v="224.55"/>
    <m/>
    <n v="453.79812567521839"/>
    <n v="224.6483414612014"/>
    <n v="0"/>
    <n v="43536.670539999999"/>
    <n v="29263.805100000001"/>
    <n v="0"/>
    <n v="59139.879334245808"/>
    <n v="29276.621155906691"/>
  </r>
  <r>
    <s v="Sistema de Compensação"/>
    <x v="3"/>
    <x v="4"/>
    <x v="1"/>
    <x v="1"/>
    <x v="3"/>
    <x v="0"/>
    <x v="2"/>
    <x v="10"/>
    <n v="0"/>
    <n v="0"/>
    <n v="7.8"/>
    <n v="7.8"/>
    <n v="7.8"/>
    <n v="7.8"/>
    <n v="0"/>
    <x v="0"/>
    <n v="0"/>
    <n v="0"/>
    <n v="43"/>
    <n v="84"/>
    <n v="0"/>
    <n v="334.07"/>
    <n v="224.55"/>
    <m/>
    <n v="453.79812567521839"/>
    <n v="224.6483414612014"/>
    <n v="0"/>
    <n v="2605.7460000000001"/>
    <n v="1751.49"/>
    <n v="0"/>
    <n v="3539.6253802667034"/>
    <n v="1752.2570633973708"/>
  </r>
  <r>
    <s v="PROJETADO"/>
    <x v="3"/>
    <x v="4"/>
    <x v="1"/>
    <x v="1"/>
    <x v="3"/>
    <x v="0"/>
    <x v="2"/>
    <x v="11"/>
    <n v="0"/>
    <n v="0"/>
    <n v="130.322"/>
    <n v="130.322"/>
    <n v="130.322"/>
    <n v="130.322"/>
    <n v="0"/>
    <x v="0"/>
    <n v="0"/>
    <n v="0"/>
    <n v="43"/>
    <n v="84"/>
    <n v="0"/>
    <n v="334.07"/>
    <n v="224.55"/>
    <m/>
    <n v="453.79812567521839"/>
    <n v="224.6483414612014"/>
    <n v="0"/>
    <n v="43536.670539999999"/>
    <n v="29263.805100000001"/>
    <n v="0"/>
    <n v="59139.879334245808"/>
    <n v="29276.621155906691"/>
  </r>
  <r>
    <s v="PROJETADO"/>
    <x v="3"/>
    <x v="4"/>
    <x v="1"/>
    <x v="1"/>
    <x v="3"/>
    <x v="0"/>
    <x v="2"/>
    <x v="11"/>
    <n v="0"/>
    <n v="0"/>
    <n v="7.8"/>
    <n v="7.8"/>
    <n v="7.8"/>
    <n v="7.8"/>
    <n v="0"/>
    <x v="0"/>
    <n v="0"/>
    <n v="0"/>
    <n v="43"/>
    <n v="84"/>
    <n v="0"/>
    <n v="334.07"/>
    <n v="224.55"/>
    <m/>
    <n v="453.79812567521839"/>
    <n v="224.6483414612014"/>
    <n v="0"/>
    <n v="2605.7460000000001"/>
    <n v="1751.49"/>
    <n v="0"/>
    <n v="3539.6253802667034"/>
    <n v="1752.2570633973708"/>
  </r>
  <r>
    <s v="Regular"/>
    <x v="3"/>
    <x v="4"/>
    <x v="1"/>
    <x v="1"/>
    <x v="1"/>
    <x v="0"/>
    <x v="2"/>
    <x v="4"/>
    <n v="0"/>
    <n v="0"/>
    <n v="17.97"/>
    <n v="5.9301000000000004"/>
    <n v="17.97"/>
    <n v="5.9301000000000004"/>
    <n v="0"/>
    <x v="0"/>
    <n v="0"/>
    <n v="0"/>
    <n v="43"/>
    <n v="84"/>
    <n v="0"/>
    <n v="334.07"/>
    <n v="224.55"/>
    <m/>
    <n v="453.79812567521839"/>
    <n v="224.6483414612014"/>
    <n v="0"/>
    <n v="1981.0685070000002"/>
    <n v="1331.603955"/>
    <n v="0"/>
    <n v="2691.0682650666126"/>
    <n v="1332.1871296990705"/>
  </r>
  <r>
    <s v="Regular"/>
    <x v="3"/>
    <x v="4"/>
    <x v="1"/>
    <x v="1"/>
    <x v="1"/>
    <x v="0"/>
    <x v="2"/>
    <x v="5"/>
    <n v="0"/>
    <n v="0"/>
    <n v="6.3819999999999997"/>
    <n v="2.1060599999999998"/>
    <n v="6.3819999999999997"/>
    <n v="2.1060599999999998"/>
    <n v="0"/>
    <x v="0"/>
    <n v="0"/>
    <n v="0"/>
    <n v="43"/>
    <n v="84"/>
    <n v="0"/>
    <n v="334.07"/>
    <n v="224.55"/>
    <m/>
    <n v="453.79812567521839"/>
    <n v="224.6483414612014"/>
    <n v="0"/>
    <n v="703.57146419999992"/>
    <n v="472.915773"/>
    <n v="0"/>
    <n v="955.72608055955038"/>
    <n v="473.12288601777777"/>
  </r>
  <r>
    <s v="Regular"/>
    <x v="3"/>
    <x v="4"/>
    <x v="1"/>
    <x v="1"/>
    <x v="1"/>
    <x v="0"/>
    <x v="2"/>
    <x v="0"/>
    <n v="0"/>
    <n v="0"/>
    <n v="0.55400000000000005"/>
    <n v="0.18282000000000001"/>
    <n v="0.55400000000000005"/>
    <n v="0.18282000000000001"/>
    <n v="0"/>
    <x v="0"/>
    <n v="0"/>
    <n v="0"/>
    <n v="43"/>
    <n v="84"/>
    <n v="0"/>
    <n v="334.07"/>
    <n v="224.55"/>
    <m/>
    <n v="453.79812567521839"/>
    <n v="224.6483414612014"/>
    <n v="0"/>
    <n v="61.074677399999999"/>
    <n v="41.052231000000006"/>
    <n v="0"/>
    <n v="82.96337333594343"/>
    <n v="41.070209785936839"/>
  </r>
  <r>
    <s v="Regular"/>
    <x v="3"/>
    <x v="4"/>
    <x v="1"/>
    <x v="1"/>
    <x v="1"/>
    <x v="0"/>
    <x v="2"/>
    <x v="6"/>
    <n v="0"/>
    <n v="0"/>
    <n v="5.9119999999999999"/>
    <n v="1.95096"/>
    <n v="5.9119999999999999"/>
    <n v="1.95096"/>
    <n v="0"/>
    <x v="0"/>
    <n v="0"/>
    <n v="0"/>
    <n v="43"/>
    <n v="84"/>
    <n v="0"/>
    <n v="334.07"/>
    <n v="224.55"/>
    <m/>
    <n v="453.79812567521839"/>
    <n v="224.6483414612014"/>
    <n v="0"/>
    <n v="651.75720720000004"/>
    <n v="438.08806800000002"/>
    <n v="0"/>
    <n v="885.34199126732403"/>
    <n v="438.27992825714546"/>
  </r>
  <r>
    <s v="Regular"/>
    <x v="3"/>
    <x v="4"/>
    <x v="1"/>
    <x v="1"/>
    <x v="1"/>
    <x v="0"/>
    <x v="2"/>
    <x v="7"/>
    <n v="0"/>
    <n v="0"/>
    <n v="11.507999999999999"/>
    <n v="3.7976399999999999"/>
    <n v="11.507999999999999"/>
    <n v="3.7976399999999999"/>
    <n v="0"/>
    <x v="0"/>
    <n v="0"/>
    <n v="0"/>
    <n v="43"/>
    <n v="84"/>
    <n v="0"/>
    <n v="334.07"/>
    <n v="224.55"/>
    <m/>
    <n v="453.79812567521839"/>
    <n v="224.6483414612014"/>
    <n v="0"/>
    <n v="1268.6775948"/>
    <n v="852.76006200000006"/>
    <n v="0"/>
    <n v="1723.3619139892362"/>
    <n v="853.13352746671683"/>
  </r>
  <r>
    <s v="Regular"/>
    <x v="3"/>
    <x v="4"/>
    <x v="1"/>
    <x v="1"/>
    <x v="1"/>
    <x v="0"/>
    <x v="2"/>
    <x v="8"/>
    <n v="0"/>
    <n v="0"/>
    <n v="83.4"/>
    <n v="27.521999999999998"/>
    <n v="83.4"/>
    <n v="27.521999999999998"/>
    <n v="0"/>
    <x v="0"/>
    <n v="0"/>
    <n v="0"/>
    <n v="43"/>
    <n v="84"/>
    <n v="0"/>
    <n v="334.07"/>
    <n v="224.55"/>
    <m/>
    <n v="453.79812567521839"/>
    <n v="224.6483414612014"/>
    <n v="0"/>
    <n v="9194.2745399999985"/>
    <n v="6180.0650999999998"/>
    <n v="0"/>
    <n v="12489.432014833359"/>
    <n v="6182.7716536951848"/>
  </r>
  <r>
    <s v="Regular"/>
    <x v="3"/>
    <x v="4"/>
    <x v="1"/>
    <x v="1"/>
    <x v="1"/>
    <x v="0"/>
    <x v="2"/>
    <x v="9"/>
    <n v="0"/>
    <n v="0"/>
    <n v="105.05800000000001"/>
    <n v="34.669139999999999"/>
    <n v="105.05800000000001"/>
    <n v="34.669139999999999"/>
    <n v="0"/>
    <x v="0"/>
    <n v="0"/>
    <n v="0"/>
    <n v="43"/>
    <n v="84"/>
    <n v="0"/>
    <n v="334.07"/>
    <n v="224.55"/>
    <m/>
    <n v="453.79812567521839"/>
    <n v="224.6483414612014"/>
    <n v="0"/>
    <n v="11581.9195998"/>
    <n v="7784.955387"/>
    <n v="0"/>
    <n v="15732.790750771741"/>
    <n v="7788.3648008861956"/>
  </r>
  <r>
    <s v="Regular"/>
    <x v="3"/>
    <x v="4"/>
    <x v="1"/>
    <x v="1"/>
    <x v="1"/>
    <x v="0"/>
    <x v="2"/>
    <x v="1"/>
    <n v="0"/>
    <n v="0"/>
    <n v="106.611"/>
    <n v="35.181629999999998"/>
    <n v="106.611"/>
    <n v="35.181629999999998"/>
    <n v="0"/>
    <x v="0"/>
    <n v="0"/>
    <n v="0"/>
    <n v="43"/>
    <n v="84"/>
    <n v="0"/>
    <n v="334.07"/>
    <n v="224.55"/>
    <m/>
    <n v="453.79812567521839"/>
    <n v="224.6483414612014"/>
    <n v="0"/>
    <n v="11753.127134099999"/>
    <n v="7900.0350165"/>
    <n v="0"/>
    <n v="15965.357752199032"/>
    <n v="7903.4948294016467"/>
  </r>
  <r>
    <s v="Regular"/>
    <x v="3"/>
    <x v="4"/>
    <x v="1"/>
    <x v="1"/>
    <x v="1"/>
    <x v="0"/>
    <x v="2"/>
    <x v="2"/>
    <n v="0"/>
    <n v="0"/>
    <n v="115.55500000000001"/>
    <n v="38.133150000000001"/>
    <n v="115.55500000000001"/>
    <n v="38.133150000000001"/>
    <n v="0"/>
    <x v="0"/>
    <n v="0"/>
    <n v="0"/>
    <n v="43"/>
    <n v="84"/>
    <n v="0"/>
    <n v="334.07"/>
    <n v="224.55"/>
    <m/>
    <n v="453.79812567521839"/>
    <n v="224.6483414612014"/>
    <n v="0"/>
    <n v="12739.1414205"/>
    <n v="8562.7988325000006"/>
    <n v="0"/>
    <n v="17304.751996091953"/>
    <n v="8566.5489021912126"/>
  </r>
  <r>
    <s v="Regular"/>
    <x v="3"/>
    <x v="4"/>
    <x v="1"/>
    <x v="1"/>
    <x v="1"/>
    <x v="0"/>
    <x v="2"/>
    <x v="3"/>
    <n v="0"/>
    <n v="0"/>
    <n v="97.406000000000006"/>
    <n v="32.143979999999999"/>
    <n v="97.406000000000006"/>
    <n v="32.143979999999999"/>
    <n v="0"/>
    <x v="0"/>
    <n v="0"/>
    <n v="0"/>
    <n v="43"/>
    <n v="84"/>
    <n v="0"/>
    <n v="334.07"/>
    <n v="224.55"/>
    <m/>
    <n v="453.79812567521839"/>
    <n v="224.6483414612014"/>
    <n v="0"/>
    <n v="10738.339398599999"/>
    <n v="7217.9307090000002"/>
    <n v="0"/>
    <n v="14586.877875741706"/>
    <n v="7221.091794962028"/>
  </r>
  <r>
    <s v="Sistema de Compensação"/>
    <x v="3"/>
    <x v="4"/>
    <x v="1"/>
    <x v="1"/>
    <x v="1"/>
    <x v="0"/>
    <x v="2"/>
    <x v="3"/>
    <n v="0"/>
    <n v="0"/>
    <n v="18.099"/>
    <n v="5.9726699999999999"/>
    <n v="18.099"/>
    <n v="5.9726699999999999"/>
    <n v="0"/>
    <x v="0"/>
    <n v="0"/>
    <n v="0"/>
    <n v="43"/>
    <n v="84"/>
    <n v="0"/>
    <n v="334.07"/>
    <n v="224.55"/>
    <m/>
    <n v="453.79812567521839"/>
    <n v="224.6483414612014"/>
    <n v="0"/>
    <n v="1995.2898668999999"/>
    <n v="1341.1630485000001"/>
    <n v="0"/>
    <n v="2710.3864512766067"/>
    <n v="1341.7504095950737"/>
  </r>
  <r>
    <s v="Regular"/>
    <x v="3"/>
    <x v="4"/>
    <x v="1"/>
    <x v="1"/>
    <x v="1"/>
    <x v="0"/>
    <x v="2"/>
    <x v="10"/>
    <n v="0"/>
    <n v="0"/>
    <n v="116.042"/>
    <n v="38.293860000000002"/>
    <n v="116.042"/>
    <n v="38.293860000000002"/>
    <n v="0"/>
    <x v="0"/>
    <n v="0"/>
    <n v="0"/>
    <n v="43"/>
    <n v="84"/>
    <n v="0"/>
    <n v="334.07"/>
    <n v="224.55"/>
    <m/>
    <n v="453.79812567521839"/>
    <n v="224.6483414612014"/>
    <n v="0"/>
    <n v="12792.829810200001"/>
    <n v="8598.8862630000003"/>
    <n v="0"/>
    <n v="17377.681892869219"/>
    <n v="8602.6521371474428"/>
  </r>
  <r>
    <s v="Sistema de Compensação"/>
    <x v="3"/>
    <x v="4"/>
    <x v="1"/>
    <x v="1"/>
    <x v="1"/>
    <x v="0"/>
    <x v="2"/>
    <x v="10"/>
    <n v="0"/>
    <n v="0"/>
    <n v="16.12"/>
    <n v="5.3196000000000003"/>
    <n v="16.12"/>
    <n v="5.3196000000000003"/>
    <n v="0"/>
    <x v="0"/>
    <n v="0"/>
    <n v="0"/>
    <n v="43"/>
    <n v="84"/>
    <n v="0"/>
    <n v="334.07"/>
    <n v="224.55"/>
    <m/>
    <n v="453.79812567521839"/>
    <n v="224.6483414612014"/>
    <n v="0"/>
    <n v="1777.118772"/>
    <n v="1194.5161800000001"/>
    <n v="0"/>
    <n v="2414.0245093418921"/>
    <n v="1195.039317237007"/>
  </r>
  <r>
    <s v="PROJETADO"/>
    <x v="3"/>
    <x v="4"/>
    <x v="1"/>
    <x v="1"/>
    <x v="1"/>
    <x v="0"/>
    <x v="2"/>
    <x v="11"/>
    <n v="0"/>
    <n v="0"/>
    <n v="116.042"/>
    <n v="38.293860000000002"/>
    <n v="116.042"/>
    <n v="38.293860000000002"/>
    <n v="0"/>
    <x v="0"/>
    <n v="0"/>
    <n v="0"/>
    <n v="43"/>
    <n v="84"/>
    <n v="0"/>
    <n v="334.07"/>
    <n v="224.55"/>
    <m/>
    <n v="453.79812567521839"/>
    <n v="224.6483414612014"/>
    <n v="0"/>
    <n v="12792.829810200001"/>
    <n v="8598.8862630000003"/>
    <n v="0"/>
    <n v="17377.681892869219"/>
    <n v="8602.6521371474428"/>
  </r>
  <r>
    <s v="PROJETADO"/>
    <x v="3"/>
    <x v="4"/>
    <x v="1"/>
    <x v="1"/>
    <x v="1"/>
    <x v="0"/>
    <x v="2"/>
    <x v="11"/>
    <n v="0"/>
    <n v="0"/>
    <n v="16.12"/>
    <n v="5.3196000000000003"/>
    <n v="16.12"/>
    <n v="5.3196000000000003"/>
    <n v="0"/>
    <x v="0"/>
    <n v="0"/>
    <n v="0"/>
    <n v="43"/>
    <n v="84"/>
    <n v="0"/>
    <n v="334.07"/>
    <n v="224.55"/>
    <m/>
    <n v="453.79812567521839"/>
    <n v="224.6483414612014"/>
    <n v="0"/>
    <n v="1777.118772"/>
    <n v="1194.5161800000001"/>
    <n v="0"/>
    <n v="2414.0245093418921"/>
    <n v="1195.039317237007"/>
  </r>
  <r>
    <s v="Regular"/>
    <x v="3"/>
    <x v="4"/>
    <x v="1"/>
    <x v="2"/>
    <x v="3"/>
    <x v="0"/>
    <x v="2"/>
    <x v="4"/>
    <n v="0"/>
    <n v="0"/>
    <n v="8.7739999999999991"/>
    <n v="8.7739999999999991"/>
    <n v="8.7739999999999991"/>
    <n v="8.7739999999999991"/>
    <n v="0"/>
    <x v="0"/>
    <n v="0"/>
    <n v="0"/>
    <n v="43"/>
    <n v="84"/>
    <n v="0"/>
    <n v="334.07"/>
    <n v="224.55"/>
    <m/>
    <n v="453.79812567521839"/>
    <n v="224.6483414612014"/>
    <n v="0"/>
    <n v="2931.1301799999997"/>
    <n v="1970.2016999999998"/>
    <n v="0"/>
    <n v="3981.6247546743657"/>
    <n v="1971.0645479805808"/>
  </r>
  <r>
    <s v="Sistema de Compensação"/>
    <x v="3"/>
    <x v="4"/>
    <x v="1"/>
    <x v="2"/>
    <x v="3"/>
    <x v="0"/>
    <x v="2"/>
    <x v="4"/>
    <n v="0"/>
    <n v="0"/>
    <n v="0.38200000000000001"/>
    <n v="0.38200000000000001"/>
    <n v="0.38200000000000001"/>
    <n v="0.38200000000000001"/>
    <n v="0"/>
    <x v="0"/>
    <n v="0"/>
    <n v="0"/>
    <n v="43"/>
    <n v="84"/>
    <n v="0"/>
    <n v="334.07"/>
    <n v="224.55"/>
    <m/>
    <n v="453.79812567521839"/>
    <n v="224.6483414612014"/>
    <n v="0"/>
    <n v="127.61474"/>
    <n v="85.778100000000009"/>
    <n v="0"/>
    <n v="173.35088400793342"/>
    <n v="85.815666438178937"/>
  </r>
  <r>
    <s v="Regular"/>
    <x v="3"/>
    <x v="4"/>
    <x v="1"/>
    <x v="2"/>
    <x v="3"/>
    <x v="0"/>
    <x v="2"/>
    <x v="5"/>
    <n v="0"/>
    <n v="0"/>
    <n v="7.7729999999999997"/>
    <n v="7.7729999999999997"/>
    <n v="7.7729999999999997"/>
    <n v="7.7729999999999997"/>
    <n v="0"/>
    <x v="0"/>
    <n v="0"/>
    <n v="0"/>
    <n v="43"/>
    <n v="84"/>
    <n v="0"/>
    <n v="334.07"/>
    <n v="224.55"/>
    <m/>
    <n v="453.79812567521839"/>
    <n v="224.6483414612014"/>
    <n v="0"/>
    <n v="2596.7261100000001"/>
    <n v="1745.42715"/>
    <n v="0"/>
    <n v="3527.3728308734726"/>
    <n v="1746.1915581779183"/>
  </r>
  <r>
    <s v="Sistema de Compensação"/>
    <x v="3"/>
    <x v="4"/>
    <x v="1"/>
    <x v="2"/>
    <x v="3"/>
    <x v="0"/>
    <x v="2"/>
    <x v="5"/>
    <n v="0"/>
    <n v="0"/>
    <n v="0.65700000000000003"/>
    <n v="0.65700000000000003"/>
    <n v="0.65700000000000003"/>
    <n v="0.65700000000000003"/>
    <n v="0"/>
    <x v="0"/>
    <n v="0"/>
    <n v="0"/>
    <n v="43"/>
    <n v="84"/>
    <n v="0"/>
    <n v="334.07"/>
    <n v="224.55"/>
    <m/>
    <n v="453.79812567521839"/>
    <n v="224.6483414612014"/>
    <n v="0"/>
    <n v="219.48399000000001"/>
    <n v="147.52935000000002"/>
    <n v="0"/>
    <n v="298.14536856861849"/>
    <n v="147.59396034000932"/>
  </r>
  <r>
    <s v="Regular"/>
    <x v="3"/>
    <x v="4"/>
    <x v="1"/>
    <x v="2"/>
    <x v="3"/>
    <x v="0"/>
    <x v="2"/>
    <x v="0"/>
    <n v="0"/>
    <n v="0"/>
    <n v="8.7479999999999993"/>
    <n v="8.7479999999999993"/>
    <n v="8.7479999999999993"/>
    <n v="8.7479999999999993"/>
    <n v="0"/>
    <x v="0"/>
    <n v="0"/>
    <n v="0"/>
    <n v="43"/>
    <n v="84"/>
    <n v="0"/>
    <n v="334.07"/>
    <n v="224.55"/>
    <m/>
    <n v="453.79812567521839"/>
    <n v="224.6483414612014"/>
    <n v="0"/>
    <n v="2922.4443599999995"/>
    <n v="1964.3634"/>
    <n v="0"/>
    <n v="3969.8260034068103"/>
    <n v="1965.2236911025898"/>
  </r>
  <r>
    <s v="Sistema de Compensação"/>
    <x v="3"/>
    <x v="4"/>
    <x v="1"/>
    <x v="2"/>
    <x v="3"/>
    <x v="0"/>
    <x v="2"/>
    <x v="0"/>
    <n v="0"/>
    <n v="0"/>
    <n v="0.95899999999999996"/>
    <n v="0.95899999999999996"/>
    <n v="0.95899999999999996"/>
    <n v="0.95899999999999996"/>
    <n v="0"/>
    <x v="0"/>
    <n v="0"/>
    <n v="0"/>
    <n v="43"/>
    <n v="84"/>
    <n v="0"/>
    <n v="334.07"/>
    <n v="224.55"/>
    <m/>
    <n v="453.79812567521839"/>
    <n v="224.6483414612014"/>
    <n v="0"/>
    <n v="320.37313"/>
    <n v="215.34344999999999"/>
    <n v="0"/>
    <n v="435.19240252253439"/>
    <n v="215.43775946129213"/>
  </r>
  <r>
    <s v="Regular"/>
    <x v="3"/>
    <x v="4"/>
    <x v="1"/>
    <x v="2"/>
    <x v="3"/>
    <x v="0"/>
    <x v="2"/>
    <x v="6"/>
    <n v="0"/>
    <n v="0"/>
    <n v="9.0630000000000006"/>
    <n v="9.0630000000000006"/>
    <n v="9.0630000000000006"/>
    <n v="9.0630000000000006"/>
    <n v="0"/>
    <x v="0"/>
    <n v="0"/>
    <n v="0"/>
    <n v="43"/>
    <n v="84"/>
    <n v="0"/>
    <n v="334.07"/>
    <n v="224.55"/>
    <m/>
    <n v="453.79812567521839"/>
    <n v="224.6483414612014"/>
    <n v="0"/>
    <n v="3027.67641"/>
    <n v="2035.0966500000002"/>
    <n v="0"/>
    <n v="4112.7724129945045"/>
    <n v="2035.9879186628684"/>
  </r>
  <r>
    <s v="Sistema de Compensação"/>
    <x v="3"/>
    <x v="4"/>
    <x v="1"/>
    <x v="2"/>
    <x v="3"/>
    <x v="0"/>
    <x v="2"/>
    <x v="6"/>
    <n v="0"/>
    <n v="0"/>
    <n v="0.318"/>
    <n v="0.318"/>
    <n v="0.318"/>
    <n v="0.318"/>
    <n v="0"/>
    <x v="0"/>
    <n v="0"/>
    <n v="0"/>
    <n v="43"/>
    <n v="84"/>
    <n v="0"/>
    <n v="334.07"/>
    <n v="224.55"/>
    <m/>
    <n v="453.79812567521839"/>
    <n v="224.6483414612014"/>
    <n v="0"/>
    <n v="106.23426000000001"/>
    <n v="71.406900000000007"/>
    <n v="0"/>
    <n v="144.30780396471945"/>
    <n v="71.438172584662041"/>
  </r>
  <r>
    <s v="Regular"/>
    <x v="3"/>
    <x v="4"/>
    <x v="1"/>
    <x v="2"/>
    <x v="3"/>
    <x v="0"/>
    <x v="2"/>
    <x v="7"/>
    <n v="0"/>
    <n v="0"/>
    <n v="8.8219999999999992"/>
    <n v="8.8219999999999992"/>
    <n v="8.8219999999999992"/>
    <n v="8.8219999999999992"/>
    <n v="0"/>
    <x v="0"/>
    <n v="0"/>
    <n v="0"/>
    <n v="43"/>
    <n v="84"/>
    <n v="0"/>
    <n v="334.07"/>
    <n v="224.55"/>
    <m/>
    <n v="453.79812567521839"/>
    <n v="224.6483414612014"/>
    <n v="0"/>
    <n v="2947.1655399999995"/>
    <n v="1980.9801"/>
    <n v="0"/>
    <n v="4003.4070647067761"/>
    <n v="1981.8476683707186"/>
  </r>
  <r>
    <s v="Sistema de Compensação"/>
    <x v="3"/>
    <x v="4"/>
    <x v="1"/>
    <x v="2"/>
    <x v="3"/>
    <x v="0"/>
    <x v="2"/>
    <x v="7"/>
    <n v="0"/>
    <n v="0"/>
    <n v="0.71099999999999997"/>
    <n v="0.71099999999999997"/>
    <n v="0.71099999999999997"/>
    <n v="0.71099999999999997"/>
    <n v="0"/>
    <x v="0"/>
    <n v="0"/>
    <n v="0"/>
    <n v="43"/>
    <n v="84"/>
    <n v="0"/>
    <n v="334.07"/>
    <n v="224.55"/>
    <m/>
    <n v="453.79812567521839"/>
    <n v="224.6483414612014"/>
    <n v="0"/>
    <n v="237.52376999999998"/>
    <n v="159.65504999999999"/>
    <n v="0"/>
    <n v="322.65046735508025"/>
    <n v="159.72497077891418"/>
  </r>
  <r>
    <s v="Regular"/>
    <x v="3"/>
    <x v="4"/>
    <x v="1"/>
    <x v="2"/>
    <x v="3"/>
    <x v="0"/>
    <x v="2"/>
    <x v="8"/>
    <n v="0"/>
    <n v="0"/>
    <n v="17.407"/>
    <n v="17.407"/>
    <n v="17.407"/>
    <n v="17.407"/>
    <n v="0"/>
    <x v="0"/>
    <n v="0"/>
    <n v="0"/>
    <n v="43"/>
    <n v="84"/>
    <n v="0"/>
    <n v="334.07"/>
    <n v="224.55"/>
    <m/>
    <n v="453.79812567521839"/>
    <n v="224.6483414612014"/>
    <n v="0"/>
    <n v="5815.1564900000003"/>
    <n v="3908.7418500000003"/>
    <n v="0"/>
    <n v="7899.2639736285264"/>
    <n v="3910.4536798151325"/>
  </r>
  <r>
    <s v="Sistema de Compensação"/>
    <x v="3"/>
    <x v="4"/>
    <x v="1"/>
    <x v="2"/>
    <x v="3"/>
    <x v="0"/>
    <x v="2"/>
    <x v="8"/>
    <n v="0"/>
    <n v="0"/>
    <n v="0.83199999999999996"/>
    <n v="0.83199999999999996"/>
    <n v="0.83199999999999996"/>
    <n v="0.83199999999999996"/>
    <n v="0"/>
    <x v="0"/>
    <n v="0"/>
    <n v="0"/>
    <n v="43"/>
    <n v="84"/>
    <n v="0"/>
    <n v="334.07"/>
    <n v="224.55"/>
    <m/>
    <n v="453.79812567521839"/>
    <n v="224.6483414612014"/>
    <n v="0"/>
    <n v="277.94623999999999"/>
    <n v="186.82560000000001"/>
    <n v="0"/>
    <n v="377.5600405617817"/>
    <n v="186.90742009571954"/>
  </r>
  <r>
    <s v="Regular"/>
    <x v="3"/>
    <x v="4"/>
    <x v="1"/>
    <x v="2"/>
    <x v="3"/>
    <x v="0"/>
    <x v="2"/>
    <x v="9"/>
    <n v="0"/>
    <n v="0"/>
    <n v="9.9469999999999992"/>
    <n v="9.9469999999999992"/>
    <n v="9.9469999999999992"/>
    <n v="9.9469999999999992"/>
    <n v="0"/>
    <x v="0"/>
    <n v="0"/>
    <n v="0"/>
    <n v="43"/>
    <n v="84"/>
    <n v="0"/>
    <n v="334.07"/>
    <n v="224.55"/>
    <m/>
    <n v="453.79812567521839"/>
    <n v="224.6483414612014"/>
    <n v="0"/>
    <n v="3322.9942899999996"/>
    <n v="2233.5988499999999"/>
    <n v="0"/>
    <n v="4513.9299560913969"/>
    <n v="2234.5770525145699"/>
  </r>
  <r>
    <s v="Sistema de Compensação"/>
    <x v="3"/>
    <x v="4"/>
    <x v="1"/>
    <x v="2"/>
    <x v="3"/>
    <x v="0"/>
    <x v="2"/>
    <x v="9"/>
    <n v="0"/>
    <n v="0"/>
    <n v="4.1079999999999997"/>
    <n v="4.1079999999999997"/>
    <n v="4.1079999999999997"/>
    <n v="4.1079999999999997"/>
    <n v="0"/>
    <x v="0"/>
    <n v="0"/>
    <n v="0"/>
    <n v="43"/>
    <n v="84"/>
    <n v="0"/>
    <n v="334.07"/>
    <n v="224.55"/>
    <m/>
    <n v="453.79812567521839"/>
    <n v="224.6483414612014"/>
    <n v="0"/>
    <n v="1372.3595599999999"/>
    <n v="922.45139999999992"/>
    <n v="0"/>
    <n v="1864.2027002737971"/>
    <n v="922.85538672261521"/>
  </r>
  <r>
    <s v="Regular"/>
    <x v="3"/>
    <x v="4"/>
    <x v="1"/>
    <x v="2"/>
    <x v="3"/>
    <x v="0"/>
    <x v="2"/>
    <x v="1"/>
    <n v="0"/>
    <n v="0"/>
    <n v="9.6579999999999995"/>
    <n v="9.6579999999999995"/>
    <n v="9.6579999999999995"/>
    <n v="9.6579999999999995"/>
    <n v="0"/>
    <x v="0"/>
    <n v="0"/>
    <n v="0"/>
    <n v="43"/>
    <n v="84"/>
    <n v="0"/>
    <n v="334.07"/>
    <n v="224.55"/>
    <m/>
    <n v="453.79812567521839"/>
    <n v="224.6483414612014"/>
    <n v="0"/>
    <n v="3226.4480599999997"/>
    <n v="2168.7039"/>
    <n v="0"/>
    <n v="4382.7822977712585"/>
    <n v="2169.6536818322829"/>
  </r>
  <r>
    <s v="Sistema de Compensação"/>
    <x v="3"/>
    <x v="4"/>
    <x v="1"/>
    <x v="2"/>
    <x v="3"/>
    <x v="0"/>
    <x v="2"/>
    <x v="1"/>
    <n v="0"/>
    <n v="0"/>
    <n v="1.2729999999999999"/>
    <n v="1.2729999999999999"/>
    <n v="1.2729999999999999"/>
    <n v="1.2729999999999999"/>
    <n v="0"/>
    <x v="0"/>
    <n v="0"/>
    <n v="0"/>
    <n v="43"/>
    <n v="84"/>
    <n v="0"/>
    <n v="334.07"/>
    <n v="224.55"/>
    <m/>
    <n v="453.79812567521839"/>
    <n v="224.6483414612014"/>
    <n v="0"/>
    <n v="425.27110999999996"/>
    <n v="285.85214999999999"/>
    <n v="0"/>
    <n v="577.68501398455294"/>
    <n v="285.97733868010937"/>
  </r>
  <r>
    <s v="Regular"/>
    <x v="3"/>
    <x v="4"/>
    <x v="1"/>
    <x v="2"/>
    <x v="3"/>
    <x v="0"/>
    <x v="2"/>
    <x v="2"/>
    <n v="0"/>
    <n v="0"/>
    <n v="12.952"/>
    <n v="12.952"/>
    <n v="12.952"/>
    <n v="12.952"/>
    <n v="0"/>
    <x v="0"/>
    <n v="0"/>
    <n v="0"/>
    <n v="43"/>
    <n v="84"/>
    <n v="0"/>
    <n v="334.07"/>
    <n v="224.55"/>
    <m/>
    <n v="453.79812567521839"/>
    <n v="224.6483414612014"/>
    <n v="0"/>
    <n v="4326.87464"/>
    <n v="2908.3715999999999"/>
    <n v="0"/>
    <n v="5877.5933237454283"/>
    <n v="2909.6453186054805"/>
  </r>
  <r>
    <s v="Sistema de Compensação"/>
    <x v="3"/>
    <x v="4"/>
    <x v="1"/>
    <x v="2"/>
    <x v="3"/>
    <x v="0"/>
    <x v="2"/>
    <x v="2"/>
    <n v="0"/>
    <n v="0"/>
    <n v="0.16300000000000001"/>
    <n v="0.16300000000000001"/>
    <n v="0.16300000000000001"/>
    <n v="0.16300000000000001"/>
    <n v="0"/>
    <x v="0"/>
    <n v="0"/>
    <n v="0"/>
    <n v="43"/>
    <n v="84"/>
    <n v="0"/>
    <n v="334.07"/>
    <n v="224.55"/>
    <m/>
    <n v="453.79812567521839"/>
    <n v="224.6483414612014"/>
    <n v="0"/>
    <n v="54.453409999999998"/>
    <n v="36.601650000000006"/>
    <n v="0"/>
    <n v="73.969094485060594"/>
    <n v="36.617679658175831"/>
  </r>
  <r>
    <s v="Regular"/>
    <x v="3"/>
    <x v="4"/>
    <x v="1"/>
    <x v="2"/>
    <x v="3"/>
    <x v="0"/>
    <x v="2"/>
    <x v="3"/>
    <n v="0"/>
    <n v="0"/>
    <n v="8.8119999999999994"/>
    <n v="8.8119999999999994"/>
    <n v="8.8119999999999994"/>
    <n v="8.8119999999999994"/>
    <n v="0"/>
    <x v="0"/>
    <n v="0"/>
    <n v="0"/>
    <n v="43"/>
    <n v="84"/>
    <n v="0"/>
    <n v="334.07"/>
    <n v="224.55"/>
    <m/>
    <n v="453.79812567521839"/>
    <n v="224.6483414612014"/>
    <n v="0"/>
    <n v="2943.8248399999998"/>
    <n v="1978.7346"/>
    <n v="0"/>
    <n v="3998.8690834500239"/>
    <n v="1979.6011849561066"/>
  </r>
  <r>
    <s v="Sistema de Compensação"/>
    <x v="3"/>
    <x v="4"/>
    <x v="1"/>
    <x v="2"/>
    <x v="3"/>
    <x v="0"/>
    <x v="2"/>
    <x v="3"/>
    <n v="0"/>
    <n v="0"/>
    <n v="2.0569999999999999"/>
    <n v="2.0569999999999999"/>
    <n v="2.0569999999999999"/>
    <n v="2.0569999999999999"/>
    <n v="0"/>
    <x v="0"/>
    <n v="0"/>
    <n v="0"/>
    <n v="43"/>
    <n v="84"/>
    <n v="0"/>
    <n v="334.07"/>
    <n v="224.55"/>
    <m/>
    <n v="453.79812567521839"/>
    <n v="224.6483414612014"/>
    <n v="0"/>
    <n v="687.18198999999993"/>
    <n v="461.89935000000003"/>
    <n v="0"/>
    <n v="933.46274451392424"/>
    <n v="462.10163838569127"/>
  </r>
  <r>
    <s v="Regular"/>
    <x v="3"/>
    <x v="4"/>
    <x v="1"/>
    <x v="2"/>
    <x v="3"/>
    <x v="0"/>
    <x v="2"/>
    <x v="10"/>
    <n v="0"/>
    <n v="0"/>
    <n v="10.707000000000001"/>
    <n v="10.707000000000001"/>
    <n v="10.707000000000001"/>
    <n v="10.707000000000001"/>
    <n v="0"/>
    <x v="0"/>
    <n v="0"/>
    <n v="0"/>
    <n v="43"/>
    <n v="84"/>
    <n v="0"/>
    <n v="334.07"/>
    <n v="224.55"/>
    <m/>
    <n v="453.79812567521839"/>
    <n v="224.6483414612014"/>
    <n v="0"/>
    <n v="3576.8874900000001"/>
    <n v="2404.2568500000002"/>
    <n v="0"/>
    <n v="4858.8165316045634"/>
    <n v="2405.3097920250834"/>
  </r>
  <r>
    <s v="Sistema de Compensação"/>
    <x v="3"/>
    <x v="4"/>
    <x v="1"/>
    <x v="2"/>
    <x v="3"/>
    <x v="0"/>
    <x v="2"/>
    <x v="10"/>
    <n v="0"/>
    <n v="0"/>
    <n v="6.9749999999999996"/>
    <n v="6.9749999999999996"/>
    <n v="6.9749999999999996"/>
    <n v="6.9749999999999996"/>
    <n v="0"/>
    <x v="0"/>
    <n v="0"/>
    <n v="0"/>
    <n v="43"/>
    <n v="84"/>
    <n v="0"/>
    <n v="334.07"/>
    <n v="224.55"/>
    <m/>
    <n v="453.79812567521839"/>
    <n v="224.6483414612014"/>
    <n v="0"/>
    <n v="2330.13825"/>
    <n v="1566.2362499999999"/>
    <n v="0"/>
    <n v="3165.2419265846479"/>
    <n v="1566.9221816918796"/>
  </r>
  <r>
    <s v="PROJETADO"/>
    <x v="3"/>
    <x v="4"/>
    <x v="1"/>
    <x v="2"/>
    <x v="3"/>
    <x v="0"/>
    <x v="2"/>
    <x v="11"/>
    <n v="0"/>
    <n v="0"/>
    <n v="10.707000000000001"/>
    <n v="10.707000000000001"/>
    <n v="10.707000000000001"/>
    <n v="10.707000000000001"/>
    <n v="0"/>
    <x v="0"/>
    <n v="0"/>
    <n v="0"/>
    <n v="43"/>
    <n v="84"/>
    <n v="0"/>
    <n v="334.07"/>
    <n v="224.55"/>
    <m/>
    <n v="453.79812567521839"/>
    <n v="224.6483414612014"/>
    <n v="0"/>
    <n v="3576.8874900000001"/>
    <n v="2404.2568500000002"/>
    <n v="0"/>
    <n v="4858.8165316045634"/>
    <n v="2405.3097920250834"/>
  </r>
  <r>
    <s v="PROJETADO"/>
    <x v="3"/>
    <x v="4"/>
    <x v="1"/>
    <x v="2"/>
    <x v="3"/>
    <x v="0"/>
    <x v="2"/>
    <x v="11"/>
    <n v="0"/>
    <n v="0"/>
    <n v="6.9749999999999996"/>
    <n v="6.9749999999999996"/>
    <n v="6.9749999999999996"/>
    <n v="6.9749999999999996"/>
    <n v="0"/>
    <x v="0"/>
    <n v="0"/>
    <n v="0"/>
    <n v="43"/>
    <n v="84"/>
    <n v="0"/>
    <n v="334.07"/>
    <n v="224.55"/>
    <m/>
    <n v="453.79812567521839"/>
    <n v="224.6483414612014"/>
    <n v="0"/>
    <n v="2330.13825"/>
    <n v="1566.2362499999999"/>
    <n v="0"/>
    <n v="3165.2419265846479"/>
    <n v="1566.9221816918796"/>
  </r>
  <r>
    <s v="Regular"/>
    <x v="3"/>
    <x v="4"/>
    <x v="1"/>
    <x v="2"/>
    <x v="1"/>
    <x v="0"/>
    <x v="2"/>
    <x v="4"/>
    <n v="0"/>
    <n v="0"/>
    <n v="16.626000000000001"/>
    <n v="5.48658"/>
    <n v="16.626000000000001"/>
    <n v="5.48658"/>
    <n v="0"/>
    <x v="0"/>
    <n v="0"/>
    <n v="0"/>
    <n v="43"/>
    <n v="84"/>
    <n v="0"/>
    <n v="334.07"/>
    <n v="224.55"/>
    <m/>
    <n v="453.79812567521839"/>
    <n v="224.6483414612014"/>
    <n v="0"/>
    <n v="1832.9017805999999"/>
    <n v="1232.0115390000001"/>
    <n v="0"/>
    <n v="2489.7997203671398"/>
    <n v="1232.5510972941984"/>
  </r>
  <r>
    <s v="Sistema de Compensação"/>
    <x v="3"/>
    <x v="4"/>
    <x v="1"/>
    <x v="2"/>
    <x v="1"/>
    <x v="0"/>
    <x v="2"/>
    <x v="4"/>
    <n v="0"/>
    <n v="0"/>
    <n v="2.2549999999999999"/>
    <n v="2.2549999999999999"/>
    <n v="2.2549999999999999"/>
    <n v="2.2549999999999999"/>
    <n v="0"/>
    <x v="0"/>
    <n v="0"/>
    <n v="0"/>
    <n v="43"/>
    <n v="84"/>
    <n v="0"/>
    <n v="334.07"/>
    <n v="224.55"/>
    <m/>
    <n v="453.79812567521839"/>
    <n v="224.6483414612014"/>
    <n v="0"/>
    <n v="753.3278499999999"/>
    <n v="506.36025000000001"/>
    <n v="0"/>
    <n v="1023.3147733976174"/>
    <n v="506.58200999500912"/>
  </r>
  <r>
    <s v="Regular"/>
    <x v="3"/>
    <x v="4"/>
    <x v="1"/>
    <x v="2"/>
    <x v="1"/>
    <x v="0"/>
    <x v="2"/>
    <x v="5"/>
    <n v="0"/>
    <n v="0"/>
    <n v="19.251999999999999"/>
    <n v="6.3531599999999999"/>
    <n v="19.251999999999999"/>
    <n v="6.3531599999999999"/>
    <n v="0"/>
    <x v="0"/>
    <n v="0"/>
    <n v="0"/>
    <n v="43"/>
    <n v="84"/>
    <n v="0"/>
    <n v="334.07"/>
    <n v="224.55"/>
    <m/>
    <n v="453.79812567521839"/>
    <n v="224.6483414612014"/>
    <n v="0"/>
    <n v="2122.4001611999997"/>
    <n v="1426.6020780000001"/>
    <n v="0"/>
    <n v="2883.0521001147704"/>
    <n v="1427.2268570376461"/>
  </r>
  <r>
    <s v="Sistema de Compensação"/>
    <x v="3"/>
    <x v="4"/>
    <x v="1"/>
    <x v="2"/>
    <x v="1"/>
    <x v="0"/>
    <x v="2"/>
    <x v="5"/>
    <n v="0"/>
    <n v="0"/>
    <n v="2.0499999999999998"/>
    <n v="0.67649999999999999"/>
    <n v="2.0499999999999998"/>
    <n v="0.67649999999999999"/>
    <n v="0"/>
    <x v="0"/>
    <n v="0"/>
    <n v="0"/>
    <n v="43"/>
    <n v="84"/>
    <n v="0"/>
    <n v="334.07"/>
    <n v="224.55"/>
    <m/>
    <n v="453.79812567521839"/>
    <n v="224.6483414612014"/>
    <n v="0"/>
    <n v="225.998355"/>
    <n v="151.908075"/>
    <n v="0"/>
    <n v="306.99443201928523"/>
    <n v="151.97460299850275"/>
  </r>
  <r>
    <s v="Regular"/>
    <x v="3"/>
    <x v="4"/>
    <x v="1"/>
    <x v="2"/>
    <x v="1"/>
    <x v="0"/>
    <x v="2"/>
    <x v="0"/>
    <n v="0"/>
    <n v="0"/>
    <n v="18.866"/>
    <n v="6.2257800000000003"/>
    <n v="18.866"/>
    <n v="6.2257800000000003"/>
    <n v="0"/>
    <x v="0"/>
    <n v="0"/>
    <n v="0"/>
    <n v="43"/>
    <n v="84"/>
    <n v="0"/>
    <n v="334.07"/>
    <n v="224.55"/>
    <m/>
    <n v="453.79812567521839"/>
    <n v="224.6483414612014"/>
    <n v="0"/>
    <n v="2079.8463246000001"/>
    <n v="1397.9988990000002"/>
    <n v="0"/>
    <n v="2825.2472948662612"/>
    <n v="1398.6111513023186"/>
  </r>
  <r>
    <s v="Sistema de Compensação"/>
    <x v="3"/>
    <x v="4"/>
    <x v="1"/>
    <x v="2"/>
    <x v="1"/>
    <x v="0"/>
    <x v="2"/>
    <x v="0"/>
    <n v="0"/>
    <n v="0"/>
    <n v="2.2549999999999999"/>
    <n v="0.74414999999999998"/>
    <n v="2.2549999999999999"/>
    <n v="0.74414999999999998"/>
    <n v="0"/>
    <x v="0"/>
    <n v="0"/>
    <n v="0"/>
    <n v="43"/>
    <n v="84"/>
    <n v="0"/>
    <n v="334.07"/>
    <n v="224.55"/>
    <m/>
    <n v="453.79812567521839"/>
    <n v="224.6483414612014"/>
    <n v="0"/>
    <n v="248.59819049999999"/>
    <n v="167.0988825"/>
    <n v="0"/>
    <n v="337.69387522121377"/>
    <n v="167.17206329835301"/>
  </r>
  <r>
    <s v="Regular"/>
    <x v="3"/>
    <x v="4"/>
    <x v="1"/>
    <x v="2"/>
    <x v="1"/>
    <x v="0"/>
    <x v="2"/>
    <x v="6"/>
    <n v="0"/>
    <n v="0"/>
    <n v="17.338000000000001"/>
    <n v="5.7215400000000001"/>
    <n v="17.338000000000001"/>
    <n v="5.7215400000000001"/>
    <n v="0"/>
    <x v="0"/>
    <n v="0"/>
    <n v="0"/>
    <n v="43"/>
    <n v="84"/>
    <n v="0"/>
    <n v="334.07"/>
    <n v="224.55"/>
    <m/>
    <n v="453.79812567521839"/>
    <n v="224.6483414612014"/>
    <n v="0"/>
    <n v="1911.3948677999999"/>
    <n v="1284.7718070000001"/>
    <n v="0"/>
    <n v="2596.4241279757889"/>
    <n v="1285.3344716039223"/>
  </r>
  <r>
    <s v="Sistema de Compensação"/>
    <x v="3"/>
    <x v="4"/>
    <x v="1"/>
    <x v="2"/>
    <x v="1"/>
    <x v="0"/>
    <x v="2"/>
    <x v="6"/>
    <n v="0"/>
    <n v="0"/>
    <n v="1.968"/>
    <n v="0.64944000000000002"/>
    <n v="1.968"/>
    <n v="0.64944000000000002"/>
    <n v="0"/>
    <x v="0"/>
    <n v="0"/>
    <n v="0"/>
    <n v="43"/>
    <n v="84"/>
    <n v="0"/>
    <n v="334.07"/>
    <n v="224.55"/>
    <m/>
    <n v="453.79812567521839"/>
    <n v="224.6483414612014"/>
    <n v="0"/>
    <n v="216.9584208"/>
    <n v="145.83175200000002"/>
    <n v="0"/>
    <n v="294.71465473851384"/>
    <n v="145.89561887856263"/>
  </r>
  <r>
    <s v="Regular"/>
    <x v="3"/>
    <x v="4"/>
    <x v="1"/>
    <x v="2"/>
    <x v="1"/>
    <x v="0"/>
    <x v="2"/>
    <x v="7"/>
    <n v="0"/>
    <n v="0"/>
    <n v="17.251999999999999"/>
    <n v="5.6931599999999998"/>
    <n v="17.251999999999999"/>
    <n v="5.6931599999999998"/>
    <n v="0"/>
    <x v="0"/>
    <n v="0"/>
    <n v="0"/>
    <n v="43"/>
    <n v="84"/>
    <n v="0"/>
    <n v="334.07"/>
    <n v="224.55"/>
    <m/>
    <n v="453.79812567521839"/>
    <n v="224.6483414612014"/>
    <n v="0"/>
    <n v="1901.9139611999999"/>
    <n v="1278.3990779999999"/>
    <n v="0"/>
    <n v="2583.545337169126"/>
    <n v="1278.9589516732533"/>
  </r>
  <r>
    <s v="Sistema de Compensação"/>
    <x v="3"/>
    <x v="4"/>
    <x v="1"/>
    <x v="2"/>
    <x v="1"/>
    <x v="0"/>
    <x v="2"/>
    <x v="7"/>
    <n v="0"/>
    <n v="0"/>
    <n v="1.64"/>
    <n v="0.54120000000000001"/>
    <n v="1.64"/>
    <n v="0.54120000000000001"/>
    <n v="0"/>
    <x v="0"/>
    <n v="0"/>
    <n v="0"/>
    <n v="43"/>
    <n v="84"/>
    <n v="0"/>
    <n v="334.07"/>
    <n v="224.55"/>
    <m/>
    <n v="453.79812567521839"/>
    <n v="224.6483414612014"/>
    <n v="0"/>
    <n v="180.79868400000001"/>
    <n v="121.52646000000001"/>
    <n v="0"/>
    <n v="245.59554561542819"/>
    <n v="121.57968239880221"/>
  </r>
  <r>
    <s v="Regular"/>
    <x v="3"/>
    <x v="4"/>
    <x v="1"/>
    <x v="2"/>
    <x v="1"/>
    <x v="0"/>
    <x v="2"/>
    <x v="8"/>
    <n v="0"/>
    <n v="0"/>
    <n v="18.675999999999998"/>
    <n v="6.1630799999999999"/>
    <n v="18.675999999999998"/>
    <n v="6.1630799999999999"/>
    <n v="0"/>
    <x v="0"/>
    <n v="0"/>
    <n v="0"/>
    <n v="43"/>
    <n v="84"/>
    <n v="0"/>
    <n v="334.07"/>
    <n v="224.55"/>
    <m/>
    <n v="453.79812567521839"/>
    <n v="224.6483414612014"/>
    <n v="0"/>
    <n v="2058.9001355999999"/>
    <n v="1383.9196140000001"/>
    <n v="0"/>
    <n v="2796.7941523864247"/>
    <n v="1384.525700292701"/>
  </r>
  <r>
    <s v="Sistema de Compensação"/>
    <x v="3"/>
    <x v="4"/>
    <x v="1"/>
    <x v="2"/>
    <x v="1"/>
    <x v="0"/>
    <x v="2"/>
    <x v="8"/>
    <n v="0"/>
    <n v="0"/>
    <n v="2.0499999999999998"/>
    <n v="0.67649999999999999"/>
    <n v="2.0499999999999998"/>
    <n v="0.67649999999999999"/>
    <n v="0"/>
    <x v="0"/>
    <n v="0"/>
    <n v="0"/>
    <n v="43"/>
    <n v="84"/>
    <n v="0"/>
    <n v="334.07"/>
    <n v="224.55"/>
    <m/>
    <n v="453.79812567521839"/>
    <n v="224.6483414612014"/>
    <n v="0"/>
    <n v="225.998355"/>
    <n v="151.908075"/>
    <n v="0"/>
    <n v="306.99443201928523"/>
    <n v="151.97460299850275"/>
  </r>
  <r>
    <s v="Regular"/>
    <x v="3"/>
    <x v="4"/>
    <x v="1"/>
    <x v="2"/>
    <x v="1"/>
    <x v="0"/>
    <x v="2"/>
    <x v="9"/>
    <n v="0"/>
    <n v="0"/>
    <n v="17.824999999999999"/>
    <n v="5.88225"/>
    <n v="17.824999999999999"/>
    <n v="5.88225"/>
    <n v="0"/>
    <x v="0"/>
    <n v="0"/>
    <n v="0"/>
    <n v="43"/>
    <n v="84"/>
    <n v="0"/>
    <n v="334.07"/>
    <n v="224.55"/>
    <m/>
    <n v="453.79812567521839"/>
    <n v="224.6483414612014"/>
    <n v="0"/>
    <n v="1965.0832574999999"/>
    <n v="1320.8592375000001"/>
    <n v="0"/>
    <n v="2669.3540247530532"/>
    <n v="1321.4377065601518"/>
  </r>
  <r>
    <s v="Sistema de Compensação"/>
    <x v="3"/>
    <x v="4"/>
    <x v="1"/>
    <x v="2"/>
    <x v="1"/>
    <x v="0"/>
    <x v="2"/>
    <x v="9"/>
    <n v="0"/>
    <n v="0"/>
    <n v="2.7469999999999999"/>
    <n v="0.90651000000000004"/>
    <n v="2.7469999999999999"/>
    <n v="0.90651000000000004"/>
    <n v="0"/>
    <x v="0"/>
    <n v="0"/>
    <n v="0"/>
    <n v="43"/>
    <n v="84"/>
    <n v="0"/>
    <n v="334.07"/>
    <n v="224.55"/>
    <m/>
    <n v="453.79812567521839"/>
    <n v="224.6483414612014"/>
    <n v="0"/>
    <n v="302.83779570000002"/>
    <n v="203.55682050000001"/>
    <n v="0"/>
    <n v="411.37253890584225"/>
    <n v="203.64596801799368"/>
  </r>
  <r>
    <s v="Regular"/>
    <x v="3"/>
    <x v="4"/>
    <x v="1"/>
    <x v="2"/>
    <x v="1"/>
    <x v="0"/>
    <x v="2"/>
    <x v="1"/>
    <n v="0"/>
    <n v="0"/>
    <n v="16.347999999999999"/>
    <n v="5.3948400000000003"/>
    <n v="16.347999999999999"/>
    <n v="5.3948400000000003"/>
    <n v="0"/>
    <x v="0"/>
    <n v="0"/>
    <n v="0"/>
    <n v="43"/>
    <n v="84"/>
    <n v="0"/>
    <n v="334.07"/>
    <n v="224.55"/>
    <m/>
    <n v="453.79812567521839"/>
    <n v="224.6483414612014"/>
    <n v="0"/>
    <n v="1802.2541988"/>
    <n v="1211.4113220000002"/>
    <n v="0"/>
    <n v="2448.1682803176955"/>
    <n v="1211.9418584485479"/>
  </r>
  <r>
    <s v="Sistema de Compensação"/>
    <x v="3"/>
    <x v="4"/>
    <x v="1"/>
    <x v="2"/>
    <x v="1"/>
    <x v="0"/>
    <x v="2"/>
    <x v="1"/>
    <n v="0"/>
    <n v="0"/>
    <n v="2.0910000000000002"/>
    <n v="0.69003000000000003"/>
    <n v="2.0910000000000002"/>
    <n v="0.69003000000000003"/>
    <n v="0"/>
    <x v="0"/>
    <n v="0"/>
    <n v="0"/>
    <n v="43"/>
    <n v="84"/>
    <n v="0"/>
    <n v="334.07"/>
    <n v="224.55"/>
    <m/>
    <n v="453.79812567521839"/>
    <n v="224.6483414612014"/>
    <n v="0"/>
    <n v="230.51832210000001"/>
    <n v="154.94623650000003"/>
    <n v="0"/>
    <n v="313.13432065967095"/>
    <n v="155.0140950584728"/>
  </r>
  <r>
    <s v="Regular"/>
    <x v="3"/>
    <x v="4"/>
    <x v="1"/>
    <x v="2"/>
    <x v="1"/>
    <x v="0"/>
    <x v="2"/>
    <x v="2"/>
    <n v="0"/>
    <n v="0"/>
    <n v="17.5"/>
    <n v="5.7750000000000004"/>
    <n v="17.5"/>
    <n v="5.7750000000000004"/>
    <n v="0"/>
    <x v="0"/>
    <n v="0"/>
    <n v="0"/>
    <n v="43"/>
    <n v="84"/>
    <n v="0"/>
    <n v="334.07"/>
    <n v="224.55"/>
    <m/>
    <n v="453.79812567521839"/>
    <n v="224.6483414612014"/>
    <n v="0"/>
    <n v="1929.2542500000002"/>
    <n v="1296.7762500000001"/>
    <n v="0"/>
    <n v="2620.6841757743864"/>
    <n v="1297.3441719384382"/>
  </r>
  <r>
    <s v="Sistema de Compensação"/>
    <x v="3"/>
    <x v="4"/>
    <x v="1"/>
    <x v="2"/>
    <x v="1"/>
    <x v="0"/>
    <x v="2"/>
    <x v="2"/>
    <n v="0"/>
    <n v="0"/>
    <n v="0.877"/>
    <n v="0.28941"/>
    <n v="0.877"/>
    <n v="0.28941"/>
    <n v="0"/>
    <x v="0"/>
    <n v="0"/>
    <n v="0"/>
    <n v="43"/>
    <n v="84"/>
    <n v="0"/>
    <n v="334.07"/>
    <n v="224.55"/>
    <m/>
    <n v="453.79812567521839"/>
    <n v="224.6483414612014"/>
    <n v="0"/>
    <n v="96.683198699999991"/>
    <n v="64.987015499999998"/>
    <n v="0"/>
    <n v="131.33371555166497"/>
    <n v="65.01547650228629"/>
  </r>
  <r>
    <s v="Regular"/>
    <x v="3"/>
    <x v="4"/>
    <x v="1"/>
    <x v="2"/>
    <x v="1"/>
    <x v="0"/>
    <x v="2"/>
    <x v="3"/>
    <n v="0"/>
    <n v="0"/>
    <n v="12.945"/>
    <n v="4.2718499999999997"/>
    <n v="12.945"/>
    <n v="4.2718499999999997"/>
    <n v="0"/>
    <x v="0"/>
    <n v="0"/>
    <n v="0"/>
    <n v="43"/>
    <n v="84"/>
    <n v="0"/>
    <n v="334.07"/>
    <n v="224.55"/>
    <m/>
    <n v="453.79812567521839"/>
    <n v="224.6483414612014"/>
    <n v="0"/>
    <n v="1427.0969294999998"/>
    <n v="959.24391749999995"/>
    <n v="0"/>
    <n v="1938.5575231656815"/>
    <n v="959.66401747103316"/>
  </r>
  <r>
    <s v="Sistema de Compensação"/>
    <x v="3"/>
    <x v="4"/>
    <x v="1"/>
    <x v="2"/>
    <x v="1"/>
    <x v="0"/>
    <x v="2"/>
    <x v="3"/>
    <n v="0"/>
    <n v="0"/>
    <n v="1.337"/>
    <n v="0.44120999999999999"/>
    <n v="1.337"/>
    <n v="0.44120999999999999"/>
    <n v="0"/>
    <x v="0"/>
    <n v="0"/>
    <n v="0"/>
    <n v="43"/>
    <n v="84"/>
    <n v="0"/>
    <n v="334.07"/>
    <n v="224.55"/>
    <m/>
    <n v="453.79812567521839"/>
    <n v="224.6483414612014"/>
    <n v="0"/>
    <n v="147.39502469999999"/>
    <n v="99.073705500000003"/>
    <n v="0"/>
    <n v="200.22027102916309"/>
    <n v="99.117094736096661"/>
  </r>
  <r>
    <s v="Regular"/>
    <x v="3"/>
    <x v="4"/>
    <x v="1"/>
    <x v="2"/>
    <x v="1"/>
    <x v="0"/>
    <x v="2"/>
    <x v="10"/>
    <n v="0"/>
    <n v="0"/>
    <n v="14.973000000000001"/>
    <n v="4.94109"/>
    <n v="14.973000000000001"/>
    <n v="4.94109"/>
    <n v="0"/>
    <x v="0"/>
    <n v="0"/>
    <n v="0"/>
    <n v="43"/>
    <n v="84"/>
    <n v="0"/>
    <n v="334.07"/>
    <n v="224.55"/>
    <m/>
    <n v="453.79812567521839"/>
    <n v="224.6483414612014"/>
    <n v="0"/>
    <n v="1650.6699363"/>
    <n v="1109.5217595000001"/>
    <n v="0"/>
    <n v="2242.2573807925646"/>
    <n v="1110.0076735105276"/>
  </r>
  <r>
    <s v="Sistema de Compensação"/>
    <x v="3"/>
    <x v="4"/>
    <x v="1"/>
    <x v="2"/>
    <x v="1"/>
    <x v="0"/>
    <x v="2"/>
    <x v="10"/>
    <n v="0"/>
    <n v="0"/>
    <n v="0.85499999999999998"/>
    <n v="0.28215000000000001"/>
    <n v="0.85499999999999998"/>
    <n v="0.28215000000000001"/>
    <n v="0"/>
    <x v="0"/>
    <n v="0"/>
    <n v="0"/>
    <n v="43"/>
    <n v="84"/>
    <n v="0"/>
    <n v="334.07"/>
    <n v="224.55"/>
    <m/>
    <n v="453.79812567521839"/>
    <n v="224.6483414612014"/>
    <n v="0"/>
    <n v="94.257850500000004"/>
    <n v="63.356782500000008"/>
    <n v="0"/>
    <n v="128.03914115926287"/>
    <n v="63.384529543277978"/>
  </r>
  <r>
    <s v="PROJETADO"/>
    <x v="3"/>
    <x v="4"/>
    <x v="1"/>
    <x v="2"/>
    <x v="1"/>
    <x v="0"/>
    <x v="2"/>
    <x v="11"/>
    <n v="0"/>
    <n v="0"/>
    <n v="14.973000000000001"/>
    <n v="4.94109"/>
    <n v="14.973000000000001"/>
    <n v="4.94109"/>
    <n v="0"/>
    <x v="0"/>
    <n v="0"/>
    <n v="0"/>
    <n v="43"/>
    <n v="84"/>
    <n v="0"/>
    <n v="334.07"/>
    <n v="224.55"/>
    <m/>
    <n v="453.79812567521839"/>
    <n v="224.6483414612014"/>
    <n v="0"/>
    <n v="1650.6699363"/>
    <n v="1109.5217595000001"/>
    <n v="0"/>
    <n v="2242.2573807925646"/>
    <n v="1110.0076735105276"/>
  </r>
  <r>
    <s v="PROJETADO"/>
    <x v="3"/>
    <x v="4"/>
    <x v="1"/>
    <x v="2"/>
    <x v="1"/>
    <x v="0"/>
    <x v="2"/>
    <x v="11"/>
    <n v="0"/>
    <n v="0"/>
    <n v="0.85499999999999998"/>
    <n v="0.28215000000000001"/>
    <n v="0.85499999999999998"/>
    <n v="0.28215000000000001"/>
    <n v="0"/>
    <x v="0"/>
    <n v="0"/>
    <n v="0"/>
    <n v="43"/>
    <n v="84"/>
    <n v="0"/>
    <n v="334.07"/>
    <n v="224.55"/>
    <m/>
    <n v="453.79812567521839"/>
    <n v="224.6483414612014"/>
    <n v="0"/>
    <n v="94.257850500000004"/>
    <n v="63.356782500000008"/>
    <n v="0"/>
    <n v="128.03914115926287"/>
    <n v="63.384529543277978"/>
  </r>
  <r>
    <s v="Regular"/>
    <x v="3"/>
    <x v="4"/>
    <x v="1"/>
    <x v="0"/>
    <x v="0"/>
    <x v="0"/>
    <x v="2"/>
    <x v="4"/>
    <n v="0"/>
    <n v="0"/>
    <n v="1381.0450000000001"/>
    <n v="1381.0450000000001"/>
    <n v="1381.0450000000001"/>
    <n v="1381.0450000000001"/>
    <n v="4522"/>
    <x v="0"/>
    <n v="0"/>
    <n v="0"/>
    <n v="43"/>
    <n v="84"/>
    <n v="0"/>
    <n v="334.07"/>
    <n v="224.55"/>
    <m/>
    <n v="453.79812567521839"/>
    <n v="224.6483414612014"/>
    <n v="0"/>
    <n v="461365.70315000002"/>
    <n v="310113.65475000005"/>
    <n v="0"/>
    <n v="626715.63247313199"/>
    <n v="310249.46873328491"/>
  </r>
  <r>
    <s v="Sistema de Compensação"/>
    <x v="3"/>
    <x v="4"/>
    <x v="1"/>
    <x v="0"/>
    <x v="0"/>
    <x v="0"/>
    <x v="2"/>
    <x v="4"/>
    <n v="0"/>
    <n v="0"/>
    <n v="11.712"/>
    <n v="11.712"/>
    <n v="11.712"/>
    <n v="11.712"/>
    <n v="61"/>
    <x v="0"/>
    <n v="0"/>
    <n v="0"/>
    <n v="43"/>
    <n v="84"/>
    <n v="0"/>
    <n v="334.07"/>
    <n v="224.55"/>
    <m/>
    <n v="453.79812567521839"/>
    <n v="224.6483414612014"/>
    <n v="0"/>
    <n v="3912.6278399999997"/>
    <n v="2629.9295999999999"/>
    <n v="0"/>
    <n v="5314.8836479081574"/>
    <n v="2631.0813751935907"/>
  </r>
  <r>
    <s v="Regular"/>
    <x v="3"/>
    <x v="4"/>
    <x v="1"/>
    <x v="0"/>
    <x v="0"/>
    <x v="0"/>
    <x v="2"/>
    <x v="5"/>
    <n v="0"/>
    <n v="0"/>
    <n v="1271.596"/>
    <n v="1271.596"/>
    <n v="1271.596"/>
    <n v="1271.596"/>
    <n v="4519"/>
    <x v="0"/>
    <n v="0"/>
    <n v="0"/>
    <n v="43"/>
    <n v="84"/>
    <n v="0"/>
    <n v="334.07"/>
    <n v="224.55"/>
    <m/>
    <n v="453.79812567521839"/>
    <n v="224.6483414612014"/>
    <n v="0"/>
    <n v="424802.07571999996"/>
    <n v="285536.88180000003"/>
    <n v="0"/>
    <n v="577047.88141610497"/>
    <n v="285661.93240869784"/>
  </r>
  <r>
    <s v="Sistema de Compensação"/>
    <x v="3"/>
    <x v="4"/>
    <x v="1"/>
    <x v="0"/>
    <x v="0"/>
    <x v="0"/>
    <x v="2"/>
    <x v="5"/>
    <n v="0"/>
    <n v="0"/>
    <n v="12.464"/>
    <n v="12.464"/>
    <n v="12.464"/>
    <n v="12.464"/>
    <n v="66"/>
    <x v="0"/>
    <n v="0"/>
    <n v="0"/>
    <n v="43"/>
    <n v="84"/>
    <n v="0"/>
    <n v="334.07"/>
    <n v="224.55"/>
    <m/>
    <n v="453.79812567521839"/>
    <n v="224.6483414612014"/>
    <n v="0"/>
    <n v="4163.8484799999997"/>
    <n v="2798.7912000000001"/>
    <n v="0"/>
    <n v="5656.139838415922"/>
    <n v="2800.0169279724141"/>
  </r>
  <r>
    <s v="Regular"/>
    <x v="3"/>
    <x v="4"/>
    <x v="1"/>
    <x v="0"/>
    <x v="0"/>
    <x v="0"/>
    <x v="2"/>
    <x v="0"/>
    <n v="0"/>
    <n v="0"/>
    <n v="1167.3910000000001"/>
    <n v="1167.3910000000001"/>
    <n v="1167.3910000000001"/>
    <n v="1167.3910000000001"/>
    <n v="4510"/>
    <x v="0"/>
    <n v="0"/>
    <n v="0"/>
    <n v="43"/>
    <n v="84"/>
    <n v="0"/>
    <n v="334.07"/>
    <n v="224.55"/>
    <m/>
    <n v="453.79812567521839"/>
    <n v="224.6483414612014"/>
    <n v="0"/>
    <n v="389990.31137000001"/>
    <n v="262137.64905000004"/>
    <n v="0"/>
    <n v="529759.8477301189"/>
    <n v="262252.45198673336"/>
  </r>
  <r>
    <s v="Sistema de Compensação"/>
    <x v="3"/>
    <x v="4"/>
    <x v="1"/>
    <x v="0"/>
    <x v="0"/>
    <x v="0"/>
    <x v="2"/>
    <x v="0"/>
    <n v="0"/>
    <n v="0"/>
    <n v="17.41"/>
    <n v="17.41"/>
    <n v="17.41"/>
    <n v="17.41"/>
    <n v="70"/>
    <x v="0"/>
    <n v="0"/>
    <n v="0"/>
    <n v="43"/>
    <n v="84"/>
    <n v="0"/>
    <n v="334.07"/>
    <n v="224.55"/>
    <m/>
    <n v="453.79812567521839"/>
    <n v="224.6483414612014"/>
    <n v="0"/>
    <n v="5816.1587"/>
    <n v="3909.4155000000001"/>
    <n v="0"/>
    <n v="7900.6253680055524"/>
    <n v="3911.1276248395166"/>
  </r>
  <r>
    <s v="Regular"/>
    <x v="3"/>
    <x v="4"/>
    <x v="1"/>
    <x v="0"/>
    <x v="0"/>
    <x v="0"/>
    <x v="2"/>
    <x v="6"/>
    <n v="0"/>
    <n v="0"/>
    <n v="1228.2760000000001"/>
    <n v="1228.2760000000001"/>
    <n v="1228.2760000000001"/>
    <n v="1228.2760000000001"/>
    <n v="4501"/>
    <x v="0"/>
    <n v="0"/>
    <n v="0"/>
    <n v="43"/>
    <n v="84"/>
    <n v="0"/>
    <n v="334.07"/>
    <n v="224.55"/>
    <m/>
    <n v="453.79812567521839"/>
    <n v="224.6483414612014"/>
    <n v="0"/>
    <n v="410330.16331999999"/>
    <n v="275809.37580000004"/>
    <n v="0"/>
    <n v="557389.34661185462"/>
    <n v="275930.1662565986"/>
  </r>
  <r>
    <s v="Sistema de Compensação"/>
    <x v="3"/>
    <x v="4"/>
    <x v="1"/>
    <x v="0"/>
    <x v="0"/>
    <x v="0"/>
    <x v="2"/>
    <x v="6"/>
    <n v="0"/>
    <n v="0"/>
    <n v="12.071999999999999"/>
    <n v="12.071999999999999"/>
    <n v="12.071999999999999"/>
    <n v="12.071999999999999"/>
    <n v="72"/>
    <x v="0"/>
    <n v="0"/>
    <n v="0"/>
    <n v="43"/>
    <n v="84"/>
    <n v="0"/>
    <n v="334.07"/>
    <n v="224.55"/>
    <m/>
    <n v="453.79812567521839"/>
    <n v="224.6483414612014"/>
    <n v="0"/>
    <n v="4032.8930399999995"/>
    <n v="2710.7676000000001"/>
    <n v="0"/>
    <n v="5478.2509731512364"/>
    <n v="2711.9547781196229"/>
  </r>
  <r>
    <s v="Regular"/>
    <x v="3"/>
    <x v="4"/>
    <x v="1"/>
    <x v="0"/>
    <x v="0"/>
    <x v="0"/>
    <x v="2"/>
    <x v="7"/>
    <n v="0"/>
    <n v="0"/>
    <n v="1114.348"/>
    <n v="1114.348"/>
    <n v="1114.348"/>
    <n v="1114.348"/>
    <n v="4482"/>
    <x v="0"/>
    <n v="0"/>
    <n v="0"/>
    <n v="43"/>
    <n v="84"/>
    <n v="0"/>
    <n v="334.07"/>
    <n v="224.55"/>
    <m/>
    <n v="453.79812567521839"/>
    <n v="224.6483414612014"/>
    <n v="0"/>
    <n v="372270.23635999998"/>
    <n v="250226.84340000001"/>
    <n v="0"/>
    <n v="505689.03374992823"/>
    <n v="250336.43001060685"/>
  </r>
  <r>
    <s v="Sistema de Compensação"/>
    <x v="3"/>
    <x v="4"/>
    <x v="1"/>
    <x v="0"/>
    <x v="0"/>
    <x v="0"/>
    <x v="2"/>
    <x v="7"/>
    <n v="0"/>
    <n v="0"/>
    <n v="11.337"/>
    <n v="11.337"/>
    <n v="11.337"/>
    <n v="11.337"/>
    <n v="82"/>
    <x v="0"/>
    <n v="0"/>
    <n v="0"/>
    <n v="43"/>
    <n v="84"/>
    <n v="0"/>
    <n v="334.07"/>
    <n v="224.55"/>
    <m/>
    <n v="453.79812567521839"/>
    <n v="224.6483414612014"/>
    <n v="0"/>
    <n v="3787.3515899999998"/>
    <n v="2545.7233500000002"/>
    <n v="0"/>
    <n v="5144.7093507799509"/>
    <n v="2546.8382471456403"/>
  </r>
  <r>
    <s v="Regular"/>
    <x v="3"/>
    <x v="4"/>
    <x v="1"/>
    <x v="0"/>
    <x v="0"/>
    <x v="0"/>
    <x v="2"/>
    <x v="8"/>
    <n v="0"/>
    <n v="0"/>
    <n v="1176.8989999999999"/>
    <n v="1176.8989999999999"/>
    <n v="1176.8989999999999"/>
    <n v="1176.8989999999999"/>
    <n v="4469"/>
    <x v="0"/>
    <n v="0"/>
    <n v="0"/>
    <n v="43"/>
    <n v="84"/>
    <n v="0"/>
    <n v="334.07"/>
    <n v="224.55"/>
    <m/>
    <n v="453.79812567521839"/>
    <n v="224.6483414612014"/>
    <n v="0"/>
    <n v="393166.64892999997"/>
    <n v="264272.67044999998"/>
    <n v="0"/>
    <n v="534074.56030903885"/>
    <n v="264388.40841734642"/>
  </r>
  <r>
    <s v="Sistema de Compensação"/>
    <x v="3"/>
    <x v="4"/>
    <x v="1"/>
    <x v="0"/>
    <x v="0"/>
    <x v="0"/>
    <x v="2"/>
    <x v="8"/>
    <n v="0"/>
    <n v="0"/>
    <n v="27.274000000000001"/>
    <n v="27.274000000000001"/>
    <n v="27.274000000000001"/>
    <n v="27.274000000000001"/>
    <n v="91"/>
    <x v="0"/>
    <n v="0"/>
    <n v="0"/>
    <n v="43"/>
    <n v="84"/>
    <n v="0"/>
    <n v="334.07"/>
    <n v="224.55"/>
    <m/>
    <n v="453.79812567521839"/>
    <n v="224.6483414612014"/>
    <n v="0"/>
    <n v="9111.4251800000002"/>
    <n v="6124.3767000000007"/>
    <n v="0"/>
    <n v="12376.890079665907"/>
    <n v="6127.0588650128075"/>
  </r>
  <r>
    <s v="Regular"/>
    <x v="3"/>
    <x v="4"/>
    <x v="1"/>
    <x v="0"/>
    <x v="0"/>
    <x v="0"/>
    <x v="2"/>
    <x v="9"/>
    <n v="0"/>
    <n v="0"/>
    <n v="1273.9549999999999"/>
    <n v="1273.9549999999999"/>
    <n v="1273.9549999999999"/>
    <n v="1273.9549999999999"/>
    <n v="4481"/>
    <x v="0"/>
    <n v="0"/>
    <n v="0"/>
    <n v="43"/>
    <n v="84"/>
    <n v="0"/>
    <n v="334.07"/>
    <n v="224.55"/>
    <m/>
    <n v="453.79812567521839"/>
    <n v="224.6483414612014"/>
    <n v="0"/>
    <n v="425590.14684999996"/>
    <n v="286066.59525000001"/>
    <n v="0"/>
    <n v="578118.39119457279"/>
    <n v="286191.87784620479"/>
  </r>
  <r>
    <s v="Sistema de Compensação"/>
    <x v="3"/>
    <x v="4"/>
    <x v="1"/>
    <x v="0"/>
    <x v="0"/>
    <x v="0"/>
    <x v="2"/>
    <x v="9"/>
    <n v="0"/>
    <n v="0"/>
    <n v="24.559000000000001"/>
    <n v="24.559000000000001"/>
    <n v="24.559000000000001"/>
    <n v="24.559000000000001"/>
    <n v="100"/>
    <x v="0"/>
    <n v="0"/>
    <n v="0"/>
    <n v="43"/>
    <n v="84"/>
    <n v="0"/>
    <n v="334.07"/>
    <n v="224.55"/>
    <m/>
    <n v="453.79812567521839"/>
    <n v="224.6483414612014"/>
    <n v="0"/>
    <n v="8204.4251299999996"/>
    <n v="5514.7234500000004"/>
    <n v="0"/>
    <n v="11144.828168457689"/>
    <n v="5517.1386179456449"/>
  </r>
  <r>
    <s v="Regular"/>
    <x v="3"/>
    <x v="4"/>
    <x v="1"/>
    <x v="0"/>
    <x v="0"/>
    <x v="0"/>
    <x v="2"/>
    <x v="1"/>
    <n v="0"/>
    <n v="0"/>
    <n v="1163.0940000000001"/>
    <n v="1163.0940000000001"/>
    <n v="1163.0940000000001"/>
    <n v="1163.0940000000001"/>
    <n v="4476"/>
    <x v="0"/>
    <n v="0"/>
    <n v="0"/>
    <n v="43"/>
    <n v="84"/>
    <n v="0"/>
    <n v="334.07"/>
    <n v="224.55"/>
    <m/>
    <n v="453.79812567521839"/>
    <n v="224.6483414612014"/>
    <n v="0"/>
    <n v="388554.81258000003"/>
    <n v="261172.75770000002"/>
    <n v="0"/>
    <n v="527809.87718409253"/>
    <n v="261287.13806347459"/>
  </r>
  <r>
    <s v="Sistema de Compensação"/>
    <x v="3"/>
    <x v="4"/>
    <x v="1"/>
    <x v="0"/>
    <x v="0"/>
    <x v="0"/>
    <x v="2"/>
    <x v="1"/>
    <n v="0"/>
    <n v="0"/>
    <n v="23.04"/>
    <n v="23.04"/>
    <n v="23.04"/>
    <n v="23.04"/>
    <n v="105"/>
    <x v="0"/>
    <n v="0"/>
    <n v="0"/>
    <n v="43"/>
    <n v="84"/>
    <n v="0"/>
    <n v="334.07"/>
    <n v="224.55"/>
    <m/>
    <n v="453.79812567521839"/>
    <n v="224.6483414612014"/>
    <n v="0"/>
    <n v="7696.9727999999996"/>
    <n v="5173.6320000000005"/>
    <n v="0"/>
    <n v="10455.508815557032"/>
    <n v="5175.8977872660798"/>
  </r>
  <r>
    <s v="Regular"/>
    <x v="3"/>
    <x v="4"/>
    <x v="1"/>
    <x v="0"/>
    <x v="0"/>
    <x v="0"/>
    <x v="2"/>
    <x v="2"/>
    <n v="0"/>
    <n v="0"/>
    <n v="1133.1010000000001"/>
    <n v="1133.1010000000001"/>
    <n v="1133.1010000000001"/>
    <n v="1133.1010000000001"/>
    <n v="4468"/>
    <x v="0"/>
    <n v="0"/>
    <n v="0"/>
    <n v="43"/>
    <n v="84"/>
    <n v="0"/>
    <n v="334.07"/>
    <n v="224.55"/>
    <m/>
    <n v="453.79812567521839"/>
    <n v="224.6483414612014"/>
    <n v="0"/>
    <n v="378535.05107000005"/>
    <n v="254437.82955000002"/>
    <n v="0"/>
    <n v="514199.11000071571"/>
    <n v="254549.26035802878"/>
  </r>
  <r>
    <s v="Sistema de Compensação"/>
    <x v="3"/>
    <x v="4"/>
    <x v="1"/>
    <x v="0"/>
    <x v="0"/>
    <x v="0"/>
    <x v="2"/>
    <x v="2"/>
    <n v="0"/>
    <n v="0"/>
    <n v="25.085000000000001"/>
    <n v="25.085000000000001"/>
    <n v="25.085000000000001"/>
    <n v="25.085000000000001"/>
    <n v="109"/>
    <x v="0"/>
    <n v="0"/>
    <n v="0"/>
    <n v="43"/>
    <n v="84"/>
    <n v="0"/>
    <n v="334.07"/>
    <n v="224.55"/>
    <m/>
    <n v="453.79812567521839"/>
    <n v="224.6483414612014"/>
    <n v="0"/>
    <n v="8380.1459500000001"/>
    <n v="5632.8367500000004"/>
    <n v="0"/>
    <n v="11383.525982562853"/>
    <n v="5635.3036455542369"/>
  </r>
  <r>
    <s v="Regular"/>
    <x v="3"/>
    <x v="4"/>
    <x v="1"/>
    <x v="0"/>
    <x v="0"/>
    <x v="0"/>
    <x v="2"/>
    <x v="3"/>
    <n v="0"/>
    <n v="0"/>
    <n v="1323.0640000000001"/>
    <n v="1323.0640000000001"/>
    <n v="1323.0640000000001"/>
    <n v="1323.0640000000001"/>
    <n v="4459"/>
    <x v="0"/>
    <n v="0"/>
    <n v="0"/>
    <n v="43"/>
    <n v="84"/>
    <n v="0"/>
    <n v="334.07"/>
    <n v="224.55"/>
    <m/>
    <n v="453.79812567521839"/>
    <n v="224.6483414612014"/>
    <n v="0"/>
    <n v="441995.99048000004"/>
    <n v="297094.02120000002"/>
    <n v="0"/>
    <n v="600403.96334835712"/>
    <n v="297224.13324702298"/>
  </r>
  <r>
    <s v="Sistema de Compensação"/>
    <x v="3"/>
    <x v="4"/>
    <x v="1"/>
    <x v="0"/>
    <x v="0"/>
    <x v="0"/>
    <x v="2"/>
    <x v="3"/>
    <n v="0"/>
    <n v="0"/>
    <n v="24.838999999999999"/>
    <n v="24.838999999999999"/>
    <n v="24.838999999999999"/>
    <n v="24.838999999999999"/>
    <n v="117"/>
    <x v="0"/>
    <n v="0"/>
    <n v="0"/>
    <n v="43"/>
    <n v="84"/>
    <n v="0"/>
    <n v="334.07"/>
    <n v="224.55"/>
    <m/>
    <n v="453.79812567521839"/>
    <n v="224.6483414612014"/>
    <n v="0"/>
    <n v="8297.9647299999997"/>
    <n v="5577.5974500000002"/>
    <n v="0"/>
    <n v="11271.891643646748"/>
    <n v="5580.0401535547808"/>
  </r>
  <r>
    <s v="Regular"/>
    <x v="3"/>
    <x v="4"/>
    <x v="1"/>
    <x v="0"/>
    <x v="0"/>
    <x v="0"/>
    <x v="2"/>
    <x v="10"/>
    <n v="0"/>
    <n v="0"/>
    <n v="1539.942"/>
    <n v="1539.942"/>
    <n v="1539.942"/>
    <n v="1539.942"/>
    <n v="4452"/>
    <x v="0"/>
    <n v="0"/>
    <n v="0"/>
    <n v="43"/>
    <n v="84"/>
    <n v="0"/>
    <n v="334.07"/>
    <n v="224.55"/>
    <m/>
    <n v="453.79812567521839"/>
    <n v="224.6483414612014"/>
    <n v="0"/>
    <n v="514448.42394000001"/>
    <n v="345793.97610000003"/>
    <n v="0"/>
    <n v="698822.79324854712"/>
    <n v="345945.41624644538"/>
  </r>
  <r>
    <s v="Sistema de Compensação"/>
    <x v="3"/>
    <x v="4"/>
    <x v="1"/>
    <x v="0"/>
    <x v="0"/>
    <x v="0"/>
    <x v="2"/>
    <x v="10"/>
    <n v="0"/>
    <n v="0"/>
    <n v="27.417000000000002"/>
    <n v="27.417000000000002"/>
    <n v="27.417000000000002"/>
    <n v="27.417000000000002"/>
    <n v="125"/>
    <x v="0"/>
    <n v="0"/>
    <n v="0"/>
    <n v="43"/>
    <n v="84"/>
    <n v="0"/>
    <n v="334.07"/>
    <n v="224.55"/>
    <m/>
    <n v="453.79812567521839"/>
    <n v="224.6483414612014"/>
    <n v="0"/>
    <n v="9159.1971900000008"/>
    <n v="6156.4873500000003"/>
    <n v="0"/>
    <n v="12441.783211637463"/>
    <n v="6159.183577841759"/>
  </r>
  <r>
    <s v="PROJETADO"/>
    <x v="3"/>
    <x v="4"/>
    <x v="1"/>
    <x v="0"/>
    <x v="0"/>
    <x v="0"/>
    <x v="2"/>
    <x v="11"/>
    <n v="0"/>
    <n v="0"/>
    <n v="1539.942"/>
    <n v="1539.942"/>
    <n v="1539.942"/>
    <n v="1539.942"/>
    <n v="4452"/>
    <x v="0"/>
    <n v="0"/>
    <n v="0"/>
    <n v="43"/>
    <n v="84"/>
    <n v="0"/>
    <n v="334.07"/>
    <n v="224.55"/>
    <m/>
    <n v="453.79812567521839"/>
    <n v="224.6483414612014"/>
    <n v="0"/>
    <n v="514448.42394000001"/>
    <n v="345793.97610000003"/>
    <n v="0"/>
    <n v="698822.79324854712"/>
    <n v="345945.41624644538"/>
  </r>
  <r>
    <s v="PROJETADO"/>
    <x v="3"/>
    <x v="4"/>
    <x v="1"/>
    <x v="0"/>
    <x v="0"/>
    <x v="0"/>
    <x v="2"/>
    <x v="11"/>
    <n v="0"/>
    <n v="0"/>
    <n v="27.417000000000002"/>
    <n v="27.417000000000002"/>
    <n v="27.417000000000002"/>
    <n v="27.417000000000002"/>
    <n v="125"/>
    <x v="0"/>
    <n v="0"/>
    <n v="0"/>
    <n v="43"/>
    <n v="84"/>
    <n v="0"/>
    <n v="334.07"/>
    <n v="224.55"/>
    <m/>
    <n v="453.79812567521839"/>
    <n v="224.6483414612014"/>
    <n v="0"/>
    <n v="9159.1971900000008"/>
    <n v="6156.4873500000003"/>
    <n v="0"/>
    <n v="12441.783211637463"/>
    <n v="6159.183577841759"/>
  </r>
  <r>
    <s v="Regular"/>
    <x v="4"/>
    <x v="3"/>
    <x v="0"/>
    <x v="0"/>
    <x v="0"/>
    <x v="0"/>
    <x v="0"/>
    <x v="4"/>
    <n v="0"/>
    <n v="0"/>
    <n v="7.7889999999999997"/>
    <n v="7.7889999999999997"/>
    <n v="7.7889999999999997"/>
    <n v="7.7889999999999997"/>
    <n v="0"/>
    <x v="0"/>
    <n v="0"/>
    <n v="0"/>
    <n v="57"/>
    <n v="98"/>
    <n v="0"/>
    <n v="295.61"/>
    <n v="242.77"/>
    <m/>
    <n v="389.34061901448888"/>
    <n v="227.53897547400734"/>
    <n v="0"/>
    <n v="2302.5062899999998"/>
    <n v="1890.93553"/>
    <n v="0"/>
    <n v="3032.5740815038539"/>
    <n v="1772.3010799670431"/>
  </r>
  <r>
    <s v="Regular"/>
    <x v="4"/>
    <x v="3"/>
    <x v="0"/>
    <x v="0"/>
    <x v="0"/>
    <x v="0"/>
    <x v="0"/>
    <x v="5"/>
    <n v="0"/>
    <n v="0"/>
    <n v="6.8789999999999996"/>
    <n v="6.8789999999999996"/>
    <n v="6.8789999999999996"/>
    <n v="6.8789999999999996"/>
    <n v="0"/>
    <x v="0"/>
    <n v="0"/>
    <n v="0"/>
    <n v="57"/>
    <n v="98"/>
    <n v="0"/>
    <n v="295.61"/>
    <n v="242.77"/>
    <m/>
    <n v="389.34061901448888"/>
    <n v="227.53897547400734"/>
    <n v="0"/>
    <n v="2033.50119"/>
    <n v="1670.0148300000001"/>
    <n v="0"/>
    <n v="2678.2741182006689"/>
    <n v="1565.2406122856964"/>
  </r>
  <r>
    <s v="Regular"/>
    <x v="4"/>
    <x v="3"/>
    <x v="0"/>
    <x v="0"/>
    <x v="0"/>
    <x v="0"/>
    <x v="0"/>
    <x v="0"/>
    <n v="0"/>
    <n v="0"/>
    <n v="7.7439999999999998"/>
    <n v="7.7439999999999998"/>
    <n v="7.7439999999999998"/>
    <n v="7.7439999999999998"/>
    <n v="0"/>
    <x v="0"/>
    <n v="0"/>
    <n v="0"/>
    <n v="57"/>
    <n v="98"/>
    <n v="0"/>
    <n v="295.61"/>
    <n v="242.77"/>
    <m/>
    <n v="389.34061901448888"/>
    <n v="227.53897547400734"/>
    <n v="0"/>
    <n v="2289.2038400000001"/>
    <n v="1880.01088"/>
    <n v="0"/>
    <n v="3015.053753648202"/>
    <n v="1762.0618260707129"/>
  </r>
  <r>
    <s v="Regular"/>
    <x v="4"/>
    <x v="3"/>
    <x v="0"/>
    <x v="0"/>
    <x v="0"/>
    <x v="0"/>
    <x v="0"/>
    <x v="6"/>
    <n v="0"/>
    <n v="0"/>
    <n v="7.1369999999999996"/>
    <n v="7.1369999999999996"/>
    <n v="7.1369999999999996"/>
    <n v="7.1369999999999996"/>
    <n v="0"/>
    <x v="0"/>
    <n v="0"/>
    <n v="0"/>
    <n v="57"/>
    <n v="98"/>
    <n v="0"/>
    <n v="295.61"/>
    <n v="242.77"/>
    <m/>
    <n v="389.34061901448888"/>
    <n v="227.53897547400734"/>
    <n v="0"/>
    <n v="2109.7685700000002"/>
    <n v="1732.64949"/>
    <n v="0"/>
    <n v="2778.723997906407"/>
    <n v="1623.9456679579903"/>
  </r>
  <r>
    <s v="Regular"/>
    <x v="4"/>
    <x v="3"/>
    <x v="0"/>
    <x v="0"/>
    <x v="0"/>
    <x v="0"/>
    <x v="0"/>
    <x v="7"/>
    <n v="0"/>
    <n v="0"/>
    <n v="6.2789999999999999"/>
    <n v="6.2789999999999999"/>
    <n v="6.2789999999999999"/>
    <n v="6.2789999999999999"/>
    <n v="0"/>
    <x v="0"/>
    <n v="0"/>
    <n v="0"/>
    <n v="57"/>
    <n v="98"/>
    <n v="0"/>
    <n v="295.61"/>
    <n v="242.77"/>
    <m/>
    <n v="389.34061901448888"/>
    <n v="227.53897547400734"/>
    <n v="0"/>
    <n v="1856.13519"/>
    <n v="1524.35283"/>
    <n v="0"/>
    <n v="2444.6697467919757"/>
    <n v="1428.717227001292"/>
  </r>
  <r>
    <s v="Regular"/>
    <x v="4"/>
    <x v="3"/>
    <x v="0"/>
    <x v="0"/>
    <x v="0"/>
    <x v="0"/>
    <x v="0"/>
    <x v="8"/>
    <n v="0"/>
    <n v="0"/>
    <n v="7.7119999999999997"/>
    <n v="7.7119999999999997"/>
    <n v="7.7119999999999997"/>
    <n v="7.7119999999999997"/>
    <n v="0"/>
    <x v="0"/>
    <n v="0"/>
    <n v="0"/>
    <n v="57"/>
    <n v="98"/>
    <n v="0"/>
    <n v="295.61"/>
    <n v="242.77"/>
    <m/>
    <n v="389.34061901448888"/>
    <n v="227.53897547400734"/>
    <n v="0"/>
    <n v="2279.7443200000002"/>
    <n v="1872.24224"/>
    <n v="0"/>
    <n v="3002.5948538397383"/>
    <n v="1754.7805788555445"/>
  </r>
  <r>
    <s v="Regular"/>
    <x v="4"/>
    <x v="3"/>
    <x v="0"/>
    <x v="0"/>
    <x v="0"/>
    <x v="0"/>
    <x v="0"/>
    <x v="9"/>
    <n v="0"/>
    <n v="0"/>
    <n v="8.8460000000000001"/>
    <n v="8.8460000000000001"/>
    <n v="8.8460000000000001"/>
    <n v="8.8460000000000001"/>
    <n v="0"/>
    <x v="0"/>
    <n v="0"/>
    <n v="0"/>
    <n v="57"/>
    <n v="98"/>
    <n v="0"/>
    <n v="295.61"/>
    <n v="242.77"/>
    <m/>
    <n v="389.34061901448888"/>
    <n v="227.53897547400734"/>
    <n v="0"/>
    <n v="2614.9660600000002"/>
    <n v="2147.54342"/>
    <n v="0"/>
    <n v="3444.1071158021687"/>
    <n v="2012.8097770430691"/>
  </r>
  <r>
    <s v="Regular"/>
    <x v="4"/>
    <x v="3"/>
    <x v="0"/>
    <x v="0"/>
    <x v="0"/>
    <x v="0"/>
    <x v="0"/>
    <x v="1"/>
    <n v="0"/>
    <n v="0"/>
    <n v="5.734"/>
    <n v="5.734"/>
    <n v="5.734"/>
    <n v="5.734"/>
    <n v="0"/>
    <x v="0"/>
    <n v="0"/>
    <n v="0"/>
    <n v="57"/>
    <n v="98"/>
    <n v="0"/>
    <n v="295.61"/>
    <n v="242.77"/>
    <m/>
    <n v="389.34061901448888"/>
    <n v="227.53897547400734"/>
    <n v="0"/>
    <n v="1695.02774"/>
    <n v="1392.0431800000001"/>
    <n v="0"/>
    <n v="2232.479109429079"/>
    <n v="1304.708485367958"/>
  </r>
  <r>
    <s v="Sistema de Compensação"/>
    <x v="4"/>
    <x v="3"/>
    <x v="0"/>
    <x v="0"/>
    <x v="0"/>
    <x v="0"/>
    <x v="0"/>
    <x v="1"/>
    <n v="0"/>
    <n v="0"/>
    <n v="0.309"/>
    <n v="0.309"/>
    <n v="0.309"/>
    <n v="0.309"/>
    <n v="0"/>
    <x v="0"/>
    <n v="0"/>
    <n v="0"/>
    <n v="57"/>
    <n v="98"/>
    <n v="0"/>
    <n v="295.61"/>
    <n v="242.77"/>
    <m/>
    <n v="389.34061901448888"/>
    <n v="227.53897547400734"/>
    <n v="0"/>
    <n v="91.343490000000003"/>
    <n v="75.015929999999997"/>
    <n v="0"/>
    <n v="120.30625127547707"/>
    <n v="70.309543421468263"/>
  </r>
  <r>
    <s v="Regular"/>
    <x v="4"/>
    <x v="3"/>
    <x v="0"/>
    <x v="0"/>
    <x v="0"/>
    <x v="0"/>
    <x v="0"/>
    <x v="2"/>
    <n v="0"/>
    <n v="0"/>
    <n v="6.3289999999999997"/>
    <n v="6.3289999999999997"/>
    <n v="6.3289999999999997"/>
    <n v="6.3289999999999997"/>
    <n v="0"/>
    <x v="0"/>
    <n v="0"/>
    <n v="0"/>
    <n v="57"/>
    <n v="98"/>
    <n v="0"/>
    <n v="295.61"/>
    <n v="242.77"/>
    <m/>
    <n v="389.34061901448888"/>
    <n v="227.53897547400734"/>
    <n v="0"/>
    <n v="1870.91569"/>
    <n v="1536.4913300000001"/>
    <n v="0"/>
    <n v="2464.1367777426999"/>
    <n v="1440.0941757749924"/>
  </r>
  <r>
    <s v="Regular"/>
    <x v="4"/>
    <x v="3"/>
    <x v="0"/>
    <x v="0"/>
    <x v="0"/>
    <x v="0"/>
    <x v="0"/>
    <x v="3"/>
    <n v="0"/>
    <n v="0"/>
    <n v="5.601"/>
    <n v="5.601"/>
    <n v="5.601"/>
    <n v="5.601"/>
    <n v="0"/>
    <x v="0"/>
    <n v="0"/>
    <n v="0"/>
    <n v="57"/>
    <n v="98"/>
    <n v="0"/>
    <n v="295.61"/>
    <n v="242.77"/>
    <m/>
    <n v="389.34061901448888"/>
    <n v="227.53897547400734"/>
    <n v="0"/>
    <n v="1655.7116100000001"/>
    <n v="1359.75477"/>
    <n v="0"/>
    <n v="2180.696807100152"/>
    <n v="1274.4458016299152"/>
  </r>
  <r>
    <s v="Regular"/>
    <x v="4"/>
    <x v="3"/>
    <x v="0"/>
    <x v="0"/>
    <x v="0"/>
    <x v="0"/>
    <x v="0"/>
    <x v="10"/>
    <n v="0"/>
    <n v="0"/>
    <n v="6.96"/>
    <n v="6.96"/>
    <n v="6.96"/>
    <n v="6.96"/>
    <n v="0"/>
    <x v="0"/>
    <n v="0"/>
    <n v="0"/>
    <n v="57"/>
    <n v="98"/>
    <n v="0"/>
    <n v="295.61"/>
    <n v="242.77"/>
    <m/>
    <n v="389.34061901448888"/>
    <n v="227.53897547400734"/>
    <n v="0"/>
    <n v="2057.4456"/>
    <n v="1689.6792"/>
    <n v="0"/>
    <n v="2709.8107083408427"/>
    <n v="1583.6712692990911"/>
  </r>
  <r>
    <s v="PROJETADO"/>
    <x v="4"/>
    <x v="3"/>
    <x v="0"/>
    <x v="0"/>
    <x v="0"/>
    <x v="0"/>
    <x v="0"/>
    <x v="11"/>
    <n v="0"/>
    <n v="0"/>
    <n v="6.96"/>
    <n v="6.96"/>
    <n v="6.96"/>
    <n v="6.96"/>
    <n v="0"/>
    <x v="0"/>
    <n v="0"/>
    <n v="0"/>
    <n v="57"/>
    <n v="98"/>
    <n v="0"/>
    <n v="295.61"/>
    <n v="242.77"/>
    <m/>
    <n v="389.34061901448888"/>
    <n v="227.53897547400734"/>
    <n v="0"/>
    <n v="2057.4456"/>
    <n v="1689.6792"/>
    <n v="0"/>
    <n v="2709.8107083408427"/>
    <n v="1583.6712692990911"/>
  </r>
  <r>
    <s v="Regular"/>
    <x v="4"/>
    <x v="3"/>
    <x v="0"/>
    <x v="0"/>
    <x v="0"/>
    <x v="0"/>
    <x v="3"/>
    <x v="4"/>
    <n v="0"/>
    <n v="0"/>
    <n v="0.53500000000000003"/>
    <n v="0.53500000000000003"/>
    <n v="0.53500000000000003"/>
    <n v="0.53500000000000003"/>
    <n v="0"/>
    <x v="0"/>
    <n v="0"/>
    <n v="0"/>
    <n v="56"/>
    <n v="97"/>
    <n v="0"/>
    <n v="669.59"/>
    <n v="242.77"/>
    <m/>
    <n v="805.22509515559398"/>
    <n v="227.53897547400734"/>
    <n v="0"/>
    <n v="358.23065000000003"/>
    <n v="129.88195000000002"/>
    <n v="0"/>
    <n v="430.79542590824281"/>
    <n v="121.73335187859394"/>
  </r>
  <r>
    <s v="Regular"/>
    <x v="4"/>
    <x v="3"/>
    <x v="0"/>
    <x v="0"/>
    <x v="0"/>
    <x v="0"/>
    <x v="3"/>
    <x v="5"/>
    <n v="0"/>
    <n v="0"/>
    <n v="0.47199999999999998"/>
    <n v="0.47199999999999998"/>
    <n v="0.47199999999999998"/>
    <n v="0.47199999999999998"/>
    <n v="0"/>
    <x v="0"/>
    <n v="0"/>
    <n v="0"/>
    <n v="56"/>
    <n v="97"/>
    <n v="0"/>
    <n v="669.59"/>
    <n v="242.77"/>
    <m/>
    <n v="805.22509515559398"/>
    <n v="227.53897547400734"/>
    <n v="0"/>
    <n v="316.04647999999997"/>
    <n v="114.58744"/>
    <n v="0"/>
    <n v="380.06624491344036"/>
    <n v="107.39839642373146"/>
  </r>
  <r>
    <s v="Regular"/>
    <x v="4"/>
    <x v="3"/>
    <x v="0"/>
    <x v="0"/>
    <x v="0"/>
    <x v="0"/>
    <x v="3"/>
    <x v="0"/>
    <n v="0"/>
    <n v="0"/>
    <n v="0.58599999999999997"/>
    <n v="0.58599999999999997"/>
    <n v="0.58599999999999997"/>
    <n v="0.58599999999999997"/>
    <n v="0"/>
    <x v="0"/>
    <n v="0"/>
    <n v="0"/>
    <n v="56"/>
    <n v="97"/>
    <n v="0"/>
    <n v="669.59"/>
    <n v="242.77"/>
    <m/>
    <n v="805.22509515559398"/>
    <n v="227.53897547400734"/>
    <n v="0"/>
    <n v="392.37973999999997"/>
    <n v="142.26321999999999"/>
    <n v="0"/>
    <n v="471.86190576117804"/>
    <n v="133.33783962776829"/>
  </r>
  <r>
    <s v="Regular"/>
    <x v="4"/>
    <x v="3"/>
    <x v="0"/>
    <x v="0"/>
    <x v="0"/>
    <x v="0"/>
    <x v="3"/>
    <x v="6"/>
    <n v="0"/>
    <n v="0"/>
    <n v="0.57399999999999995"/>
    <n v="0.57399999999999995"/>
    <n v="0.57399999999999995"/>
    <n v="0.57399999999999995"/>
    <n v="0"/>
    <x v="0"/>
    <n v="0"/>
    <n v="0"/>
    <n v="56"/>
    <n v="97"/>
    <n v="0"/>
    <n v="669.59"/>
    <n v="242.77"/>
    <m/>
    <n v="805.22509515559398"/>
    <n v="227.53897547400734"/>
    <n v="0"/>
    <n v="384.34465999999998"/>
    <n v="139.34997999999999"/>
    <n v="0"/>
    <n v="462.19920461931093"/>
    <n v="130.6073719220802"/>
  </r>
  <r>
    <s v="Regular"/>
    <x v="4"/>
    <x v="3"/>
    <x v="0"/>
    <x v="0"/>
    <x v="0"/>
    <x v="0"/>
    <x v="3"/>
    <x v="7"/>
    <n v="0"/>
    <n v="0"/>
    <n v="0.436"/>
    <n v="0.436"/>
    <n v="0.436"/>
    <n v="0.436"/>
    <n v="0"/>
    <x v="0"/>
    <n v="0"/>
    <n v="0"/>
    <n v="56"/>
    <n v="97"/>
    <n v="0"/>
    <n v="669.59"/>
    <n v="242.77"/>
    <m/>
    <n v="805.22509515559398"/>
    <n v="227.53897547400734"/>
    <n v="0"/>
    <n v="291.94123999999999"/>
    <n v="105.84772000000001"/>
    <n v="0"/>
    <n v="351.07814148783899"/>
    <n v="99.206993306667201"/>
  </r>
  <r>
    <s v="Regular"/>
    <x v="4"/>
    <x v="3"/>
    <x v="0"/>
    <x v="0"/>
    <x v="0"/>
    <x v="0"/>
    <x v="3"/>
    <x v="8"/>
    <n v="0"/>
    <n v="0"/>
    <n v="0.61299999999999999"/>
    <n v="0.61299999999999999"/>
    <n v="0.61299999999999999"/>
    <n v="0.61299999999999999"/>
    <n v="0"/>
    <x v="0"/>
    <n v="0"/>
    <n v="0"/>
    <n v="56"/>
    <n v="97"/>
    <n v="0"/>
    <n v="669.59"/>
    <n v="242.77"/>
    <m/>
    <n v="805.22509515559398"/>
    <n v="227.53897547400734"/>
    <n v="0"/>
    <n v="410.45867000000004"/>
    <n v="148.81801000000002"/>
    <n v="0"/>
    <n v="493.60298333037912"/>
    <n v="139.4813919655665"/>
  </r>
  <r>
    <s v="Regular"/>
    <x v="4"/>
    <x v="3"/>
    <x v="0"/>
    <x v="0"/>
    <x v="0"/>
    <x v="0"/>
    <x v="3"/>
    <x v="9"/>
    <n v="0"/>
    <n v="0"/>
    <n v="0.56599999999999995"/>
    <n v="0.56599999999999995"/>
    <n v="0.56599999999999995"/>
    <n v="0.56599999999999995"/>
    <n v="0"/>
    <x v="0"/>
    <n v="0"/>
    <n v="0"/>
    <n v="56"/>
    <n v="97"/>
    <n v="0"/>
    <n v="669.59"/>
    <n v="242.77"/>
    <m/>
    <n v="805.22509515559398"/>
    <n v="227.53897547400734"/>
    <n v="0"/>
    <n v="378.98793999999998"/>
    <n v="137.40781999999999"/>
    <n v="0"/>
    <n v="455.75740385806614"/>
    <n v="128.78706011828814"/>
  </r>
  <r>
    <s v="Regular"/>
    <x v="4"/>
    <x v="3"/>
    <x v="0"/>
    <x v="0"/>
    <x v="0"/>
    <x v="0"/>
    <x v="3"/>
    <x v="1"/>
    <n v="0"/>
    <n v="0"/>
    <n v="0.42499999999999999"/>
    <n v="0.42499999999999999"/>
    <n v="0.42499999999999999"/>
    <n v="0.42499999999999999"/>
    <n v="0"/>
    <x v="0"/>
    <n v="0"/>
    <n v="0"/>
    <n v="56"/>
    <n v="97"/>
    <n v="0"/>
    <n v="669.59"/>
    <n v="242.77"/>
    <m/>
    <n v="805.22509515559398"/>
    <n v="227.53897547400734"/>
    <n v="0"/>
    <n v="284.57575000000003"/>
    <n v="103.17725"/>
    <n v="0"/>
    <n v="342.22066544112744"/>
    <n v="96.704064576453121"/>
  </r>
  <r>
    <s v="Sistema de Compensação"/>
    <x v="4"/>
    <x v="3"/>
    <x v="0"/>
    <x v="0"/>
    <x v="0"/>
    <x v="0"/>
    <x v="3"/>
    <x v="1"/>
    <n v="0"/>
    <n v="0"/>
    <n v="0.05"/>
    <n v="0.05"/>
    <n v="0.05"/>
    <n v="0.05"/>
    <n v="0"/>
    <x v="0"/>
    <n v="0"/>
    <n v="0"/>
    <n v="56"/>
    <n v="97"/>
    <n v="0"/>
    <n v="669.59"/>
    <n v="242.77"/>
    <m/>
    <n v="805.22509515559398"/>
    <n v="227.53897547400734"/>
    <n v="0"/>
    <n v="33.479500000000002"/>
    <n v="12.138500000000001"/>
    <n v="0"/>
    <n v="40.261254757779703"/>
    <n v="11.376948773700368"/>
  </r>
  <r>
    <s v="Regular"/>
    <x v="4"/>
    <x v="3"/>
    <x v="0"/>
    <x v="0"/>
    <x v="0"/>
    <x v="0"/>
    <x v="3"/>
    <x v="2"/>
    <n v="0"/>
    <n v="0"/>
    <n v="0.41899999999999998"/>
    <n v="0.41899999999999998"/>
    <n v="0.41899999999999998"/>
    <n v="0.41899999999999998"/>
    <n v="0"/>
    <x v="0"/>
    <n v="0"/>
    <n v="0"/>
    <n v="56"/>
    <n v="97"/>
    <n v="0"/>
    <n v="669.59"/>
    <n v="242.77"/>
    <m/>
    <n v="805.22509515559398"/>
    <n v="227.53897547400734"/>
    <n v="0"/>
    <n v="280.55820999999997"/>
    <n v="101.72063"/>
    <n v="0"/>
    <n v="337.38931487019386"/>
    <n v="95.338830723609078"/>
  </r>
  <r>
    <s v="Sistema de Compensação"/>
    <x v="4"/>
    <x v="3"/>
    <x v="0"/>
    <x v="0"/>
    <x v="0"/>
    <x v="0"/>
    <x v="3"/>
    <x v="2"/>
    <n v="0"/>
    <n v="0"/>
    <n v="4.7E-2"/>
    <n v="4.7E-2"/>
    <n v="4.7E-2"/>
    <n v="4.7E-2"/>
    <n v="0"/>
    <x v="0"/>
    <n v="0"/>
    <n v="0"/>
    <n v="56"/>
    <n v="97"/>
    <n v="0"/>
    <n v="669.59"/>
    <n v="242.77"/>
    <m/>
    <n v="805.22509515559398"/>
    <n v="227.53897547400734"/>
    <n v="0"/>
    <n v="31.470730000000003"/>
    <n v="11.41019"/>
    <n v="0"/>
    <n v="37.84557947231292"/>
    <n v="10.694331847278345"/>
  </r>
  <r>
    <s v="Regular"/>
    <x v="4"/>
    <x v="3"/>
    <x v="0"/>
    <x v="0"/>
    <x v="0"/>
    <x v="0"/>
    <x v="3"/>
    <x v="3"/>
    <n v="0"/>
    <n v="0"/>
    <n v="0.39400000000000002"/>
    <n v="0.39400000000000002"/>
    <n v="0.39400000000000002"/>
    <n v="0.39400000000000002"/>
    <n v="0"/>
    <x v="0"/>
    <n v="0"/>
    <n v="0"/>
    <n v="56"/>
    <n v="97"/>
    <n v="0"/>
    <n v="669.59"/>
    <n v="242.77"/>
    <m/>
    <n v="805.22509515559398"/>
    <n v="227.53897547400734"/>
    <n v="0"/>
    <n v="263.81846000000002"/>
    <n v="95.651380000000003"/>
    <n v="0"/>
    <n v="317.25868749130404"/>
    <n v="89.650356336758904"/>
  </r>
  <r>
    <s v="Regular"/>
    <x v="4"/>
    <x v="3"/>
    <x v="0"/>
    <x v="0"/>
    <x v="0"/>
    <x v="0"/>
    <x v="3"/>
    <x v="10"/>
    <n v="0"/>
    <n v="0"/>
    <n v="0.496"/>
    <n v="0.496"/>
    <n v="0.496"/>
    <n v="0.496"/>
    <n v="0"/>
    <x v="0"/>
    <n v="0"/>
    <n v="0"/>
    <n v="56"/>
    <n v="97"/>
    <n v="0"/>
    <n v="669.59"/>
    <n v="242.77"/>
    <m/>
    <n v="805.22509515559398"/>
    <n v="227.53897547400734"/>
    <n v="0"/>
    <n v="332.11664000000002"/>
    <n v="120.41392"/>
    <n v="0"/>
    <n v="399.39164719717462"/>
    <n v="112.85933183510764"/>
  </r>
  <r>
    <s v="PROJETADO"/>
    <x v="4"/>
    <x v="3"/>
    <x v="0"/>
    <x v="0"/>
    <x v="0"/>
    <x v="0"/>
    <x v="3"/>
    <x v="11"/>
    <n v="0"/>
    <n v="0"/>
    <n v="0.496"/>
    <n v="0.496"/>
    <n v="0.496"/>
    <n v="0.496"/>
    <n v="0"/>
    <x v="0"/>
    <n v="0"/>
    <n v="0"/>
    <n v="56"/>
    <n v="97"/>
    <n v="0"/>
    <n v="669.59"/>
    <n v="242.77"/>
    <m/>
    <n v="805.22509515559398"/>
    <n v="227.53897547400734"/>
    <n v="0"/>
    <n v="332.11664000000002"/>
    <n v="120.41392"/>
    <n v="0"/>
    <n v="399.39164719717462"/>
    <n v="112.85933183510764"/>
  </r>
  <r>
    <s v="Regular"/>
    <x v="4"/>
    <x v="3"/>
    <x v="0"/>
    <x v="0"/>
    <x v="0"/>
    <x v="0"/>
    <x v="1"/>
    <x v="4"/>
    <n v="0"/>
    <n v="0"/>
    <n v="0.64600000000000002"/>
    <n v="0.64600000000000002"/>
    <n v="0.64600000000000002"/>
    <n v="0.64600000000000002"/>
    <n v="0"/>
    <x v="0"/>
    <n v="0"/>
    <n v="0"/>
    <n v="55"/>
    <n v="96"/>
    <n v="0"/>
    <n v="1043.57"/>
    <n v="391.54"/>
    <m/>
    <n v="1221.1096998404321"/>
    <n v="364.92243737572466"/>
    <n v="0"/>
    <n v="674.14621999999997"/>
    <n v="252.93484000000001"/>
    <n v="0"/>
    <n v="788.83686609691915"/>
    <n v="235.73989454471814"/>
  </r>
  <r>
    <s v="Regular"/>
    <x v="4"/>
    <x v="3"/>
    <x v="0"/>
    <x v="0"/>
    <x v="0"/>
    <x v="0"/>
    <x v="1"/>
    <x v="5"/>
    <n v="0"/>
    <n v="0"/>
    <n v="0.60799999999999998"/>
    <n v="0.60799999999999998"/>
    <n v="0.60799999999999998"/>
    <n v="0.60799999999999998"/>
    <n v="0"/>
    <x v="0"/>
    <n v="0"/>
    <n v="0"/>
    <n v="55"/>
    <n v="96"/>
    <n v="0"/>
    <n v="1043.57"/>
    <n v="391.54"/>
    <m/>
    <n v="1221.1096998404321"/>
    <n v="364.92243737572466"/>
    <n v="0"/>
    <n v="634.49055999999996"/>
    <n v="238.05632"/>
    <n v="0"/>
    <n v="742.43469750298266"/>
    <n v="221.87284192444059"/>
  </r>
  <r>
    <s v="Regular"/>
    <x v="4"/>
    <x v="3"/>
    <x v="0"/>
    <x v="0"/>
    <x v="0"/>
    <x v="0"/>
    <x v="1"/>
    <x v="0"/>
    <n v="0"/>
    <n v="0"/>
    <n v="0.73899999999999999"/>
    <n v="0.73899999999999999"/>
    <n v="0.73899999999999999"/>
    <n v="0.73899999999999999"/>
    <n v="0"/>
    <x v="0"/>
    <n v="0"/>
    <n v="0"/>
    <n v="55"/>
    <n v="96"/>
    <n v="0"/>
    <n v="1043.57"/>
    <n v="391.54"/>
    <m/>
    <n v="1221.1096998404321"/>
    <n v="364.92243737572466"/>
    <n v="0"/>
    <n v="771.19822999999997"/>
    <n v="289.34806000000003"/>
    <n v="0"/>
    <n v="902.40006818207928"/>
    <n v="269.67768122066053"/>
  </r>
  <r>
    <s v="Regular"/>
    <x v="4"/>
    <x v="3"/>
    <x v="0"/>
    <x v="0"/>
    <x v="0"/>
    <x v="0"/>
    <x v="1"/>
    <x v="6"/>
    <n v="0"/>
    <n v="0"/>
    <n v="0.72"/>
    <n v="0.72"/>
    <n v="0.72"/>
    <n v="0.72"/>
    <n v="0"/>
    <x v="0"/>
    <n v="0"/>
    <n v="0"/>
    <n v="55"/>
    <n v="96"/>
    <n v="0"/>
    <n v="1043.57"/>
    <n v="391.54"/>
    <m/>
    <n v="1221.1096998404321"/>
    <n v="364.92243737572466"/>
    <n v="0"/>
    <n v="751.3703999999999"/>
    <n v="281.90879999999999"/>
    <n v="0"/>
    <n v="879.19898388511103"/>
    <n v="262.74415491052173"/>
  </r>
  <r>
    <s v="Regular"/>
    <x v="4"/>
    <x v="3"/>
    <x v="0"/>
    <x v="0"/>
    <x v="0"/>
    <x v="0"/>
    <x v="1"/>
    <x v="7"/>
    <n v="0"/>
    <n v="0"/>
    <n v="0.59799999999999998"/>
    <n v="0.59799999999999998"/>
    <n v="0.59799999999999998"/>
    <n v="0.59799999999999998"/>
    <n v="0"/>
    <x v="0"/>
    <n v="0"/>
    <n v="0"/>
    <n v="55"/>
    <n v="96"/>
    <n v="0"/>
    <n v="1043.57"/>
    <n v="391.54"/>
    <m/>
    <n v="1221.1096998404321"/>
    <n v="364.92243737572466"/>
    <n v="0"/>
    <n v="624.05485999999996"/>
    <n v="234.14091999999999"/>
    <n v="0"/>
    <n v="730.22360050457837"/>
    <n v="218.22361755068334"/>
  </r>
  <r>
    <s v="Regular"/>
    <x v="4"/>
    <x v="3"/>
    <x v="0"/>
    <x v="0"/>
    <x v="0"/>
    <x v="0"/>
    <x v="1"/>
    <x v="8"/>
    <n v="0"/>
    <n v="0"/>
    <n v="0.82699999999999996"/>
    <n v="0.82699999999999996"/>
    <n v="0.82699999999999996"/>
    <n v="0.82699999999999996"/>
    <n v="0"/>
    <x v="0"/>
    <n v="0"/>
    <n v="0"/>
    <n v="55"/>
    <n v="96"/>
    <n v="0"/>
    <n v="1043.57"/>
    <n v="391.54"/>
    <m/>
    <n v="1221.1096998404321"/>
    <n v="364.92243737572466"/>
    <n v="0"/>
    <n v="863.03238999999985"/>
    <n v="323.80358000000001"/>
    <n v="0"/>
    <n v="1009.8577217680373"/>
    <n v="301.79085570972427"/>
  </r>
  <r>
    <s v="Regular"/>
    <x v="4"/>
    <x v="3"/>
    <x v="0"/>
    <x v="0"/>
    <x v="0"/>
    <x v="0"/>
    <x v="1"/>
    <x v="9"/>
    <n v="0"/>
    <n v="0"/>
    <n v="0.752"/>
    <n v="0.752"/>
    <n v="0.752"/>
    <n v="0.752"/>
    <n v="0"/>
    <x v="0"/>
    <n v="0"/>
    <n v="0"/>
    <n v="55"/>
    <n v="96"/>
    <n v="0"/>
    <n v="1043.57"/>
    <n v="391.54"/>
    <m/>
    <n v="1221.1096998404321"/>
    <n v="364.92243737572466"/>
    <n v="0"/>
    <n v="784.76463999999999"/>
    <n v="294.43808000000001"/>
    <n v="0"/>
    <n v="918.27449428000489"/>
    <n v="274.42167290654493"/>
  </r>
  <r>
    <s v="Regular"/>
    <x v="4"/>
    <x v="3"/>
    <x v="0"/>
    <x v="0"/>
    <x v="0"/>
    <x v="0"/>
    <x v="1"/>
    <x v="1"/>
    <n v="0"/>
    <n v="0"/>
    <n v="0.59899999999999998"/>
    <n v="0.59899999999999998"/>
    <n v="0.59899999999999998"/>
    <n v="0.59899999999999998"/>
    <n v="0"/>
    <x v="0"/>
    <n v="0"/>
    <n v="0"/>
    <n v="55"/>
    <n v="96"/>
    <n v="0"/>
    <n v="1043.57"/>
    <n v="391.54"/>
    <m/>
    <n v="1221.1096998404321"/>
    <n v="364.92243737572466"/>
    <n v="0"/>
    <n v="625.09842999999989"/>
    <n v="234.53246000000001"/>
    <n v="0"/>
    <n v="731.44471020441881"/>
    <n v="218.58853998805907"/>
  </r>
  <r>
    <s v="Sistema de Compensação"/>
    <x v="4"/>
    <x v="3"/>
    <x v="0"/>
    <x v="0"/>
    <x v="0"/>
    <x v="0"/>
    <x v="1"/>
    <x v="1"/>
    <n v="0"/>
    <n v="0"/>
    <n v="6.4000000000000001E-2"/>
    <n v="6.4000000000000001E-2"/>
    <n v="6.4000000000000001E-2"/>
    <n v="6.4000000000000001E-2"/>
    <n v="0"/>
    <x v="0"/>
    <n v="0"/>
    <n v="0"/>
    <n v="55"/>
    <n v="96"/>
    <n v="0"/>
    <n v="1043.57"/>
    <n v="391.54"/>
    <m/>
    <n v="1221.1096998404321"/>
    <n v="364.92243737572466"/>
    <n v="0"/>
    <n v="66.788479999999993"/>
    <n v="25.058560000000003"/>
    <n v="0"/>
    <n v="78.151020789787651"/>
    <n v="23.355035992046378"/>
  </r>
  <r>
    <s v="Regular"/>
    <x v="4"/>
    <x v="3"/>
    <x v="0"/>
    <x v="0"/>
    <x v="0"/>
    <x v="0"/>
    <x v="1"/>
    <x v="2"/>
    <n v="0"/>
    <n v="0"/>
    <n v="0.56699999999999995"/>
    <n v="0.56699999999999995"/>
    <n v="0.56699999999999995"/>
    <n v="0.56699999999999995"/>
    <n v="0"/>
    <x v="0"/>
    <n v="0"/>
    <n v="0"/>
    <n v="55"/>
    <n v="96"/>
    <n v="0"/>
    <n v="1043.57"/>
    <n v="391.54"/>
    <m/>
    <n v="1221.1096998404321"/>
    <n v="364.92243737572466"/>
    <n v="0"/>
    <n v="591.70418999999993"/>
    <n v="222.00317999999999"/>
    <n v="0"/>
    <n v="692.36919980952496"/>
    <n v="206.91102199203587"/>
  </r>
  <r>
    <s v="Sistema de Compensação"/>
    <x v="4"/>
    <x v="3"/>
    <x v="0"/>
    <x v="0"/>
    <x v="0"/>
    <x v="0"/>
    <x v="1"/>
    <x v="2"/>
    <n v="0"/>
    <n v="0"/>
    <n v="3.2000000000000001E-2"/>
    <n v="3.2000000000000001E-2"/>
    <n v="3.2000000000000001E-2"/>
    <n v="3.2000000000000001E-2"/>
    <n v="0"/>
    <x v="0"/>
    <n v="0"/>
    <n v="0"/>
    <n v="55"/>
    <n v="96"/>
    <n v="0"/>
    <n v="1043.57"/>
    <n v="391.54"/>
    <m/>
    <n v="1221.1096998404321"/>
    <n v="364.92243737572466"/>
    <n v="0"/>
    <n v="33.394239999999996"/>
    <n v="12.529280000000002"/>
    <n v="0"/>
    <n v="39.075510394893826"/>
    <n v="11.677517996023189"/>
  </r>
  <r>
    <s v="Regular"/>
    <x v="4"/>
    <x v="3"/>
    <x v="0"/>
    <x v="0"/>
    <x v="0"/>
    <x v="0"/>
    <x v="1"/>
    <x v="3"/>
    <n v="0"/>
    <n v="0"/>
    <n v="0.52400000000000002"/>
    <n v="0.52400000000000002"/>
    <n v="0.52400000000000002"/>
    <n v="0.52400000000000002"/>
    <n v="0"/>
    <x v="0"/>
    <n v="0"/>
    <n v="0"/>
    <n v="55"/>
    <n v="96"/>
    <n v="0"/>
    <n v="1043.57"/>
    <n v="391.54"/>
    <m/>
    <n v="1221.1096998404321"/>
    <n v="364.92243737572466"/>
    <n v="0"/>
    <n v="546.83068000000003"/>
    <n v="205.16696000000002"/>
    <n v="0"/>
    <n v="639.86148271638649"/>
    <n v="191.21935718487973"/>
  </r>
  <r>
    <s v="Regular"/>
    <x v="4"/>
    <x v="3"/>
    <x v="0"/>
    <x v="0"/>
    <x v="0"/>
    <x v="0"/>
    <x v="1"/>
    <x v="10"/>
    <n v="0"/>
    <n v="0"/>
    <n v="0.65200000000000002"/>
    <n v="0.65200000000000002"/>
    <n v="0.65200000000000002"/>
    <n v="0.65200000000000002"/>
    <n v="0"/>
    <x v="0"/>
    <n v="0"/>
    <n v="0"/>
    <n v="55"/>
    <n v="96"/>
    <n v="0"/>
    <n v="1043.57"/>
    <n v="391.54"/>
    <m/>
    <n v="1221.1096998404321"/>
    <n v="364.92243737572466"/>
    <n v="0"/>
    <n v="680.40764000000001"/>
    <n v="255.28408000000002"/>
    <n v="0"/>
    <n v="796.16352429596179"/>
    <n v="237.92942916897249"/>
  </r>
  <r>
    <s v="PROJETADO"/>
    <x v="4"/>
    <x v="3"/>
    <x v="0"/>
    <x v="0"/>
    <x v="0"/>
    <x v="0"/>
    <x v="1"/>
    <x v="11"/>
    <n v="0"/>
    <n v="0"/>
    <n v="0.65200000000000002"/>
    <n v="0.65200000000000002"/>
    <n v="0.65200000000000002"/>
    <n v="0.65200000000000002"/>
    <n v="0"/>
    <x v="0"/>
    <n v="0"/>
    <n v="0"/>
    <n v="55"/>
    <n v="96"/>
    <n v="0"/>
    <n v="1043.57"/>
    <n v="391.54"/>
    <m/>
    <n v="1221.1096998404321"/>
    <n v="364.92243737572466"/>
    <n v="0"/>
    <n v="680.40764000000001"/>
    <n v="255.28408000000002"/>
    <n v="0"/>
    <n v="796.16352429596179"/>
    <n v="237.92942916897249"/>
  </r>
  <r>
    <s v="Regular"/>
    <x v="4"/>
    <x v="3"/>
    <x v="5"/>
    <x v="0"/>
    <x v="0"/>
    <x v="0"/>
    <x v="0"/>
    <x v="4"/>
    <n v="0"/>
    <n v="0"/>
    <n v="6.8019999999999996"/>
    <n v="6.8019999999999996"/>
    <n v="6.8019999999999996"/>
    <n v="6.8019999999999996"/>
    <n v="0"/>
    <x v="0"/>
    <n v="0"/>
    <n v="0"/>
    <n v="57"/>
    <n v="98"/>
    <n v="0"/>
    <n v="295.61"/>
    <n v="242.77"/>
    <m/>
    <n v="389.34061901448888"/>
    <n v="227.53897547400734"/>
    <n v="0"/>
    <n v="2010.7392199999999"/>
    <n v="1651.3215399999999"/>
    <n v="0"/>
    <n v="2648.2948905365533"/>
    <n v="1547.7201111741979"/>
  </r>
  <r>
    <s v="Regular"/>
    <x v="4"/>
    <x v="3"/>
    <x v="5"/>
    <x v="0"/>
    <x v="0"/>
    <x v="0"/>
    <x v="0"/>
    <x v="5"/>
    <n v="0"/>
    <n v="0"/>
    <n v="6.032"/>
    <n v="6.032"/>
    <n v="6.032"/>
    <n v="6.032"/>
    <n v="0"/>
    <x v="0"/>
    <n v="0"/>
    <n v="0"/>
    <n v="57"/>
    <n v="98"/>
    <n v="0"/>
    <n v="295.61"/>
    <n v="242.77"/>
    <m/>
    <n v="389.34061901448888"/>
    <n v="227.53897547400734"/>
    <n v="0"/>
    <n v="1783.1195200000002"/>
    <n v="1464.3886400000001"/>
    <n v="0"/>
    <n v="2348.5026138953967"/>
    <n v="1372.5151000592123"/>
  </r>
  <r>
    <s v="Regular"/>
    <x v="4"/>
    <x v="3"/>
    <x v="5"/>
    <x v="0"/>
    <x v="0"/>
    <x v="0"/>
    <x v="0"/>
    <x v="0"/>
    <n v="0"/>
    <n v="0"/>
    <n v="6.2839999999999998"/>
    <n v="6.2839999999999998"/>
    <n v="6.2839999999999998"/>
    <n v="6.2839999999999998"/>
    <n v="0"/>
    <x v="0"/>
    <n v="0"/>
    <n v="0"/>
    <n v="57"/>
    <n v="98"/>
    <n v="0"/>
    <n v="295.61"/>
    <n v="242.77"/>
    <m/>
    <n v="389.34061901448888"/>
    <n v="227.53897547400734"/>
    <n v="0"/>
    <n v="1857.6132400000001"/>
    <n v="1525.5666799999999"/>
    <n v="0"/>
    <n v="2446.616449887048"/>
    <n v="1429.854921878662"/>
  </r>
  <r>
    <s v="Regular"/>
    <x v="4"/>
    <x v="3"/>
    <x v="5"/>
    <x v="0"/>
    <x v="0"/>
    <x v="0"/>
    <x v="0"/>
    <x v="6"/>
    <n v="0"/>
    <n v="0"/>
    <n v="5.7450000000000001"/>
    <n v="5.7450000000000001"/>
    <n v="5.7450000000000001"/>
    <n v="5.7450000000000001"/>
    <n v="0"/>
    <x v="0"/>
    <n v="0"/>
    <n v="0"/>
    <n v="57"/>
    <n v="98"/>
    <n v="0"/>
    <n v="295.61"/>
    <n v="242.77"/>
    <m/>
    <n v="389.34061901448888"/>
    <n v="227.53897547400734"/>
    <n v="0"/>
    <n v="1698.27945"/>
    <n v="1394.7136500000001"/>
    <n v="0"/>
    <n v="2236.7618562382386"/>
    <n v="1307.2114140981723"/>
  </r>
  <r>
    <s v="Regular"/>
    <x v="4"/>
    <x v="3"/>
    <x v="5"/>
    <x v="0"/>
    <x v="0"/>
    <x v="0"/>
    <x v="0"/>
    <x v="7"/>
    <n v="0"/>
    <n v="0"/>
    <n v="4.883"/>
    <n v="4.883"/>
    <n v="4.883"/>
    <n v="4.883"/>
    <n v="0"/>
    <x v="0"/>
    <n v="0"/>
    <n v="0"/>
    <n v="57"/>
    <n v="98"/>
    <n v="0"/>
    <n v="295.61"/>
    <n v="242.77"/>
    <m/>
    <n v="389.34061901448888"/>
    <n v="227.53897547400734"/>
    <n v="0"/>
    <n v="1443.46363"/>
    <n v="1185.4459100000001"/>
    <n v="0"/>
    <n v="1901.1502426477491"/>
    <n v="1111.0728172395779"/>
  </r>
  <r>
    <s v="Regular"/>
    <x v="4"/>
    <x v="3"/>
    <x v="5"/>
    <x v="0"/>
    <x v="0"/>
    <x v="0"/>
    <x v="0"/>
    <x v="8"/>
    <n v="0"/>
    <n v="0"/>
    <n v="6.9420000000000002"/>
    <n v="6.9420000000000002"/>
    <n v="6.9420000000000002"/>
    <n v="6.9420000000000002"/>
    <n v="0"/>
    <x v="0"/>
    <n v="0"/>
    <n v="0"/>
    <n v="57"/>
    <n v="98"/>
    <n v="0"/>
    <n v="295.61"/>
    <n v="242.77"/>
    <m/>
    <n v="389.34061901448888"/>
    <n v="227.53897547400734"/>
    <n v="0"/>
    <n v="2052.12462"/>
    <n v="1685.30934"/>
    <n v="0"/>
    <n v="2702.8025771985817"/>
    <n v="1579.5755677405591"/>
  </r>
  <r>
    <s v="Regular"/>
    <x v="4"/>
    <x v="3"/>
    <x v="5"/>
    <x v="0"/>
    <x v="0"/>
    <x v="0"/>
    <x v="0"/>
    <x v="9"/>
    <n v="0"/>
    <n v="0"/>
    <n v="6.66"/>
    <n v="6.66"/>
    <n v="6.66"/>
    <n v="6.66"/>
    <n v="0"/>
    <x v="0"/>
    <n v="0"/>
    <n v="0"/>
    <n v="57"/>
    <n v="98"/>
    <n v="0"/>
    <n v="295.61"/>
    <n v="242.77"/>
    <m/>
    <n v="389.34061901448888"/>
    <n v="227.53897547400734"/>
    <n v="0"/>
    <n v="1968.7626"/>
    <n v="1616.8482000000001"/>
    <n v="0"/>
    <n v="2593.0085226364959"/>
    <n v="1515.4095766568889"/>
  </r>
  <r>
    <s v="Regular"/>
    <x v="4"/>
    <x v="3"/>
    <x v="5"/>
    <x v="0"/>
    <x v="0"/>
    <x v="0"/>
    <x v="0"/>
    <x v="1"/>
    <n v="0"/>
    <n v="0"/>
    <n v="4.3639999999999999"/>
    <n v="4.3639999999999999"/>
    <n v="4.3639999999999999"/>
    <n v="4.3639999999999999"/>
    <n v="0"/>
    <x v="0"/>
    <n v="0"/>
    <n v="0"/>
    <n v="57"/>
    <n v="98"/>
    <n v="0"/>
    <n v="295.61"/>
    <n v="242.77"/>
    <m/>
    <n v="389.34061901448888"/>
    <n v="227.53897547400734"/>
    <n v="0"/>
    <n v="1290.04204"/>
    <n v="1059.4482800000001"/>
    <n v="0"/>
    <n v="1699.0824613792295"/>
    <n v="992.980088968568"/>
  </r>
  <r>
    <s v="Regular"/>
    <x v="4"/>
    <x v="3"/>
    <x v="5"/>
    <x v="0"/>
    <x v="0"/>
    <x v="0"/>
    <x v="0"/>
    <x v="2"/>
    <n v="0"/>
    <n v="0"/>
    <n v="4.2699999999999996"/>
    <n v="4.2699999999999996"/>
    <n v="4.2699999999999996"/>
    <n v="4.2699999999999996"/>
    <n v="0"/>
    <x v="0"/>
    <n v="0"/>
    <n v="0"/>
    <n v="57"/>
    <n v="98"/>
    <n v="0"/>
    <n v="295.61"/>
    <n v="242.77"/>
    <m/>
    <n v="389.34061901448888"/>
    <n v="227.53897547400734"/>
    <n v="0"/>
    <n v="1262.2547"/>
    <n v="1036.6279"/>
    <n v="0"/>
    <n v="1662.4844431918673"/>
    <n v="971.59142527401127"/>
  </r>
  <r>
    <s v="Regular"/>
    <x v="4"/>
    <x v="3"/>
    <x v="5"/>
    <x v="0"/>
    <x v="0"/>
    <x v="0"/>
    <x v="0"/>
    <x v="3"/>
    <n v="0"/>
    <n v="0"/>
    <n v="3.8069999999999999"/>
    <n v="3.8069999999999999"/>
    <n v="3.8069999999999999"/>
    <n v="3.8069999999999999"/>
    <n v="0"/>
    <x v="0"/>
    <n v="0"/>
    <n v="0"/>
    <n v="57"/>
    <n v="98"/>
    <n v="0"/>
    <n v="295.61"/>
    <n v="242.77"/>
    <m/>
    <n v="389.34061901448888"/>
    <n v="227.53897547400734"/>
    <n v="0"/>
    <n v="1125.3872699999999"/>
    <n v="924.22539000000006"/>
    <n v="0"/>
    <n v="1482.2197365881591"/>
    <n v="866.24087962954593"/>
  </r>
  <r>
    <s v="Regular"/>
    <x v="4"/>
    <x v="3"/>
    <x v="5"/>
    <x v="0"/>
    <x v="0"/>
    <x v="0"/>
    <x v="0"/>
    <x v="10"/>
    <n v="0"/>
    <n v="0"/>
    <n v="5.13"/>
    <n v="5.13"/>
    <n v="5.13"/>
    <n v="5.13"/>
    <n v="0"/>
    <x v="0"/>
    <n v="0"/>
    <n v="0"/>
    <n v="57"/>
    <n v="98"/>
    <n v="0"/>
    <n v="295.61"/>
    <n v="242.77"/>
    <m/>
    <n v="389.34061901448888"/>
    <n v="227.53897547400734"/>
    <n v="0"/>
    <n v="1516.4793"/>
    <n v="1245.4101000000001"/>
    <n v="0"/>
    <n v="1997.3173755443279"/>
    <n v="1167.2749441816577"/>
  </r>
  <r>
    <s v="PROJETADO"/>
    <x v="4"/>
    <x v="3"/>
    <x v="5"/>
    <x v="0"/>
    <x v="0"/>
    <x v="0"/>
    <x v="0"/>
    <x v="11"/>
    <n v="0"/>
    <n v="0"/>
    <n v="5.13"/>
    <n v="5.13"/>
    <n v="5.13"/>
    <n v="5.13"/>
    <n v="0"/>
    <x v="0"/>
    <n v="0"/>
    <n v="0"/>
    <n v="57"/>
    <n v="98"/>
    <n v="0"/>
    <n v="295.61"/>
    <n v="242.77"/>
    <m/>
    <n v="389.34061901448888"/>
    <n v="227.53897547400734"/>
    <n v="0"/>
    <n v="1516.4793"/>
    <n v="1245.4101000000001"/>
    <n v="0"/>
    <n v="1997.3173755443279"/>
    <n v="1167.2749441816577"/>
  </r>
  <r>
    <s v="Regular"/>
    <x v="4"/>
    <x v="3"/>
    <x v="5"/>
    <x v="0"/>
    <x v="0"/>
    <x v="0"/>
    <x v="3"/>
    <x v="4"/>
    <n v="0"/>
    <n v="0"/>
    <n v="0.36099999999999999"/>
    <n v="0.36099999999999999"/>
    <n v="0.36099999999999999"/>
    <n v="0.36099999999999999"/>
    <n v="0"/>
    <x v="0"/>
    <n v="0"/>
    <n v="0"/>
    <n v="56"/>
    <n v="97"/>
    <n v="0"/>
    <n v="669.59"/>
    <n v="242.77"/>
    <m/>
    <n v="805.22509515559398"/>
    <n v="227.53897547400734"/>
    <n v="0"/>
    <n v="241.72199000000001"/>
    <n v="87.639970000000005"/>
    <n v="0"/>
    <n v="290.68625935116944"/>
    <n v="82.141570146116649"/>
  </r>
  <r>
    <s v="Regular"/>
    <x v="4"/>
    <x v="3"/>
    <x v="5"/>
    <x v="0"/>
    <x v="0"/>
    <x v="0"/>
    <x v="3"/>
    <x v="5"/>
    <n v="0"/>
    <n v="0"/>
    <n v="0.29699999999999999"/>
    <n v="0.29699999999999999"/>
    <n v="0.29699999999999999"/>
    <n v="0.29699999999999999"/>
    <n v="0"/>
    <x v="0"/>
    <n v="0"/>
    <n v="0"/>
    <n v="56"/>
    <n v="97"/>
    <n v="0"/>
    <n v="669.59"/>
    <n v="242.77"/>
    <m/>
    <n v="805.22509515559398"/>
    <n v="227.53897547400734"/>
    <n v="0"/>
    <n v="198.86823000000001"/>
    <n v="72.102689999999996"/>
    <n v="0"/>
    <n v="239.15185326121139"/>
    <n v="67.579075715780178"/>
  </r>
  <r>
    <s v="Regular"/>
    <x v="4"/>
    <x v="3"/>
    <x v="5"/>
    <x v="0"/>
    <x v="0"/>
    <x v="0"/>
    <x v="3"/>
    <x v="0"/>
    <n v="0"/>
    <n v="0"/>
    <n v="0.316"/>
    <n v="0.316"/>
    <n v="0.316"/>
    <n v="0.316"/>
    <n v="0"/>
    <x v="0"/>
    <n v="0"/>
    <n v="0"/>
    <n v="56"/>
    <n v="97"/>
    <n v="0"/>
    <n v="669.59"/>
    <n v="242.77"/>
    <m/>
    <n v="805.22509515559398"/>
    <n v="227.53897547400734"/>
    <n v="0"/>
    <n v="211.59044"/>
    <n v="76.715320000000006"/>
    <n v="0"/>
    <n v="254.4511300691677"/>
    <n v="71.902316249786324"/>
  </r>
  <r>
    <s v="Regular"/>
    <x v="4"/>
    <x v="3"/>
    <x v="5"/>
    <x v="0"/>
    <x v="0"/>
    <x v="0"/>
    <x v="3"/>
    <x v="6"/>
    <n v="0"/>
    <n v="0"/>
    <n v="0.31900000000000001"/>
    <n v="0.31900000000000001"/>
    <n v="0.31900000000000001"/>
    <n v="0.31900000000000001"/>
    <n v="0"/>
    <x v="0"/>
    <n v="0"/>
    <n v="0"/>
    <n v="56"/>
    <n v="97"/>
    <n v="0"/>
    <n v="669.59"/>
    <n v="242.77"/>
    <m/>
    <n v="805.22509515559398"/>
    <n v="227.53897547400734"/>
    <n v="0"/>
    <n v="213.59921000000003"/>
    <n v="77.443629999999999"/>
    <n v="0"/>
    <n v="256.86680535463449"/>
    <n v="72.584933176208338"/>
  </r>
  <r>
    <s v="Regular"/>
    <x v="4"/>
    <x v="3"/>
    <x v="5"/>
    <x v="0"/>
    <x v="0"/>
    <x v="0"/>
    <x v="3"/>
    <x v="7"/>
    <n v="0"/>
    <n v="0"/>
    <n v="0.27800000000000002"/>
    <n v="0.27800000000000002"/>
    <n v="0.27800000000000002"/>
    <n v="0.27800000000000002"/>
    <n v="0"/>
    <x v="0"/>
    <n v="0"/>
    <n v="0"/>
    <n v="56"/>
    <n v="97"/>
    <n v="0"/>
    <n v="669.59"/>
    <n v="242.77"/>
    <m/>
    <n v="805.22509515559398"/>
    <n v="227.53897547400734"/>
    <n v="0"/>
    <n v="186.14602000000002"/>
    <n v="67.490060000000014"/>
    <n v="0"/>
    <n v="223.85257645325515"/>
    <n v="63.255835181774046"/>
  </r>
  <r>
    <s v="Regular"/>
    <x v="4"/>
    <x v="3"/>
    <x v="5"/>
    <x v="0"/>
    <x v="0"/>
    <x v="0"/>
    <x v="3"/>
    <x v="8"/>
    <n v="0"/>
    <n v="0"/>
    <n v="0.377"/>
    <n v="0.377"/>
    <n v="0.377"/>
    <n v="0.377"/>
    <n v="0"/>
    <x v="0"/>
    <n v="0"/>
    <n v="0"/>
    <n v="56"/>
    <n v="97"/>
    <n v="0"/>
    <n v="669.59"/>
    <n v="242.77"/>
    <m/>
    <n v="805.22509515559398"/>
    <n v="227.53897547400734"/>
    <n v="0"/>
    <n v="252.43543000000003"/>
    <n v="91.524290000000008"/>
    <n v="0"/>
    <n v="303.56986087365891"/>
    <n v="85.782193753700767"/>
  </r>
  <r>
    <s v="Regular"/>
    <x v="4"/>
    <x v="3"/>
    <x v="5"/>
    <x v="0"/>
    <x v="0"/>
    <x v="0"/>
    <x v="3"/>
    <x v="9"/>
    <n v="0"/>
    <n v="0"/>
    <n v="0.307"/>
    <n v="0.307"/>
    <n v="0.307"/>
    <n v="0.307"/>
    <n v="0"/>
    <x v="0"/>
    <n v="0"/>
    <n v="0"/>
    <n v="56"/>
    <n v="97"/>
    <n v="0"/>
    <n v="669.59"/>
    <n v="242.77"/>
    <m/>
    <n v="805.22509515559398"/>
    <n v="227.53897547400734"/>
    <n v="0"/>
    <n v="205.56413000000001"/>
    <n v="74.530389999999997"/>
    <n v="0"/>
    <n v="247.20410421276733"/>
    <n v="69.854465470520253"/>
  </r>
  <r>
    <s v="Regular"/>
    <x v="4"/>
    <x v="3"/>
    <x v="5"/>
    <x v="0"/>
    <x v="0"/>
    <x v="0"/>
    <x v="3"/>
    <x v="1"/>
    <n v="0"/>
    <n v="0"/>
    <n v="0.23899999999999999"/>
    <n v="0.23899999999999999"/>
    <n v="0.23899999999999999"/>
    <n v="0.23899999999999999"/>
    <n v="0"/>
    <x v="0"/>
    <n v="0"/>
    <n v="0"/>
    <n v="56"/>
    <n v="97"/>
    <n v="0"/>
    <n v="669.59"/>
    <n v="242.77"/>
    <m/>
    <n v="805.22509515559398"/>
    <n v="227.53897547400734"/>
    <n v="0"/>
    <n v="160.03201000000001"/>
    <n v="58.022030000000001"/>
    <n v="0"/>
    <n v="192.44879774218694"/>
    <n v="54.381815138287756"/>
  </r>
  <r>
    <s v="Regular"/>
    <x v="4"/>
    <x v="3"/>
    <x v="5"/>
    <x v="0"/>
    <x v="0"/>
    <x v="0"/>
    <x v="3"/>
    <x v="2"/>
    <n v="0"/>
    <n v="0"/>
    <n v="0.26900000000000002"/>
    <n v="0.26900000000000002"/>
    <n v="0.26900000000000002"/>
    <n v="0.26900000000000002"/>
    <n v="0"/>
    <x v="0"/>
    <n v="0"/>
    <n v="0"/>
    <n v="56"/>
    <n v="97"/>
    <n v="0"/>
    <n v="669.59"/>
    <n v="242.77"/>
    <m/>
    <n v="805.22509515559398"/>
    <n v="227.53897547400734"/>
    <n v="0"/>
    <n v="180.11971000000003"/>
    <n v="65.305130000000005"/>
    <n v="0"/>
    <n v="216.60555059685478"/>
    <n v="61.207984402507982"/>
  </r>
  <r>
    <s v="Regular"/>
    <x v="4"/>
    <x v="3"/>
    <x v="5"/>
    <x v="0"/>
    <x v="0"/>
    <x v="0"/>
    <x v="3"/>
    <x v="3"/>
    <n v="0"/>
    <n v="0"/>
    <n v="0.26500000000000001"/>
    <n v="0.26500000000000001"/>
    <n v="0.26500000000000001"/>
    <n v="0.26500000000000001"/>
    <n v="0"/>
    <x v="0"/>
    <n v="0"/>
    <n v="0"/>
    <n v="56"/>
    <n v="97"/>
    <n v="0"/>
    <n v="669.59"/>
    <n v="242.77"/>
    <m/>
    <n v="805.22509515559398"/>
    <n v="227.53897547400734"/>
    <n v="0"/>
    <n v="177.44135000000003"/>
    <n v="64.334050000000005"/>
    <n v="0"/>
    <n v="213.38465021623242"/>
    <n v="60.297828500611949"/>
  </r>
  <r>
    <s v="Regular"/>
    <x v="4"/>
    <x v="3"/>
    <x v="5"/>
    <x v="0"/>
    <x v="0"/>
    <x v="0"/>
    <x v="3"/>
    <x v="10"/>
    <n v="0"/>
    <n v="0"/>
    <n v="0.27700000000000002"/>
    <n v="0.27700000000000002"/>
    <n v="0.27700000000000002"/>
    <n v="0.27700000000000002"/>
    <n v="0"/>
    <x v="0"/>
    <n v="0"/>
    <n v="0"/>
    <n v="56"/>
    <n v="97"/>
    <n v="0"/>
    <n v="669.59"/>
    <n v="242.77"/>
    <m/>
    <n v="805.22509515559398"/>
    <n v="227.53897547400734"/>
    <n v="0"/>
    <n v="185.47643000000002"/>
    <n v="67.247290000000007"/>
    <n v="0"/>
    <n v="223.04735135809955"/>
    <n v="63.028296206300041"/>
  </r>
  <r>
    <s v="PROJETADO"/>
    <x v="4"/>
    <x v="3"/>
    <x v="5"/>
    <x v="0"/>
    <x v="0"/>
    <x v="0"/>
    <x v="3"/>
    <x v="11"/>
    <n v="0"/>
    <n v="0"/>
    <n v="0.27700000000000002"/>
    <n v="0.27700000000000002"/>
    <n v="0.27700000000000002"/>
    <n v="0.27700000000000002"/>
    <n v="0"/>
    <x v="0"/>
    <n v="0"/>
    <n v="0"/>
    <n v="56"/>
    <n v="97"/>
    <n v="0"/>
    <n v="669.59"/>
    <n v="242.77"/>
    <m/>
    <n v="805.22509515559398"/>
    <n v="227.53897547400734"/>
    <n v="0"/>
    <n v="185.47643000000002"/>
    <n v="67.247290000000007"/>
    <n v="0"/>
    <n v="223.04735135809955"/>
    <n v="63.028296206300041"/>
  </r>
  <r>
    <s v="Regular"/>
    <x v="4"/>
    <x v="3"/>
    <x v="5"/>
    <x v="0"/>
    <x v="0"/>
    <x v="0"/>
    <x v="1"/>
    <x v="4"/>
    <n v="0"/>
    <n v="0"/>
    <n v="0.21099999999999999"/>
    <n v="0.21099999999999999"/>
    <n v="0.21099999999999999"/>
    <n v="0.21099999999999999"/>
    <n v="0"/>
    <x v="0"/>
    <n v="0"/>
    <n v="0"/>
    <n v="55"/>
    <n v="96"/>
    <n v="0"/>
    <n v="1043.57"/>
    <n v="391.54"/>
    <m/>
    <n v="1221.1096998404321"/>
    <n v="364.92243737572466"/>
    <n v="0"/>
    <n v="220.19326999999998"/>
    <n v="82.614940000000004"/>
    <n v="0"/>
    <n v="257.65414666633114"/>
    <n v="76.998634286277905"/>
  </r>
  <r>
    <s v="Regular"/>
    <x v="4"/>
    <x v="3"/>
    <x v="5"/>
    <x v="0"/>
    <x v="0"/>
    <x v="0"/>
    <x v="1"/>
    <x v="5"/>
    <n v="0"/>
    <n v="0"/>
    <n v="0.2"/>
    <n v="0.2"/>
    <n v="0.2"/>
    <n v="0.2"/>
    <n v="0"/>
    <x v="0"/>
    <n v="0"/>
    <n v="0"/>
    <n v="55"/>
    <n v="96"/>
    <n v="0"/>
    <n v="1043.57"/>
    <n v="391.54"/>
    <m/>
    <n v="1221.1096998404321"/>
    <n v="364.92243737572466"/>
    <n v="0"/>
    <n v="208.714"/>
    <n v="78.308000000000007"/>
    <n v="0"/>
    <n v="244.22193996808642"/>
    <n v="72.984487475144931"/>
  </r>
  <r>
    <s v="Regular"/>
    <x v="4"/>
    <x v="3"/>
    <x v="5"/>
    <x v="0"/>
    <x v="0"/>
    <x v="0"/>
    <x v="1"/>
    <x v="0"/>
    <n v="0"/>
    <n v="0"/>
    <n v="0.21299999999999999"/>
    <n v="0.21299999999999999"/>
    <n v="0.21299999999999999"/>
    <n v="0.21299999999999999"/>
    <n v="0"/>
    <x v="0"/>
    <n v="0"/>
    <n v="0"/>
    <n v="55"/>
    <n v="96"/>
    <n v="0"/>
    <n v="1043.57"/>
    <n v="391.54"/>
    <m/>
    <n v="1221.1096998404321"/>
    <n v="364.92243737572466"/>
    <n v="0"/>
    <n v="222.28040999999999"/>
    <n v="83.398020000000002"/>
    <n v="0"/>
    <n v="260.09636606601202"/>
    <n v="77.728479161029355"/>
  </r>
  <r>
    <s v="Regular"/>
    <x v="4"/>
    <x v="3"/>
    <x v="5"/>
    <x v="0"/>
    <x v="0"/>
    <x v="0"/>
    <x v="1"/>
    <x v="6"/>
    <n v="0"/>
    <n v="0"/>
    <n v="0.28000000000000003"/>
    <n v="0.28000000000000003"/>
    <n v="0.28000000000000003"/>
    <n v="0.28000000000000003"/>
    <n v="0"/>
    <x v="0"/>
    <n v="0"/>
    <n v="0"/>
    <n v="55"/>
    <n v="96"/>
    <n v="0"/>
    <n v="1043.57"/>
    <n v="391.54"/>
    <m/>
    <n v="1221.1096998404321"/>
    <n v="364.92243737572466"/>
    <n v="0"/>
    <n v="292.19960000000003"/>
    <n v="109.63120000000002"/>
    <n v="0"/>
    <n v="341.910715955321"/>
    <n v="102.17828246520291"/>
  </r>
  <r>
    <s v="Regular"/>
    <x v="4"/>
    <x v="3"/>
    <x v="5"/>
    <x v="0"/>
    <x v="0"/>
    <x v="0"/>
    <x v="1"/>
    <x v="7"/>
    <n v="0"/>
    <n v="0"/>
    <n v="0.17699999999999999"/>
    <n v="0.17699999999999999"/>
    <n v="0.17699999999999999"/>
    <n v="0.17699999999999999"/>
    <n v="0"/>
    <x v="0"/>
    <n v="0"/>
    <n v="0"/>
    <n v="55"/>
    <n v="96"/>
    <n v="0"/>
    <n v="1043.57"/>
    <n v="391.54"/>
    <m/>
    <n v="1221.1096998404321"/>
    <n v="364.92243737572466"/>
    <n v="0"/>
    <n v="184.71188999999998"/>
    <n v="69.302580000000006"/>
    <n v="0"/>
    <n v="216.13641687175647"/>
    <n v="64.591271415503257"/>
  </r>
  <r>
    <s v="Regular"/>
    <x v="4"/>
    <x v="3"/>
    <x v="5"/>
    <x v="0"/>
    <x v="0"/>
    <x v="0"/>
    <x v="1"/>
    <x v="8"/>
    <n v="0"/>
    <n v="0"/>
    <n v="0.20599999999999999"/>
    <n v="0.20599999999999999"/>
    <n v="0.20599999999999999"/>
    <n v="0.20599999999999999"/>
    <n v="0"/>
    <x v="0"/>
    <n v="0"/>
    <n v="0"/>
    <n v="55"/>
    <n v="96"/>
    <n v="0"/>
    <n v="1043.57"/>
    <n v="391.54"/>
    <m/>
    <n v="1221.1096998404321"/>
    <n v="364.92243737572466"/>
    <n v="0"/>
    <n v="214.97541999999999"/>
    <n v="80.657240000000002"/>
    <n v="0"/>
    <n v="251.548598167129"/>
    <n v="75.174022099399281"/>
  </r>
  <r>
    <s v="Regular"/>
    <x v="4"/>
    <x v="3"/>
    <x v="5"/>
    <x v="0"/>
    <x v="0"/>
    <x v="0"/>
    <x v="1"/>
    <x v="9"/>
    <n v="0"/>
    <n v="0"/>
    <n v="0.19600000000000001"/>
    <n v="0.19600000000000001"/>
    <n v="0.19600000000000001"/>
    <n v="0.19600000000000001"/>
    <n v="0"/>
    <x v="0"/>
    <n v="0"/>
    <n v="0"/>
    <n v="55"/>
    <n v="96"/>
    <n v="0"/>
    <n v="1043.57"/>
    <n v="391.54"/>
    <m/>
    <n v="1221.1096998404321"/>
    <n v="364.92243737572466"/>
    <n v="0"/>
    <n v="204.53971999999999"/>
    <n v="76.74184000000001"/>
    <n v="0"/>
    <n v="239.33750116872469"/>
    <n v="71.524797725642031"/>
  </r>
  <r>
    <s v="Regular"/>
    <x v="4"/>
    <x v="3"/>
    <x v="5"/>
    <x v="0"/>
    <x v="0"/>
    <x v="0"/>
    <x v="1"/>
    <x v="1"/>
    <n v="0"/>
    <n v="0"/>
    <n v="0.183"/>
    <n v="0.183"/>
    <n v="0.183"/>
    <n v="0.183"/>
    <n v="0"/>
    <x v="0"/>
    <n v="0"/>
    <n v="0"/>
    <n v="55"/>
    <n v="96"/>
    <n v="0"/>
    <n v="1043.57"/>
    <n v="391.54"/>
    <m/>
    <n v="1221.1096998404321"/>
    <n v="364.92243737572466"/>
    <n v="0"/>
    <n v="190.97331"/>
    <n v="71.651820000000001"/>
    <n v="0"/>
    <n v="223.46307507079908"/>
    <n v="66.780806039757607"/>
  </r>
  <r>
    <s v="Regular"/>
    <x v="4"/>
    <x v="3"/>
    <x v="5"/>
    <x v="0"/>
    <x v="0"/>
    <x v="0"/>
    <x v="1"/>
    <x v="2"/>
    <n v="0"/>
    <n v="0"/>
    <n v="0.19500000000000001"/>
    <n v="0.19500000000000001"/>
    <n v="0.19500000000000001"/>
    <n v="0.19500000000000001"/>
    <n v="0"/>
    <x v="0"/>
    <n v="0"/>
    <n v="0"/>
    <n v="55"/>
    <n v="96"/>
    <n v="0"/>
    <n v="1043.57"/>
    <n v="391.54"/>
    <m/>
    <n v="1221.1096998404321"/>
    <n v="364.92243737572466"/>
    <n v="0"/>
    <n v="203.49615"/>
    <n v="76.350300000000004"/>
    <n v="0"/>
    <n v="238.11639146888427"/>
    <n v="71.159875288266306"/>
  </r>
  <r>
    <s v="Regular"/>
    <x v="4"/>
    <x v="3"/>
    <x v="5"/>
    <x v="0"/>
    <x v="0"/>
    <x v="0"/>
    <x v="1"/>
    <x v="3"/>
    <n v="0"/>
    <n v="0"/>
    <n v="0.223"/>
    <n v="0.223"/>
    <n v="0.223"/>
    <n v="0.223"/>
    <n v="0"/>
    <x v="0"/>
    <n v="0"/>
    <n v="0"/>
    <n v="55"/>
    <n v="96"/>
    <n v="0"/>
    <n v="1043.57"/>
    <n v="391.54"/>
    <m/>
    <n v="1221.1096998404321"/>
    <n v="364.92243737572466"/>
    <n v="0"/>
    <n v="232.71610999999999"/>
    <n v="87.313420000000008"/>
    <n v="0"/>
    <n v="272.30746306441637"/>
    <n v="81.377703534786605"/>
  </r>
  <r>
    <s v="Regular"/>
    <x v="4"/>
    <x v="3"/>
    <x v="5"/>
    <x v="0"/>
    <x v="0"/>
    <x v="0"/>
    <x v="1"/>
    <x v="10"/>
    <n v="0"/>
    <n v="0"/>
    <n v="0.20200000000000001"/>
    <n v="0.20200000000000001"/>
    <n v="0.20200000000000001"/>
    <n v="0.20200000000000001"/>
    <n v="0"/>
    <x v="0"/>
    <n v="0"/>
    <n v="0"/>
    <n v="55"/>
    <n v="96"/>
    <n v="0"/>
    <n v="1043.57"/>
    <n v="391.54"/>
    <m/>
    <n v="1221.1096998404321"/>
    <n v="364.92243737572466"/>
    <n v="0"/>
    <n v="210.80114"/>
    <n v="79.091080000000005"/>
    <n v="0"/>
    <n v="246.6641593677673"/>
    <n v="73.714332349896381"/>
  </r>
  <r>
    <s v="PROJETADO"/>
    <x v="4"/>
    <x v="3"/>
    <x v="5"/>
    <x v="0"/>
    <x v="0"/>
    <x v="0"/>
    <x v="1"/>
    <x v="11"/>
    <n v="0"/>
    <n v="0"/>
    <n v="0.20200000000000001"/>
    <n v="0.20200000000000001"/>
    <n v="0.20200000000000001"/>
    <n v="0.20200000000000001"/>
    <n v="0"/>
    <x v="0"/>
    <n v="0"/>
    <n v="0"/>
    <n v="55"/>
    <n v="96"/>
    <n v="0"/>
    <n v="1043.57"/>
    <n v="391.54"/>
    <m/>
    <n v="1221.1096998404321"/>
    <n v="364.92243737572466"/>
    <n v="0"/>
    <n v="210.80114"/>
    <n v="79.091080000000005"/>
    <n v="0"/>
    <n v="246.6641593677673"/>
    <n v="73.714332349896381"/>
  </r>
  <r>
    <s v="Regular"/>
    <x v="4"/>
    <x v="4"/>
    <x v="0"/>
    <x v="0"/>
    <x v="0"/>
    <x v="0"/>
    <x v="2"/>
    <x v="4"/>
    <n v="0"/>
    <n v="0"/>
    <n v="1412.8710000000001"/>
    <n v="1412.8710000000001"/>
    <n v="1412.8710000000001"/>
    <n v="1412.8710000000001"/>
    <n v="3152"/>
    <x v="0"/>
    <n v="0"/>
    <n v="0"/>
    <n v="58"/>
    <n v="99"/>
    <n v="0"/>
    <n v="379.62"/>
    <n v="255.17"/>
    <m/>
    <n v="482.76396348427488"/>
    <n v="238.98759729915042"/>
    <n v="0"/>
    <n v="536354.08902000007"/>
    <n v="360522.29307000001"/>
    <n v="0"/>
    <n v="682083.20385199098"/>
    <n v="337658.645583648"/>
  </r>
  <r>
    <s v="Sistema de Compensação"/>
    <x v="4"/>
    <x v="4"/>
    <x v="0"/>
    <x v="0"/>
    <x v="0"/>
    <x v="0"/>
    <x v="2"/>
    <x v="4"/>
    <n v="0"/>
    <n v="0"/>
    <n v="127.961"/>
    <n v="127.961"/>
    <n v="127.961"/>
    <n v="127.961"/>
    <n v="172"/>
    <x v="0"/>
    <n v="0"/>
    <n v="0"/>
    <n v="58"/>
    <n v="99"/>
    <n v="0"/>
    <n v="379.62"/>
    <n v="255.17"/>
    <m/>
    <n v="482.76396348427488"/>
    <n v="238.98759729915042"/>
    <n v="0"/>
    <n v="48576.554819999998"/>
    <n v="32651.808369999999"/>
    <n v="0"/>
    <n v="61774.959531411296"/>
    <n v="30581.091937996585"/>
  </r>
  <r>
    <s v="Regular"/>
    <x v="4"/>
    <x v="4"/>
    <x v="0"/>
    <x v="0"/>
    <x v="0"/>
    <x v="0"/>
    <x v="2"/>
    <x v="5"/>
    <n v="0"/>
    <n v="0"/>
    <n v="1341.183"/>
    <n v="1341.183"/>
    <n v="1341.183"/>
    <n v="1341.183"/>
    <n v="3157"/>
    <x v="0"/>
    <n v="0"/>
    <n v="0"/>
    <n v="58"/>
    <n v="99"/>
    <n v="0"/>
    <n v="379.62"/>
    <n v="255.17"/>
    <m/>
    <n v="482.76396348427488"/>
    <n v="238.98759729915042"/>
    <n v="0"/>
    <n v="509139.89046000002"/>
    <n v="342229.66610999999"/>
    <n v="0"/>
    <n v="647474.82083773019"/>
    <n v="320526.10270846647"/>
  </r>
  <r>
    <s v="Sistema de Compensação"/>
    <x v="4"/>
    <x v="4"/>
    <x v="0"/>
    <x v="0"/>
    <x v="0"/>
    <x v="0"/>
    <x v="2"/>
    <x v="5"/>
    <n v="0"/>
    <n v="0"/>
    <n v="135.56899999999999"/>
    <n v="135.56899999999999"/>
    <n v="135.56899999999999"/>
    <n v="135.56899999999999"/>
    <n v="178"/>
    <x v="0"/>
    <n v="0"/>
    <n v="0"/>
    <n v="58"/>
    <n v="99"/>
    <n v="0"/>
    <n v="379.62"/>
    <n v="255.17"/>
    <m/>
    <n v="482.76396348427488"/>
    <n v="238.98759729915042"/>
    <n v="0"/>
    <n v="51464.703779999996"/>
    <n v="34593.141729999996"/>
    <n v="0"/>
    <n v="65447.827765599657"/>
    <n v="32399.309578248522"/>
  </r>
  <r>
    <s v="Regular"/>
    <x v="4"/>
    <x v="4"/>
    <x v="0"/>
    <x v="0"/>
    <x v="0"/>
    <x v="0"/>
    <x v="2"/>
    <x v="0"/>
    <n v="0"/>
    <n v="0"/>
    <n v="1364.8309999999999"/>
    <n v="1364.8309999999999"/>
    <n v="1364.8309999999999"/>
    <n v="1364.8309999999999"/>
    <n v="3143"/>
    <x v="0"/>
    <n v="0"/>
    <n v="0"/>
    <n v="58"/>
    <n v="99"/>
    <n v="0"/>
    <n v="379.62"/>
    <n v="255.17"/>
    <m/>
    <n v="482.76396348427488"/>
    <n v="238.98759729915042"/>
    <n v="0"/>
    <n v="518117.14421999996"/>
    <n v="348263.92626999994"/>
    <n v="0"/>
    <n v="658891.22304620629"/>
    <n v="326177.68140939676"/>
  </r>
  <r>
    <s v="Sistema de Compensação"/>
    <x v="4"/>
    <x v="4"/>
    <x v="0"/>
    <x v="0"/>
    <x v="0"/>
    <x v="0"/>
    <x v="2"/>
    <x v="0"/>
    <n v="0"/>
    <n v="0"/>
    <n v="143.53"/>
    <n v="143.53"/>
    <n v="143.53"/>
    <n v="143.53"/>
    <n v="190"/>
    <x v="0"/>
    <n v="0"/>
    <n v="0"/>
    <n v="58"/>
    <n v="99"/>
    <n v="0"/>
    <n v="379.62"/>
    <n v="255.17"/>
    <m/>
    <n v="482.76396348427488"/>
    <n v="238.98759729915042"/>
    <n v="0"/>
    <n v="54486.8586"/>
    <n v="36624.5501"/>
    <n v="0"/>
    <n v="69291.111678897971"/>
    <n v="34301.889840347059"/>
  </r>
  <r>
    <s v="Regular"/>
    <x v="4"/>
    <x v="4"/>
    <x v="0"/>
    <x v="0"/>
    <x v="0"/>
    <x v="0"/>
    <x v="2"/>
    <x v="6"/>
    <n v="0"/>
    <n v="0"/>
    <n v="1338.837"/>
    <n v="1338.837"/>
    <n v="1338.837"/>
    <n v="1338.837"/>
    <n v="3126"/>
    <x v="0"/>
    <n v="0"/>
    <n v="0"/>
    <n v="58"/>
    <n v="99"/>
    <n v="0"/>
    <n v="379.62"/>
    <n v="255.17"/>
    <m/>
    <n v="482.76396348427488"/>
    <n v="238.98759729915042"/>
    <n v="0"/>
    <n v="508249.30193999998"/>
    <n v="341631.03729000001"/>
    <n v="0"/>
    <n v="646342.25657939608"/>
    <n v="319965.43780520267"/>
  </r>
  <r>
    <s v="Sistema de Compensação"/>
    <x v="4"/>
    <x v="4"/>
    <x v="0"/>
    <x v="0"/>
    <x v="0"/>
    <x v="0"/>
    <x v="2"/>
    <x v="6"/>
    <n v="0"/>
    <n v="0"/>
    <n v="117.672"/>
    <n v="117.672"/>
    <n v="117.672"/>
    <n v="117.672"/>
    <n v="206"/>
    <x v="0"/>
    <n v="0"/>
    <n v="0"/>
    <n v="58"/>
    <n v="99"/>
    <n v="0"/>
    <n v="379.62"/>
    <n v="255.17"/>
    <m/>
    <n v="482.76396348427488"/>
    <n v="238.98759729915042"/>
    <n v="0"/>
    <n v="44670.644639999999"/>
    <n v="30026.364239999999"/>
    <n v="0"/>
    <n v="56807.801111121589"/>
    <n v="28122.148549385627"/>
  </r>
  <r>
    <s v="Regular"/>
    <x v="4"/>
    <x v="4"/>
    <x v="0"/>
    <x v="0"/>
    <x v="0"/>
    <x v="0"/>
    <x v="2"/>
    <x v="7"/>
    <n v="0"/>
    <n v="0"/>
    <n v="1231.1179999999999"/>
    <n v="1231.1179999999999"/>
    <n v="1231.1179999999999"/>
    <n v="1231.1179999999999"/>
    <n v="3135"/>
    <x v="0"/>
    <n v="0"/>
    <n v="0"/>
    <n v="58"/>
    <n v="99"/>
    <n v="0"/>
    <n v="379.62"/>
    <n v="255.17"/>
    <m/>
    <n v="482.76396348427488"/>
    <n v="238.98759729915042"/>
    <n v="0"/>
    <n v="467357.01516000001"/>
    <n v="314144.38006"/>
    <n v="0"/>
    <n v="594339.40519683354"/>
    <n v="294221.93281173543"/>
  </r>
  <r>
    <s v="Sistema de Compensação"/>
    <x v="4"/>
    <x v="4"/>
    <x v="0"/>
    <x v="0"/>
    <x v="0"/>
    <x v="0"/>
    <x v="2"/>
    <x v="7"/>
    <n v="0"/>
    <n v="0"/>
    <n v="114.151"/>
    <n v="114.151"/>
    <n v="114.151"/>
    <n v="114.151"/>
    <n v="213"/>
    <x v="0"/>
    <n v="0"/>
    <n v="0"/>
    <n v="58"/>
    <n v="99"/>
    <n v="0"/>
    <n v="379.62"/>
    <n v="255.17"/>
    <m/>
    <n v="482.76396348427488"/>
    <n v="238.98759729915042"/>
    <n v="0"/>
    <n v="43334.002619999999"/>
    <n v="29127.910669999997"/>
    <n v="0"/>
    <n v="55107.989195693459"/>
    <n v="27280.67321929532"/>
  </r>
  <r>
    <s v="Regular"/>
    <x v="4"/>
    <x v="4"/>
    <x v="0"/>
    <x v="0"/>
    <x v="0"/>
    <x v="0"/>
    <x v="2"/>
    <x v="8"/>
    <n v="0"/>
    <n v="0"/>
    <n v="1489.4559999999999"/>
    <n v="1489.4559999999999"/>
    <n v="1489.4559999999999"/>
    <n v="1489.4559999999999"/>
    <n v="3121"/>
    <x v="0"/>
    <n v="0"/>
    <n v="0"/>
    <n v="58"/>
    <n v="99"/>
    <n v="0"/>
    <n v="379.62"/>
    <n v="255.17"/>
    <m/>
    <n v="482.76396348427488"/>
    <n v="238.98759729915042"/>
    <n v="0"/>
    <n v="565427.28671999997"/>
    <n v="380064.48751999997"/>
    <n v="0"/>
    <n v="719055.6819954341"/>
    <n v="355961.51072280336"/>
  </r>
  <r>
    <s v="Sistema de Compensação"/>
    <x v="4"/>
    <x v="4"/>
    <x v="0"/>
    <x v="0"/>
    <x v="0"/>
    <x v="0"/>
    <x v="2"/>
    <x v="8"/>
    <n v="0"/>
    <n v="0"/>
    <n v="126.386"/>
    <n v="126.386"/>
    <n v="126.386"/>
    <n v="126.386"/>
    <n v="230"/>
    <x v="0"/>
    <n v="0"/>
    <n v="0"/>
    <n v="58"/>
    <n v="99"/>
    <n v="0"/>
    <n v="379.62"/>
    <n v="255.17"/>
    <m/>
    <n v="482.76396348427488"/>
    <n v="238.98759729915042"/>
    <n v="0"/>
    <n v="47978.653319999998"/>
    <n v="32249.915619999996"/>
    <n v="0"/>
    <n v="61014.606288923562"/>
    <n v="30204.686472250425"/>
  </r>
  <r>
    <s v="Regular"/>
    <x v="4"/>
    <x v="4"/>
    <x v="0"/>
    <x v="0"/>
    <x v="0"/>
    <x v="0"/>
    <x v="2"/>
    <x v="9"/>
    <n v="0"/>
    <n v="0"/>
    <n v="1390.402"/>
    <n v="1390.402"/>
    <n v="1390.402"/>
    <n v="1390.402"/>
    <n v="3120"/>
    <x v="0"/>
    <n v="0"/>
    <n v="0"/>
    <n v="58"/>
    <n v="99"/>
    <n v="0"/>
    <n v="379.62"/>
    <n v="255.17"/>
    <m/>
    <n v="482.76396348427488"/>
    <n v="238.98759729915042"/>
    <n v="0"/>
    <n v="527824.40723999997"/>
    <n v="354788.87834"/>
    <n v="0"/>
    <n v="671235.98035646277"/>
    <n v="332288.83325993334"/>
  </r>
  <r>
    <s v="Sistema de Compensação"/>
    <x v="4"/>
    <x v="4"/>
    <x v="0"/>
    <x v="0"/>
    <x v="0"/>
    <x v="0"/>
    <x v="2"/>
    <x v="9"/>
    <n v="0"/>
    <n v="0"/>
    <n v="144.86600000000001"/>
    <n v="144.86600000000001"/>
    <n v="144.86600000000001"/>
    <n v="144.86600000000001"/>
    <n v="233"/>
    <x v="0"/>
    <n v="0"/>
    <n v="0"/>
    <n v="58"/>
    <n v="99"/>
    <n v="0"/>
    <n v="379.62"/>
    <n v="255.17"/>
    <m/>
    <n v="482.76396348427488"/>
    <n v="238.98759729915042"/>
    <n v="0"/>
    <n v="54994.030920000005"/>
    <n v="36965.457220000004"/>
    <n v="0"/>
    <n v="69936.084334112966"/>
    <n v="34621.177270338725"/>
  </r>
  <r>
    <s v="Regular"/>
    <x v="4"/>
    <x v="4"/>
    <x v="0"/>
    <x v="0"/>
    <x v="0"/>
    <x v="0"/>
    <x v="2"/>
    <x v="1"/>
    <n v="0"/>
    <n v="0"/>
    <n v="1191.5650000000001"/>
    <n v="1191.5650000000001"/>
    <n v="1191.5650000000001"/>
    <n v="1191.5650000000001"/>
    <n v="3116"/>
    <x v="0"/>
    <n v="0"/>
    <n v="0"/>
    <n v="58"/>
    <n v="99"/>
    <n v="0"/>
    <n v="379.62"/>
    <n v="255.17"/>
    <m/>
    <n v="482.76396348427488"/>
    <n v="238.98759729915042"/>
    <n v="0"/>
    <n v="452341.90530000004"/>
    <n v="304051.64104999998"/>
    <n v="0"/>
    <n v="575244.64214914001"/>
    <n v="284769.25637576217"/>
  </r>
  <r>
    <s v="Sistema de Compensação"/>
    <x v="4"/>
    <x v="4"/>
    <x v="0"/>
    <x v="0"/>
    <x v="0"/>
    <x v="0"/>
    <x v="2"/>
    <x v="1"/>
    <n v="0"/>
    <n v="0"/>
    <n v="123.622"/>
    <n v="123.622"/>
    <n v="123.622"/>
    <n v="123.622"/>
    <n v="236"/>
    <x v="0"/>
    <n v="0"/>
    <n v="0"/>
    <n v="58"/>
    <n v="99"/>
    <n v="0"/>
    <n v="379.62"/>
    <n v="255.17"/>
    <m/>
    <n v="482.76396348427488"/>
    <n v="238.98759729915042"/>
    <n v="0"/>
    <n v="46929.38364"/>
    <n v="31544.625739999999"/>
    <n v="0"/>
    <n v="59680.246693853027"/>
    <n v="29544.124753315573"/>
  </r>
  <r>
    <s v="Regular"/>
    <x v="4"/>
    <x v="4"/>
    <x v="0"/>
    <x v="0"/>
    <x v="0"/>
    <x v="0"/>
    <x v="2"/>
    <x v="2"/>
    <n v="0"/>
    <n v="0"/>
    <n v="1218.107"/>
    <n v="1218.107"/>
    <n v="1218.107"/>
    <n v="1218.107"/>
    <n v="3101"/>
    <x v="0"/>
    <n v="0"/>
    <n v="0"/>
    <n v="58"/>
    <n v="99"/>
    <n v="0"/>
    <n v="379.62"/>
    <n v="255.17"/>
    <m/>
    <n v="482.76396348427488"/>
    <n v="238.98759729915042"/>
    <n v="0"/>
    <n v="462417.77934000001"/>
    <n v="310824.36319"/>
    <n v="0"/>
    <n v="588058.16326793958"/>
    <n v="291112.46518327622"/>
  </r>
  <r>
    <s v="Sistema de Compensação"/>
    <x v="4"/>
    <x v="4"/>
    <x v="0"/>
    <x v="0"/>
    <x v="0"/>
    <x v="0"/>
    <x v="2"/>
    <x v="2"/>
    <n v="0"/>
    <n v="0"/>
    <n v="133.83799999999999"/>
    <n v="133.83799999999999"/>
    <n v="133.83799999999999"/>
    <n v="133.83799999999999"/>
    <n v="257"/>
    <x v="0"/>
    <n v="0"/>
    <n v="0"/>
    <n v="58"/>
    <n v="99"/>
    <n v="0"/>
    <n v="379.62"/>
    <n v="255.17"/>
    <m/>
    <n v="482.76396348427488"/>
    <n v="238.98759729915042"/>
    <n v="0"/>
    <n v="50807.581559999999"/>
    <n v="34151.442459999998"/>
    <n v="0"/>
    <n v="64612.163344808381"/>
    <n v="31985.622047323694"/>
  </r>
  <r>
    <s v="Regular"/>
    <x v="4"/>
    <x v="4"/>
    <x v="0"/>
    <x v="0"/>
    <x v="0"/>
    <x v="0"/>
    <x v="2"/>
    <x v="3"/>
    <n v="0"/>
    <n v="0"/>
    <n v="1135.0899999999999"/>
    <n v="1135.0899999999999"/>
    <n v="1135.0899999999999"/>
    <n v="1135.0899999999999"/>
    <n v="3087"/>
    <x v="0"/>
    <n v="0"/>
    <n v="0"/>
    <n v="58"/>
    <n v="99"/>
    <n v="0"/>
    <n v="379.62"/>
    <n v="255.17"/>
    <m/>
    <n v="482.76396348427488"/>
    <n v="238.98759729915042"/>
    <n v="0"/>
    <n v="430902.86579999997"/>
    <n v="289640.91529999999"/>
    <n v="0"/>
    <n v="547980.54731136549"/>
    <n v="271272.43181829265"/>
  </r>
  <r>
    <s v="Sistema de Compensação"/>
    <x v="4"/>
    <x v="4"/>
    <x v="0"/>
    <x v="0"/>
    <x v="0"/>
    <x v="0"/>
    <x v="2"/>
    <x v="3"/>
    <n v="0"/>
    <n v="0"/>
    <n v="116.259"/>
    <n v="116.259"/>
    <n v="116.259"/>
    <n v="116.259"/>
    <n v="265"/>
    <x v="0"/>
    <n v="0"/>
    <n v="0"/>
    <n v="58"/>
    <n v="99"/>
    <n v="0"/>
    <n v="379.62"/>
    <n v="255.17"/>
    <m/>
    <n v="482.76396348427488"/>
    <n v="238.98759729915042"/>
    <n v="0"/>
    <n v="44134.241580000002"/>
    <n v="29665.80903"/>
    <n v="0"/>
    <n v="56125.655630718313"/>
    <n v="27784.45907440193"/>
  </r>
  <r>
    <s v="Regular"/>
    <x v="4"/>
    <x v="4"/>
    <x v="0"/>
    <x v="0"/>
    <x v="0"/>
    <x v="0"/>
    <x v="2"/>
    <x v="10"/>
    <n v="0"/>
    <n v="0"/>
    <n v="1354.8879999999999"/>
    <n v="1354.8879999999999"/>
    <n v="1354.8879999999999"/>
    <n v="1354.8879999999999"/>
    <n v="3096"/>
    <x v="0"/>
    <n v="0"/>
    <n v="0"/>
    <n v="58"/>
    <n v="99"/>
    <n v="0"/>
    <n v="379.62"/>
    <n v="255.17"/>
    <m/>
    <n v="482.76396348427488"/>
    <n v="238.98759729915042"/>
    <n v="0"/>
    <n v="514342.58255999995"/>
    <n v="345726.77095999994"/>
    <n v="0"/>
    <n v="654091.10095728224"/>
    <n v="323801.42772945127"/>
  </r>
  <r>
    <s v="Sistema de Compensação"/>
    <x v="4"/>
    <x v="4"/>
    <x v="0"/>
    <x v="0"/>
    <x v="0"/>
    <x v="0"/>
    <x v="2"/>
    <x v="10"/>
    <n v="0"/>
    <n v="0"/>
    <n v="130.71199999999999"/>
    <n v="130.71199999999999"/>
    <n v="130.71199999999999"/>
    <n v="130.71199999999999"/>
    <n v="273"/>
    <x v="0"/>
    <n v="0"/>
    <n v="0"/>
    <n v="58"/>
    <n v="99"/>
    <n v="0"/>
    <n v="379.62"/>
    <n v="255.17"/>
    <m/>
    <n v="482.76396348427488"/>
    <n v="238.98759729915042"/>
    <n v="0"/>
    <n v="49620.889439999999"/>
    <n v="33353.781039999994"/>
    <n v="0"/>
    <n v="63103.043194956532"/>
    <n v="31238.546818166549"/>
  </r>
  <r>
    <s v="PROJETADO"/>
    <x v="4"/>
    <x v="4"/>
    <x v="0"/>
    <x v="0"/>
    <x v="0"/>
    <x v="0"/>
    <x v="2"/>
    <x v="11"/>
    <n v="0"/>
    <n v="0"/>
    <n v="1354.8879999999999"/>
    <n v="1354.8879999999999"/>
    <n v="1354.8879999999999"/>
    <n v="1354.8879999999999"/>
    <n v="3096"/>
    <x v="0"/>
    <n v="0"/>
    <n v="0"/>
    <n v="58"/>
    <n v="99"/>
    <n v="0"/>
    <n v="379.62"/>
    <n v="255.17"/>
    <m/>
    <n v="482.76396348427488"/>
    <n v="238.98759729915042"/>
    <n v="0"/>
    <n v="514342.58255999995"/>
    <n v="345726.77095999994"/>
    <n v="0"/>
    <n v="654091.10095728224"/>
    <n v="323801.42772945127"/>
  </r>
  <r>
    <s v="PROJETADO"/>
    <x v="4"/>
    <x v="4"/>
    <x v="0"/>
    <x v="0"/>
    <x v="0"/>
    <x v="0"/>
    <x v="2"/>
    <x v="11"/>
    <n v="0"/>
    <n v="0"/>
    <n v="130.71199999999999"/>
    <n v="130.71199999999999"/>
    <n v="130.71199999999999"/>
    <n v="130.71199999999999"/>
    <n v="273"/>
    <x v="0"/>
    <n v="0"/>
    <n v="0"/>
    <n v="58"/>
    <n v="99"/>
    <n v="0"/>
    <n v="379.62"/>
    <n v="255.17"/>
    <m/>
    <n v="482.76396348427488"/>
    <n v="238.98759729915042"/>
    <n v="0"/>
    <n v="49620.889439999999"/>
    <n v="33353.781039999994"/>
    <n v="0"/>
    <n v="63103.043194956532"/>
    <n v="31238.546818166549"/>
  </r>
  <r>
    <s v="Regular"/>
    <x v="4"/>
    <x v="4"/>
    <x v="7"/>
    <x v="0"/>
    <x v="0"/>
    <x v="0"/>
    <x v="2"/>
    <x v="4"/>
    <n v="0"/>
    <n v="0"/>
    <n v="15.702999999999999"/>
    <n v="15.702999999999999"/>
    <n v="15.702999999999999"/>
    <n v="15.702999999999999"/>
    <n v="11"/>
    <x v="0"/>
    <n v="0"/>
    <n v="0"/>
    <n v="58"/>
    <n v="99"/>
    <n v="0"/>
    <n v="379.62"/>
    <n v="255.17"/>
    <m/>
    <n v="482.76396348427488"/>
    <n v="238.98759729915042"/>
    <n v="0"/>
    <n v="5961.1728599999997"/>
    <n v="4006.9345099999996"/>
    <n v="0"/>
    <n v="7580.8425185935685"/>
    <n v="3752.8222403885588"/>
  </r>
  <r>
    <s v="Regular"/>
    <x v="4"/>
    <x v="4"/>
    <x v="7"/>
    <x v="0"/>
    <x v="0"/>
    <x v="0"/>
    <x v="2"/>
    <x v="5"/>
    <n v="0"/>
    <n v="0"/>
    <n v="15.512"/>
    <n v="15.512"/>
    <n v="15.512"/>
    <n v="15.512"/>
    <n v="11"/>
    <x v="0"/>
    <n v="0"/>
    <n v="0"/>
    <n v="58"/>
    <n v="99"/>
    <n v="0"/>
    <n v="379.62"/>
    <n v="255.17"/>
    <m/>
    <n v="482.76396348427488"/>
    <n v="238.98759729915042"/>
    <n v="0"/>
    <n v="5888.6654400000007"/>
    <n v="3958.19704"/>
    <n v="0"/>
    <n v="7488.634601568072"/>
    <n v="3707.1756093044214"/>
  </r>
  <r>
    <s v="Regular"/>
    <x v="4"/>
    <x v="4"/>
    <x v="7"/>
    <x v="0"/>
    <x v="0"/>
    <x v="0"/>
    <x v="2"/>
    <x v="0"/>
    <n v="0"/>
    <n v="0"/>
    <n v="13.901"/>
    <n v="13.901"/>
    <n v="13.901"/>
    <n v="13.901"/>
    <n v="11"/>
    <x v="0"/>
    <n v="0"/>
    <n v="0"/>
    <n v="58"/>
    <n v="99"/>
    <n v="0"/>
    <n v="379.62"/>
    <n v="255.17"/>
    <m/>
    <n v="482.76396348427488"/>
    <n v="238.98759729915042"/>
    <n v="0"/>
    <n v="5277.0976199999996"/>
    <n v="3547.1181699999997"/>
    <n v="0"/>
    <n v="6710.9018563949048"/>
    <n v="3322.1665900554899"/>
  </r>
  <r>
    <s v="Regular"/>
    <x v="4"/>
    <x v="4"/>
    <x v="7"/>
    <x v="0"/>
    <x v="0"/>
    <x v="0"/>
    <x v="2"/>
    <x v="6"/>
    <n v="0"/>
    <n v="0"/>
    <n v="15.327999999999999"/>
    <n v="15.327999999999999"/>
    <n v="15.327999999999999"/>
    <n v="15.327999999999999"/>
    <n v="11"/>
    <x v="0"/>
    <n v="0"/>
    <n v="0"/>
    <n v="58"/>
    <n v="99"/>
    <n v="0"/>
    <n v="379.62"/>
    <n v="255.17"/>
    <m/>
    <n v="482.76396348427488"/>
    <n v="238.98759729915042"/>
    <n v="0"/>
    <n v="5818.8153599999996"/>
    <n v="3911.2457599999998"/>
    <n v="0"/>
    <n v="7399.8060322869651"/>
    <n v="3663.2018914013775"/>
  </r>
  <r>
    <s v="Regular"/>
    <x v="4"/>
    <x v="4"/>
    <x v="7"/>
    <x v="0"/>
    <x v="0"/>
    <x v="0"/>
    <x v="2"/>
    <x v="7"/>
    <n v="0"/>
    <n v="0"/>
    <n v="14.196999999999999"/>
    <n v="14.196999999999999"/>
    <n v="14.196999999999999"/>
    <n v="14.196999999999999"/>
    <n v="11"/>
    <x v="0"/>
    <n v="0"/>
    <n v="0"/>
    <n v="58"/>
    <n v="99"/>
    <n v="0"/>
    <n v="379.62"/>
    <n v="255.17"/>
    <m/>
    <n v="482.76396348427488"/>
    <n v="238.98759729915042"/>
    <n v="0"/>
    <n v="5389.4651399999993"/>
    <n v="3622.6484899999996"/>
    <n v="0"/>
    <n v="6853.7999895862504"/>
    <n v="3392.9069188560384"/>
  </r>
  <r>
    <s v="Regular"/>
    <x v="4"/>
    <x v="4"/>
    <x v="7"/>
    <x v="0"/>
    <x v="0"/>
    <x v="0"/>
    <x v="2"/>
    <x v="8"/>
    <n v="0"/>
    <n v="0"/>
    <n v="17.297000000000001"/>
    <n v="17.297000000000001"/>
    <n v="17.297000000000001"/>
    <n v="17.297000000000001"/>
    <n v="11"/>
    <x v="0"/>
    <n v="0"/>
    <n v="0"/>
    <n v="58"/>
    <n v="99"/>
    <n v="0"/>
    <n v="379.62"/>
    <n v="255.17"/>
    <m/>
    <n v="482.76396348427488"/>
    <n v="238.98759729915042"/>
    <n v="0"/>
    <n v="6566.2871400000004"/>
    <n v="4413.6754899999996"/>
    <n v="0"/>
    <n v="8350.3682763875022"/>
    <n v="4133.7684704834046"/>
  </r>
  <r>
    <s v="Regular"/>
    <x v="4"/>
    <x v="4"/>
    <x v="7"/>
    <x v="0"/>
    <x v="0"/>
    <x v="0"/>
    <x v="2"/>
    <x v="9"/>
    <n v="0"/>
    <n v="0"/>
    <n v="15.887"/>
    <n v="15.887"/>
    <n v="15.887"/>
    <n v="15.887"/>
    <n v="11"/>
    <x v="0"/>
    <n v="0"/>
    <n v="0"/>
    <n v="58"/>
    <n v="99"/>
    <n v="0"/>
    <n v="379.62"/>
    <n v="255.17"/>
    <m/>
    <n v="482.76396348427488"/>
    <n v="238.98759729915042"/>
    <n v="0"/>
    <n v="6031.0229399999998"/>
    <n v="4053.8857899999998"/>
    <n v="0"/>
    <n v="7669.6710878746753"/>
    <n v="3796.7959582916028"/>
  </r>
  <r>
    <s v="Regular"/>
    <x v="4"/>
    <x v="4"/>
    <x v="7"/>
    <x v="0"/>
    <x v="0"/>
    <x v="0"/>
    <x v="2"/>
    <x v="1"/>
    <n v="0"/>
    <n v="0"/>
    <n v="12.807"/>
    <n v="12.807"/>
    <n v="12.807"/>
    <n v="12.807"/>
    <n v="11"/>
    <x v="0"/>
    <n v="0"/>
    <n v="0"/>
    <n v="58"/>
    <n v="99"/>
    <n v="0"/>
    <n v="379.62"/>
    <n v="255.17"/>
    <m/>
    <n v="482.76396348427488"/>
    <n v="238.98759729915042"/>
    <n v="0"/>
    <n v="4861.7933400000002"/>
    <n v="3267.9621899999997"/>
    <n v="0"/>
    <n v="6182.7580803431083"/>
    <n v="3060.7141586102193"/>
  </r>
  <r>
    <s v="Regular"/>
    <x v="4"/>
    <x v="4"/>
    <x v="7"/>
    <x v="0"/>
    <x v="0"/>
    <x v="0"/>
    <x v="2"/>
    <x v="2"/>
    <n v="0"/>
    <n v="0"/>
    <n v="13.413"/>
    <n v="13.413"/>
    <n v="13.413"/>
    <n v="13.413"/>
    <n v="11"/>
    <x v="0"/>
    <n v="0"/>
    <n v="0"/>
    <n v="58"/>
    <n v="99"/>
    <n v="0"/>
    <n v="379.62"/>
    <n v="255.17"/>
    <m/>
    <n v="482.76396348427488"/>
    <n v="238.98759729915042"/>
    <n v="0"/>
    <n v="5091.8430600000002"/>
    <n v="3422.59521"/>
    <n v="0"/>
    <n v="6475.3130422145787"/>
    <n v="3205.5406425735046"/>
  </r>
  <r>
    <s v="Regular"/>
    <x v="4"/>
    <x v="4"/>
    <x v="7"/>
    <x v="0"/>
    <x v="0"/>
    <x v="0"/>
    <x v="2"/>
    <x v="3"/>
    <n v="0"/>
    <n v="0"/>
    <n v="12.808"/>
    <n v="12.808"/>
    <n v="12.808"/>
    <n v="12.808"/>
    <n v="11"/>
    <x v="0"/>
    <n v="0"/>
    <n v="0"/>
    <n v="58"/>
    <n v="99"/>
    <n v="0"/>
    <n v="379.62"/>
    <n v="255.17"/>
    <m/>
    <n v="482.76396348427488"/>
    <n v="238.98759729915042"/>
    <n v="0"/>
    <n v="4862.1729599999999"/>
    <n v="3268.2173599999996"/>
    <n v="0"/>
    <n v="6183.2408443065924"/>
    <n v="3060.9531462075188"/>
  </r>
  <r>
    <s v="Regular"/>
    <x v="4"/>
    <x v="4"/>
    <x v="7"/>
    <x v="0"/>
    <x v="0"/>
    <x v="0"/>
    <x v="2"/>
    <x v="10"/>
    <n v="0"/>
    <n v="0"/>
    <n v="16.094999999999999"/>
    <n v="16.094999999999999"/>
    <n v="16.094999999999999"/>
    <n v="16.094999999999999"/>
    <n v="11"/>
    <x v="0"/>
    <n v="0"/>
    <n v="0"/>
    <n v="58"/>
    <n v="99"/>
    <n v="0"/>
    <n v="379.62"/>
    <n v="255.17"/>
    <m/>
    <n v="482.76396348427488"/>
    <n v="238.98759729915042"/>
    <n v="0"/>
    <n v="6109.9838999999993"/>
    <n v="4106.9611499999992"/>
    <n v="0"/>
    <n v="7770.0859922794034"/>
    <n v="3846.505378529826"/>
  </r>
  <r>
    <s v="PROJETADO"/>
    <x v="4"/>
    <x v="4"/>
    <x v="7"/>
    <x v="0"/>
    <x v="0"/>
    <x v="0"/>
    <x v="2"/>
    <x v="11"/>
    <n v="0"/>
    <n v="0"/>
    <n v="16.094999999999999"/>
    <n v="16.094999999999999"/>
    <n v="16.094999999999999"/>
    <n v="16.094999999999999"/>
    <n v="11"/>
    <x v="0"/>
    <n v="0"/>
    <n v="0"/>
    <n v="58"/>
    <n v="99"/>
    <n v="0"/>
    <n v="379.62"/>
    <n v="255.17"/>
    <m/>
    <n v="482.76396348427488"/>
    <n v="238.98759729915042"/>
    <n v="0"/>
    <n v="6109.9838999999993"/>
    <n v="4106.9611499999992"/>
    <n v="0"/>
    <n v="7770.0859922794034"/>
    <n v="3846.505378529826"/>
  </r>
  <r>
    <s v="Regular"/>
    <x v="4"/>
    <x v="4"/>
    <x v="4"/>
    <x v="0"/>
    <x v="0"/>
    <x v="0"/>
    <x v="2"/>
    <x v="4"/>
    <n v="0"/>
    <n v="0"/>
    <n v="48.664999999999999"/>
    <n v="48.664999999999999"/>
    <n v="48.664999999999999"/>
    <n v="48.664999999999999"/>
    <n v="44"/>
    <x v="0"/>
    <n v="0"/>
    <n v="0"/>
    <n v="58"/>
    <n v="99"/>
    <n v="0"/>
    <n v="379.62"/>
    <n v="255.17"/>
    <m/>
    <n v="482.76396348427488"/>
    <n v="238.98759729915042"/>
    <n v="0"/>
    <n v="18474.207299999998"/>
    <n v="12417.848049999999"/>
    <n v="0"/>
    <n v="23493.708282962238"/>
    <n v="11630.331422563155"/>
  </r>
  <r>
    <s v="Sistema de Compensação"/>
    <x v="4"/>
    <x v="4"/>
    <x v="4"/>
    <x v="0"/>
    <x v="0"/>
    <x v="0"/>
    <x v="2"/>
    <x v="4"/>
    <n v="0"/>
    <n v="0"/>
    <n v="1.589"/>
    <n v="1.589"/>
    <n v="1.589"/>
    <n v="1.589"/>
    <n v="3"/>
    <x v="0"/>
    <n v="0"/>
    <n v="0"/>
    <n v="58"/>
    <n v="99"/>
    <n v="0"/>
    <n v="379.62"/>
    <n v="255.17"/>
    <m/>
    <n v="482.76396348427488"/>
    <n v="238.98759729915042"/>
    <n v="0"/>
    <n v="603.21618000000001"/>
    <n v="405.46512999999999"/>
    <n v="0"/>
    <n v="767.11193797651276"/>
    <n v="379.75129210835001"/>
  </r>
  <r>
    <s v="Regular"/>
    <x v="4"/>
    <x v="4"/>
    <x v="4"/>
    <x v="0"/>
    <x v="0"/>
    <x v="0"/>
    <x v="2"/>
    <x v="5"/>
    <n v="0"/>
    <n v="0"/>
    <n v="43.027999999999999"/>
    <n v="43.027999999999999"/>
    <n v="43.027999999999999"/>
    <n v="43.027999999999999"/>
    <n v="44"/>
    <x v="0"/>
    <n v="0"/>
    <n v="0"/>
    <n v="58"/>
    <n v="99"/>
    <n v="0"/>
    <n v="379.62"/>
    <n v="255.17"/>
    <m/>
    <n v="482.76396348427488"/>
    <n v="238.98759729915042"/>
    <n v="0"/>
    <n v="16334.289359999999"/>
    <n v="10979.454759999999"/>
    <n v="0"/>
    <n v="20772.367820801381"/>
    <n v="10283.158336587843"/>
  </r>
  <r>
    <s v="Sistema de Compensação"/>
    <x v="4"/>
    <x v="4"/>
    <x v="4"/>
    <x v="0"/>
    <x v="0"/>
    <x v="0"/>
    <x v="2"/>
    <x v="5"/>
    <n v="0"/>
    <n v="0"/>
    <n v="1.998"/>
    <n v="1.998"/>
    <n v="1.998"/>
    <n v="1.998"/>
    <n v="3"/>
    <x v="0"/>
    <n v="0"/>
    <n v="0"/>
    <n v="58"/>
    <n v="99"/>
    <n v="0"/>
    <n v="379.62"/>
    <n v="255.17"/>
    <m/>
    <n v="482.76396348427488"/>
    <n v="238.98759729915042"/>
    <n v="0"/>
    <n v="758.48076000000003"/>
    <n v="509.82965999999999"/>
    <n v="0"/>
    <n v="964.56239904158122"/>
    <n v="477.49721940370256"/>
  </r>
  <r>
    <s v="Regular"/>
    <x v="4"/>
    <x v="4"/>
    <x v="4"/>
    <x v="0"/>
    <x v="0"/>
    <x v="0"/>
    <x v="2"/>
    <x v="0"/>
    <n v="0"/>
    <n v="0"/>
    <n v="44.354999999999997"/>
    <n v="44.354999999999997"/>
    <n v="44.354999999999997"/>
    <n v="44.354999999999997"/>
    <n v="44"/>
    <x v="0"/>
    <n v="0"/>
    <n v="0"/>
    <n v="58"/>
    <n v="99"/>
    <n v="0"/>
    <n v="379.62"/>
    <n v="255.17"/>
    <m/>
    <n v="482.76396348427488"/>
    <n v="238.98759729915042"/>
    <n v="0"/>
    <n v="16838.045099999999"/>
    <n v="11318.065349999999"/>
    <n v="0"/>
    <n v="21412.99560034501"/>
    <n v="10600.294878203817"/>
  </r>
  <r>
    <s v="Sistema de Compensação"/>
    <x v="4"/>
    <x v="4"/>
    <x v="4"/>
    <x v="0"/>
    <x v="0"/>
    <x v="0"/>
    <x v="2"/>
    <x v="0"/>
    <n v="0"/>
    <n v="0"/>
    <n v="1.978"/>
    <n v="1.978"/>
    <n v="1.978"/>
    <n v="1.978"/>
    <n v="3"/>
    <x v="0"/>
    <n v="0"/>
    <n v="0"/>
    <n v="58"/>
    <n v="99"/>
    <n v="0"/>
    <n v="379.62"/>
    <n v="255.17"/>
    <m/>
    <n v="482.76396348427488"/>
    <n v="238.98759729915042"/>
    <n v="0"/>
    <n v="750.88836000000003"/>
    <n v="504.72625999999997"/>
    <n v="0"/>
    <n v="954.90711977189574"/>
    <n v="472.71746745771952"/>
  </r>
  <r>
    <s v="Regular"/>
    <x v="4"/>
    <x v="4"/>
    <x v="4"/>
    <x v="0"/>
    <x v="0"/>
    <x v="0"/>
    <x v="2"/>
    <x v="6"/>
    <n v="0"/>
    <n v="0"/>
    <n v="44.408000000000001"/>
    <n v="44.408000000000001"/>
    <n v="44.408000000000001"/>
    <n v="44.408000000000001"/>
    <n v="42"/>
    <x v="0"/>
    <n v="0"/>
    <n v="0"/>
    <n v="58"/>
    <n v="99"/>
    <n v="0"/>
    <n v="379.62"/>
    <n v="255.17"/>
    <m/>
    <n v="482.76396348427488"/>
    <n v="238.98759729915042"/>
    <n v="0"/>
    <n v="16858.164960000002"/>
    <n v="11331.58936"/>
    <n v="0"/>
    <n v="21438.58209040968"/>
    <n v="10612.961220860672"/>
  </r>
  <r>
    <s v="Sistema de Compensação"/>
    <x v="4"/>
    <x v="4"/>
    <x v="4"/>
    <x v="0"/>
    <x v="0"/>
    <x v="0"/>
    <x v="2"/>
    <x v="6"/>
    <n v="0"/>
    <n v="0"/>
    <n v="0.71199999999999997"/>
    <n v="0.71199999999999997"/>
    <n v="0.71199999999999997"/>
    <n v="0.71199999999999997"/>
    <n v="3"/>
    <x v="0"/>
    <n v="0"/>
    <n v="0"/>
    <n v="58"/>
    <n v="99"/>
    <n v="0"/>
    <n v="379.62"/>
    <n v="255.17"/>
    <m/>
    <n v="482.76396348427488"/>
    <n v="238.98759729915042"/>
    <n v="0"/>
    <n v="270.28944000000001"/>
    <n v="181.68104"/>
    <n v="0"/>
    <n v="343.72794200080369"/>
    <n v="170.1591692769951"/>
  </r>
  <r>
    <s v="Regular"/>
    <x v="4"/>
    <x v="4"/>
    <x v="4"/>
    <x v="0"/>
    <x v="0"/>
    <x v="0"/>
    <x v="2"/>
    <x v="7"/>
    <n v="0"/>
    <n v="0"/>
    <n v="43.771000000000001"/>
    <n v="43.771000000000001"/>
    <n v="43.771000000000001"/>
    <n v="43.771000000000001"/>
    <n v="42"/>
    <x v="0"/>
    <n v="0"/>
    <n v="0"/>
    <n v="58"/>
    <n v="99"/>
    <n v="0"/>
    <n v="379.62"/>
    <n v="255.17"/>
    <m/>
    <n v="482.76396348427488"/>
    <n v="238.98759729915042"/>
    <n v="0"/>
    <n v="16616.347020000001"/>
    <n v="11169.04607"/>
    <n v="0"/>
    <n v="21131.061445670195"/>
    <n v="10460.726121381113"/>
  </r>
  <r>
    <s v="Sistema de Compensação"/>
    <x v="4"/>
    <x v="4"/>
    <x v="4"/>
    <x v="0"/>
    <x v="0"/>
    <x v="0"/>
    <x v="2"/>
    <x v="7"/>
    <n v="0"/>
    <n v="0"/>
    <n v="0.6"/>
    <n v="0.6"/>
    <n v="0.6"/>
    <n v="0.6"/>
    <n v="3"/>
    <x v="0"/>
    <n v="0"/>
    <n v="0"/>
    <n v="58"/>
    <n v="99"/>
    <n v="0"/>
    <n v="379.62"/>
    <n v="255.17"/>
    <m/>
    <n v="482.76396348427488"/>
    <n v="238.98759729915042"/>
    <n v="0"/>
    <n v="227.77199999999999"/>
    <n v="153.10199999999998"/>
    <n v="0"/>
    <n v="289.6583780905649"/>
    <n v="143.39255837949025"/>
  </r>
  <r>
    <s v="Regular"/>
    <x v="4"/>
    <x v="4"/>
    <x v="4"/>
    <x v="0"/>
    <x v="0"/>
    <x v="0"/>
    <x v="2"/>
    <x v="8"/>
    <n v="0"/>
    <n v="0"/>
    <n v="47.892000000000003"/>
    <n v="47.892000000000003"/>
    <n v="47.892000000000003"/>
    <n v="47.892000000000003"/>
    <n v="42"/>
    <x v="0"/>
    <n v="0"/>
    <n v="0"/>
    <n v="58"/>
    <n v="99"/>
    <n v="0"/>
    <n v="379.62"/>
    <n v="255.17"/>
    <m/>
    <n v="482.76396348427488"/>
    <n v="238.98759729915042"/>
    <n v="0"/>
    <n v="18180.761040000001"/>
    <n v="12220.601640000001"/>
    <n v="0"/>
    <n v="23120.531739188893"/>
    <n v="11445.594009850913"/>
  </r>
  <r>
    <s v="Sistema de Compensação"/>
    <x v="4"/>
    <x v="4"/>
    <x v="4"/>
    <x v="0"/>
    <x v="0"/>
    <x v="0"/>
    <x v="2"/>
    <x v="8"/>
    <n v="0"/>
    <n v="0"/>
    <n v="0.47399999999999998"/>
    <n v="0.47399999999999998"/>
    <n v="0.47399999999999998"/>
    <n v="0.47399999999999998"/>
    <n v="3"/>
    <x v="0"/>
    <n v="0"/>
    <n v="0"/>
    <n v="58"/>
    <n v="99"/>
    <n v="0"/>
    <n v="379.62"/>
    <n v="255.17"/>
    <m/>
    <n v="482.76396348427488"/>
    <n v="238.98759729915042"/>
    <n v="0"/>
    <n v="179.93987999999999"/>
    <n v="120.95057999999999"/>
    <n v="0"/>
    <n v="228.83011869154629"/>
    <n v="113.2801211197973"/>
  </r>
  <r>
    <s v="Regular"/>
    <x v="4"/>
    <x v="4"/>
    <x v="4"/>
    <x v="0"/>
    <x v="0"/>
    <x v="0"/>
    <x v="2"/>
    <x v="9"/>
    <n v="0"/>
    <n v="0"/>
    <n v="41.951000000000001"/>
    <n v="41.951000000000001"/>
    <n v="41.951000000000001"/>
    <n v="41.951000000000001"/>
    <n v="43"/>
    <x v="0"/>
    <n v="0"/>
    <n v="0"/>
    <n v="58"/>
    <n v="99"/>
    <n v="0"/>
    <n v="379.62"/>
    <n v="255.17"/>
    <m/>
    <n v="482.76396348427488"/>
    <n v="238.98759729915042"/>
    <n v="0"/>
    <n v="15925.438620000001"/>
    <n v="10704.63667"/>
    <n v="0"/>
    <n v="20252.431032128818"/>
    <n v="10025.768694296659"/>
  </r>
  <r>
    <s v="Sistema de Compensação"/>
    <x v="4"/>
    <x v="4"/>
    <x v="4"/>
    <x v="0"/>
    <x v="0"/>
    <x v="0"/>
    <x v="2"/>
    <x v="9"/>
    <n v="0"/>
    <n v="0"/>
    <n v="1.8620000000000001"/>
    <n v="1.8620000000000001"/>
    <n v="1.8620000000000001"/>
    <n v="1.8620000000000001"/>
    <n v="3"/>
    <x v="0"/>
    <n v="0"/>
    <n v="0"/>
    <n v="58"/>
    <n v="99"/>
    <n v="0"/>
    <n v="379.62"/>
    <n v="255.17"/>
    <m/>
    <n v="482.76396348427488"/>
    <n v="238.98759729915042"/>
    <n v="0"/>
    <n v="706.85244"/>
    <n v="475.12653999999998"/>
    <n v="0"/>
    <n v="898.90650000771984"/>
    <n v="444.9949061710181"/>
  </r>
  <r>
    <s v="Regular"/>
    <x v="4"/>
    <x v="4"/>
    <x v="4"/>
    <x v="0"/>
    <x v="0"/>
    <x v="0"/>
    <x v="2"/>
    <x v="1"/>
    <n v="0"/>
    <n v="0"/>
    <n v="48.308999999999997"/>
    <n v="48.308999999999997"/>
    <n v="48.308999999999997"/>
    <n v="48.308999999999997"/>
    <n v="42"/>
    <x v="0"/>
    <n v="0"/>
    <n v="0"/>
    <n v="58"/>
    <n v="99"/>
    <n v="0"/>
    <n v="379.62"/>
    <n v="255.17"/>
    <m/>
    <n v="482.76396348427488"/>
    <n v="238.98759729915042"/>
    <n v="0"/>
    <n v="18339.062579999998"/>
    <n v="12327.007529999999"/>
    <n v="0"/>
    <n v="23321.844311961835"/>
    <n v="11545.251837924658"/>
  </r>
  <r>
    <s v="Sistema de Compensação"/>
    <x v="4"/>
    <x v="4"/>
    <x v="4"/>
    <x v="0"/>
    <x v="0"/>
    <x v="0"/>
    <x v="2"/>
    <x v="1"/>
    <n v="0"/>
    <n v="0"/>
    <n v="1.448"/>
    <n v="1.448"/>
    <n v="1.448"/>
    <n v="1.448"/>
    <n v="3"/>
    <x v="0"/>
    <n v="0"/>
    <n v="0"/>
    <n v="58"/>
    <n v="99"/>
    <n v="0"/>
    <n v="379.62"/>
    <n v="255.17"/>
    <m/>
    <n v="482.76396348427488"/>
    <n v="238.98759729915042"/>
    <n v="0"/>
    <n v="549.68975999999998"/>
    <n v="369.48615999999998"/>
    <n v="0"/>
    <n v="699.04221912522996"/>
    <n v="346.05404088916981"/>
  </r>
  <r>
    <s v="Regular"/>
    <x v="4"/>
    <x v="4"/>
    <x v="4"/>
    <x v="0"/>
    <x v="0"/>
    <x v="0"/>
    <x v="2"/>
    <x v="2"/>
    <n v="0"/>
    <n v="0"/>
    <n v="59.238"/>
    <n v="59.238"/>
    <n v="59.238"/>
    <n v="59.238"/>
    <n v="42"/>
    <x v="0"/>
    <n v="0"/>
    <n v="0"/>
    <n v="58"/>
    <n v="99"/>
    <n v="0"/>
    <n v="379.62"/>
    <n v="255.17"/>
    <m/>
    <n v="482.76396348427488"/>
    <n v="238.98759729915042"/>
    <n v="0"/>
    <n v="22487.92956"/>
    <n v="15115.76046"/>
    <n v="0"/>
    <n v="28597.971668881477"/>
    <n v="14157.147288807073"/>
  </r>
  <r>
    <s v="Sistema de Compensação"/>
    <x v="4"/>
    <x v="4"/>
    <x v="4"/>
    <x v="0"/>
    <x v="0"/>
    <x v="0"/>
    <x v="2"/>
    <x v="2"/>
    <n v="0"/>
    <n v="0"/>
    <n v="1.8420000000000001"/>
    <n v="1.8420000000000001"/>
    <n v="1.8420000000000001"/>
    <n v="1.8420000000000001"/>
    <n v="3"/>
    <x v="0"/>
    <n v="0"/>
    <n v="0"/>
    <n v="58"/>
    <n v="99"/>
    <n v="0"/>
    <n v="379.62"/>
    <n v="255.17"/>
    <m/>
    <n v="482.76396348427488"/>
    <n v="238.98759729915042"/>
    <n v="0"/>
    <n v="699.26004"/>
    <n v="470.02314000000001"/>
    <n v="0"/>
    <n v="889.25122073803436"/>
    <n v="440.21515422503512"/>
  </r>
  <r>
    <s v="Regular"/>
    <x v="4"/>
    <x v="4"/>
    <x v="4"/>
    <x v="0"/>
    <x v="0"/>
    <x v="0"/>
    <x v="2"/>
    <x v="3"/>
    <n v="0"/>
    <n v="0"/>
    <n v="52.244999999999997"/>
    <n v="52.244999999999997"/>
    <n v="52.244999999999997"/>
    <n v="52.244999999999997"/>
    <n v="38"/>
    <x v="0"/>
    <n v="0"/>
    <n v="0"/>
    <n v="58"/>
    <n v="99"/>
    <n v="0"/>
    <n v="379.62"/>
    <n v="255.17"/>
    <m/>
    <n v="482.76396348427488"/>
    <n v="238.98759729915042"/>
    <n v="0"/>
    <n v="19833.246899999998"/>
    <n v="13331.356649999998"/>
    <n v="0"/>
    <n v="25222.003272235939"/>
    <n v="12485.907020894114"/>
  </r>
  <r>
    <s v="Sistema de Compensação"/>
    <x v="4"/>
    <x v="4"/>
    <x v="4"/>
    <x v="0"/>
    <x v="0"/>
    <x v="0"/>
    <x v="2"/>
    <x v="3"/>
    <n v="0"/>
    <n v="0"/>
    <n v="1.1379999999999999"/>
    <n v="1.1379999999999999"/>
    <n v="1.1379999999999999"/>
    <n v="1.1379999999999999"/>
    <n v="3"/>
    <x v="0"/>
    <n v="0"/>
    <n v="0"/>
    <n v="58"/>
    <n v="99"/>
    <n v="0"/>
    <n v="379.62"/>
    <n v="255.17"/>
    <m/>
    <n v="482.76396348427488"/>
    <n v="238.98759729915042"/>
    <n v="0"/>
    <n v="432.00755999999996"/>
    <n v="290.38345999999996"/>
    <n v="0"/>
    <n v="549.3853904451048"/>
    <n v="271.96788572643317"/>
  </r>
  <r>
    <s v="Regular"/>
    <x v="4"/>
    <x v="4"/>
    <x v="4"/>
    <x v="0"/>
    <x v="0"/>
    <x v="0"/>
    <x v="2"/>
    <x v="10"/>
    <n v="0"/>
    <n v="0"/>
    <n v="56.640999999999998"/>
    <n v="56.640999999999998"/>
    <n v="56.640999999999998"/>
    <n v="56.640999999999998"/>
    <n v="37"/>
    <x v="0"/>
    <n v="0"/>
    <n v="0"/>
    <n v="58"/>
    <n v="99"/>
    <n v="0"/>
    <n v="379.62"/>
    <n v="255.17"/>
    <m/>
    <n v="482.76396348427488"/>
    <n v="238.98759729915042"/>
    <n v="0"/>
    <n v="21502.056420000001"/>
    <n v="14453.08397"/>
    <n v="0"/>
    <n v="27344.233655712811"/>
    <n v="13536.496498621178"/>
  </r>
  <r>
    <s v="Sistema de Compensação"/>
    <x v="4"/>
    <x v="4"/>
    <x v="4"/>
    <x v="0"/>
    <x v="0"/>
    <x v="0"/>
    <x v="2"/>
    <x v="10"/>
    <n v="0"/>
    <n v="0"/>
    <n v="1.889"/>
    <n v="1.889"/>
    <n v="1.889"/>
    <n v="1.889"/>
    <n v="3"/>
    <x v="0"/>
    <n v="0"/>
    <n v="0"/>
    <n v="58"/>
    <n v="99"/>
    <n v="0"/>
    <n v="379.62"/>
    <n v="255.17"/>
    <m/>
    <n v="482.76396348427488"/>
    <n v="238.98759729915042"/>
    <n v="0"/>
    <n v="717.10217999999998"/>
    <n v="482.01612999999998"/>
    <n v="0"/>
    <n v="911.9411270217953"/>
    <n v="451.44757129809517"/>
  </r>
  <r>
    <s v="PROJETADO"/>
    <x v="4"/>
    <x v="4"/>
    <x v="4"/>
    <x v="0"/>
    <x v="0"/>
    <x v="0"/>
    <x v="2"/>
    <x v="11"/>
    <n v="0"/>
    <n v="0"/>
    <n v="56.640999999999998"/>
    <n v="56.640999999999998"/>
    <n v="56.640999999999998"/>
    <n v="56.640999999999998"/>
    <n v="37"/>
    <x v="0"/>
    <n v="0"/>
    <n v="0"/>
    <n v="58"/>
    <n v="99"/>
    <n v="0"/>
    <n v="379.62"/>
    <n v="255.17"/>
    <m/>
    <n v="482.76396348427488"/>
    <n v="238.98759729915042"/>
    <n v="0"/>
    <n v="21502.056420000001"/>
    <n v="14453.08397"/>
    <n v="0"/>
    <n v="27344.233655712811"/>
    <n v="13536.496498621178"/>
  </r>
  <r>
    <s v="PROJETADO"/>
    <x v="4"/>
    <x v="4"/>
    <x v="4"/>
    <x v="0"/>
    <x v="0"/>
    <x v="0"/>
    <x v="2"/>
    <x v="11"/>
    <n v="0"/>
    <n v="0"/>
    <n v="1.889"/>
    <n v="1.889"/>
    <n v="1.889"/>
    <n v="1.889"/>
    <n v="3"/>
    <x v="0"/>
    <n v="0"/>
    <n v="0"/>
    <n v="58"/>
    <n v="99"/>
    <n v="0"/>
    <n v="379.62"/>
    <n v="255.17"/>
    <m/>
    <n v="482.76396348427488"/>
    <n v="238.98759729915042"/>
    <n v="0"/>
    <n v="717.10217999999998"/>
    <n v="482.01612999999998"/>
    <n v="0"/>
    <n v="911.9411270217953"/>
    <n v="451.44757129809517"/>
  </r>
  <r>
    <s v="Regular"/>
    <x v="4"/>
    <x v="4"/>
    <x v="5"/>
    <x v="0"/>
    <x v="0"/>
    <x v="0"/>
    <x v="2"/>
    <x v="4"/>
    <n v="0"/>
    <n v="0"/>
    <n v="394.25700000000001"/>
    <n v="394.25700000000001"/>
    <n v="394.25700000000001"/>
    <n v="394.25700000000001"/>
    <n v="451"/>
    <x v="0"/>
    <n v="0"/>
    <n v="0"/>
    <n v="58"/>
    <n v="99"/>
    <n v="0"/>
    <n v="379.62"/>
    <n v="255.17"/>
    <m/>
    <n v="482.76396348427488"/>
    <n v="238.98759729915042"/>
    <n v="0"/>
    <n v="149667.84234"/>
    <n v="100602.55868999999"/>
    <n v="0"/>
    <n v="190333.07195141976"/>
    <n v="94222.533148371149"/>
  </r>
  <r>
    <s v="Regular"/>
    <x v="4"/>
    <x v="4"/>
    <x v="5"/>
    <x v="0"/>
    <x v="0"/>
    <x v="0"/>
    <x v="2"/>
    <x v="5"/>
    <n v="0"/>
    <n v="0"/>
    <n v="392.77600000000001"/>
    <n v="392.77600000000001"/>
    <n v="392.77600000000001"/>
    <n v="392.77600000000001"/>
    <n v="451"/>
    <x v="0"/>
    <n v="0"/>
    <n v="0"/>
    <n v="58"/>
    <n v="99"/>
    <n v="0"/>
    <n v="379.62"/>
    <n v="255.17"/>
    <m/>
    <n v="482.76396348427488"/>
    <n v="238.98759729915042"/>
    <n v="0"/>
    <n v="149105.62512000001"/>
    <n v="100224.65192"/>
    <n v="0"/>
    <n v="189618.09852149955"/>
    <n v="93868.59251677111"/>
  </r>
  <r>
    <s v="Regular"/>
    <x v="4"/>
    <x v="4"/>
    <x v="5"/>
    <x v="0"/>
    <x v="0"/>
    <x v="0"/>
    <x v="2"/>
    <x v="0"/>
    <n v="0"/>
    <n v="0"/>
    <n v="336.15199999999999"/>
    <n v="336.15199999999999"/>
    <n v="336.15199999999999"/>
    <n v="336.15199999999999"/>
    <n v="457"/>
    <x v="0"/>
    <n v="0"/>
    <n v="0"/>
    <n v="58"/>
    <n v="99"/>
    <n v="0"/>
    <n v="379.62"/>
    <n v="255.17"/>
    <m/>
    <n v="482.76396348427488"/>
    <n v="238.98759729915042"/>
    <n v="0"/>
    <n v="127610.02223999999"/>
    <n v="85775.905839999992"/>
    <n v="0"/>
    <n v="162282.07185316595"/>
    <n v="80336.158807304004"/>
  </r>
  <r>
    <s v="Regular"/>
    <x v="4"/>
    <x v="4"/>
    <x v="5"/>
    <x v="0"/>
    <x v="0"/>
    <x v="0"/>
    <x v="2"/>
    <x v="6"/>
    <n v="0"/>
    <n v="0"/>
    <n v="365.01900000000001"/>
    <n v="365.01900000000001"/>
    <n v="365.01900000000001"/>
    <n v="365.01900000000001"/>
    <n v="452"/>
    <x v="0"/>
    <n v="0"/>
    <n v="0"/>
    <n v="58"/>
    <n v="99"/>
    <n v="0"/>
    <n v="379.62"/>
    <n v="255.17"/>
    <m/>
    <n v="482.76396348427488"/>
    <n v="238.98759729915042"/>
    <n v="0"/>
    <n v="138568.51277999999"/>
    <n v="93141.898229999992"/>
    <n v="0"/>
    <n v="176218.01918706653"/>
    <n v="87235.013778538589"/>
  </r>
  <r>
    <s v="Regular"/>
    <x v="4"/>
    <x v="4"/>
    <x v="5"/>
    <x v="0"/>
    <x v="0"/>
    <x v="0"/>
    <x v="2"/>
    <x v="7"/>
    <n v="0"/>
    <n v="0"/>
    <n v="355.18400000000003"/>
    <n v="355.18400000000003"/>
    <n v="355.18400000000003"/>
    <n v="355.18400000000003"/>
    <n v="453"/>
    <x v="0"/>
    <n v="0"/>
    <n v="0"/>
    <n v="58"/>
    <n v="99"/>
    <n v="0"/>
    <n v="379.62"/>
    <n v="255.17"/>
    <m/>
    <n v="482.76396348427488"/>
    <n v="238.98759729915042"/>
    <n v="0"/>
    <n v="134834.95008000001"/>
    <n v="90632.30128"/>
    <n v="0"/>
    <n v="171470.03560619871"/>
    <n v="84884.570759101451"/>
  </r>
  <r>
    <s v="Regular"/>
    <x v="4"/>
    <x v="4"/>
    <x v="5"/>
    <x v="0"/>
    <x v="0"/>
    <x v="0"/>
    <x v="2"/>
    <x v="8"/>
    <n v="0"/>
    <n v="0"/>
    <n v="475.65499999999997"/>
    <n v="475.65499999999997"/>
    <n v="475.65499999999997"/>
    <n v="475.65499999999997"/>
    <n v="451"/>
    <x v="0"/>
    <n v="0"/>
    <n v="0"/>
    <n v="58"/>
    <n v="99"/>
    <n v="0"/>
    <n v="379.62"/>
    <n v="255.17"/>
    <m/>
    <n v="482.76396348427488"/>
    <n v="238.98759729915042"/>
    <n v="0"/>
    <n v="180568.15109999999"/>
    <n v="121372.88634999999"/>
    <n v="0"/>
    <n v="229629.09305111275"/>
    <n v="113675.64559332738"/>
  </r>
  <r>
    <s v="Regular"/>
    <x v="4"/>
    <x v="4"/>
    <x v="5"/>
    <x v="0"/>
    <x v="0"/>
    <x v="0"/>
    <x v="2"/>
    <x v="9"/>
    <n v="0"/>
    <n v="0"/>
    <n v="418.78199999999998"/>
    <n v="418.78199999999998"/>
    <n v="418.78199999999998"/>
    <n v="418.78199999999998"/>
    <n v="450"/>
    <x v="0"/>
    <n v="0"/>
    <n v="0"/>
    <n v="58"/>
    <n v="99"/>
    <n v="0"/>
    <n v="379.62"/>
    <n v="255.17"/>
    <m/>
    <n v="482.76396348427488"/>
    <n v="238.98759729915042"/>
    <n v="0"/>
    <n v="158978.02283999999"/>
    <n v="106860.60294"/>
    <n v="0"/>
    <n v="202172.8581558716"/>
    <n v="100083.7039721328"/>
  </r>
  <r>
    <s v="Sistema de Compensação"/>
    <x v="4"/>
    <x v="4"/>
    <x v="5"/>
    <x v="0"/>
    <x v="0"/>
    <x v="0"/>
    <x v="2"/>
    <x v="9"/>
    <n v="0"/>
    <n v="0"/>
    <n v="0.107"/>
    <n v="0.107"/>
    <n v="0.107"/>
    <n v="0.107"/>
    <n v="1"/>
    <x v="0"/>
    <n v="0"/>
    <n v="0"/>
    <n v="58"/>
    <n v="99"/>
    <n v="0"/>
    <n v="379.62"/>
    <n v="255.17"/>
    <m/>
    <n v="482.76396348427488"/>
    <n v="238.98759729915042"/>
    <n v="0"/>
    <n v="40.619340000000001"/>
    <n v="27.303189999999997"/>
    <n v="0"/>
    <n v="51.655744092817415"/>
    <n v="25.571672911009095"/>
  </r>
  <r>
    <s v="Regular"/>
    <x v="4"/>
    <x v="4"/>
    <x v="5"/>
    <x v="0"/>
    <x v="0"/>
    <x v="0"/>
    <x v="2"/>
    <x v="1"/>
    <n v="0"/>
    <n v="0"/>
    <n v="314.72800000000001"/>
    <n v="314.72800000000001"/>
    <n v="314.72800000000001"/>
    <n v="314.72800000000001"/>
    <n v="451"/>
    <x v="0"/>
    <n v="0"/>
    <n v="0"/>
    <n v="58"/>
    <n v="99"/>
    <n v="0"/>
    <n v="379.62"/>
    <n v="255.17"/>
    <m/>
    <n v="482.76396348427488"/>
    <n v="238.98759729915042"/>
    <n v="0"/>
    <n v="119477.04336000001"/>
    <n v="80309.143759999992"/>
    <n v="0"/>
    <n v="151939.33669947888"/>
    <n v="75216.088522767022"/>
  </r>
  <r>
    <s v="Sistema de Compensação"/>
    <x v="4"/>
    <x v="4"/>
    <x v="5"/>
    <x v="0"/>
    <x v="0"/>
    <x v="0"/>
    <x v="2"/>
    <x v="1"/>
    <n v="0"/>
    <n v="0"/>
    <n v="1.3220000000000001"/>
    <n v="1.3220000000000001"/>
    <n v="1.3220000000000001"/>
    <n v="1.3220000000000001"/>
    <n v="1"/>
    <x v="0"/>
    <n v="0"/>
    <n v="0"/>
    <n v="58"/>
    <n v="99"/>
    <n v="0"/>
    <n v="379.62"/>
    <n v="255.17"/>
    <m/>
    <n v="482.76396348427488"/>
    <n v="238.98759729915042"/>
    <n v="0"/>
    <n v="501.85764"/>
    <n v="337.33474000000001"/>
    <n v="0"/>
    <n v="638.21395972621144"/>
    <n v="315.9416036294769"/>
  </r>
  <r>
    <s v="Regular"/>
    <x v="4"/>
    <x v="4"/>
    <x v="5"/>
    <x v="0"/>
    <x v="0"/>
    <x v="0"/>
    <x v="2"/>
    <x v="2"/>
    <n v="0"/>
    <n v="0"/>
    <n v="295.98200000000003"/>
    <n v="295.98200000000003"/>
    <n v="295.98200000000003"/>
    <n v="295.98200000000003"/>
    <n v="451"/>
    <x v="0"/>
    <n v="0"/>
    <n v="0"/>
    <n v="58"/>
    <n v="99"/>
    <n v="0"/>
    <n v="379.62"/>
    <n v="255.17"/>
    <m/>
    <n v="482.76396348427488"/>
    <n v="238.98759729915042"/>
    <n v="0"/>
    <n v="112360.68684000001"/>
    <n v="75525.726940000008"/>
    <n v="0"/>
    <n v="142889.44344000265"/>
    <n v="70736.027023797142"/>
  </r>
  <r>
    <s v="Sistema de Compensação"/>
    <x v="4"/>
    <x v="4"/>
    <x v="5"/>
    <x v="0"/>
    <x v="0"/>
    <x v="0"/>
    <x v="2"/>
    <x v="2"/>
    <n v="0"/>
    <n v="0"/>
    <n v="2.2280000000000002"/>
    <n v="2.2280000000000002"/>
    <n v="2.2280000000000002"/>
    <n v="2.2280000000000002"/>
    <n v="1"/>
    <x v="0"/>
    <n v="0"/>
    <n v="0"/>
    <n v="58"/>
    <n v="99"/>
    <n v="0"/>
    <n v="379.62"/>
    <n v="255.17"/>
    <m/>
    <n v="482.76396348427488"/>
    <n v="238.98759729915042"/>
    <n v="0"/>
    <n v="845.79336000000012"/>
    <n v="568.51876000000004"/>
    <n v="0"/>
    <n v="1075.5981106429645"/>
    <n v="532.46436678250723"/>
  </r>
  <r>
    <s v="Regular"/>
    <x v="4"/>
    <x v="4"/>
    <x v="5"/>
    <x v="0"/>
    <x v="0"/>
    <x v="0"/>
    <x v="2"/>
    <x v="3"/>
    <n v="0"/>
    <n v="0"/>
    <n v="278.72300000000001"/>
    <n v="278.72300000000001"/>
    <n v="278.72300000000001"/>
    <n v="278.72300000000001"/>
    <n v="450"/>
    <x v="0"/>
    <n v="0"/>
    <n v="0"/>
    <n v="58"/>
    <n v="99"/>
    <n v="0"/>
    <n v="379.62"/>
    <n v="255.17"/>
    <m/>
    <n v="482.76396348427488"/>
    <n v="238.98759729915042"/>
    <n v="0"/>
    <n v="105808.82526000001"/>
    <n v="71121.747910000006"/>
    <n v="0"/>
    <n v="134557.42019422757"/>
    <n v="66611.340082011113"/>
  </r>
  <r>
    <s v="Sistema de Compensação"/>
    <x v="4"/>
    <x v="4"/>
    <x v="5"/>
    <x v="0"/>
    <x v="0"/>
    <x v="0"/>
    <x v="2"/>
    <x v="3"/>
    <n v="0"/>
    <n v="0"/>
    <n v="2.2320000000000002"/>
    <n v="2.2320000000000002"/>
    <n v="2.2320000000000002"/>
    <n v="2.2320000000000002"/>
    <n v="1"/>
    <x v="0"/>
    <n v="0"/>
    <n v="0"/>
    <n v="58"/>
    <n v="99"/>
    <n v="0"/>
    <n v="379.62"/>
    <n v="255.17"/>
    <m/>
    <n v="482.76396348427488"/>
    <n v="238.98759729915042"/>
    <n v="0"/>
    <n v="847.31184000000007"/>
    <n v="569.53944000000001"/>
    <n v="0"/>
    <n v="1077.5291664969016"/>
    <n v="533.4203171717038"/>
  </r>
  <r>
    <s v="Regular"/>
    <x v="4"/>
    <x v="4"/>
    <x v="5"/>
    <x v="0"/>
    <x v="0"/>
    <x v="0"/>
    <x v="2"/>
    <x v="10"/>
    <n v="0"/>
    <n v="0"/>
    <n v="418.947"/>
    <n v="418.947"/>
    <n v="418.947"/>
    <n v="418.947"/>
    <n v="451"/>
    <x v="0"/>
    <n v="0"/>
    <n v="0"/>
    <n v="58"/>
    <n v="99"/>
    <n v="0"/>
    <n v="379.62"/>
    <n v="255.17"/>
    <m/>
    <n v="482.76396348427488"/>
    <n v="238.98759729915042"/>
    <n v="0"/>
    <n v="159040.66013999999"/>
    <n v="106902.70599"/>
    <n v="0"/>
    <n v="202252.5142098465"/>
    <n v="100123.13692568717"/>
  </r>
  <r>
    <s v="Sistema de Compensação"/>
    <x v="4"/>
    <x v="4"/>
    <x v="5"/>
    <x v="0"/>
    <x v="0"/>
    <x v="0"/>
    <x v="2"/>
    <x v="10"/>
    <n v="0"/>
    <n v="0"/>
    <n v="0.623"/>
    <n v="0.623"/>
    <n v="0.623"/>
    <n v="0.623"/>
    <n v="1"/>
    <x v="0"/>
    <n v="0"/>
    <n v="0"/>
    <n v="58"/>
    <n v="99"/>
    <n v="0"/>
    <n v="379.62"/>
    <n v="255.17"/>
    <m/>
    <n v="482.76396348427488"/>
    <n v="238.98759729915042"/>
    <n v="0"/>
    <n v="236.50326000000001"/>
    <n v="158.97091"/>
    <n v="0"/>
    <n v="300.76194925070325"/>
    <n v="148.88927311737072"/>
  </r>
  <r>
    <s v="PROJETADO"/>
    <x v="4"/>
    <x v="4"/>
    <x v="5"/>
    <x v="0"/>
    <x v="0"/>
    <x v="0"/>
    <x v="2"/>
    <x v="11"/>
    <n v="0"/>
    <n v="0"/>
    <n v="418.947"/>
    <n v="418.947"/>
    <n v="418.947"/>
    <n v="418.947"/>
    <n v="451"/>
    <x v="0"/>
    <n v="0"/>
    <n v="0"/>
    <n v="58"/>
    <n v="99"/>
    <n v="0"/>
    <n v="379.62"/>
    <n v="255.17"/>
    <m/>
    <n v="482.76396348427488"/>
    <n v="238.98759729915042"/>
    <n v="0"/>
    <n v="159040.66013999999"/>
    <n v="106902.70599"/>
    <n v="0"/>
    <n v="202252.5142098465"/>
    <n v="100123.13692568717"/>
  </r>
  <r>
    <s v="PROJETADO"/>
    <x v="4"/>
    <x v="4"/>
    <x v="5"/>
    <x v="0"/>
    <x v="0"/>
    <x v="0"/>
    <x v="2"/>
    <x v="11"/>
    <n v="0"/>
    <n v="0"/>
    <n v="0.623"/>
    <n v="0.623"/>
    <n v="0.623"/>
    <n v="0.623"/>
    <n v="1"/>
    <x v="0"/>
    <n v="0"/>
    <n v="0"/>
    <n v="58"/>
    <n v="99"/>
    <n v="0"/>
    <n v="379.62"/>
    <n v="255.17"/>
    <m/>
    <n v="482.76396348427488"/>
    <n v="238.98759729915042"/>
    <n v="0"/>
    <n v="236.50326000000001"/>
    <n v="158.97091"/>
    <n v="0"/>
    <n v="300.76194925070325"/>
    <n v="148.88927311737072"/>
  </r>
  <r>
    <s v="Regular"/>
    <x v="4"/>
    <x v="4"/>
    <x v="3"/>
    <x v="3"/>
    <x v="0"/>
    <x v="0"/>
    <x v="2"/>
    <x v="4"/>
    <n v="0"/>
    <n v="0"/>
    <n v="136.46199999999999"/>
    <n v="128.27427999999998"/>
    <n v="136.46199999999999"/>
    <n v="128.27427999999998"/>
    <n v="60"/>
    <x v="0"/>
    <n v="0"/>
    <n v="0"/>
    <n v="58"/>
    <n v="99"/>
    <n v="0"/>
    <n v="379.62"/>
    <n v="255.17"/>
    <m/>
    <n v="482.76396348427488"/>
    <n v="238.98759729915042"/>
    <n v="0"/>
    <n v="48695.482173599994"/>
    <n v="32731.748027599991"/>
    <n v="0"/>
    <n v="61926.199825891643"/>
    <n v="30655.961972478461"/>
  </r>
  <r>
    <s v="Regular"/>
    <x v="4"/>
    <x v="4"/>
    <x v="3"/>
    <x v="3"/>
    <x v="0"/>
    <x v="0"/>
    <x v="2"/>
    <x v="5"/>
    <n v="0"/>
    <n v="0"/>
    <n v="126.931"/>
    <n v="119.31513999999999"/>
    <n v="126.931"/>
    <n v="119.31513999999999"/>
    <n v="60"/>
    <x v="0"/>
    <n v="0"/>
    <n v="0"/>
    <n v="58"/>
    <n v="99"/>
    <n v="0"/>
    <n v="379.62"/>
    <n v="255.17"/>
    <m/>
    <n v="482.76396348427488"/>
    <n v="238.98759729915042"/>
    <n v="0"/>
    <n v="45294.413446799997"/>
    <n v="30445.644273799993"/>
    <n v="0"/>
    <n v="57601.049890081136"/>
    <n v="28514.838630011753"/>
  </r>
  <r>
    <s v="Regular"/>
    <x v="4"/>
    <x v="4"/>
    <x v="3"/>
    <x v="3"/>
    <x v="0"/>
    <x v="0"/>
    <x v="2"/>
    <x v="0"/>
    <n v="0"/>
    <n v="0"/>
    <n v="127.96"/>
    <n v="120.2824"/>
    <n v="127.96"/>
    <n v="120.2824"/>
    <n v="60"/>
    <x v="0"/>
    <n v="0"/>
    <n v="0"/>
    <n v="58"/>
    <n v="99"/>
    <n v="0"/>
    <n v="379.62"/>
    <n v="255.17"/>
    <m/>
    <n v="482.76396348427488"/>
    <n v="238.98759729915042"/>
    <n v="0"/>
    <n v="45661.604687999999"/>
    <n v="30692.460007999998"/>
    <n v="0"/>
    <n v="58068.00816140094"/>
    <n v="28746.00177337533"/>
  </r>
  <r>
    <s v="Regular"/>
    <x v="4"/>
    <x v="4"/>
    <x v="3"/>
    <x v="3"/>
    <x v="0"/>
    <x v="0"/>
    <x v="2"/>
    <x v="6"/>
    <n v="0"/>
    <n v="0"/>
    <n v="119.953"/>
    <n v="112.75582"/>
    <n v="119.953"/>
    <n v="112.75582"/>
    <n v="60"/>
    <x v="0"/>
    <n v="0"/>
    <n v="0"/>
    <n v="58"/>
    <n v="99"/>
    <n v="0"/>
    <n v="379.62"/>
    <n v="255.17"/>
    <m/>
    <n v="482.76396348427488"/>
    <n v="238.98759729915042"/>
    <n v="0"/>
    <n v="42804.364388399998"/>
    <n v="28771.902589399997"/>
    <n v="0"/>
    <n v="54434.446569119471"/>
    <n v="26947.242503295492"/>
  </r>
  <r>
    <s v="Regular"/>
    <x v="4"/>
    <x v="4"/>
    <x v="3"/>
    <x v="3"/>
    <x v="0"/>
    <x v="0"/>
    <x v="2"/>
    <x v="7"/>
    <n v="0"/>
    <n v="0"/>
    <n v="113.24"/>
    <n v="106.4456"/>
    <n v="113.24"/>
    <n v="106.4456"/>
    <n v="60"/>
    <x v="0"/>
    <n v="0"/>
    <n v="0"/>
    <n v="58"/>
    <n v="99"/>
    <n v="0"/>
    <n v="379.62"/>
    <n v="255.17"/>
    <m/>
    <n v="482.76396348427488"/>
    <n v="238.98759729915042"/>
    <n v="0"/>
    <n v="40408.878671999999"/>
    <n v="27161.723751999998"/>
    <n v="0"/>
    <n v="51388.099751461727"/>
    <n v="25439.178187066445"/>
  </r>
  <r>
    <s v="Regular"/>
    <x v="4"/>
    <x v="4"/>
    <x v="3"/>
    <x v="3"/>
    <x v="0"/>
    <x v="0"/>
    <x v="2"/>
    <x v="8"/>
    <n v="0"/>
    <n v="0"/>
    <n v="128.71899999999999"/>
    <n v="120.99585999999999"/>
    <n v="128.71899999999999"/>
    <n v="120.99585999999999"/>
    <n v="60"/>
    <x v="0"/>
    <n v="0"/>
    <n v="0"/>
    <n v="58"/>
    <n v="99"/>
    <n v="0"/>
    <n v="379.62"/>
    <n v="255.17"/>
    <m/>
    <n v="482.76396348427488"/>
    <n v="238.98759729915042"/>
    <n v="0"/>
    <n v="45932.448373200001"/>
    <n v="30874.513596199999"/>
    <n v="0"/>
    <n v="58412.44093878843"/>
    <n v="28916.50986454438"/>
  </r>
  <r>
    <s v="Regular"/>
    <x v="4"/>
    <x v="4"/>
    <x v="3"/>
    <x v="3"/>
    <x v="0"/>
    <x v="0"/>
    <x v="2"/>
    <x v="9"/>
    <n v="0"/>
    <n v="0"/>
    <n v="136.97"/>
    <n v="128.7518"/>
    <n v="136.97"/>
    <n v="128.7518"/>
    <n v="60"/>
    <x v="0"/>
    <n v="0"/>
    <n v="0"/>
    <n v="58"/>
    <n v="99"/>
    <n v="0"/>
    <n v="379.62"/>
    <n v="255.17"/>
    <m/>
    <n v="482.76396348427488"/>
    <n v="238.98759729915042"/>
    <n v="0"/>
    <n v="48876.758315999999"/>
    <n v="32853.596806000001"/>
    <n v="0"/>
    <n v="62156.729273734665"/>
    <n v="30770.083329940757"/>
  </r>
  <r>
    <s v="Regular"/>
    <x v="4"/>
    <x v="4"/>
    <x v="3"/>
    <x v="3"/>
    <x v="0"/>
    <x v="0"/>
    <x v="2"/>
    <x v="1"/>
    <n v="0"/>
    <n v="0"/>
    <n v="121.28700000000001"/>
    <n v="114.00978000000001"/>
    <n v="121.28700000000001"/>
    <n v="114.00978000000001"/>
    <n v="60"/>
    <x v="0"/>
    <n v="0"/>
    <n v="0"/>
    <n v="58"/>
    <n v="99"/>
    <n v="0"/>
    <n v="379.62"/>
    <n v="255.17"/>
    <m/>
    <n v="482.76396348427488"/>
    <n v="238.98759729915042"/>
    <n v="0"/>
    <n v="43280.392683600003"/>
    <n v="29091.875562599998"/>
    <n v="0"/>
    <n v="55039.813268770216"/>
    <n v="27246.923390804735"/>
  </r>
  <r>
    <s v="Regular"/>
    <x v="4"/>
    <x v="4"/>
    <x v="3"/>
    <x v="3"/>
    <x v="0"/>
    <x v="0"/>
    <x v="2"/>
    <x v="2"/>
    <n v="0"/>
    <n v="0"/>
    <n v="134.69"/>
    <n v="126.6086"/>
    <n v="134.69"/>
    <n v="126.6086"/>
    <n v="60"/>
    <x v="0"/>
    <n v="0"/>
    <n v="0"/>
    <n v="58"/>
    <n v="99"/>
    <n v="0"/>
    <n v="379.62"/>
    <n v="255.17"/>
    <m/>
    <n v="482.76396348427488"/>
    <n v="238.98759729915042"/>
    <n v="0"/>
    <n v="48063.156731999996"/>
    <n v="32306.716461999997"/>
    <n v="0"/>
    <n v="61122.069547195162"/>
    <n v="30257.885111409214"/>
  </r>
  <r>
    <s v="Regular"/>
    <x v="4"/>
    <x v="4"/>
    <x v="3"/>
    <x v="3"/>
    <x v="0"/>
    <x v="0"/>
    <x v="2"/>
    <x v="3"/>
    <n v="0"/>
    <n v="0"/>
    <n v="135.35599999999999"/>
    <n v="127.23464"/>
    <n v="135.35599999999999"/>
    <n v="127.23464"/>
    <n v="60"/>
    <x v="0"/>
    <n v="0"/>
    <n v="0"/>
    <n v="58"/>
    <n v="99"/>
    <n v="0"/>
    <n v="379.62"/>
    <n v="255.17"/>
    <m/>
    <n v="482.76396348427488"/>
    <n v="238.98759729915042"/>
    <n v="0"/>
    <n v="48300.814036800002"/>
    <n v="32466.463088799999"/>
    <n v="0"/>
    <n v="61424.299098894859"/>
    <n v="30407.500906822377"/>
  </r>
  <r>
    <s v="Regular"/>
    <x v="4"/>
    <x v="4"/>
    <x v="3"/>
    <x v="3"/>
    <x v="0"/>
    <x v="0"/>
    <x v="2"/>
    <x v="10"/>
    <n v="0"/>
    <n v="0"/>
    <n v="140.65799999999999"/>
    <n v="132.21852000000001"/>
    <n v="140.65799999999999"/>
    <n v="132.21852000000001"/>
    <n v="60"/>
    <x v="0"/>
    <n v="0"/>
    <n v="0"/>
    <n v="58"/>
    <n v="99"/>
    <n v="0"/>
    <n v="379.62"/>
    <n v="255.17"/>
    <m/>
    <n v="482.76396348427488"/>
    <n v="238.98759729915042"/>
    <n v="0"/>
    <n v="50192.794562400006"/>
    <n v="33738.199748400002"/>
    <n v="0"/>
    <n v="63830.336761224877"/>
    <n v="31598.586413249668"/>
  </r>
  <r>
    <s v="PROJETADO"/>
    <x v="4"/>
    <x v="4"/>
    <x v="3"/>
    <x v="3"/>
    <x v="0"/>
    <x v="0"/>
    <x v="2"/>
    <x v="11"/>
    <n v="0"/>
    <n v="0"/>
    <n v="140.65799999999999"/>
    <n v="132.21852000000001"/>
    <n v="140.65799999999999"/>
    <n v="132.21852000000001"/>
    <n v="60"/>
    <x v="0"/>
    <n v="0"/>
    <n v="0"/>
    <n v="58"/>
    <n v="99"/>
    <n v="0"/>
    <n v="379.62"/>
    <n v="255.17"/>
    <m/>
    <n v="482.76396348427488"/>
    <n v="238.98759729915042"/>
    <n v="0"/>
    <n v="50192.794562400006"/>
    <n v="33738.199748400002"/>
    <n v="0"/>
    <n v="63830.336761224877"/>
    <n v="31598.586413249668"/>
  </r>
  <r>
    <s v="Regular"/>
    <x v="5"/>
    <x v="4"/>
    <x v="8"/>
    <x v="9"/>
    <x v="0"/>
    <x v="0"/>
    <x v="2"/>
    <x v="4"/>
    <n v="0"/>
    <n v="0"/>
    <n v="388.404"/>
    <n v="388.404"/>
    <n v="388.404"/>
    <n v="388.404"/>
    <n v="10"/>
    <x v="0"/>
    <n v="0"/>
    <n v="0"/>
    <n v="60"/>
    <n v="101"/>
    <n v="0"/>
    <n v="208.79"/>
    <n v="140.34"/>
    <m/>
    <n v="265.5201799163512"/>
    <n v="131.44317851453278"/>
    <n v="0"/>
    <n v="81094.871159999995"/>
    <n v="54508.617360000004"/>
    <n v="0"/>
    <n v="103129.09996023047"/>
    <n v="51053.05630775859"/>
  </r>
  <r>
    <s v="Regular"/>
    <x v="5"/>
    <x v="4"/>
    <x v="8"/>
    <x v="9"/>
    <x v="0"/>
    <x v="0"/>
    <x v="2"/>
    <x v="5"/>
    <n v="0"/>
    <n v="0"/>
    <n v="392.16199999999998"/>
    <n v="392.16199999999998"/>
    <n v="392.16199999999998"/>
    <n v="392.16199999999998"/>
    <n v="10"/>
    <x v="0"/>
    <n v="0"/>
    <n v="0"/>
    <n v="60"/>
    <n v="101"/>
    <n v="0"/>
    <n v="208.79"/>
    <n v="140.34"/>
    <m/>
    <n v="265.5201799163512"/>
    <n v="131.44317851453278"/>
    <n v="0"/>
    <n v="81879.503979999994"/>
    <n v="55036.015079999997"/>
    <n v="0"/>
    <n v="104126.92479635611"/>
    <n v="51547.0197726162"/>
  </r>
  <r>
    <s v="Regular"/>
    <x v="5"/>
    <x v="4"/>
    <x v="8"/>
    <x v="9"/>
    <x v="0"/>
    <x v="0"/>
    <x v="2"/>
    <x v="0"/>
    <n v="0"/>
    <n v="0"/>
    <n v="398.52600000000001"/>
    <n v="398.52600000000001"/>
    <n v="398.52600000000001"/>
    <n v="398.52600000000001"/>
    <n v="10"/>
    <x v="0"/>
    <n v="0"/>
    <n v="0"/>
    <n v="60"/>
    <n v="101"/>
    <n v="0"/>
    <n v="208.79"/>
    <n v="140.34"/>
    <m/>
    <n v="265.5201799163512"/>
    <n v="131.44317851453278"/>
    <n v="0"/>
    <n v="83208.243539999996"/>
    <n v="55929.13884"/>
    <n v="0"/>
    <n v="105816.69522134378"/>
    <n v="52383.524160682689"/>
  </r>
  <r>
    <s v="Regular"/>
    <x v="5"/>
    <x v="4"/>
    <x v="8"/>
    <x v="9"/>
    <x v="0"/>
    <x v="0"/>
    <x v="2"/>
    <x v="6"/>
    <n v="0"/>
    <n v="0"/>
    <n v="372.46199999999999"/>
    <n v="372.46199999999999"/>
    <n v="372.46199999999999"/>
    <n v="372.46199999999999"/>
    <n v="10"/>
    <x v="0"/>
    <n v="0"/>
    <n v="0"/>
    <n v="60"/>
    <n v="101"/>
    <n v="0"/>
    <n v="208.79"/>
    <n v="140.34"/>
    <m/>
    <n v="265.5201799163512"/>
    <n v="131.44317851453278"/>
    <n v="0"/>
    <n v="77766.340979999994"/>
    <n v="52271.317080000001"/>
    <n v="0"/>
    <n v="98896.177252003996"/>
    <n v="48957.589155879905"/>
  </r>
  <r>
    <s v="Regular"/>
    <x v="5"/>
    <x v="4"/>
    <x v="8"/>
    <x v="9"/>
    <x v="0"/>
    <x v="0"/>
    <x v="2"/>
    <x v="7"/>
    <n v="0"/>
    <n v="0"/>
    <n v="428.50099999999998"/>
    <n v="428.50099999999998"/>
    <n v="428.50099999999998"/>
    <n v="428.50099999999998"/>
    <n v="10"/>
    <x v="0"/>
    <n v="0"/>
    <n v="0"/>
    <n v="60"/>
    <n v="101"/>
    <n v="0"/>
    <n v="208.79"/>
    <n v="140.34"/>
    <m/>
    <n v="265.5201799163512"/>
    <n v="131.44317851453278"/>
    <n v="0"/>
    <n v="89466.723789999989"/>
    <n v="60135.83034"/>
    <n v="0"/>
    <n v="113775.6626143364"/>
    <n v="56323.533436655809"/>
  </r>
  <r>
    <s v="Regular"/>
    <x v="5"/>
    <x v="4"/>
    <x v="8"/>
    <x v="9"/>
    <x v="0"/>
    <x v="0"/>
    <x v="2"/>
    <x v="8"/>
    <n v="0"/>
    <n v="0"/>
    <n v="430.83100000000002"/>
    <n v="430.83100000000002"/>
    <n v="430.83100000000002"/>
    <n v="430.83100000000002"/>
    <n v="10"/>
    <x v="0"/>
    <n v="0"/>
    <n v="0"/>
    <n v="60"/>
    <n v="101"/>
    <n v="0"/>
    <n v="208.79"/>
    <n v="140.34"/>
    <m/>
    <n v="265.5201799163512"/>
    <n v="131.44317851453278"/>
    <n v="0"/>
    <n v="89953.204490000004"/>
    <n v="60462.822540000001"/>
    <n v="0"/>
    <n v="114394.3246335415"/>
    <n v="56629.796042594673"/>
  </r>
  <r>
    <s v="Regular"/>
    <x v="5"/>
    <x v="4"/>
    <x v="8"/>
    <x v="9"/>
    <x v="0"/>
    <x v="0"/>
    <x v="2"/>
    <x v="9"/>
    <n v="0"/>
    <n v="0"/>
    <n v="457.91300000000001"/>
    <n v="457.91300000000001"/>
    <n v="457.91300000000001"/>
    <n v="457.91300000000001"/>
    <n v="10"/>
    <x v="0"/>
    <n v="0"/>
    <n v="0"/>
    <n v="60"/>
    <n v="101"/>
    <n v="0"/>
    <n v="208.79"/>
    <n v="140.34"/>
    <m/>
    <n v="265.5201799163512"/>
    <n v="131.44317851453278"/>
    <n v="0"/>
    <n v="95607.655270000003"/>
    <n v="64263.510420000006"/>
    <n v="0"/>
    <n v="121585.14214603613"/>
    <n v="60189.540203125245"/>
  </r>
  <r>
    <s v="Regular"/>
    <x v="5"/>
    <x v="4"/>
    <x v="8"/>
    <x v="9"/>
    <x v="0"/>
    <x v="0"/>
    <x v="2"/>
    <x v="1"/>
    <n v="0"/>
    <n v="0"/>
    <n v="450.31200000000001"/>
    <n v="450.31200000000001"/>
    <n v="450.31200000000001"/>
    <n v="450.31200000000001"/>
    <n v="10"/>
    <x v="0"/>
    <n v="0"/>
    <n v="0"/>
    <n v="60"/>
    <n v="101"/>
    <n v="0"/>
    <n v="208.79"/>
    <n v="140.34"/>
    <m/>
    <n v="265.5201799163512"/>
    <n v="131.44317851453278"/>
    <n v="0"/>
    <n v="94020.642479999995"/>
    <n v="63196.786080000005"/>
    <n v="0"/>
    <n v="119566.92325849194"/>
    <n v="59190.440603236282"/>
  </r>
  <r>
    <s v="Regular"/>
    <x v="5"/>
    <x v="4"/>
    <x v="8"/>
    <x v="9"/>
    <x v="0"/>
    <x v="0"/>
    <x v="2"/>
    <x v="2"/>
    <n v="0"/>
    <n v="0"/>
    <n v="467.81"/>
    <n v="467.81"/>
    <n v="467.81"/>
    <n v="467.81"/>
    <n v="10"/>
    <x v="0"/>
    <n v="0"/>
    <n v="0"/>
    <n v="60"/>
    <n v="101"/>
    <n v="0"/>
    <n v="208.79"/>
    <n v="140.34"/>
    <m/>
    <n v="265.5201799163512"/>
    <n v="131.44317851453278"/>
    <n v="0"/>
    <n v="97674.049899999998"/>
    <n v="65652.455400000006"/>
    <n v="0"/>
    <n v="124212.99536666826"/>
    <n v="61490.433340883581"/>
  </r>
  <r>
    <s v="Regular"/>
    <x v="5"/>
    <x v="4"/>
    <x v="8"/>
    <x v="9"/>
    <x v="0"/>
    <x v="0"/>
    <x v="2"/>
    <x v="3"/>
    <n v="0"/>
    <n v="0"/>
    <n v="459.02600000000001"/>
    <n v="459.02600000000001"/>
    <n v="459.02600000000001"/>
    <n v="459.02600000000001"/>
    <n v="10"/>
    <x v="0"/>
    <n v="0"/>
    <n v="0"/>
    <n v="60"/>
    <n v="101"/>
    <n v="0"/>
    <n v="208.79"/>
    <n v="140.34"/>
    <m/>
    <n v="265.5201799163512"/>
    <n v="131.44317851453278"/>
    <n v="0"/>
    <n v="95840.038539999994"/>
    <n v="64419.708840000007"/>
    <n v="0"/>
    <n v="121880.66610628302"/>
    <n v="60335.836460811923"/>
  </r>
  <r>
    <s v="Regular"/>
    <x v="5"/>
    <x v="4"/>
    <x v="8"/>
    <x v="9"/>
    <x v="0"/>
    <x v="0"/>
    <x v="2"/>
    <x v="10"/>
    <n v="0"/>
    <n v="0"/>
    <n v="429.27"/>
    <n v="429.27"/>
    <n v="429.27"/>
    <n v="429.27"/>
    <n v="10"/>
    <x v="0"/>
    <n v="0"/>
    <n v="0"/>
    <n v="60"/>
    <n v="101"/>
    <n v="0"/>
    <n v="208.79"/>
    <n v="140.34"/>
    <m/>
    <n v="265.5201799163512"/>
    <n v="131.44317851453278"/>
    <n v="0"/>
    <n v="89627.283299999996"/>
    <n v="60243.751799999998"/>
    <n v="0"/>
    <n v="113979.84763269208"/>
    <n v="56424.613240933482"/>
  </r>
  <r>
    <s v="PROJETADO"/>
    <x v="5"/>
    <x v="4"/>
    <x v="8"/>
    <x v="9"/>
    <x v="0"/>
    <x v="0"/>
    <x v="2"/>
    <x v="11"/>
    <n v="0"/>
    <n v="0"/>
    <n v="429.27"/>
    <n v="429.27"/>
    <n v="429.27"/>
    <n v="429.27"/>
    <n v="10"/>
    <x v="0"/>
    <n v="0"/>
    <n v="0"/>
    <n v="60"/>
    <n v="101"/>
    <n v="0"/>
    <n v="208.79"/>
    <n v="140.34"/>
    <m/>
    <n v="265.5201799163512"/>
    <n v="131.44317851453278"/>
    <n v="0"/>
    <n v="89627.283299999996"/>
    <n v="60243.751799999998"/>
    <n v="0"/>
    <n v="113979.84763269208"/>
    <n v="56424.61324093348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s v="Regular"/>
    <x v="0"/>
    <x v="0"/>
    <x v="0"/>
    <x v="0"/>
    <x v="0"/>
    <x v="0"/>
    <x v="0"/>
    <x v="0"/>
    <n v="0"/>
    <n v="0"/>
    <n v="169.28800000000001"/>
    <n v="33.857599999999998"/>
    <n v="169.28800000000001"/>
    <n v="33.857599999999998"/>
    <n v="0"/>
    <s v="CATIVO"/>
    <n v="0"/>
    <n v="0"/>
    <n v="6"/>
    <n v="63"/>
    <n v="0"/>
    <n v="84.99"/>
    <n v="242.77"/>
    <n v="32.556945267352141"/>
    <n v="146.90220900317223"/>
    <n v="227.53897547400734"/>
    <n v="0"/>
    <n v="44388.667904000009"/>
    <n v="0"/>
    <n v="50710.719390218226"/>
    <x v="0"/>
  </r>
  <r>
    <s v="Regular"/>
    <x v="0"/>
    <x v="0"/>
    <x v="0"/>
    <x v="0"/>
    <x v="0"/>
    <x v="0"/>
    <x v="0"/>
    <x v="1"/>
    <n v="0"/>
    <n v="0"/>
    <n v="169.28800000000001"/>
    <n v="33.857599999999998"/>
    <n v="169.28800000000001"/>
    <n v="33.857599999999998"/>
    <n v="0"/>
    <s v="CATIVO"/>
    <n v="0"/>
    <n v="0"/>
    <n v="6"/>
    <n v="63"/>
    <n v="0"/>
    <n v="84.99"/>
    <n v="242.77"/>
    <n v="32.556945267352141"/>
    <n v="146.90220900317223"/>
    <n v="227.53897547400734"/>
    <n v="0"/>
    <n v="44388.667904000009"/>
    <n v="0"/>
    <n v="50710.719390218226"/>
    <x v="0"/>
  </r>
  <r>
    <s v="Regular"/>
    <x v="0"/>
    <x v="0"/>
    <x v="0"/>
    <x v="0"/>
    <x v="0"/>
    <x v="0"/>
    <x v="0"/>
    <x v="2"/>
    <n v="0"/>
    <n v="0"/>
    <n v="498.92200000000003"/>
    <n v="99.784400000000005"/>
    <n v="498.92200000000003"/>
    <n v="99.784400000000005"/>
    <n v="0"/>
    <s v="CATIVO"/>
    <n v="0"/>
    <n v="0"/>
    <n v="6"/>
    <n v="63"/>
    <n v="0"/>
    <n v="84.99"/>
    <n v="242.77"/>
    <n v="32.556945267352141"/>
    <n v="146.90220900317223"/>
    <n v="227.53897547400734"/>
    <n v="0"/>
    <n v="130821.33977600001"/>
    <n v="0"/>
    <n v="149453.55571337871"/>
    <x v="0"/>
  </r>
  <r>
    <s v="Regular"/>
    <x v="0"/>
    <x v="0"/>
    <x v="0"/>
    <x v="0"/>
    <x v="1"/>
    <x v="0"/>
    <x v="0"/>
    <x v="3"/>
    <n v="114"/>
    <n v="109.44"/>
    <n v="0"/>
    <n v="0"/>
    <n v="0"/>
    <n v="0"/>
    <n v="0"/>
    <s v="CATIVO"/>
    <n v="0"/>
    <n v="3"/>
    <n v="0"/>
    <n v="0"/>
    <n v="18.920000000000002"/>
    <n v="0"/>
    <n v="0"/>
    <n v="32.556945267352141"/>
    <n v="146.90220900317223"/>
    <n v="227.53897547400734"/>
    <n v="86.275200000000055"/>
    <n v="0"/>
    <n v="148.45967041912584"/>
    <n v="0"/>
    <x v="1"/>
  </r>
  <r>
    <s v="Regular"/>
    <x v="0"/>
    <x v="0"/>
    <x v="0"/>
    <x v="0"/>
    <x v="1"/>
    <x v="0"/>
    <x v="0"/>
    <x v="4"/>
    <n v="114"/>
    <n v="109.44"/>
    <n v="0"/>
    <n v="0"/>
    <n v="0"/>
    <n v="0"/>
    <n v="0"/>
    <s v="CATIVO"/>
    <n v="0"/>
    <n v="3"/>
    <n v="0"/>
    <n v="0"/>
    <n v="18.920000000000002"/>
    <n v="0"/>
    <n v="0"/>
    <n v="32.556945267352141"/>
    <n v="146.90220900317223"/>
    <n v="227.53897547400734"/>
    <n v="86.275200000000055"/>
    <n v="0"/>
    <n v="148.45967041912584"/>
    <n v="0"/>
    <x v="1"/>
  </r>
  <r>
    <s v="Regular"/>
    <x v="0"/>
    <x v="0"/>
    <x v="0"/>
    <x v="0"/>
    <x v="1"/>
    <x v="0"/>
    <x v="0"/>
    <x v="5"/>
    <n v="114"/>
    <n v="109.44"/>
    <n v="0"/>
    <n v="0"/>
    <n v="0"/>
    <n v="0"/>
    <n v="0"/>
    <s v="CATIVO"/>
    <n v="0"/>
    <n v="3"/>
    <n v="0"/>
    <n v="0"/>
    <n v="18.920000000000002"/>
    <n v="0"/>
    <n v="0"/>
    <n v="32.556945267352141"/>
    <n v="146.90220900317223"/>
    <n v="227.53897547400734"/>
    <n v="86.275200000000055"/>
    <n v="0"/>
    <n v="148.45967041912584"/>
    <n v="0"/>
    <x v="1"/>
  </r>
  <r>
    <s v="Regular"/>
    <x v="0"/>
    <x v="0"/>
    <x v="0"/>
    <x v="0"/>
    <x v="1"/>
    <x v="0"/>
    <x v="0"/>
    <x v="6"/>
    <n v="114"/>
    <n v="109.44"/>
    <n v="0"/>
    <n v="0"/>
    <n v="0"/>
    <n v="0"/>
    <n v="0"/>
    <s v="CATIVO"/>
    <n v="0"/>
    <n v="3"/>
    <n v="0"/>
    <n v="0"/>
    <n v="18.920000000000002"/>
    <n v="0"/>
    <n v="0"/>
    <n v="32.556945267352141"/>
    <n v="146.90220900317223"/>
    <n v="227.53897547400734"/>
    <n v="86.275200000000055"/>
    <n v="0"/>
    <n v="148.45967041912584"/>
    <n v="0"/>
    <x v="1"/>
  </r>
  <r>
    <s v="Regular"/>
    <x v="0"/>
    <x v="0"/>
    <x v="0"/>
    <x v="0"/>
    <x v="1"/>
    <x v="0"/>
    <x v="0"/>
    <x v="7"/>
    <n v="114"/>
    <n v="109.44"/>
    <n v="0"/>
    <n v="0"/>
    <n v="0"/>
    <n v="0"/>
    <n v="0"/>
    <s v="CATIVO"/>
    <n v="0"/>
    <n v="3"/>
    <n v="0"/>
    <n v="0"/>
    <n v="18.920000000000002"/>
    <n v="0"/>
    <n v="0"/>
    <n v="32.556945267352141"/>
    <n v="146.90220900317223"/>
    <n v="227.53897547400734"/>
    <n v="86.275200000000055"/>
    <n v="0"/>
    <n v="148.45967041912584"/>
    <n v="0"/>
    <x v="1"/>
  </r>
  <r>
    <s v="Regular"/>
    <x v="0"/>
    <x v="0"/>
    <x v="0"/>
    <x v="0"/>
    <x v="1"/>
    <x v="0"/>
    <x v="0"/>
    <x v="8"/>
    <n v="114"/>
    <n v="109.44"/>
    <n v="0"/>
    <n v="0"/>
    <n v="0"/>
    <n v="0"/>
    <n v="0"/>
    <s v="CATIVO"/>
    <n v="0"/>
    <n v="3"/>
    <n v="0"/>
    <n v="0"/>
    <n v="18.920000000000002"/>
    <n v="0"/>
    <n v="0"/>
    <n v="32.556945267352141"/>
    <n v="146.90220900317223"/>
    <n v="227.53897547400734"/>
    <n v="86.275200000000055"/>
    <n v="0"/>
    <n v="148.45967041912584"/>
    <n v="0"/>
    <x v="1"/>
  </r>
  <r>
    <s v="Regular"/>
    <x v="0"/>
    <x v="0"/>
    <x v="0"/>
    <x v="0"/>
    <x v="1"/>
    <x v="0"/>
    <x v="0"/>
    <x v="0"/>
    <n v="1100"/>
    <n v="1056"/>
    <n v="249.721"/>
    <n v="239.73215999999999"/>
    <n v="249.721"/>
    <n v="239.73215999999999"/>
    <n v="0"/>
    <s v="CATIVO"/>
    <n v="0"/>
    <n v="3"/>
    <n v="6"/>
    <n v="63"/>
    <n v="18.920000000000002"/>
    <n v="84.99"/>
    <n v="242.77"/>
    <n v="32.556945267352141"/>
    <n v="146.90220900317223"/>
    <n v="227.53897547400734"/>
    <n v="832.48"/>
    <n v="3273.9421984000032"/>
    <n v="1432.5055917634943"/>
    <n v="3740.2330811530342"/>
    <x v="1"/>
  </r>
  <r>
    <s v="Regular"/>
    <x v="0"/>
    <x v="0"/>
    <x v="0"/>
    <x v="0"/>
    <x v="1"/>
    <x v="0"/>
    <x v="0"/>
    <x v="1"/>
    <n v="1100"/>
    <n v="1056"/>
    <n v="249.721"/>
    <n v="239.73215999999999"/>
    <n v="249.721"/>
    <n v="239.73215999999999"/>
    <n v="0"/>
    <s v="CATIVO"/>
    <n v="0"/>
    <n v="3"/>
    <n v="6"/>
    <n v="63"/>
    <n v="18.920000000000002"/>
    <n v="84.99"/>
    <n v="242.77"/>
    <n v="32.556945267352141"/>
    <n v="146.90220900317223"/>
    <n v="227.53897547400734"/>
    <n v="832.48"/>
    <n v="3273.9421984000032"/>
    <n v="1432.5055917634943"/>
    <n v="3740.2330811530342"/>
    <x v="1"/>
  </r>
  <r>
    <s v="Regular"/>
    <x v="0"/>
    <x v="0"/>
    <x v="0"/>
    <x v="0"/>
    <x v="1"/>
    <x v="0"/>
    <x v="0"/>
    <x v="2"/>
    <n v="1100"/>
    <n v="1056"/>
    <n v="422.24400000000003"/>
    <n v="405.35424"/>
    <n v="422.24400000000003"/>
    <n v="405.35424"/>
    <n v="0"/>
    <s v="CATIVO"/>
    <n v="0"/>
    <n v="3"/>
    <n v="6"/>
    <n v="63"/>
    <n v="18.920000000000002"/>
    <n v="84.99"/>
    <n v="242.77"/>
    <n v="32.556945267352141"/>
    <n v="146.90220900317223"/>
    <n v="227.53897547400734"/>
    <n v="832.48"/>
    <n v="5535.7877376000088"/>
    <n v="1432.5055917634943"/>
    <n v="6324.2217399352976"/>
    <x v="1"/>
  </r>
  <r>
    <s v="Regular"/>
    <x v="0"/>
    <x v="0"/>
    <x v="0"/>
    <x v="0"/>
    <x v="1"/>
    <x v="0"/>
    <x v="0"/>
    <x v="9"/>
    <n v="110"/>
    <n v="105.6"/>
    <n v="0"/>
    <n v="0"/>
    <n v="0"/>
    <n v="0"/>
    <n v="0"/>
    <s v="CATIVO"/>
    <n v="0"/>
    <n v="3"/>
    <n v="0"/>
    <n v="0"/>
    <n v="18.920000000000002"/>
    <n v="0"/>
    <n v="0"/>
    <n v="32.556945267352141"/>
    <n v="146.90220900317223"/>
    <n v="227.53897547400734"/>
    <n v="83.248000000000118"/>
    <n v="0"/>
    <n v="143.25055917634961"/>
    <n v="0"/>
    <x v="1"/>
  </r>
  <r>
    <s v="PROJETADO"/>
    <x v="0"/>
    <x v="0"/>
    <x v="0"/>
    <x v="0"/>
    <x v="1"/>
    <x v="0"/>
    <x v="0"/>
    <x v="10"/>
    <n v="110"/>
    <n v="105.6"/>
    <n v="0"/>
    <n v="0"/>
    <n v="0"/>
    <n v="0"/>
    <n v="0"/>
    <s v="CATIVO"/>
    <n v="0"/>
    <n v="3"/>
    <n v="0"/>
    <n v="0"/>
    <n v="18.920000000000002"/>
    <n v="0"/>
    <n v="0"/>
    <n v="32.556945267352141"/>
    <n v="146.90220900317223"/>
    <n v="227.53897547400734"/>
    <n v="83.248000000000118"/>
    <n v="0"/>
    <n v="143.25055917634961"/>
    <n v="0"/>
    <x v="1"/>
  </r>
  <r>
    <s v="Regular"/>
    <x v="0"/>
    <x v="0"/>
    <x v="0"/>
    <x v="0"/>
    <x v="1"/>
    <x v="0"/>
    <x v="1"/>
    <x v="3"/>
    <n v="111"/>
    <n v="106.56"/>
    <n v="0"/>
    <n v="0"/>
    <n v="0"/>
    <n v="0"/>
    <n v="0"/>
    <s v="CATIVO"/>
    <n v="0"/>
    <n v="1"/>
    <n v="0"/>
    <n v="0"/>
    <n v="45.73"/>
    <n v="0"/>
    <n v="0"/>
    <n v="78.286295907151739"/>
    <n v="146.90220900317223"/>
    <n v="364.92243737572466"/>
    <n v="203.04119999999989"/>
    <n v="0"/>
    <n v="347.59115382775354"/>
    <n v="0"/>
    <x v="1"/>
  </r>
  <r>
    <s v="Regular"/>
    <x v="0"/>
    <x v="0"/>
    <x v="0"/>
    <x v="0"/>
    <x v="1"/>
    <x v="0"/>
    <x v="1"/>
    <x v="4"/>
    <n v="111"/>
    <n v="106.56"/>
    <n v="0"/>
    <n v="0"/>
    <n v="0"/>
    <n v="0"/>
    <n v="0"/>
    <s v="CATIVO"/>
    <n v="0"/>
    <n v="1"/>
    <n v="0"/>
    <n v="0"/>
    <n v="45.73"/>
    <n v="0"/>
    <n v="0"/>
    <n v="78.286295907151739"/>
    <n v="146.90220900317223"/>
    <n v="364.92243737572466"/>
    <n v="203.04119999999989"/>
    <n v="0"/>
    <n v="347.59115382775354"/>
    <n v="0"/>
    <x v="1"/>
  </r>
  <r>
    <s v="Regular"/>
    <x v="0"/>
    <x v="0"/>
    <x v="0"/>
    <x v="0"/>
    <x v="1"/>
    <x v="0"/>
    <x v="1"/>
    <x v="5"/>
    <n v="111"/>
    <n v="106.56"/>
    <n v="0"/>
    <n v="0"/>
    <n v="0"/>
    <n v="0"/>
    <n v="0"/>
    <s v="CATIVO"/>
    <n v="0"/>
    <n v="1"/>
    <n v="0"/>
    <n v="0"/>
    <n v="45.73"/>
    <n v="0"/>
    <n v="0"/>
    <n v="78.286295907151739"/>
    <n v="146.90220900317223"/>
    <n v="364.92243737572466"/>
    <n v="203.04119999999989"/>
    <n v="0"/>
    <n v="347.59115382775354"/>
    <n v="0"/>
    <x v="1"/>
  </r>
  <r>
    <s v="Regular"/>
    <x v="0"/>
    <x v="0"/>
    <x v="0"/>
    <x v="0"/>
    <x v="1"/>
    <x v="0"/>
    <x v="1"/>
    <x v="6"/>
    <n v="111"/>
    <n v="106.56"/>
    <n v="0"/>
    <n v="0"/>
    <n v="0"/>
    <n v="0"/>
    <n v="0"/>
    <s v="CATIVO"/>
    <n v="0"/>
    <n v="1"/>
    <n v="0"/>
    <n v="0"/>
    <n v="45.73"/>
    <n v="0"/>
    <n v="0"/>
    <n v="78.286295907151739"/>
    <n v="146.90220900317223"/>
    <n v="364.92243737572466"/>
    <n v="203.04119999999989"/>
    <n v="0"/>
    <n v="347.59115382775354"/>
    <n v="0"/>
    <x v="1"/>
  </r>
  <r>
    <s v="Regular"/>
    <x v="0"/>
    <x v="0"/>
    <x v="0"/>
    <x v="0"/>
    <x v="1"/>
    <x v="0"/>
    <x v="1"/>
    <x v="7"/>
    <n v="111"/>
    <n v="106.56"/>
    <n v="0"/>
    <n v="0"/>
    <n v="0"/>
    <n v="0"/>
    <n v="0"/>
    <s v="CATIVO"/>
    <n v="0"/>
    <n v="1"/>
    <n v="0"/>
    <n v="0"/>
    <n v="45.73"/>
    <n v="0"/>
    <n v="0"/>
    <n v="78.286295907151739"/>
    <n v="146.90220900317223"/>
    <n v="364.92243737572466"/>
    <n v="203.04119999999989"/>
    <n v="0"/>
    <n v="347.59115382775354"/>
    <n v="0"/>
    <x v="1"/>
  </r>
  <r>
    <s v="Regular"/>
    <x v="0"/>
    <x v="0"/>
    <x v="0"/>
    <x v="0"/>
    <x v="1"/>
    <x v="0"/>
    <x v="1"/>
    <x v="8"/>
    <n v="111"/>
    <n v="106.56"/>
    <n v="0"/>
    <n v="0"/>
    <n v="0"/>
    <n v="0"/>
    <n v="0"/>
    <s v="CATIVO"/>
    <n v="0"/>
    <n v="1"/>
    <n v="0"/>
    <n v="0"/>
    <n v="45.73"/>
    <n v="0"/>
    <n v="0"/>
    <n v="78.286295907151739"/>
    <n v="146.90220900317223"/>
    <n v="364.92243737572466"/>
    <n v="203.04119999999989"/>
    <n v="0"/>
    <n v="347.59115382775354"/>
    <n v="0"/>
    <x v="1"/>
  </r>
  <r>
    <s v="Regular"/>
    <x v="0"/>
    <x v="0"/>
    <x v="0"/>
    <x v="0"/>
    <x v="1"/>
    <x v="0"/>
    <x v="1"/>
    <x v="0"/>
    <n v="1100"/>
    <n v="1056"/>
    <n v="0.437"/>
    <n v="0.41952"/>
    <n v="0.437"/>
    <n v="0.41952"/>
    <n v="0"/>
    <s v="CATIVO"/>
    <n v="0"/>
    <n v="1"/>
    <n v="6"/>
    <n v="62"/>
    <n v="45.73"/>
    <n v="84.99"/>
    <n v="391.54"/>
    <n v="78.286295907151739"/>
    <n v="146.90220900317223"/>
    <n v="364.92243737572466"/>
    <n v="2012.12"/>
    <n v="8.3297443999999992"/>
    <n v="3444.5970199146764"/>
    <n v="8.946694818703115"/>
    <x v="1"/>
  </r>
  <r>
    <s v="Regular"/>
    <x v="0"/>
    <x v="0"/>
    <x v="0"/>
    <x v="0"/>
    <x v="1"/>
    <x v="0"/>
    <x v="1"/>
    <x v="1"/>
    <n v="1100"/>
    <n v="1056"/>
    <n v="0.437"/>
    <n v="0.41952"/>
    <n v="0.437"/>
    <n v="0.41952"/>
    <n v="0"/>
    <s v="CATIVO"/>
    <n v="0"/>
    <n v="1"/>
    <n v="6"/>
    <n v="62"/>
    <n v="45.73"/>
    <n v="84.99"/>
    <n v="391.54"/>
    <n v="78.286295907151739"/>
    <n v="146.90220900317223"/>
    <n v="364.92243737572466"/>
    <n v="2012.12"/>
    <n v="8.3297443999999992"/>
    <n v="3444.5970199146764"/>
    <n v="8.946694818703115"/>
    <x v="1"/>
  </r>
  <r>
    <s v="Regular"/>
    <x v="0"/>
    <x v="0"/>
    <x v="0"/>
    <x v="0"/>
    <x v="1"/>
    <x v="0"/>
    <x v="1"/>
    <x v="2"/>
    <n v="1100"/>
    <n v="1056"/>
    <n v="5.5E-2"/>
    <n v="5.28E-2"/>
    <n v="5.5E-2"/>
    <n v="5.28E-2"/>
    <n v="0"/>
    <s v="CATIVO"/>
    <n v="0"/>
    <n v="1"/>
    <n v="6"/>
    <n v="62"/>
    <n v="45.73"/>
    <n v="84.99"/>
    <n v="391.54"/>
    <n v="78.286295907151739"/>
    <n v="146.90220900317223"/>
    <n v="364.92243737572466"/>
    <n v="2012.12"/>
    <n v="1.0483660000000004"/>
    <n v="3444.5970199146764"/>
    <n v="1.1260142220335734"/>
    <x v="1"/>
  </r>
  <r>
    <s v="Regular"/>
    <x v="0"/>
    <x v="0"/>
    <x v="0"/>
    <x v="0"/>
    <x v="1"/>
    <x v="0"/>
    <x v="1"/>
    <x v="9"/>
    <n v="110"/>
    <n v="105.6"/>
    <n v="0"/>
    <n v="0"/>
    <n v="0"/>
    <n v="0"/>
    <n v="0"/>
    <s v="CATIVO"/>
    <n v="0"/>
    <n v="1"/>
    <n v="0"/>
    <n v="0"/>
    <n v="45.73"/>
    <n v="0"/>
    <n v="0"/>
    <n v="78.286295907151739"/>
    <n v="146.90220900317223"/>
    <n v="364.92243737572466"/>
    <n v="201.21200000000024"/>
    <n v="0"/>
    <n v="344.45970199146808"/>
    <n v="0"/>
    <x v="1"/>
  </r>
  <r>
    <s v="PROJETADO"/>
    <x v="0"/>
    <x v="0"/>
    <x v="0"/>
    <x v="0"/>
    <x v="1"/>
    <x v="0"/>
    <x v="1"/>
    <x v="10"/>
    <n v="110"/>
    <n v="105.6"/>
    <n v="0"/>
    <n v="0"/>
    <n v="0"/>
    <n v="0"/>
    <n v="0"/>
    <s v="CATIVO"/>
    <n v="0"/>
    <n v="1"/>
    <n v="0"/>
    <n v="0"/>
    <n v="45.73"/>
    <n v="0"/>
    <n v="0"/>
    <n v="78.286295907151739"/>
    <n v="146.90220900317223"/>
    <n v="364.92243737572466"/>
    <n v="201.21200000000024"/>
    <n v="0"/>
    <n v="344.45970199146808"/>
    <n v="0"/>
    <x v="1"/>
  </r>
  <r>
    <s v="Regular"/>
    <x v="0"/>
    <x v="1"/>
    <x v="1"/>
    <x v="1"/>
    <x v="1"/>
    <x v="1"/>
    <x v="2"/>
    <x v="3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Regular"/>
    <x v="0"/>
    <x v="1"/>
    <x v="1"/>
    <x v="1"/>
    <x v="1"/>
    <x v="1"/>
    <x v="2"/>
    <x v="4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Regular"/>
    <x v="0"/>
    <x v="1"/>
    <x v="1"/>
    <x v="1"/>
    <x v="1"/>
    <x v="1"/>
    <x v="2"/>
    <x v="11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Regular"/>
    <x v="0"/>
    <x v="1"/>
    <x v="1"/>
    <x v="1"/>
    <x v="1"/>
    <x v="1"/>
    <x v="2"/>
    <x v="5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Regular"/>
    <x v="0"/>
    <x v="1"/>
    <x v="1"/>
    <x v="1"/>
    <x v="1"/>
    <x v="1"/>
    <x v="2"/>
    <x v="6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Regular"/>
    <x v="0"/>
    <x v="1"/>
    <x v="1"/>
    <x v="1"/>
    <x v="1"/>
    <x v="1"/>
    <x v="2"/>
    <x v="7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Regular"/>
    <x v="0"/>
    <x v="1"/>
    <x v="1"/>
    <x v="1"/>
    <x v="1"/>
    <x v="1"/>
    <x v="2"/>
    <x v="8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Regular"/>
    <x v="0"/>
    <x v="1"/>
    <x v="1"/>
    <x v="1"/>
    <x v="1"/>
    <x v="1"/>
    <x v="2"/>
    <x v="0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Regular"/>
    <x v="0"/>
    <x v="1"/>
    <x v="1"/>
    <x v="1"/>
    <x v="1"/>
    <x v="1"/>
    <x v="2"/>
    <x v="1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Regular"/>
    <x v="0"/>
    <x v="1"/>
    <x v="1"/>
    <x v="1"/>
    <x v="1"/>
    <x v="1"/>
    <x v="2"/>
    <x v="2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Regular"/>
    <x v="0"/>
    <x v="1"/>
    <x v="1"/>
    <x v="1"/>
    <x v="1"/>
    <x v="1"/>
    <x v="2"/>
    <x v="9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PROJETADO"/>
    <x v="0"/>
    <x v="1"/>
    <x v="1"/>
    <x v="1"/>
    <x v="1"/>
    <x v="1"/>
    <x v="2"/>
    <x v="10"/>
    <n v="3010"/>
    <n v="3010"/>
    <n v="0"/>
    <n v="0"/>
    <n v="0"/>
    <n v="0"/>
    <n v="0"/>
    <s v="GERAÇÃO"/>
    <n v="26879"/>
    <n v="10"/>
    <n v="0"/>
    <n v="0"/>
    <n v="11.48"/>
    <n v="0"/>
    <n v="0"/>
    <n v="19.280177728950576"/>
    <m/>
    <m/>
    <n v="0"/>
    <n v="0"/>
    <n v="0"/>
    <n v="0"/>
    <x v="2"/>
  </r>
  <r>
    <s v="Regular"/>
    <x v="0"/>
    <x v="2"/>
    <x v="0"/>
    <x v="0"/>
    <x v="0"/>
    <x v="0"/>
    <x v="0"/>
    <x v="9"/>
    <n v="0"/>
    <n v="0"/>
    <n v="5.2069999999999999"/>
    <n v="1.0414000000000001"/>
    <n v="5.2069999999999999"/>
    <n v="1.0414000000000001"/>
    <n v="0"/>
    <s v="CATIVO"/>
    <n v="0"/>
    <n v="0"/>
    <n v="16"/>
    <n v="63"/>
    <n v="0"/>
    <n v="84.99"/>
    <n v="242.77"/>
    <m/>
    <n v="146.90220900317223"/>
    <n v="227.53897547400734"/>
    <n v="0"/>
    <n v="1365.3170559999999"/>
    <n v="0"/>
    <n v="1559.7721980581391"/>
    <x v="0"/>
  </r>
  <r>
    <s v="PROJETADO"/>
    <x v="0"/>
    <x v="2"/>
    <x v="0"/>
    <x v="0"/>
    <x v="0"/>
    <x v="0"/>
    <x v="0"/>
    <x v="10"/>
    <n v="0"/>
    <n v="0"/>
    <n v="5.2069999999999999"/>
    <n v="1.0414000000000001"/>
    <n v="5.2069999999999999"/>
    <n v="1.0414000000000001"/>
    <n v="0"/>
    <s v="CATIVO"/>
    <n v="0"/>
    <n v="0"/>
    <n v="16"/>
    <n v="63"/>
    <n v="0"/>
    <n v="84.99"/>
    <n v="242.77"/>
    <m/>
    <n v="146.90220900317223"/>
    <n v="227.53897547400734"/>
    <n v="0"/>
    <n v="1365.3170559999999"/>
    <n v="0"/>
    <n v="1559.7721980581391"/>
    <x v="0"/>
  </r>
  <r>
    <s v="Regular"/>
    <x v="0"/>
    <x v="2"/>
    <x v="0"/>
    <x v="0"/>
    <x v="1"/>
    <x v="0"/>
    <x v="0"/>
    <x v="9"/>
    <n v="0"/>
    <n v="0"/>
    <n v="9.7170000000000005"/>
    <n v="9.3283199999999997"/>
    <n v="9.7170000000000005"/>
    <n v="9.3283199999999997"/>
    <n v="0"/>
    <s v="CATIVO"/>
    <n v="0"/>
    <n v="0"/>
    <n v="16"/>
    <n v="63"/>
    <n v="0"/>
    <n v="84.99"/>
    <n v="242.77"/>
    <m/>
    <n v="146.90220900317223"/>
    <n v="227.53897547400734"/>
    <n v="0"/>
    <n v="127.39375680000026"/>
    <n v="0"/>
    <n v="145.53779958259045"/>
    <x v="1"/>
  </r>
  <r>
    <s v="PROJETADO"/>
    <x v="0"/>
    <x v="2"/>
    <x v="0"/>
    <x v="0"/>
    <x v="1"/>
    <x v="0"/>
    <x v="0"/>
    <x v="10"/>
    <n v="0"/>
    <n v="0"/>
    <n v="9.7170000000000005"/>
    <n v="9.3283199999999997"/>
    <n v="9.7170000000000005"/>
    <n v="9.3283199999999997"/>
    <n v="0"/>
    <s v="CATIVO"/>
    <n v="0"/>
    <n v="0"/>
    <n v="16"/>
    <n v="63"/>
    <n v="0"/>
    <n v="84.99"/>
    <n v="242.77"/>
    <m/>
    <n v="146.90220900317223"/>
    <n v="227.53897547400734"/>
    <n v="0"/>
    <n v="127.39375680000026"/>
    <n v="0"/>
    <n v="145.53779958259045"/>
    <x v="1"/>
  </r>
  <r>
    <s v="Regular"/>
    <x v="0"/>
    <x v="2"/>
    <x v="0"/>
    <x v="0"/>
    <x v="1"/>
    <x v="0"/>
    <x v="2"/>
    <x v="9"/>
    <n v="106"/>
    <n v="101.76"/>
    <n v="0"/>
    <n v="0"/>
    <n v="0"/>
    <n v="0"/>
    <n v="1"/>
    <s v="CATIVO"/>
    <n v="0"/>
    <n v="11"/>
    <n v="0"/>
    <n v="0"/>
    <n v="18.920000000000002"/>
    <n v="0"/>
    <n v="0"/>
    <n v="32.556945267352141"/>
    <m/>
    <m/>
    <n v="80.220799999999912"/>
    <n v="0"/>
    <n v="138.04144793357293"/>
    <n v="0"/>
    <x v="1"/>
  </r>
  <r>
    <s v="PROJETADO"/>
    <x v="0"/>
    <x v="2"/>
    <x v="0"/>
    <x v="0"/>
    <x v="1"/>
    <x v="0"/>
    <x v="2"/>
    <x v="10"/>
    <n v="106"/>
    <n v="101.76"/>
    <n v="0"/>
    <n v="0"/>
    <n v="0"/>
    <n v="0"/>
    <n v="1"/>
    <s v="CATIVO"/>
    <n v="0"/>
    <n v="11"/>
    <n v="0"/>
    <n v="0"/>
    <n v="18.920000000000002"/>
    <n v="0"/>
    <n v="0"/>
    <n v="32.556945267352141"/>
    <m/>
    <m/>
    <n v="80.220799999999912"/>
    <n v="0"/>
    <n v="138.04144793357293"/>
    <n v="0"/>
    <x v="1"/>
  </r>
  <r>
    <s v="Regular"/>
    <x v="0"/>
    <x v="2"/>
    <x v="0"/>
    <x v="0"/>
    <x v="1"/>
    <x v="0"/>
    <x v="1"/>
    <x v="9"/>
    <n v="0"/>
    <n v="0"/>
    <n v="1.8859999999999999"/>
    <n v="1.8105599999999999"/>
    <n v="1.8859999999999999"/>
    <n v="1.8105599999999999"/>
    <n v="0"/>
    <s v="CATIVO"/>
    <n v="0"/>
    <n v="0"/>
    <n v="14"/>
    <n v="62"/>
    <n v="0"/>
    <n v="1195.82"/>
    <n v="391.54"/>
    <m/>
    <n v="2051.1203590831656"/>
    <n v="364.92243737572466"/>
    <n v="0"/>
    <n v="119.75043839999992"/>
    <n v="0"/>
    <n v="182.26626856485856"/>
    <x v="1"/>
  </r>
  <r>
    <s v="PROJETADO"/>
    <x v="0"/>
    <x v="2"/>
    <x v="0"/>
    <x v="0"/>
    <x v="1"/>
    <x v="0"/>
    <x v="1"/>
    <x v="10"/>
    <n v="0"/>
    <n v="0"/>
    <n v="1.8859999999999999"/>
    <n v="1.8105599999999999"/>
    <n v="1.8859999999999999"/>
    <n v="1.8105599999999999"/>
    <n v="0"/>
    <s v="CATIVO"/>
    <n v="0"/>
    <n v="0"/>
    <n v="14"/>
    <n v="62"/>
    <n v="0"/>
    <n v="1195.82"/>
    <n v="391.54"/>
    <m/>
    <n v="2051.1203590831656"/>
    <n v="364.92243737572466"/>
    <n v="0"/>
    <n v="119.75043839999992"/>
    <n v="0"/>
    <n v="182.26626856485856"/>
    <x v="1"/>
  </r>
  <r>
    <s v="Regular"/>
    <x v="0"/>
    <x v="2"/>
    <x v="0"/>
    <x v="2"/>
    <x v="1"/>
    <x v="0"/>
    <x v="0"/>
    <x v="5"/>
    <n v="0"/>
    <n v="0"/>
    <n v="0.42099999999999999"/>
    <n v="0.40416000000000002"/>
    <n v="0.42099999999999999"/>
    <n v="0.40416000000000002"/>
    <n v="0"/>
    <s v="CATIVO"/>
    <n v="0"/>
    <n v="0"/>
    <n v="16"/>
    <n v="63"/>
    <n v="0"/>
    <n v="84.99"/>
    <n v="242.77"/>
    <m/>
    <n v="146.90220900317223"/>
    <n v="227.53897547400734"/>
    <n v="0"/>
    <n v="5.519478399999989"/>
    <n v="0"/>
    <n v="6.3055895465956917"/>
    <x v="1"/>
  </r>
  <r>
    <s v="Regular"/>
    <x v="0"/>
    <x v="2"/>
    <x v="0"/>
    <x v="2"/>
    <x v="1"/>
    <x v="0"/>
    <x v="0"/>
    <x v="6"/>
    <n v="0"/>
    <n v="0"/>
    <n v="0.45"/>
    <n v="0.432"/>
    <n v="0.45"/>
    <n v="0.432"/>
    <n v="0"/>
    <s v="CATIVO"/>
    <n v="0"/>
    <n v="0"/>
    <n v="16"/>
    <n v="63"/>
    <n v="0"/>
    <n v="84.99"/>
    <n v="242.77"/>
    <m/>
    <n v="146.90220900317223"/>
    <n v="227.53897547400734"/>
    <n v="0"/>
    <n v="5.8996800000000054"/>
    <n v="0"/>
    <n v="6.7399413205892387"/>
    <x v="1"/>
  </r>
  <r>
    <s v="Regular"/>
    <x v="0"/>
    <x v="2"/>
    <x v="0"/>
    <x v="2"/>
    <x v="1"/>
    <x v="0"/>
    <x v="0"/>
    <x v="7"/>
    <n v="0"/>
    <n v="0"/>
    <n v="0.48299999999999998"/>
    <n v="0.46367999999999998"/>
    <n v="0.48299999999999998"/>
    <n v="0.46367999999999998"/>
    <n v="0"/>
    <s v="CATIVO"/>
    <n v="0"/>
    <n v="0"/>
    <n v="16"/>
    <n v="63"/>
    <n v="0"/>
    <n v="84.99"/>
    <n v="242.77"/>
    <m/>
    <n v="146.90220900317223"/>
    <n v="227.53897547400734"/>
    <n v="0"/>
    <n v="6.3323232000000012"/>
    <n v="0"/>
    <n v="7.2342036840991106"/>
    <x v="1"/>
  </r>
  <r>
    <s v="Regular"/>
    <x v="0"/>
    <x v="2"/>
    <x v="0"/>
    <x v="2"/>
    <x v="1"/>
    <x v="0"/>
    <x v="0"/>
    <x v="8"/>
    <n v="0"/>
    <n v="0"/>
    <n v="0.58699999999999997"/>
    <n v="0.56352000000000002"/>
    <n v="0.58699999999999997"/>
    <n v="0.56352000000000002"/>
    <n v="0"/>
    <s v="CATIVO"/>
    <n v="0"/>
    <n v="0"/>
    <n v="16"/>
    <n v="63"/>
    <n v="0"/>
    <n v="84.99"/>
    <n v="242.77"/>
    <m/>
    <n v="146.90220900317223"/>
    <n v="227.53897547400734"/>
    <n v="0"/>
    <n v="7.6958047999999826"/>
    <n v="0"/>
    <n v="8.7918790115241556"/>
    <x v="1"/>
  </r>
  <r>
    <s v="Regular"/>
    <x v="0"/>
    <x v="2"/>
    <x v="0"/>
    <x v="2"/>
    <x v="1"/>
    <x v="0"/>
    <x v="0"/>
    <x v="0"/>
    <n v="0"/>
    <n v="0"/>
    <n v="0.55700000000000005"/>
    <n v="0.53471999999999997"/>
    <n v="0.55700000000000005"/>
    <n v="0.53471999999999997"/>
    <n v="0"/>
    <s v="CATIVO"/>
    <n v="0"/>
    <n v="0"/>
    <n v="16"/>
    <n v="63"/>
    <n v="0"/>
    <n v="84.99"/>
    <n v="242.77"/>
    <m/>
    <n v="146.90220900317223"/>
    <n v="227.53897547400734"/>
    <n v="0"/>
    <n v="7.3024928000000253"/>
    <n v="0"/>
    <n v="8.3425495901515898"/>
    <x v="1"/>
  </r>
  <r>
    <s v="Regular"/>
    <x v="0"/>
    <x v="2"/>
    <x v="0"/>
    <x v="2"/>
    <x v="1"/>
    <x v="0"/>
    <x v="0"/>
    <x v="1"/>
    <n v="0"/>
    <n v="0"/>
    <n v="0.94299999999999995"/>
    <n v="0.90527999999999997"/>
    <n v="0.94299999999999995"/>
    <n v="0.90527999999999997"/>
    <n v="0"/>
    <s v="CATIVO"/>
    <n v="0"/>
    <n v="0"/>
    <n v="16"/>
    <n v="63"/>
    <n v="0"/>
    <n v="84.99"/>
    <n v="242.77"/>
    <m/>
    <n v="146.90220900317223"/>
    <n v="227.53897547400734"/>
    <n v="0"/>
    <n v="12.363107199999993"/>
    <n v="0"/>
    <n v="14.123921478479204"/>
    <x v="1"/>
  </r>
  <r>
    <s v="Regular"/>
    <x v="0"/>
    <x v="2"/>
    <x v="0"/>
    <x v="2"/>
    <x v="1"/>
    <x v="0"/>
    <x v="0"/>
    <x v="2"/>
    <n v="0"/>
    <n v="0"/>
    <n v="2.7690000000000001"/>
    <n v="2.6582400000000002"/>
    <n v="2.7690000000000001"/>
    <n v="2.6582400000000002"/>
    <n v="0"/>
    <s v="CATIVO"/>
    <n v="0"/>
    <n v="0"/>
    <n v="16"/>
    <n v="63"/>
    <n v="0"/>
    <n v="84.99"/>
    <n v="242.77"/>
    <m/>
    <n v="146.90220900317223"/>
    <n v="227.53897547400734"/>
    <n v="0"/>
    <n v="36.302697599999988"/>
    <n v="0"/>
    <n v="41.473105592692399"/>
    <x v="1"/>
  </r>
  <r>
    <s v="Regular"/>
    <x v="0"/>
    <x v="2"/>
    <x v="0"/>
    <x v="2"/>
    <x v="1"/>
    <x v="0"/>
    <x v="0"/>
    <x v="9"/>
    <n v="0"/>
    <n v="0"/>
    <n v="5.2640000000000002"/>
    <n v="5.0534400000000002"/>
    <n v="5.2640000000000002"/>
    <n v="5.0534400000000002"/>
    <n v="0"/>
    <s v="CATIVO"/>
    <n v="0"/>
    <n v="0"/>
    <n v="16"/>
    <n v="63"/>
    <n v="0"/>
    <n v="84.99"/>
    <n v="242.77"/>
    <m/>
    <n v="146.90220900317223"/>
    <n v="227.53897547400734"/>
    <n v="0"/>
    <n v="69.01314560000003"/>
    <n v="0"/>
    <n v="78.842335803514956"/>
    <x v="1"/>
  </r>
  <r>
    <s v="PROJETADO"/>
    <x v="0"/>
    <x v="2"/>
    <x v="0"/>
    <x v="2"/>
    <x v="1"/>
    <x v="0"/>
    <x v="0"/>
    <x v="10"/>
    <n v="0"/>
    <n v="0"/>
    <n v="5.2640000000000002"/>
    <n v="5.0534400000000002"/>
    <n v="5.2640000000000002"/>
    <n v="5.0534400000000002"/>
    <n v="0"/>
    <s v="CATIVO"/>
    <n v="0"/>
    <n v="0"/>
    <n v="16"/>
    <n v="63"/>
    <n v="0"/>
    <n v="84.99"/>
    <n v="242.77"/>
    <m/>
    <n v="146.90220900317223"/>
    <n v="227.53897547400734"/>
    <n v="0"/>
    <n v="69.01314560000003"/>
    <n v="0"/>
    <n v="78.842335803514956"/>
    <x v="1"/>
  </r>
  <r>
    <s v="Regular"/>
    <x v="0"/>
    <x v="2"/>
    <x v="0"/>
    <x v="2"/>
    <x v="1"/>
    <x v="0"/>
    <x v="2"/>
    <x v="5"/>
    <n v="1"/>
    <n v="0.96"/>
    <n v="0"/>
    <n v="0"/>
    <n v="0"/>
    <n v="0"/>
    <n v="1"/>
    <s v="CATIVO"/>
    <n v="0"/>
    <n v="11"/>
    <n v="0"/>
    <n v="0"/>
    <n v="18.920000000000002"/>
    <n v="0"/>
    <n v="0"/>
    <n v="32.556945267352141"/>
    <m/>
    <m/>
    <n v="0.75680000000000069"/>
    <n v="0"/>
    <n v="1.3022778106940869"/>
    <n v="0"/>
    <x v="1"/>
  </r>
  <r>
    <s v="Regular"/>
    <x v="0"/>
    <x v="2"/>
    <x v="0"/>
    <x v="2"/>
    <x v="1"/>
    <x v="0"/>
    <x v="2"/>
    <x v="6"/>
    <n v="1"/>
    <n v="0.96"/>
    <n v="0"/>
    <n v="0"/>
    <n v="0"/>
    <n v="0"/>
    <n v="2"/>
    <s v="CATIVO"/>
    <n v="0"/>
    <n v="11"/>
    <n v="0"/>
    <n v="0"/>
    <n v="18.920000000000002"/>
    <n v="0"/>
    <n v="0"/>
    <n v="32.556945267352141"/>
    <m/>
    <m/>
    <n v="0.75680000000000069"/>
    <n v="0"/>
    <n v="1.3022778106940869"/>
    <n v="0"/>
    <x v="1"/>
  </r>
  <r>
    <s v="Regular"/>
    <x v="0"/>
    <x v="2"/>
    <x v="0"/>
    <x v="2"/>
    <x v="1"/>
    <x v="0"/>
    <x v="2"/>
    <x v="7"/>
    <n v="3"/>
    <n v="2.88"/>
    <n v="0"/>
    <n v="0"/>
    <n v="0"/>
    <n v="0"/>
    <n v="2"/>
    <s v="CATIVO"/>
    <n v="0"/>
    <n v="11"/>
    <n v="0"/>
    <n v="0"/>
    <n v="18.920000000000002"/>
    <n v="0"/>
    <n v="0"/>
    <n v="32.556945267352141"/>
    <m/>
    <m/>
    <n v="2.2704000000000022"/>
    <n v="0"/>
    <n v="3.9068334320822604"/>
    <n v="0"/>
    <x v="1"/>
  </r>
  <r>
    <s v="Regular"/>
    <x v="0"/>
    <x v="2"/>
    <x v="0"/>
    <x v="2"/>
    <x v="1"/>
    <x v="0"/>
    <x v="2"/>
    <x v="8"/>
    <n v="3"/>
    <n v="2.88"/>
    <n v="0"/>
    <n v="0"/>
    <n v="0"/>
    <n v="0"/>
    <n v="2"/>
    <s v="CATIVO"/>
    <n v="0"/>
    <n v="11"/>
    <n v="0"/>
    <n v="0"/>
    <n v="18.920000000000002"/>
    <n v="0"/>
    <n v="0"/>
    <n v="32.556945267352141"/>
    <m/>
    <m/>
    <n v="2.2704000000000022"/>
    <n v="0"/>
    <n v="3.9068334320822604"/>
    <n v="0"/>
    <x v="1"/>
  </r>
  <r>
    <s v="Regular"/>
    <x v="0"/>
    <x v="2"/>
    <x v="0"/>
    <x v="2"/>
    <x v="1"/>
    <x v="0"/>
    <x v="2"/>
    <x v="0"/>
    <n v="3"/>
    <n v="2.88"/>
    <n v="0"/>
    <n v="0"/>
    <n v="0"/>
    <n v="0"/>
    <n v="2"/>
    <s v="CATIVO"/>
    <n v="0"/>
    <n v="11"/>
    <n v="0"/>
    <n v="0"/>
    <n v="18.920000000000002"/>
    <n v="0"/>
    <n v="0"/>
    <n v="32.556945267352141"/>
    <m/>
    <m/>
    <n v="2.2704000000000022"/>
    <n v="0"/>
    <n v="3.9068334320822604"/>
    <n v="0"/>
    <x v="1"/>
  </r>
  <r>
    <s v="Regular"/>
    <x v="0"/>
    <x v="2"/>
    <x v="0"/>
    <x v="2"/>
    <x v="1"/>
    <x v="0"/>
    <x v="2"/>
    <x v="1"/>
    <n v="4"/>
    <n v="3.84"/>
    <n v="0"/>
    <n v="0"/>
    <n v="0"/>
    <n v="0"/>
    <n v="2"/>
    <s v="CATIVO"/>
    <n v="0"/>
    <n v="11"/>
    <n v="0"/>
    <n v="0"/>
    <n v="18.920000000000002"/>
    <n v="0"/>
    <n v="0"/>
    <n v="32.556945267352141"/>
    <m/>
    <m/>
    <n v="3.0272000000000028"/>
    <n v="0"/>
    <n v="5.2091112427763475"/>
    <n v="0"/>
    <x v="1"/>
  </r>
  <r>
    <s v="Regular"/>
    <x v="0"/>
    <x v="2"/>
    <x v="0"/>
    <x v="2"/>
    <x v="1"/>
    <x v="0"/>
    <x v="2"/>
    <x v="2"/>
    <n v="10"/>
    <n v="9.6"/>
    <n v="0"/>
    <n v="0"/>
    <n v="0"/>
    <n v="0"/>
    <n v="2"/>
    <s v="CATIVO"/>
    <n v="0"/>
    <n v="11"/>
    <n v="0"/>
    <n v="0"/>
    <n v="18.920000000000002"/>
    <n v="0"/>
    <n v="0"/>
    <n v="32.556945267352141"/>
    <m/>
    <m/>
    <n v="7.5680000000000076"/>
    <n v="0"/>
    <n v="13.022778106940867"/>
    <n v="0"/>
    <x v="1"/>
  </r>
  <r>
    <s v="Regular"/>
    <x v="0"/>
    <x v="2"/>
    <x v="0"/>
    <x v="2"/>
    <x v="1"/>
    <x v="0"/>
    <x v="2"/>
    <x v="9"/>
    <n v="11"/>
    <n v="10.56"/>
    <n v="0"/>
    <n v="0"/>
    <n v="0"/>
    <n v="0"/>
    <n v="2"/>
    <s v="CATIVO"/>
    <n v="0"/>
    <n v="11"/>
    <n v="0"/>
    <n v="0"/>
    <n v="18.920000000000002"/>
    <n v="0"/>
    <n v="0"/>
    <n v="32.556945267352141"/>
    <m/>
    <m/>
    <n v="8.3247999999999909"/>
    <n v="0"/>
    <n v="14.325055917634925"/>
    <n v="0"/>
    <x v="1"/>
  </r>
  <r>
    <s v="PROJETADO"/>
    <x v="0"/>
    <x v="2"/>
    <x v="0"/>
    <x v="2"/>
    <x v="1"/>
    <x v="0"/>
    <x v="2"/>
    <x v="10"/>
    <n v="11"/>
    <n v="10.56"/>
    <n v="0"/>
    <n v="0"/>
    <n v="0"/>
    <n v="0"/>
    <n v="2"/>
    <s v="CATIVO"/>
    <n v="0"/>
    <n v="11"/>
    <n v="0"/>
    <n v="0"/>
    <n v="18.920000000000002"/>
    <n v="0"/>
    <n v="0"/>
    <n v="32.556945267352141"/>
    <m/>
    <m/>
    <n v="8.3247999999999909"/>
    <n v="0"/>
    <n v="14.325055917634925"/>
    <n v="0"/>
    <x v="1"/>
  </r>
  <r>
    <s v="Regular"/>
    <x v="0"/>
    <x v="2"/>
    <x v="0"/>
    <x v="2"/>
    <x v="1"/>
    <x v="0"/>
    <x v="1"/>
    <x v="5"/>
    <n v="0"/>
    <n v="0"/>
    <n v="5.6000000000000001E-2"/>
    <n v="5.3760000000000002E-2"/>
    <n v="5.6000000000000001E-2"/>
    <n v="5.3760000000000002E-2"/>
    <n v="0"/>
    <s v="CATIVO"/>
    <n v="0"/>
    <n v="0"/>
    <n v="14"/>
    <n v="62"/>
    <n v="0"/>
    <n v="1195.82"/>
    <n v="391.54"/>
    <m/>
    <n v="2051.1203590831656"/>
    <n v="364.92243737572466"/>
    <n v="0"/>
    <n v="3.5556863999999981"/>
    <n v="0"/>
    <n v="5.411935864067912"/>
    <x v="1"/>
  </r>
  <r>
    <s v="Regular"/>
    <x v="0"/>
    <x v="2"/>
    <x v="0"/>
    <x v="2"/>
    <x v="1"/>
    <x v="0"/>
    <x v="1"/>
    <x v="6"/>
    <n v="0"/>
    <n v="0"/>
    <n v="6.8000000000000005E-2"/>
    <n v="6.5280000000000005E-2"/>
    <n v="6.8000000000000005E-2"/>
    <n v="6.5280000000000005E-2"/>
    <n v="0"/>
    <s v="CATIVO"/>
    <n v="0"/>
    <n v="0"/>
    <n v="14"/>
    <n v="62"/>
    <n v="0"/>
    <n v="1195.82"/>
    <n v="391.54"/>
    <m/>
    <n v="2051.1203590831656"/>
    <n v="364.92243737572466"/>
    <n v="0"/>
    <n v="4.3176192000000002"/>
    <n v="0"/>
    <n v="6.5716364063681816"/>
    <x v="1"/>
  </r>
  <r>
    <s v="Regular"/>
    <x v="0"/>
    <x v="2"/>
    <x v="0"/>
    <x v="2"/>
    <x v="1"/>
    <x v="0"/>
    <x v="1"/>
    <x v="7"/>
    <n v="0"/>
    <n v="0"/>
    <n v="7.2999999999999995E-2"/>
    <n v="7.0080000000000003E-2"/>
    <n v="7.2999999999999995E-2"/>
    <n v="7.0080000000000003E-2"/>
    <n v="0"/>
    <s v="CATIVO"/>
    <n v="0"/>
    <n v="0"/>
    <n v="14"/>
    <n v="62"/>
    <n v="0"/>
    <n v="1195.82"/>
    <n v="391.54"/>
    <m/>
    <n v="2051.1203590831656"/>
    <n v="364.92243737572466"/>
    <n v="0"/>
    <n v="4.6350911999999873"/>
    <n v="0"/>
    <n v="7.0548449656599406"/>
    <x v="1"/>
  </r>
  <r>
    <s v="Regular"/>
    <x v="0"/>
    <x v="2"/>
    <x v="0"/>
    <x v="2"/>
    <x v="1"/>
    <x v="0"/>
    <x v="1"/>
    <x v="8"/>
    <n v="0"/>
    <n v="0"/>
    <n v="0.1"/>
    <n v="9.6000000000000002E-2"/>
    <n v="0.1"/>
    <n v="9.6000000000000002E-2"/>
    <n v="0"/>
    <s v="CATIVO"/>
    <n v="0"/>
    <n v="0"/>
    <n v="14"/>
    <n v="62"/>
    <n v="0"/>
    <n v="1195.82"/>
    <n v="391.54"/>
    <m/>
    <n v="2051.1203590831656"/>
    <n v="364.92243737572466"/>
    <n v="0"/>
    <n v="6.3494400000000057"/>
    <n v="0"/>
    <n v="9.6641711858355688"/>
    <x v="1"/>
  </r>
  <r>
    <s v="Regular"/>
    <x v="0"/>
    <x v="2"/>
    <x v="0"/>
    <x v="2"/>
    <x v="1"/>
    <x v="0"/>
    <x v="1"/>
    <x v="0"/>
    <n v="0"/>
    <n v="0"/>
    <n v="9.7000000000000003E-2"/>
    <n v="9.3119999999999994E-2"/>
    <n v="9.7000000000000003E-2"/>
    <n v="9.3119999999999994E-2"/>
    <n v="0"/>
    <s v="CATIVO"/>
    <n v="0"/>
    <n v="0"/>
    <n v="14"/>
    <n v="62"/>
    <n v="0"/>
    <n v="1195.82"/>
    <n v="391.54"/>
    <m/>
    <n v="2051.1203590831656"/>
    <n v="364.92243737572466"/>
    <n v="0"/>
    <n v="6.1589568000000128"/>
    <n v="0"/>
    <n v="9.3742460502605134"/>
    <x v="1"/>
  </r>
  <r>
    <s v="Regular"/>
    <x v="0"/>
    <x v="2"/>
    <x v="0"/>
    <x v="2"/>
    <x v="1"/>
    <x v="0"/>
    <x v="1"/>
    <x v="1"/>
    <n v="0"/>
    <n v="0"/>
    <n v="0.10199999999999999"/>
    <n v="9.7919999999999993E-2"/>
    <n v="0.10199999999999999"/>
    <n v="9.7919999999999993E-2"/>
    <n v="0"/>
    <s v="CATIVO"/>
    <n v="0"/>
    <n v="0"/>
    <n v="14"/>
    <n v="62"/>
    <n v="0"/>
    <n v="1195.82"/>
    <n v="391.54"/>
    <m/>
    <n v="2051.1203590831656"/>
    <n v="364.92243737572466"/>
    <n v="0"/>
    <n v="6.4764287999999999"/>
    <n v="0"/>
    <n v="9.8574546095522724"/>
    <x v="1"/>
  </r>
  <r>
    <s v="Regular"/>
    <x v="0"/>
    <x v="2"/>
    <x v="0"/>
    <x v="2"/>
    <x v="1"/>
    <x v="0"/>
    <x v="1"/>
    <x v="2"/>
    <n v="0"/>
    <n v="0"/>
    <n v="0.129"/>
    <n v="0.12384000000000001"/>
    <n v="0.129"/>
    <n v="0.12384000000000001"/>
    <n v="0"/>
    <s v="CATIVO"/>
    <n v="0"/>
    <n v="0"/>
    <n v="14"/>
    <n v="62"/>
    <n v="0"/>
    <n v="1195.82"/>
    <n v="391.54"/>
    <m/>
    <n v="2051.1203590831656"/>
    <n v="364.92243737572466"/>
    <n v="0"/>
    <n v="8.190777599999997"/>
    <n v="0"/>
    <n v="12.466780829727869"/>
    <x v="1"/>
  </r>
  <r>
    <s v="Regular"/>
    <x v="0"/>
    <x v="2"/>
    <x v="0"/>
    <x v="2"/>
    <x v="1"/>
    <x v="0"/>
    <x v="1"/>
    <x v="9"/>
    <n v="0"/>
    <n v="0"/>
    <n v="0.54700000000000004"/>
    <n v="0.52512000000000003"/>
    <n v="0.54700000000000004"/>
    <n v="0.52512000000000003"/>
    <n v="0"/>
    <s v="CATIVO"/>
    <n v="0"/>
    <n v="0"/>
    <n v="14"/>
    <n v="62"/>
    <n v="0"/>
    <n v="1195.82"/>
    <n v="391.54"/>
    <m/>
    <n v="2051.1203590831656"/>
    <n v="364.92243737572466"/>
    <n v="0"/>
    <n v="34.731436800000012"/>
    <n v="0"/>
    <n v="52.863016386520542"/>
    <x v="1"/>
  </r>
  <r>
    <s v="PROJETADO"/>
    <x v="0"/>
    <x v="2"/>
    <x v="0"/>
    <x v="2"/>
    <x v="1"/>
    <x v="0"/>
    <x v="1"/>
    <x v="10"/>
    <n v="0"/>
    <n v="0"/>
    <n v="0.54700000000000004"/>
    <n v="0.52512000000000003"/>
    <n v="0.54700000000000004"/>
    <n v="0.52512000000000003"/>
    <n v="0"/>
    <s v="CATIVO"/>
    <n v="0"/>
    <n v="0"/>
    <n v="14"/>
    <n v="62"/>
    <n v="0"/>
    <n v="1195.82"/>
    <n v="391.54"/>
    <m/>
    <n v="2051.1203590831656"/>
    <n v="364.92243737572466"/>
    <n v="0"/>
    <n v="34.731436800000012"/>
    <n v="0"/>
    <n v="52.863016386520542"/>
    <x v="1"/>
  </r>
  <r>
    <s v="Sistema de Compensação"/>
    <x v="0"/>
    <x v="2"/>
    <x v="0"/>
    <x v="1"/>
    <x v="1"/>
    <x v="0"/>
    <x v="2"/>
    <x v="3"/>
    <n v="37"/>
    <n v="35.519999999999996"/>
    <n v="0"/>
    <n v="0"/>
    <n v="0"/>
    <n v="0"/>
    <n v="1"/>
    <s v="CATIVO"/>
    <n v="0"/>
    <n v="11"/>
    <n v="0"/>
    <n v="0"/>
    <n v="18.920000000000002"/>
    <n v="0"/>
    <n v="0"/>
    <n v="32.556945267352141"/>
    <m/>
    <m/>
    <n v="28.001600000000078"/>
    <n v="0"/>
    <n v="48.184278995681296"/>
    <n v="0"/>
    <x v="1"/>
  </r>
  <r>
    <s v="Sistema de Compensação"/>
    <x v="0"/>
    <x v="2"/>
    <x v="0"/>
    <x v="1"/>
    <x v="1"/>
    <x v="0"/>
    <x v="2"/>
    <x v="4"/>
    <n v="27"/>
    <n v="25.919999999999998"/>
    <n v="0"/>
    <n v="0"/>
    <n v="0"/>
    <n v="0"/>
    <n v="1"/>
    <s v="CATIVO"/>
    <n v="0"/>
    <n v="11"/>
    <n v="0"/>
    <n v="0"/>
    <n v="18.920000000000002"/>
    <n v="0"/>
    <n v="0"/>
    <n v="32.556945267352141"/>
    <m/>
    <m/>
    <n v="20.433600000000038"/>
    <n v="0"/>
    <n v="35.16150088874037"/>
    <n v="0"/>
    <x v="1"/>
  </r>
  <r>
    <s v="Sistema de Compensação"/>
    <x v="0"/>
    <x v="2"/>
    <x v="0"/>
    <x v="1"/>
    <x v="1"/>
    <x v="0"/>
    <x v="2"/>
    <x v="11"/>
    <n v="35"/>
    <n v="33.6"/>
    <n v="0"/>
    <n v="0"/>
    <n v="0"/>
    <n v="0"/>
    <n v="1"/>
    <s v="CATIVO"/>
    <n v="0"/>
    <n v="11"/>
    <n v="0"/>
    <n v="0"/>
    <n v="18.920000000000002"/>
    <n v="0"/>
    <n v="0"/>
    <n v="32.556945267352141"/>
    <m/>
    <m/>
    <n v="26.487999999999975"/>
    <n v="0"/>
    <n v="45.579723374292954"/>
    <n v="0"/>
    <x v="1"/>
  </r>
  <r>
    <s v="Sistema de Compensação"/>
    <x v="0"/>
    <x v="2"/>
    <x v="0"/>
    <x v="1"/>
    <x v="1"/>
    <x v="0"/>
    <x v="2"/>
    <x v="5"/>
    <n v="195"/>
    <n v="187.2"/>
    <n v="0"/>
    <n v="0"/>
    <n v="0"/>
    <n v="0"/>
    <n v="1"/>
    <s v="CATIVO"/>
    <n v="0"/>
    <n v="11"/>
    <n v="0"/>
    <n v="0"/>
    <n v="18.920000000000002"/>
    <n v="0"/>
    <n v="0"/>
    <n v="32.556945267352141"/>
    <m/>
    <m/>
    <n v="147.57600000000022"/>
    <n v="0"/>
    <n v="253.94417308534707"/>
    <n v="0"/>
    <x v="1"/>
  </r>
  <r>
    <s v="Sistema de Compensação"/>
    <x v="0"/>
    <x v="2"/>
    <x v="0"/>
    <x v="1"/>
    <x v="1"/>
    <x v="0"/>
    <x v="2"/>
    <x v="6"/>
    <n v="34"/>
    <n v="32.64"/>
    <n v="0"/>
    <n v="0"/>
    <n v="0"/>
    <n v="0"/>
    <n v="1"/>
    <s v="CATIVO"/>
    <n v="0"/>
    <n v="11"/>
    <n v="0"/>
    <n v="0"/>
    <n v="18.920000000000002"/>
    <n v="0"/>
    <n v="0"/>
    <n v="32.556945267352141"/>
    <m/>
    <m/>
    <n v="25.731199999999991"/>
    <n v="0"/>
    <n v="44.277445563598896"/>
    <n v="0"/>
    <x v="1"/>
  </r>
  <r>
    <s v="Sistema de Compensação"/>
    <x v="0"/>
    <x v="2"/>
    <x v="0"/>
    <x v="1"/>
    <x v="1"/>
    <x v="0"/>
    <x v="2"/>
    <x v="7"/>
    <n v="26"/>
    <n v="24.96"/>
    <n v="0"/>
    <n v="0"/>
    <n v="0"/>
    <n v="0"/>
    <n v="1"/>
    <s v="CATIVO"/>
    <n v="0"/>
    <n v="11"/>
    <n v="0"/>
    <n v="0"/>
    <n v="18.920000000000002"/>
    <n v="0"/>
    <n v="0"/>
    <n v="32.556945267352141"/>
    <m/>
    <m/>
    <n v="19.676799999999986"/>
    <n v="0"/>
    <n v="33.859223078046199"/>
    <n v="0"/>
    <x v="1"/>
  </r>
  <r>
    <s v="Sistema de Compensação"/>
    <x v="0"/>
    <x v="2"/>
    <x v="0"/>
    <x v="1"/>
    <x v="1"/>
    <x v="0"/>
    <x v="2"/>
    <x v="8"/>
    <n v="31"/>
    <n v="29.759999999999998"/>
    <n v="0"/>
    <n v="0"/>
    <n v="0"/>
    <n v="0"/>
    <n v="1"/>
    <s v="CATIVO"/>
    <n v="0"/>
    <n v="11"/>
    <n v="0"/>
    <n v="0"/>
    <n v="18.920000000000002"/>
    <n v="0"/>
    <n v="0"/>
    <n v="32.556945267352141"/>
    <m/>
    <m/>
    <n v="23.460800000000038"/>
    <n v="0"/>
    <n v="40.370612131516722"/>
    <n v="0"/>
    <x v="1"/>
  </r>
  <r>
    <s v="Sistema de Compensação"/>
    <x v="0"/>
    <x v="2"/>
    <x v="0"/>
    <x v="1"/>
    <x v="1"/>
    <x v="0"/>
    <x v="2"/>
    <x v="0"/>
    <n v="41"/>
    <n v="39.36"/>
    <n v="0"/>
    <n v="0"/>
    <n v="0"/>
    <n v="0"/>
    <n v="1"/>
    <s v="CATIVO"/>
    <n v="0"/>
    <n v="11"/>
    <n v="0"/>
    <n v="0"/>
    <n v="18.920000000000002"/>
    <n v="0"/>
    <n v="0"/>
    <n v="32.556945267352141"/>
    <m/>
    <m/>
    <n v="31.028800000000015"/>
    <n v="0"/>
    <n v="53.393390238457528"/>
    <n v="0"/>
    <x v="1"/>
  </r>
  <r>
    <s v="Regular"/>
    <x v="1"/>
    <x v="0"/>
    <x v="2"/>
    <x v="3"/>
    <x v="1"/>
    <x v="0"/>
    <x v="0"/>
    <x v="3"/>
    <n v="505"/>
    <n v="429.25"/>
    <n v="222.565"/>
    <n v="209.21109999999999"/>
    <n v="222.565"/>
    <n v="209.21109999999999"/>
    <n v="0"/>
    <s v="CATIVO"/>
    <n v="0"/>
    <n v="5"/>
    <n v="8"/>
    <n v="66"/>
    <n v="18.920000000000002"/>
    <n v="84.99"/>
    <n v="242.77"/>
    <n v="32.556945267352141"/>
    <n v="146.90220900317223"/>
    <n v="227.53897547400734"/>
    <n v="1433.19"/>
    <n v="4376.8742640000037"/>
    <n v="2466.1886040019249"/>
    <n v="5000.2501333898126"/>
    <x v="3"/>
  </r>
  <r>
    <s v="Regular"/>
    <x v="1"/>
    <x v="0"/>
    <x v="2"/>
    <x v="3"/>
    <x v="1"/>
    <x v="0"/>
    <x v="0"/>
    <x v="4"/>
    <n v="504"/>
    <n v="428.4"/>
    <n v="220.71299999999999"/>
    <n v="207.47022000000001"/>
    <n v="220.71299999999999"/>
    <n v="207.47022000000001"/>
    <n v="0"/>
    <s v="CATIVO"/>
    <n v="0"/>
    <n v="5"/>
    <n v="8"/>
    <n v="66"/>
    <n v="18.920000000000002"/>
    <n v="84.99"/>
    <n v="242.77"/>
    <n v="32.556945267352141"/>
    <n v="146.90220900317223"/>
    <n v="227.53897547400734"/>
    <n v="1430.3520000000005"/>
    <n v="4340.4535727999937"/>
    <n v="2461.3050622118226"/>
    <n v="4958.642228970697"/>
    <x v="3"/>
  </r>
  <r>
    <s v="Regular"/>
    <x v="1"/>
    <x v="0"/>
    <x v="2"/>
    <x v="3"/>
    <x v="1"/>
    <x v="0"/>
    <x v="0"/>
    <x v="11"/>
    <n v="505"/>
    <n v="429.25"/>
    <n v="224.678"/>
    <n v="211.19731999999999"/>
    <n v="224.678"/>
    <n v="211.19731999999999"/>
    <n v="0"/>
    <s v="CATIVO"/>
    <n v="0"/>
    <n v="5"/>
    <n v="8"/>
    <n v="66"/>
    <n v="18.920000000000002"/>
    <n v="84.99"/>
    <n v="242.77"/>
    <n v="32.556945267352141"/>
    <n v="146.90220900317223"/>
    <n v="227.53897547400734"/>
    <n v="1433.19"/>
    <n v="4418.4276768000018"/>
    <n v="2466.1886040019249"/>
    <n v="5047.7217867578274"/>
    <x v="3"/>
  </r>
  <r>
    <s v="Regular"/>
    <x v="1"/>
    <x v="0"/>
    <x v="2"/>
    <x v="3"/>
    <x v="1"/>
    <x v="0"/>
    <x v="0"/>
    <x v="5"/>
    <n v="501"/>
    <n v="425.84999999999997"/>
    <n v="190.18799999999999"/>
    <n v="178.77672000000001"/>
    <n v="190.18799999999999"/>
    <n v="178.77672000000001"/>
    <n v="0"/>
    <s v="CATIVO"/>
    <n v="0"/>
    <n v="5"/>
    <n v="8"/>
    <n v="66"/>
    <n v="18.920000000000002"/>
    <n v="84.99"/>
    <n v="242.77"/>
    <n v="32.556945267352141"/>
    <n v="146.90220900317223"/>
    <n v="227.53897547400734"/>
    <n v="1421.8380000000009"/>
    <n v="3740.1611327999926"/>
    <n v="2446.6544368415143"/>
    <n v="4272.8531996007405"/>
    <x v="3"/>
  </r>
  <r>
    <s v="Regular"/>
    <x v="1"/>
    <x v="0"/>
    <x v="2"/>
    <x v="3"/>
    <x v="1"/>
    <x v="0"/>
    <x v="0"/>
    <x v="6"/>
    <n v="501"/>
    <n v="425.84999999999997"/>
    <n v="215.52799999999999"/>
    <n v="202.59631999999999"/>
    <n v="215.52799999999999"/>
    <n v="202.59631999999999"/>
    <n v="0"/>
    <s v="CATIVO"/>
    <n v="0"/>
    <n v="5"/>
    <n v="8"/>
    <n v="66"/>
    <n v="18.920000000000002"/>
    <n v="84.99"/>
    <n v="242.77"/>
    <n v="32.556945267352141"/>
    <n v="146.90220900317223"/>
    <n v="227.53897547400734"/>
    <n v="1421.8380000000009"/>
    <n v="4238.4874368000001"/>
    <n v="2446.6544368415143"/>
    <n v="4842.1535764798537"/>
    <x v="3"/>
  </r>
  <r>
    <s v="Regular"/>
    <x v="1"/>
    <x v="0"/>
    <x v="2"/>
    <x v="3"/>
    <x v="1"/>
    <x v="0"/>
    <x v="0"/>
    <x v="7"/>
    <n v="502"/>
    <n v="426.7"/>
    <n v="224.44300000000001"/>
    <n v="210.97641999999999"/>
    <n v="224.44300000000001"/>
    <n v="210.97641999999999"/>
    <n v="0"/>
    <s v="CATIVO"/>
    <n v="0"/>
    <n v="5"/>
    <n v="8"/>
    <n v="66"/>
    <n v="18.920000000000002"/>
    <n v="84.99"/>
    <n v="242.77"/>
    <n v="32.556945267352141"/>
    <n v="146.90220900317223"/>
    <n v="227.53897547400734"/>
    <n v="1424.6760000000004"/>
    <n v="4413.8062608000073"/>
    <n v="2451.5379786316166"/>
    <n v="5042.442166056705"/>
    <x v="3"/>
  </r>
  <r>
    <s v="Regular"/>
    <x v="1"/>
    <x v="0"/>
    <x v="2"/>
    <x v="3"/>
    <x v="1"/>
    <x v="0"/>
    <x v="0"/>
    <x v="8"/>
    <n v="501"/>
    <n v="425.84999999999997"/>
    <n v="230.06399999999999"/>
    <n v="216.26016000000001"/>
    <n v="230.06399999999999"/>
    <n v="216.26016000000001"/>
    <n v="0"/>
    <s v="CATIVO"/>
    <n v="0"/>
    <n v="5"/>
    <n v="8"/>
    <n v="66"/>
    <n v="18.920000000000002"/>
    <n v="84.99"/>
    <n v="242.77"/>
    <n v="32.556945267352141"/>
    <n v="146.90220900317223"/>
    <n v="227.53897547400734"/>
    <n v="1421.8380000000009"/>
    <n v="4524.346598399994"/>
    <n v="2446.6544368415143"/>
    <n v="5168.7261999334632"/>
    <x v="3"/>
  </r>
  <r>
    <s v="Regular"/>
    <x v="1"/>
    <x v="0"/>
    <x v="2"/>
    <x v="3"/>
    <x v="1"/>
    <x v="0"/>
    <x v="0"/>
    <x v="0"/>
    <n v="501"/>
    <n v="425.84999999999997"/>
    <n v="217.18299999999999"/>
    <n v="204.15201999999999"/>
    <n v="217.18299999999999"/>
    <n v="204.15201999999999"/>
    <n v="0"/>
    <s v="CATIVO"/>
    <n v="0"/>
    <n v="5"/>
    <n v="8"/>
    <n v="66"/>
    <n v="18.920000000000002"/>
    <n v="84.99"/>
    <n v="242.77"/>
    <n v="32.556945267352141"/>
    <n v="146.90220900317223"/>
    <n v="227.53897547400734"/>
    <n v="1421.8380000000009"/>
    <n v="4271.0340047999998"/>
    <n v="2446.6544368415143"/>
    <n v="4879.3355860984375"/>
    <x v="3"/>
  </r>
  <r>
    <s v="Regular"/>
    <x v="1"/>
    <x v="0"/>
    <x v="2"/>
    <x v="3"/>
    <x v="1"/>
    <x v="0"/>
    <x v="0"/>
    <x v="1"/>
    <n v="500"/>
    <n v="425"/>
    <n v="227.62"/>
    <n v="213.96279999999999"/>
    <n v="227.62"/>
    <n v="213.96279999999999"/>
    <n v="0"/>
    <s v="CATIVO"/>
    <n v="0"/>
    <n v="5"/>
    <n v="8"/>
    <n v="66"/>
    <n v="18.920000000000002"/>
    <n v="84.99"/>
    <n v="242.77"/>
    <n v="32.556945267352141"/>
    <n v="146.90220900317223"/>
    <n v="227.53897547400734"/>
    <n v="1419.0000000000002"/>
    <n v="4476.2838720000054"/>
    <n v="2441.7708950514107"/>
    <n v="5113.8181446417439"/>
    <x v="3"/>
  </r>
  <r>
    <s v="Regular"/>
    <x v="1"/>
    <x v="0"/>
    <x v="2"/>
    <x v="3"/>
    <x v="1"/>
    <x v="0"/>
    <x v="0"/>
    <x v="2"/>
    <n v="500"/>
    <n v="425"/>
    <n v="242.39400000000001"/>
    <n v="227.85035999999999"/>
    <n v="242.39400000000001"/>
    <n v="227.85035999999999"/>
    <n v="0"/>
    <s v="CATIVO"/>
    <n v="0"/>
    <n v="5"/>
    <n v="8"/>
    <n v="66"/>
    <n v="18.920000000000002"/>
    <n v="84.99"/>
    <n v="242.77"/>
    <n v="32.556945267352141"/>
    <n v="146.90220900317223"/>
    <n v="227.53897547400734"/>
    <n v="1419.0000000000002"/>
    <n v="4766.8234464000034"/>
    <n v="2441.7708950514107"/>
    <n v="5445.7377882096916"/>
    <x v="3"/>
  </r>
  <r>
    <s v="Regular"/>
    <x v="1"/>
    <x v="0"/>
    <x v="2"/>
    <x v="3"/>
    <x v="1"/>
    <x v="0"/>
    <x v="0"/>
    <x v="9"/>
    <n v="500"/>
    <n v="425"/>
    <n v="249.33799999999999"/>
    <n v="234.37772000000001"/>
    <n v="249.33799999999999"/>
    <n v="234.37772000000001"/>
    <n v="0"/>
    <s v="CATIVO"/>
    <n v="0"/>
    <n v="5"/>
    <n v="8"/>
    <n v="66"/>
    <n v="18.920000000000002"/>
    <n v="84.99"/>
    <n v="242.77"/>
    <n v="32.556945267352141"/>
    <n v="146.90220900317223"/>
    <n v="227.53897547400734"/>
    <n v="1419.0000000000002"/>
    <n v="4903.381372799995"/>
    <n v="2441.7708950514107"/>
    <n v="5601.7449633102533"/>
    <x v="3"/>
  </r>
  <r>
    <s v="PROJETADO"/>
    <x v="1"/>
    <x v="0"/>
    <x v="2"/>
    <x v="3"/>
    <x v="1"/>
    <x v="0"/>
    <x v="0"/>
    <x v="10"/>
    <n v="500"/>
    <n v="425"/>
    <n v="249.33799999999999"/>
    <n v="234.37772000000001"/>
    <n v="249.33799999999999"/>
    <n v="234.37772000000001"/>
    <n v="0"/>
    <s v="CATIVO"/>
    <n v="0"/>
    <n v="5"/>
    <n v="8"/>
    <n v="66"/>
    <n v="18.920000000000002"/>
    <n v="84.99"/>
    <n v="242.77"/>
    <n v="32.556945267352141"/>
    <n v="146.90220900317223"/>
    <n v="227.53897547400734"/>
    <n v="1419.0000000000002"/>
    <n v="4903.381372799995"/>
    <n v="2441.7708950514107"/>
    <n v="5601.7449633102533"/>
    <x v="3"/>
  </r>
  <r>
    <s v="Regular"/>
    <x v="1"/>
    <x v="0"/>
    <x v="2"/>
    <x v="3"/>
    <x v="1"/>
    <x v="0"/>
    <x v="1"/>
    <x v="3"/>
    <n v="504"/>
    <n v="428.4"/>
    <n v="26.707000000000001"/>
    <n v="25.104579999999999"/>
    <n v="26.707000000000001"/>
    <n v="25.104579999999999"/>
    <n v="0"/>
    <s v="CATIVO"/>
    <n v="0"/>
    <n v="4"/>
    <n v="8"/>
    <n v="65"/>
    <n v="45.73"/>
    <n v="84.99"/>
    <n v="391.54"/>
    <n v="78.286295907151739"/>
    <n v="146.90220900317223"/>
    <n v="364.92243737572466"/>
    <n v="3457.188000000001"/>
    <n v="763.60120260000099"/>
    <n v="5918.4439705806735"/>
    <n v="820.15804985047316"/>
    <x v="3"/>
  </r>
  <r>
    <s v="Regular"/>
    <x v="1"/>
    <x v="0"/>
    <x v="2"/>
    <x v="3"/>
    <x v="1"/>
    <x v="0"/>
    <x v="1"/>
    <x v="4"/>
    <n v="503"/>
    <n v="427.55"/>
    <n v="30.75"/>
    <n v="28.905000000000001"/>
    <n v="30.75"/>
    <n v="28.905000000000001"/>
    <n v="0"/>
    <s v="CATIVO"/>
    <n v="0"/>
    <n v="4"/>
    <n v="8"/>
    <n v="65"/>
    <n v="45.73"/>
    <n v="84.99"/>
    <n v="391.54"/>
    <n v="78.286295907151739"/>
    <n v="146.90220900317223"/>
    <n v="364.92243737572466"/>
    <n v="3450.3284999999992"/>
    <n v="879.19784999999945"/>
    <n v="5906.7010261945979"/>
    <n v="944.3164725690641"/>
    <x v="3"/>
  </r>
  <r>
    <s v="Regular"/>
    <x v="1"/>
    <x v="0"/>
    <x v="2"/>
    <x v="3"/>
    <x v="1"/>
    <x v="0"/>
    <x v="1"/>
    <x v="11"/>
    <n v="503"/>
    <n v="427.55"/>
    <n v="27.852"/>
    <n v="26.180879999999998"/>
    <n v="27.852"/>
    <n v="26.180879999999998"/>
    <n v="0"/>
    <s v="CATIVO"/>
    <n v="0"/>
    <n v="4"/>
    <n v="8"/>
    <n v="65"/>
    <n v="45.73"/>
    <n v="84.99"/>
    <n v="391.54"/>
    <n v="78.286295907151739"/>
    <n v="146.90220900317223"/>
    <n v="364.92243737572466"/>
    <n v="3450.3284999999992"/>
    <n v="796.338813600001"/>
    <n v="5906.7010261945979"/>
    <n v="855.32040305670319"/>
    <x v="3"/>
  </r>
  <r>
    <s v="Regular"/>
    <x v="1"/>
    <x v="0"/>
    <x v="2"/>
    <x v="3"/>
    <x v="1"/>
    <x v="0"/>
    <x v="1"/>
    <x v="5"/>
    <n v="496"/>
    <n v="421.59999999999997"/>
    <n v="25.864999999999998"/>
    <n v="24.313099999999999"/>
    <n v="25.864999999999998"/>
    <n v="24.313099999999999"/>
    <n v="0"/>
    <s v="CATIVO"/>
    <n v="0"/>
    <n v="4"/>
    <n v="8"/>
    <n v="65"/>
    <n v="45.73"/>
    <n v="84.99"/>
    <n v="391.54"/>
    <n v="78.286295907151739"/>
    <n v="146.90220900317223"/>
    <n v="364.92243737572466"/>
    <n v="3402.3120000000013"/>
    <n v="739.52690699999994"/>
    <n v="5824.5004154920916"/>
    <n v="794.30066871540998"/>
    <x v="3"/>
  </r>
  <r>
    <s v="Regular"/>
    <x v="1"/>
    <x v="0"/>
    <x v="2"/>
    <x v="3"/>
    <x v="1"/>
    <x v="0"/>
    <x v="1"/>
    <x v="6"/>
    <n v="496"/>
    <n v="421.59999999999997"/>
    <n v="28.08"/>
    <n v="26.395199999999999"/>
    <n v="28.08"/>
    <n v="26.395199999999999"/>
    <n v="0"/>
    <s v="CATIVO"/>
    <n v="0"/>
    <n v="4"/>
    <n v="8"/>
    <n v="65"/>
    <n v="45.73"/>
    <n v="84.99"/>
    <n v="391.54"/>
    <n v="78.286295907151739"/>
    <n v="146.90220900317223"/>
    <n v="364.92243737572466"/>
    <n v="3402.3120000000013"/>
    <n v="802.85774399999968"/>
    <n v="5824.5004154920916"/>
    <n v="862.32216421916496"/>
    <x v="3"/>
  </r>
  <r>
    <s v="Regular"/>
    <x v="1"/>
    <x v="0"/>
    <x v="2"/>
    <x v="3"/>
    <x v="1"/>
    <x v="0"/>
    <x v="1"/>
    <x v="7"/>
    <n v="496"/>
    <n v="421.59999999999997"/>
    <n v="24.72"/>
    <n v="23.236799999999999"/>
    <n v="24.72"/>
    <n v="23.236799999999999"/>
    <n v="0"/>
    <s v="CATIVO"/>
    <n v="0"/>
    <n v="4"/>
    <n v="8"/>
    <n v="65"/>
    <n v="45.73"/>
    <n v="84.99"/>
    <n v="391.54"/>
    <n v="78.286295907151739"/>
    <n v="146.90220900317223"/>
    <n v="364.92243737572466"/>
    <n v="3402.3120000000013"/>
    <n v="706.78929600000015"/>
    <n v="5824.5004154920916"/>
    <n v="759.13831550917985"/>
    <x v="3"/>
  </r>
  <r>
    <s v="Regular"/>
    <x v="1"/>
    <x v="0"/>
    <x v="2"/>
    <x v="3"/>
    <x v="1"/>
    <x v="0"/>
    <x v="1"/>
    <x v="8"/>
    <n v="495"/>
    <n v="420.75"/>
    <n v="28.018000000000001"/>
    <n v="26.336919999999999"/>
    <n v="28.018000000000001"/>
    <n v="26.336919999999999"/>
    <n v="0"/>
    <s v="CATIVO"/>
    <n v="0"/>
    <n v="4"/>
    <n v="8"/>
    <n v="65"/>
    <n v="45.73"/>
    <n v="84.99"/>
    <n v="391.54"/>
    <n v="78.286295907151739"/>
    <n v="146.90220900317223"/>
    <n v="364.92243737572466"/>
    <n v="3395.4524999999999"/>
    <n v="801.08505240000068"/>
    <n v="5812.757471106017"/>
    <n v="860.4181765346367"/>
    <x v="3"/>
  </r>
  <r>
    <s v="Regular"/>
    <x v="1"/>
    <x v="0"/>
    <x v="2"/>
    <x v="3"/>
    <x v="1"/>
    <x v="0"/>
    <x v="1"/>
    <x v="0"/>
    <n v="495"/>
    <n v="420.75"/>
    <n v="26.640999999999998"/>
    <n v="25.042539999999999"/>
    <n v="26.640999999999998"/>
    <n v="25.042539999999999"/>
    <n v="0"/>
    <s v="CATIVO"/>
    <n v="0"/>
    <n v="4"/>
    <n v="8"/>
    <n v="65"/>
    <n v="45.73"/>
    <n v="84.99"/>
    <n v="391.54"/>
    <n v="78.286295907151739"/>
    <n v="146.90220900317223"/>
    <n v="364.92243737572466"/>
    <n v="3395.4524999999999"/>
    <n v="761.71414379999965"/>
    <n v="5812.757471106017"/>
    <n v="818.1312242508111"/>
    <x v="3"/>
  </r>
  <r>
    <s v="Regular"/>
    <x v="1"/>
    <x v="0"/>
    <x v="2"/>
    <x v="3"/>
    <x v="1"/>
    <x v="0"/>
    <x v="1"/>
    <x v="1"/>
    <n v="495"/>
    <n v="420.75"/>
    <n v="26.555"/>
    <n v="24.9617"/>
    <n v="26.555"/>
    <n v="24.9617"/>
    <n v="0"/>
    <s v="CATIVO"/>
    <n v="0"/>
    <n v="4"/>
    <n v="8"/>
    <n v="65"/>
    <n v="45.73"/>
    <n v="84.99"/>
    <n v="391.54"/>
    <n v="78.286295907151739"/>
    <n v="146.90220900317223"/>
    <n v="364.92243737572466"/>
    <n v="3395.4524999999999"/>
    <n v="759.25524899999971"/>
    <n v="5812.757471106017"/>
    <n v="815.49020907549607"/>
    <x v="3"/>
  </r>
  <r>
    <s v="Regular"/>
    <x v="1"/>
    <x v="0"/>
    <x v="2"/>
    <x v="3"/>
    <x v="1"/>
    <x v="0"/>
    <x v="1"/>
    <x v="2"/>
    <n v="495"/>
    <n v="420.75"/>
    <n v="28.975000000000001"/>
    <n v="27.236499999999999"/>
    <n v="28.975000000000001"/>
    <n v="27.236499999999999"/>
    <n v="0"/>
    <s v="CATIVO"/>
    <n v="0"/>
    <n v="4"/>
    <n v="8"/>
    <n v="65"/>
    <n v="45.73"/>
    <n v="84.99"/>
    <n v="391.54"/>
    <n v="78.286295907151739"/>
    <n v="146.90220900317223"/>
    <n v="364.92243737572466"/>
    <n v="3395.4524999999999"/>
    <n v="828.44740500000091"/>
    <n v="5812.757471106017"/>
    <n v="889.80714772971317"/>
    <x v="3"/>
  </r>
  <r>
    <s v="Regular"/>
    <x v="1"/>
    <x v="0"/>
    <x v="2"/>
    <x v="3"/>
    <x v="1"/>
    <x v="0"/>
    <x v="1"/>
    <x v="9"/>
    <n v="495"/>
    <n v="420.75"/>
    <n v="26.323"/>
    <n v="24.74362"/>
    <n v="26.323"/>
    <n v="24.74362"/>
    <n v="0"/>
    <s v="CATIVO"/>
    <n v="0"/>
    <n v="4"/>
    <n v="8"/>
    <n v="65"/>
    <n v="45.73"/>
    <n v="84.99"/>
    <n v="391.54"/>
    <n v="78.286295907151739"/>
    <n v="146.90220900317223"/>
    <n v="364.92243737572466"/>
    <n v="3395.4524999999999"/>
    <n v="752.62195140000017"/>
    <n v="5812.757471106017"/>
    <n v="808.36560999790242"/>
    <x v="3"/>
  </r>
  <r>
    <s v="PROJETADO"/>
    <x v="1"/>
    <x v="0"/>
    <x v="2"/>
    <x v="3"/>
    <x v="1"/>
    <x v="0"/>
    <x v="1"/>
    <x v="10"/>
    <n v="495"/>
    <n v="420.75"/>
    <n v="26.323"/>
    <n v="24.74362"/>
    <n v="26.323"/>
    <n v="24.74362"/>
    <n v="0"/>
    <s v="CATIVO"/>
    <n v="0"/>
    <n v="4"/>
    <n v="8"/>
    <n v="65"/>
    <n v="45.73"/>
    <n v="84.99"/>
    <n v="391.54"/>
    <n v="78.286295907151739"/>
    <n v="146.90220900317223"/>
    <n v="364.92243737572466"/>
    <n v="3395.4524999999999"/>
    <n v="752.62195140000017"/>
    <n v="5812.757471106017"/>
    <n v="808.36560999790242"/>
    <x v="3"/>
  </r>
  <r>
    <s v="Regular"/>
    <x v="1"/>
    <x v="2"/>
    <x v="3"/>
    <x v="1"/>
    <x v="2"/>
    <x v="0"/>
    <x v="0"/>
    <x v="3"/>
    <n v="0"/>
    <n v="0"/>
    <n v="575.26099999999997"/>
    <n v="575.26099999999997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Regular"/>
    <x v="1"/>
    <x v="2"/>
    <x v="3"/>
    <x v="1"/>
    <x v="2"/>
    <x v="0"/>
    <x v="0"/>
    <x v="4"/>
    <n v="0"/>
    <n v="0"/>
    <n v="596.47500000000002"/>
    <n v="596.47500000000002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Regular"/>
    <x v="1"/>
    <x v="2"/>
    <x v="3"/>
    <x v="1"/>
    <x v="2"/>
    <x v="0"/>
    <x v="0"/>
    <x v="11"/>
    <n v="0"/>
    <n v="0"/>
    <n v="604.79100000000005"/>
    <n v="604.79100000000005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Regular"/>
    <x v="1"/>
    <x v="2"/>
    <x v="3"/>
    <x v="1"/>
    <x v="2"/>
    <x v="0"/>
    <x v="0"/>
    <x v="5"/>
    <n v="0"/>
    <n v="0"/>
    <n v="605.59"/>
    <n v="605.59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Regular"/>
    <x v="1"/>
    <x v="2"/>
    <x v="3"/>
    <x v="1"/>
    <x v="2"/>
    <x v="0"/>
    <x v="0"/>
    <x v="6"/>
    <n v="0"/>
    <n v="0"/>
    <n v="636.11300000000006"/>
    <n v="636.11300000000006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Regular"/>
    <x v="1"/>
    <x v="2"/>
    <x v="3"/>
    <x v="1"/>
    <x v="2"/>
    <x v="0"/>
    <x v="0"/>
    <x v="7"/>
    <n v="0"/>
    <n v="0"/>
    <n v="652.21600000000001"/>
    <n v="652.21600000000001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Regular"/>
    <x v="1"/>
    <x v="2"/>
    <x v="3"/>
    <x v="1"/>
    <x v="2"/>
    <x v="0"/>
    <x v="0"/>
    <x v="8"/>
    <n v="0"/>
    <n v="0"/>
    <n v="649.923"/>
    <n v="649.923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Regular"/>
    <x v="1"/>
    <x v="2"/>
    <x v="3"/>
    <x v="1"/>
    <x v="2"/>
    <x v="0"/>
    <x v="0"/>
    <x v="0"/>
    <n v="0"/>
    <n v="0"/>
    <n v="575.21400000000006"/>
    <n v="575.21400000000006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Regular"/>
    <x v="1"/>
    <x v="2"/>
    <x v="3"/>
    <x v="1"/>
    <x v="2"/>
    <x v="0"/>
    <x v="0"/>
    <x v="1"/>
    <n v="0"/>
    <n v="0"/>
    <n v="748.23299999999995"/>
    <n v="748.23299999999995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Regular"/>
    <x v="1"/>
    <x v="2"/>
    <x v="3"/>
    <x v="1"/>
    <x v="2"/>
    <x v="0"/>
    <x v="0"/>
    <x v="2"/>
    <n v="0"/>
    <n v="0"/>
    <n v="706.13199999999995"/>
    <n v="706.13199999999995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Regular"/>
    <x v="1"/>
    <x v="2"/>
    <x v="3"/>
    <x v="1"/>
    <x v="2"/>
    <x v="0"/>
    <x v="0"/>
    <x v="9"/>
    <n v="0"/>
    <n v="0"/>
    <n v="641.66600000000005"/>
    <n v="641.66600000000005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PROJETADO"/>
    <x v="1"/>
    <x v="2"/>
    <x v="3"/>
    <x v="1"/>
    <x v="2"/>
    <x v="0"/>
    <x v="0"/>
    <x v="10"/>
    <n v="0"/>
    <n v="0"/>
    <n v="641.66600000000005"/>
    <n v="641.66600000000005"/>
    <n v="0"/>
    <n v="0"/>
    <n v="0"/>
    <s v="LIVRE"/>
    <n v="0"/>
    <n v="0"/>
    <n v="17"/>
    <n v="0"/>
    <n v="0"/>
    <n v="84.99"/>
    <n v="0"/>
    <m/>
    <n v="146.90220900317223"/>
    <m/>
    <n v="0"/>
    <n v="0"/>
    <n v="0"/>
    <n v="0"/>
    <x v="4"/>
  </r>
  <r>
    <s v="Regular"/>
    <x v="1"/>
    <x v="2"/>
    <x v="3"/>
    <x v="1"/>
    <x v="2"/>
    <x v="0"/>
    <x v="2"/>
    <x v="3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Regular"/>
    <x v="1"/>
    <x v="2"/>
    <x v="3"/>
    <x v="1"/>
    <x v="2"/>
    <x v="0"/>
    <x v="2"/>
    <x v="4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Regular"/>
    <x v="1"/>
    <x v="2"/>
    <x v="3"/>
    <x v="1"/>
    <x v="2"/>
    <x v="0"/>
    <x v="2"/>
    <x v="11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Regular"/>
    <x v="1"/>
    <x v="2"/>
    <x v="3"/>
    <x v="1"/>
    <x v="2"/>
    <x v="0"/>
    <x v="2"/>
    <x v="5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Regular"/>
    <x v="1"/>
    <x v="2"/>
    <x v="3"/>
    <x v="1"/>
    <x v="2"/>
    <x v="0"/>
    <x v="2"/>
    <x v="6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Regular"/>
    <x v="1"/>
    <x v="2"/>
    <x v="3"/>
    <x v="1"/>
    <x v="2"/>
    <x v="0"/>
    <x v="2"/>
    <x v="7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Regular"/>
    <x v="1"/>
    <x v="2"/>
    <x v="3"/>
    <x v="1"/>
    <x v="2"/>
    <x v="0"/>
    <x v="2"/>
    <x v="8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Regular"/>
    <x v="1"/>
    <x v="2"/>
    <x v="3"/>
    <x v="1"/>
    <x v="2"/>
    <x v="0"/>
    <x v="2"/>
    <x v="0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Regular"/>
    <x v="1"/>
    <x v="2"/>
    <x v="3"/>
    <x v="1"/>
    <x v="2"/>
    <x v="0"/>
    <x v="2"/>
    <x v="1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Regular"/>
    <x v="1"/>
    <x v="2"/>
    <x v="3"/>
    <x v="1"/>
    <x v="2"/>
    <x v="0"/>
    <x v="2"/>
    <x v="2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Regular"/>
    <x v="1"/>
    <x v="2"/>
    <x v="3"/>
    <x v="1"/>
    <x v="2"/>
    <x v="0"/>
    <x v="2"/>
    <x v="9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PROJETADO"/>
    <x v="1"/>
    <x v="2"/>
    <x v="3"/>
    <x v="1"/>
    <x v="2"/>
    <x v="0"/>
    <x v="2"/>
    <x v="10"/>
    <n v="2100"/>
    <n v="1050"/>
    <n v="0"/>
    <n v="0"/>
    <n v="0"/>
    <n v="0"/>
    <n v="1"/>
    <s v="LIVRE"/>
    <n v="0"/>
    <n v="13"/>
    <n v="0"/>
    <n v="0"/>
    <n v="18.920000000000002"/>
    <n v="0"/>
    <n v="0"/>
    <n v="32.556945267352141"/>
    <m/>
    <m/>
    <n v="19866"/>
    <n v="0"/>
    <n v="34184.792530719751"/>
    <n v="0"/>
    <x v="4"/>
  </r>
  <r>
    <s v="Regular"/>
    <x v="1"/>
    <x v="2"/>
    <x v="3"/>
    <x v="1"/>
    <x v="2"/>
    <x v="0"/>
    <x v="1"/>
    <x v="3"/>
    <n v="0"/>
    <n v="0"/>
    <n v="20.846"/>
    <n v="11.075382657640001"/>
    <n v="0"/>
    <n v="0"/>
    <n v="0"/>
    <s v="LIVRE"/>
    <n v="0"/>
    <n v="0"/>
    <n v="15"/>
    <n v="0"/>
    <n v="0"/>
    <n v="1195.82"/>
    <n v="0"/>
    <m/>
    <n v="2051.1203590831656"/>
    <m/>
    <n v="0"/>
    <n v="11683.899630340935"/>
    <n v="0"/>
    <n v="20040.712151725646"/>
    <x v="4"/>
  </r>
  <r>
    <s v="Regular"/>
    <x v="1"/>
    <x v="2"/>
    <x v="3"/>
    <x v="1"/>
    <x v="2"/>
    <x v="0"/>
    <x v="1"/>
    <x v="4"/>
    <n v="0"/>
    <n v="0"/>
    <n v="24.186"/>
    <n v="12.952480468079999"/>
    <n v="0"/>
    <n v="0"/>
    <n v="0"/>
    <s v="LIVRE"/>
    <n v="0"/>
    <n v="0"/>
    <n v="15"/>
    <n v="0"/>
    <n v="0"/>
    <n v="1195.82"/>
    <n v="0"/>
    <m/>
    <n v="2051.1203590831656"/>
    <m/>
    <n v="0"/>
    <n v="13433.267326660574"/>
    <n v="0"/>
    <n v="23041.300616079505"/>
    <x v="4"/>
  </r>
  <r>
    <s v="Regular"/>
    <x v="1"/>
    <x v="2"/>
    <x v="3"/>
    <x v="1"/>
    <x v="2"/>
    <x v="0"/>
    <x v="1"/>
    <x v="11"/>
    <n v="0"/>
    <n v="0"/>
    <n v="26.704000000000001"/>
    <n v="14.30096082112"/>
    <n v="0"/>
    <n v="0"/>
    <n v="0"/>
    <s v="LIVRE"/>
    <n v="0"/>
    <n v="0"/>
    <n v="15"/>
    <n v="0"/>
    <n v="0"/>
    <n v="1195.82"/>
    <n v="0"/>
    <m/>
    <n v="2051.1203590831656"/>
    <m/>
    <n v="0"/>
    <n v="14831.802310888281"/>
    <n v="0"/>
    <n v="25440.126174306919"/>
    <x v="4"/>
  </r>
  <r>
    <s v="Regular"/>
    <x v="1"/>
    <x v="2"/>
    <x v="3"/>
    <x v="1"/>
    <x v="2"/>
    <x v="0"/>
    <x v="1"/>
    <x v="5"/>
    <n v="0"/>
    <n v="0"/>
    <n v="23.411000000000001"/>
    <n v="12.53743985108"/>
    <n v="0"/>
    <n v="0"/>
    <n v="0"/>
    <s v="LIVRE"/>
    <n v="0"/>
    <n v="0"/>
    <n v="15"/>
    <n v="0"/>
    <n v="0"/>
    <n v="1195.82"/>
    <n v="0"/>
    <m/>
    <n v="2051.1203590831656"/>
    <m/>
    <n v="0"/>
    <n v="13002.820697281515"/>
    <n v="0"/>
    <n v="22302.980597165191"/>
    <x v="4"/>
  </r>
  <r>
    <s v="Regular"/>
    <x v="1"/>
    <x v="2"/>
    <x v="3"/>
    <x v="1"/>
    <x v="2"/>
    <x v="0"/>
    <x v="1"/>
    <x v="6"/>
    <n v="0"/>
    <n v="0"/>
    <n v="22.696999999999999"/>
    <n v="12.15506694716"/>
    <n v="0"/>
    <n v="0"/>
    <n v="0"/>
    <s v="LIVRE"/>
    <n v="0"/>
    <n v="0"/>
    <n v="15"/>
    <n v="0"/>
    <n v="0"/>
    <n v="1195.82"/>
    <n v="0"/>
    <m/>
    <n v="2051.1203590831656"/>
    <m/>
    <n v="0"/>
    <n v="12606.254383247127"/>
    <n v="0"/>
    <n v="21622.773508771872"/>
    <x v="4"/>
  </r>
  <r>
    <s v="Regular"/>
    <x v="1"/>
    <x v="2"/>
    <x v="3"/>
    <x v="1"/>
    <x v="2"/>
    <x v="0"/>
    <x v="1"/>
    <x v="7"/>
    <n v="0"/>
    <n v="0"/>
    <n v="22.974"/>
    <n v="12.30341049672"/>
    <n v="0"/>
    <n v="0"/>
    <n v="0"/>
    <s v="LIVRE"/>
    <n v="0"/>
    <n v="0"/>
    <n v="15"/>
    <n v="0"/>
    <n v="0"/>
    <n v="1195.82"/>
    <n v="0"/>
    <m/>
    <n v="2051.1203590831656"/>
    <m/>
    <n v="0"/>
    <n v="12760.104339812289"/>
    <n v="0"/>
    <n v="21886.663373596733"/>
    <x v="4"/>
  </r>
  <r>
    <s v="Regular"/>
    <x v="1"/>
    <x v="2"/>
    <x v="3"/>
    <x v="1"/>
    <x v="2"/>
    <x v="0"/>
    <x v="1"/>
    <x v="8"/>
    <n v="0"/>
    <n v="0"/>
    <n v="22.655999999999999"/>
    <n v="12.133109959680001"/>
    <n v="0"/>
    <n v="0"/>
    <n v="0"/>
    <s v="LIVRE"/>
    <n v="0"/>
    <n v="0"/>
    <n v="15"/>
    <n v="0"/>
    <n v="0"/>
    <n v="1195.82"/>
    <n v="0"/>
    <m/>
    <n v="2051.1203590831656"/>
    <m/>
    <n v="0"/>
    <n v="12583.48236801546"/>
    <n v="0"/>
    <n v="21583.713998093823"/>
    <x v="4"/>
  </r>
  <r>
    <s v="Regular"/>
    <x v="1"/>
    <x v="2"/>
    <x v="3"/>
    <x v="1"/>
    <x v="2"/>
    <x v="0"/>
    <x v="1"/>
    <x v="0"/>
    <n v="0"/>
    <n v="0"/>
    <n v="19.187999999999999"/>
    <n v="10.27587014064"/>
    <n v="0"/>
    <n v="0"/>
    <n v="0"/>
    <s v="LIVRE"/>
    <n v="0"/>
    <n v="0"/>
    <n v="15"/>
    <n v="0"/>
    <n v="0"/>
    <n v="1195.82"/>
    <n v="0"/>
    <m/>
    <n v="2051.1203590831656"/>
    <m/>
    <n v="0"/>
    <n v="10657.303128419873"/>
    <n v="0"/>
    <n v="18279.850997326281"/>
    <x v="4"/>
  </r>
  <r>
    <s v="Regular"/>
    <x v="1"/>
    <x v="2"/>
    <x v="3"/>
    <x v="1"/>
    <x v="2"/>
    <x v="0"/>
    <x v="1"/>
    <x v="1"/>
    <n v="0"/>
    <n v="0"/>
    <n v="28.712"/>
    <n v="15.376317671360001"/>
    <n v="0"/>
    <n v="0"/>
    <n v="0"/>
    <s v="LIVRE"/>
    <n v="0"/>
    <n v="0"/>
    <n v="15"/>
    <n v="0"/>
    <n v="0"/>
    <n v="1195.82"/>
    <n v="0"/>
    <m/>
    <n v="2051.1203590831656"/>
    <m/>
    <n v="0"/>
    <n v="15947.075642234282"/>
    <n v="0"/>
    <n v="27353.089526539101"/>
    <x v="4"/>
  </r>
  <r>
    <s v="Regular"/>
    <x v="1"/>
    <x v="2"/>
    <x v="3"/>
    <x v="1"/>
    <x v="2"/>
    <x v="0"/>
    <x v="1"/>
    <x v="2"/>
    <n v="0"/>
    <n v="0"/>
    <n v="31.527999999999999"/>
    <n v="16.884387835839998"/>
    <n v="0"/>
    <n v="0"/>
    <n v="0"/>
    <s v="LIVRE"/>
    <n v="0"/>
    <n v="0"/>
    <n v="15"/>
    <n v="0"/>
    <n v="0"/>
    <n v="1195.82"/>
    <n v="0"/>
    <m/>
    <n v="2051.1203590831656"/>
    <m/>
    <n v="0"/>
    <n v="17511.124298145809"/>
    <n v="0"/>
    <n v="30035.81104042647"/>
    <x v="4"/>
  </r>
  <r>
    <s v="Regular"/>
    <x v="1"/>
    <x v="2"/>
    <x v="3"/>
    <x v="1"/>
    <x v="2"/>
    <x v="0"/>
    <x v="1"/>
    <x v="9"/>
    <n v="0"/>
    <n v="0"/>
    <n v="29.128"/>
    <n v="15.599100763839999"/>
    <n v="0"/>
    <n v="0"/>
    <n v="0"/>
    <s v="LIVRE"/>
    <n v="0"/>
    <n v="0"/>
    <n v="15"/>
    <n v="0"/>
    <n v="0"/>
    <n v="1195.82"/>
    <n v="0"/>
    <m/>
    <n v="2051.1203590831656"/>
    <m/>
    <n v="0"/>
    <n v="16178.128284584851"/>
    <n v="0"/>
    <n v="27749.400659272465"/>
    <x v="4"/>
  </r>
  <r>
    <s v="PROJETADO"/>
    <x v="1"/>
    <x v="2"/>
    <x v="3"/>
    <x v="1"/>
    <x v="2"/>
    <x v="0"/>
    <x v="1"/>
    <x v="10"/>
    <n v="0"/>
    <n v="0"/>
    <n v="29.128"/>
    <n v="15.599100763839999"/>
    <n v="0"/>
    <n v="0"/>
    <n v="0"/>
    <s v="LIVRE"/>
    <n v="0"/>
    <n v="0"/>
    <n v="15"/>
    <n v="0"/>
    <n v="0"/>
    <n v="1195.82"/>
    <n v="0"/>
    <m/>
    <n v="2051.1203590831656"/>
    <m/>
    <n v="0"/>
    <n v="16178.128284584851"/>
    <n v="0"/>
    <n v="27749.400659272465"/>
    <x v="4"/>
  </r>
  <r>
    <s v="Regular"/>
    <x v="1"/>
    <x v="2"/>
    <x v="0"/>
    <x v="0"/>
    <x v="0"/>
    <x v="0"/>
    <x v="0"/>
    <x v="3"/>
    <n v="0"/>
    <n v="0"/>
    <n v="10.618"/>
    <n v="2.1236000000000002"/>
    <n v="10.618"/>
    <n v="2.1236000000000002"/>
    <n v="0"/>
    <s v="CATIVO"/>
    <n v="0"/>
    <n v="0"/>
    <n v="17"/>
    <n v="66"/>
    <n v="0"/>
    <n v="84.99"/>
    <n v="242.77"/>
    <m/>
    <n v="146.90220900317223"/>
    <n v="227.53897547400734"/>
    <n v="0"/>
    <n v="2784.1245440000002"/>
    <n v="0"/>
    <n v="3180.6531974229547"/>
    <x v="0"/>
  </r>
  <r>
    <s v="Regular"/>
    <x v="1"/>
    <x v="2"/>
    <x v="0"/>
    <x v="0"/>
    <x v="0"/>
    <x v="0"/>
    <x v="0"/>
    <x v="4"/>
    <n v="0"/>
    <n v="0"/>
    <n v="1.8220000000000001"/>
    <n v="0.3644"/>
    <n v="1.8220000000000001"/>
    <n v="0.3644"/>
    <n v="0"/>
    <s v="CATIVO"/>
    <n v="0"/>
    <n v="0"/>
    <n v="17"/>
    <n v="66"/>
    <n v="0"/>
    <n v="84.99"/>
    <n v="242.77"/>
    <m/>
    <n v="146.90220900317223"/>
    <n v="227.53897547400734"/>
    <n v="0"/>
    <n v="477.742976"/>
    <n v="0"/>
    <n v="545.78547049393694"/>
    <x v="0"/>
  </r>
  <r>
    <s v="Regular"/>
    <x v="1"/>
    <x v="2"/>
    <x v="0"/>
    <x v="0"/>
    <x v="0"/>
    <x v="0"/>
    <x v="0"/>
    <x v="11"/>
    <n v="0"/>
    <n v="0"/>
    <n v="10.122999999999999"/>
    <n v="2.0246"/>
    <n v="10.122999999999999"/>
    <n v="2.0246"/>
    <n v="0"/>
    <s v="CATIVO"/>
    <n v="0"/>
    <n v="0"/>
    <n v="17"/>
    <n v="66"/>
    <n v="0"/>
    <n v="84.99"/>
    <n v="242.77"/>
    <m/>
    <n v="146.90220900317223"/>
    <n v="227.53897547400734"/>
    <n v="0"/>
    <n v="2654.331584"/>
    <n v="0"/>
    <n v="3032.374488369991"/>
    <x v="0"/>
  </r>
  <r>
    <s v="Regular"/>
    <x v="1"/>
    <x v="2"/>
    <x v="0"/>
    <x v="0"/>
    <x v="0"/>
    <x v="0"/>
    <x v="0"/>
    <x v="5"/>
    <n v="0"/>
    <n v="0"/>
    <n v="2.15"/>
    <n v="0.43"/>
    <n v="2.15"/>
    <n v="0.43"/>
    <n v="0"/>
    <s v="CATIVO"/>
    <n v="0"/>
    <n v="0"/>
    <n v="17"/>
    <n v="66"/>
    <n v="0"/>
    <n v="84.99"/>
    <n v="242.77"/>
    <m/>
    <n v="146.90220900317223"/>
    <n v="227.53897547400734"/>
    <n v="0"/>
    <n v="563.74720000000002"/>
    <n v="0"/>
    <n v="644.03883730074881"/>
    <x v="0"/>
  </r>
  <r>
    <s v="Regular"/>
    <x v="1"/>
    <x v="2"/>
    <x v="0"/>
    <x v="0"/>
    <x v="0"/>
    <x v="0"/>
    <x v="0"/>
    <x v="6"/>
    <n v="0"/>
    <n v="0"/>
    <n v="31.052"/>
    <n v="6.2103999999999999"/>
    <n v="31.052"/>
    <n v="6.2103999999999999"/>
    <n v="0"/>
    <s v="CATIVO"/>
    <n v="0"/>
    <n v="0"/>
    <n v="17"/>
    <n v="66"/>
    <n v="0"/>
    <n v="84.99"/>
    <n v="242.77"/>
    <m/>
    <n v="146.90220900317223"/>
    <n v="227.53897547400734"/>
    <n v="0"/>
    <n v="8142.0828160000001"/>
    <n v="0"/>
    <n v="9301.7181283083046"/>
    <x v="0"/>
  </r>
  <r>
    <s v="Regular"/>
    <x v="1"/>
    <x v="2"/>
    <x v="0"/>
    <x v="0"/>
    <x v="0"/>
    <x v="0"/>
    <x v="0"/>
    <x v="7"/>
    <n v="0"/>
    <n v="0"/>
    <n v="147.99100000000001"/>
    <n v="29.598199999999999"/>
    <n v="147.99100000000001"/>
    <n v="29.598199999999999"/>
    <n v="0"/>
    <s v="CATIVO"/>
    <n v="0"/>
    <n v="0"/>
    <n v="17"/>
    <n v="66"/>
    <n v="0"/>
    <n v="84.99"/>
    <n v="242.77"/>
    <m/>
    <n v="146.90220900317223"/>
    <n v="227.53897547400734"/>
    <n v="0"/>
    <n v="38804.424128000006"/>
    <n v="0"/>
    <n v="44331.140265569833"/>
    <x v="0"/>
  </r>
  <r>
    <s v="Regular"/>
    <x v="1"/>
    <x v="2"/>
    <x v="0"/>
    <x v="0"/>
    <x v="0"/>
    <x v="0"/>
    <x v="0"/>
    <x v="8"/>
    <n v="0"/>
    <n v="0"/>
    <n v="181.78399999999999"/>
    <n v="36.3568"/>
    <n v="181.78399999999999"/>
    <n v="36.3568"/>
    <n v="0"/>
    <s v="CATIVO"/>
    <n v="0"/>
    <n v="0"/>
    <n v="17"/>
    <n v="66"/>
    <n v="0"/>
    <n v="84.99"/>
    <n v="242.77"/>
    <m/>
    <n v="146.90220900317223"/>
    <n v="227.53897547400734"/>
    <n v="0"/>
    <n v="47665.219072000007"/>
    <n v="0"/>
    <n v="54453.933023199686"/>
    <x v="0"/>
  </r>
  <r>
    <s v="Regular"/>
    <x v="1"/>
    <x v="2"/>
    <x v="0"/>
    <x v="0"/>
    <x v="0"/>
    <x v="0"/>
    <x v="0"/>
    <x v="0"/>
    <n v="0"/>
    <n v="0"/>
    <n v="131.59800000000001"/>
    <n v="26.319600000000001"/>
    <n v="131.59800000000001"/>
    <n v="26.319600000000001"/>
    <n v="0"/>
    <s v="CATIVO"/>
    <n v="0"/>
    <n v="0"/>
    <n v="17"/>
    <n v="66"/>
    <n v="0"/>
    <n v="84.99"/>
    <n v="242.77"/>
    <m/>
    <n v="146.90220900317223"/>
    <n v="227.53897547400734"/>
    <n v="0"/>
    <n v="34506.048384000002"/>
    <n v="0"/>
    <n v="39420.568795862302"/>
    <x v="0"/>
  </r>
  <r>
    <s v="Regular"/>
    <x v="1"/>
    <x v="2"/>
    <x v="0"/>
    <x v="0"/>
    <x v="0"/>
    <x v="0"/>
    <x v="0"/>
    <x v="1"/>
    <n v="0"/>
    <n v="0"/>
    <n v="146.72200000000001"/>
    <n v="29.3444"/>
    <n v="146.72200000000001"/>
    <n v="29.3444"/>
    <n v="0"/>
    <s v="CATIVO"/>
    <n v="0"/>
    <n v="0"/>
    <n v="17"/>
    <n v="66"/>
    <n v="0"/>
    <n v="84.99"/>
    <n v="242.77"/>
    <m/>
    <n v="146.90220900317223"/>
    <n v="227.53897547400734"/>
    <n v="0"/>
    <n v="38471.682176000002"/>
    <n v="0"/>
    <n v="43951.007575088595"/>
    <x v="0"/>
  </r>
  <r>
    <s v="Regular"/>
    <x v="1"/>
    <x v="2"/>
    <x v="0"/>
    <x v="0"/>
    <x v="0"/>
    <x v="0"/>
    <x v="0"/>
    <x v="2"/>
    <n v="0"/>
    <n v="0"/>
    <n v="147.726"/>
    <n v="29.545200000000001"/>
    <n v="147.726"/>
    <n v="29.545200000000001"/>
    <n v="0"/>
    <s v="CATIVO"/>
    <n v="0"/>
    <n v="0"/>
    <n v="17"/>
    <n v="66"/>
    <n v="0"/>
    <n v="84.99"/>
    <n v="242.77"/>
    <m/>
    <n v="146.90220900317223"/>
    <n v="227.53897547400734"/>
    <n v="0"/>
    <n v="38734.939008000001"/>
    <n v="0"/>
    <n v="44251.758734460673"/>
    <x v="0"/>
  </r>
  <r>
    <s v="Regular"/>
    <x v="1"/>
    <x v="2"/>
    <x v="0"/>
    <x v="0"/>
    <x v="0"/>
    <x v="0"/>
    <x v="0"/>
    <x v="9"/>
    <n v="0"/>
    <n v="0"/>
    <n v="132.041"/>
    <n v="26.408200000000001"/>
    <n v="132.041"/>
    <n v="26.408200000000001"/>
    <n v="0"/>
    <s v="CATIVO"/>
    <n v="0"/>
    <n v="0"/>
    <n v="17"/>
    <n v="66"/>
    <n v="0"/>
    <n v="84.99"/>
    <n v="242.77"/>
    <m/>
    <n v="146.90220900317223"/>
    <n v="227.53897547400734"/>
    <n v="0"/>
    <n v="34622.206528000002"/>
    <n v="0"/>
    <n v="39553.270751641016"/>
    <x v="0"/>
  </r>
  <r>
    <s v="PROJETADO"/>
    <x v="1"/>
    <x v="2"/>
    <x v="0"/>
    <x v="0"/>
    <x v="0"/>
    <x v="0"/>
    <x v="0"/>
    <x v="10"/>
    <n v="0"/>
    <n v="0"/>
    <n v="132.041"/>
    <n v="26.408200000000001"/>
    <n v="132.041"/>
    <n v="26.408200000000001"/>
    <n v="0"/>
    <s v="CATIVO"/>
    <n v="0"/>
    <n v="0"/>
    <n v="17"/>
    <n v="66"/>
    <n v="0"/>
    <n v="84.99"/>
    <n v="242.77"/>
    <m/>
    <n v="146.90220900317223"/>
    <n v="227.53897547400734"/>
    <n v="0"/>
    <n v="34622.206528000002"/>
    <n v="0"/>
    <n v="39553.270751641016"/>
    <x v="0"/>
  </r>
  <r>
    <s v="Regular"/>
    <x v="1"/>
    <x v="2"/>
    <x v="0"/>
    <x v="0"/>
    <x v="1"/>
    <x v="0"/>
    <x v="0"/>
    <x v="3"/>
    <n v="0"/>
    <n v="0"/>
    <n v="4.008"/>
    <n v="3.84768"/>
    <n v="4.008"/>
    <n v="3.84768"/>
    <n v="0"/>
    <s v="CATIVO"/>
    <n v="0"/>
    <n v="0"/>
    <n v="17"/>
    <n v="66"/>
    <n v="0"/>
    <n v="84.99"/>
    <n v="242.77"/>
    <m/>
    <n v="146.90220900317223"/>
    <n v="227.53897547400734"/>
    <n v="0"/>
    <n v="52.546483200000011"/>
    <n v="0"/>
    <n v="60.030410695381434"/>
    <x v="1"/>
  </r>
  <r>
    <s v="Regular"/>
    <x v="1"/>
    <x v="2"/>
    <x v="0"/>
    <x v="0"/>
    <x v="1"/>
    <x v="0"/>
    <x v="0"/>
    <x v="4"/>
    <n v="0"/>
    <n v="0"/>
    <n v="3.5409999999999999"/>
    <n v="3.3993600000000002"/>
    <n v="3.5409999999999999"/>
    <n v="3.3993600000000002"/>
    <n v="0"/>
    <s v="CATIVO"/>
    <n v="0"/>
    <n v="0"/>
    <n v="17"/>
    <n v="66"/>
    <n v="0"/>
    <n v="84.99"/>
    <n v="242.77"/>
    <m/>
    <n v="146.90220900317223"/>
    <n v="227.53897547400734"/>
    <n v="0"/>
    <n v="46.423926399999928"/>
    <n v="0"/>
    <n v="53.03584936934763"/>
    <x v="1"/>
  </r>
  <r>
    <s v="Regular"/>
    <x v="1"/>
    <x v="2"/>
    <x v="0"/>
    <x v="0"/>
    <x v="1"/>
    <x v="0"/>
    <x v="0"/>
    <x v="11"/>
    <n v="0"/>
    <n v="0"/>
    <n v="5.49"/>
    <n v="5.2704000000000004"/>
    <n v="5.49"/>
    <n v="5.2704000000000004"/>
    <n v="0"/>
    <s v="CATIVO"/>
    <n v="0"/>
    <n v="0"/>
    <n v="17"/>
    <n v="66"/>
    <n v="0"/>
    <n v="84.99"/>
    <n v="242.77"/>
    <m/>
    <n v="146.90220900317223"/>
    <n v="227.53897547400734"/>
    <n v="0"/>
    <n v="71.976095999999927"/>
    <n v="0"/>
    <n v="82.227284111188567"/>
    <x v="1"/>
  </r>
  <r>
    <s v="Regular"/>
    <x v="1"/>
    <x v="2"/>
    <x v="0"/>
    <x v="0"/>
    <x v="1"/>
    <x v="0"/>
    <x v="0"/>
    <x v="5"/>
    <n v="0"/>
    <n v="0"/>
    <n v="2.6269999999999998"/>
    <n v="2.5219200000000002"/>
    <n v="2.6269999999999998"/>
    <n v="2.5219200000000002"/>
    <n v="0"/>
    <s v="CATIVO"/>
    <n v="0"/>
    <n v="0"/>
    <n v="17"/>
    <n v="66"/>
    <n v="0"/>
    <n v="84.99"/>
    <n v="242.77"/>
    <m/>
    <n v="146.90220900317223"/>
    <n v="227.53897547400734"/>
    <n v="0"/>
    <n v="34.441020799999876"/>
    <n v="0"/>
    <n v="39.346279664861889"/>
    <x v="1"/>
  </r>
  <r>
    <s v="Regular"/>
    <x v="1"/>
    <x v="2"/>
    <x v="0"/>
    <x v="0"/>
    <x v="1"/>
    <x v="0"/>
    <x v="0"/>
    <x v="6"/>
    <n v="0"/>
    <n v="0"/>
    <n v="8.43"/>
    <n v="8.0928000000000004"/>
    <n v="8.43"/>
    <n v="8.0928000000000004"/>
    <n v="0"/>
    <s v="CATIVO"/>
    <n v="0"/>
    <n v="0"/>
    <n v="17"/>
    <n v="66"/>
    <n v="0"/>
    <n v="84.99"/>
    <n v="242.77"/>
    <m/>
    <n v="146.90220900317223"/>
    <n v="227.53897547400734"/>
    <n v="0"/>
    <n v="110.52067199999976"/>
    <n v="0"/>
    <n v="126.26156740570468"/>
    <x v="1"/>
  </r>
  <r>
    <s v="Regular"/>
    <x v="1"/>
    <x v="2"/>
    <x v="0"/>
    <x v="0"/>
    <x v="1"/>
    <x v="0"/>
    <x v="0"/>
    <x v="7"/>
    <n v="0"/>
    <n v="0"/>
    <n v="96.036000000000001"/>
    <n v="92.194559999999996"/>
    <n v="96.036000000000001"/>
    <n v="92.194559999999996"/>
    <n v="0"/>
    <s v="CATIVO"/>
    <n v="0"/>
    <n v="0"/>
    <n v="17"/>
    <n v="66"/>
    <n v="0"/>
    <n v="84.99"/>
    <n v="242.77"/>
    <m/>
    <n v="146.90220900317223"/>
    <n v="227.53897547400734"/>
    <n v="0"/>
    <n v="1259.070374400002"/>
    <n v="0"/>
    <n v="1438.3933436980187"/>
    <x v="1"/>
  </r>
  <r>
    <s v="Regular"/>
    <x v="1"/>
    <x v="2"/>
    <x v="0"/>
    <x v="0"/>
    <x v="1"/>
    <x v="0"/>
    <x v="0"/>
    <x v="8"/>
    <n v="0"/>
    <n v="0"/>
    <n v="114.723"/>
    <n v="110.13408"/>
    <n v="114.723"/>
    <n v="110.13408"/>
    <n v="0"/>
    <s v="CATIVO"/>
    <n v="0"/>
    <n v="0"/>
    <n v="17"/>
    <n v="66"/>
    <n v="0"/>
    <n v="84.99"/>
    <n v="242.77"/>
    <m/>
    <n v="146.90220900317223"/>
    <n v="227.53897547400734"/>
    <n v="0"/>
    <n v="1504.0644192000004"/>
    <n v="0"/>
    <n v="1718.2806402710194"/>
    <x v="1"/>
  </r>
  <r>
    <s v="Regular"/>
    <x v="1"/>
    <x v="2"/>
    <x v="0"/>
    <x v="0"/>
    <x v="1"/>
    <x v="0"/>
    <x v="0"/>
    <x v="0"/>
    <n v="0"/>
    <n v="0"/>
    <n v="99.3"/>
    <n v="95.328000000000003"/>
    <n v="99.3"/>
    <n v="95.328000000000003"/>
    <n v="0"/>
    <s v="CATIVO"/>
    <n v="0"/>
    <n v="0"/>
    <n v="17"/>
    <n v="66"/>
    <n v="0"/>
    <n v="84.99"/>
    <n v="242.77"/>
    <m/>
    <n v="146.90220900317223"/>
    <n v="227.53897547400734"/>
    <n v="0"/>
    <n v="1301.862719999998"/>
    <n v="0"/>
    <n v="1487.2803847433552"/>
    <x v="1"/>
  </r>
  <r>
    <s v="Regular"/>
    <x v="1"/>
    <x v="2"/>
    <x v="0"/>
    <x v="0"/>
    <x v="1"/>
    <x v="0"/>
    <x v="0"/>
    <x v="1"/>
    <n v="0"/>
    <n v="0"/>
    <n v="126.755"/>
    <n v="121.6848"/>
    <n v="126.755"/>
    <n v="121.6848"/>
    <n v="0"/>
    <s v="CATIVO"/>
    <n v="0"/>
    <n v="0"/>
    <n v="17"/>
    <n v="66"/>
    <n v="0"/>
    <n v="84.99"/>
    <n v="242.77"/>
    <m/>
    <n v="146.90220900317223"/>
    <n v="227.53897547400734"/>
    <n v="0"/>
    <n v="1661.8087519999999"/>
    <n v="0"/>
    <n v="1898.4916935361957"/>
    <x v="1"/>
  </r>
  <r>
    <s v="Regular"/>
    <x v="1"/>
    <x v="2"/>
    <x v="0"/>
    <x v="0"/>
    <x v="1"/>
    <x v="0"/>
    <x v="0"/>
    <x v="2"/>
    <n v="0"/>
    <n v="0"/>
    <n v="106.91200000000001"/>
    <n v="102.63552"/>
    <n v="106.91200000000001"/>
    <n v="102.63552"/>
    <n v="0"/>
    <s v="CATIVO"/>
    <n v="0"/>
    <n v="0"/>
    <n v="17"/>
    <n v="66"/>
    <n v="0"/>
    <n v="84.99"/>
    <n v="242.77"/>
    <m/>
    <n v="146.90220900317223"/>
    <n v="227.53897547400734"/>
    <n v="0"/>
    <n v="1401.6590848000021"/>
    <n v="0"/>
    <n v="1601.2902365929713"/>
    <x v="1"/>
  </r>
  <r>
    <s v="Regular"/>
    <x v="1"/>
    <x v="2"/>
    <x v="0"/>
    <x v="0"/>
    <x v="1"/>
    <x v="0"/>
    <x v="0"/>
    <x v="9"/>
    <n v="0"/>
    <n v="0"/>
    <n v="116.173"/>
    <n v="111.52607999999999"/>
    <n v="116.173"/>
    <n v="111.52607999999999"/>
    <n v="0"/>
    <s v="CATIVO"/>
    <n v="0"/>
    <n v="0"/>
    <n v="17"/>
    <n v="66"/>
    <n v="0"/>
    <n v="84.99"/>
    <n v="242.77"/>
    <m/>
    <n v="146.90220900317223"/>
    <n v="227.53897547400734"/>
    <n v="0"/>
    <n v="1523.0744992000027"/>
    <n v="0"/>
    <n v="1739.9982289706986"/>
    <x v="1"/>
  </r>
  <r>
    <s v="PROJETADO"/>
    <x v="1"/>
    <x v="2"/>
    <x v="0"/>
    <x v="0"/>
    <x v="1"/>
    <x v="0"/>
    <x v="0"/>
    <x v="10"/>
    <n v="0"/>
    <n v="0"/>
    <n v="116.173"/>
    <n v="111.52607999999999"/>
    <n v="116.173"/>
    <n v="111.52607999999999"/>
    <n v="0"/>
    <s v="CATIVO"/>
    <n v="0"/>
    <n v="0"/>
    <n v="17"/>
    <n v="66"/>
    <n v="0"/>
    <n v="84.99"/>
    <n v="242.77"/>
    <m/>
    <n v="146.90220900317223"/>
    <n v="227.53897547400734"/>
    <n v="0"/>
    <n v="1523.0744992000027"/>
    <n v="0"/>
    <n v="1739.9982289706986"/>
    <x v="1"/>
  </r>
  <r>
    <s v="Regular"/>
    <x v="1"/>
    <x v="2"/>
    <x v="0"/>
    <x v="0"/>
    <x v="1"/>
    <x v="0"/>
    <x v="2"/>
    <x v="3"/>
    <n v="508"/>
    <n v="487.68"/>
    <n v="0"/>
    <n v="0"/>
    <n v="0"/>
    <n v="0"/>
    <n v="14"/>
    <s v="CATIVO"/>
    <n v="0"/>
    <n v="13"/>
    <n v="0"/>
    <n v="0"/>
    <n v="18.920000000000002"/>
    <n v="0"/>
    <n v="0"/>
    <n v="32.556945267352141"/>
    <m/>
    <m/>
    <n v="384.45439999999991"/>
    <n v="0"/>
    <n v="661.55712783259526"/>
    <n v="0"/>
    <x v="1"/>
  </r>
  <r>
    <s v="Regular"/>
    <x v="1"/>
    <x v="2"/>
    <x v="0"/>
    <x v="0"/>
    <x v="1"/>
    <x v="0"/>
    <x v="2"/>
    <x v="4"/>
    <n v="337"/>
    <n v="323.52"/>
    <n v="0"/>
    <n v="0"/>
    <n v="0"/>
    <n v="0"/>
    <n v="14"/>
    <s v="CATIVO"/>
    <n v="0"/>
    <n v="13"/>
    <n v="0"/>
    <n v="0"/>
    <n v="18.920000000000002"/>
    <n v="0"/>
    <n v="0"/>
    <n v="32.556945267352141"/>
    <m/>
    <m/>
    <n v="255.04160000000036"/>
    <n v="0"/>
    <n v="438.86762220390744"/>
    <n v="0"/>
    <x v="1"/>
  </r>
  <r>
    <s v="Regular"/>
    <x v="1"/>
    <x v="2"/>
    <x v="0"/>
    <x v="0"/>
    <x v="1"/>
    <x v="0"/>
    <x v="2"/>
    <x v="11"/>
    <n v="440"/>
    <n v="422.4"/>
    <n v="0"/>
    <n v="0"/>
    <n v="0"/>
    <n v="0"/>
    <n v="8"/>
    <s v="CATIVO"/>
    <n v="0"/>
    <n v="13"/>
    <n v="0"/>
    <n v="0"/>
    <n v="18.920000000000002"/>
    <n v="0"/>
    <n v="0"/>
    <n v="32.556945267352141"/>
    <m/>
    <m/>
    <n v="332.99200000000047"/>
    <n v="0"/>
    <n v="573.00223670539845"/>
    <n v="0"/>
    <x v="1"/>
  </r>
  <r>
    <s v="Regular"/>
    <x v="1"/>
    <x v="2"/>
    <x v="0"/>
    <x v="0"/>
    <x v="1"/>
    <x v="0"/>
    <x v="2"/>
    <x v="5"/>
    <n v="386"/>
    <n v="370.56"/>
    <n v="0"/>
    <n v="0"/>
    <n v="0"/>
    <n v="0"/>
    <n v="12"/>
    <s v="CATIVO"/>
    <n v="0"/>
    <n v="13"/>
    <n v="0"/>
    <n v="0"/>
    <n v="18.920000000000002"/>
    <n v="0"/>
    <n v="0"/>
    <n v="32.556945267352141"/>
    <m/>
    <m/>
    <n v="292.12479999999999"/>
    <n v="0"/>
    <n v="502.67923492791698"/>
    <n v="0"/>
    <x v="1"/>
  </r>
  <r>
    <s v="Regular"/>
    <x v="1"/>
    <x v="2"/>
    <x v="0"/>
    <x v="0"/>
    <x v="1"/>
    <x v="0"/>
    <x v="2"/>
    <x v="6"/>
    <n v="1604"/>
    <n v="1539.84"/>
    <n v="0"/>
    <n v="0"/>
    <n v="0"/>
    <n v="0"/>
    <n v="12"/>
    <s v="CATIVO"/>
    <n v="0"/>
    <n v="13"/>
    <n v="0"/>
    <n v="0"/>
    <n v="18.920000000000002"/>
    <n v="0"/>
    <n v="0"/>
    <n v="32.556945267352141"/>
    <m/>
    <m/>
    <n v="1213.9072000000017"/>
    <n v="0"/>
    <n v="2088.8536083533158"/>
    <n v="0"/>
    <x v="1"/>
  </r>
  <r>
    <s v="Regular"/>
    <x v="1"/>
    <x v="2"/>
    <x v="0"/>
    <x v="0"/>
    <x v="1"/>
    <x v="0"/>
    <x v="2"/>
    <x v="7"/>
    <n v="1482"/>
    <n v="1422.72"/>
    <n v="0"/>
    <n v="0"/>
    <n v="0"/>
    <n v="0"/>
    <n v="11"/>
    <s v="CATIVO"/>
    <n v="0"/>
    <n v="13"/>
    <n v="0"/>
    <n v="0"/>
    <n v="18.920000000000002"/>
    <n v="0"/>
    <n v="0"/>
    <n v="32.556945267352141"/>
    <m/>
    <m/>
    <n v="1121.5775999999996"/>
    <n v="0"/>
    <n v="1929.975715448634"/>
    <n v="0"/>
    <x v="1"/>
  </r>
  <r>
    <s v="Regular"/>
    <x v="1"/>
    <x v="2"/>
    <x v="0"/>
    <x v="0"/>
    <x v="1"/>
    <x v="0"/>
    <x v="2"/>
    <x v="8"/>
    <n v="1468"/>
    <n v="1409.28"/>
    <n v="0"/>
    <n v="0"/>
    <n v="0"/>
    <n v="0"/>
    <n v="11"/>
    <s v="CATIVO"/>
    <n v="0"/>
    <n v="13"/>
    <n v="0"/>
    <n v="0"/>
    <n v="18.920000000000002"/>
    <n v="0"/>
    <n v="0"/>
    <n v="32.556945267352141"/>
    <m/>
    <m/>
    <n v="1110.9824000000006"/>
    <n v="0"/>
    <n v="1911.7438260989186"/>
    <n v="0"/>
    <x v="1"/>
  </r>
  <r>
    <s v="Regular"/>
    <x v="1"/>
    <x v="2"/>
    <x v="0"/>
    <x v="0"/>
    <x v="1"/>
    <x v="0"/>
    <x v="2"/>
    <x v="0"/>
    <n v="1577"/>
    <n v="1513.92"/>
    <n v="0"/>
    <n v="0"/>
    <n v="0"/>
    <n v="0"/>
    <n v="11"/>
    <s v="CATIVO"/>
    <n v="0"/>
    <n v="13"/>
    <n v="0"/>
    <n v="0"/>
    <n v="18.920000000000002"/>
    <n v="0"/>
    <n v="0"/>
    <n v="32.556945267352141"/>
    <m/>
    <m/>
    <n v="1193.4735999999987"/>
    <n v="0"/>
    <n v="2053.6921074645707"/>
    <n v="0"/>
    <x v="1"/>
  </r>
  <r>
    <s v="Regular"/>
    <x v="1"/>
    <x v="2"/>
    <x v="0"/>
    <x v="0"/>
    <x v="1"/>
    <x v="0"/>
    <x v="2"/>
    <x v="1"/>
    <n v="1374"/>
    <n v="1319.04"/>
    <n v="0"/>
    <n v="0"/>
    <n v="0"/>
    <n v="0"/>
    <n v="10"/>
    <s v="CATIVO"/>
    <n v="0"/>
    <n v="13"/>
    <n v="0"/>
    <n v="0"/>
    <n v="18.920000000000002"/>
    <n v="0"/>
    <n v="0"/>
    <n v="32.556945267352141"/>
    <m/>
    <m/>
    <n v="1039.8432000000007"/>
    <n v="0"/>
    <n v="1789.3297118936748"/>
    <n v="0"/>
    <x v="1"/>
  </r>
  <r>
    <s v="Regular"/>
    <x v="1"/>
    <x v="2"/>
    <x v="0"/>
    <x v="0"/>
    <x v="1"/>
    <x v="0"/>
    <x v="2"/>
    <x v="2"/>
    <n v="1789"/>
    <n v="1717.44"/>
    <n v="0"/>
    <n v="0"/>
    <n v="0"/>
    <n v="0"/>
    <n v="10"/>
    <s v="CATIVO"/>
    <n v="0"/>
    <n v="13"/>
    <n v="0"/>
    <n v="0"/>
    <n v="18.920000000000002"/>
    <n v="0"/>
    <n v="0"/>
    <n v="32.556945267352141"/>
    <m/>
    <m/>
    <n v="1353.915199999999"/>
    <n v="0"/>
    <n v="2329.7750033317175"/>
    <n v="0"/>
    <x v="1"/>
  </r>
  <r>
    <s v="Regular"/>
    <x v="1"/>
    <x v="2"/>
    <x v="0"/>
    <x v="0"/>
    <x v="1"/>
    <x v="0"/>
    <x v="2"/>
    <x v="9"/>
    <n v="969"/>
    <n v="930.24"/>
    <n v="0"/>
    <n v="0"/>
    <n v="0"/>
    <n v="0"/>
    <n v="10"/>
    <s v="CATIVO"/>
    <n v="0"/>
    <n v="13"/>
    <n v="0"/>
    <n v="0"/>
    <n v="18.920000000000002"/>
    <n v="0"/>
    <n v="0"/>
    <n v="32.556945267352141"/>
    <m/>
    <m/>
    <n v="733.33919999999989"/>
    <n v="0"/>
    <n v="1261.9071985625687"/>
    <n v="0"/>
    <x v="1"/>
  </r>
  <r>
    <s v="PROJETADO"/>
    <x v="1"/>
    <x v="2"/>
    <x v="0"/>
    <x v="0"/>
    <x v="1"/>
    <x v="0"/>
    <x v="2"/>
    <x v="10"/>
    <n v="969"/>
    <n v="930.24"/>
    <n v="0"/>
    <n v="0"/>
    <n v="0"/>
    <n v="0"/>
    <n v="10"/>
    <s v="CATIVO"/>
    <n v="0"/>
    <n v="13"/>
    <n v="0"/>
    <n v="0"/>
    <n v="18.920000000000002"/>
    <n v="0"/>
    <n v="0"/>
    <n v="32.556945267352141"/>
    <m/>
    <m/>
    <n v="733.33919999999989"/>
    <n v="0"/>
    <n v="1261.9071985625687"/>
    <n v="0"/>
    <x v="1"/>
  </r>
  <r>
    <s v="Regular"/>
    <x v="1"/>
    <x v="2"/>
    <x v="0"/>
    <x v="0"/>
    <x v="1"/>
    <x v="0"/>
    <x v="1"/>
    <x v="3"/>
    <n v="0"/>
    <n v="0"/>
    <n v="0.48599999999999999"/>
    <n v="0.46655999999999997"/>
    <n v="0.48599999999999999"/>
    <n v="0.46655999999999997"/>
    <n v="0"/>
    <s v="CATIVO"/>
    <n v="0"/>
    <n v="0"/>
    <n v="15"/>
    <n v="65"/>
    <n v="0"/>
    <n v="1195.82"/>
    <n v="391.54"/>
    <m/>
    <n v="2051.1203590831656"/>
    <n v="364.92243737572466"/>
    <n v="0"/>
    <n v="30.858278400000021"/>
    <n v="0"/>
    <n v="46.96787196316086"/>
    <x v="1"/>
  </r>
  <r>
    <s v="Regular"/>
    <x v="1"/>
    <x v="2"/>
    <x v="0"/>
    <x v="0"/>
    <x v="1"/>
    <x v="0"/>
    <x v="1"/>
    <x v="4"/>
    <n v="0"/>
    <n v="0"/>
    <n v="0.51900000000000002"/>
    <n v="0.49824000000000002"/>
    <n v="0.51900000000000002"/>
    <n v="0.49824000000000002"/>
    <n v="0"/>
    <s v="CATIVO"/>
    <n v="0"/>
    <n v="0"/>
    <n v="15"/>
    <n v="65"/>
    <n v="0"/>
    <n v="1195.82"/>
    <n v="391.54"/>
    <m/>
    <n v="2051.1203590831656"/>
    <n v="364.92243737572466"/>
    <n v="0"/>
    <n v="32.953593600000005"/>
    <n v="0"/>
    <n v="50.157048454486564"/>
    <x v="1"/>
  </r>
  <r>
    <s v="Regular"/>
    <x v="1"/>
    <x v="2"/>
    <x v="0"/>
    <x v="0"/>
    <x v="1"/>
    <x v="0"/>
    <x v="1"/>
    <x v="11"/>
    <n v="0"/>
    <n v="0"/>
    <n v="0.33400000000000002"/>
    <n v="0.32063999999999998"/>
    <n v="0.33400000000000002"/>
    <n v="0.32063999999999998"/>
    <n v="0"/>
    <s v="CATIVO"/>
    <n v="0"/>
    <n v="0"/>
    <n v="15"/>
    <n v="65"/>
    <n v="0"/>
    <n v="1195.82"/>
    <n v="391.54"/>
    <m/>
    <n v="2051.1203590831656"/>
    <n v="364.92243737572466"/>
    <n v="0"/>
    <n v="21.207129600000059"/>
    <n v="0"/>
    <n v="32.278331760690868"/>
    <x v="1"/>
  </r>
  <r>
    <s v="Regular"/>
    <x v="1"/>
    <x v="2"/>
    <x v="0"/>
    <x v="0"/>
    <x v="1"/>
    <x v="0"/>
    <x v="1"/>
    <x v="5"/>
    <n v="0"/>
    <n v="0"/>
    <n v="0.372"/>
    <n v="0.35711999999999999"/>
    <n v="0.372"/>
    <n v="0.35711999999999999"/>
    <n v="0"/>
    <s v="CATIVO"/>
    <n v="0"/>
    <n v="0"/>
    <n v="15"/>
    <n v="65"/>
    <n v="0"/>
    <n v="1195.82"/>
    <n v="391.54"/>
    <m/>
    <n v="2051.1203590831656"/>
    <n v="364.92243737572466"/>
    <n v="0"/>
    <n v="23.619916800000006"/>
    <n v="0"/>
    <n v="35.950716811308297"/>
    <x v="1"/>
  </r>
  <r>
    <s v="Regular"/>
    <x v="1"/>
    <x v="2"/>
    <x v="0"/>
    <x v="0"/>
    <x v="1"/>
    <x v="0"/>
    <x v="1"/>
    <x v="6"/>
    <n v="0"/>
    <n v="0"/>
    <n v="0.71499999999999997"/>
    <n v="0.68640000000000001"/>
    <n v="0.71499999999999997"/>
    <n v="0.68640000000000001"/>
    <n v="0"/>
    <s v="CATIVO"/>
    <n v="0"/>
    <n v="0"/>
    <n v="15"/>
    <n v="65"/>
    <n v="0"/>
    <n v="1195.82"/>
    <n v="391.54"/>
    <m/>
    <n v="2051.1203590831656"/>
    <n v="364.92243737572466"/>
    <n v="0"/>
    <n v="45.398495999999938"/>
    <n v="0"/>
    <n v="69.09882397872417"/>
    <x v="1"/>
  </r>
  <r>
    <s v="Regular"/>
    <x v="1"/>
    <x v="2"/>
    <x v="0"/>
    <x v="0"/>
    <x v="1"/>
    <x v="0"/>
    <x v="1"/>
    <x v="7"/>
    <n v="0"/>
    <n v="0"/>
    <n v="0.79900000000000004"/>
    <n v="0.76704000000000006"/>
    <n v="0.79900000000000004"/>
    <n v="0.76704000000000006"/>
    <n v="0"/>
    <s v="CATIVO"/>
    <n v="0"/>
    <n v="0"/>
    <n v="15"/>
    <n v="65"/>
    <n v="0"/>
    <n v="1195.82"/>
    <n v="391.54"/>
    <m/>
    <n v="2051.1203590831656"/>
    <n v="364.92243737572466"/>
    <n v="0"/>
    <n v="50.732025599999986"/>
    <n v="0"/>
    <n v="77.216727774826111"/>
    <x v="1"/>
  </r>
  <r>
    <s v="Regular"/>
    <x v="1"/>
    <x v="2"/>
    <x v="0"/>
    <x v="0"/>
    <x v="1"/>
    <x v="0"/>
    <x v="1"/>
    <x v="8"/>
    <n v="0"/>
    <n v="0"/>
    <n v="0.68500000000000005"/>
    <n v="0.65759999999999996"/>
    <n v="0.68500000000000005"/>
    <n v="0.65759999999999996"/>
    <n v="0"/>
    <s v="CATIVO"/>
    <n v="0"/>
    <n v="0"/>
    <n v="15"/>
    <n v="65"/>
    <n v="0"/>
    <n v="1195.82"/>
    <n v="391.54"/>
    <m/>
    <n v="2051.1203590831656"/>
    <n v="364.92243737572466"/>
    <n v="0"/>
    <n v="43.493664000000138"/>
    <n v="0"/>
    <n v="66.199572622973818"/>
    <x v="1"/>
  </r>
  <r>
    <s v="Regular"/>
    <x v="1"/>
    <x v="2"/>
    <x v="0"/>
    <x v="0"/>
    <x v="1"/>
    <x v="0"/>
    <x v="1"/>
    <x v="0"/>
    <n v="0"/>
    <n v="0"/>
    <n v="1.2609999999999999"/>
    <n v="1.2105600000000001"/>
    <n v="1.2609999999999999"/>
    <n v="1.2105600000000001"/>
    <n v="0"/>
    <s v="CATIVO"/>
    <n v="0"/>
    <n v="0"/>
    <n v="15"/>
    <n v="65"/>
    <n v="0"/>
    <n v="1195.82"/>
    <n v="391.54"/>
    <m/>
    <n v="2051.1203590831656"/>
    <n v="364.92243737572466"/>
    <n v="0"/>
    <n v="80.066438399999697"/>
    <n v="0"/>
    <n v="121.86519865338599"/>
    <x v="1"/>
  </r>
  <r>
    <s v="Regular"/>
    <x v="1"/>
    <x v="2"/>
    <x v="0"/>
    <x v="0"/>
    <x v="1"/>
    <x v="0"/>
    <x v="1"/>
    <x v="1"/>
    <n v="0"/>
    <n v="0"/>
    <n v="1.0620000000000001"/>
    <n v="1.01952"/>
    <n v="1.0620000000000001"/>
    <n v="1.01952"/>
    <n v="0"/>
    <s v="CATIVO"/>
    <n v="0"/>
    <n v="0"/>
    <n v="15"/>
    <n v="65"/>
    <n v="0"/>
    <n v="1195.82"/>
    <n v="391.54"/>
    <m/>
    <n v="2051.1203590831656"/>
    <n v="364.92243737572466"/>
    <n v="0"/>
    <n v="67.431052800000117"/>
    <n v="0"/>
    <n v="102.63349799357383"/>
    <x v="1"/>
  </r>
  <r>
    <s v="Regular"/>
    <x v="1"/>
    <x v="2"/>
    <x v="0"/>
    <x v="0"/>
    <x v="1"/>
    <x v="0"/>
    <x v="1"/>
    <x v="2"/>
    <n v="0"/>
    <n v="0"/>
    <n v="0.80800000000000005"/>
    <n v="0.77568000000000004"/>
    <n v="0.80800000000000005"/>
    <n v="0.77568000000000004"/>
    <n v="0"/>
    <s v="CATIVO"/>
    <n v="0"/>
    <n v="0"/>
    <n v="15"/>
    <n v="65"/>
    <n v="0"/>
    <n v="1195.82"/>
    <n v="391.54"/>
    <m/>
    <n v="2051.1203590831656"/>
    <n v="364.92243737572466"/>
    <n v="0"/>
    <n v="51.303475200000022"/>
    <n v="0"/>
    <n v="78.086503181551365"/>
    <x v="1"/>
  </r>
  <r>
    <s v="Regular"/>
    <x v="1"/>
    <x v="2"/>
    <x v="0"/>
    <x v="0"/>
    <x v="1"/>
    <x v="0"/>
    <x v="1"/>
    <x v="9"/>
    <n v="0"/>
    <n v="0"/>
    <n v="0.72499999999999998"/>
    <n v="0.69599999999999995"/>
    <n v="0.72499999999999998"/>
    <n v="0.69599999999999995"/>
    <n v="0"/>
    <s v="CATIVO"/>
    <n v="0"/>
    <n v="0"/>
    <n v="15"/>
    <n v="65"/>
    <n v="0"/>
    <n v="1195.82"/>
    <n v="391.54"/>
    <m/>
    <n v="2051.1203590831656"/>
    <n v="364.92243737572466"/>
    <n v="0"/>
    <n v="46.033440000000041"/>
    <n v="0"/>
    <n v="70.065241097307876"/>
    <x v="1"/>
  </r>
  <r>
    <s v="PROJETADO"/>
    <x v="1"/>
    <x v="2"/>
    <x v="0"/>
    <x v="0"/>
    <x v="1"/>
    <x v="0"/>
    <x v="1"/>
    <x v="10"/>
    <n v="0"/>
    <n v="0"/>
    <n v="0.72499999999999998"/>
    <n v="0.69599999999999995"/>
    <n v="0.72499999999999998"/>
    <n v="0.69599999999999995"/>
    <n v="0"/>
    <s v="CATIVO"/>
    <n v="0"/>
    <n v="0"/>
    <n v="15"/>
    <n v="65"/>
    <n v="0"/>
    <n v="1195.82"/>
    <n v="391.54"/>
    <m/>
    <n v="2051.1203590831656"/>
    <n v="364.92243737572466"/>
    <n v="0"/>
    <n v="46.033440000000041"/>
    <n v="0"/>
    <n v="70.065241097307876"/>
    <x v="1"/>
  </r>
  <r>
    <s v="Regular"/>
    <x v="1"/>
    <x v="2"/>
    <x v="0"/>
    <x v="2"/>
    <x v="1"/>
    <x v="0"/>
    <x v="0"/>
    <x v="3"/>
    <n v="0"/>
    <n v="0"/>
    <n v="0.39800000000000002"/>
    <n v="0.38208000000000003"/>
    <n v="0.39800000000000002"/>
    <n v="0.38208000000000003"/>
    <n v="0"/>
    <s v="CATIVO"/>
    <n v="0"/>
    <n v="0"/>
    <n v="17"/>
    <n v="66"/>
    <n v="0"/>
    <n v="84.99"/>
    <n v="242.77"/>
    <m/>
    <n v="146.90220900317223"/>
    <n v="227.53897547400734"/>
    <n v="0"/>
    <n v="5.2179391999999964"/>
    <n v="0"/>
    <n v="5.9611036568766949"/>
    <x v="1"/>
  </r>
  <r>
    <s v="Regular"/>
    <x v="1"/>
    <x v="2"/>
    <x v="0"/>
    <x v="2"/>
    <x v="1"/>
    <x v="0"/>
    <x v="0"/>
    <x v="4"/>
    <n v="0"/>
    <n v="0"/>
    <n v="0.41799999999999998"/>
    <n v="0.40128000000000003"/>
    <n v="0.41799999999999998"/>
    <n v="0.40128000000000003"/>
    <n v="0"/>
    <s v="CATIVO"/>
    <n v="0"/>
    <n v="0"/>
    <n v="17"/>
    <n v="66"/>
    <n v="0"/>
    <n v="84.99"/>
    <n v="242.77"/>
    <m/>
    <n v="146.90220900317223"/>
    <n v="227.53897547400734"/>
    <n v="0"/>
    <n v="5.480147199999986"/>
    <n v="0"/>
    <n v="6.2606566044584264"/>
    <x v="1"/>
  </r>
  <r>
    <s v="Regular"/>
    <x v="1"/>
    <x v="2"/>
    <x v="0"/>
    <x v="2"/>
    <x v="1"/>
    <x v="0"/>
    <x v="0"/>
    <x v="11"/>
    <n v="0"/>
    <n v="0"/>
    <n v="0.42899999999999999"/>
    <n v="0.41183999999999998"/>
    <n v="0.42899999999999999"/>
    <n v="0.41183999999999998"/>
    <n v="0"/>
    <s v="CATIVO"/>
    <n v="0"/>
    <n v="0"/>
    <n v="17"/>
    <n v="66"/>
    <n v="0"/>
    <n v="84.99"/>
    <n v="242.77"/>
    <m/>
    <n v="146.90220900317223"/>
    <n v="227.53897547400734"/>
    <n v="0"/>
    <n v="5.624361600000003"/>
    <n v="0"/>
    <n v="6.4254107256284048"/>
    <x v="1"/>
  </r>
  <r>
    <s v="Regular"/>
    <x v="1"/>
    <x v="2"/>
    <x v="0"/>
    <x v="2"/>
    <x v="1"/>
    <x v="0"/>
    <x v="2"/>
    <x v="3"/>
    <n v="1"/>
    <n v="0.96"/>
    <n v="0"/>
    <n v="0"/>
    <n v="0"/>
    <n v="0"/>
    <n v="2"/>
    <s v="CATIVO"/>
    <n v="0"/>
    <n v="13"/>
    <n v="0"/>
    <n v="0"/>
    <n v="18.920000000000002"/>
    <n v="0"/>
    <n v="0"/>
    <n v="32.556945267352141"/>
    <m/>
    <m/>
    <n v="0.75680000000000069"/>
    <n v="0"/>
    <n v="1.3022778106940869"/>
    <n v="0"/>
    <x v="1"/>
  </r>
  <r>
    <s v="Regular"/>
    <x v="1"/>
    <x v="2"/>
    <x v="0"/>
    <x v="2"/>
    <x v="1"/>
    <x v="0"/>
    <x v="2"/>
    <x v="4"/>
    <n v="1"/>
    <n v="0.96"/>
    <n v="0"/>
    <n v="0"/>
    <n v="0"/>
    <n v="0"/>
    <n v="2"/>
    <s v="CATIVO"/>
    <n v="0"/>
    <n v="13"/>
    <n v="0"/>
    <n v="0"/>
    <n v="18.920000000000002"/>
    <n v="0"/>
    <n v="0"/>
    <n v="32.556945267352141"/>
    <m/>
    <m/>
    <n v="0.75680000000000069"/>
    <n v="0"/>
    <n v="1.3022778106940869"/>
    <n v="0"/>
    <x v="1"/>
  </r>
  <r>
    <s v="Regular"/>
    <x v="1"/>
    <x v="2"/>
    <x v="0"/>
    <x v="2"/>
    <x v="1"/>
    <x v="0"/>
    <x v="2"/>
    <x v="11"/>
    <n v="1"/>
    <n v="0.96"/>
    <n v="0"/>
    <n v="0"/>
    <n v="0"/>
    <n v="0"/>
    <n v="2"/>
    <s v="CATIVO"/>
    <n v="0"/>
    <n v="13"/>
    <n v="0"/>
    <n v="0"/>
    <n v="18.920000000000002"/>
    <n v="0"/>
    <n v="0"/>
    <n v="32.556945267352141"/>
    <m/>
    <m/>
    <n v="0.75680000000000069"/>
    <n v="0"/>
    <n v="1.3022778106940869"/>
    <n v="0"/>
    <x v="1"/>
  </r>
  <r>
    <s v="Regular"/>
    <x v="1"/>
    <x v="2"/>
    <x v="0"/>
    <x v="2"/>
    <x v="1"/>
    <x v="0"/>
    <x v="1"/>
    <x v="3"/>
    <n v="0"/>
    <n v="0"/>
    <n v="0.06"/>
    <n v="5.7599999999999998E-2"/>
    <n v="0.06"/>
    <n v="5.7599999999999998E-2"/>
    <n v="0"/>
    <s v="CATIVO"/>
    <n v="0"/>
    <n v="0"/>
    <n v="15"/>
    <n v="65"/>
    <n v="0"/>
    <n v="1195.82"/>
    <n v="391.54"/>
    <m/>
    <n v="2051.1203590831656"/>
    <n v="364.92243737572466"/>
    <n v="0"/>
    <n v="3.8096639999999988"/>
    <n v="0"/>
    <n v="5.7985027115013352"/>
    <x v="1"/>
  </r>
  <r>
    <s v="Regular"/>
    <x v="1"/>
    <x v="2"/>
    <x v="0"/>
    <x v="2"/>
    <x v="1"/>
    <x v="0"/>
    <x v="1"/>
    <x v="4"/>
    <n v="0"/>
    <n v="0"/>
    <n v="6.5000000000000002E-2"/>
    <n v="6.2399999999999997E-2"/>
    <n v="6.5000000000000002E-2"/>
    <n v="6.2399999999999997E-2"/>
    <n v="0"/>
    <s v="CATIVO"/>
    <n v="0"/>
    <n v="0"/>
    <n v="15"/>
    <n v="65"/>
    <n v="0"/>
    <n v="1195.82"/>
    <n v="391.54"/>
    <m/>
    <n v="2051.1203590831656"/>
    <n v="364.92243737572466"/>
    <n v="0"/>
    <n v="4.1271360000000081"/>
    <n v="0"/>
    <n v="6.2817112707931262"/>
    <x v="1"/>
  </r>
  <r>
    <s v="Regular"/>
    <x v="1"/>
    <x v="2"/>
    <x v="0"/>
    <x v="2"/>
    <x v="1"/>
    <x v="0"/>
    <x v="1"/>
    <x v="11"/>
    <n v="0"/>
    <n v="0"/>
    <n v="5.3999999999999999E-2"/>
    <n v="5.1839999999999997E-2"/>
    <n v="5.3999999999999999E-2"/>
    <n v="5.1839999999999997E-2"/>
    <n v="0"/>
    <s v="CATIVO"/>
    <n v="0"/>
    <n v="0"/>
    <n v="15"/>
    <n v="65"/>
    <n v="0"/>
    <n v="1195.82"/>
    <n v="391.54"/>
    <m/>
    <n v="2051.1203590831656"/>
    <n v="364.92243737572466"/>
    <n v="0"/>
    <n v="3.4286976000000031"/>
    <n v="0"/>
    <n v="5.2186524403512085"/>
    <x v="1"/>
  </r>
  <r>
    <s v="Regular"/>
    <x v="1"/>
    <x v="2"/>
    <x v="0"/>
    <x v="1"/>
    <x v="1"/>
    <x v="0"/>
    <x v="0"/>
    <x v="1"/>
    <n v="0"/>
    <n v="0"/>
    <n v="42.765999999999998"/>
    <n v="41.05536"/>
    <n v="42.765999999999998"/>
    <n v="41.05536"/>
    <n v="0"/>
    <s v="CATIVO"/>
    <n v="0"/>
    <n v="0"/>
    <n v="17"/>
    <n v="66"/>
    <n v="0"/>
    <n v="84.99"/>
    <n v="242.77"/>
    <m/>
    <n v="146.90220900317223"/>
    <n v="227.53897547400734"/>
    <n v="0"/>
    <n v="560.67936639999937"/>
    <n v="0"/>
    <n v="640.53406781404169"/>
    <x v="1"/>
  </r>
  <r>
    <s v="Regular"/>
    <x v="1"/>
    <x v="2"/>
    <x v="0"/>
    <x v="1"/>
    <x v="1"/>
    <x v="0"/>
    <x v="0"/>
    <x v="2"/>
    <n v="0"/>
    <n v="0"/>
    <n v="37.598999999999997"/>
    <n v="36.095039999999997"/>
    <n v="37.598999999999997"/>
    <n v="36.095039999999997"/>
    <n v="0"/>
    <s v="CATIVO"/>
    <n v="0"/>
    <n v="0"/>
    <n v="17"/>
    <n v="66"/>
    <n v="0"/>
    <n v="84.99"/>
    <n v="242.77"/>
    <m/>
    <n v="146.90220900317223"/>
    <n v="227.53897547400734"/>
    <n v="0"/>
    <n v="492.93792959999979"/>
    <n v="0"/>
    <n v="563.14456380629872"/>
    <x v="1"/>
  </r>
  <r>
    <s v="Regular"/>
    <x v="1"/>
    <x v="2"/>
    <x v="0"/>
    <x v="1"/>
    <x v="1"/>
    <x v="0"/>
    <x v="0"/>
    <x v="9"/>
    <n v="0"/>
    <n v="0"/>
    <n v="35.881999999999998"/>
    <n v="34.446719999999999"/>
    <n v="35.881999999999998"/>
    <n v="34.446719999999999"/>
    <n v="0"/>
    <s v="CATIVO"/>
    <n v="0"/>
    <n v="0"/>
    <n v="17"/>
    <n v="66"/>
    <n v="0"/>
    <n v="84.99"/>
    <n v="242.77"/>
    <m/>
    <n v="146.90220900317223"/>
    <n v="227.53897547400734"/>
    <n v="0"/>
    <n v="470.4273727999996"/>
    <n v="0"/>
    <n v="537.4279432564058"/>
    <x v="1"/>
  </r>
  <r>
    <s v="PROJETADO"/>
    <x v="1"/>
    <x v="2"/>
    <x v="0"/>
    <x v="1"/>
    <x v="1"/>
    <x v="0"/>
    <x v="0"/>
    <x v="10"/>
    <n v="0"/>
    <n v="0"/>
    <n v="35.881999999999998"/>
    <n v="34.446719999999999"/>
    <n v="35.881999999999998"/>
    <n v="34.446719999999999"/>
    <n v="0"/>
    <s v="CATIVO"/>
    <n v="0"/>
    <n v="0"/>
    <n v="17"/>
    <n v="66"/>
    <n v="0"/>
    <n v="84.99"/>
    <n v="242.77"/>
    <m/>
    <n v="146.90220900317223"/>
    <n v="227.53897547400734"/>
    <n v="0"/>
    <n v="470.4273727999996"/>
    <n v="0"/>
    <n v="537.4279432564058"/>
    <x v="1"/>
  </r>
  <r>
    <s v="Regular"/>
    <x v="1"/>
    <x v="2"/>
    <x v="0"/>
    <x v="1"/>
    <x v="1"/>
    <x v="0"/>
    <x v="2"/>
    <x v="1"/>
    <n v="149"/>
    <n v="143.04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112.76320000000015"/>
    <n v="0"/>
    <n v="194.03939379341901"/>
    <n v="0"/>
    <x v="1"/>
  </r>
  <r>
    <s v="Regular"/>
    <x v="1"/>
    <x v="2"/>
    <x v="0"/>
    <x v="1"/>
    <x v="1"/>
    <x v="0"/>
    <x v="2"/>
    <x v="2"/>
    <n v="149"/>
    <n v="143.04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112.76320000000015"/>
    <n v="0"/>
    <n v="194.03939379341901"/>
    <n v="0"/>
    <x v="1"/>
  </r>
  <r>
    <s v="Regular"/>
    <x v="1"/>
    <x v="2"/>
    <x v="0"/>
    <x v="1"/>
    <x v="1"/>
    <x v="0"/>
    <x v="2"/>
    <x v="9"/>
    <n v="149"/>
    <n v="143.04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112.76320000000015"/>
    <n v="0"/>
    <n v="194.03939379341901"/>
    <n v="0"/>
    <x v="1"/>
  </r>
  <r>
    <s v="PROJETADO"/>
    <x v="1"/>
    <x v="2"/>
    <x v="0"/>
    <x v="1"/>
    <x v="1"/>
    <x v="0"/>
    <x v="2"/>
    <x v="10"/>
    <n v="149"/>
    <n v="143.04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112.76320000000015"/>
    <n v="0"/>
    <n v="194.03939379341901"/>
    <n v="0"/>
    <x v="1"/>
  </r>
  <r>
    <s v="Regular"/>
    <x v="1"/>
    <x v="2"/>
    <x v="0"/>
    <x v="1"/>
    <x v="1"/>
    <x v="0"/>
    <x v="1"/>
    <x v="1"/>
    <n v="0"/>
    <n v="0"/>
    <n v="4.8419999999999996"/>
    <n v="4.64832"/>
    <n v="4.8419999999999996"/>
    <n v="4.64832"/>
    <n v="0"/>
    <s v="CATIVO"/>
    <n v="0"/>
    <n v="0"/>
    <n v="15"/>
    <n v="65"/>
    <n v="0"/>
    <n v="1195.82"/>
    <n v="391.54"/>
    <m/>
    <n v="2051.1203590831656"/>
    <n v="364.92243737572466"/>
    <n v="0"/>
    <n v="307.43988479999939"/>
    <n v="0"/>
    <n v="467.93916881815699"/>
    <x v="1"/>
  </r>
  <r>
    <s v="Regular"/>
    <x v="1"/>
    <x v="2"/>
    <x v="0"/>
    <x v="1"/>
    <x v="1"/>
    <x v="0"/>
    <x v="1"/>
    <x v="2"/>
    <n v="0"/>
    <n v="0"/>
    <n v="4.8959999999999999"/>
    <n v="4.7001600000000003"/>
    <n v="4.8959999999999999"/>
    <n v="4.7001600000000003"/>
    <n v="0"/>
    <s v="CATIVO"/>
    <n v="0"/>
    <n v="0"/>
    <n v="15"/>
    <n v="65"/>
    <n v="0"/>
    <n v="1195.82"/>
    <n v="391.54"/>
    <m/>
    <n v="2051.1203590831656"/>
    <n v="364.92243737572466"/>
    <n v="0"/>
    <n v="310.8685823999993"/>
    <n v="0"/>
    <n v="473.15782125850802"/>
    <x v="1"/>
  </r>
  <r>
    <s v="Regular"/>
    <x v="1"/>
    <x v="2"/>
    <x v="0"/>
    <x v="1"/>
    <x v="1"/>
    <x v="0"/>
    <x v="1"/>
    <x v="9"/>
    <n v="0"/>
    <n v="0"/>
    <n v="4.335"/>
    <n v="4.1616"/>
    <n v="4.335"/>
    <n v="4.1616"/>
    <n v="0"/>
    <s v="CATIVO"/>
    <n v="0"/>
    <n v="0"/>
    <n v="15"/>
    <n v="65"/>
    <n v="0"/>
    <n v="1195.82"/>
    <n v="391.54"/>
    <m/>
    <n v="2051.1203590831656"/>
    <n v="364.92243737572466"/>
    <n v="0"/>
    <n v="275.24822399999999"/>
    <n v="0"/>
    <n v="418.94182090597155"/>
    <x v="1"/>
  </r>
  <r>
    <s v="PROJETADO"/>
    <x v="1"/>
    <x v="2"/>
    <x v="0"/>
    <x v="1"/>
    <x v="1"/>
    <x v="0"/>
    <x v="1"/>
    <x v="10"/>
    <n v="0"/>
    <n v="0"/>
    <n v="4.335"/>
    <n v="4.1616"/>
    <n v="4.335"/>
    <n v="4.1616"/>
    <n v="0"/>
    <s v="CATIVO"/>
    <n v="0"/>
    <n v="0"/>
    <n v="15"/>
    <n v="65"/>
    <n v="0"/>
    <n v="1195.82"/>
    <n v="391.54"/>
    <m/>
    <n v="2051.1203590831656"/>
    <n v="364.92243737572466"/>
    <n v="0"/>
    <n v="275.24822399999999"/>
    <n v="0"/>
    <n v="418.94182090597155"/>
    <x v="1"/>
  </r>
  <r>
    <s v="Regular"/>
    <x v="1"/>
    <x v="2"/>
    <x v="2"/>
    <x v="3"/>
    <x v="1"/>
    <x v="0"/>
    <x v="0"/>
    <x v="3"/>
    <n v="0"/>
    <n v="0"/>
    <n v="4.2469999999999999"/>
    <n v="3.9921799999999998"/>
    <n v="4.2469999999999999"/>
    <n v="3.9921799999999998"/>
    <n v="0"/>
    <s v="CATIVO"/>
    <n v="0"/>
    <n v="0"/>
    <n v="17"/>
    <n v="66"/>
    <n v="0"/>
    <n v="84.99"/>
    <n v="242.77"/>
    <m/>
    <n v="146.90220900317223"/>
    <n v="227.53897547400734"/>
    <n v="0"/>
    <n v="83.519803200000013"/>
    <n v="0"/>
    <n v="95.415102628474912"/>
    <x v="3"/>
  </r>
  <r>
    <s v="Regular"/>
    <x v="1"/>
    <x v="2"/>
    <x v="2"/>
    <x v="3"/>
    <x v="1"/>
    <x v="0"/>
    <x v="0"/>
    <x v="4"/>
    <n v="0"/>
    <n v="0"/>
    <n v="4.4820000000000002"/>
    <n v="4.2130799999999997"/>
    <n v="4.4820000000000002"/>
    <n v="4.2130799999999997"/>
    <n v="0"/>
    <s v="CATIVO"/>
    <n v="0"/>
    <n v="0"/>
    <n v="17"/>
    <n v="66"/>
    <n v="0"/>
    <n v="84.99"/>
    <n v="242.77"/>
    <m/>
    <n v="146.90220900317223"/>
    <n v="227.53897547400734"/>
    <n v="0"/>
    <n v="88.141219200000165"/>
    <n v="0"/>
    <n v="100.69472332960331"/>
    <x v="3"/>
  </r>
  <r>
    <s v="Regular"/>
    <x v="1"/>
    <x v="2"/>
    <x v="2"/>
    <x v="3"/>
    <x v="1"/>
    <x v="0"/>
    <x v="0"/>
    <x v="11"/>
    <n v="0"/>
    <n v="0"/>
    <n v="4.8070000000000004"/>
    <n v="4.51858"/>
    <n v="4.8070000000000004"/>
    <n v="4.51858"/>
    <n v="0"/>
    <s v="CATIVO"/>
    <n v="0"/>
    <n v="0"/>
    <n v="17"/>
    <n v="66"/>
    <n v="0"/>
    <n v="84.99"/>
    <n v="242.77"/>
    <m/>
    <n v="146.90220900317223"/>
    <n v="227.53897547400734"/>
    <n v="0"/>
    <n v="94.532539200000116"/>
    <n v="0"/>
    <n v="107.99632642690827"/>
    <x v="3"/>
  </r>
  <r>
    <s v="Regular"/>
    <x v="1"/>
    <x v="2"/>
    <x v="2"/>
    <x v="3"/>
    <x v="1"/>
    <x v="0"/>
    <x v="0"/>
    <x v="5"/>
    <n v="0"/>
    <n v="0"/>
    <n v="4.109"/>
    <n v="3.86246"/>
    <n v="4.109"/>
    <n v="3.86246"/>
    <n v="0"/>
    <s v="CATIVO"/>
    <n v="0"/>
    <n v="0"/>
    <n v="17"/>
    <n v="66"/>
    <n v="0"/>
    <n v="84.99"/>
    <n v="242.77"/>
    <m/>
    <n v="146.90220900317223"/>
    <n v="227.53897547400734"/>
    <n v="0"/>
    <n v="80.8059504"/>
    <n v="0"/>
    <n v="92.314729621003835"/>
    <x v="3"/>
  </r>
  <r>
    <s v="Regular"/>
    <x v="1"/>
    <x v="2"/>
    <x v="2"/>
    <x v="3"/>
    <x v="1"/>
    <x v="0"/>
    <x v="0"/>
    <x v="6"/>
    <n v="0"/>
    <n v="0"/>
    <n v="4.4290000000000003"/>
    <n v="4.1632600000000002"/>
    <n v="4.4290000000000003"/>
    <n v="4.1632600000000002"/>
    <n v="0"/>
    <s v="CATIVO"/>
    <n v="0"/>
    <n v="0"/>
    <n v="17"/>
    <n v="66"/>
    <n v="0"/>
    <n v="84.99"/>
    <n v="242.77"/>
    <m/>
    <n v="146.90220900317223"/>
    <n v="227.53897547400734"/>
    <n v="0"/>
    <n v="87.098942400000027"/>
    <n v="0"/>
    <n v="99.504000362965741"/>
    <x v="3"/>
  </r>
  <r>
    <s v="Regular"/>
    <x v="1"/>
    <x v="2"/>
    <x v="2"/>
    <x v="3"/>
    <x v="1"/>
    <x v="0"/>
    <x v="0"/>
    <x v="7"/>
    <n v="0"/>
    <n v="0"/>
    <n v="4.5819999999999999"/>
    <n v="4.30708"/>
    <n v="4.5819999999999999"/>
    <n v="4.30708"/>
    <n v="0"/>
    <s v="CATIVO"/>
    <n v="0"/>
    <n v="0"/>
    <n v="17"/>
    <n v="66"/>
    <n v="0"/>
    <n v="84.99"/>
    <n v="242.77"/>
    <m/>
    <n v="146.90220900317223"/>
    <n v="227.53897547400734"/>
    <n v="0"/>
    <n v="90.107779199999953"/>
    <n v="0"/>
    <n v="102.94137043646614"/>
    <x v="3"/>
  </r>
  <r>
    <s v="Regular"/>
    <x v="1"/>
    <x v="2"/>
    <x v="2"/>
    <x v="3"/>
    <x v="1"/>
    <x v="0"/>
    <x v="0"/>
    <x v="8"/>
    <n v="0"/>
    <n v="0"/>
    <n v="4.84"/>
    <n v="4.5495999999999999"/>
    <n v="4.84"/>
    <n v="4.5495999999999999"/>
    <n v="0"/>
    <s v="CATIVO"/>
    <n v="0"/>
    <n v="0"/>
    <n v="17"/>
    <n v="66"/>
    <n v="0"/>
    <n v="84.99"/>
    <n v="242.77"/>
    <m/>
    <n v="146.90220900317223"/>
    <n v="227.53897547400734"/>
    <n v="0"/>
    <n v="95.181504000000004"/>
    <n v="0"/>
    <n v="108.73771997217295"/>
    <x v="3"/>
  </r>
  <r>
    <s v="Regular"/>
    <x v="1"/>
    <x v="2"/>
    <x v="2"/>
    <x v="3"/>
    <x v="1"/>
    <x v="0"/>
    <x v="0"/>
    <x v="0"/>
    <n v="0"/>
    <n v="0"/>
    <n v="4.8019999999999996"/>
    <n v="4.5138800000000003"/>
    <n v="4.8019999999999996"/>
    <n v="4.5138800000000003"/>
    <n v="0"/>
    <s v="CATIVO"/>
    <n v="0"/>
    <n v="0"/>
    <n v="17"/>
    <n v="66"/>
    <n v="0"/>
    <n v="84.99"/>
    <n v="242.77"/>
    <m/>
    <n v="146.90220900317223"/>
    <n v="227.53897547400734"/>
    <n v="0"/>
    <n v="94.434211199999766"/>
    <n v="0"/>
    <n v="107.8839940715647"/>
    <x v="3"/>
  </r>
  <r>
    <s v="Regular"/>
    <x v="1"/>
    <x v="2"/>
    <x v="2"/>
    <x v="3"/>
    <x v="1"/>
    <x v="0"/>
    <x v="0"/>
    <x v="1"/>
    <n v="0"/>
    <n v="0"/>
    <n v="5.4009999999999998"/>
    <n v="5.0769399999999996"/>
    <n v="5.4009999999999998"/>
    <n v="5.0769399999999996"/>
    <n v="0"/>
    <s v="CATIVO"/>
    <n v="0"/>
    <n v="0"/>
    <n v="17"/>
    <n v="66"/>
    <n v="0"/>
    <n v="84.99"/>
    <n v="242.77"/>
    <m/>
    <n v="146.90220900317223"/>
    <n v="227.53897547400734"/>
    <n v="0"/>
    <n v="106.21390560000007"/>
    <n v="0"/>
    <n v="121.34141024167491"/>
    <x v="3"/>
  </r>
  <r>
    <s v="Regular"/>
    <x v="1"/>
    <x v="2"/>
    <x v="2"/>
    <x v="3"/>
    <x v="1"/>
    <x v="0"/>
    <x v="0"/>
    <x v="2"/>
    <n v="0"/>
    <n v="0"/>
    <n v="5.5839999999999996"/>
    <n v="5.2489600000000003"/>
    <n v="5.5839999999999996"/>
    <n v="5.2489600000000003"/>
    <n v="0"/>
    <s v="CATIVO"/>
    <n v="0"/>
    <n v="0"/>
    <n v="17"/>
    <n v="66"/>
    <n v="0"/>
    <n v="84.99"/>
    <n v="242.77"/>
    <m/>
    <n v="146.90220900317223"/>
    <n v="227.53897547400734"/>
    <n v="0"/>
    <n v="109.81271039999979"/>
    <n v="0"/>
    <n v="125.45277444723399"/>
    <x v="3"/>
  </r>
  <r>
    <s v="Regular"/>
    <x v="1"/>
    <x v="2"/>
    <x v="2"/>
    <x v="3"/>
    <x v="1"/>
    <x v="0"/>
    <x v="0"/>
    <x v="9"/>
    <n v="0"/>
    <n v="0"/>
    <n v="5.4020000000000001"/>
    <n v="5.0778800000000004"/>
    <n v="5.4020000000000001"/>
    <n v="5.0778800000000004"/>
    <n v="0"/>
    <s v="CATIVO"/>
    <n v="0"/>
    <n v="0"/>
    <n v="17"/>
    <n v="66"/>
    <n v="0"/>
    <n v="84.99"/>
    <n v="242.77"/>
    <m/>
    <n v="146.90220900317223"/>
    <n v="227.53897547400734"/>
    <n v="0"/>
    <n v="106.23357119999991"/>
    <n v="0"/>
    <n v="121.36387671274335"/>
    <x v="3"/>
  </r>
  <r>
    <s v="PROJETADO"/>
    <x v="1"/>
    <x v="2"/>
    <x v="2"/>
    <x v="3"/>
    <x v="1"/>
    <x v="0"/>
    <x v="0"/>
    <x v="10"/>
    <n v="0"/>
    <n v="0"/>
    <n v="5.4020000000000001"/>
    <n v="5.0778800000000004"/>
    <n v="5.4020000000000001"/>
    <n v="5.0778800000000004"/>
    <n v="0"/>
    <s v="CATIVO"/>
    <n v="0"/>
    <n v="0"/>
    <n v="17"/>
    <n v="66"/>
    <n v="0"/>
    <n v="84.99"/>
    <n v="242.77"/>
    <m/>
    <n v="146.90220900317223"/>
    <n v="227.53897547400734"/>
    <n v="0"/>
    <n v="106.23357119999991"/>
    <n v="0"/>
    <n v="121.36387671274335"/>
    <x v="3"/>
  </r>
  <r>
    <s v="Regular"/>
    <x v="1"/>
    <x v="2"/>
    <x v="2"/>
    <x v="3"/>
    <x v="1"/>
    <x v="0"/>
    <x v="2"/>
    <x v="3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Regular"/>
    <x v="1"/>
    <x v="2"/>
    <x v="2"/>
    <x v="3"/>
    <x v="1"/>
    <x v="0"/>
    <x v="2"/>
    <x v="4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Regular"/>
    <x v="1"/>
    <x v="2"/>
    <x v="2"/>
    <x v="3"/>
    <x v="1"/>
    <x v="0"/>
    <x v="2"/>
    <x v="11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Regular"/>
    <x v="1"/>
    <x v="2"/>
    <x v="2"/>
    <x v="3"/>
    <x v="1"/>
    <x v="0"/>
    <x v="2"/>
    <x v="5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Regular"/>
    <x v="1"/>
    <x v="2"/>
    <x v="2"/>
    <x v="3"/>
    <x v="1"/>
    <x v="0"/>
    <x v="2"/>
    <x v="6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Regular"/>
    <x v="1"/>
    <x v="2"/>
    <x v="2"/>
    <x v="3"/>
    <x v="1"/>
    <x v="0"/>
    <x v="2"/>
    <x v="7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Regular"/>
    <x v="1"/>
    <x v="2"/>
    <x v="2"/>
    <x v="3"/>
    <x v="1"/>
    <x v="0"/>
    <x v="2"/>
    <x v="8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Regular"/>
    <x v="1"/>
    <x v="2"/>
    <x v="2"/>
    <x v="3"/>
    <x v="1"/>
    <x v="0"/>
    <x v="2"/>
    <x v="0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Regular"/>
    <x v="1"/>
    <x v="2"/>
    <x v="2"/>
    <x v="3"/>
    <x v="1"/>
    <x v="0"/>
    <x v="2"/>
    <x v="1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Regular"/>
    <x v="1"/>
    <x v="2"/>
    <x v="2"/>
    <x v="3"/>
    <x v="1"/>
    <x v="0"/>
    <x v="2"/>
    <x v="2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Regular"/>
    <x v="1"/>
    <x v="2"/>
    <x v="2"/>
    <x v="3"/>
    <x v="1"/>
    <x v="0"/>
    <x v="2"/>
    <x v="9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PROJETADO"/>
    <x v="1"/>
    <x v="2"/>
    <x v="2"/>
    <x v="3"/>
    <x v="1"/>
    <x v="0"/>
    <x v="2"/>
    <x v="10"/>
    <n v="30"/>
    <n v="25.5"/>
    <n v="0"/>
    <n v="0"/>
    <n v="0"/>
    <n v="0"/>
    <n v="1"/>
    <s v="CATIVO"/>
    <n v="0"/>
    <n v="13"/>
    <n v="0"/>
    <n v="0"/>
    <n v="18.920000000000002"/>
    <n v="0"/>
    <n v="0"/>
    <n v="32.556945267352141"/>
    <m/>
    <m/>
    <n v="85.140000000000015"/>
    <n v="0"/>
    <n v="146.50625370308464"/>
    <n v="0"/>
    <x v="3"/>
  </r>
  <r>
    <s v="Regular"/>
    <x v="1"/>
    <x v="2"/>
    <x v="2"/>
    <x v="3"/>
    <x v="1"/>
    <x v="0"/>
    <x v="1"/>
    <x v="3"/>
    <n v="0"/>
    <n v="0"/>
    <n v="0.53900000000000003"/>
    <n v="0.50666"/>
    <n v="0.53900000000000003"/>
    <n v="0.50666"/>
    <n v="0"/>
    <s v="CATIVO"/>
    <n v="0"/>
    <n v="0"/>
    <n v="15"/>
    <n v="65"/>
    <n v="0"/>
    <n v="1195.82"/>
    <n v="391.54"/>
    <m/>
    <n v="2051.1203590831656"/>
    <n v="364.92243737572466"/>
    <n v="0"/>
    <n v="51.335222400000049"/>
    <n v="0"/>
    <n v="78.134824037480598"/>
    <x v="3"/>
  </r>
  <r>
    <s v="Regular"/>
    <x v="1"/>
    <x v="2"/>
    <x v="2"/>
    <x v="3"/>
    <x v="1"/>
    <x v="0"/>
    <x v="1"/>
    <x v="4"/>
    <n v="0"/>
    <n v="0"/>
    <n v="0.64700000000000002"/>
    <n v="0.60818000000000005"/>
    <n v="0.64700000000000002"/>
    <n v="0.60818000000000005"/>
    <n v="0"/>
    <s v="CATIVO"/>
    <n v="0"/>
    <n v="0"/>
    <n v="15"/>
    <n v="65"/>
    <n v="0"/>
    <n v="1195.82"/>
    <n v="391.54"/>
    <m/>
    <n v="2051.1203590831656"/>
    <n v="364.92243737572466"/>
    <n v="0"/>
    <n v="61.621315199999941"/>
    <n v="0"/>
    <n v="93.790781358534048"/>
    <x v="3"/>
  </r>
  <r>
    <s v="Regular"/>
    <x v="1"/>
    <x v="2"/>
    <x v="2"/>
    <x v="3"/>
    <x v="1"/>
    <x v="0"/>
    <x v="1"/>
    <x v="11"/>
    <n v="0"/>
    <n v="0"/>
    <n v="0.64900000000000002"/>
    <n v="0.61006000000000005"/>
    <n v="0.64900000000000002"/>
    <n v="0.61006000000000005"/>
    <n v="0"/>
    <s v="CATIVO"/>
    <n v="0"/>
    <n v="0"/>
    <n v="15"/>
    <n v="65"/>
    <n v="0"/>
    <n v="1195.82"/>
    <n v="391.54"/>
    <m/>
    <n v="2051.1203590831656"/>
    <n v="364.92243737572466"/>
    <n v="0"/>
    <n v="61.811798399999958"/>
    <n v="0"/>
    <n v="94.080706494109123"/>
    <x v="3"/>
  </r>
  <r>
    <s v="Regular"/>
    <x v="1"/>
    <x v="2"/>
    <x v="2"/>
    <x v="3"/>
    <x v="1"/>
    <x v="0"/>
    <x v="1"/>
    <x v="5"/>
    <n v="0"/>
    <n v="0"/>
    <n v="0.57499999999999996"/>
    <n v="0.54049999999999998"/>
    <n v="0.57499999999999996"/>
    <n v="0.54049999999999998"/>
    <n v="0"/>
    <s v="CATIVO"/>
    <n v="0"/>
    <n v="0"/>
    <n v="15"/>
    <n v="65"/>
    <n v="0"/>
    <n v="1195.82"/>
    <n v="391.54"/>
    <m/>
    <n v="2051.1203590831656"/>
    <n v="364.92243737572466"/>
    <n v="0"/>
    <n v="54.763919999999956"/>
    <n v="0"/>
    <n v="83.353476477831663"/>
    <x v="3"/>
  </r>
  <r>
    <s v="Regular"/>
    <x v="1"/>
    <x v="2"/>
    <x v="2"/>
    <x v="3"/>
    <x v="1"/>
    <x v="0"/>
    <x v="1"/>
    <x v="6"/>
    <n v="0"/>
    <n v="0"/>
    <n v="0.61099999999999999"/>
    <n v="0.57433999999999996"/>
    <n v="0.61099999999999999"/>
    <n v="0.57433999999999996"/>
    <n v="0"/>
    <s v="CATIVO"/>
    <n v="0"/>
    <n v="0"/>
    <n v="15"/>
    <n v="65"/>
    <n v="0"/>
    <n v="1195.82"/>
    <n v="391.54"/>
    <m/>
    <n v="2051.1203590831656"/>
    <n v="364.92243737572466"/>
    <n v="0"/>
    <n v="58.192617600000041"/>
    <n v="0"/>
    <n v="88.572128918182983"/>
    <x v="3"/>
  </r>
  <r>
    <s v="Regular"/>
    <x v="1"/>
    <x v="2"/>
    <x v="2"/>
    <x v="3"/>
    <x v="1"/>
    <x v="0"/>
    <x v="1"/>
    <x v="7"/>
    <n v="0"/>
    <n v="0"/>
    <n v="0.56000000000000005"/>
    <n v="0.52639999999999998"/>
    <n v="0.56000000000000005"/>
    <n v="0.52639999999999998"/>
    <n v="0"/>
    <s v="CATIVO"/>
    <n v="0"/>
    <n v="0"/>
    <n v="15"/>
    <n v="65"/>
    <n v="0"/>
    <n v="1195.82"/>
    <n v="391.54"/>
    <m/>
    <n v="2051.1203590831656"/>
    <n v="364.92243737572466"/>
    <n v="0"/>
    <n v="53.335296000000113"/>
    <n v="0"/>
    <n v="81.179037961018878"/>
    <x v="3"/>
  </r>
  <r>
    <s v="Regular"/>
    <x v="1"/>
    <x v="2"/>
    <x v="2"/>
    <x v="3"/>
    <x v="1"/>
    <x v="0"/>
    <x v="1"/>
    <x v="8"/>
    <n v="0"/>
    <n v="0"/>
    <n v="0.69699999999999995"/>
    <n v="0.65517999999999998"/>
    <n v="0.69699999999999995"/>
    <n v="0.65517999999999998"/>
    <n v="0"/>
    <s v="CATIVO"/>
    <n v="0"/>
    <n v="0"/>
    <n v="15"/>
    <n v="65"/>
    <n v="0"/>
    <n v="1195.82"/>
    <n v="391.54"/>
    <m/>
    <n v="2051.1203590831656"/>
    <n v="364.92243737572466"/>
    <n v="0"/>
    <n v="66.383395199999953"/>
    <n v="0"/>
    <n v="101.03890974791072"/>
    <x v="3"/>
  </r>
  <r>
    <s v="Regular"/>
    <x v="1"/>
    <x v="2"/>
    <x v="2"/>
    <x v="3"/>
    <x v="1"/>
    <x v="0"/>
    <x v="1"/>
    <x v="0"/>
    <n v="0"/>
    <n v="0"/>
    <n v="0.65500000000000003"/>
    <n v="0.61570000000000003"/>
    <n v="0.65500000000000003"/>
    <n v="0.61570000000000003"/>
    <n v="0"/>
    <s v="CATIVO"/>
    <n v="0"/>
    <n v="0"/>
    <n v="15"/>
    <n v="65"/>
    <n v="0"/>
    <n v="1195.82"/>
    <n v="391.54"/>
    <m/>
    <n v="2051.1203590831656"/>
    <n v="364.92243737572466"/>
    <n v="0"/>
    <n v="62.383247999999995"/>
    <n v="0"/>
    <n v="94.95048190083439"/>
    <x v="3"/>
  </r>
  <r>
    <s v="Regular"/>
    <x v="1"/>
    <x v="2"/>
    <x v="2"/>
    <x v="3"/>
    <x v="1"/>
    <x v="0"/>
    <x v="1"/>
    <x v="1"/>
    <n v="0"/>
    <n v="0"/>
    <n v="0.76300000000000001"/>
    <n v="0.71721999999999997"/>
    <n v="0.76300000000000001"/>
    <n v="0.71721999999999997"/>
    <n v="0"/>
    <s v="CATIVO"/>
    <n v="0"/>
    <n v="0"/>
    <n v="15"/>
    <n v="65"/>
    <n v="0"/>
    <n v="1195.82"/>
    <n v="391.54"/>
    <m/>
    <n v="2051.1203590831656"/>
    <n v="364.92243737572466"/>
    <n v="0"/>
    <n v="72.669340800000072"/>
    <n v="0"/>
    <n v="110.6064392218881"/>
    <x v="3"/>
  </r>
  <r>
    <s v="Regular"/>
    <x v="1"/>
    <x v="2"/>
    <x v="2"/>
    <x v="3"/>
    <x v="1"/>
    <x v="0"/>
    <x v="1"/>
    <x v="2"/>
    <n v="0"/>
    <n v="0"/>
    <n v="0.83099999999999996"/>
    <n v="0.78113999999999995"/>
    <n v="0.83099999999999996"/>
    <n v="0.78113999999999995"/>
    <n v="0"/>
    <s v="CATIVO"/>
    <n v="0"/>
    <n v="0"/>
    <n v="15"/>
    <n v="65"/>
    <n v="0"/>
    <n v="1195.82"/>
    <n v="391.54"/>
    <m/>
    <n v="2051.1203590831656"/>
    <n v="364.92243737572466"/>
    <n v="0"/>
    <n v="79.145769600000023"/>
    <n v="0"/>
    <n v="120.4638938314403"/>
    <x v="3"/>
  </r>
  <r>
    <s v="Regular"/>
    <x v="1"/>
    <x v="2"/>
    <x v="2"/>
    <x v="3"/>
    <x v="1"/>
    <x v="0"/>
    <x v="1"/>
    <x v="9"/>
    <n v="0"/>
    <n v="0"/>
    <n v="0.748"/>
    <n v="0.70311999999999997"/>
    <n v="0.748"/>
    <n v="0.70311999999999997"/>
    <n v="0"/>
    <s v="CATIVO"/>
    <n v="0"/>
    <n v="0"/>
    <n v="15"/>
    <n v="65"/>
    <n v="0"/>
    <n v="1195.82"/>
    <n v="391.54"/>
    <m/>
    <n v="2051.1203590831656"/>
    <n v="364.92243737572466"/>
    <n v="0"/>
    <n v="71.240716800000044"/>
    <n v="0"/>
    <n v="108.43200070507507"/>
    <x v="3"/>
  </r>
  <r>
    <s v="PROJETADO"/>
    <x v="1"/>
    <x v="2"/>
    <x v="2"/>
    <x v="3"/>
    <x v="1"/>
    <x v="0"/>
    <x v="1"/>
    <x v="10"/>
    <n v="0"/>
    <n v="0"/>
    <n v="0.748"/>
    <n v="0.70311999999999997"/>
    <n v="0.748"/>
    <n v="0.70311999999999997"/>
    <n v="0"/>
    <s v="CATIVO"/>
    <n v="0"/>
    <n v="0"/>
    <n v="15"/>
    <n v="65"/>
    <n v="0"/>
    <n v="1195.82"/>
    <n v="391.54"/>
    <m/>
    <n v="2051.1203590831656"/>
    <n v="364.92243737572466"/>
    <n v="0"/>
    <n v="71.240716800000044"/>
    <n v="0"/>
    <n v="108.43200070507507"/>
    <x v="3"/>
  </r>
  <r>
    <s v="Regular"/>
    <x v="2"/>
    <x v="3"/>
    <x v="4"/>
    <x v="4"/>
    <x v="1"/>
    <x v="0"/>
    <x v="2"/>
    <x v="3"/>
    <n v="0"/>
    <n v="0"/>
    <n v="4079.2910000000002"/>
    <n v="4079.2910000000002"/>
    <n v="4079.2910000000002"/>
    <n v="4079.2910000000002"/>
    <n v="27228"/>
    <s v="CATIVO"/>
    <n v="0"/>
    <n v="0"/>
    <n v="30"/>
    <n v="71"/>
    <n v="0"/>
    <n v="379.62"/>
    <n v="255.17"/>
    <m/>
    <n v="482.76396348427488"/>
    <n v="238.98759729915042"/>
    <n v="0"/>
    <n v="0"/>
    <n v="0"/>
    <n v="0"/>
    <x v="5"/>
  </r>
  <r>
    <s v="Regular"/>
    <x v="2"/>
    <x v="3"/>
    <x v="4"/>
    <x v="5"/>
    <x v="1"/>
    <x v="0"/>
    <x v="2"/>
    <x v="3"/>
    <n v="0"/>
    <n v="0"/>
    <n v="74.97"/>
    <n v="74.97"/>
    <n v="74.97"/>
    <n v="74.97"/>
    <n v="78"/>
    <s v="CATIVO"/>
    <n v="0"/>
    <n v="0"/>
    <n v="31"/>
    <n v="72"/>
    <n v="0"/>
    <n v="105.1"/>
    <n v="89.31"/>
    <m/>
    <n v="114.30345333487438"/>
    <n v="83.645659054702648"/>
    <n v="0"/>
    <n v="27068.6682"/>
    <n v="0"/>
    <n v="27560.454918000811"/>
    <x v="6"/>
  </r>
  <r>
    <s v="Regular"/>
    <x v="2"/>
    <x v="3"/>
    <x v="4"/>
    <x v="5"/>
    <x v="1"/>
    <x v="0"/>
    <x v="2"/>
    <x v="4"/>
    <n v="0"/>
    <n v="0"/>
    <n v="78.33"/>
    <n v="78.33"/>
    <n v="78.33"/>
    <n v="78.33"/>
    <n v="100"/>
    <s v="CATIVO"/>
    <n v="0"/>
    <n v="0"/>
    <n v="31"/>
    <n v="72"/>
    <n v="0"/>
    <n v="105.1"/>
    <n v="89.31"/>
    <m/>
    <n v="114.30345333487438"/>
    <n v="83.645659054702648"/>
    <n v="0"/>
    <n v="28281.8298"/>
    <n v="0"/>
    <n v="28795.657379311771"/>
    <x v="6"/>
  </r>
  <r>
    <s v="Regular"/>
    <x v="2"/>
    <x v="3"/>
    <x v="4"/>
    <x v="5"/>
    <x v="1"/>
    <x v="0"/>
    <x v="2"/>
    <x v="11"/>
    <n v="0"/>
    <n v="0"/>
    <n v="80.010000000000005"/>
    <n v="80.010000000000005"/>
    <n v="80.010000000000005"/>
    <n v="80.010000000000005"/>
    <n v="88"/>
    <s v="CATIVO"/>
    <n v="0"/>
    <n v="0"/>
    <n v="31"/>
    <n v="72"/>
    <n v="0"/>
    <n v="105.1"/>
    <n v="89.31"/>
    <m/>
    <n v="114.30345333487438"/>
    <n v="83.645659054702648"/>
    <n v="0"/>
    <n v="28888.410600000003"/>
    <n v="0"/>
    <n v="29413.258609967255"/>
    <x v="6"/>
  </r>
  <r>
    <s v="Regular"/>
    <x v="2"/>
    <x v="3"/>
    <x v="4"/>
    <x v="5"/>
    <x v="1"/>
    <x v="0"/>
    <x v="2"/>
    <x v="5"/>
    <n v="0"/>
    <n v="0"/>
    <n v="82.56"/>
    <n v="82.56"/>
    <n v="82.56"/>
    <n v="82.56"/>
    <n v="88"/>
    <s v="CATIVO"/>
    <n v="0"/>
    <n v="0"/>
    <n v="31"/>
    <n v="72"/>
    <n v="0"/>
    <n v="105.1"/>
    <n v="89.31"/>
    <m/>
    <n v="114.30345333487438"/>
    <n v="83.645659054702648"/>
    <n v="0"/>
    <n v="29809.113600000001"/>
    <n v="0"/>
    <n v="30350.689049355038"/>
    <x v="6"/>
  </r>
  <r>
    <s v="Regular"/>
    <x v="2"/>
    <x v="3"/>
    <x v="4"/>
    <x v="5"/>
    <x v="1"/>
    <x v="0"/>
    <x v="2"/>
    <x v="6"/>
    <n v="0"/>
    <n v="0"/>
    <n v="86.88"/>
    <n v="86.88"/>
    <n v="86.88"/>
    <n v="86.88"/>
    <n v="95"/>
    <s v="CATIVO"/>
    <n v="0"/>
    <n v="0"/>
    <n v="31"/>
    <n v="72"/>
    <n v="0"/>
    <n v="105.1"/>
    <n v="89.31"/>
    <m/>
    <n v="114.30345333487438"/>
    <n v="83.645659054702648"/>
    <n v="0"/>
    <n v="31368.892799999998"/>
    <n v="0"/>
    <n v="31938.806499611983"/>
    <x v="6"/>
  </r>
  <r>
    <s v="Regular"/>
    <x v="2"/>
    <x v="3"/>
    <x v="4"/>
    <x v="5"/>
    <x v="1"/>
    <x v="0"/>
    <x v="2"/>
    <x v="7"/>
    <n v="0"/>
    <n v="0"/>
    <n v="97.29"/>
    <n v="97.29"/>
    <n v="97.29"/>
    <n v="97.29"/>
    <n v="89"/>
    <s v="CATIVO"/>
    <n v="0"/>
    <n v="0"/>
    <n v="31"/>
    <n v="72"/>
    <n v="0"/>
    <n v="105.1"/>
    <n v="89.31"/>
    <m/>
    <n v="114.30345333487438"/>
    <n v="83.645659054702648"/>
    <n v="0"/>
    <n v="35127.527399999999"/>
    <n v="0"/>
    <n v="35765.728410995056"/>
    <x v="6"/>
  </r>
  <r>
    <s v="Regular"/>
    <x v="2"/>
    <x v="3"/>
    <x v="4"/>
    <x v="5"/>
    <x v="1"/>
    <x v="0"/>
    <x v="2"/>
    <x v="8"/>
    <n v="0"/>
    <n v="0"/>
    <n v="105.64"/>
    <n v="105.64"/>
    <n v="105.64"/>
    <n v="105.64"/>
    <n v="104"/>
    <s v="CATIVO"/>
    <n v="0"/>
    <n v="0"/>
    <n v="31"/>
    <n v="72"/>
    <n v="0"/>
    <n v="105.1"/>
    <n v="89.31"/>
    <m/>
    <n v="114.30345333487438"/>
    <n v="83.645659054702648"/>
    <n v="0"/>
    <n v="38142.378400000001"/>
    <n v="0"/>
    <n v="38835.353575264853"/>
    <x v="6"/>
  </r>
  <r>
    <s v="Regular"/>
    <x v="2"/>
    <x v="3"/>
    <x v="4"/>
    <x v="5"/>
    <x v="1"/>
    <x v="0"/>
    <x v="2"/>
    <x v="0"/>
    <n v="0"/>
    <n v="0"/>
    <n v="101.1"/>
    <n v="101.1"/>
    <n v="101.1"/>
    <n v="101.1"/>
    <n v="100"/>
    <s v="CATIVO"/>
    <n v="0"/>
    <n v="0"/>
    <n v="31"/>
    <n v="72"/>
    <n v="0"/>
    <n v="105.1"/>
    <n v="89.31"/>
    <m/>
    <n v="114.30345333487438"/>
    <n v="83.645659054702648"/>
    <n v="0"/>
    <n v="36503.165999999997"/>
    <n v="0"/>
    <n v="37166.359773374439"/>
    <x v="6"/>
  </r>
  <r>
    <s v="Regular"/>
    <x v="2"/>
    <x v="3"/>
    <x v="4"/>
    <x v="5"/>
    <x v="1"/>
    <x v="0"/>
    <x v="2"/>
    <x v="1"/>
    <n v="0"/>
    <n v="0"/>
    <n v="101.28"/>
    <n v="101.28"/>
    <n v="101.28"/>
    <n v="101.28"/>
    <n v="97"/>
    <s v="CATIVO"/>
    <n v="0"/>
    <n v="0"/>
    <n v="31"/>
    <n v="72"/>
    <n v="0"/>
    <n v="105.1"/>
    <n v="89.31"/>
    <m/>
    <n v="114.30345333487438"/>
    <n v="83.645659054702648"/>
    <n v="0"/>
    <n v="36568.156799999997"/>
    <n v="0"/>
    <n v="37232.531333801817"/>
    <x v="6"/>
  </r>
  <r>
    <s v="Sistema de Compensação"/>
    <x v="2"/>
    <x v="3"/>
    <x v="4"/>
    <x v="5"/>
    <x v="1"/>
    <x v="0"/>
    <x v="2"/>
    <x v="1"/>
    <n v="0"/>
    <n v="0"/>
    <n v="0.03"/>
    <n v="-6.7500000000000004E-2"/>
    <n v="0.03"/>
    <n v="-6.7500000000000004E-2"/>
    <n v="0"/>
    <s v="CATIVO"/>
    <n v="0"/>
    <n v="0"/>
    <n v="31"/>
    <n v="72"/>
    <n v="0"/>
    <n v="105.1"/>
    <n v="89.31"/>
    <m/>
    <n v="114.30345333487438"/>
    <n v="83.645659054702648"/>
    <n v="0"/>
    <n v="29.786774999999999"/>
    <n v="0"/>
    <n v="30.328631862545912"/>
    <x v="6"/>
  </r>
  <r>
    <s v="Regular"/>
    <x v="2"/>
    <x v="3"/>
    <x v="4"/>
    <x v="5"/>
    <x v="1"/>
    <x v="0"/>
    <x v="2"/>
    <x v="2"/>
    <n v="0"/>
    <n v="0"/>
    <n v="100.56"/>
    <n v="100.56"/>
    <n v="100.56"/>
    <n v="100.56"/>
    <n v="114"/>
    <s v="CATIVO"/>
    <n v="0"/>
    <n v="0"/>
    <n v="31"/>
    <n v="72"/>
    <n v="0"/>
    <n v="105.1"/>
    <n v="89.31"/>
    <m/>
    <n v="114.30345333487438"/>
    <n v="83.645659054702648"/>
    <n v="0"/>
    <n v="36308.193599999999"/>
    <n v="0"/>
    <n v="36967.845092092328"/>
    <x v="6"/>
  </r>
  <r>
    <s v="Regular"/>
    <x v="2"/>
    <x v="3"/>
    <x v="4"/>
    <x v="5"/>
    <x v="1"/>
    <x v="0"/>
    <x v="2"/>
    <x v="9"/>
    <n v="0"/>
    <n v="0"/>
    <n v="100.8"/>
    <n v="100.8"/>
    <n v="100.8"/>
    <n v="100.8"/>
    <n v="89"/>
    <s v="CATIVO"/>
    <n v="0"/>
    <n v="0"/>
    <n v="31"/>
    <n v="72"/>
    <n v="0"/>
    <n v="105.1"/>
    <n v="89.31"/>
    <m/>
    <n v="114.30345333487438"/>
    <n v="83.645659054702648"/>
    <n v="0"/>
    <n v="36394.847999999998"/>
    <n v="0"/>
    <n v="37056.073839328819"/>
    <x v="6"/>
  </r>
  <r>
    <s v="Sistema de Compensação"/>
    <x v="2"/>
    <x v="3"/>
    <x v="4"/>
    <x v="5"/>
    <x v="1"/>
    <x v="0"/>
    <x v="2"/>
    <x v="9"/>
    <n v="0"/>
    <n v="0"/>
    <n v="0.03"/>
    <n v="0.03"/>
    <n v="0.03"/>
    <n v="0.03"/>
    <n v="0"/>
    <s v="CATIVO"/>
    <n v="0"/>
    <n v="0"/>
    <n v="31"/>
    <n v="72"/>
    <n v="0"/>
    <n v="105.1"/>
    <n v="89.31"/>
    <m/>
    <n v="114.30345333487438"/>
    <n v="83.645659054702648"/>
    <n v="0"/>
    <n v="10.831799999999999"/>
    <n v="0"/>
    <n v="11.02859340456215"/>
    <x v="6"/>
  </r>
  <r>
    <s v="PROJETADO"/>
    <x v="2"/>
    <x v="3"/>
    <x v="4"/>
    <x v="5"/>
    <x v="1"/>
    <x v="0"/>
    <x v="2"/>
    <x v="10"/>
    <n v="0"/>
    <n v="0"/>
    <n v="100.8"/>
    <n v="100.8"/>
    <n v="100.8"/>
    <n v="100.8"/>
    <n v="89"/>
    <s v="CATIVO"/>
    <n v="0"/>
    <n v="0"/>
    <n v="31"/>
    <n v="72"/>
    <n v="0"/>
    <n v="105.1"/>
    <n v="89.31"/>
    <m/>
    <n v="114.30345333487438"/>
    <n v="83.645659054702648"/>
    <n v="0"/>
    <n v="36394.847999999998"/>
    <n v="0"/>
    <n v="37056.073839328819"/>
    <x v="6"/>
  </r>
  <r>
    <s v="PROJETADO"/>
    <x v="2"/>
    <x v="3"/>
    <x v="4"/>
    <x v="5"/>
    <x v="1"/>
    <x v="0"/>
    <x v="2"/>
    <x v="10"/>
    <n v="0"/>
    <n v="0"/>
    <n v="0.03"/>
    <n v="0.03"/>
    <n v="0.03"/>
    <n v="0.03"/>
    <n v="0"/>
    <s v="CATIVO"/>
    <n v="0"/>
    <n v="0"/>
    <n v="31"/>
    <n v="72"/>
    <n v="0"/>
    <n v="105.1"/>
    <n v="89.31"/>
    <m/>
    <n v="114.30345333487438"/>
    <n v="83.645659054702648"/>
    <n v="0"/>
    <n v="10.831799999999999"/>
    <n v="0"/>
    <n v="11.02859340456215"/>
    <x v="6"/>
  </r>
  <r>
    <s v="Regular"/>
    <x v="2"/>
    <x v="3"/>
    <x v="4"/>
    <x v="6"/>
    <x v="1"/>
    <x v="0"/>
    <x v="2"/>
    <x v="3"/>
    <n v="0"/>
    <n v="0"/>
    <n v="153.358"/>
    <n v="153.358"/>
    <n v="153.358"/>
    <n v="153.358"/>
    <n v="651"/>
    <s v="CATIVO"/>
    <n v="0"/>
    <n v="0"/>
    <n v="32"/>
    <n v="73"/>
    <n v="0"/>
    <n v="180.18"/>
    <n v="153.1"/>
    <m/>
    <n v="195.94877714549895"/>
    <n v="143.39255837949025"/>
    <n v="0"/>
    <n v="34074.614020000008"/>
    <n v="0"/>
    <n v="34693.805688960856"/>
    <x v="6"/>
  </r>
  <r>
    <s v="Regular"/>
    <x v="2"/>
    <x v="3"/>
    <x v="4"/>
    <x v="6"/>
    <x v="1"/>
    <x v="0"/>
    <x v="2"/>
    <x v="4"/>
    <n v="0"/>
    <n v="0"/>
    <n v="158.65600000000001"/>
    <n v="158.65600000000001"/>
    <n v="158.65600000000001"/>
    <n v="158.65600000000001"/>
    <n v="681"/>
    <s v="CATIVO"/>
    <n v="0"/>
    <n v="0"/>
    <n v="32"/>
    <n v="73"/>
    <n v="0"/>
    <n v="180.18"/>
    <n v="153.1"/>
    <m/>
    <n v="195.94877714549895"/>
    <n v="143.39255837949025"/>
    <n v="0"/>
    <n v="35251.776640000004"/>
    <n v="0"/>
    <n v="35892.35928603512"/>
    <x v="6"/>
  </r>
  <r>
    <s v="Regular"/>
    <x v="2"/>
    <x v="3"/>
    <x v="4"/>
    <x v="6"/>
    <x v="1"/>
    <x v="0"/>
    <x v="2"/>
    <x v="11"/>
    <n v="0"/>
    <n v="0"/>
    <n v="164.26400000000001"/>
    <n v="164.26400000000001"/>
    <n v="164.26400000000001"/>
    <n v="164.26400000000001"/>
    <n v="674"/>
    <s v="CATIVO"/>
    <n v="0"/>
    <n v="0"/>
    <n v="32"/>
    <n v="73"/>
    <n v="0"/>
    <n v="180.18"/>
    <n v="153.1"/>
    <m/>
    <n v="195.94877714549895"/>
    <n v="143.39255837949025"/>
    <n v="0"/>
    <n v="36497.81816000001"/>
    <n v="0"/>
    <n v="37161.043425784548"/>
    <x v="6"/>
  </r>
  <r>
    <s v="Regular"/>
    <x v="2"/>
    <x v="3"/>
    <x v="4"/>
    <x v="6"/>
    <x v="1"/>
    <x v="0"/>
    <x v="2"/>
    <x v="5"/>
    <n v="0"/>
    <n v="0"/>
    <n v="168.87899999999999"/>
    <n v="168.87899999999999"/>
    <n v="168.87899999999999"/>
    <n v="168.87899999999999"/>
    <n v="701"/>
    <s v="CATIVO"/>
    <n v="0"/>
    <n v="0"/>
    <n v="32"/>
    <n v="73"/>
    <n v="0"/>
    <n v="180.18"/>
    <n v="153.1"/>
    <m/>
    <n v="195.94877714549895"/>
    <n v="143.39255837949025"/>
    <n v="0"/>
    <n v="37523.225010000002"/>
    <n v="0"/>
    <n v="38205.083601416423"/>
    <x v="6"/>
  </r>
  <r>
    <s v="Regular"/>
    <x v="2"/>
    <x v="3"/>
    <x v="4"/>
    <x v="6"/>
    <x v="1"/>
    <x v="0"/>
    <x v="2"/>
    <x v="6"/>
    <n v="0"/>
    <n v="0"/>
    <n v="173.79900000000001"/>
    <n v="173.79900000000001"/>
    <n v="173.79900000000001"/>
    <n v="173.79900000000001"/>
    <n v="871"/>
    <s v="CATIVO"/>
    <n v="0"/>
    <n v="0"/>
    <n v="32"/>
    <n v="73"/>
    <n v="0"/>
    <n v="180.18"/>
    <n v="153.1"/>
    <m/>
    <n v="195.94877714549895"/>
    <n v="143.39255837949025"/>
    <n v="0"/>
    <n v="38616.399810000003"/>
    <n v="0"/>
    <n v="39318.123181938397"/>
    <x v="6"/>
  </r>
  <r>
    <s v="Regular"/>
    <x v="2"/>
    <x v="3"/>
    <x v="4"/>
    <x v="6"/>
    <x v="1"/>
    <x v="0"/>
    <x v="2"/>
    <x v="7"/>
    <n v="0"/>
    <n v="0"/>
    <n v="202.85900000000001"/>
    <n v="202.85900000000001"/>
    <n v="202.85900000000001"/>
    <n v="202.85900000000001"/>
    <n v="739"/>
    <s v="CATIVO"/>
    <n v="0"/>
    <n v="0"/>
    <n v="32"/>
    <n v="73"/>
    <n v="0"/>
    <n v="180.18"/>
    <n v="153.1"/>
    <m/>
    <n v="195.94877714549895"/>
    <n v="143.39255837949025"/>
    <n v="0"/>
    <n v="45073.241210000007"/>
    <n v="0"/>
    <n v="45892.295988842518"/>
    <x v="6"/>
  </r>
  <r>
    <s v="Regular"/>
    <x v="2"/>
    <x v="3"/>
    <x v="4"/>
    <x v="6"/>
    <x v="1"/>
    <x v="0"/>
    <x v="2"/>
    <x v="8"/>
    <n v="0"/>
    <n v="0"/>
    <n v="215.45599999999999"/>
    <n v="215.45599999999999"/>
    <n v="215.45599999999999"/>
    <n v="215.45599999999999"/>
    <n v="953"/>
    <s v="CATIVO"/>
    <n v="0"/>
    <n v="0"/>
    <n v="32"/>
    <n v="73"/>
    <n v="0"/>
    <n v="180.18"/>
    <n v="153.1"/>
    <m/>
    <n v="195.94877714549895"/>
    <n v="143.39255837949025"/>
    <n v="0"/>
    <n v="47872.168640000004"/>
    <n v="0"/>
    <n v="48742.084524581369"/>
    <x v="6"/>
  </r>
  <r>
    <s v="Regular"/>
    <x v="2"/>
    <x v="3"/>
    <x v="4"/>
    <x v="6"/>
    <x v="1"/>
    <x v="0"/>
    <x v="2"/>
    <x v="0"/>
    <n v="0"/>
    <n v="0"/>
    <n v="200.75899999999999"/>
    <n v="200.75899999999999"/>
    <n v="200.75899999999999"/>
    <n v="200.75899999999999"/>
    <n v="1051"/>
    <s v="CATIVO"/>
    <n v="0"/>
    <n v="0"/>
    <n v="32"/>
    <n v="73"/>
    <n v="0"/>
    <n v="180.18"/>
    <n v="153.1"/>
    <m/>
    <n v="195.94877714549895"/>
    <n v="143.39255837949025"/>
    <n v="0"/>
    <n v="44606.642210000005"/>
    <n v="0"/>
    <n v="45417.218119107529"/>
    <x v="6"/>
  </r>
  <r>
    <s v="Regular"/>
    <x v="2"/>
    <x v="3"/>
    <x v="4"/>
    <x v="6"/>
    <x v="1"/>
    <x v="0"/>
    <x v="2"/>
    <x v="1"/>
    <n v="0"/>
    <n v="0"/>
    <n v="204.48699999999999"/>
    <n v="204.48699999999999"/>
    <n v="204.48699999999999"/>
    <n v="204.48699999999999"/>
    <n v="950"/>
    <s v="CATIVO"/>
    <n v="0"/>
    <n v="0"/>
    <n v="32"/>
    <n v="73"/>
    <n v="0"/>
    <n v="180.18"/>
    <n v="153.1"/>
    <m/>
    <n v="195.94877714549895"/>
    <n v="143.39255837949025"/>
    <n v="0"/>
    <n v="45434.966530000005"/>
    <n v="0"/>
    <n v="46260.594451665638"/>
    <x v="6"/>
  </r>
  <r>
    <s v="Regular"/>
    <x v="2"/>
    <x v="3"/>
    <x v="4"/>
    <x v="6"/>
    <x v="1"/>
    <x v="0"/>
    <x v="2"/>
    <x v="2"/>
    <n v="0"/>
    <n v="0"/>
    <n v="199.404"/>
    <n v="199.404"/>
    <n v="199.404"/>
    <n v="199.404"/>
    <n v="1039"/>
    <s v="CATIVO"/>
    <n v="0"/>
    <n v="0"/>
    <n v="32"/>
    <n v="73"/>
    <n v="0"/>
    <n v="180.18"/>
    <n v="153.1"/>
    <m/>
    <n v="195.94877714549895"/>
    <n v="143.39255837949025"/>
    <n v="0"/>
    <n v="44305.574760000003"/>
    <n v="0"/>
    <n v="45110.679779349957"/>
    <x v="6"/>
  </r>
  <r>
    <s v="Regular"/>
    <x v="2"/>
    <x v="3"/>
    <x v="4"/>
    <x v="6"/>
    <x v="1"/>
    <x v="0"/>
    <x v="2"/>
    <x v="9"/>
    <n v="0"/>
    <n v="0"/>
    <n v="210.48099999999999"/>
    <n v="210.48099999999999"/>
    <n v="210.48099999999999"/>
    <n v="210.48099999999999"/>
    <n v="753"/>
    <s v="CATIVO"/>
    <n v="0"/>
    <n v="0"/>
    <n v="32"/>
    <n v="73"/>
    <n v="0"/>
    <n v="180.18"/>
    <n v="153.1"/>
    <m/>
    <n v="195.94877714549895"/>
    <n v="143.39255837949025"/>
    <n v="0"/>
    <n v="46766.773390000002"/>
    <n v="0"/>
    <n v="47616.602428423495"/>
    <x v="6"/>
  </r>
  <r>
    <s v="Sistema de Compensação"/>
    <x v="2"/>
    <x v="3"/>
    <x v="4"/>
    <x v="6"/>
    <x v="1"/>
    <x v="0"/>
    <x v="2"/>
    <x v="9"/>
    <n v="0"/>
    <n v="0"/>
    <n v="7.0000000000000007E-2"/>
    <n v="7.0000000000000007E-2"/>
    <n v="7.0000000000000007E-2"/>
    <n v="7.0000000000000007E-2"/>
    <n v="0"/>
    <s v="CATIVO"/>
    <n v="0"/>
    <n v="0"/>
    <n v="32"/>
    <n v="73"/>
    <n v="0"/>
    <n v="180.18"/>
    <n v="153.1"/>
    <m/>
    <n v="195.94877714549895"/>
    <n v="143.39255837949025"/>
    <n v="0"/>
    <n v="15.553300000000004"/>
    <n v="0"/>
    <n v="15.835928991166162"/>
    <x v="6"/>
  </r>
  <r>
    <s v="PROJETADO"/>
    <x v="2"/>
    <x v="3"/>
    <x v="4"/>
    <x v="6"/>
    <x v="1"/>
    <x v="0"/>
    <x v="2"/>
    <x v="10"/>
    <n v="0"/>
    <n v="0"/>
    <n v="210.48099999999999"/>
    <n v="210.48099999999999"/>
    <n v="210.48099999999999"/>
    <n v="210.48099999999999"/>
    <n v="753"/>
    <s v="CATIVO"/>
    <n v="0"/>
    <n v="0"/>
    <n v="32"/>
    <n v="73"/>
    <n v="0"/>
    <n v="180.18"/>
    <n v="153.1"/>
    <m/>
    <n v="195.94877714549895"/>
    <n v="143.39255837949025"/>
    <n v="0"/>
    <n v="46766.773390000002"/>
    <n v="0"/>
    <n v="47616.602428423495"/>
    <x v="6"/>
  </r>
  <r>
    <s v="PROJETADO"/>
    <x v="2"/>
    <x v="3"/>
    <x v="4"/>
    <x v="6"/>
    <x v="1"/>
    <x v="0"/>
    <x v="2"/>
    <x v="10"/>
    <n v="0"/>
    <n v="0"/>
    <n v="7.0000000000000007E-2"/>
    <n v="7.0000000000000007E-2"/>
    <n v="7.0000000000000007E-2"/>
    <n v="7.0000000000000007E-2"/>
    <n v="0"/>
    <s v="CATIVO"/>
    <n v="0"/>
    <n v="0"/>
    <n v="32"/>
    <n v="73"/>
    <n v="0"/>
    <n v="180.18"/>
    <n v="153.1"/>
    <m/>
    <n v="195.94877714549895"/>
    <n v="143.39255837949025"/>
    <n v="0"/>
    <n v="15.553300000000004"/>
    <n v="0"/>
    <n v="15.835928991166162"/>
    <x v="6"/>
  </r>
  <r>
    <s v="Regular"/>
    <x v="2"/>
    <x v="3"/>
    <x v="4"/>
    <x v="7"/>
    <x v="1"/>
    <x v="0"/>
    <x v="2"/>
    <x v="3"/>
    <n v="0"/>
    <n v="0"/>
    <n v="109.375"/>
    <n v="109.375"/>
    <n v="109.375"/>
    <n v="109.375"/>
    <n v="1473"/>
    <s v="CATIVO"/>
    <n v="0"/>
    <n v="0"/>
    <n v="33"/>
    <n v="74"/>
    <n v="0"/>
    <n v="270.27"/>
    <n v="229.65"/>
    <m/>
    <n v="293.92316571824841"/>
    <n v="215.08883756923538"/>
    <n v="0"/>
    <n v="6075.7812500000045"/>
    <n v="0"/>
    <n v="6185.9097621742831"/>
    <x v="6"/>
  </r>
  <r>
    <s v="Regular"/>
    <x v="2"/>
    <x v="3"/>
    <x v="4"/>
    <x v="7"/>
    <x v="1"/>
    <x v="0"/>
    <x v="2"/>
    <x v="4"/>
    <n v="0"/>
    <n v="0"/>
    <n v="109.339"/>
    <n v="109.339"/>
    <n v="109.339"/>
    <n v="109.339"/>
    <n v="1550"/>
    <s v="CATIVO"/>
    <n v="0"/>
    <n v="0"/>
    <n v="33"/>
    <n v="74"/>
    <n v="0"/>
    <n v="270.27"/>
    <n v="229.65"/>
    <m/>
    <n v="293.92316571824841"/>
    <n v="215.08883756923538"/>
    <n v="0"/>
    <n v="6073.781450000004"/>
    <n v="0"/>
    <n v="6183.8737141611327"/>
    <x v="6"/>
  </r>
  <r>
    <s v="Regular"/>
    <x v="2"/>
    <x v="3"/>
    <x v="4"/>
    <x v="7"/>
    <x v="1"/>
    <x v="0"/>
    <x v="2"/>
    <x v="11"/>
    <n v="0"/>
    <n v="0"/>
    <n v="118.824"/>
    <n v="118.824"/>
    <n v="118.824"/>
    <n v="118.824"/>
    <n v="1563"/>
    <s v="CATIVO"/>
    <n v="0"/>
    <n v="0"/>
    <n v="33"/>
    <n v="74"/>
    <n v="0"/>
    <n v="270.27"/>
    <n v="229.65"/>
    <m/>
    <n v="293.92316571824841"/>
    <n v="215.08883756923538"/>
    <n v="0"/>
    <n v="6600.6732000000047"/>
    <n v="0"/>
    <n v="6720.3158087368865"/>
    <x v="6"/>
  </r>
  <r>
    <s v="Regular"/>
    <x v="2"/>
    <x v="3"/>
    <x v="4"/>
    <x v="7"/>
    <x v="1"/>
    <x v="0"/>
    <x v="2"/>
    <x v="5"/>
    <n v="0"/>
    <n v="0"/>
    <n v="119.429"/>
    <n v="119.429"/>
    <n v="119.429"/>
    <n v="119.429"/>
    <n v="1643"/>
    <s v="CATIVO"/>
    <n v="0"/>
    <n v="0"/>
    <n v="33"/>
    <n v="74"/>
    <n v="0"/>
    <n v="270.27"/>
    <n v="229.65"/>
    <m/>
    <n v="293.92316571824841"/>
    <n v="215.08883756923538"/>
    <n v="0"/>
    <n v="6634.2809500000049"/>
    <n v="0"/>
    <n v="6754.532726735657"/>
    <x v="6"/>
  </r>
  <r>
    <s v="Regular"/>
    <x v="2"/>
    <x v="3"/>
    <x v="4"/>
    <x v="7"/>
    <x v="1"/>
    <x v="0"/>
    <x v="2"/>
    <x v="6"/>
    <n v="0"/>
    <n v="0"/>
    <n v="109.42"/>
    <n v="109.42"/>
    <n v="109.42"/>
    <n v="109.42"/>
    <n v="1674"/>
    <s v="CATIVO"/>
    <n v="0"/>
    <n v="0"/>
    <n v="33"/>
    <n v="74"/>
    <n v="0"/>
    <n v="270.27"/>
    <n v="229.65"/>
    <m/>
    <n v="293.92316571824841"/>
    <n v="215.08883756923538"/>
    <n v="0"/>
    <n v="6078.2810000000045"/>
    <n v="0"/>
    <n v="6188.4548221907207"/>
    <x v="6"/>
  </r>
  <r>
    <s v="Regular"/>
    <x v="2"/>
    <x v="3"/>
    <x v="4"/>
    <x v="7"/>
    <x v="1"/>
    <x v="0"/>
    <x v="2"/>
    <x v="7"/>
    <n v="0"/>
    <n v="0"/>
    <n v="159.411"/>
    <n v="159.411"/>
    <n v="159.411"/>
    <n v="159.411"/>
    <n v="1893"/>
    <s v="CATIVO"/>
    <n v="0"/>
    <n v="0"/>
    <n v="33"/>
    <n v="74"/>
    <n v="0"/>
    <n v="270.27"/>
    <n v="229.65"/>
    <m/>
    <n v="293.92316571824841"/>
    <n v="215.08883756923538"/>
    <n v="0"/>
    <n v="8855.2810500000069"/>
    <n v="0"/>
    <n v="9015.790272895676"/>
    <x v="6"/>
  </r>
  <r>
    <s v="Regular"/>
    <x v="2"/>
    <x v="3"/>
    <x v="4"/>
    <x v="7"/>
    <x v="1"/>
    <x v="0"/>
    <x v="2"/>
    <x v="8"/>
    <n v="0"/>
    <n v="0"/>
    <n v="151.39599999999999"/>
    <n v="151.39599999999999"/>
    <n v="151.39599999999999"/>
    <n v="151.39599999999999"/>
    <n v="2031"/>
    <s v="CATIVO"/>
    <n v="0"/>
    <n v="0"/>
    <n v="33"/>
    <n v="74"/>
    <n v="0"/>
    <n v="270.27"/>
    <n v="229.65"/>
    <m/>
    <n v="293.92316571824841"/>
    <n v="215.08883756923538"/>
    <n v="0"/>
    <n v="8410.0478000000057"/>
    <n v="0"/>
    <n v="8562.4868055235438"/>
    <x v="6"/>
  </r>
  <r>
    <s v="Regular"/>
    <x v="2"/>
    <x v="3"/>
    <x v="4"/>
    <x v="7"/>
    <x v="1"/>
    <x v="0"/>
    <x v="2"/>
    <x v="0"/>
    <n v="0"/>
    <n v="0"/>
    <n v="119.86199999999999"/>
    <n v="119.86199999999999"/>
    <n v="119.86199999999999"/>
    <n v="119.86199999999999"/>
    <n v="1966"/>
    <s v="CATIVO"/>
    <n v="0"/>
    <n v="0"/>
    <n v="33"/>
    <n v="74"/>
    <n v="0"/>
    <n v="270.27"/>
    <n v="229.65"/>
    <m/>
    <n v="293.92316571824841"/>
    <n v="215.08883756923538"/>
    <n v="0"/>
    <n v="6658.3341000000046"/>
    <n v="0"/>
    <n v="6779.0218597827097"/>
    <x v="6"/>
  </r>
  <r>
    <s v="Regular"/>
    <x v="2"/>
    <x v="3"/>
    <x v="4"/>
    <x v="7"/>
    <x v="1"/>
    <x v="0"/>
    <x v="2"/>
    <x v="1"/>
    <n v="0"/>
    <n v="0"/>
    <n v="138.29599999999999"/>
    <n v="138.29599999999999"/>
    <n v="138.29599999999999"/>
    <n v="138.29599999999999"/>
    <n v="1982"/>
    <s v="CATIVO"/>
    <n v="0"/>
    <n v="0"/>
    <n v="33"/>
    <n v="74"/>
    <n v="0"/>
    <n v="270.27"/>
    <n v="229.65"/>
    <m/>
    <n v="293.92316571824841"/>
    <n v="215.08883756923538"/>
    <n v="0"/>
    <n v="7682.3428000000049"/>
    <n v="0"/>
    <n v="7821.5915562939845"/>
    <x v="6"/>
  </r>
  <r>
    <s v="Regular"/>
    <x v="2"/>
    <x v="3"/>
    <x v="4"/>
    <x v="7"/>
    <x v="1"/>
    <x v="0"/>
    <x v="2"/>
    <x v="2"/>
    <n v="0"/>
    <n v="0"/>
    <n v="122.026"/>
    <n v="122.026"/>
    <n v="122.026"/>
    <n v="122.026"/>
    <n v="1935"/>
    <s v="CATIVO"/>
    <n v="0"/>
    <n v="0"/>
    <n v="33"/>
    <n v="74"/>
    <n v="0"/>
    <n v="270.27"/>
    <n v="229.65"/>
    <m/>
    <n v="293.92316571824841"/>
    <n v="215.08883756923538"/>
    <n v="0"/>
    <n v="6778.544300000005"/>
    <n v="0"/>
    <n v="6901.4109681287227"/>
    <x v="6"/>
  </r>
  <r>
    <s v="Regular"/>
    <x v="2"/>
    <x v="3"/>
    <x v="4"/>
    <x v="7"/>
    <x v="1"/>
    <x v="0"/>
    <x v="2"/>
    <x v="9"/>
    <n v="0"/>
    <n v="0"/>
    <n v="166.53299999999999"/>
    <n v="166.53299999999999"/>
    <n v="166.53299999999999"/>
    <n v="166.53299999999999"/>
    <n v="1994"/>
    <s v="CATIVO"/>
    <n v="0"/>
    <n v="0"/>
    <n v="33"/>
    <n v="74"/>
    <n v="0"/>
    <n v="270.27"/>
    <n v="229.65"/>
    <m/>
    <n v="293.92316571824841"/>
    <n v="215.08883756923538"/>
    <n v="0"/>
    <n v="9250.9081500000066"/>
    <n v="0"/>
    <n v="9418.5884381638371"/>
    <x v="6"/>
  </r>
  <r>
    <s v="Sistema de Compensação"/>
    <x v="2"/>
    <x v="3"/>
    <x v="4"/>
    <x v="7"/>
    <x v="1"/>
    <x v="0"/>
    <x v="2"/>
    <x v="9"/>
    <n v="0"/>
    <n v="0"/>
    <n v="5.0000000000000001E-3"/>
    <n v="5.0000000000000001E-3"/>
    <n v="5.0000000000000001E-3"/>
    <n v="5.0000000000000001E-3"/>
    <n v="4"/>
    <s v="CATIVO"/>
    <n v="0"/>
    <n v="0"/>
    <n v="33"/>
    <n v="74"/>
    <n v="0"/>
    <n v="270.27"/>
    <n v="229.65"/>
    <m/>
    <n v="293.92316571824841"/>
    <n v="215.08883756923538"/>
    <n v="0"/>
    <n v="0.27775000000000022"/>
    <n v="0"/>
    <n v="0.28278444627082439"/>
    <x v="6"/>
  </r>
  <r>
    <s v="PROJETADO"/>
    <x v="2"/>
    <x v="3"/>
    <x v="4"/>
    <x v="7"/>
    <x v="1"/>
    <x v="0"/>
    <x v="2"/>
    <x v="10"/>
    <n v="0"/>
    <n v="0"/>
    <n v="166.53299999999999"/>
    <n v="166.53299999999999"/>
    <n v="166.53299999999999"/>
    <n v="166.53299999999999"/>
    <n v="1994"/>
    <s v="CATIVO"/>
    <n v="0"/>
    <n v="0"/>
    <n v="33"/>
    <n v="74"/>
    <n v="0"/>
    <n v="270.27"/>
    <n v="229.65"/>
    <m/>
    <n v="293.92316571824841"/>
    <n v="215.08883756923538"/>
    <n v="0"/>
    <n v="9250.9081500000066"/>
    <n v="0"/>
    <n v="9418.5884381638371"/>
    <x v="6"/>
  </r>
  <r>
    <s v="PROJETADO"/>
    <x v="2"/>
    <x v="3"/>
    <x v="4"/>
    <x v="7"/>
    <x v="1"/>
    <x v="0"/>
    <x v="2"/>
    <x v="10"/>
    <n v="0"/>
    <n v="0"/>
    <n v="5.0000000000000001E-3"/>
    <n v="5.0000000000000001E-3"/>
    <n v="5.0000000000000001E-3"/>
    <n v="5.0000000000000001E-3"/>
    <n v="4"/>
    <s v="CATIVO"/>
    <n v="0"/>
    <n v="0"/>
    <n v="33"/>
    <n v="74"/>
    <n v="0"/>
    <n v="270.27"/>
    <n v="229.65"/>
    <m/>
    <n v="293.92316571824841"/>
    <n v="215.08883756923538"/>
    <n v="0"/>
    <n v="0.27775000000000022"/>
    <n v="0"/>
    <n v="0.28278444627082439"/>
    <x v="6"/>
  </r>
  <r>
    <s v="Regular"/>
    <x v="2"/>
    <x v="3"/>
    <x v="4"/>
    <x v="8"/>
    <x v="1"/>
    <x v="0"/>
    <x v="2"/>
    <x v="3"/>
    <n v="0"/>
    <n v="0"/>
    <n v="18.216000000000001"/>
    <n v="18.216000000000001"/>
    <n v="18.216000000000001"/>
    <n v="18.216000000000001"/>
    <n v="297"/>
    <s v="CATIVO"/>
    <n v="0"/>
    <n v="0"/>
    <n v="34"/>
    <n v="75"/>
    <n v="0"/>
    <n v="300.3"/>
    <n v="255.17"/>
    <m/>
    <n v="326.58129524249824"/>
    <n v="238.98759729915042"/>
    <n v="0"/>
    <n v="5.1772985898423943E-13"/>
    <n v="0"/>
    <n v="0"/>
    <x v="6"/>
  </r>
  <r>
    <s v="Regular"/>
    <x v="2"/>
    <x v="3"/>
    <x v="4"/>
    <x v="8"/>
    <x v="1"/>
    <x v="0"/>
    <x v="2"/>
    <x v="4"/>
    <n v="0"/>
    <n v="0"/>
    <n v="17.201000000000001"/>
    <n v="17.201000000000001"/>
    <n v="17.201000000000001"/>
    <n v="17.201000000000001"/>
    <n v="280"/>
    <s v="CATIVO"/>
    <n v="0"/>
    <n v="0"/>
    <n v="34"/>
    <n v="75"/>
    <n v="0"/>
    <n v="300.3"/>
    <n v="255.17"/>
    <m/>
    <n v="326.58129524249824"/>
    <n v="238.98759729915042"/>
    <n v="0"/>
    <n v="4.8888182391237935E-13"/>
    <n v="0"/>
    <n v="0"/>
    <x v="6"/>
  </r>
  <r>
    <s v="Regular"/>
    <x v="2"/>
    <x v="3"/>
    <x v="4"/>
    <x v="8"/>
    <x v="1"/>
    <x v="0"/>
    <x v="2"/>
    <x v="11"/>
    <n v="0"/>
    <n v="0"/>
    <n v="19.754999999999999"/>
    <n v="19.754999999999999"/>
    <n v="19.754999999999999"/>
    <n v="19.754999999999999"/>
    <n v="342"/>
    <s v="CATIVO"/>
    <n v="0"/>
    <n v="0"/>
    <n v="34"/>
    <n v="75"/>
    <n v="0"/>
    <n v="300.3"/>
    <n v="255.17"/>
    <m/>
    <n v="326.58129524249824"/>
    <n v="238.98759729915042"/>
    <n v="0"/>
    <n v="5.6147086979763114E-13"/>
    <n v="0"/>
    <n v="0"/>
    <x v="6"/>
  </r>
  <r>
    <s v="Regular"/>
    <x v="2"/>
    <x v="3"/>
    <x v="4"/>
    <x v="8"/>
    <x v="1"/>
    <x v="0"/>
    <x v="2"/>
    <x v="5"/>
    <n v="0"/>
    <n v="0"/>
    <n v="20.62"/>
    <n v="20.62"/>
    <n v="20.62"/>
    <n v="20.62"/>
    <n v="320"/>
    <s v="CATIVO"/>
    <n v="0"/>
    <n v="0"/>
    <n v="34"/>
    <n v="75"/>
    <n v="0"/>
    <n v="300.3"/>
    <n v="255.17"/>
    <m/>
    <n v="326.58129524249824"/>
    <n v="238.98759729915042"/>
    <n v="0"/>
    <n v="5.8605564845493066E-13"/>
    <n v="0"/>
    <n v="0"/>
    <x v="6"/>
  </r>
  <r>
    <s v="Regular"/>
    <x v="2"/>
    <x v="3"/>
    <x v="4"/>
    <x v="8"/>
    <x v="1"/>
    <x v="0"/>
    <x v="2"/>
    <x v="6"/>
    <n v="0"/>
    <n v="0"/>
    <n v="15.47"/>
    <n v="15.47"/>
    <n v="15.47"/>
    <n v="15.47"/>
    <n v="256"/>
    <s v="CATIVO"/>
    <n v="0"/>
    <n v="0"/>
    <n v="34"/>
    <n v="75"/>
    <n v="0"/>
    <n v="300.3"/>
    <n v="255.17"/>
    <m/>
    <n v="326.58129524249824"/>
    <n v="238.98759729915042"/>
    <n v="0"/>
    <n v="4.3968384488835001E-13"/>
    <n v="0"/>
    <n v="0"/>
    <x v="6"/>
  </r>
  <r>
    <s v="Regular"/>
    <x v="2"/>
    <x v="3"/>
    <x v="4"/>
    <x v="8"/>
    <x v="1"/>
    <x v="0"/>
    <x v="2"/>
    <x v="7"/>
    <n v="0"/>
    <n v="0"/>
    <n v="38.283999999999999"/>
    <n v="38.283999999999999"/>
    <n v="38.283999999999999"/>
    <n v="38.283999999999999"/>
    <n v="522"/>
    <s v="CATIVO"/>
    <n v="0"/>
    <n v="0"/>
    <n v="34"/>
    <n v="75"/>
    <n v="0"/>
    <n v="300.3"/>
    <n v="255.17"/>
    <m/>
    <n v="326.58129524249824"/>
    <n v="238.98759729915042"/>
    <n v="0"/>
    <n v="1.088096723833587E-12"/>
    <n v="0"/>
    <n v="0"/>
    <x v="6"/>
  </r>
  <r>
    <s v="Regular"/>
    <x v="2"/>
    <x v="3"/>
    <x v="4"/>
    <x v="8"/>
    <x v="1"/>
    <x v="0"/>
    <x v="2"/>
    <x v="8"/>
    <n v="0"/>
    <n v="0"/>
    <n v="30.593"/>
    <n v="30.593"/>
    <n v="30.593"/>
    <n v="30.593"/>
    <n v="432"/>
    <s v="CATIVO"/>
    <n v="0"/>
    <n v="0"/>
    <n v="34"/>
    <n v="75"/>
    <n v="0"/>
    <n v="300.3"/>
    <n v="255.17"/>
    <m/>
    <n v="326.58129524249824"/>
    <n v="238.98759729915042"/>
    <n v="0"/>
    <n v="8.695053566043498E-13"/>
    <n v="0"/>
    <n v="0"/>
    <x v="6"/>
  </r>
  <r>
    <s v="Regular"/>
    <x v="2"/>
    <x v="3"/>
    <x v="4"/>
    <x v="8"/>
    <x v="1"/>
    <x v="0"/>
    <x v="2"/>
    <x v="0"/>
    <n v="0"/>
    <n v="0"/>
    <n v="15.170999999999999"/>
    <n v="15.170999999999999"/>
    <n v="15.170999999999999"/>
    <n v="15.170999999999999"/>
    <n v="253"/>
    <s v="CATIVO"/>
    <n v="0"/>
    <n v="0"/>
    <n v="34"/>
    <n v="75"/>
    <n v="0"/>
    <n v="300.3"/>
    <n v="255.17"/>
    <m/>
    <n v="326.58129524249824"/>
    <n v="238.98759729915042"/>
    <n v="0"/>
    <n v="4.3118575376865918E-13"/>
    <n v="0"/>
    <n v="0"/>
    <x v="6"/>
  </r>
  <r>
    <s v="Regular"/>
    <x v="2"/>
    <x v="3"/>
    <x v="4"/>
    <x v="8"/>
    <x v="1"/>
    <x v="0"/>
    <x v="2"/>
    <x v="1"/>
    <n v="0"/>
    <n v="0"/>
    <n v="20.350999999999999"/>
    <n v="20.350999999999999"/>
    <n v="20.350999999999999"/>
    <n v="20.350999999999999"/>
    <n v="347"/>
    <s v="CATIVO"/>
    <n v="0"/>
    <n v="0"/>
    <n v="34"/>
    <n v="75"/>
    <n v="0"/>
    <n v="300.3"/>
    <n v="255.17"/>
    <m/>
    <n v="326.58129524249824"/>
    <n v="238.98759729915042"/>
    <n v="0"/>
    <n v="5.7841020861815193E-13"/>
    <n v="0"/>
    <n v="0"/>
    <x v="6"/>
  </r>
  <r>
    <s v="Regular"/>
    <x v="2"/>
    <x v="3"/>
    <x v="4"/>
    <x v="8"/>
    <x v="1"/>
    <x v="0"/>
    <x v="2"/>
    <x v="2"/>
    <n v="0"/>
    <n v="0"/>
    <n v="15.516"/>
    <n v="15.516"/>
    <n v="15.516"/>
    <n v="15.516"/>
    <n v="264"/>
    <s v="CATIVO"/>
    <n v="0"/>
    <n v="0"/>
    <n v="34"/>
    <n v="75"/>
    <n v="0"/>
    <n v="300.3"/>
    <n v="255.17"/>
    <m/>
    <n v="326.58129524249824"/>
    <n v="238.98759729915042"/>
    <n v="0"/>
    <n v="4.4099124352214858E-13"/>
    <n v="0"/>
    <n v="0"/>
    <x v="6"/>
  </r>
  <r>
    <s v="Regular"/>
    <x v="2"/>
    <x v="3"/>
    <x v="4"/>
    <x v="8"/>
    <x v="1"/>
    <x v="0"/>
    <x v="2"/>
    <x v="9"/>
    <n v="0"/>
    <n v="0"/>
    <n v="36.475000000000001"/>
    <n v="36.475000000000001"/>
    <n v="36.475000000000001"/>
    <n v="36.475000000000001"/>
    <n v="524"/>
    <s v="CATIVO"/>
    <n v="0"/>
    <n v="0"/>
    <n v="34"/>
    <n v="75"/>
    <n v="0"/>
    <n v="300.3"/>
    <n v="255.17"/>
    <m/>
    <n v="326.58129524249824"/>
    <n v="238.98759729915042"/>
    <n v="0"/>
    <n v="1.0366818514739862E-12"/>
    <n v="0"/>
    <n v="0"/>
    <x v="6"/>
  </r>
  <r>
    <s v="PROJETADO"/>
    <x v="2"/>
    <x v="3"/>
    <x v="4"/>
    <x v="8"/>
    <x v="1"/>
    <x v="0"/>
    <x v="2"/>
    <x v="10"/>
    <n v="0"/>
    <n v="0"/>
    <n v="36.475000000000001"/>
    <n v="36.475000000000001"/>
    <n v="36.475000000000001"/>
    <n v="36.475000000000001"/>
    <n v="524"/>
    <s v="CATIVO"/>
    <n v="0"/>
    <n v="0"/>
    <n v="34"/>
    <n v="75"/>
    <n v="0"/>
    <n v="300.3"/>
    <n v="255.17"/>
    <m/>
    <n v="326.58129524249824"/>
    <n v="238.98759729915042"/>
    <n v="0"/>
    <n v="1.0366818514739862E-12"/>
    <n v="0"/>
    <n v="0"/>
    <x v="6"/>
  </r>
  <r>
    <s v="Regular"/>
    <x v="3"/>
    <x v="3"/>
    <x v="0"/>
    <x v="0"/>
    <x v="3"/>
    <x v="0"/>
    <x v="2"/>
    <x v="3"/>
    <n v="0"/>
    <n v="0"/>
    <n v="20.692"/>
    <n v="20.692"/>
    <n v="20.692"/>
    <n v="20.692"/>
    <n v="0"/>
    <s v="CATIVO"/>
    <n v="0"/>
    <n v="0"/>
    <n v="43"/>
    <n v="84"/>
    <n v="0"/>
    <n v="334.07"/>
    <n v="224.55"/>
    <m/>
    <n v="453.79812567521839"/>
    <n v="224.6483414612014"/>
    <n v="0"/>
    <n v="1576.1096399999992"/>
    <n v="0"/>
    <n v="896.06899774383703"/>
    <x v="1"/>
  </r>
  <r>
    <s v="Regular"/>
    <x v="3"/>
    <x v="3"/>
    <x v="0"/>
    <x v="0"/>
    <x v="3"/>
    <x v="0"/>
    <x v="2"/>
    <x v="4"/>
    <n v="0"/>
    <n v="0"/>
    <n v="6.3330000000000002"/>
    <n v="6.3330000000000002"/>
    <n v="6.3330000000000002"/>
    <n v="6.3330000000000002"/>
    <n v="0"/>
    <s v="CATIVO"/>
    <n v="0"/>
    <n v="0"/>
    <n v="43"/>
    <n v="84"/>
    <n v="0"/>
    <n v="334.07"/>
    <n v="224.55"/>
    <m/>
    <n v="453.79812567521839"/>
    <n v="224.6483414612014"/>
    <n v="0"/>
    <n v="482.38460999999978"/>
    <n v="0"/>
    <n v="274.25115806648563"/>
    <x v="1"/>
  </r>
  <r>
    <s v="Regular"/>
    <x v="3"/>
    <x v="3"/>
    <x v="0"/>
    <x v="0"/>
    <x v="3"/>
    <x v="0"/>
    <x v="2"/>
    <x v="11"/>
    <n v="0"/>
    <n v="0"/>
    <n v="3.2189999999999999"/>
    <n v="3.2189999999999999"/>
    <n v="3.2189999999999999"/>
    <n v="3.2189999999999999"/>
    <n v="0"/>
    <s v="CATIVO"/>
    <n v="0"/>
    <n v="0"/>
    <n v="43"/>
    <n v="84"/>
    <n v="0"/>
    <n v="334.07"/>
    <n v="224.55"/>
    <m/>
    <n v="453.79812567521839"/>
    <n v="224.6483414612014"/>
    <n v="0"/>
    <n v="245.19122999999985"/>
    <n v="0"/>
    <n v="139.39909644971058"/>
    <x v="1"/>
  </r>
  <r>
    <s v="Regular"/>
    <x v="3"/>
    <x v="3"/>
    <x v="0"/>
    <x v="0"/>
    <x v="3"/>
    <x v="0"/>
    <x v="2"/>
    <x v="5"/>
    <n v="0"/>
    <n v="0"/>
    <n v="7.2119999999999997"/>
    <n v="7.2119999999999997"/>
    <n v="7.2119999999999997"/>
    <n v="7.2119999999999997"/>
    <n v="0"/>
    <s v="CATIVO"/>
    <n v="0"/>
    <n v="0"/>
    <n v="43"/>
    <n v="84"/>
    <n v="0"/>
    <n v="334.07"/>
    <n v="224.55"/>
    <m/>
    <n v="453.79812567521839"/>
    <n v="224.6483414612014"/>
    <n v="0"/>
    <n v="549.33803999999964"/>
    <n v="0"/>
    <n v="312.31633538220342"/>
    <x v="1"/>
  </r>
  <r>
    <s v="Regular"/>
    <x v="3"/>
    <x v="3"/>
    <x v="0"/>
    <x v="0"/>
    <x v="3"/>
    <x v="0"/>
    <x v="2"/>
    <x v="6"/>
    <n v="0"/>
    <n v="0"/>
    <n v="16.541"/>
    <n v="16.541"/>
    <n v="16.541"/>
    <n v="16.541"/>
    <n v="0"/>
    <s v="CATIVO"/>
    <n v="0"/>
    <n v="0"/>
    <n v="43"/>
    <n v="84"/>
    <n v="0"/>
    <n v="334.07"/>
    <n v="224.55"/>
    <m/>
    <n v="453.79812567521839"/>
    <n v="224.6483414612014"/>
    <n v="0"/>
    <n v="1259.9279699999993"/>
    <n v="0"/>
    <n v="716.30955401511744"/>
    <x v="1"/>
  </r>
  <r>
    <s v="Regular"/>
    <x v="3"/>
    <x v="3"/>
    <x v="0"/>
    <x v="0"/>
    <x v="3"/>
    <x v="0"/>
    <x v="2"/>
    <x v="7"/>
    <n v="0"/>
    <n v="0"/>
    <n v="78.981999999999999"/>
    <n v="78.981999999999999"/>
    <n v="78.981999999999999"/>
    <n v="78.981999999999999"/>
    <n v="0"/>
    <s v="CATIVO"/>
    <n v="0"/>
    <n v="0"/>
    <n v="43"/>
    <n v="84"/>
    <n v="0"/>
    <n v="334.07"/>
    <n v="224.55"/>
    <m/>
    <n v="453.79812567521839"/>
    <n v="224.6483414612014"/>
    <n v="0"/>
    <n v="6016.0589399999972"/>
    <n v="0"/>
    <n v="3420.3229064277857"/>
    <x v="1"/>
  </r>
  <r>
    <s v="Regular"/>
    <x v="3"/>
    <x v="3"/>
    <x v="0"/>
    <x v="0"/>
    <x v="3"/>
    <x v="0"/>
    <x v="2"/>
    <x v="8"/>
    <n v="0"/>
    <n v="0"/>
    <n v="107.337"/>
    <n v="107.337"/>
    <n v="107.337"/>
    <n v="107.337"/>
    <n v="0"/>
    <s v="CATIVO"/>
    <n v="0"/>
    <n v="0"/>
    <n v="43"/>
    <n v="84"/>
    <n v="0"/>
    <n v="334.07"/>
    <n v="224.55"/>
    <m/>
    <n v="453.79812567521839"/>
    <n v="224.6483414612014"/>
    <n v="0"/>
    <n v="8175.8592899999958"/>
    <n v="0"/>
    <n v="4648.238836788626"/>
    <x v="1"/>
  </r>
  <r>
    <s v="Regular"/>
    <x v="3"/>
    <x v="3"/>
    <x v="0"/>
    <x v="0"/>
    <x v="3"/>
    <x v="0"/>
    <x v="2"/>
    <x v="0"/>
    <n v="0"/>
    <n v="0"/>
    <n v="101.113"/>
    <n v="101.113"/>
    <n v="101.113"/>
    <n v="101.113"/>
    <n v="0"/>
    <s v="CATIVO"/>
    <n v="0"/>
    <n v="0"/>
    <n v="43"/>
    <n v="84"/>
    <n v="0"/>
    <n v="334.07"/>
    <n v="224.55"/>
    <m/>
    <n v="453.79812567521839"/>
    <n v="224.6483414612014"/>
    <n v="0"/>
    <n v="7701.7772099999956"/>
    <n v="0"/>
    <n v="4378.7079339296633"/>
    <x v="1"/>
  </r>
  <r>
    <s v="Regular"/>
    <x v="3"/>
    <x v="3"/>
    <x v="0"/>
    <x v="0"/>
    <x v="3"/>
    <x v="0"/>
    <x v="2"/>
    <x v="1"/>
    <n v="0"/>
    <n v="0"/>
    <n v="103.361"/>
    <n v="103.361"/>
    <n v="103.361"/>
    <n v="103.361"/>
    <n v="0"/>
    <s v="CATIVO"/>
    <n v="0"/>
    <n v="0"/>
    <n v="43"/>
    <n v="84"/>
    <n v="0"/>
    <n v="334.07"/>
    <n v="224.55"/>
    <m/>
    <n v="453.79812567521839"/>
    <n v="224.6483414612014"/>
    <n v="0"/>
    <n v="7873.0073699999957"/>
    <n v="0"/>
    <n v="4476.0577844481322"/>
    <x v="1"/>
  </r>
  <r>
    <s v="Regular"/>
    <x v="3"/>
    <x v="3"/>
    <x v="0"/>
    <x v="0"/>
    <x v="3"/>
    <x v="0"/>
    <x v="2"/>
    <x v="2"/>
    <n v="0"/>
    <n v="0"/>
    <n v="103.392"/>
    <n v="103.392"/>
    <n v="103.392"/>
    <n v="103.392"/>
    <n v="0"/>
    <s v="CATIVO"/>
    <n v="0"/>
    <n v="0"/>
    <n v="43"/>
    <n v="84"/>
    <n v="0"/>
    <n v="334.07"/>
    <n v="224.55"/>
    <m/>
    <n v="453.79812567521839"/>
    <n v="224.6483414612014"/>
    <n v="0"/>
    <n v="7875.3686399999951"/>
    <n v="0"/>
    <n v="4477.4002423511884"/>
    <x v="1"/>
  </r>
  <r>
    <s v="Sistema de Compensação"/>
    <x v="3"/>
    <x v="3"/>
    <x v="0"/>
    <x v="0"/>
    <x v="3"/>
    <x v="0"/>
    <x v="2"/>
    <x v="2"/>
    <n v="0"/>
    <n v="0"/>
    <n v="27.16"/>
    <n v="27.16"/>
    <n v="27.16"/>
    <n v="27.16"/>
    <n v="0"/>
    <s v="CATIVO"/>
    <n v="0"/>
    <n v="0"/>
    <n v="43"/>
    <n v="84"/>
    <n v="0"/>
    <n v="334.07"/>
    <n v="224.55"/>
    <m/>
    <n v="453.79812567521839"/>
    <n v="224.6483414612014"/>
    <n v="0"/>
    <n v="2068.7771999999991"/>
    <n v="0"/>
    <n v="1176.1663434526683"/>
    <x v="1"/>
  </r>
  <r>
    <s v="Regular"/>
    <x v="3"/>
    <x v="3"/>
    <x v="0"/>
    <x v="0"/>
    <x v="3"/>
    <x v="0"/>
    <x v="2"/>
    <x v="9"/>
    <n v="0"/>
    <n v="0"/>
    <n v="130.322"/>
    <n v="130.322"/>
    <n v="130.322"/>
    <n v="130.322"/>
    <n v="0"/>
    <s v="CATIVO"/>
    <n v="0"/>
    <n v="0"/>
    <n v="43"/>
    <n v="84"/>
    <n v="0"/>
    <n v="334.07"/>
    <n v="224.55"/>
    <m/>
    <n v="453.79812567521839"/>
    <n v="224.6483414612014"/>
    <n v="0"/>
    <n v="9926.6267399999942"/>
    <n v="0"/>
    <n v="5643.6064142650457"/>
    <x v="1"/>
  </r>
  <r>
    <s v="Sistema de Compensação"/>
    <x v="3"/>
    <x v="3"/>
    <x v="0"/>
    <x v="0"/>
    <x v="3"/>
    <x v="0"/>
    <x v="2"/>
    <x v="9"/>
    <n v="0"/>
    <n v="0"/>
    <n v="7.8"/>
    <n v="7.8"/>
    <n v="7.8"/>
    <n v="7.8"/>
    <n v="0"/>
    <s v="CATIVO"/>
    <n v="0"/>
    <n v="0"/>
    <n v="43"/>
    <n v="84"/>
    <n v="0"/>
    <n v="334.07"/>
    <n v="224.55"/>
    <m/>
    <n v="453.79812567521839"/>
    <n v="224.6483414612014"/>
    <n v="0"/>
    <n v="594.12599999999964"/>
    <n v="0"/>
    <n v="337.77973044664259"/>
    <x v="1"/>
  </r>
  <r>
    <s v="PROJETADO"/>
    <x v="3"/>
    <x v="3"/>
    <x v="0"/>
    <x v="0"/>
    <x v="3"/>
    <x v="0"/>
    <x v="2"/>
    <x v="10"/>
    <n v="0"/>
    <n v="0"/>
    <n v="130.322"/>
    <n v="130.322"/>
    <n v="130.322"/>
    <n v="130.322"/>
    <n v="0"/>
    <s v="CATIVO"/>
    <n v="0"/>
    <n v="0"/>
    <n v="43"/>
    <n v="84"/>
    <n v="0"/>
    <n v="334.07"/>
    <n v="224.55"/>
    <m/>
    <n v="453.79812567521839"/>
    <n v="224.6483414612014"/>
    <n v="0"/>
    <n v="9926.6267399999942"/>
    <n v="0"/>
    <n v="5643.6064142650457"/>
    <x v="1"/>
  </r>
  <r>
    <s v="PROJETADO"/>
    <x v="3"/>
    <x v="3"/>
    <x v="0"/>
    <x v="0"/>
    <x v="3"/>
    <x v="0"/>
    <x v="2"/>
    <x v="10"/>
    <n v="0"/>
    <n v="0"/>
    <n v="7.8"/>
    <n v="7.8"/>
    <n v="7.8"/>
    <n v="7.8"/>
    <n v="0"/>
    <s v="CATIVO"/>
    <n v="0"/>
    <n v="0"/>
    <n v="43"/>
    <n v="84"/>
    <n v="0"/>
    <n v="334.07"/>
    <n v="224.55"/>
    <m/>
    <n v="453.79812567521839"/>
    <n v="224.6483414612014"/>
    <n v="0"/>
    <n v="594.12599999999964"/>
    <n v="0"/>
    <n v="337.77973044664259"/>
    <x v="1"/>
  </r>
  <r>
    <s v="Regular"/>
    <x v="3"/>
    <x v="3"/>
    <x v="0"/>
    <x v="0"/>
    <x v="0"/>
    <x v="0"/>
    <x v="2"/>
    <x v="3"/>
    <n v="0"/>
    <n v="0"/>
    <n v="17.97"/>
    <n v="5.9301000000000004"/>
    <n v="17.97"/>
    <n v="5.9301000000000004"/>
    <n v="0"/>
    <s v="CATIVO"/>
    <n v="0"/>
    <n v="0"/>
    <n v="43"/>
    <n v="84"/>
    <n v="0"/>
    <n v="334.07"/>
    <n v="224.55"/>
    <m/>
    <n v="453.79812567521839"/>
    <n v="224.6483414612014"/>
    <n v="0"/>
    <n v="8094.5038379999987"/>
    <n v="0"/>
    <n v="8946.6201525124688"/>
    <x v="0"/>
  </r>
  <r>
    <s v="Regular"/>
    <x v="3"/>
    <x v="3"/>
    <x v="0"/>
    <x v="0"/>
    <x v="0"/>
    <x v="0"/>
    <x v="2"/>
    <x v="4"/>
    <n v="0"/>
    <n v="0"/>
    <n v="6.3819999999999997"/>
    <n v="2.1060599999999998"/>
    <n v="6.3819999999999997"/>
    <n v="2.1060599999999998"/>
    <n v="0"/>
    <s v="CATIVO"/>
    <n v="0"/>
    <n v="0"/>
    <n v="43"/>
    <n v="84"/>
    <n v="0"/>
    <n v="334.07"/>
    <n v="224.55"/>
    <m/>
    <n v="453.79812567521839"/>
    <n v="224.6483414612014"/>
    <n v="0"/>
    <n v="2874.7425428000001"/>
    <n v="0"/>
    <n v="3177.3694943424916"/>
    <x v="0"/>
  </r>
  <r>
    <s v="Regular"/>
    <x v="3"/>
    <x v="3"/>
    <x v="0"/>
    <x v="0"/>
    <x v="0"/>
    <x v="0"/>
    <x v="2"/>
    <x v="11"/>
    <n v="0"/>
    <n v="0"/>
    <n v="0.55400000000000005"/>
    <n v="0.18282000000000001"/>
    <n v="0.55400000000000005"/>
    <n v="0.18282000000000001"/>
    <n v="0"/>
    <s v="CATIVO"/>
    <n v="0"/>
    <n v="0"/>
    <n v="43"/>
    <n v="84"/>
    <n v="0"/>
    <n v="334.07"/>
    <n v="224.55"/>
    <m/>
    <n v="453.79812567521839"/>
    <n v="224.6483414612014"/>
    <n v="0"/>
    <n v="249.54675160000002"/>
    <n v="0"/>
    <n v="275.81678155213734"/>
    <x v="0"/>
  </r>
  <r>
    <s v="Regular"/>
    <x v="3"/>
    <x v="3"/>
    <x v="0"/>
    <x v="0"/>
    <x v="0"/>
    <x v="0"/>
    <x v="2"/>
    <x v="5"/>
    <n v="0"/>
    <n v="0"/>
    <n v="5.9119999999999999"/>
    <n v="1.95096"/>
    <n v="5.9119999999999999"/>
    <n v="1.95096"/>
    <n v="0"/>
    <s v="CATIVO"/>
    <n v="0"/>
    <n v="0"/>
    <n v="43"/>
    <n v="84"/>
    <n v="0"/>
    <n v="334.07"/>
    <n v="224.55"/>
    <m/>
    <n v="453.79812567521839"/>
    <n v="224.6483414612014"/>
    <n v="0"/>
    <n v="2663.0332047999996"/>
    <n v="0"/>
    <n v="2943.3733078271398"/>
    <x v="0"/>
  </r>
  <r>
    <s v="Regular"/>
    <x v="3"/>
    <x v="3"/>
    <x v="0"/>
    <x v="0"/>
    <x v="0"/>
    <x v="0"/>
    <x v="2"/>
    <x v="6"/>
    <n v="0"/>
    <n v="0"/>
    <n v="11.507999999999999"/>
    <n v="3.7976399999999999"/>
    <n v="11.507999999999999"/>
    <n v="3.7976399999999999"/>
    <n v="0"/>
    <s v="CATIVO"/>
    <n v="0"/>
    <n v="0"/>
    <n v="43"/>
    <n v="84"/>
    <n v="0"/>
    <n v="334.07"/>
    <n v="224.55"/>
    <m/>
    <n v="453.79812567521839"/>
    <n v="224.6483414612014"/>
    <n v="0"/>
    <n v="5183.725663199999"/>
    <n v="0"/>
    <n v="5729.4215200397039"/>
    <x v="0"/>
  </r>
  <r>
    <s v="Regular"/>
    <x v="3"/>
    <x v="3"/>
    <x v="0"/>
    <x v="0"/>
    <x v="0"/>
    <x v="0"/>
    <x v="2"/>
    <x v="7"/>
    <n v="0"/>
    <n v="0"/>
    <n v="83.4"/>
    <n v="27.521999999999998"/>
    <n v="83.4"/>
    <n v="27.521999999999998"/>
    <n v="0"/>
    <s v="CATIVO"/>
    <n v="0"/>
    <n v="0"/>
    <n v="43"/>
    <n v="84"/>
    <n v="0"/>
    <n v="334.07"/>
    <n v="224.55"/>
    <m/>
    <n v="453.79812567521839"/>
    <n v="224.6483414612014"/>
    <n v="0"/>
    <n v="37567.146359999999"/>
    <n v="0"/>
    <n v="41521.876500809129"/>
    <x v="0"/>
  </r>
  <r>
    <s v="Regular"/>
    <x v="3"/>
    <x v="3"/>
    <x v="0"/>
    <x v="0"/>
    <x v="0"/>
    <x v="0"/>
    <x v="2"/>
    <x v="8"/>
    <n v="0"/>
    <n v="0"/>
    <n v="105.05800000000001"/>
    <n v="34.669139999999999"/>
    <n v="105.05800000000001"/>
    <n v="34.669139999999999"/>
    <n v="0"/>
    <s v="CATIVO"/>
    <n v="0"/>
    <n v="0"/>
    <n v="43"/>
    <n v="84"/>
    <n v="0"/>
    <n v="334.07"/>
    <n v="224.55"/>
    <m/>
    <n v="453.79812567521839"/>
    <n v="224.6483414612014"/>
    <n v="0"/>
    <n v="47322.892833200007"/>
    <n v="0"/>
    <n v="52304.61992112716"/>
    <x v="0"/>
  </r>
  <r>
    <s v="Regular"/>
    <x v="3"/>
    <x v="3"/>
    <x v="0"/>
    <x v="0"/>
    <x v="0"/>
    <x v="0"/>
    <x v="2"/>
    <x v="0"/>
    <n v="0"/>
    <n v="0"/>
    <n v="106.611"/>
    <n v="35.181629999999998"/>
    <n v="106.611"/>
    <n v="35.181629999999998"/>
    <n v="0"/>
    <s v="CATIVO"/>
    <n v="0"/>
    <n v="0"/>
    <n v="43"/>
    <n v="84"/>
    <n v="0"/>
    <n v="334.07"/>
    <n v="224.55"/>
    <m/>
    <n v="453.79812567521839"/>
    <n v="224.6483414612014"/>
    <n v="0"/>
    <n v="48022.434539399997"/>
    <n v="0"/>
    <n v="53077.803065081069"/>
    <x v="0"/>
  </r>
  <r>
    <s v="Regular"/>
    <x v="3"/>
    <x v="3"/>
    <x v="0"/>
    <x v="0"/>
    <x v="0"/>
    <x v="0"/>
    <x v="2"/>
    <x v="1"/>
    <n v="0"/>
    <n v="0"/>
    <n v="115.55500000000001"/>
    <n v="38.133150000000001"/>
    <n v="115.55500000000001"/>
    <n v="38.133150000000001"/>
    <n v="0"/>
    <s v="CATIVO"/>
    <n v="0"/>
    <n v="0"/>
    <n v="43"/>
    <n v="84"/>
    <n v="0"/>
    <n v="334.07"/>
    <n v="224.55"/>
    <m/>
    <n v="453.79812567521839"/>
    <n v="224.6483414612014"/>
    <n v="0"/>
    <n v="52051.218197000002"/>
    <n v="0"/>
    <n v="57530.700708045544"/>
    <x v="0"/>
  </r>
  <r>
    <s v="Regular"/>
    <x v="3"/>
    <x v="3"/>
    <x v="0"/>
    <x v="0"/>
    <x v="0"/>
    <x v="0"/>
    <x v="2"/>
    <x v="2"/>
    <n v="0"/>
    <n v="0"/>
    <n v="97.406000000000006"/>
    <n v="32.143979999999999"/>
    <n v="97.406000000000006"/>
    <n v="32.143979999999999"/>
    <n v="0"/>
    <s v="CATIVO"/>
    <n v="0"/>
    <n v="0"/>
    <n v="43"/>
    <n v="84"/>
    <n v="0"/>
    <n v="334.07"/>
    <n v="224.55"/>
    <m/>
    <n v="453.79812567521839"/>
    <n v="224.6483414612014"/>
    <n v="0"/>
    <n v="43876.084632400001"/>
    <n v="0"/>
    <n v="48494.962858966588"/>
    <x v="0"/>
  </r>
  <r>
    <s v="Sistema de Compensação"/>
    <x v="3"/>
    <x v="3"/>
    <x v="0"/>
    <x v="0"/>
    <x v="0"/>
    <x v="0"/>
    <x v="2"/>
    <x v="2"/>
    <n v="0"/>
    <n v="0"/>
    <n v="18.099"/>
    <n v="5.9726699999999999"/>
    <n v="18.099"/>
    <n v="5.9726699999999999"/>
    <n v="0"/>
    <s v="CATIVO"/>
    <n v="0"/>
    <n v="0"/>
    <n v="43"/>
    <n v="84"/>
    <n v="0"/>
    <n v="334.07"/>
    <n v="224.55"/>
    <m/>
    <n v="453.79812567521839"/>
    <n v="224.6483414612014"/>
    <n v="0"/>
    <n v="8152.6112945999994"/>
    <n v="0"/>
    <n v="9010.844637747532"/>
    <x v="0"/>
  </r>
  <r>
    <s v="Regular"/>
    <x v="3"/>
    <x v="3"/>
    <x v="0"/>
    <x v="0"/>
    <x v="0"/>
    <x v="0"/>
    <x v="2"/>
    <x v="9"/>
    <n v="0"/>
    <n v="0"/>
    <n v="116.042"/>
    <n v="38.293860000000002"/>
    <n v="116.042"/>
    <n v="38.293860000000002"/>
    <n v="0"/>
    <s v="CATIVO"/>
    <n v="0"/>
    <n v="0"/>
    <n v="43"/>
    <n v="84"/>
    <n v="0"/>
    <n v="334.07"/>
    <n v="224.55"/>
    <m/>
    <n v="453.79812567521839"/>
    <n v="224.6483414612014"/>
    <n v="0"/>
    <n v="52270.585106800005"/>
    <n v="0"/>
    <n v="57773.160586413578"/>
    <x v="0"/>
  </r>
  <r>
    <s v="Sistema de Compensação"/>
    <x v="3"/>
    <x v="3"/>
    <x v="0"/>
    <x v="0"/>
    <x v="0"/>
    <x v="0"/>
    <x v="2"/>
    <x v="9"/>
    <n v="0"/>
    <n v="0"/>
    <n v="16.12"/>
    <n v="5.3196000000000003"/>
    <n v="16.12"/>
    <n v="5.3196000000000003"/>
    <n v="0"/>
    <s v="CATIVO"/>
    <n v="0"/>
    <n v="0"/>
    <n v="43"/>
    <n v="84"/>
    <n v="0"/>
    <n v="334.07"/>
    <n v="224.55"/>
    <m/>
    <n v="453.79812567521839"/>
    <n v="224.6483414612014"/>
    <n v="0"/>
    <n v="7261.1798479999998"/>
    <n v="0"/>
    <n v="8025.5713332499163"/>
    <x v="0"/>
  </r>
  <r>
    <s v="PROJETADO"/>
    <x v="3"/>
    <x v="3"/>
    <x v="0"/>
    <x v="0"/>
    <x v="0"/>
    <x v="0"/>
    <x v="2"/>
    <x v="10"/>
    <n v="0"/>
    <n v="0"/>
    <n v="116.042"/>
    <n v="38.293860000000002"/>
    <n v="116.042"/>
    <n v="38.293860000000002"/>
    <n v="0"/>
    <s v="CATIVO"/>
    <n v="0"/>
    <n v="0"/>
    <n v="43"/>
    <n v="84"/>
    <n v="0"/>
    <n v="334.07"/>
    <n v="224.55"/>
    <m/>
    <n v="453.79812567521839"/>
    <n v="224.6483414612014"/>
    <n v="0"/>
    <n v="52270.585106800005"/>
    <n v="0"/>
    <n v="57773.160586413578"/>
    <x v="0"/>
  </r>
  <r>
    <s v="PROJETADO"/>
    <x v="3"/>
    <x v="3"/>
    <x v="0"/>
    <x v="0"/>
    <x v="0"/>
    <x v="0"/>
    <x v="2"/>
    <x v="10"/>
    <n v="0"/>
    <n v="0"/>
    <n v="16.12"/>
    <n v="5.3196000000000003"/>
    <n v="16.12"/>
    <n v="5.3196000000000003"/>
    <n v="0"/>
    <s v="CATIVO"/>
    <n v="0"/>
    <n v="0"/>
    <n v="43"/>
    <n v="84"/>
    <n v="0"/>
    <n v="334.07"/>
    <n v="224.55"/>
    <m/>
    <n v="453.79812567521839"/>
    <n v="224.6483414612014"/>
    <n v="0"/>
    <n v="7261.1798479999998"/>
    <n v="0"/>
    <n v="8025.5713332499163"/>
    <x v="0"/>
  </r>
  <r>
    <s v="Regular"/>
    <x v="3"/>
    <x v="3"/>
    <x v="0"/>
    <x v="2"/>
    <x v="3"/>
    <x v="0"/>
    <x v="2"/>
    <x v="3"/>
    <n v="0"/>
    <n v="0"/>
    <n v="8.7739999999999991"/>
    <n v="8.7739999999999991"/>
    <n v="8.7739999999999991"/>
    <n v="8.7739999999999991"/>
    <n v="0"/>
    <s v="CATIVO"/>
    <n v="0"/>
    <n v="0"/>
    <n v="43"/>
    <n v="84"/>
    <n v="0"/>
    <n v="334.07"/>
    <n v="224.55"/>
    <m/>
    <n v="453.79812567521839"/>
    <n v="224.6483414612014"/>
    <n v="0"/>
    <n v="668.31557999999961"/>
    <n v="0"/>
    <n v="379.95889165882591"/>
    <x v="1"/>
  </r>
  <r>
    <s v="Sistema de Compensação"/>
    <x v="3"/>
    <x v="3"/>
    <x v="0"/>
    <x v="2"/>
    <x v="3"/>
    <x v="0"/>
    <x v="2"/>
    <x v="3"/>
    <n v="0"/>
    <n v="0"/>
    <n v="0.38200000000000001"/>
    <n v="0.38200000000000001"/>
    <n v="0.38200000000000001"/>
    <n v="0.38200000000000001"/>
    <n v="0"/>
    <s v="CATIVO"/>
    <n v="0"/>
    <n v="0"/>
    <n v="43"/>
    <n v="84"/>
    <n v="0"/>
    <n v="334.07"/>
    <n v="224.55"/>
    <m/>
    <n v="453.79812567521839"/>
    <n v="224.6483414612014"/>
    <n v="0"/>
    <n v="29.096939999999986"/>
    <n v="0"/>
    <n v="16.542545773156089"/>
    <x v="1"/>
  </r>
  <r>
    <s v="Regular"/>
    <x v="3"/>
    <x v="3"/>
    <x v="0"/>
    <x v="2"/>
    <x v="3"/>
    <x v="0"/>
    <x v="2"/>
    <x v="4"/>
    <n v="0"/>
    <n v="0"/>
    <n v="7.7729999999999997"/>
    <n v="7.7729999999999997"/>
    <n v="7.7729999999999997"/>
    <n v="7.7729999999999997"/>
    <n v="0"/>
    <s v="CATIVO"/>
    <n v="0"/>
    <n v="0"/>
    <n v="43"/>
    <n v="84"/>
    <n v="0"/>
    <n v="334.07"/>
    <n v="224.55"/>
    <m/>
    <n v="453.79812567521839"/>
    <n v="224.6483414612014"/>
    <n v="0"/>
    <n v="592.06940999999961"/>
    <n v="0"/>
    <n v="336.61049291817346"/>
    <x v="1"/>
  </r>
  <r>
    <s v="Sistema de Compensação"/>
    <x v="3"/>
    <x v="3"/>
    <x v="0"/>
    <x v="2"/>
    <x v="3"/>
    <x v="0"/>
    <x v="2"/>
    <x v="4"/>
    <n v="0"/>
    <n v="0"/>
    <n v="0.65700000000000003"/>
    <n v="0.65700000000000003"/>
    <n v="0.65700000000000003"/>
    <n v="0.65700000000000003"/>
    <n v="0"/>
    <s v="CATIVO"/>
    <n v="0"/>
    <n v="0"/>
    <n v="43"/>
    <n v="84"/>
    <n v="0"/>
    <n v="334.07"/>
    <n v="224.55"/>
    <m/>
    <n v="453.79812567521839"/>
    <n v="224.6483414612014"/>
    <n v="0"/>
    <n v="50.043689999999977"/>
    <n v="0"/>
    <n v="28.451446526082592"/>
    <x v="1"/>
  </r>
  <r>
    <s v="Regular"/>
    <x v="3"/>
    <x v="3"/>
    <x v="0"/>
    <x v="2"/>
    <x v="3"/>
    <x v="0"/>
    <x v="2"/>
    <x v="11"/>
    <n v="0"/>
    <n v="0"/>
    <n v="8.7479999999999993"/>
    <n v="8.7479999999999993"/>
    <n v="8.7479999999999993"/>
    <n v="8.7479999999999993"/>
    <n v="0"/>
    <s v="CATIVO"/>
    <n v="0"/>
    <n v="0"/>
    <n v="43"/>
    <n v="84"/>
    <n v="0"/>
    <n v="334.07"/>
    <n v="224.55"/>
    <m/>
    <n v="453.79812567521839"/>
    <n v="224.6483414612014"/>
    <n v="0"/>
    <n v="666.33515999999963"/>
    <n v="0"/>
    <n v="378.83295922400379"/>
    <x v="1"/>
  </r>
  <r>
    <s v="Sistema de Compensação"/>
    <x v="3"/>
    <x v="3"/>
    <x v="0"/>
    <x v="2"/>
    <x v="3"/>
    <x v="0"/>
    <x v="2"/>
    <x v="11"/>
    <n v="0"/>
    <n v="0"/>
    <n v="0.95899999999999996"/>
    <n v="0.95899999999999996"/>
    <n v="0.95899999999999996"/>
    <n v="0.95899999999999996"/>
    <n v="0"/>
    <s v="CATIVO"/>
    <n v="0"/>
    <n v="0"/>
    <n v="43"/>
    <n v="84"/>
    <n v="0"/>
    <n v="334.07"/>
    <n v="224.55"/>
    <m/>
    <n v="453.79812567521839"/>
    <n v="224.6483414612014"/>
    <n v="0"/>
    <n v="73.047029999999964"/>
    <n v="0"/>
    <n v="41.529584807478237"/>
    <x v="1"/>
  </r>
  <r>
    <s v="Regular"/>
    <x v="3"/>
    <x v="3"/>
    <x v="0"/>
    <x v="2"/>
    <x v="3"/>
    <x v="0"/>
    <x v="2"/>
    <x v="5"/>
    <n v="0"/>
    <n v="0"/>
    <n v="9.0630000000000006"/>
    <n v="9.0630000000000006"/>
    <n v="9.0630000000000006"/>
    <n v="9.0630000000000006"/>
    <n v="0"/>
    <s v="CATIVO"/>
    <n v="0"/>
    <n v="0"/>
    <n v="43"/>
    <n v="84"/>
    <n v="0"/>
    <n v="334.07"/>
    <n v="224.55"/>
    <m/>
    <n v="453.79812567521839"/>
    <n v="224.6483414612014"/>
    <n v="0"/>
    <n v="690.32870999999966"/>
    <n v="0"/>
    <n v="392.47406372281057"/>
    <x v="1"/>
  </r>
  <r>
    <s v="Sistema de Compensação"/>
    <x v="3"/>
    <x v="3"/>
    <x v="0"/>
    <x v="2"/>
    <x v="3"/>
    <x v="0"/>
    <x v="2"/>
    <x v="5"/>
    <n v="0"/>
    <n v="0"/>
    <n v="0.318"/>
    <n v="0.318"/>
    <n v="0.318"/>
    <n v="0.318"/>
    <n v="0"/>
    <s v="CATIVO"/>
    <n v="0"/>
    <n v="0"/>
    <n v="43"/>
    <n v="84"/>
    <n v="0"/>
    <n v="334.07"/>
    <n v="224.55"/>
    <m/>
    <n v="453.79812567521839"/>
    <n v="224.6483414612014"/>
    <n v="0"/>
    <n v="24.222059999999988"/>
    <n v="0"/>
    <n v="13.771019779747737"/>
    <x v="1"/>
  </r>
  <r>
    <s v="Regular"/>
    <x v="3"/>
    <x v="3"/>
    <x v="0"/>
    <x v="2"/>
    <x v="3"/>
    <x v="0"/>
    <x v="2"/>
    <x v="6"/>
    <n v="0"/>
    <n v="0"/>
    <n v="8.8219999999999992"/>
    <n v="8.8219999999999992"/>
    <n v="8.8219999999999992"/>
    <n v="8.8219999999999992"/>
    <n v="0"/>
    <s v="CATIVO"/>
    <n v="0"/>
    <n v="0"/>
    <n v="43"/>
    <n v="84"/>
    <n v="0"/>
    <n v="334.07"/>
    <n v="224.55"/>
    <m/>
    <n v="453.79812567521839"/>
    <n v="224.6483414612014"/>
    <n v="0"/>
    <n v="671.97173999999961"/>
    <n v="0"/>
    <n v="382.03753615388217"/>
    <x v="1"/>
  </r>
  <r>
    <s v="Sistema de Compensação"/>
    <x v="3"/>
    <x v="3"/>
    <x v="0"/>
    <x v="2"/>
    <x v="3"/>
    <x v="0"/>
    <x v="2"/>
    <x v="6"/>
    <n v="0"/>
    <n v="0"/>
    <n v="0.71099999999999997"/>
    <n v="0.71099999999999997"/>
    <n v="0.71099999999999997"/>
    <n v="0.71099999999999997"/>
    <n v="0"/>
    <s v="CATIVO"/>
    <n v="0"/>
    <n v="0"/>
    <n v="43"/>
    <n v="84"/>
    <n v="0"/>
    <n v="334.07"/>
    <n v="224.55"/>
    <m/>
    <n v="453.79812567521839"/>
    <n v="224.6483414612014"/>
    <n v="0"/>
    <n v="54.156869999999969"/>
    <n v="0"/>
    <n v="30.789921583020885"/>
    <x v="1"/>
  </r>
  <r>
    <s v="Regular"/>
    <x v="3"/>
    <x v="3"/>
    <x v="0"/>
    <x v="2"/>
    <x v="3"/>
    <x v="0"/>
    <x v="2"/>
    <x v="7"/>
    <n v="0"/>
    <n v="0"/>
    <n v="17.407"/>
    <n v="17.407"/>
    <n v="17.407"/>
    <n v="17.407"/>
    <n v="0"/>
    <s v="CATIVO"/>
    <n v="0"/>
    <n v="0"/>
    <n v="43"/>
    <n v="84"/>
    <n v="0"/>
    <n v="334.07"/>
    <n v="224.55"/>
    <m/>
    <n v="453.79812567521839"/>
    <n v="224.6483414612014"/>
    <n v="0"/>
    <n v="1325.8911899999994"/>
    <n v="0"/>
    <n v="753.81176511342414"/>
    <x v="1"/>
  </r>
  <r>
    <s v="Sistema de Compensação"/>
    <x v="3"/>
    <x v="3"/>
    <x v="0"/>
    <x v="2"/>
    <x v="3"/>
    <x v="0"/>
    <x v="2"/>
    <x v="7"/>
    <n v="0"/>
    <n v="0"/>
    <n v="0.83199999999999996"/>
    <n v="0.83199999999999996"/>
    <n v="0.83199999999999996"/>
    <n v="0.83199999999999996"/>
    <n v="0"/>
    <s v="CATIVO"/>
    <n v="0"/>
    <n v="0"/>
    <n v="43"/>
    <n v="84"/>
    <n v="0"/>
    <n v="334.07"/>
    <n v="224.55"/>
    <m/>
    <n v="453.79812567521839"/>
    <n v="224.6483414612014"/>
    <n v="0"/>
    <n v="63.37343999999996"/>
    <n v="0"/>
    <n v="36.029837914308544"/>
    <x v="1"/>
  </r>
  <r>
    <s v="Regular"/>
    <x v="3"/>
    <x v="3"/>
    <x v="0"/>
    <x v="2"/>
    <x v="3"/>
    <x v="0"/>
    <x v="2"/>
    <x v="8"/>
    <n v="0"/>
    <n v="0"/>
    <n v="9.9469999999999992"/>
    <n v="9.9469999999999992"/>
    <n v="9.9469999999999992"/>
    <n v="9.9469999999999992"/>
    <n v="0"/>
    <s v="CATIVO"/>
    <n v="0"/>
    <n v="0"/>
    <n v="43"/>
    <n v="84"/>
    <n v="0"/>
    <n v="334.07"/>
    <n v="224.55"/>
    <m/>
    <n v="453.79812567521839"/>
    <n v="224.6483414612014"/>
    <n v="0"/>
    <n v="757.66298999999958"/>
    <n v="0"/>
    <n v="430.75576650676334"/>
    <x v="1"/>
  </r>
  <r>
    <s v="Sistema de Compensação"/>
    <x v="3"/>
    <x v="3"/>
    <x v="0"/>
    <x v="2"/>
    <x v="3"/>
    <x v="0"/>
    <x v="2"/>
    <x v="8"/>
    <n v="0"/>
    <n v="0"/>
    <n v="4.1079999999999997"/>
    <n v="4.1079999999999997"/>
    <n v="4.1079999999999997"/>
    <n v="4.1079999999999997"/>
    <n v="0"/>
    <s v="CATIVO"/>
    <n v="0"/>
    <n v="0"/>
    <n v="43"/>
    <n v="84"/>
    <n v="0"/>
    <n v="334.07"/>
    <n v="224.55"/>
    <m/>
    <n v="453.79812567521839"/>
    <n v="224.6483414612014"/>
    <n v="0"/>
    <n v="312.90635999999978"/>
    <n v="0"/>
    <n v="177.89732470189844"/>
    <x v="1"/>
  </r>
  <r>
    <s v="Regular"/>
    <x v="3"/>
    <x v="3"/>
    <x v="0"/>
    <x v="2"/>
    <x v="3"/>
    <x v="0"/>
    <x v="2"/>
    <x v="0"/>
    <n v="0"/>
    <n v="0"/>
    <n v="9.6579999999999995"/>
    <n v="9.6579999999999995"/>
    <n v="9.6579999999999995"/>
    <n v="9.6579999999999995"/>
    <n v="0"/>
    <s v="CATIVO"/>
    <n v="0"/>
    <n v="0"/>
    <n v="43"/>
    <n v="84"/>
    <n v="0"/>
    <n v="334.07"/>
    <n v="224.55"/>
    <m/>
    <n v="453.79812567521839"/>
    <n v="224.6483414612014"/>
    <n v="0"/>
    <n v="735.64985999999953"/>
    <n v="0"/>
    <n v="418.24059444277873"/>
    <x v="1"/>
  </r>
  <r>
    <s v="Sistema de Compensação"/>
    <x v="3"/>
    <x v="3"/>
    <x v="0"/>
    <x v="2"/>
    <x v="3"/>
    <x v="0"/>
    <x v="2"/>
    <x v="0"/>
    <n v="0"/>
    <n v="0"/>
    <n v="1.2729999999999999"/>
    <n v="1.2729999999999999"/>
    <n v="1.2729999999999999"/>
    <n v="1.2729999999999999"/>
    <n v="0"/>
    <s v="CATIVO"/>
    <n v="0"/>
    <n v="0"/>
    <n v="43"/>
    <n v="84"/>
    <n v="0"/>
    <n v="334.07"/>
    <n v="224.55"/>
    <m/>
    <n v="453.79812567521839"/>
    <n v="224.6483414612014"/>
    <n v="0"/>
    <n v="96.964409999999944"/>
    <n v="0"/>
    <n v="55.127384212637949"/>
    <x v="1"/>
  </r>
  <r>
    <s v="Regular"/>
    <x v="3"/>
    <x v="3"/>
    <x v="0"/>
    <x v="2"/>
    <x v="3"/>
    <x v="0"/>
    <x v="2"/>
    <x v="1"/>
    <n v="0"/>
    <n v="0"/>
    <n v="12.952"/>
    <n v="12.952"/>
    <n v="12.952"/>
    <n v="12.952"/>
    <n v="0"/>
    <s v="CATIVO"/>
    <n v="0"/>
    <n v="0"/>
    <n v="43"/>
    <n v="84"/>
    <n v="0"/>
    <n v="334.07"/>
    <n v="224.55"/>
    <m/>
    <n v="453.79812567521839"/>
    <n v="224.6483414612014"/>
    <n v="0"/>
    <n v="986.55383999999947"/>
    <n v="0"/>
    <n v="560.88757291601473"/>
    <x v="1"/>
  </r>
  <r>
    <s v="Sistema de Compensação"/>
    <x v="3"/>
    <x v="3"/>
    <x v="0"/>
    <x v="2"/>
    <x v="3"/>
    <x v="0"/>
    <x v="2"/>
    <x v="1"/>
    <n v="0"/>
    <n v="0"/>
    <n v="0.16300000000000001"/>
    <n v="0.16300000000000001"/>
    <n v="0.16300000000000001"/>
    <n v="0.16300000000000001"/>
    <n v="0"/>
    <s v="CATIVO"/>
    <n v="0"/>
    <n v="0"/>
    <n v="43"/>
    <n v="84"/>
    <n v="0"/>
    <n v="334.07"/>
    <n v="224.55"/>
    <m/>
    <n v="453.79812567521839"/>
    <n v="224.6483414612014"/>
    <n v="0"/>
    <n v="12.415709999999994"/>
    <n v="0"/>
    <n v="7.0587302644618912"/>
    <x v="1"/>
  </r>
  <r>
    <s v="Regular"/>
    <x v="3"/>
    <x v="3"/>
    <x v="0"/>
    <x v="2"/>
    <x v="3"/>
    <x v="0"/>
    <x v="2"/>
    <x v="2"/>
    <n v="0"/>
    <n v="0"/>
    <n v="8.8119999999999994"/>
    <n v="8.8119999999999994"/>
    <n v="8.8119999999999994"/>
    <n v="8.8119999999999994"/>
    <n v="0"/>
    <s v="CATIVO"/>
    <n v="0"/>
    <n v="0"/>
    <n v="43"/>
    <n v="84"/>
    <n v="0"/>
    <n v="334.07"/>
    <n v="224.55"/>
    <m/>
    <n v="453.79812567521839"/>
    <n v="224.6483414612014"/>
    <n v="0"/>
    <n v="671.21003999999959"/>
    <n v="0"/>
    <n v="381.6044852174121"/>
    <x v="1"/>
  </r>
  <r>
    <s v="Sistema de Compensação"/>
    <x v="3"/>
    <x v="3"/>
    <x v="0"/>
    <x v="2"/>
    <x v="3"/>
    <x v="0"/>
    <x v="2"/>
    <x v="2"/>
    <n v="0"/>
    <n v="0"/>
    <n v="2.0569999999999999"/>
    <n v="2.0569999999999999"/>
    <n v="2.0569999999999999"/>
    <n v="2.0569999999999999"/>
    <n v="0"/>
    <s v="CATIVO"/>
    <n v="0"/>
    <n v="0"/>
    <n v="43"/>
    <n v="84"/>
    <n v="0"/>
    <n v="334.07"/>
    <n v="224.55"/>
    <m/>
    <n v="453.79812567521839"/>
    <n v="224.6483414612014"/>
    <n v="0"/>
    <n v="156.68168999999992"/>
    <n v="0"/>
    <n v="89.078577631890241"/>
    <x v="1"/>
  </r>
  <r>
    <s v="Regular"/>
    <x v="3"/>
    <x v="3"/>
    <x v="0"/>
    <x v="2"/>
    <x v="3"/>
    <x v="0"/>
    <x v="2"/>
    <x v="9"/>
    <n v="0"/>
    <n v="0"/>
    <n v="10.707000000000001"/>
    <n v="10.707000000000001"/>
    <n v="10.707000000000001"/>
    <n v="10.707000000000001"/>
    <n v="0"/>
    <s v="CATIVO"/>
    <n v="0"/>
    <n v="0"/>
    <n v="43"/>
    <n v="84"/>
    <n v="0"/>
    <n v="334.07"/>
    <n v="224.55"/>
    <m/>
    <n v="453.79812567521839"/>
    <n v="224.6483414612014"/>
    <n v="0"/>
    <n v="815.55218999999965"/>
    <n v="0"/>
    <n v="463.66763767848755"/>
    <x v="1"/>
  </r>
  <r>
    <s v="Sistema de Compensação"/>
    <x v="3"/>
    <x v="3"/>
    <x v="0"/>
    <x v="2"/>
    <x v="3"/>
    <x v="0"/>
    <x v="2"/>
    <x v="9"/>
    <n v="0"/>
    <n v="0"/>
    <n v="6.9749999999999996"/>
    <n v="6.9749999999999996"/>
    <n v="6.9749999999999996"/>
    <n v="6.9749999999999996"/>
    <n v="0"/>
    <s v="CATIVO"/>
    <n v="0"/>
    <n v="0"/>
    <n v="43"/>
    <n v="84"/>
    <n v="0"/>
    <n v="334.07"/>
    <n v="224.55"/>
    <m/>
    <n v="453.79812567521839"/>
    <n v="224.6483414612014"/>
    <n v="0"/>
    <n v="531.28574999999967"/>
    <n v="0"/>
    <n v="302.05302818786311"/>
    <x v="1"/>
  </r>
  <r>
    <s v="PROJETADO"/>
    <x v="3"/>
    <x v="3"/>
    <x v="0"/>
    <x v="2"/>
    <x v="3"/>
    <x v="0"/>
    <x v="2"/>
    <x v="10"/>
    <n v="0"/>
    <n v="0"/>
    <n v="10.707000000000001"/>
    <n v="10.707000000000001"/>
    <n v="10.707000000000001"/>
    <n v="10.707000000000001"/>
    <n v="0"/>
    <s v="CATIVO"/>
    <n v="0"/>
    <n v="0"/>
    <n v="43"/>
    <n v="84"/>
    <n v="0"/>
    <n v="334.07"/>
    <n v="224.55"/>
    <m/>
    <n v="453.79812567521839"/>
    <n v="224.6483414612014"/>
    <n v="0"/>
    <n v="815.55218999999965"/>
    <n v="0"/>
    <n v="463.66763767848755"/>
    <x v="1"/>
  </r>
  <r>
    <s v="PROJETADO"/>
    <x v="3"/>
    <x v="3"/>
    <x v="0"/>
    <x v="2"/>
    <x v="3"/>
    <x v="0"/>
    <x v="2"/>
    <x v="10"/>
    <n v="0"/>
    <n v="0"/>
    <n v="6.9749999999999996"/>
    <n v="6.9749999999999996"/>
    <n v="6.9749999999999996"/>
    <n v="6.9749999999999996"/>
    <n v="0"/>
    <s v="CATIVO"/>
    <n v="0"/>
    <n v="0"/>
    <n v="43"/>
    <n v="84"/>
    <n v="0"/>
    <n v="334.07"/>
    <n v="224.55"/>
    <m/>
    <n v="453.79812567521839"/>
    <n v="224.6483414612014"/>
    <n v="0"/>
    <n v="531.28574999999967"/>
    <n v="0"/>
    <n v="302.05302818786311"/>
    <x v="1"/>
  </r>
  <r>
    <s v="Regular"/>
    <x v="3"/>
    <x v="3"/>
    <x v="0"/>
    <x v="2"/>
    <x v="0"/>
    <x v="0"/>
    <x v="2"/>
    <x v="3"/>
    <n v="0"/>
    <n v="0"/>
    <n v="16.626000000000001"/>
    <n v="5.48658"/>
    <n v="16.626000000000001"/>
    <n v="5.48658"/>
    <n v="0"/>
    <s v="CATIVO"/>
    <n v="0"/>
    <n v="0"/>
    <n v="43"/>
    <n v="84"/>
    <n v="0"/>
    <n v="334.07"/>
    <n v="224.55"/>
    <m/>
    <n v="453.79812567521839"/>
    <n v="224.6483414612014"/>
    <n v="0"/>
    <n v="7489.1052203999998"/>
    <n v="0"/>
    <n v="8277.4906319238908"/>
    <x v="0"/>
  </r>
  <r>
    <s v="Sistema de Compensação"/>
    <x v="3"/>
    <x v="3"/>
    <x v="0"/>
    <x v="2"/>
    <x v="0"/>
    <x v="0"/>
    <x v="2"/>
    <x v="3"/>
    <n v="0"/>
    <n v="0"/>
    <n v="2.2549999999999999"/>
    <n v="2.2549999999999999"/>
    <n v="2.2549999999999999"/>
    <n v="2.2549999999999999"/>
    <n v="0"/>
    <s v="CATIVO"/>
    <n v="0"/>
    <n v="0"/>
    <n v="43"/>
    <n v="84"/>
    <n v="0"/>
    <n v="334.07"/>
    <n v="224.55"/>
    <m/>
    <n v="453.79812567521839"/>
    <n v="224.6483414612014"/>
    <n v="0"/>
    <n v="171.76334999999989"/>
    <n v="0"/>
    <n v="97.65298617399732"/>
    <x v="1"/>
  </r>
  <r>
    <s v="Regular"/>
    <x v="3"/>
    <x v="3"/>
    <x v="0"/>
    <x v="2"/>
    <x v="0"/>
    <x v="0"/>
    <x v="2"/>
    <x v="4"/>
    <n v="0"/>
    <n v="0"/>
    <n v="19.251999999999999"/>
    <n v="6.3531599999999999"/>
    <n v="19.251999999999999"/>
    <n v="6.3531599999999999"/>
    <n v="0"/>
    <s v="CATIVO"/>
    <n v="0"/>
    <n v="0"/>
    <n v="43"/>
    <n v="84"/>
    <n v="0"/>
    <n v="334.07"/>
    <n v="224.55"/>
    <m/>
    <n v="453.79812567521839"/>
    <n v="224.6483414612014"/>
    <n v="0"/>
    <n v="8671.9748407999996"/>
    <n v="0"/>
    <n v="9584.8820910500872"/>
    <x v="0"/>
  </r>
  <r>
    <s v="Sistema de Compensação"/>
    <x v="3"/>
    <x v="3"/>
    <x v="0"/>
    <x v="2"/>
    <x v="0"/>
    <x v="0"/>
    <x v="2"/>
    <x v="4"/>
    <n v="0"/>
    <n v="0"/>
    <n v="2.0499999999999998"/>
    <n v="0.67649999999999999"/>
    <n v="2.0499999999999998"/>
    <n v="0.67649999999999999"/>
    <n v="0"/>
    <s v="CATIVO"/>
    <n v="0"/>
    <n v="0"/>
    <n v="43"/>
    <n v="84"/>
    <n v="0"/>
    <n v="334.07"/>
    <n v="224.55"/>
    <m/>
    <n v="453.79812567521839"/>
    <n v="224.6483414612014"/>
    <n v="0"/>
    <n v="923.41306999999983"/>
    <n v="0"/>
    <n v="1020.6216645882337"/>
    <x v="0"/>
  </r>
  <r>
    <s v="Regular"/>
    <x v="3"/>
    <x v="3"/>
    <x v="0"/>
    <x v="2"/>
    <x v="0"/>
    <x v="0"/>
    <x v="2"/>
    <x v="11"/>
    <n v="0"/>
    <n v="0"/>
    <n v="18.866"/>
    <n v="6.2257800000000003"/>
    <n v="18.866"/>
    <n v="6.2257800000000003"/>
    <n v="0"/>
    <s v="CATIVO"/>
    <n v="0"/>
    <n v="0"/>
    <n v="43"/>
    <n v="84"/>
    <n v="0"/>
    <n v="334.07"/>
    <n v="224.55"/>
    <m/>
    <n v="453.79812567521839"/>
    <n v="224.6483414612014"/>
    <n v="0"/>
    <n v="8498.1029163999992"/>
    <n v="0"/>
    <n v="9392.7064995715209"/>
    <x v="0"/>
  </r>
  <r>
    <s v="Sistema de Compensação"/>
    <x v="3"/>
    <x v="3"/>
    <x v="0"/>
    <x v="2"/>
    <x v="0"/>
    <x v="0"/>
    <x v="2"/>
    <x v="11"/>
    <n v="0"/>
    <n v="0"/>
    <n v="2.2549999999999999"/>
    <n v="0.74414999999999998"/>
    <n v="2.2549999999999999"/>
    <n v="0.74414999999999998"/>
    <n v="0"/>
    <s v="CATIVO"/>
    <n v="0"/>
    <n v="0"/>
    <n v="43"/>
    <n v="84"/>
    <n v="0"/>
    <n v="334.07"/>
    <n v="224.55"/>
    <m/>
    <n v="453.79812567521839"/>
    <n v="224.6483414612014"/>
    <n v="0"/>
    <n v="1015.754377"/>
    <n v="0"/>
    <n v="1122.6838310470571"/>
    <x v="0"/>
  </r>
  <r>
    <s v="Regular"/>
    <x v="3"/>
    <x v="3"/>
    <x v="0"/>
    <x v="2"/>
    <x v="0"/>
    <x v="0"/>
    <x v="2"/>
    <x v="5"/>
    <n v="0"/>
    <n v="0"/>
    <n v="17.338000000000001"/>
    <n v="5.7215400000000001"/>
    <n v="17.338000000000001"/>
    <n v="5.7215400000000001"/>
    <n v="0"/>
    <s v="CATIVO"/>
    <n v="0"/>
    <n v="0"/>
    <n v="43"/>
    <n v="84"/>
    <n v="0"/>
    <n v="334.07"/>
    <n v="224.55"/>
    <m/>
    <n v="453.79812567521839"/>
    <n v="224.6483414612014"/>
    <n v="0"/>
    <n v="7809.8223451999993"/>
    <n v="0"/>
    <n v="8631.9699612833156"/>
    <x v="0"/>
  </r>
  <r>
    <s v="Sistema de Compensação"/>
    <x v="3"/>
    <x v="3"/>
    <x v="0"/>
    <x v="2"/>
    <x v="0"/>
    <x v="0"/>
    <x v="2"/>
    <x v="5"/>
    <n v="0"/>
    <n v="0"/>
    <n v="1.968"/>
    <n v="0.64944000000000002"/>
    <n v="1.968"/>
    <n v="0.64944000000000002"/>
    <n v="0"/>
    <s v="CATIVO"/>
    <n v="0"/>
    <n v="0"/>
    <n v="43"/>
    <n v="84"/>
    <n v="0"/>
    <n v="334.07"/>
    <n v="224.55"/>
    <m/>
    <n v="453.79812567521839"/>
    <n v="224.6483414612014"/>
    <n v="0"/>
    <n v="886.47654719999991"/>
    <n v="0"/>
    <n v="979.79679800470433"/>
    <x v="0"/>
  </r>
  <r>
    <s v="Regular"/>
    <x v="3"/>
    <x v="3"/>
    <x v="0"/>
    <x v="2"/>
    <x v="0"/>
    <x v="0"/>
    <x v="2"/>
    <x v="6"/>
    <n v="0"/>
    <n v="0"/>
    <n v="17.251999999999999"/>
    <n v="5.6931599999999998"/>
    <n v="17.251999999999999"/>
    <n v="5.6931599999999998"/>
    <n v="0"/>
    <s v="CATIVO"/>
    <n v="0"/>
    <n v="0"/>
    <n v="43"/>
    <n v="84"/>
    <n v="0"/>
    <n v="334.07"/>
    <n v="224.55"/>
    <m/>
    <n v="453.79812567521839"/>
    <n v="224.6483414612014"/>
    <n v="0"/>
    <n v="7771.0840407999995"/>
    <n v="0"/>
    <n v="8589.1536377932716"/>
    <x v="0"/>
  </r>
  <r>
    <s v="Sistema de Compensação"/>
    <x v="3"/>
    <x v="3"/>
    <x v="0"/>
    <x v="2"/>
    <x v="0"/>
    <x v="0"/>
    <x v="2"/>
    <x v="6"/>
    <n v="0"/>
    <n v="0"/>
    <n v="1.64"/>
    <n v="0.54120000000000001"/>
    <n v="1.64"/>
    <n v="0.54120000000000001"/>
    <n v="0"/>
    <s v="CATIVO"/>
    <n v="0"/>
    <n v="0"/>
    <n v="43"/>
    <n v="84"/>
    <n v="0"/>
    <n v="334.07"/>
    <n v="224.55"/>
    <m/>
    <n v="453.79812567521839"/>
    <n v="224.6483414612014"/>
    <n v="0"/>
    <n v="738.73045599999978"/>
    <n v="0"/>
    <n v="816.49733167058685"/>
    <x v="0"/>
  </r>
  <r>
    <s v="Regular"/>
    <x v="3"/>
    <x v="3"/>
    <x v="0"/>
    <x v="2"/>
    <x v="0"/>
    <x v="0"/>
    <x v="2"/>
    <x v="7"/>
    <n v="0"/>
    <n v="0"/>
    <n v="18.675999999999998"/>
    <n v="6.1630799999999999"/>
    <n v="18.675999999999998"/>
    <n v="6.1630799999999999"/>
    <n v="0"/>
    <s v="CATIVO"/>
    <n v="0"/>
    <n v="0"/>
    <n v="43"/>
    <n v="84"/>
    <n v="0"/>
    <n v="334.07"/>
    <n v="224.55"/>
    <m/>
    <n v="453.79812567521839"/>
    <n v="224.6483414612014"/>
    <n v="0"/>
    <n v="8412.5182903999976"/>
    <n v="0"/>
    <n v="9298.1122965121212"/>
    <x v="0"/>
  </r>
  <r>
    <s v="Sistema de Compensação"/>
    <x v="3"/>
    <x v="3"/>
    <x v="0"/>
    <x v="2"/>
    <x v="0"/>
    <x v="0"/>
    <x v="2"/>
    <x v="7"/>
    <n v="0"/>
    <n v="0"/>
    <n v="2.0499999999999998"/>
    <n v="0.67649999999999999"/>
    <n v="2.0499999999999998"/>
    <n v="0.67649999999999999"/>
    <n v="0"/>
    <s v="CATIVO"/>
    <n v="0"/>
    <n v="0"/>
    <n v="43"/>
    <n v="84"/>
    <n v="0"/>
    <n v="334.07"/>
    <n v="224.55"/>
    <m/>
    <n v="453.79812567521839"/>
    <n v="224.6483414612014"/>
    <n v="0"/>
    <n v="923.41306999999983"/>
    <n v="0"/>
    <n v="1020.6216645882337"/>
    <x v="0"/>
  </r>
  <r>
    <s v="Regular"/>
    <x v="3"/>
    <x v="3"/>
    <x v="0"/>
    <x v="2"/>
    <x v="0"/>
    <x v="0"/>
    <x v="2"/>
    <x v="8"/>
    <n v="0"/>
    <n v="0"/>
    <n v="17.824999999999999"/>
    <n v="5.88225"/>
    <n v="17.824999999999999"/>
    <n v="5.88225"/>
    <n v="0"/>
    <s v="CATIVO"/>
    <n v="0"/>
    <n v="0"/>
    <n v="43"/>
    <n v="84"/>
    <n v="0"/>
    <n v="334.07"/>
    <n v="224.55"/>
    <m/>
    <n v="453.79812567521839"/>
    <n v="224.6483414612014"/>
    <n v="0"/>
    <n v="8029.1892549999993"/>
    <n v="0"/>
    <n v="8874.4298396513495"/>
    <x v="0"/>
  </r>
  <r>
    <s v="Sistema de Compensação"/>
    <x v="3"/>
    <x v="3"/>
    <x v="0"/>
    <x v="2"/>
    <x v="0"/>
    <x v="0"/>
    <x v="2"/>
    <x v="8"/>
    <n v="0"/>
    <n v="0"/>
    <n v="2.7469999999999999"/>
    <n v="0.90651000000000004"/>
    <n v="2.7469999999999999"/>
    <n v="0.90651000000000004"/>
    <n v="0"/>
    <s v="CATIVO"/>
    <n v="0"/>
    <n v="0"/>
    <n v="43"/>
    <n v="84"/>
    <n v="0"/>
    <n v="334.07"/>
    <n v="224.55"/>
    <m/>
    <n v="453.79812567521839"/>
    <n v="224.6483414612014"/>
    <n v="0"/>
    <n v="1237.3735137999997"/>
    <n v="0"/>
    <n v="1367.6330305482331"/>
    <x v="0"/>
  </r>
  <r>
    <s v="Regular"/>
    <x v="3"/>
    <x v="3"/>
    <x v="0"/>
    <x v="2"/>
    <x v="0"/>
    <x v="0"/>
    <x v="2"/>
    <x v="0"/>
    <n v="0"/>
    <n v="0"/>
    <n v="16.347999999999999"/>
    <n v="5.3948400000000003"/>
    <n v="16.347999999999999"/>
    <n v="5.3948400000000003"/>
    <n v="0"/>
    <s v="CATIVO"/>
    <n v="0"/>
    <n v="0"/>
    <n v="43"/>
    <n v="84"/>
    <n v="0"/>
    <n v="334.07"/>
    <n v="224.55"/>
    <m/>
    <n v="453.79812567521839"/>
    <n v="224.6483414612014"/>
    <n v="0"/>
    <n v="7363.8813991999987"/>
    <n v="0"/>
    <n v="8139.0843769211924"/>
    <x v="0"/>
  </r>
  <r>
    <s v="Sistema de Compensação"/>
    <x v="3"/>
    <x v="3"/>
    <x v="0"/>
    <x v="2"/>
    <x v="0"/>
    <x v="0"/>
    <x v="2"/>
    <x v="0"/>
    <n v="0"/>
    <n v="0"/>
    <n v="2.0910000000000002"/>
    <n v="0.69003000000000003"/>
    <n v="2.0910000000000002"/>
    <n v="0.69003000000000003"/>
    <n v="0"/>
    <s v="CATIVO"/>
    <n v="0"/>
    <n v="0"/>
    <n v="43"/>
    <n v="84"/>
    <n v="0"/>
    <n v="334.07"/>
    <n v="224.55"/>
    <m/>
    <n v="453.79812567521839"/>
    <n v="224.6483414612014"/>
    <n v="0"/>
    <n v="941.88133139999991"/>
    <n v="0"/>
    <n v="1041.0340978799984"/>
    <x v="0"/>
  </r>
  <r>
    <s v="Regular"/>
    <x v="3"/>
    <x v="3"/>
    <x v="0"/>
    <x v="2"/>
    <x v="0"/>
    <x v="0"/>
    <x v="2"/>
    <x v="1"/>
    <n v="0"/>
    <n v="0"/>
    <n v="17.5"/>
    <n v="5.7750000000000004"/>
    <n v="17.5"/>
    <n v="5.7750000000000004"/>
    <n v="0"/>
    <s v="CATIVO"/>
    <n v="0"/>
    <n v="0"/>
    <n v="43"/>
    <n v="84"/>
    <n v="0"/>
    <n v="334.07"/>
    <n v="224.55"/>
    <m/>
    <n v="453.79812567521839"/>
    <n v="224.6483414612014"/>
    <n v="0"/>
    <n v="7882.7944999999991"/>
    <n v="0"/>
    <n v="8712.6239659971179"/>
    <x v="0"/>
  </r>
  <r>
    <s v="Sistema de Compensação"/>
    <x v="3"/>
    <x v="3"/>
    <x v="0"/>
    <x v="2"/>
    <x v="0"/>
    <x v="0"/>
    <x v="2"/>
    <x v="1"/>
    <n v="0"/>
    <n v="0"/>
    <n v="0.877"/>
    <n v="0.28941"/>
    <n v="0.877"/>
    <n v="0.28941"/>
    <n v="0"/>
    <s v="CATIVO"/>
    <n v="0"/>
    <n v="0"/>
    <n v="43"/>
    <n v="84"/>
    <n v="0"/>
    <n v="334.07"/>
    <n v="224.55"/>
    <m/>
    <n v="453.79812567521839"/>
    <n v="224.6483414612014"/>
    <n v="0"/>
    <n v="395.04061579999996"/>
    <n v="0"/>
    <n v="436.62692675311268"/>
    <x v="0"/>
  </r>
  <r>
    <s v="Regular"/>
    <x v="3"/>
    <x v="3"/>
    <x v="0"/>
    <x v="2"/>
    <x v="0"/>
    <x v="0"/>
    <x v="2"/>
    <x v="2"/>
    <n v="0"/>
    <n v="0"/>
    <n v="12.945"/>
    <n v="4.2718499999999997"/>
    <n v="12.945"/>
    <n v="4.2718499999999997"/>
    <n v="0"/>
    <s v="CATIVO"/>
    <n v="0"/>
    <n v="0"/>
    <n v="43"/>
    <n v="84"/>
    <n v="0"/>
    <n v="334.07"/>
    <n v="224.55"/>
    <m/>
    <n v="453.79812567521839"/>
    <n v="224.6483414612014"/>
    <n v="0"/>
    <n v="5831.0157029999991"/>
    <n v="0"/>
    <n v="6444.8524137047252"/>
    <x v="0"/>
  </r>
  <r>
    <s v="Sistema de Compensação"/>
    <x v="3"/>
    <x v="3"/>
    <x v="0"/>
    <x v="2"/>
    <x v="0"/>
    <x v="0"/>
    <x v="2"/>
    <x v="2"/>
    <n v="0"/>
    <n v="0"/>
    <n v="1.337"/>
    <n v="0.44120999999999999"/>
    <n v="1.337"/>
    <n v="0.44120999999999999"/>
    <n v="0"/>
    <s v="CATIVO"/>
    <n v="0"/>
    <n v="0"/>
    <n v="43"/>
    <n v="84"/>
    <n v="0"/>
    <n v="334.07"/>
    <n v="224.55"/>
    <m/>
    <n v="453.79812567521839"/>
    <n v="224.6483414612014"/>
    <n v="0"/>
    <n v="602.24549979999995"/>
    <n v="0"/>
    <n v="665.64447100217967"/>
    <x v="0"/>
  </r>
  <r>
    <s v="Regular"/>
    <x v="3"/>
    <x v="3"/>
    <x v="0"/>
    <x v="2"/>
    <x v="0"/>
    <x v="0"/>
    <x v="2"/>
    <x v="9"/>
    <n v="0"/>
    <n v="0"/>
    <n v="14.973000000000001"/>
    <n v="4.94109"/>
    <n v="14.973000000000001"/>
    <n v="4.94109"/>
    <n v="0"/>
    <s v="CATIVO"/>
    <n v="0"/>
    <n v="0"/>
    <n v="43"/>
    <n v="84"/>
    <n v="0"/>
    <n v="334.07"/>
    <n v="224.55"/>
    <m/>
    <n v="453.79812567521839"/>
    <n v="224.6483414612014"/>
    <n v="0"/>
    <n v="6744.5189741999993"/>
    <n v="0"/>
    <n v="7454.5210653071335"/>
    <x v="0"/>
  </r>
  <r>
    <s v="Sistema de Compensação"/>
    <x v="3"/>
    <x v="3"/>
    <x v="0"/>
    <x v="2"/>
    <x v="0"/>
    <x v="0"/>
    <x v="2"/>
    <x v="9"/>
    <n v="0"/>
    <n v="0"/>
    <n v="0.85499999999999998"/>
    <n v="0.28215000000000001"/>
    <n v="0.85499999999999998"/>
    <n v="0.28215000000000001"/>
    <n v="0"/>
    <s v="CATIVO"/>
    <n v="0"/>
    <n v="0"/>
    <n v="43"/>
    <n v="84"/>
    <n v="0"/>
    <n v="334.07"/>
    <n v="224.55"/>
    <m/>
    <n v="453.79812567521839"/>
    <n v="224.6483414612014"/>
    <n v="0"/>
    <n v="385.13081699999998"/>
    <n v="0"/>
    <n v="425.67391376728773"/>
    <x v="0"/>
  </r>
  <r>
    <s v="PROJETADO"/>
    <x v="3"/>
    <x v="3"/>
    <x v="0"/>
    <x v="2"/>
    <x v="0"/>
    <x v="0"/>
    <x v="2"/>
    <x v="10"/>
    <n v="0"/>
    <n v="0"/>
    <n v="14.973000000000001"/>
    <n v="4.94109"/>
    <n v="14.973000000000001"/>
    <n v="4.94109"/>
    <n v="0"/>
    <s v="CATIVO"/>
    <n v="0"/>
    <n v="0"/>
    <n v="43"/>
    <n v="84"/>
    <n v="0"/>
    <n v="334.07"/>
    <n v="224.55"/>
    <m/>
    <n v="453.79812567521839"/>
    <n v="224.6483414612014"/>
    <n v="0"/>
    <n v="6744.5189741999993"/>
    <n v="0"/>
    <n v="7454.5210653071335"/>
    <x v="0"/>
  </r>
  <r>
    <s v="PROJETADO"/>
    <x v="3"/>
    <x v="3"/>
    <x v="0"/>
    <x v="2"/>
    <x v="0"/>
    <x v="0"/>
    <x v="2"/>
    <x v="10"/>
    <n v="0"/>
    <n v="0"/>
    <n v="0.85499999999999998"/>
    <n v="0.28215000000000001"/>
    <n v="0.85499999999999998"/>
    <n v="0.28215000000000001"/>
    <n v="0"/>
    <s v="CATIVO"/>
    <n v="0"/>
    <n v="0"/>
    <n v="43"/>
    <n v="84"/>
    <n v="0"/>
    <n v="334.07"/>
    <n v="224.55"/>
    <m/>
    <n v="453.79812567521839"/>
    <n v="224.6483414612014"/>
    <n v="0"/>
    <n v="385.13081699999998"/>
    <n v="0"/>
    <n v="425.67391376728773"/>
    <x v="0"/>
  </r>
  <r>
    <s v="Regular"/>
    <x v="3"/>
    <x v="3"/>
    <x v="0"/>
    <x v="1"/>
    <x v="1"/>
    <x v="0"/>
    <x v="2"/>
    <x v="3"/>
    <n v="0"/>
    <n v="0"/>
    <n v="1381.0450000000001"/>
    <n v="1381.0450000000001"/>
    <n v="1381.0450000000001"/>
    <n v="1381.0450000000001"/>
    <n v="4522"/>
    <s v="CATIVO"/>
    <n v="0"/>
    <n v="0"/>
    <n v="43"/>
    <n v="84"/>
    <n v="0"/>
    <n v="334.07"/>
    <n v="224.55"/>
    <m/>
    <n v="453.79812567521839"/>
    <n v="224.6483414612014"/>
    <n v="0"/>
    <n v="105194.19764999994"/>
    <n v="0"/>
    <n v="59806.283055728665"/>
    <x v="1"/>
  </r>
  <r>
    <s v="Sistema de Compensação"/>
    <x v="3"/>
    <x v="3"/>
    <x v="0"/>
    <x v="1"/>
    <x v="1"/>
    <x v="0"/>
    <x v="2"/>
    <x v="3"/>
    <n v="0"/>
    <n v="0"/>
    <n v="11.712"/>
    <n v="11.712"/>
    <n v="11.712"/>
    <n v="11.712"/>
    <n v="61"/>
    <s v="CATIVO"/>
    <n v="0"/>
    <n v="0"/>
    <n v="43"/>
    <n v="84"/>
    <n v="0"/>
    <n v="334.07"/>
    <n v="224.55"/>
    <m/>
    <n v="453.79812567521839"/>
    <n v="224.6483414612014"/>
    <n v="0"/>
    <n v="892.10303999999951"/>
    <n v="0"/>
    <n v="507.18925679372796"/>
    <x v="1"/>
  </r>
  <r>
    <s v="Regular"/>
    <x v="3"/>
    <x v="3"/>
    <x v="0"/>
    <x v="1"/>
    <x v="1"/>
    <x v="0"/>
    <x v="2"/>
    <x v="4"/>
    <n v="0"/>
    <n v="0"/>
    <n v="1271.596"/>
    <n v="1271.596"/>
    <n v="1271.596"/>
    <n v="1271.596"/>
    <n v="4519"/>
    <s v="CATIVO"/>
    <n v="0"/>
    <n v="0"/>
    <n v="43"/>
    <n v="84"/>
    <n v="0"/>
    <n v="334.07"/>
    <n v="224.55"/>
    <m/>
    <n v="453.79812567521839"/>
    <n v="224.6483414612014"/>
    <n v="0"/>
    <n v="96857.467319999952"/>
    <n v="0"/>
    <n v="55066.58386115756"/>
    <x v="1"/>
  </r>
  <r>
    <s v="Sistema de Compensação"/>
    <x v="3"/>
    <x v="3"/>
    <x v="0"/>
    <x v="1"/>
    <x v="1"/>
    <x v="0"/>
    <x v="2"/>
    <x v="4"/>
    <n v="0"/>
    <n v="0"/>
    <n v="12.464"/>
    <n v="12.464"/>
    <n v="12.464"/>
    <n v="12.464"/>
    <n v="66"/>
    <s v="CATIVO"/>
    <n v="0"/>
    <n v="0"/>
    <n v="43"/>
    <n v="84"/>
    <n v="0"/>
    <n v="334.07"/>
    <n v="224.55"/>
    <m/>
    <n v="453.79812567521839"/>
    <n v="224.6483414612014"/>
    <n v="0"/>
    <n v="949.38287999999955"/>
    <n v="0"/>
    <n v="539.75468721627612"/>
    <x v="1"/>
  </r>
  <r>
    <s v="Regular"/>
    <x v="3"/>
    <x v="3"/>
    <x v="0"/>
    <x v="1"/>
    <x v="1"/>
    <x v="0"/>
    <x v="2"/>
    <x v="11"/>
    <n v="0"/>
    <n v="0"/>
    <n v="1167.3910000000001"/>
    <n v="1167.3910000000001"/>
    <n v="1167.3910000000001"/>
    <n v="1167.3910000000001"/>
    <n v="4510"/>
    <s v="CATIVO"/>
    <n v="0"/>
    <n v="0"/>
    <n v="43"/>
    <n v="84"/>
    <n v="0"/>
    <n v="334.07"/>
    <n v="224.55"/>
    <m/>
    <n v="453.79812567521839"/>
    <n v="224.6483414612014"/>
    <n v="0"/>
    <n v="88920.172469999961"/>
    <n v="0"/>
    <n v="50553.976577671361"/>
    <x v="1"/>
  </r>
  <r>
    <s v="Sistema de Compensação"/>
    <x v="3"/>
    <x v="3"/>
    <x v="0"/>
    <x v="1"/>
    <x v="1"/>
    <x v="0"/>
    <x v="2"/>
    <x v="11"/>
    <n v="0"/>
    <n v="0"/>
    <n v="17.41"/>
    <n v="17.41"/>
    <n v="17.41"/>
    <n v="17.41"/>
    <n v="70"/>
    <s v="CATIVO"/>
    <n v="0"/>
    <n v="0"/>
    <n v="43"/>
    <n v="84"/>
    <n v="0"/>
    <n v="334.07"/>
    <n v="224.55"/>
    <m/>
    <n v="453.79812567521839"/>
    <n v="224.6483414612014"/>
    <n v="0"/>
    <n v="1326.1196999999993"/>
    <n v="0"/>
    <n v="753.94168039436511"/>
    <x v="1"/>
  </r>
  <r>
    <s v="Regular"/>
    <x v="3"/>
    <x v="3"/>
    <x v="0"/>
    <x v="1"/>
    <x v="1"/>
    <x v="0"/>
    <x v="2"/>
    <x v="5"/>
    <n v="0"/>
    <n v="0"/>
    <n v="1228.2760000000001"/>
    <n v="1228.2760000000001"/>
    <n v="1228.2760000000001"/>
    <n v="1228.2760000000001"/>
    <n v="4501"/>
    <s v="CATIVO"/>
    <n v="0"/>
    <n v="0"/>
    <n v="43"/>
    <n v="84"/>
    <n v="0"/>
    <n v="334.07"/>
    <n v="224.55"/>
    <m/>
    <n v="453.79812567521839"/>
    <n v="224.6483414612014"/>
    <n v="0"/>
    <n v="93557.782919999954"/>
    <n v="0"/>
    <n v="53190.607204369284"/>
    <x v="1"/>
  </r>
  <r>
    <s v="Sistema de Compensação"/>
    <x v="3"/>
    <x v="3"/>
    <x v="0"/>
    <x v="1"/>
    <x v="1"/>
    <x v="0"/>
    <x v="2"/>
    <x v="5"/>
    <n v="0"/>
    <n v="0"/>
    <n v="12.071999999999999"/>
    <n v="12.071999999999999"/>
    <n v="12.071999999999999"/>
    <n v="12.071999999999999"/>
    <n v="72"/>
    <s v="CATIVO"/>
    <n v="0"/>
    <n v="0"/>
    <n v="43"/>
    <n v="84"/>
    <n v="0"/>
    <n v="334.07"/>
    <n v="224.55"/>
    <m/>
    <n v="453.79812567521839"/>
    <n v="224.6483414612014"/>
    <n v="0"/>
    <n v="919.52423999999939"/>
    <n v="0"/>
    <n v="522.77909050664994"/>
    <x v="1"/>
  </r>
  <r>
    <s v="Regular"/>
    <x v="3"/>
    <x v="3"/>
    <x v="0"/>
    <x v="1"/>
    <x v="1"/>
    <x v="0"/>
    <x v="2"/>
    <x v="6"/>
    <n v="0"/>
    <n v="0"/>
    <n v="1114.348"/>
    <n v="1114.348"/>
    <n v="1114.348"/>
    <n v="1114.348"/>
    <n v="4482"/>
    <s v="CATIVO"/>
    <n v="0"/>
    <n v="0"/>
    <n v="43"/>
    <n v="84"/>
    <n v="0"/>
    <n v="334.07"/>
    <n v="224.55"/>
    <m/>
    <n v="453.79812567521839"/>
    <n v="224.6483414612014"/>
    <n v="0"/>
    <n v="84879.887159999955"/>
    <n v="0"/>
    <n v="48256.944495353244"/>
    <x v="1"/>
  </r>
  <r>
    <s v="Sistema de Compensação"/>
    <x v="3"/>
    <x v="3"/>
    <x v="0"/>
    <x v="1"/>
    <x v="1"/>
    <x v="0"/>
    <x v="2"/>
    <x v="6"/>
    <n v="0"/>
    <n v="0"/>
    <n v="11.337"/>
    <n v="11.337"/>
    <n v="11.337"/>
    <n v="11.337"/>
    <n v="82"/>
    <s v="CATIVO"/>
    <n v="0"/>
    <n v="0"/>
    <n v="43"/>
    <n v="84"/>
    <n v="0"/>
    <n v="334.07"/>
    <n v="224.55"/>
    <m/>
    <n v="453.79812567521839"/>
    <n v="224.6483414612014"/>
    <n v="0"/>
    <n v="863.53928999999948"/>
    <n v="0"/>
    <n v="490.94984667610095"/>
    <x v="1"/>
  </r>
  <r>
    <s v="Regular"/>
    <x v="3"/>
    <x v="3"/>
    <x v="0"/>
    <x v="1"/>
    <x v="1"/>
    <x v="0"/>
    <x v="2"/>
    <x v="7"/>
    <n v="0"/>
    <n v="0"/>
    <n v="1176.8989999999999"/>
    <n v="1176.8989999999999"/>
    <n v="1176.8989999999999"/>
    <n v="1176.8989999999999"/>
    <n v="4469"/>
    <s v="CATIVO"/>
    <n v="0"/>
    <n v="0"/>
    <n v="43"/>
    <n v="84"/>
    <n v="0"/>
    <n v="334.07"/>
    <n v="224.55"/>
    <m/>
    <n v="453.79812567521839"/>
    <n v="224.6483414612014"/>
    <n v="0"/>
    <n v="89644.39682999994"/>
    <n v="0"/>
    <n v="50965.721408067082"/>
    <x v="1"/>
  </r>
  <r>
    <s v="Sistema de Compensação"/>
    <x v="3"/>
    <x v="3"/>
    <x v="0"/>
    <x v="1"/>
    <x v="1"/>
    <x v="0"/>
    <x v="2"/>
    <x v="7"/>
    <n v="0"/>
    <n v="0"/>
    <n v="27.274000000000001"/>
    <n v="27.274000000000001"/>
    <n v="27.274000000000001"/>
    <n v="27.274000000000001"/>
    <n v="91"/>
    <s v="CATIVO"/>
    <n v="0"/>
    <n v="0"/>
    <n v="43"/>
    <n v="84"/>
    <n v="0"/>
    <n v="334.07"/>
    <n v="224.55"/>
    <m/>
    <n v="453.79812567521839"/>
    <n v="224.6483414612014"/>
    <n v="0"/>
    <n v="2077.460579999999"/>
    <n v="0"/>
    <n v="1181.103124128427"/>
    <x v="1"/>
  </r>
  <r>
    <s v="Regular"/>
    <x v="3"/>
    <x v="3"/>
    <x v="0"/>
    <x v="1"/>
    <x v="1"/>
    <x v="0"/>
    <x v="2"/>
    <x v="8"/>
    <n v="0"/>
    <n v="0"/>
    <n v="1273.9549999999999"/>
    <n v="1273.9549999999999"/>
    <n v="1273.9549999999999"/>
    <n v="1273.9549999999999"/>
    <n v="4481"/>
    <s v="CATIVO"/>
    <n v="0"/>
    <n v="0"/>
    <n v="43"/>
    <n v="84"/>
    <n v="0"/>
    <n v="334.07"/>
    <n v="224.55"/>
    <m/>
    <n v="453.79812567521839"/>
    <n v="224.6483414612014"/>
    <n v="0"/>
    <n v="97037.152349999946"/>
    <n v="0"/>
    <n v="55168.740577070843"/>
    <x v="1"/>
  </r>
  <r>
    <s v="Sistema de Compensação"/>
    <x v="3"/>
    <x v="3"/>
    <x v="0"/>
    <x v="1"/>
    <x v="1"/>
    <x v="0"/>
    <x v="2"/>
    <x v="8"/>
    <n v="0"/>
    <n v="0"/>
    <n v="24.559000000000001"/>
    <n v="24.559000000000001"/>
    <n v="24.559000000000001"/>
    <n v="24.559000000000001"/>
    <n v="100"/>
    <s v="CATIVO"/>
    <n v="0"/>
    <n v="0"/>
    <n v="43"/>
    <n v="84"/>
    <n v="0"/>
    <n v="334.07"/>
    <n v="224.55"/>
    <m/>
    <n v="453.79812567521839"/>
    <n v="224.6483414612014"/>
    <n v="0"/>
    <n v="1870.6590299999991"/>
    <n v="0"/>
    <n v="1063.5297948768073"/>
    <x v="1"/>
  </r>
  <r>
    <s v="Regular"/>
    <x v="3"/>
    <x v="3"/>
    <x v="0"/>
    <x v="1"/>
    <x v="1"/>
    <x v="0"/>
    <x v="2"/>
    <x v="0"/>
    <n v="0"/>
    <n v="0"/>
    <n v="1163.0940000000001"/>
    <n v="1163.0940000000001"/>
    <n v="1163.0940000000001"/>
    <n v="1163.0940000000001"/>
    <n v="4476"/>
    <s v="CATIVO"/>
    <n v="0"/>
    <n v="0"/>
    <n v="43"/>
    <n v="84"/>
    <n v="0"/>
    <n v="334.07"/>
    <n v="224.55"/>
    <m/>
    <n v="453.79812567521839"/>
    <n v="224.6483414612014"/>
    <n v="0"/>
    <n v="88592.869979999959"/>
    <n v="0"/>
    <n v="50367.894590270174"/>
    <x v="1"/>
  </r>
  <r>
    <s v="Sistema de Compensação"/>
    <x v="3"/>
    <x v="3"/>
    <x v="0"/>
    <x v="1"/>
    <x v="1"/>
    <x v="0"/>
    <x v="2"/>
    <x v="0"/>
    <n v="0"/>
    <n v="0"/>
    <n v="23.04"/>
    <n v="23.04"/>
    <n v="23.04"/>
    <n v="23.04"/>
    <n v="105"/>
    <s v="CATIVO"/>
    <n v="0"/>
    <n v="0"/>
    <n v="43"/>
    <n v="84"/>
    <n v="0"/>
    <n v="334.07"/>
    <n v="224.55"/>
    <m/>
    <n v="453.79812567521839"/>
    <n v="224.6483414612014"/>
    <n v="0"/>
    <n v="1754.956799999999"/>
    <n v="0"/>
    <n v="997.74935762700579"/>
    <x v="1"/>
  </r>
  <r>
    <s v="Regular"/>
    <x v="3"/>
    <x v="3"/>
    <x v="0"/>
    <x v="1"/>
    <x v="1"/>
    <x v="0"/>
    <x v="2"/>
    <x v="1"/>
    <n v="0"/>
    <n v="0"/>
    <n v="1133.1010000000001"/>
    <n v="1133.1010000000001"/>
    <n v="1133.1010000000001"/>
    <n v="1133.1010000000001"/>
    <n v="4468"/>
    <s v="CATIVO"/>
    <n v="0"/>
    <n v="0"/>
    <n v="43"/>
    <n v="84"/>
    <n v="0"/>
    <n v="334.07"/>
    <n v="224.55"/>
    <m/>
    <n v="453.79812567521839"/>
    <n v="224.6483414612014"/>
    <n v="0"/>
    <n v="86308.303169999956"/>
    <n v="0"/>
    <n v="49069.044916515544"/>
    <x v="1"/>
  </r>
  <r>
    <s v="Sistema de Compensação"/>
    <x v="3"/>
    <x v="3"/>
    <x v="0"/>
    <x v="1"/>
    <x v="1"/>
    <x v="0"/>
    <x v="2"/>
    <x v="1"/>
    <n v="0"/>
    <n v="0"/>
    <n v="25.085000000000001"/>
    <n v="25.085000000000001"/>
    <n v="25.085000000000001"/>
    <n v="25.085000000000001"/>
    <n v="109"/>
    <s v="CATIVO"/>
    <n v="0"/>
    <n v="0"/>
    <n v="43"/>
    <n v="84"/>
    <n v="0"/>
    <n v="334.07"/>
    <n v="224.55"/>
    <m/>
    <n v="453.79812567521839"/>
    <n v="224.6483414612014"/>
    <n v="0"/>
    <n v="1910.724449999999"/>
    <n v="0"/>
    <n v="1086.308274135132"/>
    <x v="1"/>
  </r>
  <r>
    <s v="Regular"/>
    <x v="3"/>
    <x v="3"/>
    <x v="0"/>
    <x v="1"/>
    <x v="1"/>
    <x v="0"/>
    <x v="2"/>
    <x v="2"/>
    <n v="0"/>
    <n v="0"/>
    <n v="1323.0640000000001"/>
    <n v="1323.0640000000001"/>
    <n v="1323.0640000000001"/>
    <n v="1323.0640000000001"/>
    <n v="4459"/>
    <s v="CATIVO"/>
    <n v="0"/>
    <n v="0"/>
    <n v="43"/>
    <n v="84"/>
    <n v="0"/>
    <n v="334.07"/>
    <n v="224.55"/>
    <m/>
    <n v="453.79812567521839"/>
    <n v="224.6483414612014"/>
    <n v="0"/>
    <n v="100777.78487999995"/>
    <n v="0"/>
    <n v="57295.410420981643"/>
    <x v="1"/>
  </r>
  <r>
    <s v="Sistema de Compensação"/>
    <x v="3"/>
    <x v="3"/>
    <x v="0"/>
    <x v="1"/>
    <x v="1"/>
    <x v="0"/>
    <x v="2"/>
    <x v="2"/>
    <n v="0"/>
    <n v="0"/>
    <n v="24.838999999999999"/>
    <n v="24.838999999999999"/>
    <n v="24.838999999999999"/>
    <n v="24.838999999999999"/>
    <n v="117"/>
    <s v="CATIVO"/>
    <n v="0"/>
    <n v="0"/>
    <n v="43"/>
    <n v="84"/>
    <n v="0"/>
    <n v="334.07"/>
    <n v="224.55"/>
    <m/>
    <n v="453.79812567521839"/>
    <n v="224.6483414612014"/>
    <n v="0"/>
    <n v="1891.986629999999"/>
    <n v="0"/>
    <n v="1075.6552210979687"/>
    <x v="1"/>
  </r>
  <r>
    <s v="Regular"/>
    <x v="3"/>
    <x v="3"/>
    <x v="0"/>
    <x v="1"/>
    <x v="1"/>
    <x v="0"/>
    <x v="2"/>
    <x v="9"/>
    <n v="0"/>
    <n v="0"/>
    <n v="1539.942"/>
    <n v="1539.942"/>
    <n v="1539.942"/>
    <n v="1539.942"/>
    <n v="4452"/>
    <s v="CATIVO"/>
    <n v="0"/>
    <n v="0"/>
    <n v="43"/>
    <n v="84"/>
    <n v="0"/>
    <n v="334.07"/>
    <n v="224.55"/>
    <m/>
    <n v="453.79812567521839"/>
    <n v="224.6483414612014"/>
    <n v="0"/>
    <n v="117297.38213999994"/>
    <n v="0"/>
    <n v="66687.332520956887"/>
    <x v="1"/>
  </r>
  <r>
    <s v="Sistema de Compensação"/>
    <x v="3"/>
    <x v="3"/>
    <x v="0"/>
    <x v="1"/>
    <x v="1"/>
    <x v="0"/>
    <x v="2"/>
    <x v="9"/>
    <n v="0"/>
    <n v="0"/>
    <n v="27.417000000000002"/>
    <n v="27.417000000000002"/>
    <n v="27.417000000000002"/>
    <n v="27.417000000000002"/>
    <n v="125"/>
    <s v="CATIVO"/>
    <n v="0"/>
    <n v="0"/>
    <n v="43"/>
    <n v="84"/>
    <n v="0"/>
    <n v="334.07"/>
    <n v="224.55"/>
    <m/>
    <n v="453.79812567521839"/>
    <n v="224.6483414612014"/>
    <n v="0"/>
    <n v="2088.3528899999992"/>
    <n v="0"/>
    <n v="1187.2957525199488"/>
    <x v="1"/>
  </r>
  <r>
    <s v="PROJETADO"/>
    <x v="3"/>
    <x v="3"/>
    <x v="0"/>
    <x v="1"/>
    <x v="1"/>
    <x v="0"/>
    <x v="2"/>
    <x v="10"/>
    <n v="0"/>
    <n v="0"/>
    <n v="1539.942"/>
    <n v="1539.942"/>
    <n v="1539.942"/>
    <n v="1539.942"/>
    <n v="4452"/>
    <s v="CATIVO"/>
    <n v="0"/>
    <n v="0"/>
    <n v="43"/>
    <n v="84"/>
    <n v="0"/>
    <n v="334.07"/>
    <n v="224.55"/>
    <m/>
    <n v="453.79812567521839"/>
    <n v="224.6483414612014"/>
    <n v="0"/>
    <n v="117297.38213999994"/>
    <n v="0"/>
    <n v="66687.332520956887"/>
    <x v="1"/>
  </r>
  <r>
    <s v="PROJETADO"/>
    <x v="3"/>
    <x v="3"/>
    <x v="0"/>
    <x v="1"/>
    <x v="1"/>
    <x v="0"/>
    <x v="2"/>
    <x v="10"/>
    <n v="0"/>
    <n v="0"/>
    <n v="27.417000000000002"/>
    <n v="27.417000000000002"/>
    <n v="27.417000000000002"/>
    <n v="27.417000000000002"/>
    <n v="125"/>
    <s v="CATIVO"/>
    <n v="0"/>
    <n v="0"/>
    <n v="43"/>
    <n v="84"/>
    <n v="0"/>
    <n v="334.07"/>
    <n v="224.55"/>
    <m/>
    <n v="453.79812567521839"/>
    <n v="224.6483414612014"/>
    <n v="0"/>
    <n v="2088.3528899999992"/>
    <n v="0"/>
    <n v="1187.2957525199488"/>
    <x v="1"/>
  </r>
  <r>
    <s v="Regular"/>
    <x v="4"/>
    <x v="3"/>
    <x v="2"/>
    <x v="3"/>
    <x v="1"/>
    <x v="0"/>
    <x v="2"/>
    <x v="3"/>
    <n v="0"/>
    <n v="0"/>
    <n v="136.46199999999999"/>
    <n v="128.27427999999998"/>
    <n v="136.46199999999999"/>
    <n v="128.27427999999998"/>
    <n v="60"/>
    <s v="CATIVO"/>
    <n v="0"/>
    <n v="0"/>
    <n v="58"/>
    <n v="99"/>
    <n v="0"/>
    <n v="379.62"/>
    <n v="255.17"/>
    <m/>
    <n v="482.76396348427488"/>
    <n v="238.98759729915042"/>
    <n v="0"/>
    <n v="5197.4827788000084"/>
    <n v="0"/>
    <n v="5909.4996892576764"/>
    <x v="3"/>
  </r>
  <r>
    <s v="Regular"/>
    <x v="4"/>
    <x v="3"/>
    <x v="2"/>
    <x v="3"/>
    <x v="1"/>
    <x v="0"/>
    <x v="2"/>
    <x v="4"/>
    <n v="0"/>
    <n v="0"/>
    <n v="126.931"/>
    <n v="119.31513999999999"/>
    <n v="126.931"/>
    <n v="119.31513999999999"/>
    <n v="60"/>
    <s v="CATIVO"/>
    <n v="0"/>
    <n v="0"/>
    <n v="58"/>
    <n v="99"/>
    <n v="0"/>
    <n v="379.62"/>
    <n v="255.17"/>
    <m/>
    <n v="482.76396348427488"/>
    <n v="238.98759729915042"/>
    <n v="0"/>
    <n v="4834.4717694000074"/>
    <n v="0"/>
    <n v="5496.758841708066"/>
    <x v="3"/>
  </r>
  <r>
    <s v="Regular"/>
    <x v="4"/>
    <x v="3"/>
    <x v="2"/>
    <x v="3"/>
    <x v="1"/>
    <x v="0"/>
    <x v="2"/>
    <x v="11"/>
    <n v="0"/>
    <n v="0"/>
    <n v="127.96"/>
    <n v="120.2824"/>
    <n v="127.96"/>
    <n v="120.2824"/>
    <n v="60"/>
    <s v="CATIVO"/>
    <n v="0"/>
    <n v="0"/>
    <n v="58"/>
    <n v="99"/>
    <n v="0"/>
    <n v="379.62"/>
    <n v="255.17"/>
    <m/>
    <n v="482.76396348427488"/>
    <n v="238.98759729915042"/>
    <n v="0"/>
    <n v="4873.6637039999987"/>
    <n v="0"/>
    <n v="5541.319783070825"/>
    <x v="3"/>
  </r>
  <r>
    <s v="Regular"/>
    <x v="4"/>
    <x v="3"/>
    <x v="2"/>
    <x v="3"/>
    <x v="1"/>
    <x v="0"/>
    <x v="2"/>
    <x v="5"/>
    <n v="0"/>
    <n v="0"/>
    <n v="119.953"/>
    <n v="112.75582"/>
    <n v="119.953"/>
    <n v="112.75582"/>
    <n v="60"/>
    <s v="CATIVO"/>
    <n v="0"/>
    <n v="0"/>
    <n v="58"/>
    <n v="99"/>
    <n v="0"/>
    <n v="379.62"/>
    <n v="255.17"/>
    <m/>
    <n v="482.76396348427488"/>
    <n v="238.98759729915042"/>
    <n v="0"/>
    <n v="4568.6978922000017"/>
    <n v="0"/>
    <n v="5194.5758982392545"/>
    <x v="3"/>
  </r>
  <r>
    <s v="Regular"/>
    <x v="4"/>
    <x v="3"/>
    <x v="2"/>
    <x v="3"/>
    <x v="1"/>
    <x v="0"/>
    <x v="2"/>
    <x v="6"/>
    <n v="0"/>
    <n v="0"/>
    <n v="113.24"/>
    <n v="106.4456"/>
    <n v="113.24"/>
    <n v="106.4456"/>
    <n v="60"/>
    <s v="CATIVO"/>
    <n v="0"/>
    <n v="0"/>
    <n v="58"/>
    <n v="99"/>
    <n v="0"/>
    <n v="379.62"/>
    <n v="255.17"/>
    <m/>
    <n v="482.76396348427488"/>
    <n v="238.98759729915042"/>
    <n v="0"/>
    <n v="4313.0171759999976"/>
    <n v="0"/>
    <n v="4903.8688045869021"/>
    <x v="3"/>
  </r>
  <r>
    <s v="Regular"/>
    <x v="4"/>
    <x v="3"/>
    <x v="2"/>
    <x v="3"/>
    <x v="1"/>
    <x v="0"/>
    <x v="2"/>
    <x v="7"/>
    <n v="0"/>
    <n v="0"/>
    <n v="128.71899999999999"/>
    <n v="120.99585999999999"/>
    <n v="128.71899999999999"/>
    <n v="120.99585999999999"/>
    <n v="60"/>
    <s v="CATIVO"/>
    <n v="0"/>
    <n v="0"/>
    <n v="58"/>
    <n v="99"/>
    <n v="0"/>
    <n v="379.62"/>
    <n v="255.17"/>
    <m/>
    <n v="482.76396348427488"/>
    <n v="238.98759729915042"/>
    <n v="0"/>
    <n v="4902.5720406"/>
    <n v="0"/>
    <n v="5574.1883491489043"/>
    <x v="3"/>
  </r>
  <r>
    <s v="Regular"/>
    <x v="4"/>
    <x v="3"/>
    <x v="2"/>
    <x v="3"/>
    <x v="1"/>
    <x v="0"/>
    <x v="2"/>
    <x v="8"/>
    <n v="0"/>
    <n v="0"/>
    <n v="136.97"/>
    <n v="128.7518"/>
    <n v="136.97"/>
    <n v="128.7518"/>
    <n v="60"/>
    <s v="CATIVO"/>
    <n v="0"/>
    <n v="0"/>
    <n v="58"/>
    <n v="99"/>
    <n v="0"/>
    <n v="379.62"/>
    <n v="255.17"/>
    <m/>
    <n v="482.76396348427488"/>
    <n v="238.98759729915042"/>
    <n v="0"/>
    <n v="5216.8311779999976"/>
    <n v="0"/>
    <n v="5931.4986768303434"/>
    <x v="3"/>
  </r>
  <r>
    <s v="Regular"/>
    <x v="4"/>
    <x v="3"/>
    <x v="2"/>
    <x v="3"/>
    <x v="1"/>
    <x v="0"/>
    <x v="2"/>
    <x v="0"/>
    <n v="0"/>
    <n v="0"/>
    <n v="121.28700000000001"/>
    <n v="114.00978000000001"/>
    <n v="121.28700000000001"/>
    <n v="114.00978000000001"/>
    <n v="60"/>
    <s v="CATIVO"/>
    <n v="0"/>
    <n v="0"/>
    <n v="58"/>
    <n v="99"/>
    <n v="0"/>
    <n v="379.62"/>
    <n v="255.17"/>
    <m/>
    <n v="482.76396348427488"/>
    <n v="238.98759729915042"/>
    <n v="0"/>
    <n v="4619.5064837999998"/>
    <n v="0"/>
    <n v="5252.3448931643579"/>
    <x v="3"/>
  </r>
  <r>
    <s v="Regular"/>
    <x v="4"/>
    <x v="3"/>
    <x v="2"/>
    <x v="3"/>
    <x v="1"/>
    <x v="0"/>
    <x v="2"/>
    <x v="1"/>
    <n v="0"/>
    <n v="0"/>
    <n v="134.69"/>
    <n v="126.6086"/>
    <n v="134.69"/>
    <n v="126.6086"/>
    <n v="60"/>
    <s v="CATIVO"/>
    <n v="0"/>
    <n v="0"/>
    <n v="58"/>
    <n v="99"/>
    <n v="0"/>
    <n v="379.62"/>
    <n v="255.17"/>
    <m/>
    <n v="482.76396348427488"/>
    <n v="238.98759729915042"/>
    <n v="0"/>
    <n v="5129.9919060000011"/>
    <n v="0"/>
    <n v="5832.7630633151748"/>
    <x v="3"/>
  </r>
  <r>
    <s v="Regular"/>
    <x v="4"/>
    <x v="3"/>
    <x v="2"/>
    <x v="3"/>
    <x v="1"/>
    <x v="0"/>
    <x v="2"/>
    <x v="2"/>
    <n v="0"/>
    <n v="0"/>
    <n v="135.35599999999999"/>
    <n v="127.23464"/>
    <n v="135.35599999999999"/>
    <n v="127.23464"/>
    <n v="60"/>
    <s v="CATIVO"/>
    <n v="0"/>
    <n v="0"/>
    <n v="58"/>
    <n v="99"/>
    <n v="0"/>
    <n v="379.62"/>
    <n v="255.17"/>
    <m/>
    <n v="482.76396348427488"/>
    <n v="238.98759729915042"/>
    <n v="0"/>
    <n v="5155.3581143999972"/>
    <n v="0"/>
    <n v="5861.6042556840757"/>
    <x v="3"/>
  </r>
  <r>
    <s v="Regular"/>
    <x v="4"/>
    <x v="3"/>
    <x v="2"/>
    <x v="3"/>
    <x v="1"/>
    <x v="0"/>
    <x v="2"/>
    <x v="9"/>
    <n v="0"/>
    <n v="0"/>
    <n v="140.65799999999999"/>
    <n v="132.21852000000001"/>
    <n v="140.65799999999999"/>
    <n v="132.21852000000001"/>
    <n v="60"/>
    <s v="CATIVO"/>
    <n v="0"/>
    <n v="0"/>
    <n v="58"/>
    <n v="99"/>
    <n v="0"/>
    <n v="379.62"/>
    <n v="255.17"/>
    <m/>
    <n v="482.76396348427488"/>
    <n v="238.98759729915042"/>
    <n v="0"/>
    <n v="5357.2975091999833"/>
    <n v="0"/>
    <n v="6091.2078622004838"/>
    <x v="3"/>
  </r>
  <r>
    <s v="PROJETADO"/>
    <x v="4"/>
    <x v="3"/>
    <x v="2"/>
    <x v="3"/>
    <x v="1"/>
    <x v="0"/>
    <x v="2"/>
    <x v="10"/>
    <n v="0"/>
    <n v="0"/>
    <n v="140.65799999999999"/>
    <n v="132.21852000000001"/>
    <n v="140.65799999999999"/>
    <n v="132.21852000000001"/>
    <n v="60"/>
    <s v="CATIVO"/>
    <n v="0"/>
    <n v="0"/>
    <n v="58"/>
    <n v="99"/>
    <n v="0"/>
    <n v="379.62"/>
    <n v="255.17"/>
    <m/>
    <n v="482.76396348427488"/>
    <n v="238.98759729915042"/>
    <n v="0"/>
    <n v="5357.2975091999833"/>
    <n v="0"/>
    <n v="6091.2078622004838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5">
  <r>
    <s v="Regular"/>
    <x v="0"/>
    <x v="0"/>
    <x v="0"/>
    <x v="0"/>
    <x v="0"/>
    <x v="0"/>
    <x v="0"/>
    <x v="0"/>
    <n v="30"/>
    <n v="30"/>
    <n v="0"/>
    <n v="0"/>
    <n v="0"/>
    <n v="0"/>
    <n v="0"/>
    <x v="0"/>
    <n v="0"/>
    <n v="3"/>
    <n v="0"/>
    <n v="0"/>
    <n v="18.920000000000002"/>
    <n v="0"/>
    <n v="0"/>
    <n v="32.579678842359165"/>
    <n v="146.90220900317223"/>
    <n v="227.53897547400734"/>
    <n v="567.6"/>
    <n v="0"/>
    <n v="0"/>
    <n v="976.70835802056422"/>
    <n v="0"/>
    <n v="0"/>
  </r>
  <r>
    <s v="Regular"/>
    <x v="0"/>
    <x v="0"/>
    <x v="0"/>
    <x v="0"/>
    <x v="0"/>
    <x v="0"/>
    <x v="1"/>
    <x v="0"/>
    <n v="30"/>
    <n v="30"/>
    <n v="0"/>
    <n v="0"/>
    <n v="0"/>
    <n v="0"/>
    <n v="0"/>
    <x v="0"/>
    <n v="0"/>
    <n v="1"/>
    <n v="0"/>
    <n v="0"/>
    <n v="45.73"/>
    <n v="0"/>
    <n v="0"/>
    <n v="78.325042728896165"/>
    <n v="146.90220900317223"/>
    <n v="364.92243737572466"/>
    <n v="1371.8999999999999"/>
    <n v="0"/>
    <n v="0"/>
    <n v="2348.5888772145522"/>
    <n v="0"/>
    <n v="0"/>
  </r>
  <r>
    <s v="Regular"/>
    <x v="0"/>
    <x v="0"/>
    <x v="1"/>
    <x v="1"/>
    <x v="1"/>
    <x v="0"/>
    <x v="0"/>
    <x v="1"/>
    <n v="0"/>
    <n v="0"/>
    <n v="169.28800000000001"/>
    <n v="33.857599999999998"/>
    <n v="169.28800000000001"/>
    <n v="33.857599999999998"/>
    <n v="0"/>
    <x v="0"/>
    <n v="0"/>
    <n v="0"/>
    <n v="6"/>
    <n v="63"/>
    <n v="0"/>
    <n v="84.99"/>
    <n v="242.77"/>
    <n v="32.579678842359165"/>
    <n v="146.90220900317223"/>
    <n v="227.53897547400734"/>
    <n v="0"/>
    <n v="2877.5574239999996"/>
    <n v="8219.6095519999999"/>
    <n v="0"/>
    <n v="4973.7562315458035"/>
    <n v="7703.9236160087503"/>
  </r>
  <r>
    <s v="Regular"/>
    <x v="0"/>
    <x v="0"/>
    <x v="1"/>
    <x v="1"/>
    <x v="1"/>
    <x v="0"/>
    <x v="0"/>
    <x v="2"/>
    <n v="0"/>
    <n v="0"/>
    <n v="169.28800000000001"/>
    <n v="33.857599999999998"/>
    <n v="169.28800000000001"/>
    <n v="33.857599999999998"/>
    <n v="0"/>
    <x v="0"/>
    <n v="0"/>
    <n v="0"/>
    <n v="6"/>
    <n v="63"/>
    <n v="0"/>
    <n v="84.99"/>
    <n v="242.77"/>
    <n v="32.579678842359165"/>
    <n v="146.90220900317223"/>
    <n v="227.53897547400734"/>
    <n v="0"/>
    <n v="2877.5574239999996"/>
    <n v="8219.6095519999999"/>
    <n v="0"/>
    <n v="4973.7562315458035"/>
    <n v="7703.9236160087503"/>
  </r>
  <r>
    <s v="Regular"/>
    <x v="0"/>
    <x v="0"/>
    <x v="1"/>
    <x v="1"/>
    <x v="1"/>
    <x v="0"/>
    <x v="0"/>
    <x v="3"/>
    <n v="0"/>
    <n v="0"/>
    <n v="498.92200000000003"/>
    <n v="99.784400000000005"/>
    <n v="498.92200000000003"/>
    <n v="99.784400000000005"/>
    <n v="0"/>
    <x v="0"/>
    <n v="0"/>
    <n v="0"/>
    <n v="6"/>
    <n v="63"/>
    <n v="0"/>
    <n v="84.99"/>
    <n v="242.77"/>
    <n v="32.579678842359165"/>
    <n v="146.90220900317223"/>
    <n v="227.53897547400734"/>
    <n v="0"/>
    <n v="8480.6761559999995"/>
    <n v="24224.658788000001"/>
    <n v="0"/>
    <n v="14658.54878405614"/>
    <n v="22704.840144288541"/>
  </r>
  <r>
    <s v="Regular"/>
    <x v="0"/>
    <x v="0"/>
    <x v="1"/>
    <x v="1"/>
    <x v="0"/>
    <x v="0"/>
    <x v="0"/>
    <x v="4"/>
    <n v="114"/>
    <n v="114"/>
    <n v="0"/>
    <n v="0"/>
    <n v="0"/>
    <n v="0"/>
    <n v="0"/>
    <x v="0"/>
    <n v="0"/>
    <n v="3"/>
    <n v="0"/>
    <n v="0"/>
    <n v="18.1632"/>
    <n v="0"/>
    <n v="0"/>
    <n v="31.928085265511982"/>
    <n v="143.96416482310877"/>
    <n v="222.98819596452719"/>
    <n v="2070.6048000000001"/>
    <n v="0"/>
    <n v="0"/>
    <n v="3563.0320900590182"/>
    <n v="0"/>
    <n v="0"/>
  </r>
  <r>
    <s v="Regular"/>
    <x v="0"/>
    <x v="0"/>
    <x v="1"/>
    <x v="1"/>
    <x v="0"/>
    <x v="0"/>
    <x v="0"/>
    <x v="5"/>
    <n v="114"/>
    <n v="114"/>
    <n v="0"/>
    <n v="0"/>
    <n v="0"/>
    <n v="0"/>
    <n v="0"/>
    <x v="0"/>
    <n v="0"/>
    <n v="3"/>
    <n v="0"/>
    <n v="0"/>
    <n v="18.1632"/>
    <n v="0"/>
    <n v="0"/>
    <n v="31.928085265511982"/>
    <n v="143.96416482310877"/>
    <n v="222.98819596452719"/>
    <n v="2070.6048000000001"/>
    <n v="0"/>
    <n v="0"/>
    <n v="3563.0320900590182"/>
    <n v="0"/>
    <n v="0"/>
  </r>
  <r>
    <s v="Regular"/>
    <x v="0"/>
    <x v="0"/>
    <x v="1"/>
    <x v="1"/>
    <x v="0"/>
    <x v="0"/>
    <x v="0"/>
    <x v="6"/>
    <n v="114"/>
    <n v="114"/>
    <n v="0"/>
    <n v="0"/>
    <n v="0"/>
    <n v="0"/>
    <n v="0"/>
    <x v="0"/>
    <n v="0"/>
    <n v="3"/>
    <n v="0"/>
    <n v="0"/>
    <n v="18.1632"/>
    <n v="0"/>
    <n v="0"/>
    <n v="31.928085265511982"/>
    <n v="143.96416482310877"/>
    <n v="222.98819596452719"/>
    <n v="2070.6048000000001"/>
    <n v="0"/>
    <n v="0"/>
    <n v="3563.0320900590182"/>
    <n v="0"/>
    <n v="0"/>
  </r>
  <r>
    <s v="Regular"/>
    <x v="0"/>
    <x v="0"/>
    <x v="1"/>
    <x v="1"/>
    <x v="0"/>
    <x v="0"/>
    <x v="0"/>
    <x v="7"/>
    <n v="114"/>
    <n v="114"/>
    <n v="0"/>
    <n v="0"/>
    <n v="0"/>
    <n v="0"/>
    <n v="0"/>
    <x v="0"/>
    <n v="0"/>
    <n v="3"/>
    <n v="0"/>
    <n v="0"/>
    <n v="18.1632"/>
    <n v="0"/>
    <n v="0"/>
    <n v="31.928085265511982"/>
    <n v="143.96416482310877"/>
    <n v="222.98819596452719"/>
    <n v="2070.6048000000001"/>
    <n v="0"/>
    <n v="0"/>
    <n v="3563.0320900590182"/>
    <n v="0"/>
    <n v="0"/>
  </r>
  <r>
    <s v="Regular"/>
    <x v="0"/>
    <x v="0"/>
    <x v="1"/>
    <x v="1"/>
    <x v="0"/>
    <x v="0"/>
    <x v="0"/>
    <x v="8"/>
    <n v="114"/>
    <n v="114"/>
    <n v="0"/>
    <n v="0"/>
    <n v="0"/>
    <n v="0"/>
    <n v="0"/>
    <x v="0"/>
    <n v="0"/>
    <n v="3"/>
    <n v="0"/>
    <n v="0"/>
    <n v="18.1632"/>
    <n v="0"/>
    <n v="0"/>
    <n v="31.928085265511982"/>
    <n v="143.96416482310877"/>
    <n v="222.98819596452719"/>
    <n v="2070.6048000000001"/>
    <n v="0"/>
    <n v="0"/>
    <n v="3563.0320900590182"/>
    <n v="0"/>
    <n v="0"/>
  </r>
  <r>
    <s v="Regular"/>
    <x v="0"/>
    <x v="0"/>
    <x v="1"/>
    <x v="1"/>
    <x v="0"/>
    <x v="0"/>
    <x v="0"/>
    <x v="9"/>
    <n v="114"/>
    <n v="114"/>
    <n v="0"/>
    <n v="0"/>
    <n v="0"/>
    <n v="0"/>
    <n v="0"/>
    <x v="0"/>
    <n v="0"/>
    <n v="3"/>
    <n v="0"/>
    <n v="0"/>
    <n v="18.1632"/>
    <n v="0"/>
    <n v="0"/>
    <n v="31.928085265511982"/>
    <n v="143.96416482310877"/>
    <n v="222.98819596452719"/>
    <n v="2070.6048000000001"/>
    <n v="0"/>
    <n v="0"/>
    <n v="3563.0320900590182"/>
    <n v="0"/>
    <n v="0"/>
  </r>
  <r>
    <s v="Regular"/>
    <x v="0"/>
    <x v="0"/>
    <x v="1"/>
    <x v="1"/>
    <x v="0"/>
    <x v="0"/>
    <x v="0"/>
    <x v="1"/>
    <n v="1100"/>
    <n v="1100"/>
    <n v="249.721"/>
    <n v="249.721"/>
    <n v="249.721"/>
    <n v="249.721"/>
    <n v="0"/>
    <x v="0"/>
    <n v="0"/>
    <n v="3"/>
    <n v="6"/>
    <n v="63"/>
    <n v="18.1632"/>
    <n v="81.590399999999988"/>
    <n v="233.0592"/>
    <n v="31.928085265511982"/>
    <n v="143.96416482310877"/>
    <n v="222.98819596452719"/>
    <n v="19979.52"/>
    <n v="20374.836278399998"/>
    <n v="58199.776483200003"/>
    <n v="34380.134202323861"/>
    <n v="35217.183873101923"/>
    <n v="55684.835284457695"/>
  </r>
  <r>
    <s v="Regular"/>
    <x v="0"/>
    <x v="0"/>
    <x v="1"/>
    <x v="1"/>
    <x v="0"/>
    <x v="0"/>
    <x v="0"/>
    <x v="2"/>
    <n v="1100"/>
    <n v="1100"/>
    <n v="249.721"/>
    <n v="249.721"/>
    <n v="249.721"/>
    <n v="249.721"/>
    <n v="0"/>
    <x v="0"/>
    <n v="0"/>
    <n v="3"/>
    <n v="6"/>
    <n v="63"/>
    <n v="18.1632"/>
    <n v="81.590399999999988"/>
    <n v="233.0592"/>
    <n v="31.928085265511982"/>
    <n v="143.96416482310877"/>
    <n v="222.98819596452719"/>
    <n v="19979.52"/>
    <n v="20374.836278399998"/>
    <n v="58199.776483200003"/>
    <n v="34380.134202323861"/>
    <n v="35217.183873101923"/>
    <n v="55684.835284457695"/>
  </r>
  <r>
    <s v="Regular"/>
    <x v="0"/>
    <x v="0"/>
    <x v="1"/>
    <x v="1"/>
    <x v="0"/>
    <x v="0"/>
    <x v="0"/>
    <x v="3"/>
    <n v="1100"/>
    <n v="1100"/>
    <n v="422.24400000000003"/>
    <n v="422.24400000000003"/>
    <n v="422.24400000000003"/>
    <n v="422.24400000000003"/>
    <n v="0"/>
    <x v="0"/>
    <n v="0"/>
    <n v="3"/>
    <n v="6"/>
    <n v="63"/>
    <n v="18.1632"/>
    <n v="81.590399999999988"/>
    <n v="233.0592"/>
    <n v="31.928085265511982"/>
    <n v="143.96416482310877"/>
    <n v="222.98819596452719"/>
    <n v="19979.52"/>
    <n v="34451.056857600001"/>
    <n v="98407.848844800013"/>
    <n v="34380.134202323861"/>
    <n v="59547.433284802035"/>
    <n v="94155.427816845826"/>
  </r>
  <r>
    <s v="Regular"/>
    <x v="0"/>
    <x v="0"/>
    <x v="1"/>
    <x v="1"/>
    <x v="0"/>
    <x v="0"/>
    <x v="0"/>
    <x v="10"/>
    <n v="110"/>
    <n v="110"/>
    <n v="0"/>
    <n v="0"/>
    <n v="0"/>
    <n v="0"/>
    <n v="0"/>
    <x v="0"/>
    <n v="0"/>
    <n v="3"/>
    <n v="0"/>
    <n v="0"/>
    <n v="18.1632"/>
    <n v="0"/>
    <n v="0"/>
    <n v="31.928085265511982"/>
    <n v="143.96416482310877"/>
    <n v="222.98819596452719"/>
    <n v="1997.952"/>
    <n v="0"/>
    <n v="0"/>
    <n v="3438.0134202323861"/>
    <n v="0"/>
    <n v="0"/>
  </r>
  <r>
    <s v="PROJETADO"/>
    <x v="0"/>
    <x v="0"/>
    <x v="1"/>
    <x v="1"/>
    <x v="0"/>
    <x v="0"/>
    <x v="0"/>
    <x v="11"/>
    <n v="110"/>
    <n v="110"/>
    <n v="0"/>
    <n v="0"/>
    <n v="0"/>
    <n v="0"/>
    <n v="0"/>
    <x v="0"/>
    <n v="0"/>
    <n v="3"/>
    <n v="0"/>
    <n v="0"/>
    <n v="18.1632"/>
    <n v="0"/>
    <n v="0"/>
    <n v="31.928085265511982"/>
    <n v="143.96416482310877"/>
    <n v="222.98819596452719"/>
    <n v="1997.952"/>
    <n v="0"/>
    <n v="0"/>
    <n v="3438.0134202323861"/>
    <n v="0"/>
    <n v="0"/>
  </r>
  <r>
    <s v="Regular"/>
    <x v="0"/>
    <x v="0"/>
    <x v="1"/>
    <x v="1"/>
    <x v="0"/>
    <x v="0"/>
    <x v="1"/>
    <x v="4"/>
    <n v="111"/>
    <n v="111"/>
    <n v="0"/>
    <n v="0"/>
    <n v="0"/>
    <n v="0"/>
    <n v="0"/>
    <x v="0"/>
    <n v="0"/>
    <n v="1"/>
    <n v="0"/>
    <n v="0"/>
    <n v="43.900799999999997"/>
    <n v="0"/>
    <n v="0"/>
    <n v="76.75854187431824"/>
    <n v="143.96416482310877"/>
    <n v="357.62398862821016"/>
    <n v="4872.9888000000001"/>
    <n v="0"/>
    <n v="0"/>
    <n v="8342.1876918660892"/>
    <n v="0"/>
    <n v="0"/>
  </r>
  <r>
    <s v="Regular"/>
    <x v="0"/>
    <x v="0"/>
    <x v="1"/>
    <x v="1"/>
    <x v="0"/>
    <x v="0"/>
    <x v="1"/>
    <x v="5"/>
    <n v="111"/>
    <n v="111"/>
    <n v="0"/>
    <n v="0"/>
    <n v="0"/>
    <n v="0"/>
    <n v="0"/>
    <x v="0"/>
    <n v="0"/>
    <n v="1"/>
    <n v="0"/>
    <n v="0"/>
    <n v="43.900799999999997"/>
    <n v="0"/>
    <n v="0"/>
    <n v="76.75854187431824"/>
    <n v="143.96416482310877"/>
    <n v="357.62398862821016"/>
    <n v="4872.9888000000001"/>
    <n v="0"/>
    <n v="0"/>
    <n v="8342.1876918660892"/>
    <n v="0"/>
    <n v="0"/>
  </r>
  <r>
    <s v="Regular"/>
    <x v="0"/>
    <x v="0"/>
    <x v="1"/>
    <x v="1"/>
    <x v="0"/>
    <x v="0"/>
    <x v="1"/>
    <x v="6"/>
    <n v="111"/>
    <n v="111"/>
    <n v="0"/>
    <n v="0"/>
    <n v="0"/>
    <n v="0"/>
    <n v="0"/>
    <x v="0"/>
    <n v="0"/>
    <n v="1"/>
    <n v="0"/>
    <n v="0"/>
    <n v="43.900799999999997"/>
    <n v="0"/>
    <n v="0"/>
    <n v="76.75854187431824"/>
    <n v="143.96416482310877"/>
    <n v="357.62398862821016"/>
    <n v="4872.9888000000001"/>
    <n v="0"/>
    <n v="0"/>
    <n v="8342.1876918660892"/>
    <n v="0"/>
    <n v="0"/>
  </r>
  <r>
    <s v="Regular"/>
    <x v="0"/>
    <x v="0"/>
    <x v="1"/>
    <x v="1"/>
    <x v="0"/>
    <x v="0"/>
    <x v="1"/>
    <x v="7"/>
    <n v="111"/>
    <n v="111"/>
    <n v="0"/>
    <n v="0"/>
    <n v="0"/>
    <n v="0"/>
    <n v="0"/>
    <x v="0"/>
    <n v="0"/>
    <n v="1"/>
    <n v="0"/>
    <n v="0"/>
    <n v="43.900799999999997"/>
    <n v="0"/>
    <n v="0"/>
    <n v="76.75854187431824"/>
    <n v="143.96416482310877"/>
    <n v="357.62398862821016"/>
    <n v="4872.9888000000001"/>
    <n v="0"/>
    <n v="0"/>
    <n v="8342.1876918660892"/>
    <n v="0"/>
    <n v="0"/>
  </r>
  <r>
    <s v="Regular"/>
    <x v="0"/>
    <x v="0"/>
    <x v="1"/>
    <x v="1"/>
    <x v="0"/>
    <x v="0"/>
    <x v="1"/>
    <x v="8"/>
    <n v="111"/>
    <n v="111"/>
    <n v="0"/>
    <n v="0"/>
    <n v="0"/>
    <n v="0"/>
    <n v="0"/>
    <x v="0"/>
    <n v="0"/>
    <n v="1"/>
    <n v="0"/>
    <n v="0"/>
    <n v="43.900799999999997"/>
    <n v="0"/>
    <n v="0"/>
    <n v="76.75854187431824"/>
    <n v="143.96416482310877"/>
    <n v="357.62398862821016"/>
    <n v="4872.9888000000001"/>
    <n v="0"/>
    <n v="0"/>
    <n v="8342.1876918660892"/>
    <n v="0"/>
    <n v="0"/>
  </r>
  <r>
    <s v="Regular"/>
    <x v="0"/>
    <x v="0"/>
    <x v="1"/>
    <x v="1"/>
    <x v="0"/>
    <x v="0"/>
    <x v="1"/>
    <x v="9"/>
    <n v="111"/>
    <n v="111"/>
    <n v="0"/>
    <n v="0"/>
    <n v="0"/>
    <n v="0"/>
    <n v="0"/>
    <x v="0"/>
    <n v="0"/>
    <n v="1"/>
    <n v="0"/>
    <n v="0"/>
    <n v="43.900799999999997"/>
    <n v="0"/>
    <n v="0"/>
    <n v="76.75854187431824"/>
    <n v="143.96416482310877"/>
    <n v="357.62398862821016"/>
    <n v="4872.9888000000001"/>
    <n v="0"/>
    <n v="0"/>
    <n v="8342.1876918660892"/>
    <n v="0"/>
    <n v="0"/>
  </r>
  <r>
    <s v="Regular"/>
    <x v="0"/>
    <x v="0"/>
    <x v="1"/>
    <x v="1"/>
    <x v="0"/>
    <x v="0"/>
    <x v="1"/>
    <x v="1"/>
    <n v="1100"/>
    <n v="1100"/>
    <n v="0.437"/>
    <n v="0.437"/>
    <n v="0.437"/>
    <n v="0.437"/>
    <n v="0"/>
    <x v="0"/>
    <n v="0"/>
    <n v="1"/>
    <n v="6"/>
    <n v="62"/>
    <n v="43.900799999999997"/>
    <n v="81.590399999999988"/>
    <n v="375.8784"/>
    <n v="76.75854187431824"/>
    <n v="143.96416482310877"/>
    <n v="357.62398862821016"/>
    <n v="48290.879999999997"/>
    <n v="35.655004799999993"/>
    <n v="164.25886080000001"/>
    <n v="82670.328477952236"/>
    <n v="61.628414721010813"/>
    <n v="156.28168303052783"/>
  </r>
  <r>
    <s v="Regular"/>
    <x v="0"/>
    <x v="0"/>
    <x v="1"/>
    <x v="1"/>
    <x v="0"/>
    <x v="0"/>
    <x v="1"/>
    <x v="2"/>
    <n v="1100"/>
    <n v="1100"/>
    <n v="0.437"/>
    <n v="0.437"/>
    <n v="0.437"/>
    <n v="0.437"/>
    <n v="0"/>
    <x v="0"/>
    <n v="0"/>
    <n v="1"/>
    <n v="6"/>
    <n v="62"/>
    <n v="43.900799999999997"/>
    <n v="81.590399999999988"/>
    <n v="375.8784"/>
    <n v="76.75854187431824"/>
    <n v="143.96416482310877"/>
    <n v="357.62398862821016"/>
    <n v="48290.879999999997"/>
    <n v="35.655004799999993"/>
    <n v="164.25886080000001"/>
    <n v="82670.328477952236"/>
    <n v="61.628414721010813"/>
    <n v="156.28168303052783"/>
  </r>
  <r>
    <s v="Regular"/>
    <x v="0"/>
    <x v="0"/>
    <x v="1"/>
    <x v="1"/>
    <x v="0"/>
    <x v="0"/>
    <x v="1"/>
    <x v="3"/>
    <n v="1100"/>
    <n v="1100"/>
    <n v="5.5E-2"/>
    <n v="5.5E-2"/>
    <n v="5.5E-2"/>
    <n v="5.5E-2"/>
    <n v="0"/>
    <x v="0"/>
    <n v="0"/>
    <n v="1"/>
    <n v="6"/>
    <n v="62"/>
    <n v="43.900799999999997"/>
    <n v="81.590399999999988"/>
    <n v="375.8784"/>
    <n v="76.75854187431824"/>
    <n v="143.96416482310877"/>
    <n v="357.62398862821016"/>
    <n v="48290.879999999997"/>
    <n v="4.4874719999999995"/>
    <n v="20.673311999999999"/>
    <n v="82670.328477952236"/>
    <n v="7.7564366353674936"/>
    <n v="19.669319374551559"/>
  </r>
  <r>
    <s v="Regular"/>
    <x v="0"/>
    <x v="0"/>
    <x v="1"/>
    <x v="1"/>
    <x v="0"/>
    <x v="0"/>
    <x v="1"/>
    <x v="10"/>
    <n v="110"/>
    <n v="110"/>
    <n v="0"/>
    <n v="0"/>
    <n v="0"/>
    <n v="0"/>
    <n v="0"/>
    <x v="0"/>
    <n v="0"/>
    <n v="1"/>
    <n v="0"/>
    <n v="0"/>
    <n v="43.900799999999997"/>
    <n v="0"/>
    <n v="0"/>
    <n v="76.75854187431824"/>
    <n v="143.96416482310877"/>
    <n v="357.62398862821016"/>
    <n v="4829.0879999999997"/>
    <n v="0"/>
    <n v="0"/>
    <n v="8267.0328477952226"/>
    <n v="0"/>
    <n v="0"/>
  </r>
  <r>
    <s v="PROJETADO"/>
    <x v="0"/>
    <x v="0"/>
    <x v="1"/>
    <x v="1"/>
    <x v="0"/>
    <x v="0"/>
    <x v="1"/>
    <x v="11"/>
    <n v="110"/>
    <n v="110"/>
    <n v="0"/>
    <n v="0"/>
    <n v="0"/>
    <n v="0"/>
    <n v="0"/>
    <x v="0"/>
    <n v="0"/>
    <n v="1"/>
    <n v="0"/>
    <n v="0"/>
    <n v="43.900799999999997"/>
    <n v="0"/>
    <n v="0"/>
    <n v="76.75854187431824"/>
    <n v="143.96416482310877"/>
    <n v="357.62398862821016"/>
    <n v="4829.0879999999997"/>
    <n v="0"/>
    <n v="0"/>
    <n v="8267.0328477952226"/>
    <n v="0"/>
    <n v="0"/>
  </r>
  <r>
    <s v="Regular"/>
    <x v="0"/>
    <x v="1"/>
    <x v="2"/>
    <x v="0"/>
    <x v="0"/>
    <x v="1"/>
    <x v="2"/>
    <x v="4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5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0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6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7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8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9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1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2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3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1"/>
    <x v="2"/>
    <x v="0"/>
    <x v="0"/>
    <x v="1"/>
    <x v="2"/>
    <x v="10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PROJETADO"/>
    <x v="0"/>
    <x v="1"/>
    <x v="2"/>
    <x v="0"/>
    <x v="0"/>
    <x v="1"/>
    <x v="2"/>
    <x v="11"/>
    <n v="3010"/>
    <n v="3010"/>
    <n v="0"/>
    <n v="0"/>
    <n v="0"/>
    <n v="0"/>
    <n v="0"/>
    <x v="1"/>
    <n v="26879"/>
    <n v="10"/>
    <n v="0"/>
    <n v="0"/>
    <n v="11.48"/>
    <n v="0"/>
    <n v="0"/>
    <n v="19.280177728950576"/>
    <m/>
    <m/>
    <n v="34554.800000000003"/>
    <n v="0"/>
    <n v="0"/>
    <n v="58033.334964141235"/>
    <n v="0"/>
    <n v="0"/>
  </r>
  <r>
    <s v="Regular"/>
    <x v="0"/>
    <x v="2"/>
    <x v="1"/>
    <x v="1"/>
    <x v="1"/>
    <x v="0"/>
    <x v="0"/>
    <x v="10"/>
    <n v="0"/>
    <n v="0"/>
    <n v="5.2069999999999999"/>
    <n v="1.0414000000000001"/>
    <n v="5.2069999999999999"/>
    <n v="1.0414000000000001"/>
    <n v="0"/>
    <x v="0"/>
    <n v="0"/>
    <n v="0"/>
    <n v="16"/>
    <n v="63"/>
    <n v="0"/>
    <n v="84.99"/>
    <n v="242.77"/>
    <m/>
    <n v="146.90220900317223"/>
    <n v="227.53897547400734"/>
    <n v="0"/>
    <n v="88.508586000000008"/>
    <n v="252.82067800000004"/>
    <n v="0"/>
    <n v="152.98396045590357"/>
    <n v="236.95908905863126"/>
  </r>
  <r>
    <s v="PROJETADO"/>
    <x v="0"/>
    <x v="2"/>
    <x v="1"/>
    <x v="1"/>
    <x v="1"/>
    <x v="0"/>
    <x v="0"/>
    <x v="11"/>
    <n v="0"/>
    <n v="0"/>
    <n v="5.2069999999999999"/>
    <n v="1.0414000000000001"/>
    <n v="5.2069999999999999"/>
    <n v="1.0414000000000001"/>
    <n v="0"/>
    <x v="0"/>
    <n v="0"/>
    <n v="0"/>
    <n v="16"/>
    <n v="63"/>
    <n v="0"/>
    <n v="84.99"/>
    <n v="242.77"/>
    <m/>
    <n v="146.90220900317223"/>
    <n v="227.53897547400734"/>
    <n v="0"/>
    <n v="88.508586000000008"/>
    <n v="252.82067800000004"/>
    <n v="0"/>
    <n v="152.98396045590357"/>
    <n v="236.95908905863126"/>
  </r>
  <r>
    <s v="Regular"/>
    <x v="0"/>
    <x v="2"/>
    <x v="1"/>
    <x v="1"/>
    <x v="0"/>
    <x v="0"/>
    <x v="0"/>
    <x v="10"/>
    <n v="0"/>
    <n v="0"/>
    <n v="9.7170000000000005"/>
    <n v="9.7170000000000005"/>
    <n v="9.7170000000000005"/>
    <n v="9.7170000000000005"/>
    <n v="0"/>
    <x v="0"/>
    <n v="0"/>
    <n v="0"/>
    <n v="16"/>
    <n v="63"/>
    <n v="0"/>
    <n v="81.590399999999988"/>
    <n v="233.0592"/>
    <m/>
    <n v="143.96416482310877"/>
    <n v="222.98819596452719"/>
    <n v="0"/>
    <n v="792.8139167999999"/>
    <n v="2264.6362464000003"/>
    <n v="0"/>
    <n v="1370.3508142884716"/>
    <n v="2166.7763001873109"/>
  </r>
  <r>
    <s v="PROJETADO"/>
    <x v="0"/>
    <x v="2"/>
    <x v="1"/>
    <x v="1"/>
    <x v="0"/>
    <x v="0"/>
    <x v="0"/>
    <x v="11"/>
    <n v="0"/>
    <n v="0"/>
    <n v="9.7170000000000005"/>
    <n v="9.7170000000000005"/>
    <n v="9.7170000000000005"/>
    <n v="9.7170000000000005"/>
    <n v="0"/>
    <x v="0"/>
    <n v="0"/>
    <n v="0"/>
    <n v="16"/>
    <n v="63"/>
    <n v="0"/>
    <n v="81.590399999999988"/>
    <n v="233.0592"/>
    <m/>
    <n v="143.96416482310877"/>
    <n v="222.98819596452719"/>
    <n v="0"/>
    <n v="792.8139167999999"/>
    <n v="2264.6362464000003"/>
    <n v="0"/>
    <n v="1370.3508142884716"/>
    <n v="2166.7763001873109"/>
  </r>
  <r>
    <s v="Regular"/>
    <x v="0"/>
    <x v="2"/>
    <x v="1"/>
    <x v="1"/>
    <x v="0"/>
    <x v="0"/>
    <x v="2"/>
    <x v="10"/>
    <n v="106"/>
    <n v="106"/>
    <n v="0"/>
    <n v="0"/>
    <n v="0"/>
    <n v="0"/>
    <n v="1"/>
    <x v="0"/>
    <n v="0"/>
    <n v="11"/>
    <n v="0"/>
    <n v="0"/>
    <n v="18.1632"/>
    <n v="0"/>
    <n v="0"/>
    <n v="31.928085265511982"/>
    <m/>
    <m/>
    <n v="1925.2991999999999"/>
    <n v="0"/>
    <n v="0"/>
    <n v="3312.9947504057541"/>
    <n v="0"/>
    <n v="0"/>
  </r>
  <r>
    <s v="PROJETADO"/>
    <x v="0"/>
    <x v="2"/>
    <x v="1"/>
    <x v="1"/>
    <x v="0"/>
    <x v="0"/>
    <x v="2"/>
    <x v="11"/>
    <n v="106"/>
    <n v="106"/>
    <n v="0"/>
    <n v="0"/>
    <n v="0"/>
    <n v="0"/>
    <n v="1"/>
    <x v="0"/>
    <n v="0"/>
    <n v="11"/>
    <n v="0"/>
    <n v="0"/>
    <n v="18.1632"/>
    <n v="0"/>
    <n v="0"/>
    <n v="31.928085265511982"/>
    <m/>
    <m/>
    <n v="1925.2991999999999"/>
    <n v="0"/>
    <n v="0"/>
    <n v="3312.9947504057541"/>
    <n v="0"/>
    <n v="0"/>
  </r>
  <r>
    <s v="Regular"/>
    <x v="0"/>
    <x v="2"/>
    <x v="1"/>
    <x v="1"/>
    <x v="0"/>
    <x v="0"/>
    <x v="1"/>
    <x v="10"/>
    <n v="0"/>
    <n v="0"/>
    <n v="1.8859999999999999"/>
    <n v="1.8859999999999999"/>
    <n v="1.8859999999999999"/>
    <n v="1.8859999999999999"/>
    <n v="0"/>
    <x v="0"/>
    <n v="0"/>
    <n v="0"/>
    <n v="14"/>
    <n v="62"/>
    <n v="0"/>
    <n v="1147.9871999999998"/>
    <n v="375.8784"/>
    <m/>
    <n v="2011.0111723336513"/>
    <n v="357.62398862821016"/>
    <n v="0"/>
    <n v="2165.1038591999995"/>
    <n v="708.90666239999996"/>
    <n v="0"/>
    <n v="3713.6764773416162"/>
    <n v="674.47884255280428"/>
  </r>
  <r>
    <s v="PROJETADO"/>
    <x v="0"/>
    <x v="2"/>
    <x v="1"/>
    <x v="1"/>
    <x v="0"/>
    <x v="0"/>
    <x v="1"/>
    <x v="11"/>
    <n v="0"/>
    <n v="0"/>
    <n v="1.8859999999999999"/>
    <n v="1.8859999999999999"/>
    <n v="1.8859999999999999"/>
    <n v="1.8859999999999999"/>
    <n v="0"/>
    <x v="0"/>
    <n v="0"/>
    <n v="0"/>
    <n v="14"/>
    <n v="62"/>
    <n v="0"/>
    <n v="1147.9871999999998"/>
    <n v="375.8784"/>
    <m/>
    <n v="2011.0111723336513"/>
    <n v="357.62398862821016"/>
    <n v="0"/>
    <n v="2165.1038591999995"/>
    <n v="708.90666239999996"/>
    <n v="0"/>
    <n v="3713.6764773416162"/>
    <n v="674.47884255280428"/>
  </r>
  <r>
    <s v="Regular"/>
    <x v="0"/>
    <x v="2"/>
    <x v="1"/>
    <x v="2"/>
    <x v="0"/>
    <x v="0"/>
    <x v="0"/>
    <x v="6"/>
    <n v="0"/>
    <n v="0"/>
    <n v="0.42099999999999999"/>
    <n v="0.42099999999999999"/>
    <n v="0.42099999999999999"/>
    <n v="0.42099999999999999"/>
    <n v="0"/>
    <x v="0"/>
    <n v="0"/>
    <n v="0"/>
    <n v="16"/>
    <n v="63"/>
    <n v="0"/>
    <n v="81.590399999999988"/>
    <n v="233.0592"/>
    <m/>
    <n v="143.96416482310877"/>
    <n v="222.98819596452719"/>
    <n v="0"/>
    <n v="34.349558399999992"/>
    <n v="98.117923199999993"/>
    <n v="0"/>
    <n v="59.371996790722093"/>
    <n v="93.87803050106595"/>
  </r>
  <r>
    <s v="Regular"/>
    <x v="0"/>
    <x v="2"/>
    <x v="1"/>
    <x v="2"/>
    <x v="0"/>
    <x v="0"/>
    <x v="0"/>
    <x v="7"/>
    <n v="0"/>
    <n v="0"/>
    <n v="0.45"/>
    <n v="0.45"/>
    <n v="0.45"/>
    <n v="0.45"/>
    <n v="0"/>
    <x v="0"/>
    <n v="0"/>
    <n v="0"/>
    <n v="16"/>
    <n v="63"/>
    <n v="0"/>
    <n v="81.590399999999988"/>
    <n v="233.0592"/>
    <m/>
    <n v="143.96416482310877"/>
    <n v="222.98819596452719"/>
    <n v="0"/>
    <n v="36.715679999999999"/>
    <n v="104.87664000000001"/>
    <n v="0"/>
    <n v="63.461754289370404"/>
    <n v="100.34468818403724"/>
  </r>
  <r>
    <s v="Regular"/>
    <x v="0"/>
    <x v="2"/>
    <x v="1"/>
    <x v="2"/>
    <x v="0"/>
    <x v="0"/>
    <x v="0"/>
    <x v="8"/>
    <n v="0"/>
    <n v="0"/>
    <n v="0.48299999999999998"/>
    <n v="0.48299999999999998"/>
    <n v="0.48299999999999998"/>
    <n v="0.48299999999999998"/>
    <n v="0"/>
    <x v="0"/>
    <n v="0"/>
    <n v="0"/>
    <n v="16"/>
    <n v="63"/>
    <n v="0"/>
    <n v="81.590399999999988"/>
    <n v="233.0592"/>
    <m/>
    <n v="143.96416482310877"/>
    <n v="222.98819596452719"/>
    <n v="0"/>
    <n v="39.40816319999999"/>
    <n v="112.5675936"/>
    <n v="0"/>
    <n v="68.115616270590891"/>
    <n v="107.70329865086663"/>
  </r>
  <r>
    <s v="Regular"/>
    <x v="0"/>
    <x v="2"/>
    <x v="1"/>
    <x v="2"/>
    <x v="0"/>
    <x v="0"/>
    <x v="0"/>
    <x v="9"/>
    <n v="0"/>
    <n v="0"/>
    <n v="0.58699999999999997"/>
    <n v="0.58699999999999997"/>
    <n v="0.58699999999999997"/>
    <n v="0.58699999999999997"/>
    <n v="0"/>
    <x v="0"/>
    <n v="0"/>
    <n v="0"/>
    <n v="16"/>
    <n v="63"/>
    <n v="0"/>
    <n v="81.590399999999988"/>
    <n v="233.0592"/>
    <m/>
    <n v="143.96416482310877"/>
    <n v="222.98819596452719"/>
    <n v="0"/>
    <n v="47.893564799999993"/>
    <n v="136.80575039999999"/>
    <n v="0"/>
    <n v="82.782332817467619"/>
    <n v="130.89407103117745"/>
  </r>
  <r>
    <s v="Regular"/>
    <x v="0"/>
    <x v="2"/>
    <x v="1"/>
    <x v="2"/>
    <x v="0"/>
    <x v="0"/>
    <x v="0"/>
    <x v="1"/>
    <n v="0"/>
    <n v="0"/>
    <n v="0.55700000000000005"/>
    <n v="0.55700000000000005"/>
    <n v="0.55700000000000005"/>
    <n v="0.55700000000000005"/>
    <n v="0"/>
    <x v="0"/>
    <n v="0"/>
    <n v="0"/>
    <n v="16"/>
    <n v="63"/>
    <n v="0"/>
    <n v="81.590399999999988"/>
    <n v="233.0592"/>
    <m/>
    <n v="143.96416482310877"/>
    <n v="222.98819596452719"/>
    <n v="0"/>
    <n v="45.445852799999997"/>
    <n v="129.81397440000001"/>
    <n v="0"/>
    <n v="78.551549198176247"/>
    <n v="124.20442515224165"/>
  </r>
  <r>
    <s v="Regular"/>
    <x v="0"/>
    <x v="2"/>
    <x v="1"/>
    <x v="2"/>
    <x v="0"/>
    <x v="0"/>
    <x v="0"/>
    <x v="2"/>
    <n v="0"/>
    <n v="0"/>
    <n v="0.94299999999999995"/>
    <n v="0.94299999999999995"/>
    <n v="0.94299999999999995"/>
    <n v="0.94299999999999995"/>
    <n v="0"/>
    <x v="0"/>
    <n v="0"/>
    <n v="0"/>
    <n v="16"/>
    <n v="63"/>
    <n v="0"/>
    <n v="81.590399999999988"/>
    <n v="233.0592"/>
    <m/>
    <n v="143.96416482310877"/>
    <n v="222.98819596452719"/>
    <n v="0"/>
    <n v="76.939747199999985"/>
    <n v="219.77482559999999"/>
    <n v="0"/>
    <n v="132.98763176639176"/>
    <n v="210.27786879454914"/>
  </r>
  <r>
    <s v="Regular"/>
    <x v="0"/>
    <x v="2"/>
    <x v="1"/>
    <x v="2"/>
    <x v="0"/>
    <x v="0"/>
    <x v="0"/>
    <x v="3"/>
    <n v="0"/>
    <n v="0"/>
    <n v="2.7690000000000001"/>
    <n v="2.7690000000000001"/>
    <n v="2.7690000000000001"/>
    <n v="2.7690000000000001"/>
    <n v="0"/>
    <x v="0"/>
    <n v="0"/>
    <n v="0"/>
    <n v="16"/>
    <n v="63"/>
    <n v="0"/>
    <n v="81.590399999999988"/>
    <n v="233.0592"/>
    <m/>
    <n v="143.96416482310877"/>
    <n v="222.98819596452719"/>
    <n v="0"/>
    <n v="225.92381759999998"/>
    <n v="645.34092480000004"/>
    <n v="0"/>
    <n v="390.50132806059258"/>
    <n v="617.45431462577585"/>
  </r>
  <r>
    <s v="Regular"/>
    <x v="0"/>
    <x v="2"/>
    <x v="1"/>
    <x v="2"/>
    <x v="0"/>
    <x v="0"/>
    <x v="0"/>
    <x v="10"/>
    <n v="0"/>
    <n v="0"/>
    <n v="5.2640000000000002"/>
    <n v="5.2640000000000002"/>
    <n v="5.2640000000000002"/>
    <n v="5.2640000000000002"/>
    <n v="0"/>
    <x v="0"/>
    <n v="0"/>
    <n v="0"/>
    <n v="16"/>
    <n v="63"/>
    <n v="0"/>
    <n v="81.590399999999988"/>
    <n v="233.0592"/>
    <m/>
    <n v="143.96416482310877"/>
    <n v="222.98819596452719"/>
    <n v="0"/>
    <n v="429.49186559999998"/>
    <n v="1226.8236288000001"/>
    <n v="0"/>
    <n v="742.36149906499065"/>
    <n v="1173.8098635572712"/>
  </r>
  <r>
    <s v="PROJETADO"/>
    <x v="0"/>
    <x v="2"/>
    <x v="1"/>
    <x v="2"/>
    <x v="0"/>
    <x v="0"/>
    <x v="0"/>
    <x v="11"/>
    <n v="0"/>
    <n v="0"/>
    <n v="5.2640000000000002"/>
    <n v="5.2640000000000002"/>
    <n v="5.2640000000000002"/>
    <n v="5.2640000000000002"/>
    <n v="0"/>
    <x v="0"/>
    <n v="0"/>
    <n v="0"/>
    <n v="16"/>
    <n v="63"/>
    <n v="0"/>
    <n v="81.590399999999988"/>
    <n v="233.0592"/>
    <m/>
    <n v="143.96416482310877"/>
    <n v="222.98819596452719"/>
    <n v="0"/>
    <n v="429.49186559999998"/>
    <n v="1226.8236288000001"/>
    <n v="0"/>
    <n v="742.36149906499065"/>
    <n v="1173.8098635572712"/>
  </r>
  <r>
    <s v="Regular"/>
    <x v="0"/>
    <x v="2"/>
    <x v="1"/>
    <x v="2"/>
    <x v="0"/>
    <x v="0"/>
    <x v="2"/>
    <x v="6"/>
    <n v="1"/>
    <n v="1"/>
    <n v="0"/>
    <n v="0"/>
    <n v="0"/>
    <n v="0"/>
    <n v="1"/>
    <x v="0"/>
    <n v="0"/>
    <n v="11"/>
    <n v="0"/>
    <n v="0"/>
    <n v="18.1632"/>
    <n v="0"/>
    <n v="0"/>
    <n v="31.928085265511982"/>
    <m/>
    <m/>
    <n v="18.1632"/>
    <n v="0"/>
    <n v="0"/>
    <n v="31.254667456658055"/>
    <n v="0"/>
    <n v="0"/>
  </r>
  <r>
    <s v="Regular"/>
    <x v="0"/>
    <x v="2"/>
    <x v="1"/>
    <x v="2"/>
    <x v="0"/>
    <x v="0"/>
    <x v="2"/>
    <x v="7"/>
    <n v="1"/>
    <n v="1"/>
    <n v="0"/>
    <n v="0"/>
    <n v="0"/>
    <n v="0"/>
    <n v="2"/>
    <x v="0"/>
    <n v="0"/>
    <n v="11"/>
    <n v="0"/>
    <n v="0"/>
    <n v="18.1632"/>
    <n v="0"/>
    <n v="0"/>
    <n v="31.928085265511982"/>
    <m/>
    <m/>
    <n v="18.1632"/>
    <n v="0"/>
    <n v="0"/>
    <n v="31.254667456658055"/>
    <n v="0"/>
    <n v="0"/>
  </r>
  <r>
    <s v="Regular"/>
    <x v="0"/>
    <x v="2"/>
    <x v="1"/>
    <x v="2"/>
    <x v="0"/>
    <x v="0"/>
    <x v="2"/>
    <x v="8"/>
    <n v="3"/>
    <n v="3"/>
    <n v="0"/>
    <n v="0"/>
    <n v="0"/>
    <n v="0"/>
    <n v="2"/>
    <x v="0"/>
    <n v="0"/>
    <n v="11"/>
    <n v="0"/>
    <n v="0"/>
    <n v="18.1632"/>
    <n v="0"/>
    <n v="0"/>
    <n v="31.928085265511982"/>
    <m/>
    <m/>
    <n v="54.489599999999996"/>
    <n v="0"/>
    <n v="0"/>
    <n v="93.764002369974165"/>
    <n v="0"/>
    <n v="0"/>
  </r>
  <r>
    <s v="Regular"/>
    <x v="0"/>
    <x v="2"/>
    <x v="1"/>
    <x v="2"/>
    <x v="0"/>
    <x v="0"/>
    <x v="2"/>
    <x v="9"/>
    <n v="3"/>
    <n v="3"/>
    <n v="0"/>
    <n v="0"/>
    <n v="0"/>
    <n v="0"/>
    <n v="2"/>
    <x v="0"/>
    <n v="0"/>
    <n v="11"/>
    <n v="0"/>
    <n v="0"/>
    <n v="18.1632"/>
    <n v="0"/>
    <n v="0"/>
    <n v="31.928085265511982"/>
    <m/>
    <m/>
    <n v="54.489599999999996"/>
    <n v="0"/>
    <n v="0"/>
    <n v="93.764002369974165"/>
    <n v="0"/>
    <n v="0"/>
  </r>
  <r>
    <s v="Regular"/>
    <x v="0"/>
    <x v="2"/>
    <x v="1"/>
    <x v="2"/>
    <x v="0"/>
    <x v="0"/>
    <x v="2"/>
    <x v="1"/>
    <n v="3"/>
    <n v="3"/>
    <n v="0"/>
    <n v="0"/>
    <n v="0"/>
    <n v="0"/>
    <n v="2"/>
    <x v="0"/>
    <n v="0"/>
    <n v="11"/>
    <n v="0"/>
    <n v="0"/>
    <n v="18.1632"/>
    <n v="0"/>
    <n v="0"/>
    <n v="31.928085265511982"/>
    <m/>
    <m/>
    <n v="54.489599999999996"/>
    <n v="0"/>
    <n v="0"/>
    <n v="93.764002369974165"/>
    <n v="0"/>
    <n v="0"/>
  </r>
  <r>
    <s v="Regular"/>
    <x v="0"/>
    <x v="2"/>
    <x v="1"/>
    <x v="2"/>
    <x v="0"/>
    <x v="0"/>
    <x v="2"/>
    <x v="2"/>
    <n v="4"/>
    <n v="4"/>
    <n v="0"/>
    <n v="0"/>
    <n v="0"/>
    <n v="0"/>
    <n v="2"/>
    <x v="0"/>
    <n v="0"/>
    <n v="11"/>
    <n v="0"/>
    <n v="0"/>
    <n v="18.1632"/>
    <n v="0"/>
    <n v="0"/>
    <n v="31.928085265511982"/>
    <m/>
    <m/>
    <n v="72.652799999999999"/>
    <n v="0"/>
    <n v="0"/>
    <n v="125.01866982663222"/>
    <n v="0"/>
    <n v="0"/>
  </r>
  <r>
    <s v="Regular"/>
    <x v="0"/>
    <x v="2"/>
    <x v="1"/>
    <x v="2"/>
    <x v="0"/>
    <x v="0"/>
    <x v="2"/>
    <x v="3"/>
    <n v="10"/>
    <n v="10"/>
    <n v="0"/>
    <n v="0"/>
    <n v="0"/>
    <n v="0"/>
    <n v="2"/>
    <x v="0"/>
    <n v="0"/>
    <n v="11"/>
    <n v="0"/>
    <n v="0"/>
    <n v="18.1632"/>
    <n v="0"/>
    <n v="0"/>
    <n v="31.928085265511982"/>
    <m/>
    <m/>
    <n v="181.63200000000001"/>
    <n v="0"/>
    <n v="0"/>
    <n v="312.54667456658052"/>
    <n v="0"/>
    <n v="0"/>
  </r>
  <r>
    <s v="Regular"/>
    <x v="0"/>
    <x v="2"/>
    <x v="1"/>
    <x v="2"/>
    <x v="0"/>
    <x v="0"/>
    <x v="2"/>
    <x v="10"/>
    <n v="11"/>
    <n v="11"/>
    <n v="0"/>
    <n v="0"/>
    <n v="0"/>
    <n v="0"/>
    <n v="2"/>
    <x v="0"/>
    <n v="0"/>
    <n v="11"/>
    <n v="0"/>
    <n v="0"/>
    <n v="18.1632"/>
    <n v="0"/>
    <n v="0"/>
    <n v="31.928085265511982"/>
    <m/>
    <m/>
    <n v="199.79519999999999"/>
    <n v="0"/>
    <n v="0"/>
    <n v="343.80134202323865"/>
    <n v="0"/>
    <n v="0"/>
  </r>
  <r>
    <s v="PROJETADO"/>
    <x v="0"/>
    <x v="2"/>
    <x v="1"/>
    <x v="2"/>
    <x v="0"/>
    <x v="0"/>
    <x v="2"/>
    <x v="11"/>
    <n v="11"/>
    <n v="11"/>
    <n v="0"/>
    <n v="0"/>
    <n v="0"/>
    <n v="0"/>
    <n v="2"/>
    <x v="0"/>
    <n v="0"/>
    <n v="11"/>
    <n v="0"/>
    <n v="0"/>
    <n v="18.1632"/>
    <n v="0"/>
    <n v="0"/>
    <n v="31.928085265511982"/>
    <m/>
    <m/>
    <n v="199.79519999999999"/>
    <n v="0"/>
    <n v="0"/>
    <n v="343.80134202323865"/>
    <n v="0"/>
    <n v="0"/>
  </r>
  <r>
    <s v="Regular"/>
    <x v="0"/>
    <x v="2"/>
    <x v="1"/>
    <x v="2"/>
    <x v="0"/>
    <x v="0"/>
    <x v="1"/>
    <x v="6"/>
    <n v="0"/>
    <n v="0"/>
    <n v="5.6000000000000001E-2"/>
    <n v="5.6000000000000001E-2"/>
    <n v="5.6000000000000001E-2"/>
    <n v="5.6000000000000001E-2"/>
    <n v="0"/>
    <x v="0"/>
    <n v="0"/>
    <n v="0"/>
    <n v="14"/>
    <n v="62"/>
    <n v="0"/>
    <n v="1147.9871999999998"/>
    <n v="375.8784"/>
    <m/>
    <n v="2011.0111723336513"/>
    <n v="357.62398862821016"/>
    <n v="0"/>
    <n v="64.28728319999999"/>
    <n v="21.049190400000001"/>
    <n v="0"/>
    <n v="110.26823050431099"/>
    <n v="20.026943363179768"/>
  </r>
  <r>
    <s v="Regular"/>
    <x v="0"/>
    <x v="2"/>
    <x v="1"/>
    <x v="2"/>
    <x v="0"/>
    <x v="0"/>
    <x v="1"/>
    <x v="7"/>
    <n v="0"/>
    <n v="0"/>
    <n v="6.8000000000000005E-2"/>
    <n v="6.8000000000000005E-2"/>
    <n v="6.8000000000000005E-2"/>
    <n v="6.8000000000000005E-2"/>
    <n v="0"/>
    <x v="0"/>
    <n v="0"/>
    <n v="0"/>
    <n v="14"/>
    <n v="62"/>
    <n v="0"/>
    <n v="1147.9871999999998"/>
    <n v="375.8784"/>
    <m/>
    <n v="2011.0111723336513"/>
    <n v="357.62398862821016"/>
    <n v="0"/>
    <n v="78.063129599999996"/>
    <n v="25.559731200000002"/>
    <n v="0"/>
    <n v="133.89713704094905"/>
    <n v="24.318431226718292"/>
  </r>
  <r>
    <s v="Regular"/>
    <x v="0"/>
    <x v="2"/>
    <x v="1"/>
    <x v="2"/>
    <x v="0"/>
    <x v="0"/>
    <x v="1"/>
    <x v="8"/>
    <n v="0"/>
    <n v="0"/>
    <n v="7.2999999999999995E-2"/>
    <n v="7.2999999999999995E-2"/>
    <n v="7.2999999999999995E-2"/>
    <n v="7.2999999999999995E-2"/>
    <n v="0"/>
    <x v="0"/>
    <n v="0"/>
    <n v="0"/>
    <n v="14"/>
    <n v="62"/>
    <n v="0"/>
    <n v="1147.9871999999998"/>
    <n v="375.8784"/>
    <m/>
    <n v="2011.0111723336513"/>
    <n v="357.62398862821016"/>
    <n v="0"/>
    <n v="83.803065599999982"/>
    <n v="27.439123199999997"/>
    <n v="0"/>
    <n v="143.74251476454825"/>
    <n v="26.10655116985934"/>
  </r>
  <r>
    <s v="Regular"/>
    <x v="0"/>
    <x v="2"/>
    <x v="1"/>
    <x v="2"/>
    <x v="0"/>
    <x v="0"/>
    <x v="1"/>
    <x v="9"/>
    <n v="0"/>
    <n v="0"/>
    <n v="0.1"/>
    <n v="0.1"/>
    <n v="0.1"/>
    <n v="0.1"/>
    <n v="0"/>
    <x v="0"/>
    <n v="0"/>
    <n v="0"/>
    <n v="14"/>
    <n v="62"/>
    <n v="0"/>
    <n v="1147.9871999999998"/>
    <n v="375.8784"/>
    <m/>
    <n v="2011.0111723336513"/>
    <n v="357.62398862821016"/>
    <n v="0"/>
    <n v="114.79871999999999"/>
    <n v="37.58784"/>
    <n v="0"/>
    <n v="196.9075544719839"/>
    <n v="35.762398862821016"/>
  </r>
  <r>
    <s v="Regular"/>
    <x v="0"/>
    <x v="2"/>
    <x v="1"/>
    <x v="2"/>
    <x v="0"/>
    <x v="0"/>
    <x v="1"/>
    <x v="1"/>
    <n v="0"/>
    <n v="0"/>
    <n v="9.7000000000000003E-2"/>
    <n v="9.7000000000000003E-2"/>
    <n v="9.7000000000000003E-2"/>
    <n v="9.7000000000000003E-2"/>
    <n v="0"/>
    <x v="0"/>
    <n v="0"/>
    <n v="0"/>
    <n v="14"/>
    <n v="62"/>
    <n v="0"/>
    <n v="1147.9871999999998"/>
    <n v="375.8784"/>
    <m/>
    <n v="2011.0111723336513"/>
    <n v="357.62398862821016"/>
    <n v="0"/>
    <n v="111.35475839999998"/>
    <n v="36.4602048"/>
    <n v="0"/>
    <n v="191.00032783782436"/>
    <n v="34.689526896936385"/>
  </r>
  <r>
    <s v="Regular"/>
    <x v="0"/>
    <x v="2"/>
    <x v="1"/>
    <x v="2"/>
    <x v="0"/>
    <x v="0"/>
    <x v="1"/>
    <x v="2"/>
    <n v="0"/>
    <n v="0"/>
    <n v="0.10199999999999999"/>
    <n v="0.10199999999999999"/>
    <n v="0.10199999999999999"/>
    <n v="0.10199999999999999"/>
    <n v="0"/>
    <x v="0"/>
    <n v="0"/>
    <n v="0"/>
    <n v="14"/>
    <n v="62"/>
    <n v="0"/>
    <n v="1147.9871999999998"/>
    <n v="375.8784"/>
    <m/>
    <n v="2011.0111723336513"/>
    <n v="357.62398862821016"/>
    <n v="0"/>
    <n v="117.09469439999997"/>
    <n v="38.339596799999995"/>
    <n v="0"/>
    <n v="200.84570556142356"/>
    <n v="36.477646840077433"/>
  </r>
  <r>
    <s v="Regular"/>
    <x v="0"/>
    <x v="2"/>
    <x v="1"/>
    <x v="2"/>
    <x v="0"/>
    <x v="0"/>
    <x v="1"/>
    <x v="3"/>
    <n v="0"/>
    <n v="0"/>
    <n v="0.129"/>
    <n v="0.129"/>
    <n v="0.129"/>
    <n v="0.129"/>
    <n v="0"/>
    <x v="0"/>
    <n v="0"/>
    <n v="0"/>
    <n v="14"/>
    <n v="62"/>
    <n v="0"/>
    <n v="1147.9871999999998"/>
    <n v="375.8784"/>
    <m/>
    <n v="2011.0111723336513"/>
    <n v="357.62398862821016"/>
    <n v="0"/>
    <n v="148.09034879999999"/>
    <n v="48.488313599999998"/>
    <n v="0"/>
    <n v="254.01074526885924"/>
    <n v="46.133494533039112"/>
  </r>
  <r>
    <s v="Regular"/>
    <x v="0"/>
    <x v="2"/>
    <x v="1"/>
    <x v="2"/>
    <x v="0"/>
    <x v="0"/>
    <x v="1"/>
    <x v="10"/>
    <n v="0"/>
    <n v="0"/>
    <n v="0.54700000000000004"/>
    <n v="0.54700000000000004"/>
    <n v="0.54700000000000004"/>
    <n v="0.54700000000000004"/>
    <n v="0"/>
    <x v="0"/>
    <n v="0"/>
    <n v="0"/>
    <n v="14"/>
    <n v="62"/>
    <n v="0"/>
    <n v="1147.9871999999998"/>
    <n v="375.8784"/>
    <m/>
    <n v="2011.0111723336513"/>
    <n v="357.62398862821016"/>
    <n v="0"/>
    <n v="627.94899839999994"/>
    <n v="205.60548480000003"/>
    <n v="0"/>
    <n v="1077.0843229617519"/>
    <n v="195.62032177963098"/>
  </r>
  <r>
    <s v="PROJETADO"/>
    <x v="0"/>
    <x v="2"/>
    <x v="1"/>
    <x v="2"/>
    <x v="0"/>
    <x v="0"/>
    <x v="1"/>
    <x v="11"/>
    <n v="0"/>
    <n v="0"/>
    <n v="0.54700000000000004"/>
    <n v="0.54700000000000004"/>
    <n v="0.54700000000000004"/>
    <n v="0.54700000000000004"/>
    <n v="0"/>
    <x v="0"/>
    <n v="0"/>
    <n v="0"/>
    <n v="14"/>
    <n v="62"/>
    <n v="0"/>
    <n v="1147.9871999999998"/>
    <n v="375.8784"/>
    <m/>
    <n v="2011.0111723336513"/>
    <n v="357.62398862821016"/>
    <n v="0"/>
    <n v="627.94899839999994"/>
    <n v="205.60548480000003"/>
    <n v="0"/>
    <n v="1077.0843229617519"/>
    <n v="195.62032177963098"/>
  </r>
  <r>
    <s v="Sistema de Compensação"/>
    <x v="0"/>
    <x v="2"/>
    <x v="1"/>
    <x v="0"/>
    <x v="0"/>
    <x v="0"/>
    <x v="2"/>
    <x v="4"/>
    <n v="37"/>
    <n v="37"/>
    <n v="0"/>
    <n v="0"/>
    <n v="0"/>
    <n v="0"/>
    <n v="1"/>
    <x v="0"/>
    <n v="0"/>
    <n v="11"/>
    <n v="0"/>
    <n v="0"/>
    <n v="18.1632"/>
    <n v="0"/>
    <n v="0"/>
    <n v="31.928085265511982"/>
    <m/>
    <m/>
    <n v="672.03840000000002"/>
    <n v="0"/>
    <n v="0"/>
    <n v="1156.4226958963479"/>
    <n v="0"/>
    <n v="0"/>
  </r>
  <r>
    <s v="Sistema de Compensação"/>
    <x v="0"/>
    <x v="2"/>
    <x v="1"/>
    <x v="0"/>
    <x v="0"/>
    <x v="0"/>
    <x v="2"/>
    <x v="5"/>
    <n v="27"/>
    <n v="27"/>
    <n v="0"/>
    <n v="0"/>
    <n v="0"/>
    <n v="0"/>
    <n v="1"/>
    <x v="0"/>
    <n v="0"/>
    <n v="11"/>
    <n v="0"/>
    <n v="0"/>
    <n v="18.1632"/>
    <n v="0"/>
    <n v="0"/>
    <n v="31.928085265511982"/>
    <m/>
    <m/>
    <n v="490.40640000000002"/>
    <n v="0"/>
    <n v="0"/>
    <n v="843.87602132976747"/>
    <n v="0"/>
    <n v="0"/>
  </r>
  <r>
    <s v="Sistema de Compensação"/>
    <x v="0"/>
    <x v="2"/>
    <x v="1"/>
    <x v="0"/>
    <x v="0"/>
    <x v="0"/>
    <x v="2"/>
    <x v="0"/>
    <n v="35"/>
    <n v="35"/>
    <n v="0"/>
    <n v="0"/>
    <n v="0"/>
    <n v="0"/>
    <n v="1"/>
    <x v="0"/>
    <n v="0"/>
    <n v="11"/>
    <n v="0"/>
    <n v="0"/>
    <n v="18.1632"/>
    <n v="0"/>
    <n v="0"/>
    <n v="31.928085265511982"/>
    <m/>
    <m/>
    <n v="635.71199999999999"/>
    <n v="0"/>
    <n v="0"/>
    <n v="1093.9133609830319"/>
    <n v="0"/>
    <n v="0"/>
  </r>
  <r>
    <s v="Sistema de Compensação"/>
    <x v="0"/>
    <x v="2"/>
    <x v="1"/>
    <x v="0"/>
    <x v="0"/>
    <x v="0"/>
    <x v="2"/>
    <x v="6"/>
    <n v="195"/>
    <n v="195"/>
    <n v="0"/>
    <n v="0"/>
    <n v="0"/>
    <n v="0"/>
    <n v="1"/>
    <x v="0"/>
    <n v="0"/>
    <n v="11"/>
    <n v="0"/>
    <n v="0"/>
    <n v="18.1632"/>
    <n v="0"/>
    <n v="0"/>
    <n v="31.928085265511982"/>
    <m/>
    <m/>
    <n v="3541.8240000000001"/>
    <n v="0"/>
    <n v="0"/>
    <n v="6094.6601540483207"/>
    <n v="0"/>
    <n v="0"/>
  </r>
  <r>
    <s v="Sistema de Compensação"/>
    <x v="0"/>
    <x v="2"/>
    <x v="1"/>
    <x v="0"/>
    <x v="0"/>
    <x v="0"/>
    <x v="2"/>
    <x v="7"/>
    <n v="34"/>
    <n v="34"/>
    <n v="0"/>
    <n v="0"/>
    <n v="0"/>
    <n v="0"/>
    <n v="1"/>
    <x v="0"/>
    <n v="0"/>
    <n v="11"/>
    <n v="0"/>
    <n v="0"/>
    <n v="18.1632"/>
    <n v="0"/>
    <n v="0"/>
    <n v="31.928085265511982"/>
    <m/>
    <m/>
    <n v="617.54880000000003"/>
    <n v="0"/>
    <n v="0"/>
    <n v="1062.658693526374"/>
    <n v="0"/>
    <n v="0"/>
  </r>
  <r>
    <s v="Sistema de Compensação"/>
    <x v="0"/>
    <x v="2"/>
    <x v="1"/>
    <x v="0"/>
    <x v="0"/>
    <x v="0"/>
    <x v="2"/>
    <x v="8"/>
    <n v="26"/>
    <n v="26"/>
    <n v="0"/>
    <n v="0"/>
    <n v="0"/>
    <n v="0"/>
    <n v="1"/>
    <x v="0"/>
    <n v="0"/>
    <n v="11"/>
    <n v="0"/>
    <n v="0"/>
    <n v="18.1632"/>
    <n v="0"/>
    <n v="0"/>
    <n v="31.928085265511982"/>
    <m/>
    <m/>
    <n v="472.2432"/>
    <n v="0"/>
    <n v="0"/>
    <n v="812.62135387310946"/>
    <n v="0"/>
    <n v="0"/>
  </r>
  <r>
    <s v="Sistema de Compensação"/>
    <x v="0"/>
    <x v="2"/>
    <x v="1"/>
    <x v="0"/>
    <x v="0"/>
    <x v="0"/>
    <x v="2"/>
    <x v="9"/>
    <n v="31"/>
    <n v="31"/>
    <n v="0"/>
    <n v="0"/>
    <n v="0"/>
    <n v="0"/>
    <n v="1"/>
    <x v="0"/>
    <n v="0"/>
    <n v="11"/>
    <n v="0"/>
    <n v="0"/>
    <n v="18.1632"/>
    <n v="0"/>
    <n v="0"/>
    <n v="31.928085265511982"/>
    <m/>
    <m/>
    <n v="563.05920000000003"/>
    <n v="0"/>
    <n v="0"/>
    <n v="968.89469115639963"/>
    <n v="0"/>
    <n v="0"/>
  </r>
  <r>
    <s v="Sistema de Compensação"/>
    <x v="0"/>
    <x v="2"/>
    <x v="1"/>
    <x v="0"/>
    <x v="0"/>
    <x v="0"/>
    <x v="2"/>
    <x v="1"/>
    <n v="41"/>
    <n v="41"/>
    <n v="0"/>
    <n v="0"/>
    <n v="0"/>
    <n v="0"/>
    <n v="1"/>
    <x v="0"/>
    <n v="0"/>
    <n v="11"/>
    <n v="0"/>
    <n v="0"/>
    <n v="18.1632"/>
    <n v="0"/>
    <n v="0"/>
    <n v="31.928085265511982"/>
    <m/>
    <m/>
    <n v="744.69119999999998"/>
    <n v="0"/>
    <n v="0"/>
    <n v="1281.4413657229802"/>
    <n v="0"/>
    <n v="0"/>
  </r>
  <r>
    <s v="Regular"/>
    <x v="1"/>
    <x v="0"/>
    <x v="0"/>
    <x v="0"/>
    <x v="0"/>
    <x v="0"/>
    <x v="0"/>
    <x v="4"/>
    <n v="73"/>
    <n v="73"/>
    <n v="40.456000000000003"/>
    <n v="40.456000000000003"/>
    <n v="40.456000000000003"/>
    <n v="40.456000000000003"/>
    <n v="0"/>
    <x v="0"/>
    <n v="0"/>
    <n v="5"/>
    <n v="8"/>
    <n v="66"/>
    <n v="18.920000000000002"/>
    <n v="84.99"/>
    <n v="242.77"/>
    <n v="32.579678842359165"/>
    <n v="146.90220900317223"/>
    <n v="227.53897547400734"/>
    <n v="1381.16"/>
    <n v="3438.3554400000003"/>
    <n v="9821.5031200000012"/>
    <n v="2376.6570045167064"/>
    <n v="5943.0757674323359"/>
    <n v="9205.3167917764422"/>
  </r>
  <r>
    <s v="Regular"/>
    <x v="1"/>
    <x v="0"/>
    <x v="0"/>
    <x v="0"/>
    <x v="0"/>
    <x v="0"/>
    <x v="0"/>
    <x v="5"/>
    <n v="73"/>
    <n v="73"/>
    <n v="41.588000000000001"/>
    <n v="41.588000000000001"/>
    <n v="41.588000000000001"/>
    <n v="41.588000000000001"/>
    <n v="0"/>
    <x v="0"/>
    <n v="0"/>
    <n v="5"/>
    <n v="8"/>
    <n v="66"/>
    <n v="18.920000000000002"/>
    <n v="84.99"/>
    <n v="242.77"/>
    <n v="32.579678842359165"/>
    <n v="146.90220900317223"/>
    <n v="227.53897547400734"/>
    <n v="1381.16"/>
    <n v="3534.56412"/>
    <n v="10096.31876"/>
    <n v="2376.6570045167064"/>
    <n v="6109.369068023927"/>
    <n v="9462.8909120130174"/>
  </r>
  <r>
    <s v="Regular"/>
    <x v="1"/>
    <x v="0"/>
    <x v="0"/>
    <x v="0"/>
    <x v="0"/>
    <x v="0"/>
    <x v="0"/>
    <x v="0"/>
    <n v="73"/>
    <n v="73"/>
    <n v="41.439"/>
    <n v="41.439"/>
    <n v="41.439"/>
    <n v="41.439"/>
    <n v="0"/>
    <x v="0"/>
    <n v="0"/>
    <n v="5"/>
    <n v="8"/>
    <n v="66"/>
    <n v="18.920000000000002"/>
    <n v="84.99"/>
    <n v="242.77"/>
    <n v="32.579678842359165"/>
    <n v="146.90220900317223"/>
    <n v="227.53897547400734"/>
    <n v="1381.16"/>
    <n v="3521.9006099999997"/>
    <n v="10060.14603"/>
    <n v="2376.6570045167064"/>
    <n v="6087.4806388824545"/>
    <n v="9428.9876046673908"/>
  </r>
  <r>
    <s v="Regular"/>
    <x v="1"/>
    <x v="0"/>
    <x v="0"/>
    <x v="0"/>
    <x v="0"/>
    <x v="0"/>
    <x v="0"/>
    <x v="6"/>
    <n v="71"/>
    <n v="71"/>
    <n v="37.423999999999999"/>
    <n v="37.423999999999999"/>
    <n v="37.423999999999999"/>
    <n v="37.423999999999999"/>
    <n v="0"/>
    <x v="0"/>
    <n v="0"/>
    <n v="5"/>
    <n v="8"/>
    <n v="66"/>
    <n v="18.920000000000002"/>
    <n v="84.99"/>
    <n v="242.77"/>
    <n v="32.579678842359165"/>
    <n v="146.90220900317223"/>
    <n v="227.53897547400734"/>
    <n v="1343.3200000000002"/>
    <n v="3180.6657599999999"/>
    <n v="9085.4244799999997"/>
    <n v="2311.5431139820021"/>
    <n v="5497.6682697347178"/>
    <n v="8515.4186181392506"/>
  </r>
  <r>
    <s v="Regular"/>
    <x v="1"/>
    <x v="0"/>
    <x v="0"/>
    <x v="0"/>
    <x v="0"/>
    <x v="0"/>
    <x v="0"/>
    <x v="7"/>
    <n v="73"/>
    <n v="73"/>
    <n v="42.923000000000002"/>
    <n v="42.923000000000002"/>
    <n v="42.923000000000002"/>
    <n v="42.923000000000002"/>
    <n v="0"/>
    <x v="0"/>
    <n v="0"/>
    <n v="5"/>
    <n v="8"/>
    <n v="66"/>
    <n v="18.920000000000002"/>
    <n v="84.99"/>
    <n v="242.77"/>
    <n v="32.579678842359165"/>
    <n v="146.90220900317223"/>
    <n v="227.53897547400734"/>
    <n v="1381.16"/>
    <n v="3648.0257699999997"/>
    <n v="10420.416710000001"/>
    <n v="2376.6570045167064"/>
    <n v="6305.4835170431616"/>
    <n v="9766.6554442708184"/>
  </r>
  <r>
    <s v="Regular"/>
    <x v="1"/>
    <x v="0"/>
    <x v="0"/>
    <x v="0"/>
    <x v="0"/>
    <x v="0"/>
    <x v="0"/>
    <x v="8"/>
    <n v="72"/>
    <n v="72"/>
    <n v="42.067"/>
    <n v="42.067"/>
    <n v="42.067"/>
    <n v="42.067"/>
    <n v="0"/>
    <x v="0"/>
    <n v="0"/>
    <n v="5"/>
    <n v="8"/>
    <n v="66"/>
    <n v="18.920000000000002"/>
    <n v="84.99"/>
    <n v="242.77"/>
    <n v="32.579678842359165"/>
    <n v="146.90220900317223"/>
    <n v="227.53897547400734"/>
    <n v="1362.2400000000002"/>
    <n v="3575.2743299999997"/>
    <n v="10212.605590000001"/>
    <n v="2344.1000592493542"/>
    <n v="6179.7352261364467"/>
    <n v="9571.8820812650665"/>
  </r>
  <r>
    <s v="Regular"/>
    <x v="1"/>
    <x v="0"/>
    <x v="0"/>
    <x v="0"/>
    <x v="0"/>
    <x v="0"/>
    <x v="0"/>
    <x v="9"/>
    <n v="71"/>
    <n v="71"/>
    <n v="37.844999999999999"/>
    <n v="37.844999999999999"/>
    <n v="37.844999999999999"/>
    <n v="37.844999999999999"/>
    <n v="0"/>
    <x v="0"/>
    <n v="0"/>
    <n v="5"/>
    <n v="8"/>
    <n v="66"/>
    <n v="18.920000000000002"/>
    <n v="84.99"/>
    <n v="242.77"/>
    <n v="32.579678842359165"/>
    <n v="146.90220900317223"/>
    <n v="227.53897547400734"/>
    <n v="1343.3200000000002"/>
    <n v="3216.4465499999997"/>
    <n v="9187.630650000001"/>
    <n v="2311.5431139820021"/>
    <n v="5559.5140997250528"/>
    <n v="8611.2125268138079"/>
  </r>
  <r>
    <s v="Regular"/>
    <x v="1"/>
    <x v="0"/>
    <x v="0"/>
    <x v="0"/>
    <x v="0"/>
    <x v="0"/>
    <x v="0"/>
    <x v="1"/>
    <n v="69"/>
    <n v="69"/>
    <n v="31.007000000000001"/>
    <n v="31.007000000000001"/>
    <n v="31.007000000000001"/>
    <n v="31.007000000000001"/>
    <n v="0"/>
    <x v="0"/>
    <n v="0"/>
    <n v="5"/>
    <n v="8"/>
    <n v="66"/>
    <n v="18.920000000000002"/>
    <n v="84.99"/>
    <n v="242.77"/>
    <n v="32.579678842359165"/>
    <n v="146.90220900317223"/>
    <n v="227.53897547400734"/>
    <n v="1305.48"/>
    <n v="2635.2849299999998"/>
    <n v="7527.5693900000006"/>
    <n v="2246.4292234472978"/>
    <n v="4554.9967945613616"/>
    <n v="7055.3010125225464"/>
  </r>
  <r>
    <s v="Regular"/>
    <x v="1"/>
    <x v="0"/>
    <x v="0"/>
    <x v="0"/>
    <x v="0"/>
    <x v="0"/>
    <x v="0"/>
    <x v="2"/>
    <n v="69"/>
    <n v="69"/>
    <n v="33.862000000000002"/>
    <n v="33.862000000000002"/>
    <n v="33.862000000000002"/>
    <n v="33.862000000000002"/>
    <n v="0"/>
    <x v="0"/>
    <n v="0"/>
    <n v="5"/>
    <n v="8"/>
    <n v="66"/>
    <n v="18.920000000000002"/>
    <n v="84.99"/>
    <n v="242.77"/>
    <n v="32.579678842359165"/>
    <n v="146.90220900317223"/>
    <n v="227.53897547400734"/>
    <n v="1305.48"/>
    <n v="2877.93138"/>
    <n v="8220.677740000001"/>
    <n v="2246.4292234472978"/>
    <n v="4974.4026012654185"/>
    <n v="7704.9247875008368"/>
  </r>
  <r>
    <s v="Regular"/>
    <x v="1"/>
    <x v="0"/>
    <x v="0"/>
    <x v="0"/>
    <x v="0"/>
    <x v="0"/>
    <x v="0"/>
    <x v="3"/>
    <n v="71"/>
    <n v="71"/>
    <n v="39.929000000000002"/>
    <n v="39.929000000000002"/>
    <n v="39.929000000000002"/>
    <n v="39.929000000000002"/>
    <n v="0"/>
    <x v="0"/>
    <n v="0"/>
    <n v="5"/>
    <n v="8"/>
    <n v="66"/>
    <n v="18.920000000000002"/>
    <n v="84.99"/>
    <n v="242.77"/>
    <n v="32.579678842359165"/>
    <n v="146.90220900317223"/>
    <n v="227.53897547400734"/>
    <n v="1343.3200000000002"/>
    <n v="3393.5657099999999"/>
    <n v="9693.5633300000009"/>
    <n v="2311.5431139820021"/>
    <n v="5865.6583032876642"/>
    <n v="9085.4037517016404"/>
  </r>
  <r>
    <s v="Regular"/>
    <x v="1"/>
    <x v="0"/>
    <x v="0"/>
    <x v="0"/>
    <x v="0"/>
    <x v="0"/>
    <x v="0"/>
    <x v="10"/>
    <n v="71"/>
    <n v="71"/>
    <n v="37.898000000000003"/>
    <n v="37.898000000000003"/>
    <n v="37.898000000000003"/>
    <n v="37.898000000000003"/>
    <n v="0"/>
    <x v="0"/>
    <n v="0"/>
    <n v="5"/>
    <n v="8"/>
    <n v="66"/>
    <n v="18.920000000000002"/>
    <n v="84.99"/>
    <n v="242.77"/>
    <n v="32.579678842359165"/>
    <n v="146.90220900317223"/>
    <n v="227.53897547400734"/>
    <n v="1343.3200000000002"/>
    <n v="3220.95102"/>
    <n v="9200.4974600000005"/>
    <n v="2311.5431139820021"/>
    <n v="5567.2999168022216"/>
    <n v="8623.2720925139311"/>
  </r>
  <r>
    <s v="PROJETADO"/>
    <x v="1"/>
    <x v="0"/>
    <x v="0"/>
    <x v="0"/>
    <x v="0"/>
    <x v="0"/>
    <x v="0"/>
    <x v="11"/>
    <n v="71"/>
    <n v="71"/>
    <n v="37.898000000000003"/>
    <n v="37.898000000000003"/>
    <n v="37.898000000000003"/>
    <n v="37.898000000000003"/>
    <n v="0"/>
    <x v="0"/>
    <n v="0"/>
    <n v="5"/>
    <n v="8"/>
    <n v="66"/>
    <n v="18.920000000000002"/>
    <n v="84.99"/>
    <n v="242.77"/>
    <n v="32.579678842359165"/>
    <n v="146.90220900317223"/>
    <n v="227.53897547400734"/>
    <n v="1343.3200000000002"/>
    <n v="3220.95102"/>
    <n v="9200.4974600000005"/>
    <n v="2311.5431139820021"/>
    <n v="5567.2999168022216"/>
    <n v="8623.2720925139311"/>
  </r>
  <r>
    <s v="Regular"/>
    <x v="1"/>
    <x v="0"/>
    <x v="0"/>
    <x v="0"/>
    <x v="0"/>
    <x v="0"/>
    <x v="1"/>
    <x v="4"/>
    <n v="69"/>
    <n v="69"/>
    <n v="3.7280000000000002"/>
    <n v="3.7280000000000002"/>
    <n v="3.7280000000000002"/>
    <n v="3.7280000000000002"/>
    <n v="0"/>
    <x v="0"/>
    <n v="0"/>
    <n v="4"/>
    <n v="8"/>
    <n v="65"/>
    <n v="45.73"/>
    <n v="84.99"/>
    <n v="391.54"/>
    <n v="78.325042728896165"/>
    <n v="146.90220900317223"/>
    <n v="364.92243737572466"/>
    <n v="3155.37"/>
    <n v="316.84271999999999"/>
    <n v="1459.6611200000002"/>
    <n v="5401.75441759347"/>
    <n v="547.65143516382614"/>
    <n v="1360.4308465367017"/>
  </r>
  <r>
    <s v="Regular"/>
    <x v="1"/>
    <x v="0"/>
    <x v="0"/>
    <x v="0"/>
    <x v="0"/>
    <x v="0"/>
    <x v="1"/>
    <x v="5"/>
    <n v="69"/>
    <n v="69"/>
    <n v="4.2489999999999997"/>
    <n v="4.2489999999999997"/>
    <n v="4.2489999999999997"/>
    <n v="4.2489999999999997"/>
    <n v="0"/>
    <x v="0"/>
    <n v="0"/>
    <n v="4"/>
    <n v="8"/>
    <n v="65"/>
    <n v="45.73"/>
    <n v="84.99"/>
    <n v="391.54"/>
    <n v="78.325042728896165"/>
    <n v="146.90220900317223"/>
    <n v="364.92243737572466"/>
    <n v="3155.37"/>
    <n v="361.12250999999998"/>
    <n v="1663.65346"/>
    <n v="5401.75441759347"/>
    <n v="624.18748605447877"/>
    <n v="1550.5554364094539"/>
  </r>
  <r>
    <s v="Regular"/>
    <x v="1"/>
    <x v="0"/>
    <x v="0"/>
    <x v="0"/>
    <x v="0"/>
    <x v="0"/>
    <x v="1"/>
    <x v="0"/>
    <n v="71"/>
    <n v="71"/>
    <n v="3.9460000000000002"/>
    <n v="3.9460000000000002"/>
    <n v="3.9460000000000002"/>
    <n v="3.9460000000000002"/>
    <n v="0"/>
    <x v="0"/>
    <n v="0"/>
    <n v="4"/>
    <n v="8"/>
    <n v="65"/>
    <n v="45.73"/>
    <n v="84.99"/>
    <n v="391.54"/>
    <n v="78.325042728896165"/>
    <n v="146.90220900317223"/>
    <n v="364.92243737572466"/>
    <n v="3246.83"/>
    <n v="335.37054000000001"/>
    <n v="1545.0168400000002"/>
    <n v="5558.3270094077734"/>
    <n v="579.67611672651765"/>
    <n v="1439.9839378846095"/>
  </r>
  <r>
    <s v="Regular"/>
    <x v="1"/>
    <x v="0"/>
    <x v="0"/>
    <x v="0"/>
    <x v="0"/>
    <x v="0"/>
    <x v="1"/>
    <x v="6"/>
    <n v="69"/>
    <n v="69"/>
    <n v="3.734"/>
    <n v="3.734"/>
    <n v="3.734"/>
    <n v="3.734"/>
    <n v="0"/>
    <x v="0"/>
    <n v="0"/>
    <n v="4"/>
    <n v="8"/>
    <n v="65"/>
    <n v="45.73"/>
    <n v="84.99"/>
    <n v="391.54"/>
    <n v="78.325042728896165"/>
    <n v="146.90220900317223"/>
    <n v="364.92243737572466"/>
    <n v="3155.37"/>
    <n v="317.35265999999996"/>
    <n v="1462.01036"/>
    <n v="5401.75441759347"/>
    <n v="548.53284841784512"/>
    <n v="1362.620381160956"/>
  </r>
  <r>
    <s v="Regular"/>
    <x v="1"/>
    <x v="0"/>
    <x v="0"/>
    <x v="0"/>
    <x v="0"/>
    <x v="0"/>
    <x v="1"/>
    <x v="7"/>
    <n v="69"/>
    <n v="69"/>
    <n v="4.2190000000000003"/>
    <n v="4.2190000000000003"/>
    <n v="4.2190000000000003"/>
    <n v="4.2190000000000003"/>
    <n v="0"/>
    <x v="0"/>
    <n v="0"/>
    <n v="4"/>
    <n v="8"/>
    <n v="65"/>
    <n v="45.73"/>
    <n v="84.99"/>
    <n v="391.54"/>
    <n v="78.325042728896165"/>
    <n v="146.90220900317223"/>
    <n v="364.92243737572466"/>
    <n v="3155.37"/>
    <n v="358.57281"/>
    <n v="1651.9072600000002"/>
    <n v="5401.75441759347"/>
    <n v="619.78041978438364"/>
    <n v="1539.6077632881825"/>
  </r>
  <r>
    <s v="Regular"/>
    <x v="1"/>
    <x v="0"/>
    <x v="0"/>
    <x v="0"/>
    <x v="0"/>
    <x v="0"/>
    <x v="1"/>
    <x v="8"/>
    <n v="69"/>
    <n v="69"/>
    <n v="3.7389999999999999"/>
    <n v="3.7389999999999999"/>
    <n v="3.7389999999999999"/>
    <n v="3.7389999999999999"/>
    <n v="0"/>
    <x v="0"/>
    <n v="0"/>
    <n v="4"/>
    <n v="8"/>
    <n v="65"/>
    <n v="45.73"/>
    <n v="84.99"/>
    <n v="391.54"/>
    <n v="78.325042728896165"/>
    <n v="146.90220900317223"/>
    <n v="364.92243737572466"/>
    <n v="3155.37"/>
    <n v="317.77760999999998"/>
    <n v="1463.9680599999999"/>
    <n v="5401.75441759347"/>
    <n v="549.26735946286101"/>
    <n v="1364.4449933478345"/>
  </r>
  <r>
    <s v="Regular"/>
    <x v="1"/>
    <x v="0"/>
    <x v="0"/>
    <x v="0"/>
    <x v="0"/>
    <x v="0"/>
    <x v="1"/>
    <x v="9"/>
    <n v="69"/>
    <n v="69"/>
    <n v="3.806"/>
    <n v="3.806"/>
    <n v="3.806"/>
    <n v="3.806"/>
    <n v="0"/>
    <x v="0"/>
    <n v="0"/>
    <n v="4"/>
    <n v="8"/>
    <n v="65"/>
    <n v="45.73"/>
    <n v="84.99"/>
    <n v="391.54"/>
    <n v="78.325042728896165"/>
    <n v="146.90220900317223"/>
    <n v="364.92243737572466"/>
    <n v="3155.37"/>
    <n v="323.47193999999996"/>
    <n v="1490.2012400000001"/>
    <n v="5401.75441759347"/>
    <n v="559.10980746607356"/>
    <n v="1388.8947966520082"/>
  </r>
  <r>
    <s v="Regular"/>
    <x v="1"/>
    <x v="0"/>
    <x v="0"/>
    <x v="0"/>
    <x v="0"/>
    <x v="0"/>
    <x v="1"/>
    <x v="1"/>
    <n v="69"/>
    <n v="69"/>
    <n v="3.0289999999999999"/>
    <n v="3.0289999999999999"/>
    <n v="3.0289999999999999"/>
    <n v="3.0289999999999999"/>
    <n v="0"/>
    <x v="0"/>
    <n v="0"/>
    <n v="4"/>
    <n v="8"/>
    <n v="65"/>
    <n v="45.73"/>
    <n v="84.99"/>
    <n v="391.54"/>
    <n v="78.325042728896165"/>
    <n v="146.90220900317223"/>
    <n v="364.92243737572466"/>
    <n v="3155.37"/>
    <n v="257.43471"/>
    <n v="1185.9746600000001"/>
    <n v="5401.75441759347"/>
    <n v="444.96679107060868"/>
    <n v="1105.3500628110698"/>
  </r>
  <r>
    <s v="Regular"/>
    <x v="1"/>
    <x v="0"/>
    <x v="0"/>
    <x v="0"/>
    <x v="0"/>
    <x v="0"/>
    <x v="1"/>
    <x v="2"/>
    <n v="69"/>
    <n v="69"/>
    <n v="3.2509999999999999"/>
    <n v="3.2509999999999999"/>
    <n v="3.2509999999999999"/>
    <n v="3.2509999999999999"/>
    <n v="0"/>
    <x v="0"/>
    <n v="0"/>
    <n v="4"/>
    <n v="8"/>
    <n v="65"/>
    <n v="45.73"/>
    <n v="84.99"/>
    <n v="391.54"/>
    <n v="78.325042728896165"/>
    <n v="146.90220900317223"/>
    <n v="364.92243737572466"/>
    <n v="3155.37"/>
    <n v="276.30248999999998"/>
    <n v="1272.89654"/>
    <n v="5401.75441759347"/>
    <n v="477.57908146931288"/>
    <n v="1186.3628439084807"/>
  </r>
  <r>
    <s v="Regular"/>
    <x v="1"/>
    <x v="0"/>
    <x v="0"/>
    <x v="0"/>
    <x v="0"/>
    <x v="0"/>
    <x v="1"/>
    <x v="3"/>
    <n v="69"/>
    <n v="69"/>
    <n v="4.1680000000000001"/>
    <n v="4.1680000000000001"/>
    <n v="4.1680000000000001"/>
    <n v="4.1680000000000001"/>
    <n v="0"/>
    <x v="0"/>
    <n v="0"/>
    <n v="4"/>
    <n v="8"/>
    <n v="65"/>
    <n v="45.73"/>
    <n v="84.99"/>
    <n v="391.54"/>
    <n v="78.325042728896165"/>
    <n v="146.90220900317223"/>
    <n v="364.92243737572466"/>
    <n v="3155.37"/>
    <n v="354.23831999999999"/>
    <n v="1631.9387200000001"/>
    <n v="5401.75441759347"/>
    <n v="612.28840712522185"/>
    <n v="1520.9967189820204"/>
  </r>
  <r>
    <s v="Regular"/>
    <x v="1"/>
    <x v="0"/>
    <x v="0"/>
    <x v="0"/>
    <x v="0"/>
    <x v="0"/>
    <x v="1"/>
    <x v="10"/>
    <n v="69"/>
    <n v="69"/>
    <n v="3.67"/>
    <n v="3.67"/>
    <n v="3.67"/>
    <n v="3.67"/>
    <n v="0"/>
    <x v="0"/>
    <n v="0"/>
    <n v="4"/>
    <n v="8"/>
    <n v="65"/>
    <n v="45.73"/>
    <n v="84.99"/>
    <n v="391.54"/>
    <n v="78.325042728896165"/>
    <n v="146.90220900317223"/>
    <n v="364.92243737572466"/>
    <n v="3155.37"/>
    <n v="311.91329999999999"/>
    <n v="1436.9518"/>
    <n v="5401.75441759347"/>
    <n v="539.13110704164205"/>
    <n v="1339.2653451689096"/>
  </r>
  <r>
    <s v="PROJETADO"/>
    <x v="1"/>
    <x v="0"/>
    <x v="0"/>
    <x v="0"/>
    <x v="0"/>
    <x v="0"/>
    <x v="1"/>
    <x v="11"/>
    <n v="69"/>
    <n v="69"/>
    <n v="3.67"/>
    <n v="3.67"/>
    <n v="3.67"/>
    <n v="3.67"/>
    <n v="0"/>
    <x v="0"/>
    <n v="0"/>
    <n v="4"/>
    <n v="8"/>
    <n v="65"/>
    <n v="45.73"/>
    <n v="84.99"/>
    <n v="391.54"/>
    <n v="78.325042728896165"/>
    <n v="146.90220900317223"/>
    <n v="364.92243737572466"/>
    <n v="3155.37"/>
    <n v="311.91329999999999"/>
    <n v="1436.9518"/>
    <n v="5401.75441759347"/>
    <n v="539.13110704164205"/>
    <n v="1339.2653451689096"/>
  </r>
  <r>
    <s v="Regular"/>
    <x v="1"/>
    <x v="0"/>
    <x v="3"/>
    <x v="3"/>
    <x v="0"/>
    <x v="0"/>
    <x v="0"/>
    <x v="4"/>
    <n v="505"/>
    <n v="505"/>
    <n v="222.565"/>
    <n v="222.565"/>
    <n v="222.565"/>
    <n v="222.565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981.3240000000005"/>
    <n v="17780.851388999999"/>
    <n v="50790.178746999998"/>
    <n v="13975.068756010907"/>
    <n v="30733.572737983563"/>
    <n v="49122.945714081266"/>
  </r>
  <r>
    <s v="Regular"/>
    <x v="1"/>
    <x v="0"/>
    <x v="3"/>
    <x v="3"/>
    <x v="0"/>
    <x v="0"/>
    <x v="0"/>
    <x v="5"/>
    <n v="504"/>
    <n v="504"/>
    <n v="220.71299999999999"/>
    <n v="220.71299999999999"/>
    <n v="220.71299999999999"/>
    <n v="220.71299999999999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963.5392000000011"/>
    <n v="17632.893997799998"/>
    <n v="50367.545309399997"/>
    <n v="13947.395352533656"/>
    <n v="30477.833620374124"/>
    <n v="48714.185596980744"/>
  </r>
  <r>
    <s v="Regular"/>
    <x v="1"/>
    <x v="0"/>
    <x v="3"/>
    <x v="3"/>
    <x v="0"/>
    <x v="0"/>
    <x v="0"/>
    <x v="0"/>
    <n v="505"/>
    <n v="505"/>
    <n v="224.678"/>
    <n v="224.678"/>
    <n v="224.678"/>
    <n v="224.678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981.3240000000005"/>
    <n v="17949.660226799999"/>
    <n v="51272.373376399999"/>
    <n v="13975.068756010907"/>
    <n v="31025.352843549845"/>
    <n v="49589.31187360255"/>
  </r>
  <r>
    <s v="Regular"/>
    <x v="1"/>
    <x v="0"/>
    <x v="3"/>
    <x v="3"/>
    <x v="0"/>
    <x v="0"/>
    <x v="0"/>
    <x v="6"/>
    <n v="501"/>
    <n v="501"/>
    <n v="190.18799999999999"/>
    <n v="190.18799999999999"/>
    <n v="190.18799999999999"/>
    <n v="190.18799999999999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910.1848000000009"/>
    <n v="15194.233432799998"/>
    <n v="43401.624314399996"/>
    <n v="13864.375142101908"/>
    <n v="26262.695086341602"/>
    <n v="41976.927187426991"/>
  </r>
  <r>
    <s v="Regular"/>
    <x v="1"/>
    <x v="0"/>
    <x v="3"/>
    <x v="3"/>
    <x v="0"/>
    <x v="0"/>
    <x v="0"/>
    <x v="7"/>
    <n v="501"/>
    <n v="501"/>
    <n v="215.52799999999999"/>
    <n v="215.52799999999999"/>
    <n v="215.52799999999999"/>
    <n v="215.52799999999999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910.1848000000009"/>
    <n v="17218.661236799999"/>
    <n v="49184.308606400002"/>
    <n v="13864.375142101908"/>
    <n v="29761.846943913562"/>
    <n v="47569.789696782995"/>
  </r>
  <r>
    <s v="Regular"/>
    <x v="1"/>
    <x v="0"/>
    <x v="3"/>
    <x v="3"/>
    <x v="0"/>
    <x v="0"/>
    <x v="0"/>
    <x v="8"/>
    <n v="502"/>
    <n v="502"/>
    <n v="224.44300000000001"/>
    <n v="224.44300000000001"/>
    <n v="224.44300000000001"/>
    <n v="224.44300000000001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927.9696000000004"/>
    <n v="17930.885935800001"/>
    <n v="51218.745483400002"/>
    <n v="13892.048545579159"/>
    <n v="30992.902145581043"/>
    <n v="49537.444364143252"/>
  </r>
  <r>
    <s v="Regular"/>
    <x v="1"/>
    <x v="0"/>
    <x v="3"/>
    <x v="3"/>
    <x v="0"/>
    <x v="0"/>
    <x v="0"/>
    <x v="9"/>
    <n v="501"/>
    <n v="501"/>
    <n v="230.06399999999999"/>
    <n v="230.06399999999999"/>
    <n v="230.06399999999999"/>
    <n v="230.06399999999999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910.1848000000009"/>
    <n v="18379.950998399996"/>
    <n v="52501.479043200001"/>
    <n v="13864.375142101908"/>
    <n v="31769.095223379471"/>
    <n v="50778.071047848462"/>
  </r>
  <r>
    <s v="Regular"/>
    <x v="1"/>
    <x v="0"/>
    <x v="3"/>
    <x v="3"/>
    <x v="0"/>
    <x v="0"/>
    <x v="0"/>
    <x v="1"/>
    <n v="501"/>
    <n v="501"/>
    <n v="217.18299999999999"/>
    <n v="217.18299999999999"/>
    <n v="217.18299999999999"/>
    <n v="217.18299999999999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910.1848000000009"/>
    <n v="17350.880179799999"/>
    <n v="49561.985895400001"/>
    <n v="13864.375142101908"/>
    <n v="29990.382710459795"/>
    <n v="47935.069391060191"/>
  </r>
  <r>
    <s v="Regular"/>
    <x v="1"/>
    <x v="0"/>
    <x v="3"/>
    <x v="3"/>
    <x v="0"/>
    <x v="0"/>
    <x v="0"/>
    <x v="2"/>
    <n v="500"/>
    <n v="500"/>
    <n v="227.62"/>
    <n v="227.62"/>
    <n v="227.62"/>
    <n v="227.62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892.4"/>
    <n v="18184.698371999999"/>
    <n v="51943.748956000003"/>
    <n v="13836.701738624661"/>
    <n v="31431.607964503939"/>
    <n v="50238.648949471746"/>
  </r>
  <r>
    <s v="Regular"/>
    <x v="1"/>
    <x v="0"/>
    <x v="3"/>
    <x v="3"/>
    <x v="0"/>
    <x v="0"/>
    <x v="0"/>
    <x v="3"/>
    <n v="500"/>
    <n v="500"/>
    <n v="242.39400000000001"/>
    <n v="242.39400000000001"/>
    <n v="242.39400000000001"/>
    <n v="242.39400000000001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892.4"/>
    <n v="19365.0020964"/>
    <n v="55315.231897199999"/>
    <n v="13836.701738624661"/>
    <n v="33471.721206168033"/>
    <n v="53499.45994841514"/>
  </r>
  <r>
    <s v="Regular"/>
    <x v="1"/>
    <x v="0"/>
    <x v="3"/>
    <x v="3"/>
    <x v="0"/>
    <x v="0"/>
    <x v="0"/>
    <x v="10"/>
    <n v="500"/>
    <n v="500"/>
    <n v="249.33799999999999"/>
    <n v="249.33799999999999"/>
    <n v="249.33799999999999"/>
    <n v="249.33799999999999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892.4"/>
    <n v="19919.762422799999"/>
    <n v="56899.879084399996"/>
    <n v="13836.701738624661"/>
    <n v="34430.604809126984"/>
    <n v="55032.0896747359"/>
  </r>
  <r>
    <s v="PROJETADO"/>
    <x v="1"/>
    <x v="0"/>
    <x v="3"/>
    <x v="3"/>
    <x v="0"/>
    <x v="0"/>
    <x v="0"/>
    <x v="11"/>
    <n v="500"/>
    <n v="500"/>
    <n v="249.33799999999999"/>
    <n v="249.33799999999999"/>
    <n v="249.33799999999999"/>
    <n v="249.33799999999999"/>
    <n v="0"/>
    <x v="0"/>
    <n v="0"/>
    <n v="5"/>
    <n v="8"/>
    <n v="66"/>
    <n v="17.784800000000001"/>
    <n v="79.890599999999992"/>
    <n v="228.2038"/>
    <n v="31.60228847708839"/>
    <n v="142.49514273307707"/>
    <n v="220.71280620978712"/>
    <n v="8892.4"/>
    <n v="19919.762422799999"/>
    <n v="56899.879084399996"/>
    <n v="13836.701738624661"/>
    <n v="34430.604809126984"/>
    <n v="55032.0896747359"/>
  </r>
  <r>
    <s v="Regular"/>
    <x v="1"/>
    <x v="0"/>
    <x v="3"/>
    <x v="3"/>
    <x v="0"/>
    <x v="0"/>
    <x v="1"/>
    <x v="4"/>
    <n v="504"/>
    <n v="504"/>
    <n v="26.707000000000001"/>
    <n v="26.707000000000001"/>
    <n v="26.707000000000001"/>
    <n v="26.707000000000001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665.0448"/>
    <n v="2133.6382541999997"/>
    <n v="9829.4472532"/>
    <n v="33537.849166623804"/>
    <n v="3687.9182580968572"/>
    <n v="9453.6040289436733"/>
  </r>
  <r>
    <s v="Regular"/>
    <x v="1"/>
    <x v="0"/>
    <x v="3"/>
    <x v="3"/>
    <x v="0"/>
    <x v="0"/>
    <x v="1"/>
    <x v="5"/>
    <n v="503"/>
    <n v="503"/>
    <n v="30.75"/>
    <n v="30.75"/>
    <n v="30.75"/>
    <n v="30.75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622.058599999997"/>
    <n v="2456.6359499999999"/>
    <n v="11317.4637"/>
    <n v="33471.305815102729"/>
    <n v="4246.2083512366935"/>
    <n v="10884.724000824426"/>
  </r>
  <r>
    <s v="Regular"/>
    <x v="1"/>
    <x v="0"/>
    <x v="3"/>
    <x v="3"/>
    <x v="0"/>
    <x v="0"/>
    <x v="1"/>
    <x v="0"/>
    <n v="503"/>
    <n v="503"/>
    <n v="27.852"/>
    <n v="27.852"/>
    <n v="27.852"/>
    <n v="27.852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622.058599999997"/>
    <n v="2225.1129911999997"/>
    <n v="10250.8617552"/>
    <n v="33471.305815102729"/>
    <n v="3846.0291056469714"/>
    <n v="9858.9051340150218"/>
  </r>
  <r>
    <s v="Regular"/>
    <x v="1"/>
    <x v="0"/>
    <x v="3"/>
    <x v="3"/>
    <x v="0"/>
    <x v="0"/>
    <x v="1"/>
    <x v="6"/>
    <n v="496"/>
    <n v="496"/>
    <n v="25.864999999999998"/>
    <n v="25.864999999999998"/>
    <n v="25.864999999999998"/>
    <n v="25.864999999999998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321.155199999997"/>
    <n v="2066.3703689999998"/>
    <n v="9519.5511739999984"/>
    <n v="33005.502354455173"/>
    <n v="3571.6480977150268"/>
    <n v="9155.5572774414231"/>
  </r>
  <r>
    <s v="Regular"/>
    <x v="1"/>
    <x v="0"/>
    <x v="3"/>
    <x v="3"/>
    <x v="0"/>
    <x v="0"/>
    <x v="1"/>
    <x v="7"/>
    <n v="496"/>
    <n v="496"/>
    <n v="28.08"/>
    <n v="28.08"/>
    <n v="28.08"/>
    <n v="28.08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321.155199999997"/>
    <n v="2243.3280479999999"/>
    <n v="10334.776607999998"/>
    <n v="33005.502354455173"/>
    <n v="3877.5131870805317"/>
    <n v="9939.6113802650361"/>
  </r>
  <r>
    <s v="Regular"/>
    <x v="1"/>
    <x v="0"/>
    <x v="3"/>
    <x v="3"/>
    <x v="0"/>
    <x v="0"/>
    <x v="1"/>
    <x v="8"/>
    <n v="496"/>
    <n v="496"/>
    <n v="24.72"/>
    <n v="24.72"/>
    <n v="24.72"/>
    <n v="24.72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321.155199999997"/>
    <n v="1974.8956319999998"/>
    <n v="9098.1366719999987"/>
    <n v="33005.502354455173"/>
    <n v="3413.5372501649122"/>
    <n v="8750.2561723700746"/>
  </r>
  <r>
    <s v="Regular"/>
    <x v="1"/>
    <x v="0"/>
    <x v="3"/>
    <x v="3"/>
    <x v="0"/>
    <x v="0"/>
    <x v="1"/>
    <x v="9"/>
    <n v="495"/>
    <n v="495"/>
    <n v="28.018000000000001"/>
    <n v="28.018000000000001"/>
    <n v="28.018000000000001"/>
    <n v="28.018000000000001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278.168999999998"/>
    <n v="2238.3748307999999"/>
    <n v="10311.957656799999"/>
    <n v="32938.959002934098"/>
    <n v="3868.9517263398266"/>
    <n v="9917.6649448812623"/>
  </r>
  <r>
    <s v="Regular"/>
    <x v="1"/>
    <x v="0"/>
    <x v="3"/>
    <x v="3"/>
    <x v="0"/>
    <x v="0"/>
    <x v="1"/>
    <x v="1"/>
    <n v="495"/>
    <n v="495"/>
    <n v="26.640999999999998"/>
    <n v="26.640999999999998"/>
    <n v="26.640999999999998"/>
    <n v="26.640999999999998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278.168999999998"/>
    <n v="2128.3654745999997"/>
    <n v="9805.1561115999993"/>
    <n v="32938.959002934098"/>
    <n v="3678.8044450503007"/>
    <n v="9430.2416945028799"/>
  </r>
  <r>
    <s v="Regular"/>
    <x v="1"/>
    <x v="0"/>
    <x v="3"/>
    <x v="3"/>
    <x v="0"/>
    <x v="0"/>
    <x v="1"/>
    <x v="2"/>
    <n v="495"/>
    <n v="495"/>
    <n v="26.555"/>
    <n v="26.555"/>
    <n v="26.555"/>
    <n v="26.555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278.168999999998"/>
    <n v="2121.4948829999998"/>
    <n v="9773.5040179999996"/>
    <n v="32938.959002934098"/>
    <n v="3666.9288704744845"/>
    <n v="9399.7998647769964"/>
  </r>
  <r>
    <s v="Regular"/>
    <x v="1"/>
    <x v="0"/>
    <x v="3"/>
    <x v="3"/>
    <x v="0"/>
    <x v="0"/>
    <x v="1"/>
    <x v="3"/>
    <n v="495"/>
    <n v="495"/>
    <n v="28.975000000000001"/>
    <n v="28.975000000000001"/>
    <n v="28.975000000000001"/>
    <n v="28.975000000000001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278.168999999998"/>
    <n v="2314.8301349999997"/>
    <n v="10664.17921"/>
    <n v="32938.959002934098"/>
    <n v="4001.1020155149004"/>
    <n v="10256.418794272773"/>
  </r>
  <r>
    <s v="Regular"/>
    <x v="1"/>
    <x v="0"/>
    <x v="3"/>
    <x v="3"/>
    <x v="0"/>
    <x v="0"/>
    <x v="1"/>
    <x v="10"/>
    <n v="495"/>
    <n v="495"/>
    <n v="26.323"/>
    <n v="26.323"/>
    <n v="26.323"/>
    <n v="26.323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278.168999999998"/>
    <n v="2102.9602637999997"/>
    <n v="9688.1169747999993"/>
    <n v="32938.959002934098"/>
    <n v="3634.8924367350724"/>
    <n v="9317.6777194699644"/>
  </r>
  <r>
    <s v="PROJETADO"/>
    <x v="1"/>
    <x v="0"/>
    <x v="3"/>
    <x v="3"/>
    <x v="0"/>
    <x v="0"/>
    <x v="1"/>
    <x v="11"/>
    <n v="495"/>
    <n v="495"/>
    <n v="26.323"/>
    <n v="26.323"/>
    <n v="26.323"/>
    <n v="26.323"/>
    <n v="0"/>
    <x v="0"/>
    <n v="0"/>
    <n v="4"/>
    <n v="8"/>
    <n v="65"/>
    <n v="42.986199999999997"/>
    <n v="79.890599999999992"/>
    <n v="368.04759999999999"/>
    <n v="75.975291447029278"/>
    <n v="142.49514273307707"/>
    <n v="353.97476425445291"/>
    <n v="21278.168999999998"/>
    <n v="2102.9602637999997"/>
    <n v="9688.1169747999993"/>
    <n v="32938.959002934098"/>
    <n v="3634.8924367350724"/>
    <n v="9317.6777194699644"/>
  </r>
  <r>
    <s v="Regular"/>
    <x v="1"/>
    <x v="2"/>
    <x v="0"/>
    <x v="0"/>
    <x v="0"/>
    <x v="0"/>
    <x v="0"/>
    <x v="4"/>
    <n v="0"/>
    <n v="0"/>
    <n v="250.30500000000001"/>
    <n v="250.30500000000001"/>
    <n v="250.30500000000001"/>
    <n v="250.30500000000001"/>
    <n v="0"/>
    <x v="0"/>
    <n v="0"/>
    <n v="0"/>
    <n v="17"/>
    <n v="66"/>
    <n v="0"/>
    <n v="84.99"/>
    <n v="242.77"/>
    <m/>
    <n v="146.90220900317223"/>
    <n v="227.53897547400734"/>
    <n v="0"/>
    <n v="21273.42195"/>
    <n v="60766.544850000006"/>
    <n v="0"/>
    <n v="36770.357424539026"/>
    <n v="56954.143256021409"/>
  </r>
  <r>
    <s v="Sistema de Compensação"/>
    <x v="1"/>
    <x v="2"/>
    <x v="0"/>
    <x v="0"/>
    <x v="0"/>
    <x v="0"/>
    <x v="0"/>
    <x v="4"/>
    <n v="0"/>
    <n v="0"/>
    <n v="36.600999999999999"/>
    <n v="36.600999999999999"/>
    <n v="36.600999999999999"/>
    <n v="36.600999999999999"/>
    <n v="0"/>
    <x v="0"/>
    <n v="0"/>
    <n v="0"/>
    <n v="17"/>
    <n v="66"/>
    <n v="0"/>
    <n v="84.99"/>
    <n v="242.77"/>
    <m/>
    <n v="146.90220900317223"/>
    <n v="227.53897547400734"/>
    <n v="0"/>
    <n v="3110.7189899999998"/>
    <n v="8885.6247700000004"/>
    <n v="0"/>
    <n v="5376.7677517251068"/>
    <n v="8328.1540413241419"/>
  </r>
  <r>
    <s v="Regular"/>
    <x v="1"/>
    <x v="2"/>
    <x v="0"/>
    <x v="0"/>
    <x v="0"/>
    <x v="0"/>
    <x v="0"/>
    <x v="5"/>
    <n v="0"/>
    <n v="0"/>
    <n v="248.839"/>
    <n v="248.839"/>
    <n v="248.839"/>
    <n v="248.839"/>
    <n v="0"/>
    <x v="0"/>
    <n v="0"/>
    <n v="0"/>
    <n v="17"/>
    <n v="66"/>
    <n v="0"/>
    <n v="84.99"/>
    <n v="242.77"/>
    <m/>
    <n v="146.90220900317223"/>
    <n v="227.53897547400734"/>
    <n v="0"/>
    <n v="21148.82661"/>
    <n v="60410.644030000003"/>
    <n v="0"/>
    <n v="36554.998786140372"/>
    <n v="56620.571117976513"/>
  </r>
  <r>
    <s v="Sistema de Compensação"/>
    <x v="1"/>
    <x v="2"/>
    <x v="0"/>
    <x v="0"/>
    <x v="0"/>
    <x v="0"/>
    <x v="0"/>
    <x v="5"/>
    <n v="0"/>
    <n v="0"/>
    <n v="42.082000000000001"/>
    <n v="42.082000000000001"/>
    <n v="42.082000000000001"/>
    <n v="42.082000000000001"/>
    <n v="0"/>
    <x v="0"/>
    <n v="0"/>
    <n v="0"/>
    <n v="17"/>
    <n v="66"/>
    <n v="0"/>
    <n v="84.99"/>
    <n v="242.77"/>
    <m/>
    <n v="146.90220900317223"/>
    <n v="227.53897547400734"/>
    <n v="0"/>
    <n v="3576.54918"/>
    <n v="10216.247140000001"/>
    <n v="0"/>
    <n v="6181.9387592714938"/>
    <n v="9575.2951658971779"/>
  </r>
  <r>
    <s v="Regular"/>
    <x v="1"/>
    <x v="2"/>
    <x v="0"/>
    <x v="0"/>
    <x v="0"/>
    <x v="0"/>
    <x v="0"/>
    <x v="0"/>
    <n v="0"/>
    <n v="0"/>
    <n v="260.56799999999998"/>
    <n v="260.56799999999998"/>
    <n v="260.56799999999998"/>
    <n v="260.56799999999998"/>
    <n v="0"/>
    <x v="0"/>
    <n v="0"/>
    <n v="0"/>
    <n v="17"/>
    <n v="66"/>
    <n v="0"/>
    <n v="84.99"/>
    <n v="242.77"/>
    <m/>
    <n v="146.90220900317223"/>
    <n v="227.53897547400734"/>
    <n v="0"/>
    <n v="22145.674319999998"/>
    <n v="63258.093359999999"/>
    <n v="0"/>
    <n v="38278.014795538576"/>
    <n v="59289.375761311145"/>
  </r>
  <r>
    <s v="Sistema de Compensação"/>
    <x v="1"/>
    <x v="2"/>
    <x v="0"/>
    <x v="0"/>
    <x v="0"/>
    <x v="0"/>
    <x v="0"/>
    <x v="0"/>
    <n v="0"/>
    <n v="0"/>
    <n v="37.851999999999997"/>
    <n v="37.851999999999997"/>
    <n v="37.851999999999997"/>
    <n v="37.851999999999997"/>
    <n v="0"/>
    <x v="0"/>
    <n v="0"/>
    <n v="0"/>
    <n v="17"/>
    <n v="66"/>
    <n v="0"/>
    <n v="84.99"/>
    <n v="242.77"/>
    <m/>
    <n v="146.90220900317223"/>
    <n v="227.53897547400734"/>
    <n v="0"/>
    <n v="3217.0414799999994"/>
    <n v="9189.3300399999989"/>
    <n v="0"/>
    <n v="5560.5424151880752"/>
    <n v="8612.8052996421247"/>
  </r>
  <r>
    <s v="Regular"/>
    <x v="1"/>
    <x v="2"/>
    <x v="0"/>
    <x v="0"/>
    <x v="0"/>
    <x v="0"/>
    <x v="0"/>
    <x v="6"/>
    <n v="0"/>
    <n v="0"/>
    <n v="248.054"/>
    <n v="248.054"/>
    <n v="248.054"/>
    <n v="248.054"/>
    <n v="0"/>
    <x v="0"/>
    <n v="0"/>
    <n v="0"/>
    <n v="17"/>
    <n v="66"/>
    <n v="0"/>
    <n v="84.99"/>
    <n v="242.77"/>
    <m/>
    <n v="146.90220900317223"/>
    <n v="227.53897547400734"/>
    <n v="0"/>
    <n v="21082.10946"/>
    <n v="60220.069580000003"/>
    <n v="0"/>
    <n v="36439.680552072889"/>
    <n v="56441.95302222942"/>
  </r>
  <r>
    <s v="Sistema de Compensação"/>
    <x v="1"/>
    <x v="2"/>
    <x v="0"/>
    <x v="0"/>
    <x v="0"/>
    <x v="0"/>
    <x v="0"/>
    <x v="6"/>
    <n v="0"/>
    <n v="0"/>
    <n v="29.741"/>
    <n v="29.741"/>
    <n v="29.741"/>
    <n v="29.741"/>
    <n v="0"/>
    <x v="0"/>
    <n v="0"/>
    <n v="0"/>
    <n v="17"/>
    <n v="66"/>
    <n v="0"/>
    <n v="84.99"/>
    <n v="242.77"/>
    <m/>
    <n v="146.90220900317223"/>
    <n v="227.53897547400734"/>
    <n v="0"/>
    <n v="2527.68759"/>
    <n v="7220.2225699999999"/>
    <n v="0"/>
    <n v="4369.0185979633452"/>
    <n v="6767.2366695724522"/>
  </r>
  <r>
    <s v="Regular"/>
    <x v="1"/>
    <x v="2"/>
    <x v="0"/>
    <x v="0"/>
    <x v="0"/>
    <x v="0"/>
    <x v="0"/>
    <x v="7"/>
    <n v="0"/>
    <n v="0"/>
    <n v="300.5"/>
    <n v="300.5"/>
    <n v="300.5"/>
    <n v="300.5"/>
    <n v="0"/>
    <x v="0"/>
    <n v="0"/>
    <n v="0"/>
    <n v="17"/>
    <n v="66"/>
    <n v="0"/>
    <n v="84.99"/>
    <n v="242.77"/>
    <m/>
    <n v="146.90220900317223"/>
    <n v="227.53897547400734"/>
    <n v="0"/>
    <n v="25539.494999999999"/>
    <n v="72952.385000000009"/>
    <n v="0"/>
    <n v="44144.113805453257"/>
    <n v="68375.462129939202"/>
  </r>
  <r>
    <s v="Sistema de Compensação"/>
    <x v="1"/>
    <x v="2"/>
    <x v="0"/>
    <x v="0"/>
    <x v="0"/>
    <x v="0"/>
    <x v="0"/>
    <x v="7"/>
    <n v="0"/>
    <n v="0"/>
    <n v="40.207000000000001"/>
    <n v="40.207000000000001"/>
    <n v="40.207000000000001"/>
    <n v="40.207000000000001"/>
    <n v="0"/>
    <x v="0"/>
    <n v="0"/>
    <n v="0"/>
    <n v="17"/>
    <n v="66"/>
    <n v="0"/>
    <n v="84.99"/>
    <n v="242.77"/>
    <m/>
    <n v="146.90220900317223"/>
    <n v="227.53897547400734"/>
    <n v="0"/>
    <n v="3417.1929299999997"/>
    <n v="9761.0533900000009"/>
    <n v="0"/>
    <n v="5906.497117390546"/>
    <n v="9148.6595868834138"/>
  </r>
  <r>
    <s v="Regular"/>
    <x v="1"/>
    <x v="2"/>
    <x v="0"/>
    <x v="0"/>
    <x v="0"/>
    <x v="0"/>
    <x v="0"/>
    <x v="8"/>
    <n v="0"/>
    <n v="0"/>
    <n v="288.178"/>
    <n v="288.178"/>
    <n v="288.178"/>
    <n v="288.178"/>
    <n v="0"/>
    <x v="0"/>
    <n v="0"/>
    <n v="0"/>
    <n v="17"/>
    <n v="66"/>
    <n v="0"/>
    <n v="84.99"/>
    <n v="242.77"/>
    <m/>
    <n v="146.90220900317223"/>
    <n v="227.53897547400734"/>
    <n v="0"/>
    <n v="24492.248219999998"/>
    <n v="69960.973060000004"/>
    <n v="0"/>
    <n v="42333.984786116169"/>
    <n v="65571.726874148488"/>
  </r>
  <r>
    <s v="Sistema de Compensação"/>
    <x v="1"/>
    <x v="2"/>
    <x v="0"/>
    <x v="0"/>
    <x v="0"/>
    <x v="0"/>
    <x v="0"/>
    <x v="8"/>
    <n v="0"/>
    <n v="0"/>
    <n v="32.713000000000001"/>
    <n v="32.713000000000001"/>
    <n v="32.713000000000001"/>
    <n v="32.713000000000001"/>
    <n v="0"/>
    <x v="0"/>
    <n v="0"/>
    <n v="0"/>
    <n v="17"/>
    <n v="66"/>
    <n v="0"/>
    <n v="84.99"/>
    <n v="242.77"/>
    <m/>
    <n v="146.90220900317223"/>
    <n v="227.53897547400734"/>
    <n v="0"/>
    <n v="2780.2778699999999"/>
    <n v="7941.7350100000003"/>
    <n v="0"/>
    <n v="4805.611963120773"/>
    <n v="7443.482504681202"/>
  </r>
  <r>
    <s v="Regular"/>
    <x v="1"/>
    <x v="2"/>
    <x v="0"/>
    <x v="0"/>
    <x v="0"/>
    <x v="0"/>
    <x v="0"/>
    <x v="9"/>
    <n v="0"/>
    <n v="0"/>
    <n v="258.25200000000001"/>
    <n v="258.25200000000001"/>
    <n v="258.25200000000001"/>
    <n v="258.25200000000001"/>
    <n v="0"/>
    <x v="0"/>
    <n v="0"/>
    <n v="0"/>
    <n v="17"/>
    <n v="66"/>
    <n v="0"/>
    <n v="84.99"/>
    <n v="242.77"/>
    <m/>
    <n v="146.90220900317223"/>
    <n v="227.53897547400734"/>
    <n v="0"/>
    <n v="21948.837479999998"/>
    <n v="62695.838040000002"/>
    <n v="0"/>
    <n v="37937.789279487239"/>
    <n v="58762.395494113349"/>
  </r>
  <r>
    <s v="Sistema de Compensação"/>
    <x v="1"/>
    <x v="2"/>
    <x v="0"/>
    <x v="0"/>
    <x v="0"/>
    <x v="0"/>
    <x v="0"/>
    <x v="9"/>
    <n v="0"/>
    <n v="0"/>
    <n v="33.741"/>
    <n v="33.741"/>
    <n v="33.741"/>
    <n v="33.741"/>
    <n v="0"/>
    <x v="0"/>
    <n v="0"/>
    <n v="0"/>
    <n v="17"/>
    <n v="66"/>
    <n v="0"/>
    <n v="84.99"/>
    <n v="242.77"/>
    <m/>
    <n v="146.90220900317223"/>
    <n v="227.53897547400734"/>
    <n v="0"/>
    <n v="2867.6475899999996"/>
    <n v="8191.3025699999998"/>
    <n v="0"/>
    <n v="4956.6274339760339"/>
    <n v="7677.3925714684819"/>
  </r>
  <r>
    <s v="Regular"/>
    <x v="1"/>
    <x v="2"/>
    <x v="0"/>
    <x v="0"/>
    <x v="0"/>
    <x v="0"/>
    <x v="0"/>
    <x v="1"/>
    <n v="0"/>
    <n v="0"/>
    <n v="240.71"/>
    <n v="240.71"/>
    <n v="240.71"/>
    <n v="240.71"/>
    <n v="0"/>
    <x v="0"/>
    <n v="0"/>
    <n v="0"/>
    <n v="17"/>
    <n v="66"/>
    <n v="0"/>
    <n v="84.99"/>
    <n v="242.77"/>
    <m/>
    <n v="146.90220900317223"/>
    <n v="227.53897547400734"/>
    <n v="0"/>
    <n v="20457.942899999998"/>
    <n v="58437.166700000002"/>
    <n v="0"/>
    <n v="35360.830729153589"/>
    <n v="54770.906786348307"/>
  </r>
  <r>
    <s v="Sistema de Compensação"/>
    <x v="1"/>
    <x v="2"/>
    <x v="0"/>
    <x v="0"/>
    <x v="0"/>
    <x v="0"/>
    <x v="0"/>
    <x v="1"/>
    <n v="0"/>
    <n v="0"/>
    <n v="34.392000000000003"/>
    <n v="34.392000000000003"/>
    <n v="34.392000000000003"/>
    <n v="34.392000000000003"/>
    <n v="0"/>
    <x v="0"/>
    <n v="0"/>
    <n v="0"/>
    <n v="17"/>
    <n v="66"/>
    <n v="0"/>
    <n v="84.99"/>
    <n v="242.77"/>
    <m/>
    <n v="146.90220900317223"/>
    <n v="227.53897547400734"/>
    <n v="0"/>
    <n v="2922.9760799999999"/>
    <n v="8349.3458400000018"/>
    <n v="0"/>
    <n v="5052.2607720370997"/>
    <n v="7825.5204445020609"/>
  </r>
  <r>
    <s v="Regular"/>
    <x v="1"/>
    <x v="2"/>
    <x v="0"/>
    <x v="0"/>
    <x v="0"/>
    <x v="0"/>
    <x v="0"/>
    <x v="2"/>
    <n v="0"/>
    <n v="0"/>
    <n v="200.34700000000001"/>
    <n v="200.34700000000001"/>
    <n v="200.34700000000001"/>
    <n v="200.34700000000001"/>
    <n v="0"/>
    <x v="0"/>
    <n v="0"/>
    <n v="0"/>
    <n v="17"/>
    <n v="66"/>
    <n v="0"/>
    <n v="84.99"/>
    <n v="242.77"/>
    <m/>
    <n v="146.90220900317223"/>
    <n v="227.53897547400734"/>
    <n v="0"/>
    <n v="17027.491529999999"/>
    <n v="48638.241190000001"/>
    <n v="0"/>
    <n v="29431.416867158547"/>
    <n v="45586.751119290951"/>
  </r>
  <r>
    <s v="Sistema de Compensação"/>
    <x v="1"/>
    <x v="2"/>
    <x v="0"/>
    <x v="0"/>
    <x v="0"/>
    <x v="0"/>
    <x v="0"/>
    <x v="2"/>
    <n v="0"/>
    <n v="0"/>
    <n v="33.978999999999999"/>
    <n v="33.978999999999999"/>
    <n v="33.978999999999999"/>
    <n v="33.978999999999999"/>
    <n v="0"/>
    <x v="0"/>
    <n v="0"/>
    <n v="0"/>
    <n v="17"/>
    <n v="66"/>
    <n v="0"/>
    <n v="84.99"/>
    <n v="242.77"/>
    <m/>
    <n v="146.90220900317223"/>
    <n v="227.53897547400734"/>
    <n v="0"/>
    <n v="2887.8752099999997"/>
    <n v="8249.081830000001"/>
    <n v="0"/>
    <n v="4991.5901597187894"/>
    <n v="7731.5468476312953"/>
  </r>
  <r>
    <s v="Regular"/>
    <x v="1"/>
    <x v="2"/>
    <x v="0"/>
    <x v="0"/>
    <x v="0"/>
    <x v="0"/>
    <x v="0"/>
    <x v="3"/>
    <n v="0"/>
    <n v="0"/>
    <n v="238.97200000000001"/>
    <n v="238.97200000000001"/>
    <n v="238.97200000000001"/>
    <n v="238.97200000000001"/>
    <n v="0"/>
    <x v="0"/>
    <n v="0"/>
    <n v="0"/>
    <n v="17"/>
    <n v="66"/>
    <n v="0"/>
    <n v="84.99"/>
    <n v="242.77"/>
    <m/>
    <n v="146.90220900317223"/>
    <n v="227.53897547400734"/>
    <n v="0"/>
    <n v="20310.23028"/>
    <n v="58015.232440000007"/>
    <n v="0"/>
    <n v="35105.514689906078"/>
    <n v="54375.444046974488"/>
  </r>
  <r>
    <s v="Sistema de Compensação"/>
    <x v="1"/>
    <x v="2"/>
    <x v="0"/>
    <x v="0"/>
    <x v="0"/>
    <x v="0"/>
    <x v="0"/>
    <x v="3"/>
    <n v="0"/>
    <n v="0"/>
    <n v="29.895"/>
    <n v="29.895"/>
    <n v="29.895"/>
    <n v="29.895"/>
    <n v="0"/>
    <x v="0"/>
    <n v="0"/>
    <n v="0"/>
    <n v="17"/>
    <n v="66"/>
    <n v="0"/>
    <n v="84.99"/>
    <n v="242.77"/>
    <m/>
    <n v="146.90220900317223"/>
    <n v="227.53897547400734"/>
    <n v="0"/>
    <n v="2540.7760499999999"/>
    <n v="7257.6091500000002"/>
    <n v="0"/>
    <n v="4391.6415381498337"/>
    <n v="6802.2776717954494"/>
  </r>
  <r>
    <s v="Regular"/>
    <x v="1"/>
    <x v="2"/>
    <x v="0"/>
    <x v="0"/>
    <x v="0"/>
    <x v="0"/>
    <x v="0"/>
    <x v="10"/>
    <n v="0"/>
    <n v="0"/>
    <n v="266.291"/>
    <n v="266.291"/>
    <n v="266.291"/>
    <n v="266.291"/>
    <n v="0"/>
    <x v="0"/>
    <n v="0"/>
    <n v="0"/>
    <n v="17"/>
    <n v="66"/>
    <n v="0"/>
    <n v="84.99"/>
    <n v="242.77"/>
    <m/>
    <n v="146.90220900317223"/>
    <n v="227.53897547400734"/>
    <n v="0"/>
    <n v="22632.072089999998"/>
    <n v="64647.466070000002"/>
    <n v="0"/>
    <n v="39118.736137663735"/>
    <n v="60591.581317948891"/>
  </r>
  <r>
    <s v="Sistema de Compensação"/>
    <x v="1"/>
    <x v="2"/>
    <x v="0"/>
    <x v="0"/>
    <x v="0"/>
    <x v="0"/>
    <x v="0"/>
    <x v="10"/>
    <n v="0"/>
    <n v="0"/>
    <n v="35.994999999999997"/>
    <n v="35.994999999999997"/>
    <n v="35.994999999999997"/>
    <n v="35.994999999999997"/>
    <n v="0"/>
    <x v="0"/>
    <n v="0"/>
    <n v="0"/>
    <n v="17"/>
    <n v="66"/>
    <n v="0"/>
    <n v="84.99"/>
    <n v="242.77"/>
    <m/>
    <n v="146.90220900317223"/>
    <n v="227.53897547400734"/>
    <n v="0"/>
    <n v="3059.2150499999998"/>
    <n v="8738.5061499999993"/>
    <n v="0"/>
    <n v="5287.7450130691841"/>
    <n v="8190.2654221868934"/>
  </r>
  <r>
    <s v="PROJETADO"/>
    <x v="1"/>
    <x v="2"/>
    <x v="0"/>
    <x v="0"/>
    <x v="0"/>
    <x v="0"/>
    <x v="0"/>
    <x v="11"/>
    <n v="0"/>
    <n v="0"/>
    <n v="266.291"/>
    <n v="266.291"/>
    <n v="266.291"/>
    <n v="266.291"/>
    <n v="0"/>
    <x v="0"/>
    <n v="0"/>
    <n v="0"/>
    <n v="17"/>
    <n v="66"/>
    <n v="0"/>
    <n v="84.99"/>
    <n v="242.77"/>
    <m/>
    <n v="146.90220900317223"/>
    <n v="227.53897547400734"/>
    <n v="0"/>
    <n v="22632.072089999998"/>
    <n v="64647.466070000002"/>
    <n v="0"/>
    <n v="39118.736137663735"/>
    <n v="60591.581317948891"/>
  </r>
  <r>
    <s v="PROJETADO"/>
    <x v="1"/>
    <x v="2"/>
    <x v="0"/>
    <x v="0"/>
    <x v="0"/>
    <x v="0"/>
    <x v="0"/>
    <x v="11"/>
    <n v="0"/>
    <n v="0"/>
    <n v="35.994999999999997"/>
    <n v="35.994999999999997"/>
    <n v="35.994999999999997"/>
    <n v="35.994999999999997"/>
    <n v="0"/>
    <x v="0"/>
    <n v="0"/>
    <n v="0"/>
    <n v="17"/>
    <n v="66"/>
    <n v="0"/>
    <n v="84.99"/>
    <n v="242.77"/>
    <m/>
    <n v="146.90220900317223"/>
    <n v="227.53897547400734"/>
    <n v="0"/>
    <n v="3059.2150499999998"/>
    <n v="8738.5061499999993"/>
    <n v="0"/>
    <n v="5287.7450130691841"/>
    <n v="8190.2654221868934"/>
  </r>
  <r>
    <s v="Regular"/>
    <x v="1"/>
    <x v="2"/>
    <x v="0"/>
    <x v="0"/>
    <x v="0"/>
    <x v="0"/>
    <x v="2"/>
    <x v="4"/>
    <n v="1522"/>
    <n v="1522"/>
    <n v="0"/>
    <n v="0"/>
    <n v="0"/>
    <n v="0"/>
    <n v="20"/>
    <x v="0"/>
    <n v="0"/>
    <n v="13"/>
    <n v="0"/>
    <n v="0"/>
    <n v="18.920000000000002"/>
    <n v="0"/>
    <n v="0"/>
    <n v="32.579678842359165"/>
    <m/>
    <m/>
    <n v="28796.240000000002"/>
    <n v="0"/>
    <n v="0"/>
    <n v="49551.670696909961"/>
    <n v="0"/>
    <n v="0"/>
  </r>
  <r>
    <s v="Sistema de Compensação"/>
    <x v="1"/>
    <x v="2"/>
    <x v="0"/>
    <x v="0"/>
    <x v="0"/>
    <x v="0"/>
    <x v="2"/>
    <x v="4"/>
    <n v="507"/>
    <n v="507"/>
    <n v="0"/>
    <n v="0"/>
    <n v="0"/>
    <n v="0"/>
    <n v="4"/>
    <x v="0"/>
    <n v="0"/>
    <n v="13"/>
    <n v="0"/>
    <n v="0"/>
    <n v="18.920000000000002"/>
    <n v="0"/>
    <n v="0"/>
    <n v="32.579678842359165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5"/>
    <n v="1520"/>
    <n v="1520"/>
    <n v="0"/>
    <n v="0"/>
    <n v="0"/>
    <n v="0"/>
    <n v="20"/>
    <x v="0"/>
    <n v="0"/>
    <n v="13"/>
    <n v="0"/>
    <n v="0"/>
    <n v="18.920000000000002"/>
    <n v="0"/>
    <n v="0"/>
    <n v="32.579678842359165"/>
    <m/>
    <m/>
    <n v="28758.400000000001"/>
    <n v="0"/>
    <n v="0"/>
    <n v="49486.556806375258"/>
    <n v="0"/>
    <n v="0"/>
  </r>
  <r>
    <s v="Sistema de Compensação"/>
    <x v="1"/>
    <x v="2"/>
    <x v="0"/>
    <x v="0"/>
    <x v="0"/>
    <x v="0"/>
    <x v="2"/>
    <x v="5"/>
    <n v="507"/>
    <n v="507"/>
    <n v="0"/>
    <n v="0"/>
    <n v="0"/>
    <n v="0"/>
    <n v="4"/>
    <x v="0"/>
    <n v="0"/>
    <n v="13"/>
    <n v="0"/>
    <n v="0"/>
    <n v="18.920000000000002"/>
    <n v="0"/>
    <n v="0"/>
    <n v="32.579678842359165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0"/>
    <n v="1983"/>
    <n v="1983"/>
    <n v="0"/>
    <n v="0"/>
    <n v="0"/>
    <n v="0"/>
    <n v="27"/>
    <x v="0"/>
    <n v="0"/>
    <n v="13"/>
    <n v="0"/>
    <n v="0"/>
    <n v="18.920000000000002"/>
    <n v="0"/>
    <n v="0"/>
    <n v="32.579678842359165"/>
    <m/>
    <m/>
    <n v="37518.36"/>
    <n v="0"/>
    <n v="0"/>
    <n v="64560.422465159296"/>
    <n v="0"/>
    <n v="0"/>
  </r>
  <r>
    <s v="Sistema de Compensação"/>
    <x v="1"/>
    <x v="2"/>
    <x v="0"/>
    <x v="0"/>
    <x v="0"/>
    <x v="0"/>
    <x v="2"/>
    <x v="0"/>
    <n v="507"/>
    <n v="507"/>
    <n v="0"/>
    <n v="0"/>
    <n v="0"/>
    <n v="0"/>
    <n v="4"/>
    <x v="0"/>
    <n v="0"/>
    <n v="13"/>
    <n v="0"/>
    <n v="0"/>
    <n v="18.920000000000002"/>
    <n v="0"/>
    <n v="0"/>
    <n v="32.579678842359165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6"/>
    <n v="1701"/>
    <n v="1701"/>
    <n v="0"/>
    <n v="0"/>
    <n v="0"/>
    <n v="0"/>
    <n v="23"/>
    <x v="0"/>
    <n v="0"/>
    <n v="13"/>
    <n v="0"/>
    <n v="0"/>
    <n v="18.920000000000002"/>
    <n v="0"/>
    <n v="0"/>
    <n v="32.579678842359165"/>
    <m/>
    <m/>
    <n v="32182.920000000002"/>
    <n v="0"/>
    <n v="0"/>
    <n v="55379.363899765995"/>
    <n v="0"/>
    <n v="0"/>
  </r>
  <r>
    <s v="Sistema de Compensação"/>
    <x v="1"/>
    <x v="2"/>
    <x v="0"/>
    <x v="0"/>
    <x v="0"/>
    <x v="0"/>
    <x v="2"/>
    <x v="6"/>
    <n v="507"/>
    <n v="507"/>
    <n v="0"/>
    <n v="0"/>
    <n v="0"/>
    <n v="0"/>
    <n v="4"/>
    <x v="0"/>
    <n v="0"/>
    <n v="13"/>
    <n v="0"/>
    <n v="0"/>
    <n v="18.920000000000002"/>
    <n v="0"/>
    <n v="0"/>
    <n v="32.579678842359165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7"/>
    <n v="1705"/>
    <n v="1705"/>
    <n v="0"/>
    <n v="0"/>
    <n v="0"/>
    <n v="0"/>
    <n v="23"/>
    <x v="0"/>
    <n v="0"/>
    <n v="13"/>
    <n v="0"/>
    <n v="0"/>
    <n v="18.920000000000002"/>
    <n v="0"/>
    <n v="0"/>
    <n v="32.579678842359165"/>
    <m/>
    <m/>
    <n v="32258.600000000002"/>
    <n v="0"/>
    <n v="0"/>
    <n v="55509.591680835401"/>
    <n v="0"/>
    <n v="0"/>
  </r>
  <r>
    <s v="Sistema de Compensação"/>
    <x v="1"/>
    <x v="2"/>
    <x v="0"/>
    <x v="0"/>
    <x v="0"/>
    <x v="0"/>
    <x v="2"/>
    <x v="7"/>
    <n v="507"/>
    <n v="507"/>
    <n v="0"/>
    <n v="0"/>
    <n v="0"/>
    <n v="0"/>
    <n v="4"/>
    <x v="0"/>
    <n v="0"/>
    <n v="13"/>
    <n v="0"/>
    <n v="0"/>
    <n v="18.920000000000002"/>
    <n v="0"/>
    <n v="0"/>
    <n v="32.579678842359165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8"/>
    <n v="1750"/>
    <n v="1750"/>
    <n v="0"/>
    <n v="0"/>
    <n v="0"/>
    <n v="0"/>
    <n v="23"/>
    <x v="0"/>
    <n v="0"/>
    <n v="13"/>
    <n v="0"/>
    <n v="0"/>
    <n v="18.920000000000002"/>
    <n v="0"/>
    <n v="0"/>
    <n v="32.579678842359165"/>
    <m/>
    <m/>
    <n v="33110"/>
    <n v="0"/>
    <n v="0"/>
    <n v="56974.654217866249"/>
    <n v="0"/>
    <n v="0"/>
  </r>
  <r>
    <s v="Sistema de Compensação"/>
    <x v="1"/>
    <x v="2"/>
    <x v="0"/>
    <x v="0"/>
    <x v="0"/>
    <x v="0"/>
    <x v="2"/>
    <x v="8"/>
    <n v="522"/>
    <n v="522"/>
    <n v="0"/>
    <n v="0"/>
    <n v="0"/>
    <n v="0"/>
    <n v="4"/>
    <x v="0"/>
    <n v="0"/>
    <n v="13"/>
    <n v="0"/>
    <n v="0"/>
    <n v="18.920000000000002"/>
    <n v="0"/>
    <n v="0"/>
    <n v="32.579678842359165"/>
    <m/>
    <m/>
    <n v="9876.2400000000016"/>
    <n v="0"/>
    <n v="0"/>
    <n v="16994.725429557817"/>
    <n v="0"/>
    <n v="0"/>
  </r>
  <r>
    <s v="Regular"/>
    <x v="1"/>
    <x v="2"/>
    <x v="0"/>
    <x v="0"/>
    <x v="0"/>
    <x v="0"/>
    <x v="2"/>
    <x v="9"/>
    <n v="1819"/>
    <n v="1819"/>
    <n v="0"/>
    <n v="0"/>
    <n v="0"/>
    <n v="0"/>
    <n v="23"/>
    <x v="0"/>
    <n v="0"/>
    <n v="13"/>
    <n v="0"/>
    <n v="0"/>
    <n v="18.920000000000002"/>
    <n v="0"/>
    <n v="0"/>
    <n v="32.579678842359165"/>
    <m/>
    <m/>
    <n v="34415.480000000003"/>
    <n v="0"/>
    <n v="0"/>
    <n v="59221.083441313545"/>
    <n v="0"/>
    <n v="0"/>
  </r>
  <r>
    <s v="Sistema de Compensação"/>
    <x v="1"/>
    <x v="2"/>
    <x v="0"/>
    <x v="0"/>
    <x v="0"/>
    <x v="0"/>
    <x v="2"/>
    <x v="9"/>
    <n v="507"/>
    <n v="507"/>
    <n v="0"/>
    <n v="0"/>
    <n v="0"/>
    <n v="0"/>
    <n v="4"/>
    <x v="0"/>
    <n v="0"/>
    <n v="13"/>
    <n v="0"/>
    <n v="0"/>
    <n v="18.920000000000002"/>
    <n v="0"/>
    <n v="0"/>
    <n v="32.579678842359165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1"/>
    <n v="1811"/>
    <n v="1811"/>
    <n v="0"/>
    <n v="0"/>
    <n v="0"/>
    <n v="0"/>
    <n v="23"/>
    <x v="0"/>
    <n v="0"/>
    <n v="13"/>
    <n v="0"/>
    <n v="0"/>
    <n v="18.920000000000002"/>
    <n v="0"/>
    <n v="0"/>
    <n v="32.579678842359165"/>
    <m/>
    <m/>
    <n v="34264.120000000003"/>
    <n v="0"/>
    <n v="0"/>
    <n v="58960.627879174725"/>
    <n v="0"/>
    <n v="0"/>
  </r>
  <r>
    <s v="Sistema de Compensação"/>
    <x v="1"/>
    <x v="2"/>
    <x v="0"/>
    <x v="0"/>
    <x v="0"/>
    <x v="0"/>
    <x v="2"/>
    <x v="1"/>
    <n v="507"/>
    <n v="507"/>
    <n v="0"/>
    <n v="0"/>
    <n v="0"/>
    <n v="0"/>
    <n v="4"/>
    <x v="0"/>
    <n v="0"/>
    <n v="13"/>
    <n v="0"/>
    <n v="0"/>
    <n v="18.920000000000002"/>
    <n v="0"/>
    <n v="0"/>
    <n v="32.579678842359165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2"/>
    <n v="1647"/>
    <n v="1647"/>
    <n v="0"/>
    <n v="0"/>
    <n v="0"/>
    <n v="0"/>
    <n v="22"/>
    <x v="0"/>
    <n v="0"/>
    <n v="13"/>
    <n v="0"/>
    <n v="0"/>
    <n v="18.920000000000002"/>
    <n v="0"/>
    <n v="0"/>
    <n v="32.579678842359165"/>
    <m/>
    <m/>
    <n v="31161.24"/>
    <n v="0"/>
    <n v="0"/>
    <n v="53621.288855328974"/>
    <n v="0"/>
    <n v="0"/>
  </r>
  <r>
    <s v="Sistema de Compensação"/>
    <x v="1"/>
    <x v="2"/>
    <x v="0"/>
    <x v="0"/>
    <x v="0"/>
    <x v="0"/>
    <x v="2"/>
    <x v="2"/>
    <n v="507"/>
    <n v="507"/>
    <n v="0"/>
    <n v="0"/>
    <n v="0"/>
    <n v="0"/>
    <n v="4"/>
    <x v="0"/>
    <n v="0"/>
    <n v="13"/>
    <n v="0"/>
    <n v="0"/>
    <n v="18.920000000000002"/>
    <n v="0"/>
    <n v="0"/>
    <n v="32.579678842359165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3"/>
    <n v="1665"/>
    <n v="1665"/>
    <n v="0"/>
    <n v="0"/>
    <n v="0"/>
    <n v="0"/>
    <n v="22"/>
    <x v="0"/>
    <n v="0"/>
    <n v="13"/>
    <n v="0"/>
    <n v="0"/>
    <n v="18.920000000000002"/>
    <n v="0"/>
    <n v="0"/>
    <n v="32.579678842359165"/>
    <m/>
    <m/>
    <n v="31501.800000000003"/>
    <n v="0"/>
    <n v="0"/>
    <n v="54207.313870141312"/>
    <n v="0"/>
    <n v="0"/>
  </r>
  <r>
    <s v="Sistema de Compensação"/>
    <x v="1"/>
    <x v="2"/>
    <x v="0"/>
    <x v="0"/>
    <x v="0"/>
    <x v="0"/>
    <x v="2"/>
    <x v="3"/>
    <n v="507"/>
    <n v="507"/>
    <n v="0"/>
    <n v="0"/>
    <n v="0"/>
    <n v="0"/>
    <n v="4"/>
    <x v="0"/>
    <n v="0"/>
    <n v="13"/>
    <n v="0"/>
    <n v="0"/>
    <n v="18.920000000000002"/>
    <n v="0"/>
    <n v="0"/>
    <n v="32.579678842359165"/>
    <m/>
    <m/>
    <n v="9592.44"/>
    <n v="0"/>
    <n v="0"/>
    <n v="16506.371250547534"/>
    <n v="0"/>
    <n v="0"/>
  </r>
  <r>
    <s v="Regular"/>
    <x v="1"/>
    <x v="2"/>
    <x v="0"/>
    <x v="0"/>
    <x v="0"/>
    <x v="0"/>
    <x v="2"/>
    <x v="10"/>
    <n v="1708"/>
    <n v="1708"/>
    <n v="0"/>
    <n v="0"/>
    <n v="0"/>
    <n v="0"/>
    <n v="22"/>
    <x v="0"/>
    <n v="0"/>
    <n v="13"/>
    <n v="0"/>
    <n v="0"/>
    <n v="18.920000000000002"/>
    <n v="0"/>
    <n v="0"/>
    <n v="32.579678842359165"/>
    <m/>
    <m/>
    <n v="32315.360000000004"/>
    <n v="0"/>
    <n v="0"/>
    <n v="55607.262516637456"/>
    <n v="0"/>
    <n v="0"/>
  </r>
  <r>
    <s v="Sistema de Compensação"/>
    <x v="1"/>
    <x v="2"/>
    <x v="0"/>
    <x v="0"/>
    <x v="0"/>
    <x v="0"/>
    <x v="2"/>
    <x v="10"/>
    <n v="507"/>
    <n v="507"/>
    <n v="0"/>
    <n v="0"/>
    <n v="0"/>
    <n v="0"/>
    <n v="4"/>
    <x v="0"/>
    <n v="0"/>
    <n v="13"/>
    <n v="0"/>
    <n v="0"/>
    <n v="18.920000000000002"/>
    <n v="0"/>
    <n v="0"/>
    <n v="32.579678842359165"/>
    <m/>
    <m/>
    <n v="9592.44"/>
    <n v="0"/>
    <n v="0"/>
    <n v="16506.371250547534"/>
    <n v="0"/>
    <n v="0"/>
  </r>
  <r>
    <s v="PROJETADO"/>
    <x v="1"/>
    <x v="2"/>
    <x v="0"/>
    <x v="0"/>
    <x v="0"/>
    <x v="0"/>
    <x v="2"/>
    <x v="11"/>
    <n v="1708"/>
    <n v="1708"/>
    <n v="0"/>
    <n v="0"/>
    <n v="0"/>
    <n v="0"/>
    <n v="22"/>
    <x v="0"/>
    <n v="0"/>
    <n v="13"/>
    <n v="0"/>
    <n v="0"/>
    <n v="18.920000000000002"/>
    <n v="0"/>
    <n v="0"/>
    <n v="32.579678842359165"/>
    <m/>
    <m/>
    <n v="32315.360000000004"/>
    <n v="0"/>
    <n v="0"/>
    <n v="55607.262516637456"/>
    <n v="0"/>
    <n v="0"/>
  </r>
  <r>
    <s v="PROJETADO"/>
    <x v="1"/>
    <x v="2"/>
    <x v="0"/>
    <x v="0"/>
    <x v="0"/>
    <x v="0"/>
    <x v="2"/>
    <x v="11"/>
    <n v="507"/>
    <n v="507"/>
    <n v="0"/>
    <n v="0"/>
    <n v="0"/>
    <n v="0"/>
    <n v="4"/>
    <x v="0"/>
    <n v="0"/>
    <n v="13"/>
    <n v="0"/>
    <n v="0"/>
    <n v="18.920000000000002"/>
    <n v="0"/>
    <n v="0"/>
    <n v="32.579678842359165"/>
    <m/>
    <m/>
    <n v="9592.44"/>
    <n v="0"/>
    <n v="0"/>
    <n v="16506.371250547534"/>
    <n v="0"/>
    <n v="0"/>
  </r>
  <r>
    <s v="Regular"/>
    <x v="1"/>
    <x v="2"/>
    <x v="0"/>
    <x v="0"/>
    <x v="0"/>
    <x v="0"/>
    <x v="1"/>
    <x v="4"/>
    <n v="0"/>
    <n v="0"/>
    <n v="26.192"/>
    <n v="26.192"/>
    <n v="26.192"/>
    <n v="26.192"/>
    <n v="0"/>
    <x v="0"/>
    <n v="0"/>
    <n v="0"/>
    <n v="15"/>
    <n v="65"/>
    <n v="0"/>
    <n v="1195.82"/>
    <n v="391.54"/>
    <m/>
    <n v="2052.0522166669912"/>
    <n v="364.92243737572466"/>
    <n v="0"/>
    <n v="31320.917439999997"/>
    <n v="10255.215680000001"/>
    <n v="0"/>
    <n v="53722.944445106274"/>
    <n v="9558.0484797449808"/>
  </r>
  <r>
    <s v="Sistema de Compensação"/>
    <x v="1"/>
    <x v="2"/>
    <x v="0"/>
    <x v="0"/>
    <x v="0"/>
    <x v="0"/>
    <x v="1"/>
    <x v="4"/>
    <n v="0"/>
    <n v="0"/>
    <n v="7.835"/>
    <n v="7.835"/>
    <n v="7.835"/>
    <n v="7.835"/>
    <n v="0"/>
    <x v="0"/>
    <n v="0"/>
    <n v="0"/>
    <n v="15"/>
    <n v="65"/>
    <n v="0"/>
    <n v="1195.82"/>
    <n v="391.54"/>
    <m/>
    <n v="2052.0522166669912"/>
    <n v="364.92243737572466"/>
    <n v="0"/>
    <n v="9369.2497000000003"/>
    <n v="3067.7159000000001"/>
    <n v="0"/>
    <n v="16070.528013416602"/>
    <n v="2859.1672968388025"/>
  </r>
  <r>
    <s v="Regular"/>
    <x v="1"/>
    <x v="2"/>
    <x v="0"/>
    <x v="0"/>
    <x v="0"/>
    <x v="0"/>
    <x v="1"/>
    <x v="5"/>
    <n v="0"/>
    <n v="0"/>
    <n v="25.745999999999999"/>
    <n v="25.745999999999999"/>
    <n v="25.745999999999999"/>
    <n v="25.745999999999999"/>
    <n v="0"/>
    <x v="0"/>
    <n v="0"/>
    <n v="0"/>
    <n v="15"/>
    <n v="65"/>
    <n v="0"/>
    <n v="1195.82"/>
    <n v="391.54"/>
    <m/>
    <n v="2052.0522166669912"/>
    <n v="364.92243737572466"/>
    <n v="0"/>
    <n v="30787.581719999998"/>
    <n v="10080.58884"/>
    <n v="0"/>
    <n v="52808.144764955177"/>
    <n v="9395.2930726754057"/>
  </r>
  <r>
    <s v="Sistema de Compensação"/>
    <x v="1"/>
    <x v="2"/>
    <x v="0"/>
    <x v="0"/>
    <x v="0"/>
    <x v="0"/>
    <x v="1"/>
    <x v="5"/>
    <n v="0"/>
    <n v="0"/>
    <n v="7.01"/>
    <n v="7.01"/>
    <n v="7.01"/>
    <n v="7.01"/>
    <n v="0"/>
    <x v="0"/>
    <n v="0"/>
    <n v="0"/>
    <n v="15"/>
    <n v="65"/>
    <n v="0"/>
    <n v="1195.82"/>
    <n v="391.54"/>
    <m/>
    <n v="2052.0522166669912"/>
    <n v="364.92243737572466"/>
    <n v="0"/>
    <n v="8382.6981999999989"/>
    <n v="2744.6954000000001"/>
    <n v="0"/>
    <n v="14378.353717172989"/>
    <n v="2558.1062860038296"/>
  </r>
  <r>
    <s v="Regular"/>
    <x v="1"/>
    <x v="2"/>
    <x v="0"/>
    <x v="0"/>
    <x v="0"/>
    <x v="0"/>
    <x v="1"/>
    <x v="0"/>
    <n v="0"/>
    <n v="0"/>
    <n v="21.728000000000002"/>
    <n v="21.728000000000002"/>
    <n v="21.728000000000002"/>
    <n v="21.728000000000002"/>
    <n v="0"/>
    <x v="0"/>
    <n v="0"/>
    <n v="0"/>
    <n v="15"/>
    <n v="65"/>
    <n v="0"/>
    <n v="1195.82"/>
    <n v="391.54"/>
    <m/>
    <n v="2052.0522166669912"/>
    <n v="364.92243737572466"/>
    <n v="0"/>
    <n v="25982.776959999999"/>
    <n v="8507.3811200000018"/>
    <n v="0"/>
    <n v="44566.743162159022"/>
    <n v="7929.034719299746"/>
  </r>
  <r>
    <s v="Sistema de Compensação"/>
    <x v="1"/>
    <x v="2"/>
    <x v="0"/>
    <x v="0"/>
    <x v="0"/>
    <x v="0"/>
    <x v="1"/>
    <x v="0"/>
    <n v="0"/>
    <n v="0"/>
    <n v="7.5380000000000003"/>
    <n v="7.5380000000000003"/>
    <n v="7.5380000000000003"/>
    <n v="7.5380000000000003"/>
    <n v="0"/>
    <x v="0"/>
    <n v="0"/>
    <n v="0"/>
    <n v="15"/>
    <n v="65"/>
    <n v="0"/>
    <n v="1195.82"/>
    <n v="391.54"/>
    <m/>
    <n v="2052.0522166669912"/>
    <n v="364.92243737572466"/>
    <n v="0"/>
    <n v="9014.0911599999999"/>
    <n v="2951.4285200000004"/>
    <n v="0"/>
    <n v="15461.345266768903"/>
    <n v="2750.7853329382124"/>
  </r>
  <r>
    <s v="Regular"/>
    <x v="1"/>
    <x v="2"/>
    <x v="0"/>
    <x v="0"/>
    <x v="0"/>
    <x v="0"/>
    <x v="1"/>
    <x v="6"/>
    <n v="0"/>
    <n v="0"/>
    <n v="26.103999999999999"/>
    <n v="26.103999999999999"/>
    <n v="26.103999999999999"/>
    <n v="26.103999999999999"/>
    <n v="0"/>
    <x v="0"/>
    <n v="0"/>
    <n v="0"/>
    <n v="15"/>
    <n v="65"/>
    <n v="0"/>
    <n v="1195.82"/>
    <n v="391.54"/>
    <m/>
    <n v="2052.0522166669912"/>
    <n v="364.92243737572466"/>
    <n v="0"/>
    <n v="31215.685279999998"/>
    <n v="10220.76016"/>
    <n v="0"/>
    <n v="53542.44585350695"/>
    <n v="9525.9353052559163"/>
  </r>
  <r>
    <s v="Sistema de Compensação"/>
    <x v="1"/>
    <x v="2"/>
    <x v="0"/>
    <x v="0"/>
    <x v="0"/>
    <x v="0"/>
    <x v="1"/>
    <x v="6"/>
    <n v="0"/>
    <n v="0"/>
    <n v="6.7990000000000004"/>
    <n v="6.7990000000000004"/>
    <n v="6.7990000000000004"/>
    <n v="6.7990000000000004"/>
    <n v="0"/>
    <x v="0"/>
    <n v="0"/>
    <n v="0"/>
    <n v="15"/>
    <n v="65"/>
    <n v="0"/>
    <n v="1195.82"/>
    <n v="391.54"/>
    <m/>
    <n v="2052.0522166669912"/>
    <n v="364.92243737572466"/>
    <n v="0"/>
    <n v="8130.3801800000001"/>
    <n v="2662.0804600000001"/>
    <n v="0"/>
    <n v="13945.567321406443"/>
    <n v="2481.107651717552"/>
  </r>
  <r>
    <s v="Regular"/>
    <x v="1"/>
    <x v="2"/>
    <x v="0"/>
    <x v="0"/>
    <x v="0"/>
    <x v="0"/>
    <x v="1"/>
    <x v="7"/>
    <n v="0"/>
    <n v="0"/>
    <n v="35.015000000000001"/>
    <n v="35.015000000000001"/>
    <n v="35.015000000000001"/>
    <n v="35.015000000000001"/>
    <n v="0"/>
    <x v="0"/>
    <n v="0"/>
    <n v="0"/>
    <n v="15"/>
    <n v="65"/>
    <n v="0"/>
    <n v="1195.82"/>
    <n v="391.54"/>
    <m/>
    <n v="2052.0522166669912"/>
    <n v="364.92243737572466"/>
    <n v="0"/>
    <n v="41871.637299999995"/>
    <n v="13709.7731"/>
    <n v="0"/>
    <n v="71819.979373297043"/>
    <n v="12777.759144710999"/>
  </r>
  <r>
    <s v="Sistema de Compensação"/>
    <x v="1"/>
    <x v="2"/>
    <x v="0"/>
    <x v="0"/>
    <x v="0"/>
    <x v="0"/>
    <x v="1"/>
    <x v="7"/>
    <n v="0"/>
    <n v="0"/>
    <n v="10.304"/>
    <n v="10.304"/>
    <n v="10.304"/>
    <n v="10.304"/>
    <n v="0"/>
    <x v="0"/>
    <n v="0"/>
    <n v="0"/>
    <n v="15"/>
    <n v="65"/>
    <n v="0"/>
    <n v="1195.82"/>
    <n v="391.54"/>
    <m/>
    <n v="2052.0522166669912"/>
    <n v="364.92243737572466"/>
    <n v="0"/>
    <n v="12321.72928"/>
    <n v="4034.4281600000004"/>
    <n v="0"/>
    <n v="21134.74417999294"/>
    <n v="3760.160794719467"/>
  </r>
  <r>
    <s v="Regular"/>
    <x v="1"/>
    <x v="2"/>
    <x v="0"/>
    <x v="0"/>
    <x v="0"/>
    <x v="0"/>
    <x v="1"/>
    <x v="8"/>
    <n v="0"/>
    <n v="0"/>
    <n v="30.991"/>
    <n v="30.991"/>
    <n v="30.991"/>
    <n v="30.991"/>
    <n v="0"/>
    <x v="0"/>
    <n v="0"/>
    <n v="0"/>
    <n v="15"/>
    <n v="65"/>
    <n v="0"/>
    <n v="1195.82"/>
    <n v="391.54"/>
    <m/>
    <n v="2052.0522166669912"/>
    <n v="364.92243737572466"/>
    <n v="0"/>
    <n v="37059.657619999998"/>
    <n v="12134.21614"/>
    <n v="0"/>
    <n v="63566.271048346382"/>
    <n v="11309.311256711082"/>
  </r>
  <r>
    <s v="Sistema de Compensação"/>
    <x v="1"/>
    <x v="2"/>
    <x v="0"/>
    <x v="0"/>
    <x v="0"/>
    <x v="0"/>
    <x v="1"/>
    <x v="8"/>
    <n v="0"/>
    <n v="0"/>
    <n v="8.5730000000000004"/>
    <n v="8.5730000000000004"/>
    <n v="8.5730000000000004"/>
    <n v="8.5730000000000004"/>
    <n v="0"/>
    <x v="0"/>
    <n v="0"/>
    <n v="0"/>
    <n v="15"/>
    <n v="65"/>
    <n v="0"/>
    <n v="1195.82"/>
    <n v="391.54"/>
    <m/>
    <n v="2052.0522166669912"/>
    <n v="364.92243737572466"/>
    <n v="0"/>
    <n v="10251.764859999999"/>
    <n v="3356.6724200000003"/>
    <n v="0"/>
    <n v="17584.25483841998"/>
    <n v="3128.4800556220875"/>
  </r>
  <r>
    <s v="Regular"/>
    <x v="1"/>
    <x v="2"/>
    <x v="0"/>
    <x v="0"/>
    <x v="0"/>
    <x v="0"/>
    <x v="1"/>
    <x v="9"/>
    <n v="0"/>
    <n v="0"/>
    <n v="28.847999999999999"/>
    <n v="28.847999999999999"/>
    <n v="28.847999999999999"/>
    <n v="28.847999999999999"/>
    <n v="0"/>
    <x v="0"/>
    <n v="0"/>
    <n v="0"/>
    <n v="15"/>
    <n v="65"/>
    <n v="0"/>
    <n v="1195.82"/>
    <n v="391.54"/>
    <m/>
    <n v="2052.0522166669912"/>
    <n v="364.92243737572466"/>
    <n v="0"/>
    <n v="34497.015359999998"/>
    <n v="11295.145920000001"/>
    <n v="0"/>
    <n v="59170.720118831159"/>
    <n v="10527.282473414905"/>
  </r>
  <r>
    <s v="Sistema de Compensação"/>
    <x v="1"/>
    <x v="2"/>
    <x v="0"/>
    <x v="0"/>
    <x v="0"/>
    <x v="0"/>
    <x v="1"/>
    <x v="9"/>
    <n v="0"/>
    <n v="0"/>
    <n v="9.3439999999999994"/>
    <n v="9.3439999999999994"/>
    <n v="9.3439999999999994"/>
    <n v="9.3439999999999994"/>
    <n v="0"/>
    <x v="0"/>
    <n v="0"/>
    <n v="0"/>
    <n v="15"/>
    <n v="65"/>
    <n v="0"/>
    <n v="1195.82"/>
    <n v="391.54"/>
    <m/>
    <n v="2052.0522166669912"/>
    <n v="364.92243737572466"/>
    <n v="0"/>
    <n v="11173.742079999998"/>
    <n v="3658.5497599999999"/>
    <n v="0"/>
    <n v="19165.668635273098"/>
    <n v="3409.8352548387711"/>
  </r>
  <r>
    <s v="Regular"/>
    <x v="1"/>
    <x v="2"/>
    <x v="0"/>
    <x v="0"/>
    <x v="0"/>
    <x v="0"/>
    <x v="1"/>
    <x v="1"/>
    <n v="0"/>
    <n v="0"/>
    <n v="26.05"/>
    <n v="26.05"/>
    <n v="26.05"/>
    <n v="26.05"/>
    <n v="0"/>
    <x v="0"/>
    <n v="0"/>
    <n v="0"/>
    <n v="15"/>
    <n v="65"/>
    <n v="0"/>
    <n v="1195.82"/>
    <n v="391.54"/>
    <m/>
    <n v="2052.0522166669912"/>
    <n v="364.92243737572466"/>
    <n v="0"/>
    <n v="31151.111000000001"/>
    <n v="10199.617"/>
    <n v="0"/>
    <n v="53431.685354116467"/>
    <n v="9506.2294936376275"/>
  </r>
  <r>
    <s v="Sistema de Compensação"/>
    <x v="1"/>
    <x v="2"/>
    <x v="0"/>
    <x v="0"/>
    <x v="0"/>
    <x v="0"/>
    <x v="1"/>
    <x v="1"/>
    <n v="0"/>
    <n v="0"/>
    <n v="12.593999999999999"/>
    <n v="12.593999999999999"/>
    <n v="12.593999999999999"/>
    <n v="12.593999999999999"/>
    <n v="0"/>
    <x v="0"/>
    <n v="0"/>
    <n v="0"/>
    <n v="15"/>
    <n v="65"/>
    <n v="0"/>
    <n v="1195.82"/>
    <n v="391.54"/>
    <m/>
    <n v="2052.0522166669912"/>
    <n v="364.92243737572466"/>
    <n v="0"/>
    <n v="15060.157079999999"/>
    <n v="4931.05476"/>
    <n v="0"/>
    <n v="25831.809802293385"/>
    <n v="4595.8331763098759"/>
  </r>
  <r>
    <s v="Regular"/>
    <x v="1"/>
    <x v="2"/>
    <x v="0"/>
    <x v="0"/>
    <x v="0"/>
    <x v="0"/>
    <x v="1"/>
    <x v="2"/>
    <n v="0"/>
    <n v="0"/>
    <n v="16.786000000000001"/>
    <n v="16.786000000000001"/>
    <n v="16.786000000000001"/>
    <n v="16.786000000000001"/>
    <n v="0"/>
    <x v="0"/>
    <n v="0"/>
    <n v="0"/>
    <n v="15"/>
    <n v="65"/>
    <n v="0"/>
    <n v="1195.82"/>
    <n v="391.54"/>
    <m/>
    <n v="2052.0522166669912"/>
    <n v="364.92243737572466"/>
    <n v="0"/>
    <n v="20073.034520000001"/>
    <n v="6572.390440000001"/>
    <n v="0"/>
    <n v="34430.106347570021"/>
    <n v="6125.5880337889148"/>
  </r>
  <r>
    <s v="Sistema de Compensação"/>
    <x v="1"/>
    <x v="2"/>
    <x v="0"/>
    <x v="0"/>
    <x v="0"/>
    <x v="0"/>
    <x v="1"/>
    <x v="2"/>
    <n v="0"/>
    <n v="0"/>
    <n v="11.019"/>
    <n v="11.019"/>
    <n v="11.019"/>
    <n v="11.019"/>
    <n v="0"/>
    <x v="0"/>
    <n v="0"/>
    <n v="0"/>
    <n v="15"/>
    <n v="65"/>
    <n v="0"/>
    <n v="1195.82"/>
    <n v="391.54"/>
    <m/>
    <n v="2052.0522166669912"/>
    <n v="364.92243737572466"/>
    <n v="0"/>
    <n v="13176.74058"/>
    <n v="4314.3792600000006"/>
    <n v="0"/>
    <n v="22601.295236737402"/>
    <n v="4021.0803374431102"/>
  </r>
  <r>
    <s v="Regular"/>
    <x v="1"/>
    <x v="2"/>
    <x v="0"/>
    <x v="0"/>
    <x v="0"/>
    <x v="0"/>
    <x v="1"/>
    <x v="3"/>
    <n v="0"/>
    <n v="0"/>
    <n v="25.280999999999999"/>
    <n v="25.280999999999999"/>
    <n v="25.280999999999999"/>
    <n v="25.280999999999999"/>
    <n v="0"/>
    <x v="0"/>
    <n v="0"/>
    <n v="0"/>
    <n v="15"/>
    <n v="65"/>
    <n v="0"/>
    <n v="1195.82"/>
    <n v="391.54"/>
    <m/>
    <n v="2052.0522166669912"/>
    <n v="364.92243737572466"/>
    <n v="0"/>
    <n v="30231.525419999998"/>
    <n v="9898.5227400000003"/>
    <n v="0"/>
    <n v="51854.373797981505"/>
    <n v="9225.604139295694"/>
  </r>
  <r>
    <s v="Sistema de Compensação"/>
    <x v="1"/>
    <x v="2"/>
    <x v="0"/>
    <x v="0"/>
    <x v="0"/>
    <x v="0"/>
    <x v="1"/>
    <x v="3"/>
    <n v="0"/>
    <n v="0"/>
    <n v="11.702"/>
    <n v="11.702"/>
    <n v="11.702"/>
    <n v="11.702"/>
    <n v="0"/>
    <x v="0"/>
    <n v="0"/>
    <n v="0"/>
    <n v="15"/>
    <n v="65"/>
    <n v="0"/>
    <n v="1195.82"/>
    <n v="391.54"/>
    <m/>
    <n v="2052.0522166669912"/>
    <n v="364.92243737572466"/>
    <n v="0"/>
    <n v="13993.485639999999"/>
    <n v="4581.8010800000002"/>
    <n v="0"/>
    <n v="24002.210441991203"/>
    <n v="4270.3223621707302"/>
  </r>
  <r>
    <s v="Regular"/>
    <x v="1"/>
    <x v="2"/>
    <x v="0"/>
    <x v="0"/>
    <x v="0"/>
    <x v="0"/>
    <x v="1"/>
    <x v="10"/>
    <n v="0"/>
    <n v="0"/>
    <n v="29.542000000000002"/>
    <n v="29.542000000000002"/>
    <n v="29.542000000000002"/>
    <n v="29.542000000000002"/>
    <n v="0"/>
    <x v="0"/>
    <n v="0"/>
    <n v="0"/>
    <n v="15"/>
    <n v="65"/>
    <n v="0"/>
    <n v="1195.82"/>
    <n v="391.54"/>
    <m/>
    <n v="2052.0522166669912"/>
    <n v="364.92243737572466"/>
    <n v="0"/>
    <n v="35326.91444"/>
    <n v="11566.874680000001"/>
    <n v="0"/>
    <n v="60594.197648034882"/>
    <n v="10780.538644953658"/>
  </r>
  <r>
    <s v="Sistema de Compensação"/>
    <x v="1"/>
    <x v="2"/>
    <x v="0"/>
    <x v="0"/>
    <x v="0"/>
    <x v="0"/>
    <x v="1"/>
    <x v="10"/>
    <n v="0"/>
    <n v="0"/>
    <n v="8.1170000000000009"/>
    <n v="8.1170000000000009"/>
    <n v="8.1170000000000009"/>
    <n v="8.1170000000000009"/>
    <n v="0"/>
    <x v="0"/>
    <n v="0"/>
    <n v="0"/>
    <n v="15"/>
    <n v="65"/>
    <n v="0"/>
    <n v="1195.82"/>
    <n v="391.54"/>
    <m/>
    <n v="2052.0522166669912"/>
    <n v="364.92243737572466"/>
    <n v="0"/>
    <n v="9706.4709400000011"/>
    <n v="3178.1301800000006"/>
    <n v="0"/>
    <n v="16648.943954678056"/>
    <n v="2962.0754241787572"/>
  </r>
  <r>
    <s v="PROJETADO"/>
    <x v="1"/>
    <x v="2"/>
    <x v="0"/>
    <x v="0"/>
    <x v="0"/>
    <x v="0"/>
    <x v="1"/>
    <x v="11"/>
    <n v="0"/>
    <n v="0"/>
    <n v="29.542000000000002"/>
    <n v="29.542000000000002"/>
    <n v="29.542000000000002"/>
    <n v="29.542000000000002"/>
    <n v="0"/>
    <x v="0"/>
    <n v="0"/>
    <n v="0"/>
    <n v="15"/>
    <n v="65"/>
    <n v="0"/>
    <n v="1195.82"/>
    <n v="391.54"/>
    <m/>
    <n v="2052.0522166669912"/>
    <n v="364.92243737572466"/>
    <n v="0"/>
    <n v="35326.91444"/>
    <n v="11566.874680000001"/>
    <n v="0"/>
    <n v="60594.197648034882"/>
    <n v="10780.538644953658"/>
  </r>
  <r>
    <s v="PROJETADO"/>
    <x v="1"/>
    <x v="2"/>
    <x v="0"/>
    <x v="0"/>
    <x v="0"/>
    <x v="0"/>
    <x v="1"/>
    <x v="11"/>
    <n v="0"/>
    <n v="0"/>
    <n v="8.1170000000000009"/>
    <n v="8.1170000000000009"/>
    <n v="8.1170000000000009"/>
    <n v="8.1170000000000009"/>
    <n v="0"/>
    <x v="0"/>
    <n v="0"/>
    <n v="0"/>
    <n v="15"/>
    <n v="65"/>
    <n v="0"/>
    <n v="1195.82"/>
    <n v="391.54"/>
    <m/>
    <n v="2052.0522166669912"/>
    <n v="364.92243737572466"/>
    <n v="0"/>
    <n v="9706.4709400000011"/>
    <n v="3178.1301800000006"/>
    <n v="0"/>
    <n v="16648.943954678056"/>
    <n v="2962.0754241787572"/>
  </r>
  <r>
    <s v="Regular"/>
    <x v="1"/>
    <x v="2"/>
    <x v="4"/>
    <x v="0"/>
    <x v="2"/>
    <x v="0"/>
    <x v="0"/>
    <x v="4"/>
    <n v="0"/>
    <n v="0"/>
    <n v="575.26099999999997"/>
    <n v="575.26099999999997"/>
    <n v="0"/>
    <n v="0"/>
    <n v="0"/>
    <x v="2"/>
    <n v="0"/>
    <n v="0"/>
    <n v="17"/>
    <n v="0"/>
    <n v="0"/>
    <n v="84.99"/>
    <n v="0"/>
    <m/>
    <n v="146.90220900317223"/>
    <m/>
    <n v="0"/>
    <n v="48891.432389999994"/>
    <n v="0"/>
    <n v="0"/>
    <n v="84507.111653373853"/>
    <n v="0"/>
  </r>
  <r>
    <s v="Regular"/>
    <x v="1"/>
    <x v="2"/>
    <x v="4"/>
    <x v="0"/>
    <x v="2"/>
    <x v="0"/>
    <x v="0"/>
    <x v="5"/>
    <n v="0"/>
    <n v="0"/>
    <n v="596.47500000000002"/>
    <n v="596.47500000000002"/>
    <n v="0"/>
    <n v="0"/>
    <n v="0"/>
    <x v="2"/>
    <n v="0"/>
    <n v="0"/>
    <n v="17"/>
    <n v="0"/>
    <n v="0"/>
    <n v="84.99"/>
    <n v="0"/>
    <m/>
    <n v="146.90220900317223"/>
    <m/>
    <n v="0"/>
    <n v="50694.410250000001"/>
    <n v="0"/>
    <n v="0"/>
    <n v="87623.495115167156"/>
    <n v="0"/>
  </r>
  <r>
    <s v="Regular"/>
    <x v="1"/>
    <x v="2"/>
    <x v="4"/>
    <x v="0"/>
    <x v="2"/>
    <x v="0"/>
    <x v="0"/>
    <x v="0"/>
    <n v="0"/>
    <n v="0"/>
    <n v="604.79100000000005"/>
    <n v="604.79100000000005"/>
    <n v="0"/>
    <n v="0"/>
    <n v="0"/>
    <x v="2"/>
    <n v="0"/>
    <n v="0"/>
    <n v="17"/>
    <n v="0"/>
    <n v="0"/>
    <n v="84.99"/>
    <n v="0"/>
    <m/>
    <n v="146.90220900317223"/>
    <m/>
    <n v="0"/>
    <n v="51401.187089999999"/>
    <n v="0"/>
    <n v="0"/>
    <n v="88845.133885237548"/>
    <n v="0"/>
  </r>
  <r>
    <s v="Regular"/>
    <x v="1"/>
    <x v="2"/>
    <x v="4"/>
    <x v="0"/>
    <x v="2"/>
    <x v="0"/>
    <x v="0"/>
    <x v="6"/>
    <n v="0"/>
    <n v="0"/>
    <n v="605.59"/>
    <n v="605.59"/>
    <n v="0"/>
    <n v="0"/>
    <n v="0"/>
    <x v="2"/>
    <n v="0"/>
    <n v="0"/>
    <n v="17"/>
    <n v="0"/>
    <n v="0"/>
    <n v="84.99"/>
    <n v="0"/>
    <m/>
    <n v="146.90220900317223"/>
    <m/>
    <n v="0"/>
    <n v="51469.094100000002"/>
    <n v="0"/>
    <n v="0"/>
    <n v="88962.508750231078"/>
    <n v="0"/>
  </r>
  <r>
    <s v="Regular"/>
    <x v="1"/>
    <x v="2"/>
    <x v="4"/>
    <x v="0"/>
    <x v="2"/>
    <x v="0"/>
    <x v="0"/>
    <x v="7"/>
    <n v="0"/>
    <n v="0"/>
    <n v="636.11300000000006"/>
    <n v="636.11300000000006"/>
    <n v="0"/>
    <n v="0"/>
    <n v="0"/>
    <x v="2"/>
    <n v="0"/>
    <n v="0"/>
    <n v="17"/>
    <n v="0"/>
    <n v="0"/>
    <n v="84.99"/>
    <n v="0"/>
    <m/>
    <n v="146.90220900317223"/>
    <m/>
    <n v="0"/>
    <n v="54063.243869999998"/>
    <n v="0"/>
    <n v="0"/>
    <n v="93446.404875634908"/>
    <n v="0"/>
  </r>
  <r>
    <s v="Regular"/>
    <x v="1"/>
    <x v="2"/>
    <x v="4"/>
    <x v="0"/>
    <x v="2"/>
    <x v="0"/>
    <x v="0"/>
    <x v="8"/>
    <n v="0"/>
    <n v="0"/>
    <n v="652.21600000000001"/>
    <n v="652.21600000000001"/>
    <n v="0"/>
    <n v="0"/>
    <n v="0"/>
    <x v="2"/>
    <n v="0"/>
    <n v="0"/>
    <n v="17"/>
    <n v="0"/>
    <n v="0"/>
    <n v="84.99"/>
    <n v="0"/>
    <m/>
    <n v="146.90220900317223"/>
    <m/>
    <n v="0"/>
    <n v="55431.83784"/>
    <n v="0"/>
    <n v="0"/>
    <n v="95811.971147212986"/>
    <n v="0"/>
  </r>
  <r>
    <s v="Regular"/>
    <x v="1"/>
    <x v="2"/>
    <x v="4"/>
    <x v="0"/>
    <x v="2"/>
    <x v="0"/>
    <x v="0"/>
    <x v="9"/>
    <n v="0"/>
    <n v="0"/>
    <n v="649.923"/>
    <n v="649.923"/>
    <n v="0"/>
    <n v="0"/>
    <n v="0"/>
    <x v="2"/>
    <n v="0"/>
    <n v="0"/>
    <n v="17"/>
    <n v="0"/>
    <n v="0"/>
    <n v="84.99"/>
    <n v="0"/>
    <m/>
    <n v="146.90220900317223"/>
    <m/>
    <n v="0"/>
    <n v="55236.955769999993"/>
    <n v="0"/>
    <n v="0"/>
    <n v="95475.124381968708"/>
    <n v="0"/>
  </r>
  <r>
    <s v="Regular"/>
    <x v="1"/>
    <x v="2"/>
    <x v="4"/>
    <x v="0"/>
    <x v="2"/>
    <x v="0"/>
    <x v="0"/>
    <x v="1"/>
    <n v="0"/>
    <n v="0"/>
    <n v="575.21400000000006"/>
    <n v="575.21400000000006"/>
    <n v="0"/>
    <n v="0"/>
    <n v="0"/>
    <x v="2"/>
    <n v="0"/>
    <n v="0"/>
    <n v="17"/>
    <n v="0"/>
    <n v="0"/>
    <n v="84.99"/>
    <n v="0"/>
    <m/>
    <n v="146.90220900317223"/>
    <m/>
    <n v="0"/>
    <n v="48887.437859999998"/>
    <n v="0"/>
    <n v="0"/>
    <n v="84500.207249550716"/>
    <n v="0"/>
  </r>
  <r>
    <s v="Regular"/>
    <x v="1"/>
    <x v="2"/>
    <x v="4"/>
    <x v="0"/>
    <x v="2"/>
    <x v="0"/>
    <x v="0"/>
    <x v="2"/>
    <n v="0"/>
    <n v="0"/>
    <n v="748.23299999999995"/>
    <n v="748.23299999999995"/>
    <n v="0"/>
    <n v="0"/>
    <n v="0"/>
    <x v="2"/>
    <n v="0"/>
    <n v="0"/>
    <n v="17"/>
    <n v="0"/>
    <n v="0"/>
    <n v="84.99"/>
    <n v="0"/>
    <m/>
    <n v="146.90220900317223"/>
    <m/>
    <n v="0"/>
    <n v="63592.322669999994"/>
    <n v="0"/>
    <n v="0"/>
    <n v="109917.08054907055"/>
    <n v="0"/>
  </r>
  <r>
    <s v="Regular"/>
    <x v="1"/>
    <x v="2"/>
    <x v="4"/>
    <x v="0"/>
    <x v="2"/>
    <x v="0"/>
    <x v="0"/>
    <x v="3"/>
    <n v="0"/>
    <n v="0"/>
    <n v="706.13199999999995"/>
    <n v="706.13199999999995"/>
    <n v="0"/>
    <n v="0"/>
    <n v="0"/>
    <x v="2"/>
    <n v="0"/>
    <n v="0"/>
    <n v="17"/>
    <n v="0"/>
    <n v="0"/>
    <n v="84.99"/>
    <n v="0"/>
    <m/>
    <n v="146.90220900317223"/>
    <m/>
    <n v="0"/>
    <n v="60014.158679999993"/>
    <n v="0"/>
    <n v="0"/>
    <n v="103732.350647828"/>
    <n v="0"/>
  </r>
  <r>
    <s v="Regular"/>
    <x v="1"/>
    <x v="2"/>
    <x v="4"/>
    <x v="0"/>
    <x v="2"/>
    <x v="0"/>
    <x v="0"/>
    <x v="10"/>
    <n v="0"/>
    <n v="0"/>
    <n v="641.66600000000005"/>
    <n v="641.66600000000005"/>
    <n v="0"/>
    <n v="0"/>
    <n v="0"/>
    <x v="2"/>
    <n v="0"/>
    <n v="0"/>
    <n v="17"/>
    <n v="0"/>
    <n v="0"/>
    <n v="84.99"/>
    <n v="0"/>
    <m/>
    <n v="146.90220900317223"/>
    <m/>
    <n v="0"/>
    <n v="54535.193339999998"/>
    <n v="0"/>
    <n v="0"/>
    <n v="94262.152842229523"/>
    <n v="0"/>
  </r>
  <r>
    <s v="PROJETADO"/>
    <x v="1"/>
    <x v="2"/>
    <x v="4"/>
    <x v="0"/>
    <x v="2"/>
    <x v="0"/>
    <x v="0"/>
    <x v="11"/>
    <n v="0"/>
    <n v="0"/>
    <n v="641.66600000000005"/>
    <n v="641.66600000000005"/>
    <n v="0"/>
    <n v="0"/>
    <n v="0"/>
    <x v="2"/>
    <n v="0"/>
    <n v="0"/>
    <n v="17"/>
    <n v="0"/>
    <n v="0"/>
    <n v="84.99"/>
    <n v="0"/>
    <m/>
    <n v="146.90220900317223"/>
    <m/>
    <n v="0"/>
    <n v="54535.193339999998"/>
    <n v="0"/>
    <n v="0"/>
    <n v="94262.152842229523"/>
    <n v="0"/>
  </r>
  <r>
    <s v="Regular"/>
    <x v="1"/>
    <x v="2"/>
    <x v="4"/>
    <x v="0"/>
    <x v="2"/>
    <x v="0"/>
    <x v="2"/>
    <x v="4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5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0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6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7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8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9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1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2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3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Regular"/>
    <x v="1"/>
    <x v="2"/>
    <x v="4"/>
    <x v="0"/>
    <x v="2"/>
    <x v="0"/>
    <x v="2"/>
    <x v="10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PROJETADO"/>
    <x v="1"/>
    <x v="2"/>
    <x v="4"/>
    <x v="0"/>
    <x v="2"/>
    <x v="0"/>
    <x v="2"/>
    <x v="11"/>
    <n v="2100"/>
    <n v="1050"/>
    <n v="0"/>
    <n v="0"/>
    <n v="0"/>
    <n v="0"/>
    <n v="1"/>
    <x v="2"/>
    <n v="0"/>
    <n v="13"/>
    <n v="0"/>
    <n v="0"/>
    <n v="18.920000000000002"/>
    <n v="0"/>
    <n v="0"/>
    <n v="32.579678842359165"/>
    <m/>
    <m/>
    <n v="19866"/>
    <n v="0"/>
    <n v="0"/>
    <n v="34184.792530719751"/>
    <n v="0"/>
    <n v="0"/>
  </r>
  <r>
    <s v="Regular"/>
    <x v="1"/>
    <x v="2"/>
    <x v="4"/>
    <x v="0"/>
    <x v="2"/>
    <x v="0"/>
    <x v="1"/>
    <x v="4"/>
    <n v="0"/>
    <n v="0"/>
    <n v="20.846"/>
    <n v="11.075382657640001"/>
    <n v="0"/>
    <n v="0"/>
    <n v="0"/>
    <x v="2"/>
    <n v="0"/>
    <n v="0"/>
    <n v="15"/>
    <n v="0"/>
    <n v="0"/>
    <n v="1195.82"/>
    <n v="0"/>
    <m/>
    <n v="2052.0522166669912"/>
    <m/>
    <n v="0"/>
    <n v="13244.164089659065"/>
    <n v="0"/>
    <n v="0"/>
    <n v="22716.942853722023"/>
    <n v="0"/>
  </r>
  <r>
    <s v="Regular"/>
    <x v="1"/>
    <x v="2"/>
    <x v="4"/>
    <x v="0"/>
    <x v="2"/>
    <x v="0"/>
    <x v="1"/>
    <x v="5"/>
    <n v="0"/>
    <n v="0"/>
    <n v="24.186"/>
    <n v="12.952480468079999"/>
    <n v="0"/>
    <n v="0"/>
    <n v="0"/>
    <x v="2"/>
    <n v="0"/>
    <n v="0"/>
    <n v="15"/>
    <n v="0"/>
    <n v="0"/>
    <n v="1195.82"/>
    <n v="0"/>
    <m/>
    <n v="2052.0522166669912"/>
    <m/>
    <n v="0"/>
    <n v="15488.835193339424"/>
    <n v="0"/>
    <n v="0"/>
    <n v="26567.096388705937"/>
    <n v="0"/>
  </r>
  <r>
    <s v="Regular"/>
    <x v="1"/>
    <x v="2"/>
    <x v="4"/>
    <x v="0"/>
    <x v="2"/>
    <x v="0"/>
    <x v="1"/>
    <x v="0"/>
    <n v="0"/>
    <n v="0"/>
    <n v="26.704000000000001"/>
    <n v="14.30096082112"/>
    <n v="0"/>
    <n v="0"/>
    <n v="0"/>
    <x v="2"/>
    <n v="0"/>
    <n v="0"/>
    <n v="15"/>
    <n v="0"/>
    <n v="0"/>
    <n v="1195.82"/>
    <n v="0"/>
    <m/>
    <n v="2052.0522166669912"/>
    <m/>
    <n v="0"/>
    <n v="17101.374969111719"/>
    <n v="0"/>
    <n v="0"/>
    <n v="29332.991894649938"/>
    <n v="0"/>
  </r>
  <r>
    <s v="Regular"/>
    <x v="1"/>
    <x v="2"/>
    <x v="4"/>
    <x v="0"/>
    <x v="2"/>
    <x v="0"/>
    <x v="1"/>
    <x v="6"/>
    <n v="0"/>
    <n v="0"/>
    <n v="23.411000000000001"/>
    <n v="12.53743985108"/>
    <n v="0"/>
    <n v="0"/>
    <n v="0"/>
    <x v="2"/>
    <n v="0"/>
    <n v="0"/>
    <n v="15"/>
    <n v="0"/>
    <n v="0"/>
    <n v="1195.82"/>
    <n v="0"/>
    <m/>
    <n v="2052.0522166669912"/>
    <m/>
    <n v="0"/>
    <n v="14992.521322718485"/>
    <n v="0"/>
    <n v="0"/>
    <n v="25715.7981293308"/>
    <n v="0"/>
  </r>
  <r>
    <s v="Regular"/>
    <x v="1"/>
    <x v="2"/>
    <x v="4"/>
    <x v="0"/>
    <x v="2"/>
    <x v="0"/>
    <x v="1"/>
    <x v="7"/>
    <n v="0"/>
    <n v="0"/>
    <n v="22.696999999999999"/>
    <n v="12.15506694716"/>
    <n v="0"/>
    <n v="0"/>
    <n v="0"/>
    <x v="2"/>
    <n v="0"/>
    <n v="0"/>
    <n v="15"/>
    <n v="0"/>
    <n v="0"/>
    <n v="1195.82"/>
    <n v="0"/>
    <m/>
    <n v="2052.0522166669912"/>
    <m/>
    <n v="0"/>
    <n v="14535.27215675287"/>
    <n v="0"/>
    <n v="0"/>
    <n v="24931.505281338737"/>
    <n v="0"/>
  </r>
  <r>
    <s v="Regular"/>
    <x v="1"/>
    <x v="2"/>
    <x v="4"/>
    <x v="0"/>
    <x v="2"/>
    <x v="0"/>
    <x v="1"/>
    <x v="8"/>
    <n v="0"/>
    <n v="0"/>
    <n v="22.974"/>
    <n v="12.30341049672"/>
    <n v="0"/>
    <n v="0"/>
    <n v="0"/>
    <x v="2"/>
    <n v="0"/>
    <n v="0"/>
    <n v="15"/>
    <n v="0"/>
    <n v="0"/>
    <n v="1195.82"/>
    <n v="0"/>
    <m/>
    <n v="2052.0522166669912"/>
    <m/>
    <n v="0"/>
    <n v="14712.66434018771"/>
    <n v="0"/>
    <n v="0"/>
    <n v="25235.775755979914"/>
    <n v="0"/>
  </r>
  <r>
    <s v="Regular"/>
    <x v="1"/>
    <x v="2"/>
    <x v="4"/>
    <x v="0"/>
    <x v="2"/>
    <x v="0"/>
    <x v="1"/>
    <x v="9"/>
    <n v="0"/>
    <n v="0"/>
    <n v="22.655999999999999"/>
    <n v="12.133109959680001"/>
    <n v="0"/>
    <n v="0"/>
    <n v="0"/>
    <x v="2"/>
    <n v="0"/>
    <n v="0"/>
    <n v="15"/>
    <n v="0"/>
    <n v="0"/>
    <n v="1195.82"/>
    <n v="0"/>
    <m/>
    <n v="2052.0522166669912"/>
    <m/>
    <n v="0"/>
    <n v="14509.015551984538"/>
    <n v="0"/>
    <n v="0"/>
    <n v="24886.468857294374"/>
    <n v="0"/>
  </r>
  <r>
    <s v="Regular"/>
    <x v="1"/>
    <x v="2"/>
    <x v="4"/>
    <x v="0"/>
    <x v="2"/>
    <x v="0"/>
    <x v="1"/>
    <x v="1"/>
    <n v="0"/>
    <n v="0"/>
    <n v="19.187999999999999"/>
    <n v="10.27587014064"/>
    <n v="0"/>
    <n v="0"/>
    <n v="0"/>
    <x v="2"/>
    <n v="0"/>
    <n v="0"/>
    <n v="15"/>
    <n v="0"/>
    <n v="0"/>
    <n v="1195.82"/>
    <n v="0"/>
    <m/>
    <n v="2052.0522166669912"/>
    <m/>
    <n v="0"/>
    <n v="12288.091031580125"/>
    <n v="0"/>
    <n v="0"/>
    <n v="21077.046452761497"/>
    <n v="0"/>
  </r>
  <r>
    <s v="Regular"/>
    <x v="1"/>
    <x v="2"/>
    <x v="4"/>
    <x v="0"/>
    <x v="2"/>
    <x v="0"/>
    <x v="1"/>
    <x v="2"/>
    <n v="0"/>
    <n v="0"/>
    <n v="28.712"/>
    <n v="15.376317671360001"/>
    <n v="0"/>
    <n v="0"/>
    <n v="0"/>
    <x v="2"/>
    <n v="0"/>
    <n v="0"/>
    <n v="15"/>
    <n v="0"/>
    <n v="0"/>
    <n v="1195.82"/>
    <n v="0"/>
    <m/>
    <n v="2052.0522166669912"/>
    <m/>
    <n v="0"/>
    <n v="18387.308197765717"/>
    <n v="0"/>
    <n v="0"/>
    <n v="31538.678223456747"/>
    <n v="0"/>
  </r>
  <r>
    <s v="Regular"/>
    <x v="1"/>
    <x v="2"/>
    <x v="4"/>
    <x v="0"/>
    <x v="2"/>
    <x v="0"/>
    <x v="1"/>
    <x v="3"/>
    <n v="0"/>
    <n v="0"/>
    <n v="31.527999999999999"/>
    <n v="16.884387835839998"/>
    <n v="0"/>
    <n v="0"/>
    <n v="0"/>
    <x v="2"/>
    <n v="0"/>
    <n v="0"/>
    <n v="15"/>
    <n v="0"/>
    <n v="0"/>
    <n v="1195.82"/>
    <n v="0"/>
    <m/>
    <n v="2052.0522166669912"/>
    <m/>
    <n v="0"/>
    <n v="20190.688661854187"/>
    <n v="0"/>
    <n v="0"/>
    <n v="34631.911640747567"/>
    <n v="0"/>
  </r>
  <r>
    <s v="Regular"/>
    <x v="1"/>
    <x v="2"/>
    <x v="4"/>
    <x v="0"/>
    <x v="2"/>
    <x v="0"/>
    <x v="1"/>
    <x v="10"/>
    <n v="0"/>
    <n v="0"/>
    <n v="29.128"/>
    <n v="15.599100763839999"/>
    <n v="0"/>
    <n v="0"/>
    <n v="0"/>
    <x v="2"/>
    <n v="0"/>
    <n v="0"/>
    <n v="15"/>
    <n v="0"/>
    <n v="0"/>
    <n v="1195.82"/>
    <n v="0"/>
    <m/>
    <n v="2052.0522166669912"/>
    <m/>
    <n v="0"/>
    <n v="18653.716675415148"/>
    <n v="0"/>
    <n v="0"/>
    <n v="31995.633160101981"/>
    <n v="0"/>
  </r>
  <r>
    <s v="PROJETADO"/>
    <x v="1"/>
    <x v="2"/>
    <x v="4"/>
    <x v="0"/>
    <x v="2"/>
    <x v="0"/>
    <x v="1"/>
    <x v="11"/>
    <n v="0"/>
    <n v="0"/>
    <n v="29.128"/>
    <n v="15.599100763839999"/>
    <n v="0"/>
    <n v="0"/>
    <n v="0"/>
    <x v="2"/>
    <n v="0"/>
    <n v="0"/>
    <n v="15"/>
    <n v="0"/>
    <n v="0"/>
    <n v="1195.82"/>
    <n v="0"/>
    <m/>
    <n v="2052.0522166669912"/>
    <m/>
    <n v="0"/>
    <n v="18653.716675415148"/>
    <n v="0"/>
    <n v="0"/>
    <n v="31995.633160101981"/>
    <n v="0"/>
  </r>
  <r>
    <s v="Regular"/>
    <x v="1"/>
    <x v="2"/>
    <x v="4"/>
    <x v="0"/>
    <x v="0"/>
    <x v="0"/>
    <x v="0"/>
    <x v="4"/>
    <n v="0"/>
    <n v="0"/>
    <n v="849.83"/>
    <n v="849.83"/>
    <n v="849.83"/>
    <n v="849.83"/>
    <n v="0"/>
    <x v="0"/>
    <n v="0"/>
    <n v="0"/>
    <n v="17"/>
    <n v="66"/>
    <n v="0"/>
    <n v="84.99"/>
    <n v="242.77"/>
    <m/>
    <n v="146.90220900317223"/>
    <n v="227.53897547400734"/>
    <n v="0"/>
    <n v="72227.051699999996"/>
    <n v="206313.22910000003"/>
    <n v="0"/>
    <n v="124841.90427716586"/>
    <n v="193369.44752707568"/>
  </r>
  <r>
    <s v="Sistema de Compensação"/>
    <x v="1"/>
    <x v="2"/>
    <x v="4"/>
    <x v="0"/>
    <x v="0"/>
    <x v="0"/>
    <x v="0"/>
    <x v="4"/>
    <n v="0"/>
    <n v="0"/>
    <n v="1"/>
    <n v="1"/>
    <n v="1"/>
    <n v="1"/>
    <n v="0"/>
    <x v="0"/>
    <n v="0"/>
    <n v="0"/>
    <n v="17"/>
    <n v="66"/>
    <n v="0"/>
    <n v="84.99"/>
    <n v="242.77"/>
    <m/>
    <n v="146.90220900317223"/>
    <n v="227.53897547400734"/>
    <n v="0"/>
    <n v="84.99"/>
    <n v="242.77"/>
    <n v="0"/>
    <n v="146.90220900317223"/>
    <n v="227.53897547400734"/>
  </r>
  <r>
    <s v="Regular"/>
    <x v="1"/>
    <x v="2"/>
    <x v="4"/>
    <x v="0"/>
    <x v="0"/>
    <x v="0"/>
    <x v="0"/>
    <x v="5"/>
    <n v="0"/>
    <n v="0"/>
    <n v="751.16800000000001"/>
    <n v="751.16800000000001"/>
    <n v="751.16800000000001"/>
    <n v="751.16800000000001"/>
    <n v="0"/>
    <x v="0"/>
    <n v="0"/>
    <n v="0"/>
    <n v="17"/>
    <n v="66"/>
    <n v="0"/>
    <n v="84.99"/>
    <n v="242.77"/>
    <m/>
    <n v="146.90220900317223"/>
    <n v="227.53897547400734"/>
    <n v="0"/>
    <n v="63841.768319999996"/>
    <n v="182361.05536"/>
    <n v="0"/>
    <n v="110348.23853249488"/>
    <n v="170919.99712885916"/>
  </r>
  <r>
    <s v="Sistema de Compensação"/>
    <x v="1"/>
    <x v="2"/>
    <x v="4"/>
    <x v="0"/>
    <x v="0"/>
    <x v="0"/>
    <x v="0"/>
    <x v="5"/>
    <n v="0"/>
    <n v="0"/>
    <n v="1.2030000000000001"/>
    <n v="1.2030000000000001"/>
    <n v="1.2030000000000001"/>
    <n v="1.2030000000000001"/>
    <n v="0"/>
    <x v="0"/>
    <n v="0"/>
    <n v="0"/>
    <n v="17"/>
    <n v="66"/>
    <n v="0"/>
    <n v="84.99"/>
    <n v="242.77"/>
    <m/>
    <n v="146.90220900317223"/>
    <n v="227.53897547400734"/>
    <n v="0"/>
    <n v="102.24297"/>
    <n v="292.05231000000003"/>
    <n v="0"/>
    <n v="176.72335743081621"/>
    <n v="273.72938749523087"/>
  </r>
  <r>
    <s v="Regular"/>
    <x v="1"/>
    <x v="2"/>
    <x v="4"/>
    <x v="0"/>
    <x v="0"/>
    <x v="0"/>
    <x v="0"/>
    <x v="0"/>
    <n v="0"/>
    <n v="0"/>
    <n v="729.11"/>
    <n v="729.11"/>
    <n v="729.11"/>
    <n v="729.11"/>
    <n v="0"/>
    <x v="0"/>
    <n v="0"/>
    <n v="0"/>
    <n v="17"/>
    <n v="66"/>
    <n v="0"/>
    <n v="84.99"/>
    <n v="242.77"/>
    <m/>
    <n v="146.90220900317223"/>
    <n v="227.53897547400734"/>
    <n v="0"/>
    <n v="61967.058899999996"/>
    <n v="177006.03470000002"/>
    <n v="0"/>
    <n v="107107.86960630291"/>
    <n v="165900.94240785349"/>
  </r>
  <r>
    <s v="Sistema de Compensação"/>
    <x v="1"/>
    <x v="2"/>
    <x v="4"/>
    <x v="0"/>
    <x v="0"/>
    <x v="0"/>
    <x v="0"/>
    <x v="0"/>
    <n v="0"/>
    <n v="0"/>
    <n v="1.08"/>
    <n v="1.08"/>
    <n v="1.08"/>
    <n v="1.08"/>
    <n v="0"/>
    <x v="0"/>
    <n v="0"/>
    <n v="0"/>
    <n v="17"/>
    <n v="66"/>
    <n v="0"/>
    <n v="84.99"/>
    <n v="242.77"/>
    <m/>
    <n v="146.90220900317223"/>
    <n v="227.53897547400734"/>
    <n v="0"/>
    <n v="91.789199999999994"/>
    <n v="262.19160000000005"/>
    <n v="0"/>
    <n v="158.65438572342603"/>
    <n v="245.74209351192795"/>
  </r>
  <r>
    <s v="Regular"/>
    <x v="1"/>
    <x v="2"/>
    <x v="4"/>
    <x v="0"/>
    <x v="0"/>
    <x v="0"/>
    <x v="0"/>
    <x v="6"/>
    <n v="0"/>
    <n v="0"/>
    <n v="748.76099999999997"/>
    <n v="748.76099999999997"/>
    <n v="748.76099999999997"/>
    <n v="748.76099999999997"/>
    <n v="0"/>
    <x v="0"/>
    <n v="0"/>
    <n v="0"/>
    <n v="17"/>
    <n v="66"/>
    <n v="0"/>
    <n v="84.99"/>
    <n v="242.77"/>
    <m/>
    <n v="146.90220900317223"/>
    <n v="227.53897547400734"/>
    <n v="0"/>
    <n v="63637.197389999994"/>
    <n v="181776.70796999999"/>
    <n v="0"/>
    <n v="109994.64491542424"/>
    <n v="170372.31081489319"/>
  </r>
  <r>
    <s v="Sistema de Compensação"/>
    <x v="1"/>
    <x v="2"/>
    <x v="4"/>
    <x v="0"/>
    <x v="0"/>
    <x v="0"/>
    <x v="0"/>
    <x v="6"/>
    <n v="0"/>
    <n v="0"/>
    <n v="1.585"/>
    <n v="1.585"/>
    <n v="1.585"/>
    <n v="1.585"/>
    <n v="0"/>
    <x v="0"/>
    <n v="0"/>
    <n v="0"/>
    <n v="17"/>
    <n v="66"/>
    <n v="0"/>
    <n v="84.99"/>
    <n v="242.77"/>
    <m/>
    <n v="146.90220900317223"/>
    <n v="227.53897547400734"/>
    <n v="0"/>
    <n v="134.70914999999999"/>
    <n v="384.79045000000002"/>
    <n v="0"/>
    <n v="232.84000127002798"/>
    <n v="360.64927612630163"/>
  </r>
  <r>
    <s v="Regular"/>
    <x v="1"/>
    <x v="2"/>
    <x v="4"/>
    <x v="0"/>
    <x v="0"/>
    <x v="0"/>
    <x v="0"/>
    <x v="7"/>
    <n v="0"/>
    <n v="0"/>
    <n v="879.36"/>
    <n v="879.36"/>
    <n v="879.36"/>
    <n v="879.36"/>
    <n v="0"/>
    <x v="0"/>
    <n v="0"/>
    <n v="0"/>
    <n v="17"/>
    <n v="66"/>
    <n v="0"/>
    <n v="84.99"/>
    <n v="242.77"/>
    <m/>
    <n v="146.90220900317223"/>
    <n v="227.53897547400734"/>
    <n v="0"/>
    <n v="74736.806400000001"/>
    <n v="213482.22720000002"/>
    <n v="0"/>
    <n v="129179.92650902954"/>
    <n v="200088.67347282311"/>
  </r>
  <r>
    <s v="Sistema de Compensação"/>
    <x v="1"/>
    <x v="2"/>
    <x v="4"/>
    <x v="0"/>
    <x v="0"/>
    <x v="0"/>
    <x v="0"/>
    <x v="7"/>
    <n v="0"/>
    <n v="0"/>
    <n v="1.5589999999999999"/>
    <n v="1.5589999999999999"/>
    <n v="1.5589999999999999"/>
    <n v="1.5589999999999999"/>
    <n v="0"/>
    <x v="0"/>
    <n v="0"/>
    <n v="0"/>
    <n v="17"/>
    <n v="66"/>
    <n v="0"/>
    <n v="84.99"/>
    <n v="242.77"/>
    <m/>
    <n v="146.90220900317223"/>
    <n v="227.53897547400734"/>
    <n v="0"/>
    <n v="132.49940999999998"/>
    <n v="378.47843"/>
    <n v="0"/>
    <n v="229.02054383594549"/>
    <n v="354.73326276397745"/>
  </r>
  <r>
    <s v="Regular"/>
    <x v="1"/>
    <x v="2"/>
    <x v="4"/>
    <x v="0"/>
    <x v="0"/>
    <x v="0"/>
    <x v="0"/>
    <x v="8"/>
    <n v="0"/>
    <n v="0"/>
    <n v="776.197"/>
    <n v="776.197"/>
    <n v="776.197"/>
    <n v="776.197"/>
    <n v="0"/>
    <x v="0"/>
    <n v="0"/>
    <n v="0"/>
    <n v="17"/>
    <n v="66"/>
    <n v="0"/>
    <n v="84.99"/>
    <n v="242.77"/>
    <m/>
    <n v="146.90220900317223"/>
    <n v="227.53897547400734"/>
    <n v="0"/>
    <n v="65968.983030000003"/>
    <n v="188437.34569000002"/>
    <n v="0"/>
    <n v="114025.05392163528"/>
    <n v="176615.07014599809"/>
  </r>
  <r>
    <s v="Sistema de Compensação"/>
    <x v="1"/>
    <x v="2"/>
    <x v="4"/>
    <x v="0"/>
    <x v="0"/>
    <x v="0"/>
    <x v="0"/>
    <x v="8"/>
    <n v="0"/>
    <n v="0"/>
    <n v="1.232"/>
    <n v="1.232"/>
    <n v="1.232"/>
    <n v="1.232"/>
    <n v="0"/>
    <x v="0"/>
    <n v="0"/>
    <n v="0"/>
    <n v="17"/>
    <n v="66"/>
    <n v="0"/>
    <n v="84.99"/>
    <n v="242.77"/>
    <m/>
    <n v="146.90220900317223"/>
    <n v="227.53897547400734"/>
    <n v="0"/>
    <n v="104.70768"/>
    <n v="299.09264000000002"/>
    <n v="0"/>
    <n v="180.98352149190819"/>
    <n v="280.32801778397703"/>
  </r>
  <r>
    <s v="Regular"/>
    <x v="1"/>
    <x v="2"/>
    <x v="4"/>
    <x v="0"/>
    <x v="0"/>
    <x v="0"/>
    <x v="0"/>
    <x v="9"/>
    <n v="0"/>
    <n v="0"/>
    <n v="673.07399999999996"/>
    <n v="673.07399999999996"/>
    <n v="673.07399999999996"/>
    <n v="673.07399999999996"/>
    <n v="0"/>
    <x v="0"/>
    <n v="0"/>
    <n v="0"/>
    <n v="17"/>
    <n v="66"/>
    <n v="0"/>
    <n v="84.99"/>
    <n v="242.77"/>
    <m/>
    <n v="146.90220900317223"/>
    <n v="227.53897547400734"/>
    <n v="0"/>
    <n v="57204.559259999995"/>
    <n v="163402.17497999998"/>
    <n v="0"/>
    <n v="98876.057422601138"/>
    <n v="153150.56837819202"/>
  </r>
  <r>
    <s v="Sistema de Compensação"/>
    <x v="1"/>
    <x v="2"/>
    <x v="4"/>
    <x v="0"/>
    <x v="0"/>
    <x v="0"/>
    <x v="0"/>
    <x v="9"/>
    <n v="0"/>
    <n v="0"/>
    <n v="1.0860000000000001"/>
    <n v="1.0860000000000001"/>
    <n v="1.0860000000000001"/>
    <n v="1.0860000000000001"/>
    <n v="0"/>
    <x v="0"/>
    <n v="0"/>
    <n v="0"/>
    <n v="17"/>
    <n v="66"/>
    <n v="0"/>
    <n v="84.99"/>
    <n v="242.77"/>
    <m/>
    <n v="146.90220900317223"/>
    <n v="227.53897547400734"/>
    <n v="0"/>
    <n v="92.299139999999994"/>
    <n v="263.64822000000004"/>
    <n v="0"/>
    <n v="159.53579897744507"/>
    <n v="247.107327364772"/>
  </r>
  <r>
    <s v="Regular"/>
    <x v="1"/>
    <x v="2"/>
    <x v="4"/>
    <x v="0"/>
    <x v="0"/>
    <x v="0"/>
    <x v="0"/>
    <x v="1"/>
    <n v="0"/>
    <n v="0"/>
    <n v="639.99800000000005"/>
    <n v="639.99800000000005"/>
    <n v="639.99800000000005"/>
    <n v="639.99800000000005"/>
    <n v="0"/>
    <x v="0"/>
    <n v="0"/>
    <n v="0"/>
    <n v="17"/>
    <n v="66"/>
    <n v="0"/>
    <n v="84.99"/>
    <n v="242.77"/>
    <m/>
    <n v="146.90220900317223"/>
    <n v="227.53897547400734"/>
    <n v="0"/>
    <n v="54393.43002"/>
    <n v="155372.31446000002"/>
    <n v="0"/>
    <n v="94017.119957612231"/>
    <n v="145624.48922541377"/>
  </r>
  <r>
    <s v="Sistema de Compensação"/>
    <x v="1"/>
    <x v="2"/>
    <x v="4"/>
    <x v="0"/>
    <x v="0"/>
    <x v="0"/>
    <x v="0"/>
    <x v="1"/>
    <n v="0"/>
    <n v="0"/>
    <n v="1.1859999999999999"/>
    <n v="1.1859999999999999"/>
    <n v="1.1859999999999999"/>
    <n v="1.1859999999999999"/>
    <n v="0"/>
    <x v="0"/>
    <n v="0"/>
    <n v="0"/>
    <n v="17"/>
    <n v="66"/>
    <n v="0"/>
    <n v="84.99"/>
    <n v="242.77"/>
    <m/>
    <n v="146.90220900317223"/>
    <n v="227.53897547400734"/>
    <n v="0"/>
    <n v="100.79813999999999"/>
    <n v="287.92522000000002"/>
    <n v="0"/>
    <n v="174.22601987776227"/>
    <n v="269.8612249121727"/>
  </r>
  <r>
    <s v="Regular"/>
    <x v="1"/>
    <x v="2"/>
    <x v="4"/>
    <x v="0"/>
    <x v="0"/>
    <x v="0"/>
    <x v="0"/>
    <x v="2"/>
    <n v="0"/>
    <n v="0"/>
    <n v="635.27200000000005"/>
    <n v="635.27200000000005"/>
    <n v="635.27200000000005"/>
    <n v="635.27200000000005"/>
    <n v="0"/>
    <x v="0"/>
    <n v="0"/>
    <n v="0"/>
    <n v="17"/>
    <n v="66"/>
    <n v="0"/>
    <n v="84.99"/>
    <n v="242.77"/>
    <m/>
    <n v="146.90220900317223"/>
    <n v="227.53897547400734"/>
    <n v="0"/>
    <n v="53991.76728"/>
    <n v="154224.98344000001"/>
    <n v="0"/>
    <n v="93322.860117863238"/>
    <n v="144549.14002732359"/>
  </r>
  <r>
    <s v="Sistema de Compensação"/>
    <x v="1"/>
    <x v="2"/>
    <x v="4"/>
    <x v="0"/>
    <x v="0"/>
    <x v="0"/>
    <x v="0"/>
    <x v="2"/>
    <n v="0"/>
    <n v="0"/>
    <n v="0.89600000000000002"/>
    <n v="0.89600000000000002"/>
    <n v="0.89600000000000002"/>
    <n v="0.89600000000000002"/>
    <n v="0"/>
    <x v="0"/>
    <n v="0"/>
    <n v="0"/>
    <n v="17"/>
    <n v="66"/>
    <n v="0"/>
    <n v="84.99"/>
    <n v="242.77"/>
    <m/>
    <n v="146.90220900317223"/>
    <n v="227.53897547400734"/>
    <n v="0"/>
    <n v="76.151039999999995"/>
    <n v="217.52192000000002"/>
    <n v="0"/>
    <n v="131.62437926684231"/>
    <n v="203.87492202471057"/>
  </r>
  <r>
    <s v="Regular"/>
    <x v="1"/>
    <x v="2"/>
    <x v="4"/>
    <x v="0"/>
    <x v="0"/>
    <x v="0"/>
    <x v="0"/>
    <x v="3"/>
    <n v="0"/>
    <n v="0"/>
    <n v="749.01499999999999"/>
    <n v="749.01499999999999"/>
    <n v="749.01499999999999"/>
    <n v="749.01499999999999"/>
    <n v="0"/>
    <x v="0"/>
    <n v="0"/>
    <n v="0"/>
    <n v="17"/>
    <n v="66"/>
    <n v="0"/>
    <n v="84.99"/>
    <n v="242.77"/>
    <m/>
    <n v="146.90220900317223"/>
    <n v="227.53897547400734"/>
    <n v="0"/>
    <n v="63658.784849999996"/>
    <n v="181838.37155000001"/>
    <n v="0"/>
    <n v="110031.95807651104"/>
    <n v="170430.1057146636"/>
  </r>
  <r>
    <s v="Sistema de Compensação"/>
    <x v="1"/>
    <x v="2"/>
    <x v="4"/>
    <x v="0"/>
    <x v="0"/>
    <x v="0"/>
    <x v="0"/>
    <x v="3"/>
    <n v="0"/>
    <n v="0"/>
    <n v="1.2310000000000001"/>
    <n v="1.2310000000000001"/>
    <n v="1.2310000000000001"/>
    <n v="1.2310000000000001"/>
    <n v="0"/>
    <x v="0"/>
    <n v="0"/>
    <n v="0"/>
    <n v="17"/>
    <n v="66"/>
    <n v="0"/>
    <n v="84.99"/>
    <n v="242.77"/>
    <m/>
    <n v="146.90220900317223"/>
    <n v="227.53897547400734"/>
    <n v="0"/>
    <n v="104.62269000000001"/>
    <n v="298.84987000000001"/>
    <n v="0"/>
    <n v="180.83661928290502"/>
    <n v="280.10047880850306"/>
  </r>
  <r>
    <s v="Regular"/>
    <x v="1"/>
    <x v="2"/>
    <x v="4"/>
    <x v="0"/>
    <x v="0"/>
    <x v="0"/>
    <x v="0"/>
    <x v="10"/>
    <n v="0"/>
    <n v="0"/>
    <n v="731.51099999999997"/>
    <n v="731.51099999999997"/>
    <n v="731.51099999999997"/>
    <n v="731.51099999999997"/>
    <n v="0"/>
    <x v="0"/>
    <n v="0"/>
    <n v="0"/>
    <n v="17"/>
    <n v="66"/>
    <n v="0"/>
    <n v="84.99"/>
    <n v="242.77"/>
    <m/>
    <n v="146.90220900317223"/>
    <n v="227.53897547400734"/>
    <n v="0"/>
    <n v="62171.119889999994"/>
    <n v="177588.92546999999"/>
    <n v="0"/>
    <n v="107460.58181011952"/>
    <n v="166447.26348796659"/>
  </r>
  <r>
    <s v="Sistema de Compensação"/>
    <x v="1"/>
    <x v="2"/>
    <x v="4"/>
    <x v="0"/>
    <x v="0"/>
    <x v="0"/>
    <x v="0"/>
    <x v="10"/>
    <n v="0"/>
    <n v="0"/>
    <n v="1.2130000000000001"/>
    <n v="1.2130000000000001"/>
    <n v="1.2130000000000001"/>
    <n v="1.2130000000000001"/>
    <n v="0"/>
    <x v="0"/>
    <n v="0"/>
    <n v="0"/>
    <n v="17"/>
    <n v="66"/>
    <n v="0"/>
    <n v="84.99"/>
    <n v="242.77"/>
    <m/>
    <n v="146.90220900317223"/>
    <n v="227.53897547400734"/>
    <n v="0"/>
    <n v="103.09287"/>
    <n v="294.48001000000005"/>
    <n v="0"/>
    <n v="178.19237952084794"/>
    <n v="276.00477724997091"/>
  </r>
  <r>
    <s v="PROJETADO"/>
    <x v="1"/>
    <x v="2"/>
    <x v="4"/>
    <x v="0"/>
    <x v="0"/>
    <x v="0"/>
    <x v="0"/>
    <x v="11"/>
    <n v="0"/>
    <n v="0"/>
    <n v="731.51099999999997"/>
    <n v="731.51099999999997"/>
    <n v="731.51099999999997"/>
    <n v="731.51099999999997"/>
    <n v="0"/>
    <x v="0"/>
    <n v="0"/>
    <n v="0"/>
    <n v="17"/>
    <n v="66"/>
    <n v="0"/>
    <n v="84.99"/>
    <n v="242.77"/>
    <m/>
    <n v="146.90220900317223"/>
    <n v="227.53897547400734"/>
    <n v="0"/>
    <n v="62171.119889999994"/>
    <n v="177588.92546999999"/>
    <n v="0"/>
    <n v="107460.58181011952"/>
    <n v="166447.26348796659"/>
  </r>
  <r>
    <s v="PROJETADO"/>
    <x v="1"/>
    <x v="2"/>
    <x v="4"/>
    <x v="0"/>
    <x v="0"/>
    <x v="0"/>
    <x v="0"/>
    <x v="11"/>
    <n v="0"/>
    <n v="0"/>
    <n v="1.2130000000000001"/>
    <n v="1.2130000000000001"/>
    <n v="1.2130000000000001"/>
    <n v="1.2130000000000001"/>
    <n v="0"/>
    <x v="0"/>
    <n v="0"/>
    <n v="0"/>
    <n v="17"/>
    <n v="66"/>
    <n v="0"/>
    <n v="84.99"/>
    <n v="242.77"/>
    <m/>
    <n v="146.90220900317223"/>
    <n v="227.53897547400734"/>
    <n v="0"/>
    <n v="103.09287"/>
    <n v="294.48001000000005"/>
    <n v="0"/>
    <n v="178.19237952084794"/>
    <n v="276.00477724997091"/>
  </r>
  <r>
    <s v="Regular"/>
    <x v="1"/>
    <x v="2"/>
    <x v="4"/>
    <x v="0"/>
    <x v="0"/>
    <x v="0"/>
    <x v="2"/>
    <x v="4"/>
    <n v="3988"/>
    <n v="3988"/>
    <n v="0"/>
    <n v="0"/>
    <n v="0"/>
    <n v="0"/>
    <n v="15"/>
    <x v="0"/>
    <n v="0"/>
    <n v="13"/>
    <n v="0"/>
    <n v="0"/>
    <n v="18.920000000000002"/>
    <n v="0"/>
    <n v="0"/>
    <n v="32.579678842359165"/>
    <m/>
    <m/>
    <n v="75452.960000000006"/>
    <n v="0"/>
    <n v="0"/>
    <n v="129837.09772620034"/>
    <n v="0"/>
    <n v="0"/>
  </r>
  <r>
    <s v="Sistema de Compensação"/>
    <x v="1"/>
    <x v="2"/>
    <x v="4"/>
    <x v="0"/>
    <x v="0"/>
    <x v="0"/>
    <x v="2"/>
    <x v="4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5"/>
    <n v="3660"/>
    <n v="3660"/>
    <n v="0"/>
    <n v="0"/>
    <n v="0"/>
    <n v="0"/>
    <n v="15"/>
    <x v="0"/>
    <n v="0"/>
    <n v="13"/>
    <n v="0"/>
    <n v="0"/>
    <n v="18.920000000000002"/>
    <n v="0"/>
    <n v="0"/>
    <n v="32.579678842359165"/>
    <m/>
    <m/>
    <n v="69247.200000000012"/>
    <n v="0"/>
    <n v="0"/>
    <n v="119158.41967850884"/>
    <n v="0"/>
    <n v="0"/>
  </r>
  <r>
    <s v="Sistema de Compensação"/>
    <x v="1"/>
    <x v="2"/>
    <x v="4"/>
    <x v="0"/>
    <x v="0"/>
    <x v="0"/>
    <x v="2"/>
    <x v="5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0"/>
    <n v="3514"/>
    <n v="3514"/>
    <n v="0"/>
    <n v="0"/>
    <n v="0"/>
    <n v="0"/>
    <n v="15"/>
    <x v="0"/>
    <n v="0"/>
    <n v="13"/>
    <n v="0"/>
    <n v="0"/>
    <n v="18.920000000000002"/>
    <n v="0"/>
    <n v="0"/>
    <n v="32.579678842359165"/>
    <m/>
    <m/>
    <n v="66484.88"/>
    <n v="0"/>
    <n v="0"/>
    <n v="114405.10566947542"/>
    <n v="0"/>
    <n v="0"/>
  </r>
  <r>
    <s v="Sistema de Compensação"/>
    <x v="1"/>
    <x v="2"/>
    <x v="4"/>
    <x v="0"/>
    <x v="0"/>
    <x v="0"/>
    <x v="2"/>
    <x v="0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6"/>
    <n v="3548"/>
    <n v="3548"/>
    <n v="0"/>
    <n v="0"/>
    <n v="0"/>
    <n v="0"/>
    <n v="15"/>
    <x v="0"/>
    <n v="0"/>
    <n v="13"/>
    <n v="0"/>
    <n v="0"/>
    <n v="18.920000000000002"/>
    <n v="0"/>
    <n v="0"/>
    <n v="32.579678842359165"/>
    <m/>
    <m/>
    <n v="67128.160000000003"/>
    <n v="0"/>
    <n v="0"/>
    <n v="115512.04180856539"/>
    <n v="0"/>
    <n v="0"/>
  </r>
  <r>
    <s v="Sistema de Compensação"/>
    <x v="1"/>
    <x v="2"/>
    <x v="4"/>
    <x v="0"/>
    <x v="0"/>
    <x v="0"/>
    <x v="2"/>
    <x v="6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7"/>
    <n v="3826"/>
    <n v="3826"/>
    <n v="0"/>
    <n v="0"/>
    <n v="0"/>
    <n v="0"/>
    <n v="15"/>
    <x v="0"/>
    <n v="0"/>
    <n v="13"/>
    <n v="0"/>
    <n v="0"/>
    <n v="18.920000000000002"/>
    <n v="0"/>
    <n v="0"/>
    <n v="32.579678842359165"/>
    <m/>
    <m/>
    <n v="72387.920000000013"/>
    <n v="0"/>
    <n v="0"/>
    <n v="124562.8725928893"/>
    <n v="0"/>
    <n v="0"/>
  </r>
  <r>
    <s v="Sistema de Compensação"/>
    <x v="1"/>
    <x v="2"/>
    <x v="4"/>
    <x v="0"/>
    <x v="0"/>
    <x v="0"/>
    <x v="2"/>
    <x v="7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8"/>
    <n v="4167"/>
    <n v="4167"/>
    <n v="0"/>
    <n v="0"/>
    <n v="0"/>
    <n v="0"/>
    <n v="16"/>
    <x v="0"/>
    <n v="0"/>
    <n v="13"/>
    <n v="0"/>
    <n v="0"/>
    <n v="18.920000000000002"/>
    <n v="0"/>
    <n v="0"/>
    <n v="32.579678842359165"/>
    <m/>
    <m/>
    <n v="78839.640000000014"/>
    <n v="0"/>
    <n v="0"/>
    <n v="135664.79092905638"/>
    <n v="0"/>
    <n v="0"/>
  </r>
  <r>
    <s v="Sistema de Compensação"/>
    <x v="1"/>
    <x v="2"/>
    <x v="4"/>
    <x v="0"/>
    <x v="0"/>
    <x v="0"/>
    <x v="2"/>
    <x v="8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9"/>
    <n v="4194"/>
    <n v="4194"/>
    <n v="0"/>
    <n v="0"/>
    <n v="0"/>
    <n v="0"/>
    <n v="15"/>
    <x v="0"/>
    <n v="0"/>
    <n v="13"/>
    <n v="0"/>
    <n v="0"/>
    <n v="18.920000000000002"/>
    <n v="0"/>
    <n v="0"/>
    <n v="32.579678842359165"/>
    <m/>
    <m/>
    <n v="79350.48000000001"/>
    <n v="0"/>
    <n v="0"/>
    <n v="136543.82845127489"/>
    <n v="0"/>
    <n v="0"/>
  </r>
  <r>
    <s v="Sistema de Compensação"/>
    <x v="1"/>
    <x v="2"/>
    <x v="4"/>
    <x v="0"/>
    <x v="0"/>
    <x v="0"/>
    <x v="2"/>
    <x v="9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1"/>
    <n v="4304"/>
    <n v="4304"/>
    <n v="0"/>
    <n v="0"/>
    <n v="0"/>
    <n v="0"/>
    <n v="15"/>
    <x v="0"/>
    <n v="0"/>
    <n v="13"/>
    <n v="0"/>
    <n v="0"/>
    <n v="18.920000000000002"/>
    <n v="0"/>
    <n v="0"/>
    <n v="32.579678842359165"/>
    <m/>
    <m/>
    <n v="81431.680000000008"/>
    <n v="0"/>
    <n v="0"/>
    <n v="140125.09243068361"/>
    <n v="0"/>
    <n v="0"/>
  </r>
  <r>
    <s v="Sistema de Compensação"/>
    <x v="1"/>
    <x v="2"/>
    <x v="4"/>
    <x v="0"/>
    <x v="0"/>
    <x v="0"/>
    <x v="2"/>
    <x v="1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2"/>
    <n v="3071"/>
    <n v="3071"/>
    <n v="0"/>
    <n v="0"/>
    <n v="0"/>
    <n v="0"/>
    <n v="15"/>
    <x v="0"/>
    <n v="0"/>
    <n v="13"/>
    <n v="0"/>
    <n v="0"/>
    <n v="18.920000000000002"/>
    <n v="0"/>
    <n v="0"/>
    <n v="32.579678842359165"/>
    <m/>
    <m/>
    <n v="58103.320000000007"/>
    <n v="0"/>
    <n v="0"/>
    <n v="99982.378916038419"/>
    <n v="0"/>
    <n v="0"/>
  </r>
  <r>
    <s v="Sistema de Compensação"/>
    <x v="1"/>
    <x v="2"/>
    <x v="4"/>
    <x v="0"/>
    <x v="0"/>
    <x v="0"/>
    <x v="2"/>
    <x v="2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3"/>
    <n v="4328"/>
    <n v="4328"/>
    <n v="0"/>
    <n v="0"/>
    <n v="0"/>
    <n v="0"/>
    <n v="15"/>
    <x v="0"/>
    <n v="0"/>
    <n v="13"/>
    <n v="0"/>
    <n v="0"/>
    <n v="18.920000000000002"/>
    <n v="0"/>
    <n v="0"/>
    <n v="32.579678842359165"/>
    <m/>
    <m/>
    <n v="81885.760000000009"/>
    <n v="0"/>
    <n v="0"/>
    <n v="140906.45911710008"/>
    <n v="0"/>
    <n v="0"/>
  </r>
  <r>
    <s v="Sistema de Compensação"/>
    <x v="1"/>
    <x v="2"/>
    <x v="4"/>
    <x v="0"/>
    <x v="0"/>
    <x v="0"/>
    <x v="2"/>
    <x v="3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Regular"/>
    <x v="1"/>
    <x v="2"/>
    <x v="4"/>
    <x v="0"/>
    <x v="0"/>
    <x v="0"/>
    <x v="2"/>
    <x v="10"/>
    <n v="4550"/>
    <n v="4550"/>
    <n v="0"/>
    <n v="0"/>
    <n v="0"/>
    <n v="0"/>
    <n v="16"/>
    <x v="0"/>
    <n v="0"/>
    <n v="13"/>
    <n v="0"/>
    <n v="0"/>
    <n v="18.920000000000002"/>
    <n v="0"/>
    <n v="0"/>
    <n v="32.579678842359165"/>
    <m/>
    <m/>
    <n v="86086.000000000015"/>
    <n v="0"/>
    <n v="0"/>
    <n v="148134.10096645224"/>
    <n v="0"/>
    <n v="0"/>
  </r>
  <r>
    <s v="Sistema de Compensação"/>
    <x v="1"/>
    <x v="2"/>
    <x v="4"/>
    <x v="0"/>
    <x v="0"/>
    <x v="0"/>
    <x v="2"/>
    <x v="10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PROJETADO"/>
    <x v="1"/>
    <x v="2"/>
    <x v="4"/>
    <x v="0"/>
    <x v="0"/>
    <x v="0"/>
    <x v="2"/>
    <x v="11"/>
    <n v="4550"/>
    <n v="4550"/>
    <n v="0"/>
    <n v="0"/>
    <n v="0"/>
    <n v="0"/>
    <n v="16"/>
    <x v="0"/>
    <n v="0"/>
    <n v="13"/>
    <n v="0"/>
    <n v="0"/>
    <n v="18.920000000000002"/>
    <n v="0"/>
    <n v="0"/>
    <n v="32.579678842359165"/>
    <m/>
    <m/>
    <n v="86086.000000000015"/>
    <n v="0"/>
    <n v="0"/>
    <n v="148134.10096645224"/>
    <n v="0"/>
    <n v="0"/>
  </r>
  <r>
    <s v="PROJETADO"/>
    <x v="1"/>
    <x v="2"/>
    <x v="4"/>
    <x v="0"/>
    <x v="0"/>
    <x v="0"/>
    <x v="2"/>
    <x v="11"/>
    <n v="209"/>
    <n v="209"/>
    <n v="0"/>
    <n v="0"/>
    <n v="0"/>
    <n v="0"/>
    <n v="2"/>
    <x v="0"/>
    <n v="0"/>
    <n v="13"/>
    <n v="0"/>
    <n v="0"/>
    <n v="18.920000000000002"/>
    <n v="0"/>
    <n v="0"/>
    <n v="32.579678842359165"/>
    <m/>
    <m/>
    <n v="3954.28"/>
    <n v="0"/>
    <n v="0"/>
    <n v="6804.4015608765976"/>
    <n v="0"/>
    <n v="0"/>
  </r>
  <r>
    <s v="Regular"/>
    <x v="1"/>
    <x v="2"/>
    <x v="4"/>
    <x v="0"/>
    <x v="0"/>
    <x v="0"/>
    <x v="1"/>
    <x v="4"/>
    <n v="0"/>
    <n v="0"/>
    <n v="32.292999999999999"/>
    <n v="32.292999999999999"/>
    <n v="32.292999999999999"/>
    <n v="32.292999999999999"/>
    <n v="0"/>
    <x v="0"/>
    <n v="0"/>
    <n v="0"/>
    <n v="15"/>
    <n v="65"/>
    <n v="0"/>
    <n v="1195.82"/>
    <n v="391.54"/>
    <m/>
    <n v="2052.0522166669912"/>
    <n v="364.92243737572466"/>
    <n v="0"/>
    <n v="38616.615259999999"/>
    <n v="12644.00122"/>
    <n v="0"/>
    <n v="66236.829755872663"/>
    <n v="11784.440270174277"/>
  </r>
  <r>
    <s v="Sistema de Compensação"/>
    <x v="1"/>
    <x v="2"/>
    <x v="4"/>
    <x v="0"/>
    <x v="0"/>
    <x v="0"/>
    <x v="1"/>
    <x v="4"/>
    <n v="0"/>
    <n v="0"/>
    <n v="2.3E-2"/>
    <n v="2.3E-2"/>
    <n v="2.3E-2"/>
    <n v="2.3E-2"/>
    <n v="0"/>
    <x v="0"/>
    <n v="0"/>
    <n v="0"/>
    <n v="15"/>
    <n v="65"/>
    <n v="0"/>
    <n v="1195.82"/>
    <n v="391.54"/>
    <m/>
    <n v="2052.0522166669912"/>
    <n v="364.92243737572466"/>
    <n v="0"/>
    <n v="27.50386"/>
    <n v="9.0054200000000009"/>
    <n v="0"/>
    <n v="47.175768258912804"/>
    <n v="8.3932160596416665"/>
  </r>
  <r>
    <s v="Regular"/>
    <x v="1"/>
    <x v="2"/>
    <x v="4"/>
    <x v="0"/>
    <x v="0"/>
    <x v="0"/>
    <x v="1"/>
    <x v="5"/>
    <n v="0"/>
    <n v="0"/>
    <n v="28.228000000000002"/>
    <n v="28.228000000000002"/>
    <n v="28.228000000000002"/>
    <n v="28.228000000000002"/>
    <n v="0"/>
    <x v="0"/>
    <n v="0"/>
    <n v="0"/>
    <n v="15"/>
    <n v="65"/>
    <n v="0"/>
    <n v="1195.82"/>
    <n v="391.54"/>
    <m/>
    <n v="2052.0522166669912"/>
    <n v="364.92243737572466"/>
    <n v="0"/>
    <n v="33755.606959999997"/>
    <n v="11052.391120000002"/>
    <n v="0"/>
    <n v="57899.025496199603"/>
    <n v="10301.030562241956"/>
  </r>
  <r>
    <s v="Sistema de Compensação"/>
    <x v="1"/>
    <x v="2"/>
    <x v="4"/>
    <x v="0"/>
    <x v="0"/>
    <x v="0"/>
    <x v="1"/>
    <x v="5"/>
    <n v="0"/>
    <n v="0"/>
    <n v="2.5000000000000001E-2"/>
    <n v="2.5000000000000001E-2"/>
    <n v="2.5000000000000001E-2"/>
    <n v="2.5000000000000001E-2"/>
    <n v="0"/>
    <x v="0"/>
    <n v="0"/>
    <n v="0"/>
    <n v="15"/>
    <n v="65"/>
    <n v="0"/>
    <n v="1195.82"/>
    <n v="391.54"/>
    <m/>
    <n v="2052.0522166669912"/>
    <n v="364.92243737572466"/>
    <n v="0"/>
    <n v="29.895499999999998"/>
    <n v="9.7885000000000009"/>
    <n v="0"/>
    <n v="51.278008977079139"/>
    <n v="9.1230609343931164"/>
  </r>
  <r>
    <s v="Regular"/>
    <x v="1"/>
    <x v="2"/>
    <x v="4"/>
    <x v="0"/>
    <x v="0"/>
    <x v="0"/>
    <x v="1"/>
    <x v="0"/>
    <n v="0"/>
    <n v="0"/>
    <n v="25.013999999999999"/>
    <n v="25.013999999999999"/>
    <n v="25.013999999999999"/>
    <n v="25.013999999999999"/>
    <n v="0"/>
    <x v="0"/>
    <n v="0"/>
    <n v="0"/>
    <n v="15"/>
    <n v="65"/>
    <n v="0"/>
    <n v="1195.82"/>
    <n v="391.54"/>
    <m/>
    <n v="2052.0522166669912"/>
    <n v="364.92243737572466"/>
    <n v="0"/>
    <n v="29912.241479999997"/>
    <n v="9793.9815600000002"/>
    <n v="0"/>
    <n v="51306.724662106302"/>
    <n v="9128.1698485163761"/>
  </r>
  <r>
    <s v="Sistema de Compensação"/>
    <x v="1"/>
    <x v="2"/>
    <x v="4"/>
    <x v="0"/>
    <x v="0"/>
    <x v="0"/>
    <x v="1"/>
    <x v="0"/>
    <n v="0"/>
    <n v="0"/>
    <n v="3.1E-2"/>
    <n v="3.1E-2"/>
    <n v="3.1E-2"/>
    <n v="3.1E-2"/>
    <n v="0"/>
    <x v="0"/>
    <n v="0"/>
    <n v="0"/>
    <n v="15"/>
    <n v="65"/>
    <n v="0"/>
    <n v="1195.82"/>
    <n v="391.54"/>
    <m/>
    <n v="2052.0522166669912"/>
    <n v="364.92243737572466"/>
    <n v="0"/>
    <n v="37.070419999999999"/>
    <n v="12.137740000000001"/>
    <n v="0"/>
    <n v="63.584731131578131"/>
    <n v="11.312595558647464"/>
  </r>
  <r>
    <s v="Regular"/>
    <x v="1"/>
    <x v="2"/>
    <x v="4"/>
    <x v="0"/>
    <x v="0"/>
    <x v="0"/>
    <x v="1"/>
    <x v="6"/>
    <n v="0"/>
    <n v="0"/>
    <n v="23.594999999999999"/>
    <n v="23.594999999999999"/>
    <n v="23.594999999999999"/>
    <n v="23.594999999999999"/>
    <n v="0"/>
    <x v="0"/>
    <n v="0"/>
    <n v="0"/>
    <n v="15"/>
    <n v="65"/>
    <n v="0"/>
    <n v="1195.82"/>
    <n v="391.54"/>
    <m/>
    <n v="2052.0522166669912"/>
    <n v="364.92243737572466"/>
    <n v="0"/>
    <n v="28215.372899999998"/>
    <n v="9238.3863000000001"/>
    <n v="0"/>
    <n v="48396.18487256729"/>
    <n v="8610.344909880223"/>
  </r>
  <r>
    <s v="Sistema de Compensação"/>
    <x v="1"/>
    <x v="2"/>
    <x v="4"/>
    <x v="0"/>
    <x v="0"/>
    <x v="0"/>
    <x v="1"/>
    <x v="6"/>
    <n v="0"/>
    <n v="0"/>
    <n v="1.9E-2"/>
    <n v="1.9E-2"/>
    <n v="1.9E-2"/>
    <n v="1.9E-2"/>
    <n v="0"/>
    <x v="0"/>
    <n v="0"/>
    <n v="0"/>
    <n v="15"/>
    <n v="65"/>
    <n v="0"/>
    <n v="1195.82"/>
    <n v="391.54"/>
    <m/>
    <n v="2052.0522166669912"/>
    <n v="364.92243737572466"/>
    <n v="0"/>
    <n v="22.720579999999998"/>
    <n v="7.43926"/>
    <n v="0"/>
    <n v="38.971286822580147"/>
    <n v="6.9335263101387685"/>
  </r>
  <r>
    <s v="Regular"/>
    <x v="1"/>
    <x v="2"/>
    <x v="4"/>
    <x v="0"/>
    <x v="0"/>
    <x v="0"/>
    <x v="1"/>
    <x v="7"/>
    <n v="0"/>
    <n v="0"/>
    <n v="27.001999999999999"/>
    <n v="27.001999999999999"/>
    <n v="27.001999999999999"/>
    <n v="27.001999999999999"/>
    <n v="0"/>
    <x v="0"/>
    <n v="0"/>
    <n v="0"/>
    <n v="15"/>
    <n v="65"/>
    <n v="0"/>
    <n v="1195.82"/>
    <n v="391.54"/>
    <m/>
    <n v="2052.0522166669912"/>
    <n v="364.92243737572466"/>
    <n v="0"/>
    <n v="32289.531639999997"/>
    <n v="10572.363080000001"/>
    <n v="0"/>
    <n v="55384.351935963634"/>
    <n v="9853.6356540193174"/>
  </r>
  <r>
    <s v="Sistema de Compensação"/>
    <x v="1"/>
    <x v="2"/>
    <x v="4"/>
    <x v="0"/>
    <x v="0"/>
    <x v="0"/>
    <x v="1"/>
    <x v="7"/>
    <n v="0"/>
    <n v="0"/>
    <n v="2.3E-2"/>
    <n v="2.3E-2"/>
    <n v="2.3E-2"/>
    <n v="2.3E-2"/>
    <n v="0"/>
    <x v="0"/>
    <n v="0"/>
    <n v="0"/>
    <n v="15"/>
    <n v="65"/>
    <n v="0"/>
    <n v="1195.82"/>
    <n v="391.54"/>
    <m/>
    <n v="2052.0522166669912"/>
    <n v="364.92243737572466"/>
    <n v="0"/>
    <n v="27.50386"/>
    <n v="9.0054200000000009"/>
    <n v="0"/>
    <n v="47.175768258912804"/>
    <n v="8.3932160596416665"/>
  </r>
  <r>
    <s v="Regular"/>
    <x v="1"/>
    <x v="2"/>
    <x v="4"/>
    <x v="0"/>
    <x v="0"/>
    <x v="0"/>
    <x v="1"/>
    <x v="8"/>
    <n v="0"/>
    <n v="0"/>
    <n v="18.097000000000001"/>
    <n v="18.097000000000001"/>
    <n v="18.097000000000001"/>
    <n v="18.097000000000001"/>
    <n v="0"/>
    <x v="0"/>
    <n v="0"/>
    <n v="0"/>
    <n v="15"/>
    <n v="65"/>
    <n v="0"/>
    <n v="1195.82"/>
    <n v="391.54"/>
    <m/>
    <n v="2052.0522166669912"/>
    <n v="364.92243737572466"/>
    <n v="0"/>
    <n v="21640.754540000002"/>
    <n v="7085.6993800000009"/>
    <n v="0"/>
    <n v="37119.125138328047"/>
    <n v="6604.0013491884893"/>
  </r>
  <r>
    <s v="Sistema de Compensação"/>
    <x v="1"/>
    <x v="2"/>
    <x v="4"/>
    <x v="0"/>
    <x v="0"/>
    <x v="0"/>
    <x v="1"/>
    <x v="8"/>
    <n v="0"/>
    <n v="0"/>
    <n v="2.4E-2"/>
    <n v="2.4E-2"/>
    <n v="2.4E-2"/>
    <n v="2.4E-2"/>
    <n v="0"/>
    <x v="0"/>
    <n v="0"/>
    <n v="0"/>
    <n v="15"/>
    <n v="65"/>
    <n v="0"/>
    <n v="1195.82"/>
    <n v="391.54"/>
    <m/>
    <n v="2052.0522166669912"/>
    <n v="364.92243737572466"/>
    <n v="0"/>
    <n v="28.699680000000001"/>
    <n v="9.39696"/>
    <n v="0"/>
    <n v="49.226888617995975"/>
    <n v="8.7581384970173914"/>
  </r>
  <r>
    <s v="Regular"/>
    <x v="1"/>
    <x v="2"/>
    <x v="4"/>
    <x v="0"/>
    <x v="0"/>
    <x v="0"/>
    <x v="1"/>
    <x v="9"/>
    <n v="0"/>
    <n v="0"/>
    <n v="14.175000000000001"/>
    <n v="14.175000000000001"/>
    <n v="14.175000000000001"/>
    <n v="14.175000000000001"/>
    <n v="0"/>
    <x v="0"/>
    <n v="0"/>
    <n v="0"/>
    <n v="15"/>
    <n v="65"/>
    <n v="0"/>
    <n v="1195.82"/>
    <n v="391.54"/>
    <m/>
    <n v="2052.0522166669912"/>
    <n v="364.92243737572466"/>
    <n v="0"/>
    <n v="16950.748500000002"/>
    <n v="5550.0795000000007"/>
    <n v="0"/>
    <n v="29074.631090003873"/>
    <n v="5172.7755498008974"/>
  </r>
  <r>
    <s v="Sistema de Compensação"/>
    <x v="1"/>
    <x v="2"/>
    <x v="4"/>
    <x v="0"/>
    <x v="0"/>
    <x v="0"/>
    <x v="1"/>
    <x v="9"/>
    <n v="0"/>
    <n v="0"/>
    <n v="2.9000000000000001E-2"/>
    <n v="2.9000000000000001E-2"/>
    <n v="2.9000000000000001E-2"/>
    <n v="2.9000000000000001E-2"/>
    <n v="0"/>
    <x v="0"/>
    <n v="0"/>
    <n v="0"/>
    <n v="15"/>
    <n v="65"/>
    <n v="0"/>
    <n v="1195.82"/>
    <n v="391.54"/>
    <m/>
    <n v="2052.0522166669912"/>
    <n v="364.92243737572466"/>
    <n v="0"/>
    <n v="34.678780000000003"/>
    <n v="11.354660000000001"/>
    <n v="0"/>
    <n v="59.482490413411803"/>
    <n v="10.582750683896016"/>
  </r>
  <r>
    <s v="Regular"/>
    <x v="1"/>
    <x v="2"/>
    <x v="4"/>
    <x v="0"/>
    <x v="0"/>
    <x v="0"/>
    <x v="1"/>
    <x v="1"/>
    <n v="0"/>
    <n v="0"/>
    <n v="10.794"/>
    <n v="10.794"/>
    <n v="10.794"/>
    <n v="10.794"/>
    <n v="0"/>
    <x v="0"/>
    <n v="0"/>
    <n v="0"/>
    <n v="15"/>
    <n v="65"/>
    <n v="0"/>
    <n v="1195.82"/>
    <n v="391.54"/>
    <m/>
    <n v="2052.0522166669912"/>
    <n v="364.92243737572466"/>
    <n v="0"/>
    <n v="12907.68108"/>
    <n v="4226.2827600000001"/>
    <n v="0"/>
    <n v="22139.793155943691"/>
    <n v="3938.9727890335721"/>
  </r>
  <r>
    <s v="Sistema de Compensação"/>
    <x v="1"/>
    <x v="2"/>
    <x v="4"/>
    <x v="0"/>
    <x v="0"/>
    <x v="0"/>
    <x v="1"/>
    <x v="1"/>
    <n v="0"/>
    <n v="0"/>
    <n v="2.8000000000000001E-2"/>
    <n v="2.8000000000000001E-2"/>
    <n v="2.8000000000000001E-2"/>
    <n v="2.8000000000000001E-2"/>
    <n v="0"/>
    <x v="0"/>
    <n v="0"/>
    <n v="0"/>
    <n v="15"/>
    <n v="65"/>
    <n v="0"/>
    <n v="1195.82"/>
    <n v="391.54"/>
    <m/>
    <n v="2052.0522166669912"/>
    <n v="364.92243737572466"/>
    <n v="0"/>
    <n v="33.482959999999999"/>
    <n v="10.96312"/>
    <n v="0"/>
    <n v="57.431370054328639"/>
    <n v="10.217828246520291"/>
  </r>
  <r>
    <s v="Regular"/>
    <x v="1"/>
    <x v="2"/>
    <x v="4"/>
    <x v="0"/>
    <x v="0"/>
    <x v="0"/>
    <x v="1"/>
    <x v="2"/>
    <n v="0"/>
    <n v="0"/>
    <n v="10.436999999999999"/>
    <n v="10.436999999999999"/>
    <n v="10.436999999999999"/>
    <n v="10.436999999999999"/>
    <n v="0"/>
    <x v="0"/>
    <n v="0"/>
    <n v="0"/>
    <n v="15"/>
    <n v="65"/>
    <n v="0"/>
    <n v="1195.82"/>
    <n v="391.54"/>
    <m/>
    <n v="2052.0522166669912"/>
    <n v="364.92243737572466"/>
    <n v="0"/>
    <n v="12480.773339999998"/>
    <n v="4086.5029799999998"/>
    <n v="0"/>
    <n v="21407.543187750998"/>
    <n v="3808.6954788904382"/>
  </r>
  <r>
    <s v="Sistema de Compensação"/>
    <x v="1"/>
    <x v="2"/>
    <x v="4"/>
    <x v="0"/>
    <x v="0"/>
    <x v="0"/>
    <x v="1"/>
    <x v="2"/>
    <n v="0"/>
    <n v="0"/>
    <n v="0.03"/>
    <n v="0.03"/>
    <n v="0.03"/>
    <n v="0.03"/>
    <n v="0"/>
    <x v="0"/>
    <n v="0"/>
    <n v="0"/>
    <n v="15"/>
    <n v="65"/>
    <n v="0"/>
    <n v="1195.82"/>
    <n v="391.54"/>
    <m/>
    <n v="2052.0522166669912"/>
    <n v="364.92243737572466"/>
    <n v="0"/>
    <n v="35.874599999999994"/>
    <n v="11.7462"/>
    <n v="0"/>
    <n v="61.533610772494967"/>
    <n v="10.947673121271739"/>
  </r>
  <r>
    <s v="Regular"/>
    <x v="1"/>
    <x v="2"/>
    <x v="4"/>
    <x v="0"/>
    <x v="0"/>
    <x v="0"/>
    <x v="1"/>
    <x v="3"/>
    <n v="0"/>
    <n v="0"/>
    <n v="15.644"/>
    <n v="15.644"/>
    <n v="15.644"/>
    <n v="15.644"/>
    <n v="0"/>
    <x v="0"/>
    <n v="0"/>
    <n v="0"/>
    <n v="15"/>
    <n v="65"/>
    <n v="0"/>
    <n v="1195.82"/>
    <n v="391.54"/>
    <m/>
    <n v="2052.0522166669912"/>
    <n v="364.92243737572466"/>
    <n v="0"/>
    <n v="18707.408079999997"/>
    <n v="6125.2517600000001"/>
    <n v="0"/>
    <n v="32087.726897497043"/>
    <n v="5708.8466103058363"/>
  </r>
  <r>
    <s v="Sistema de Compensação"/>
    <x v="1"/>
    <x v="2"/>
    <x v="4"/>
    <x v="0"/>
    <x v="0"/>
    <x v="0"/>
    <x v="1"/>
    <x v="3"/>
    <n v="0"/>
    <n v="0"/>
    <n v="3.5000000000000003E-2"/>
    <n v="3.5000000000000003E-2"/>
    <n v="3.5000000000000003E-2"/>
    <n v="3.5000000000000003E-2"/>
    <n v="0"/>
    <x v="0"/>
    <n v="0"/>
    <n v="0"/>
    <n v="15"/>
    <n v="65"/>
    <n v="0"/>
    <n v="1195.82"/>
    <n v="391.54"/>
    <m/>
    <n v="2052.0522166669912"/>
    <n v="364.92243737572466"/>
    <n v="0"/>
    <n v="41.853700000000003"/>
    <n v="13.703900000000003"/>
    <n v="0"/>
    <n v="71.789212567910795"/>
    <n v="12.772285308150364"/>
  </r>
  <r>
    <s v="Regular"/>
    <x v="1"/>
    <x v="2"/>
    <x v="4"/>
    <x v="0"/>
    <x v="0"/>
    <x v="0"/>
    <x v="1"/>
    <x v="10"/>
    <n v="0"/>
    <n v="0"/>
    <n v="15.657"/>
    <n v="15.657"/>
    <n v="15.657"/>
    <n v="15.657"/>
    <n v="0"/>
    <x v="0"/>
    <n v="0"/>
    <n v="0"/>
    <n v="15"/>
    <n v="65"/>
    <n v="0"/>
    <n v="1195.82"/>
    <n v="391.54"/>
    <m/>
    <n v="2052.0522166669912"/>
    <n v="364.92243737572466"/>
    <n v="0"/>
    <n v="18722.953740000001"/>
    <n v="6130.3417800000007"/>
    <n v="0"/>
    <n v="32114.391462165124"/>
    <n v="5713.5906019917211"/>
  </r>
  <r>
    <s v="Sistema de Compensação"/>
    <x v="1"/>
    <x v="2"/>
    <x v="4"/>
    <x v="0"/>
    <x v="0"/>
    <x v="0"/>
    <x v="1"/>
    <x v="10"/>
    <n v="0"/>
    <n v="0"/>
    <n v="3.5999999999999997E-2"/>
    <n v="3.5999999999999997E-2"/>
    <n v="3.5999999999999997E-2"/>
    <n v="3.5999999999999997E-2"/>
    <n v="0"/>
    <x v="0"/>
    <n v="0"/>
    <n v="0"/>
    <n v="15"/>
    <n v="65"/>
    <n v="0"/>
    <n v="1195.82"/>
    <n v="391.54"/>
    <m/>
    <n v="2052.0522166669912"/>
    <n v="364.92243737572466"/>
    <n v="0"/>
    <n v="43.049519999999994"/>
    <n v="14.09544"/>
    <n v="0"/>
    <n v="73.840332926993952"/>
    <n v="13.137207745526087"/>
  </r>
  <r>
    <s v="PROJETADO"/>
    <x v="1"/>
    <x v="2"/>
    <x v="4"/>
    <x v="0"/>
    <x v="0"/>
    <x v="0"/>
    <x v="1"/>
    <x v="11"/>
    <n v="0"/>
    <n v="0"/>
    <n v="15.657"/>
    <n v="15.657"/>
    <n v="15.657"/>
    <n v="15.657"/>
    <n v="0"/>
    <x v="0"/>
    <n v="0"/>
    <n v="0"/>
    <n v="15"/>
    <n v="65"/>
    <n v="0"/>
    <n v="1195.82"/>
    <n v="391.54"/>
    <m/>
    <n v="2052.0522166669912"/>
    <n v="364.92243737572466"/>
    <n v="0"/>
    <n v="18722.953740000001"/>
    <n v="6130.3417800000007"/>
    <n v="0"/>
    <n v="32114.391462165124"/>
    <n v="5713.5906019917211"/>
  </r>
  <r>
    <s v="PROJETADO"/>
    <x v="1"/>
    <x v="2"/>
    <x v="4"/>
    <x v="0"/>
    <x v="0"/>
    <x v="0"/>
    <x v="1"/>
    <x v="11"/>
    <n v="0"/>
    <n v="0"/>
    <n v="3.5999999999999997E-2"/>
    <n v="3.5999999999999997E-2"/>
    <n v="3.5999999999999997E-2"/>
    <n v="3.5999999999999997E-2"/>
    <n v="0"/>
    <x v="0"/>
    <n v="0"/>
    <n v="0"/>
    <n v="15"/>
    <n v="65"/>
    <n v="0"/>
    <n v="1195.82"/>
    <n v="391.54"/>
    <m/>
    <n v="2052.0522166669912"/>
    <n v="364.92243737572466"/>
    <n v="0"/>
    <n v="43.049519999999994"/>
    <n v="14.09544"/>
    <n v="0"/>
    <n v="73.840332926993952"/>
    <n v="13.137207745526087"/>
  </r>
  <r>
    <s v="Regular"/>
    <x v="1"/>
    <x v="2"/>
    <x v="5"/>
    <x v="0"/>
    <x v="0"/>
    <x v="0"/>
    <x v="0"/>
    <x v="4"/>
    <n v="0"/>
    <n v="0"/>
    <n v="44.543999999999997"/>
    <n v="44.543999999999997"/>
    <n v="44.543999999999997"/>
    <n v="44.543999999999997"/>
    <n v="0"/>
    <x v="0"/>
    <n v="0"/>
    <n v="0"/>
    <n v="17"/>
    <n v="66"/>
    <n v="0"/>
    <n v="84.99"/>
    <n v="242.77"/>
    <m/>
    <n v="146.90220900317223"/>
    <n v="227.53897547400734"/>
    <n v="0"/>
    <n v="3785.7945599999994"/>
    <n v="10813.94688"/>
    <n v="0"/>
    <n v="6543.6119978373035"/>
    <n v="10135.496123514182"/>
  </r>
  <r>
    <s v="Sistema de Compensação"/>
    <x v="1"/>
    <x v="2"/>
    <x v="5"/>
    <x v="0"/>
    <x v="0"/>
    <x v="0"/>
    <x v="0"/>
    <x v="4"/>
    <n v="0"/>
    <n v="0"/>
    <n v="13.754"/>
    <n v="13.754"/>
    <n v="13.754"/>
    <n v="13.754"/>
    <n v="0"/>
    <x v="0"/>
    <n v="0"/>
    <n v="0"/>
    <n v="17"/>
    <n v="66"/>
    <n v="0"/>
    <n v="84.99"/>
    <n v="242.77"/>
    <m/>
    <n v="146.90220900317223"/>
    <n v="227.53897547400734"/>
    <n v="0"/>
    <n v="1168.95246"/>
    <n v="3339.0585799999999"/>
    <n v="0"/>
    <n v="2020.4929826296309"/>
    <n v="3129.571068669497"/>
  </r>
  <r>
    <s v="Regular"/>
    <x v="1"/>
    <x v="2"/>
    <x v="5"/>
    <x v="0"/>
    <x v="0"/>
    <x v="0"/>
    <x v="0"/>
    <x v="5"/>
    <n v="0"/>
    <n v="0"/>
    <n v="38.204999999999998"/>
    <n v="38.204999999999998"/>
    <n v="38.204999999999998"/>
    <n v="38.204999999999998"/>
    <n v="0"/>
    <x v="0"/>
    <n v="0"/>
    <n v="0"/>
    <n v="17"/>
    <n v="66"/>
    <n v="0"/>
    <n v="84.99"/>
    <n v="242.77"/>
    <m/>
    <n v="146.90220900317223"/>
    <n v="227.53897547400734"/>
    <n v="0"/>
    <n v="3247.0429499999996"/>
    <n v="9275.0278500000004"/>
    <n v="0"/>
    <n v="5612.3988949661953"/>
    <n v="8693.1265579844494"/>
  </r>
  <r>
    <s v="Sistema de Compensação"/>
    <x v="1"/>
    <x v="2"/>
    <x v="5"/>
    <x v="0"/>
    <x v="0"/>
    <x v="0"/>
    <x v="0"/>
    <x v="5"/>
    <n v="0"/>
    <n v="0"/>
    <n v="11.188000000000001"/>
    <n v="11.188000000000001"/>
    <n v="11.188000000000001"/>
    <n v="11.188000000000001"/>
    <n v="0"/>
    <x v="0"/>
    <n v="0"/>
    <n v="0"/>
    <n v="17"/>
    <n v="66"/>
    <n v="0"/>
    <n v="84.99"/>
    <n v="242.77"/>
    <m/>
    <n v="146.90220900317223"/>
    <n v="227.53897547400734"/>
    <n v="0"/>
    <n v="950.86811999999998"/>
    <n v="2716.1107600000005"/>
    <n v="0"/>
    <n v="1643.541914327491"/>
    <n v="2545.7060576031945"/>
  </r>
  <r>
    <s v="Regular"/>
    <x v="1"/>
    <x v="2"/>
    <x v="5"/>
    <x v="0"/>
    <x v="0"/>
    <x v="0"/>
    <x v="0"/>
    <x v="0"/>
    <n v="0"/>
    <n v="0"/>
    <n v="34.058"/>
    <n v="34.058"/>
    <n v="34.058"/>
    <n v="34.058"/>
    <n v="0"/>
    <x v="0"/>
    <n v="0"/>
    <n v="0"/>
    <n v="17"/>
    <n v="66"/>
    <n v="0"/>
    <n v="84.99"/>
    <n v="242.77"/>
    <m/>
    <n v="146.90220900317223"/>
    <n v="227.53897547400734"/>
    <n v="0"/>
    <n v="2894.5894199999998"/>
    <n v="8268.2606599999999"/>
    <n v="0"/>
    <n v="5003.1954342300396"/>
    <n v="7749.5224266937421"/>
  </r>
  <r>
    <s v="Sistema de Compensação"/>
    <x v="1"/>
    <x v="2"/>
    <x v="5"/>
    <x v="0"/>
    <x v="0"/>
    <x v="0"/>
    <x v="0"/>
    <x v="0"/>
    <n v="0"/>
    <n v="0"/>
    <n v="12.085000000000001"/>
    <n v="12.085000000000001"/>
    <n v="12.085000000000001"/>
    <n v="12.085000000000001"/>
    <n v="0"/>
    <x v="0"/>
    <n v="0"/>
    <n v="0"/>
    <n v="17"/>
    <n v="66"/>
    <n v="0"/>
    <n v="84.99"/>
    <n v="242.77"/>
    <m/>
    <n v="146.90220900317223"/>
    <n v="227.53897547400734"/>
    <n v="0"/>
    <n v="1027.1041500000001"/>
    <n v="2933.8754500000005"/>
    <n v="0"/>
    <n v="1775.3131958033366"/>
    <n v="2749.8085186033791"/>
  </r>
  <r>
    <s v="Regular"/>
    <x v="1"/>
    <x v="2"/>
    <x v="5"/>
    <x v="0"/>
    <x v="0"/>
    <x v="0"/>
    <x v="0"/>
    <x v="6"/>
    <n v="0"/>
    <n v="0"/>
    <n v="38.064"/>
    <n v="38.064"/>
    <n v="38.064"/>
    <n v="38.064"/>
    <n v="0"/>
    <x v="0"/>
    <n v="0"/>
    <n v="0"/>
    <n v="17"/>
    <n v="66"/>
    <n v="0"/>
    <n v="84.99"/>
    <n v="242.77"/>
    <m/>
    <n v="146.90220900317223"/>
    <n v="227.53897547400734"/>
    <n v="0"/>
    <n v="3235.0593599999997"/>
    <n v="9240.7972800000007"/>
    <n v="0"/>
    <n v="5591.6856834967475"/>
    <n v="8661.0435624426154"/>
  </r>
  <r>
    <s v="Sistema de Compensação"/>
    <x v="1"/>
    <x v="2"/>
    <x v="5"/>
    <x v="0"/>
    <x v="0"/>
    <x v="0"/>
    <x v="0"/>
    <x v="6"/>
    <n v="0"/>
    <n v="0"/>
    <n v="16.135999999999999"/>
    <n v="16.135999999999999"/>
    <n v="16.135999999999999"/>
    <n v="16.135999999999999"/>
    <n v="0"/>
    <x v="0"/>
    <n v="0"/>
    <n v="0"/>
    <n v="17"/>
    <n v="66"/>
    <n v="0"/>
    <n v="84.99"/>
    <n v="242.77"/>
    <m/>
    <n v="146.90220900317223"/>
    <n v="227.53897547400734"/>
    <n v="0"/>
    <n v="1371.3986399999999"/>
    <n v="3917.3367199999998"/>
    <n v="0"/>
    <n v="2370.414044475187"/>
    <n v="3671.5689082485824"/>
  </r>
  <r>
    <s v="Regular"/>
    <x v="1"/>
    <x v="2"/>
    <x v="5"/>
    <x v="0"/>
    <x v="0"/>
    <x v="0"/>
    <x v="0"/>
    <x v="7"/>
    <n v="0"/>
    <n v="0"/>
    <n v="49.121000000000002"/>
    <n v="49.121000000000002"/>
    <n v="49.121000000000002"/>
    <n v="49.121000000000002"/>
    <n v="0"/>
    <x v="0"/>
    <n v="0"/>
    <n v="0"/>
    <n v="17"/>
    <n v="66"/>
    <n v="0"/>
    <n v="84.99"/>
    <n v="242.77"/>
    <m/>
    <n v="146.90220900317223"/>
    <n v="227.53897547400734"/>
    <n v="0"/>
    <n v="4174.7937899999997"/>
    <n v="11925.105170000001"/>
    <n v="0"/>
    <n v="7215.9834084448239"/>
    <n v="11176.942014258715"/>
  </r>
  <r>
    <s v="Sistema de Compensação"/>
    <x v="1"/>
    <x v="2"/>
    <x v="5"/>
    <x v="0"/>
    <x v="0"/>
    <x v="0"/>
    <x v="0"/>
    <x v="7"/>
    <n v="0"/>
    <n v="0"/>
    <n v="37.816000000000003"/>
    <n v="37.816000000000003"/>
    <n v="37.816000000000003"/>
    <n v="37.816000000000003"/>
    <n v="0"/>
    <x v="0"/>
    <n v="0"/>
    <n v="0"/>
    <n v="17"/>
    <n v="66"/>
    <n v="0"/>
    <n v="84.99"/>
    <n v="242.77"/>
    <m/>
    <n v="146.90220900317223"/>
    <n v="227.53897547400734"/>
    <n v="0"/>
    <n v="3213.9818399999999"/>
    <n v="9180.5903200000012"/>
    <n v="0"/>
    <n v="5555.2539356639618"/>
    <n v="8604.613896525063"/>
  </r>
  <r>
    <s v="Regular"/>
    <x v="1"/>
    <x v="2"/>
    <x v="5"/>
    <x v="0"/>
    <x v="0"/>
    <x v="0"/>
    <x v="0"/>
    <x v="8"/>
    <n v="0"/>
    <n v="0"/>
    <n v="49.987000000000002"/>
    <n v="49.987000000000002"/>
    <n v="49.987000000000002"/>
    <n v="49.987000000000002"/>
    <n v="0"/>
    <x v="0"/>
    <n v="0"/>
    <n v="0"/>
    <n v="17"/>
    <n v="66"/>
    <n v="0"/>
    <n v="84.99"/>
    <n v="242.77"/>
    <m/>
    <n v="146.90220900317223"/>
    <n v="227.53897547400734"/>
    <n v="0"/>
    <n v="4248.3951299999999"/>
    <n v="12135.343990000001"/>
    <n v="0"/>
    <n v="7343.2007214415707"/>
    <n v="11373.990767019206"/>
  </r>
  <r>
    <s v="Sistema de Compensação"/>
    <x v="1"/>
    <x v="2"/>
    <x v="5"/>
    <x v="0"/>
    <x v="0"/>
    <x v="0"/>
    <x v="0"/>
    <x v="8"/>
    <n v="0"/>
    <n v="0"/>
    <n v="40.042999999999999"/>
    <n v="40.042999999999999"/>
    <n v="40.042999999999999"/>
    <n v="40.042999999999999"/>
    <n v="0"/>
    <x v="0"/>
    <n v="0"/>
    <n v="0"/>
    <n v="17"/>
    <n v="66"/>
    <n v="0"/>
    <n v="84.99"/>
    <n v="242.77"/>
    <m/>
    <n v="146.90220900317223"/>
    <n v="227.53897547400734"/>
    <n v="0"/>
    <n v="3403.2545699999996"/>
    <n v="9721.2391100000004"/>
    <n v="0"/>
    <n v="5882.4051551140255"/>
    <n v="9111.3431949056758"/>
  </r>
  <r>
    <s v="Regular"/>
    <x v="1"/>
    <x v="2"/>
    <x v="5"/>
    <x v="0"/>
    <x v="0"/>
    <x v="0"/>
    <x v="0"/>
    <x v="9"/>
    <n v="0"/>
    <n v="0"/>
    <n v="47.21"/>
    <n v="47.21"/>
    <n v="47.21"/>
    <n v="47.21"/>
    <n v="0"/>
    <x v="0"/>
    <n v="0"/>
    <n v="0"/>
    <n v="17"/>
    <n v="66"/>
    <n v="0"/>
    <n v="84.99"/>
    <n v="242.77"/>
    <m/>
    <n v="146.90220900317223"/>
    <n v="227.53897547400734"/>
    <n v="0"/>
    <n v="4012.3779"/>
    <n v="11461.171700000001"/>
    <n v="0"/>
    <n v="6935.2532870397608"/>
    <n v="10742.115032127887"/>
  </r>
  <r>
    <s v="Sistema de Compensação"/>
    <x v="1"/>
    <x v="2"/>
    <x v="5"/>
    <x v="0"/>
    <x v="0"/>
    <x v="0"/>
    <x v="0"/>
    <x v="9"/>
    <n v="0"/>
    <n v="0"/>
    <n v="39.948999999999998"/>
    <n v="39.948999999999998"/>
    <n v="39.948999999999998"/>
    <n v="39.948999999999998"/>
    <n v="0"/>
    <x v="0"/>
    <n v="0"/>
    <n v="0"/>
    <n v="17"/>
    <n v="66"/>
    <n v="0"/>
    <n v="84.99"/>
    <n v="242.77"/>
    <m/>
    <n v="146.90220900317223"/>
    <n v="227.53897547400734"/>
    <n v="0"/>
    <n v="3395.2655099999997"/>
    <n v="9698.4187299999994"/>
    <n v="0"/>
    <n v="5868.5963474677274"/>
    <n v="9089.9545312111186"/>
  </r>
  <r>
    <s v="Regular"/>
    <x v="1"/>
    <x v="2"/>
    <x v="5"/>
    <x v="0"/>
    <x v="0"/>
    <x v="0"/>
    <x v="0"/>
    <x v="1"/>
    <n v="0"/>
    <n v="0"/>
    <n v="40.213000000000001"/>
    <n v="40.213000000000001"/>
    <n v="40.213000000000001"/>
    <n v="40.213000000000001"/>
    <n v="0"/>
    <x v="0"/>
    <n v="0"/>
    <n v="0"/>
    <n v="17"/>
    <n v="66"/>
    <n v="0"/>
    <n v="84.99"/>
    <n v="242.77"/>
    <m/>
    <n v="146.90220900317223"/>
    <n v="227.53897547400734"/>
    <n v="0"/>
    <n v="3417.7028700000001"/>
    <n v="9762.51001"/>
    <n v="0"/>
    <n v="5907.3785306445652"/>
    <n v="9150.0248207362583"/>
  </r>
  <r>
    <s v="Sistema de Compensação"/>
    <x v="1"/>
    <x v="2"/>
    <x v="5"/>
    <x v="0"/>
    <x v="0"/>
    <x v="0"/>
    <x v="0"/>
    <x v="1"/>
    <n v="0"/>
    <n v="0"/>
    <n v="33.003"/>
    <n v="33.003"/>
    <n v="33.003"/>
    <n v="33.003"/>
    <n v="0"/>
    <x v="0"/>
    <n v="0"/>
    <n v="0"/>
    <n v="17"/>
    <n v="66"/>
    <n v="0"/>
    <n v="84.99"/>
    <n v="242.77"/>
    <m/>
    <n v="146.90220900317223"/>
    <n v="227.53897547400734"/>
    <n v="0"/>
    <n v="2804.92497"/>
    <n v="8012.1383100000003"/>
    <n v="0"/>
    <n v="4848.2136037316932"/>
    <n v="7509.4688075686645"/>
  </r>
  <r>
    <s v="Regular"/>
    <x v="1"/>
    <x v="2"/>
    <x v="5"/>
    <x v="0"/>
    <x v="0"/>
    <x v="0"/>
    <x v="0"/>
    <x v="2"/>
    <n v="0"/>
    <n v="0"/>
    <n v="29.54"/>
    <n v="29.54"/>
    <n v="29.54"/>
    <n v="29.54"/>
    <n v="0"/>
    <x v="0"/>
    <n v="0"/>
    <n v="0"/>
    <n v="17"/>
    <n v="66"/>
    <n v="0"/>
    <n v="84.99"/>
    <n v="242.77"/>
    <m/>
    <n v="146.90220900317223"/>
    <n v="227.53897547400734"/>
    <n v="0"/>
    <n v="2510.6045999999997"/>
    <n v="7171.4258"/>
    <n v="0"/>
    <n v="4339.4912539537072"/>
    <n v="6721.5013355021765"/>
  </r>
  <r>
    <s v="Sistema de Compensação"/>
    <x v="1"/>
    <x v="2"/>
    <x v="5"/>
    <x v="0"/>
    <x v="0"/>
    <x v="0"/>
    <x v="0"/>
    <x v="2"/>
    <n v="0"/>
    <n v="0"/>
    <n v="21.186"/>
    <n v="21.186"/>
    <n v="21.186"/>
    <n v="21.186"/>
    <n v="0"/>
    <x v="0"/>
    <n v="0"/>
    <n v="0"/>
    <n v="17"/>
    <n v="66"/>
    <n v="0"/>
    <n v="84.99"/>
    <n v="242.77"/>
    <m/>
    <n v="146.90220900317223"/>
    <n v="227.53897547400734"/>
    <n v="0"/>
    <n v="1800.5981399999998"/>
    <n v="5143.3252200000006"/>
    <n v="0"/>
    <n v="3112.270199941207"/>
    <n v="4820.6407343923192"/>
  </r>
  <r>
    <s v="Regular"/>
    <x v="1"/>
    <x v="2"/>
    <x v="5"/>
    <x v="0"/>
    <x v="0"/>
    <x v="0"/>
    <x v="0"/>
    <x v="3"/>
    <n v="0"/>
    <n v="0"/>
    <n v="55.023000000000003"/>
    <n v="55.023000000000003"/>
    <n v="55.023000000000003"/>
    <n v="55.023000000000003"/>
    <n v="0"/>
    <x v="0"/>
    <n v="0"/>
    <n v="0"/>
    <n v="17"/>
    <n v="66"/>
    <n v="0"/>
    <n v="84.99"/>
    <n v="242.77"/>
    <m/>
    <n v="146.90220900317223"/>
    <n v="227.53897547400734"/>
    <n v="0"/>
    <n v="4676.4047700000001"/>
    <n v="13357.933710000001"/>
    <n v="0"/>
    <n v="8083.000245981546"/>
    <n v="12519.877047506307"/>
  </r>
  <r>
    <s v="Sistema de Compensação"/>
    <x v="1"/>
    <x v="2"/>
    <x v="5"/>
    <x v="0"/>
    <x v="0"/>
    <x v="0"/>
    <x v="0"/>
    <x v="3"/>
    <n v="0"/>
    <n v="0"/>
    <n v="34.936999999999998"/>
    <n v="34.936999999999998"/>
    <n v="34.936999999999998"/>
    <n v="34.936999999999998"/>
    <n v="0"/>
    <x v="0"/>
    <n v="0"/>
    <n v="0"/>
    <n v="17"/>
    <n v="66"/>
    <n v="0"/>
    <n v="84.99"/>
    <n v="242.77"/>
    <m/>
    <n v="146.90220900317223"/>
    <n v="227.53897547400734"/>
    <n v="0"/>
    <n v="2969.2956299999996"/>
    <n v="8481.6554899999992"/>
    <n v="0"/>
    <n v="5132.3224759438281"/>
    <n v="7949.5291861353944"/>
  </r>
  <r>
    <s v="Regular"/>
    <x v="1"/>
    <x v="2"/>
    <x v="5"/>
    <x v="0"/>
    <x v="0"/>
    <x v="0"/>
    <x v="0"/>
    <x v="10"/>
    <n v="0"/>
    <n v="0"/>
    <n v="66.283000000000001"/>
    <n v="66.283000000000001"/>
    <n v="66.283000000000001"/>
    <n v="66.283000000000001"/>
    <n v="0"/>
    <x v="0"/>
    <n v="0"/>
    <n v="0"/>
    <n v="17"/>
    <n v="66"/>
    <n v="0"/>
    <n v="84.99"/>
    <n v="242.77"/>
    <m/>
    <n v="146.90220900317223"/>
    <n v="227.53897547400734"/>
    <n v="0"/>
    <n v="5633.3921700000001"/>
    <n v="16091.523910000002"/>
    <n v="0"/>
    <n v="9737.1191193572649"/>
    <n v="15081.965911343628"/>
  </r>
  <r>
    <s v="Sistema de Compensação"/>
    <x v="1"/>
    <x v="2"/>
    <x v="5"/>
    <x v="0"/>
    <x v="0"/>
    <x v="0"/>
    <x v="0"/>
    <x v="10"/>
    <n v="0"/>
    <n v="0"/>
    <n v="50.369"/>
    <n v="50.369"/>
    <n v="50.369"/>
    <n v="50.369"/>
    <n v="0"/>
    <x v="0"/>
    <n v="0"/>
    <n v="0"/>
    <n v="17"/>
    <n v="66"/>
    <n v="0"/>
    <n v="84.99"/>
    <n v="242.77"/>
    <m/>
    <n v="146.90220900317223"/>
    <n v="227.53897547400734"/>
    <n v="0"/>
    <n v="4280.8613099999993"/>
    <n v="12228.082130000001"/>
    <n v="0"/>
    <n v="7399.3173652807818"/>
    <n v="11460.910655650276"/>
  </r>
  <r>
    <s v="PROJETADO"/>
    <x v="1"/>
    <x v="2"/>
    <x v="5"/>
    <x v="0"/>
    <x v="0"/>
    <x v="0"/>
    <x v="0"/>
    <x v="11"/>
    <n v="0"/>
    <n v="0"/>
    <n v="66.283000000000001"/>
    <n v="66.283000000000001"/>
    <n v="66.283000000000001"/>
    <n v="66.283000000000001"/>
    <n v="0"/>
    <x v="0"/>
    <n v="0"/>
    <n v="0"/>
    <n v="17"/>
    <n v="66"/>
    <n v="0"/>
    <n v="84.99"/>
    <n v="242.77"/>
    <m/>
    <n v="146.90220900317223"/>
    <n v="227.53897547400734"/>
    <n v="0"/>
    <n v="5633.3921700000001"/>
    <n v="16091.523910000002"/>
    <n v="0"/>
    <n v="9737.1191193572649"/>
    <n v="15081.965911343628"/>
  </r>
  <r>
    <s v="PROJETADO"/>
    <x v="1"/>
    <x v="2"/>
    <x v="5"/>
    <x v="0"/>
    <x v="0"/>
    <x v="0"/>
    <x v="0"/>
    <x v="11"/>
    <n v="0"/>
    <n v="0"/>
    <n v="50.369"/>
    <n v="50.369"/>
    <n v="50.369"/>
    <n v="50.369"/>
    <n v="0"/>
    <x v="0"/>
    <n v="0"/>
    <n v="0"/>
    <n v="17"/>
    <n v="66"/>
    <n v="0"/>
    <n v="84.99"/>
    <n v="242.77"/>
    <m/>
    <n v="146.90220900317223"/>
    <n v="227.53897547400734"/>
    <n v="0"/>
    <n v="4280.8613099999993"/>
    <n v="12228.082130000001"/>
    <n v="0"/>
    <n v="7399.3173652807818"/>
    <n v="11460.910655650276"/>
  </r>
  <r>
    <s v="Regular"/>
    <x v="1"/>
    <x v="2"/>
    <x v="5"/>
    <x v="0"/>
    <x v="0"/>
    <x v="0"/>
    <x v="2"/>
    <x v="4"/>
    <n v="395"/>
    <n v="395"/>
    <n v="0"/>
    <n v="0"/>
    <n v="0"/>
    <n v="0"/>
    <n v="7"/>
    <x v="0"/>
    <n v="0"/>
    <n v="13"/>
    <n v="0"/>
    <n v="0"/>
    <n v="18.920000000000002"/>
    <n v="0"/>
    <n v="0"/>
    <n v="32.579678842359165"/>
    <m/>
    <m/>
    <n v="7473.4000000000005"/>
    <n v="0"/>
    <n v="0"/>
    <n v="12859.993380604095"/>
    <n v="0"/>
    <n v="0"/>
  </r>
  <r>
    <s v="Sistema de Compensação"/>
    <x v="1"/>
    <x v="2"/>
    <x v="5"/>
    <x v="0"/>
    <x v="0"/>
    <x v="0"/>
    <x v="2"/>
    <x v="4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5"/>
    <n v="392"/>
    <n v="392"/>
    <n v="0"/>
    <n v="0"/>
    <n v="0"/>
    <n v="0"/>
    <n v="7"/>
    <x v="0"/>
    <n v="0"/>
    <n v="13"/>
    <n v="0"/>
    <n v="0"/>
    <n v="18.920000000000002"/>
    <n v="0"/>
    <n v="0"/>
    <n v="32.579678842359165"/>
    <m/>
    <m/>
    <n v="7416.64"/>
    <n v="0"/>
    <n v="0"/>
    <n v="12762.322544802038"/>
    <n v="0"/>
    <n v="0"/>
  </r>
  <r>
    <s v="Sistema de Compensação"/>
    <x v="1"/>
    <x v="2"/>
    <x v="5"/>
    <x v="0"/>
    <x v="0"/>
    <x v="0"/>
    <x v="2"/>
    <x v="5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0"/>
    <n v="391"/>
    <n v="391"/>
    <n v="0"/>
    <n v="0"/>
    <n v="0"/>
    <n v="0"/>
    <n v="7"/>
    <x v="0"/>
    <n v="0"/>
    <n v="13"/>
    <n v="0"/>
    <n v="0"/>
    <n v="18.920000000000002"/>
    <n v="0"/>
    <n v="0"/>
    <n v="32.579678842359165"/>
    <m/>
    <m/>
    <n v="7397.72"/>
    <n v="0"/>
    <n v="0"/>
    <n v="12729.765599534687"/>
    <n v="0"/>
    <n v="0"/>
  </r>
  <r>
    <s v="Sistema de Compensação"/>
    <x v="1"/>
    <x v="2"/>
    <x v="5"/>
    <x v="0"/>
    <x v="0"/>
    <x v="0"/>
    <x v="2"/>
    <x v="0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6"/>
    <n v="390"/>
    <n v="390"/>
    <n v="0"/>
    <n v="0"/>
    <n v="0"/>
    <n v="0"/>
    <n v="7"/>
    <x v="0"/>
    <n v="0"/>
    <n v="13"/>
    <n v="0"/>
    <n v="0"/>
    <n v="18.920000000000002"/>
    <n v="0"/>
    <n v="0"/>
    <n v="32.579678842359165"/>
    <m/>
    <m/>
    <n v="7378.8000000000011"/>
    <n v="0"/>
    <n v="0"/>
    <n v="12697.208654267335"/>
    <n v="0"/>
    <n v="0"/>
  </r>
  <r>
    <s v="Sistema de Compensação"/>
    <x v="1"/>
    <x v="2"/>
    <x v="5"/>
    <x v="0"/>
    <x v="0"/>
    <x v="0"/>
    <x v="2"/>
    <x v="6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7"/>
    <n v="392"/>
    <n v="392"/>
    <n v="0"/>
    <n v="0"/>
    <n v="0"/>
    <n v="0"/>
    <n v="7"/>
    <x v="0"/>
    <n v="0"/>
    <n v="13"/>
    <n v="0"/>
    <n v="0"/>
    <n v="18.920000000000002"/>
    <n v="0"/>
    <n v="0"/>
    <n v="32.579678842359165"/>
    <m/>
    <m/>
    <n v="7416.64"/>
    <n v="0"/>
    <n v="0"/>
    <n v="12762.322544802038"/>
    <n v="0"/>
    <n v="0"/>
  </r>
  <r>
    <s v="Sistema de Compensação"/>
    <x v="1"/>
    <x v="2"/>
    <x v="5"/>
    <x v="0"/>
    <x v="0"/>
    <x v="0"/>
    <x v="2"/>
    <x v="7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8"/>
    <n v="415"/>
    <n v="415"/>
    <n v="0"/>
    <n v="0"/>
    <n v="0"/>
    <n v="0"/>
    <n v="8"/>
    <x v="0"/>
    <n v="0"/>
    <n v="13"/>
    <n v="0"/>
    <n v="0"/>
    <n v="18.920000000000002"/>
    <n v="0"/>
    <n v="0"/>
    <n v="32.579678842359165"/>
    <m/>
    <m/>
    <n v="7851.8000000000011"/>
    <n v="0"/>
    <n v="0"/>
    <n v="13511.132285951138"/>
    <n v="0"/>
    <n v="0"/>
  </r>
  <r>
    <s v="Sistema de Compensação"/>
    <x v="1"/>
    <x v="2"/>
    <x v="5"/>
    <x v="0"/>
    <x v="0"/>
    <x v="0"/>
    <x v="2"/>
    <x v="8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9"/>
    <n v="456"/>
    <n v="456"/>
    <n v="0"/>
    <n v="0"/>
    <n v="0"/>
    <n v="0"/>
    <n v="9"/>
    <x v="0"/>
    <n v="0"/>
    <n v="13"/>
    <n v="0"/>
    <n v="0"/>
    <n v="18.920000000000002"/>
    <n v="0"/>
    <n v="0"/>
    <n v="32.579678842359165"/>
    <m/>
    <m/>
    <n v="8627.52"/>
    <n v="0"/>
    <n v="0"/>
    <n v="14845.967041912576"/>
    <n v="0"/>
    <n v="0"/>
  </r>
  <r>
    <s v="Sistema de Compensação"/>
    <x v="1"/>
    <x v="2"/>
    <x v="5"/>
    <x v="0"/>
    <x v="0"/>
    <x v="0"/>
    <x v="2"/>
    <x v="9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1"/>
    <n v="441"/>
    <n v="441"/>
    <n v="0"/>
    <n v="0"/>
    <n v="0"/>
    <n v="0"/>
    <n v="9"/>
    <x v="0"/>
    <n v="0"/>
    <n v="13"/>
    <n v="0"/>
    <n v="0"/>
    <n v="18.920000000000002"/>
    <n v="0"/>
    <n v="0"/>
    <n v="32.579678842359165"/>
    <m/>
    <m/>
    <n v="8343.7200000000012"/>
    <n v="0"/>
    <n v="0"/>
    <n v="14357.612862902295"/>
    <n v="0"/>
    <n v="0"/>
  </r>
  <r>
    <s v="Sistema de Compensação"/>
    <x v="1"/>
    <x v="2"/>
    <x v="5"/>
    <x v="0"/>
    <x v="0"/>
    <x v="0"/>
    <x v="2"/>
    <x v="1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2"/>
    <n v="552"/>
    <n v="552"/>
    <n v="0"/>
    <n v="0"/>
    <n v="0"/>
    <n v="0"/>
    <n v="9"/>
    <x v="0"/>
    <n v="0"/>
    <n v="13"/>
    <n v="0"/>
    <n v="0"/>
    <n v="18.920000000000002"/>
    <n v="0"/>
    <n v="0"/>
    <n v="32.579678842359165"/>
    <m/>
    <m/>
    <n v="10443.84"/>
    <n v="0"/>
    <n v="0"/>
    <n v="17971.433787578382"/>
    <n v="0"/>
    <n v="0"/>
  </r>
  <r>
    <s v="Sistema de Compensação"/>
    <x v="1"/>
    <x v="2"/>
    <x v="5"/>
    <x v="0"/>
    <x v="0"/>
    <x v="0"/>
    <x v="2"/>
    <x v="2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3"/>
    <n v="583"/>
    <n v="583"/>
    <n v="0"/>
    <n v="0"/>
    <n v="0"/>
    <n v="0"/>
    <n v="9"/>
    <x v="0"/>
    <n v="0"/>
    <n v="13"/>
    <n v="0"/>
    <n v="0"/>
    <n v="18.920000000000002"/>
    <n v="0"/>
    <n v="0"/>
    <n v="32.579678842359165"/>
    <m/>
    <m/>
    <n v="11030.36"/>
    <n v="0"/>
    <n v="0"/>
    <n v="18980.699090866299"/>
    <n v="0"/>
    <n v="0"/>
  </r>
  <r>
    <s v="Sistema de Compensação"/>
    <x v="1"/>
    <x v="2"/>
    <x v="5"/>
    <x v="0"/>
    <x v="0"/>
    <x v="0"/>
    <x v="2"/>
    <x v="3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2"/>
    <x v="10"/>
    <n v="613"/>
    <n v="613"/>
    <n v="0"/>
    <n v="0"/>
    <n v="0"/>
    <n v="0"/>
    <n v="9"/>
    <x v="0"/>
    <n v="0"/>
    <n v="13"/>
    <n v="0"/>
    <n v="0"/>
    <n v="18.920000000000002"/>
    <n v="0"/>
    <n v="0"/>
    <n v="32.579678842359165"/>
    <m/>
    <m/>
    <n v="11597.960000000001"/>
    <n v="0"/>
    <n v="0"/>
    <n v="19957.407448886861"/>
    <n v="0"/>
    <n v="0"/>
  </r>
  <r>
    <s v="Sistema de Compensação"/>
    <x v="1"/>
    <x v="2"/>
    <x v="5"/>
    <x v="0"/>
    <x v="0"/>
    <x v="0"/>
    <x v="2"/>
    <x v="10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PROJETADO"/>
    <x v="1"/>
    <x v="2"/>
    <x v="5"/>
    <x v="0"/>
    <x v="0"/>
    <x v="0"/>
    <x v="2"/>
    <x v="11"/>
    <n v="613"/>
    <n v="613"/>
    <n v="0"/>
    <n v="0"/>
    <n v="0"/>
    <n v="0"/>
    <n v="9"/>
    <x v="0"/>
    <n v="0"/>
    <n v="13"/>
    <n v="0"/>
    <n v="0"/>
    <n v="18.920000000000002"/>
    <n v="0"/>
    <n v="0"/>
    <n v="32.579678842359165"/>
    <m/>
    <m/>
    <n v="11597.960000000001"/>
    <n v="0"/>
    <n v="0"/>
    <n v="19957.407448886861"/>
    <n v="0"/>
    <n v="0"/>
  </r>
  <r>
    <s v="PROJETADO"/>
    <x v="1"/>
    <x v="2"/>
    <x v="5"/>
    <x v="0"/>
    <x v="0"/>
    <x v="0"/>
    <x v="2"/>
    <x v="11"/>
    <n v="320"/>
    <n v="320"/>
    <n v="0"/>
    <n v="0"/>
    <n v="0"/>
    <n v="0"/>
    <n v="2"/>
    <x v="0"/>
    <n v="0"/>
    <n v="13"/>
    <n v="0"/>
    <n v="0"/>
    <n v="18.920000000000002"/>
    <n v="0"/>
    <n v="0"/>
    <n v="32.579678842359165"/>
    <m/>
    <m/>
    <n v="6054.4000000000005"/>
    <n v="0"/>
    <n v="0"/>
    <n v="10418.222485552686"/>
    <n v="0"/>
    <n v="0"/>
  </r>
  <r>
    <s v="Regular"/>
    <x v="1"/>
    <x v="2"/>
    <x v="5"/>
    <x v="0"/>
    <x v="0"/>
    <x v="0"/>
    <x v="1"/>
    <x v="4"/>
    <n v="0"/>
    <n v="0"/>
    <n v="3.5510000000000002"/>
    <n v="3.5510000000000002"/>
    <n v="3.5510000000000002"/>
    <n v="3.5510000000000002"/>
    <n v="0"/>
    <x v="0"/>
    <n v="0"/>
    <n v="0"/>
    <n v="15"/>
    <n v="65"/>
    <n v="0"/>
    <n v="1195.82"/>
    <n v="391.54"/>
    <m/>
    <n v="2052.0522166669912"/>
    <n v="364.92243737572466"/>
    <n v="0"/>
    <n v="4246.35682"/>
    <n v="1390.3585400000002"/>
    <n v="0"/>
    <n v="7283.5283951043211"/>
    <n v="1295.8395751211983"/>
  </r>
  <r>
    <s v="Sistema de Compensação"/>
    <x v="1"/>
    <x v="2"/>
    <x v="5"/>
    <x v="0"/>
    <x v="0"/>
    <x v="0"/>
    <x v="1"/>
    <x v="4"/>
    <n v="0"/>
    <n v="0"/>
    <n v="3.101"/>
    <n v="3.101"/>
    <n v="3.101"/>
    <n v="3.101"/>
    <n v="0"/>
    <x v="0"/>
    <n v="0"/>
    <n v="0"/>
    <n v="15"/>
    <n v="65"/>
    <n v="0"/>
    <n v="1195.82"/>
    <n v="391.54"/>
    <m/>
    <n v="2052.0522166669912"/>
    <n v="364.92243737572466"/>
    <n v="0"/>
    <n v="3708.2378199999998"/>
    <n v="1214.16554"/>
    <n v="0"/>
    <n v="6360.5242335168959"/>
    <n v="1131.624478302122"/>
  </r>
  <r>
    <s v="Regular"/>
    <x v="1"/>
    <x v="2"/>
    <x v="5"/>
    <x v="0"/>
    <x v="0"/>
    <x v="0"/>
    <x v="1"/>
    <x v="5"/>
    <n v="0"/>
    <n v="0"/>
    <n v="4.2439999999999998"/>
    <n v="4.2439999999999998"/>
    <n v="4.2439999999999998"/>
    <n v="4.2439999999999998"/>
    <n v="0"/>
    <x v="0"/>
    <n v="0"/>
    <n v="0"/>
    <n v="15"/>
    <n v="65"/>
    <n v="0"/>
    <n v="1195.82"/>
    <n v="391.54"/>
    <m/>
    <n v="2052.0522166669912"/>
    <n v="364.92243737572466"/>
    <n v="0"/>
    <n v="5075.0600799999993"/>
    <n v="1661.6957600000001"/>
    <n v="0"/>
    <n v="8704.9548039489546"/>
    <n v="1548.7308242225754"/>
  </r>
  <r>
    <s v="Sistema de Compensação"/>
    <x v="1"/>
    <x v="2"/>
    <x v="5"/>
    <x v="0"/>
    <x v="0"/>
    <x v="0"/>
    <x v="1"/>
    <x v="5"/>
    <n v="0"/>
    <n v="0"/>
    <n v="3.1509999999999998"/>
    <n v="3.1509999999999998"/>
    <n v="3.1509999999999998"/>
    <n v="3.1509999999999998"/>
    <n v="0"/>
    <x v="0"/>
    <n v="0"/>
    <n v="0"/>
    <n v="15"/>
    <n v="65"/>
    <n v="0"/>
    <n v="1195.82"/>
    <n v="391.54"/>
    <m/>
    <n v="2052.0522166669912"/>
    <n v="364.92243737572466"/>
    <n v="0"/>
    <n v="3768.0288199999995"/>
    <n v="1233.74254"/>
    <n v="0"/>
    <n v="6463.080251471054"/>
    <n v="1149.8706001709083"/>
  </r>
  <r>
    <s v="Regular"/>
    <x v="1"/>
    <x v="2"/>
    <x v="5"/>
    <x v="0"/>
    <x v="0"/>
    <x v="0"/>
    <x v="1"/>
    <x v="0"/>
    <n v="0"/>
    <n v="0"/>
    <n v="2.9239999999999999"/>
    <n v="2.9239999999999999"/>
    <n v="2.9239999999999999"/>
    <n v="2.9239999999999999"/>
    <n v="0"/>
    <x v="0"/>
    <n v="0"/>
    <n v="0"/>
    <n v="15"/>
    <n v="65"/>
    <n v="0"/>
    <n v="1195.82"/>
    <n v="391.54"/>
    <m/>
    <n v="2052.0522166669912"/>
    <n v="364.92243737572466"/>
    <n v="0"/>
    <n v="3496.5776799999999"/>
    <n v="1144.8629599999999"/>
    <n v="0"/>
    <n v="5997.475929959176"/>
    <n v="1067.0332068866189"/>
  </r>
  <r>
    <s v="Sistema de Compensação"/>
    <x v="1"/>
    <x v="2"/>
    <x v="5"/>
    <x v="0"/>
    <x v="0"/>
    <x v="0"/>
    <x v="1"/>
    <x v="0"/>
    <n v="0"/>
    <n v="0"/>
    <n v="2.6309999999999998"/>
    <n v="2.6309999999999998"/>
    <n v="2.6309999999999998"/>
    <n v="2.6309999999999998"/>
    <n v="0"/>
    <x v="0"/>
    <n v="0"/>
    <n v="0"/>
    <n v="15"/>
    <n v="65"/>
    <n v="0"/>
    <n v="1195.82"/>
    <n v="391.54"/>
    <m/>
    <n v="2052.0522166669912"/>
    <n v="364.92243737572466"/>
    <n v="0"/>
    <n v="3146.2024199999996"/>
    <n v="1030.14174"/>
    <n v="0"/>
    <n v="5396.4976647478079"/>
    <n v="960.11093273553149"/>
  </r>
  <r>
    <s v="Regular"/>
    <x v="1"/>
    <x v="2"/>
    <x v="5"/>
    <x v="0"/>
    <x v="0"/>
    <x v="0"/>
    <x v="1"/>
    <x v="6"/>
    <n v="0"/>
    <n v="0"/>
    <n v="3.3050000000000002"/>
    <n v="3.3050000000000002"/>
    <n v="3.3050000000000002"/>
    <n v="3.3050000000000002"/>
    <n v="0"/>
    <x v="0"/>
    <n v="0"/>
    <n v="0"/>
    <n v="15"/>
    <n v="65"/>
    <n v="0"/>
    <n v="1195.82"/>
    <n v="391.54"/>
    <m/>
    <n v="2052.0522166669912"/>
    <n v="364.92243737572466"/>
    <n v="0"/>
    <n v="3952.1851000000001"/>
    <n v="1294.0397"/>
    <n v="0"/>
    <n v="6778.9527867698625"/>
    <n v="1206.06865552677"/>
  </r>
  <r>
    <s v="Sistema de Compensação"/>
    <x v="1"/>
    <x v="2"/>
    <x v="5"/>
    <x v="0"/>
    <x v="0"/>
    <x v="0"/>
    <x v="1"/>
    <x v="6"/>
    <n v="0"/>
    <n v="0"/>
    <n v="2.9140000000000001"/>
    <n v="2.9140000000000001"/>
    <n v="2.9140000000000001"/>
    <n v="2.9140000000000001"/>
    <n v="0"/>
    <x v="0"/>
    <n v="0"/>
    <n v="0"/>
    <n v="15"/>
    <n v="65"/>
    <n v="0"/>
    <n v="1195.82"/>
    <n v="391.54"/>
    <m/>
    <n v="2052.0522166669912"/>
    <n v="364.92243737572466"/>
    <n v="0"/>
    <n v="3484.6194799999998"/>
    <n v="1140.9475600000001"/>
    <n v="0"/>
    <n v="5976.9647263683446"/>
    <n v="1063.3839825128616"/>
  </r>
  <r>
    <s v="Regular"/>
    <x v="1"/>
    <x v="2"/>
    <x v="5"/>
    <x v="0"/>
    <x v="0"/>
    <x v="0"/>
    <x v="1"/>
    <x v="7"/>
    <n v="0"/>
    <n v="0"/>
    <n v="3.7040000000000002"/>
    <n v="3.7040000000000002"/>
    <n v="3.7040000000000002"/>
    <n v="3.7040000000000002"/>
    <n v="0"/>
    <x v="0"/>
    <n v="0"/>
    <n v="0"/>
    <n v="15"/>
    <n v="65"/>
    <n v="0"/>
    <n v="1195.82"/>
    <n v="391.54"/>
    <m/>
    <n v="2052.0522166669912"/>
    <n v="364.92243737572466"/>
    <n v="0"/>
    <n v="4429.3172800000002"/>
    <n v="1450.2641600000002"/>
    <n v="0"/>
    <n v="7597.3498100440456"/>
    <n v="1351.6727080396843"/>
  </r>
  <r>
    <s v="Sistema de Compensação"/>
    <x v="1"/>
    <x v="2"/>
    <x v="5"/>
    <x v="0"/>
    <x v="0"/>
    <x v="0"/>
    <x v="1"/>
    <x v="7"/>
    <n v="0"/>
    <n v="0"/>
    <n v="6.8840000000000003"/>
    <n v="6.8840000000000003"/>
    <n v="6.8840000000000003"/>
    <n v="6.8840000000000003"/>
    <n v="0"/>
    <x v="0"/>
    <n v="0"/>
    <n v="0"/>
    <n v="15"/>
    <n v="65"/>
    <n v="0"/>
    <n v="1195.82"/>
    <n v="391.54"/>
    <m/>
    <n v="2052.0522166669912"/>
    <n v="364.92243737572466"/>
    <n v="0"/>
    <n v="8232.0248800000008"/>
    <n v="2695.3613600000003"/>
    <n v="0"/>
    <n v="14119.912551928512"/>
    <n v="2512.1260588944888"/>
  </r>
  <r>
    <s v="Regular"/>
    <x v="1"/>
    <x v="2"/>
    <x v="5"/>
    <x v="0"/>
    <x v="0"/>
    <x v="0"/>
    <x v="1"/>
    <x v="8"/>
    <n v="0"/>
    <n v="0"/>
    <n v="3.448"/>
    <n v="3.448"/>
    <n v="3.448"/>
    <n v="3.448"/>
    <n v="0"/>
    <x v="0"/>
    <n v="0"/>
    <n v="0"/>
    <n v="15"/>
    <n v="65"/>
    <n v="0"/>
    <n v="1195.82"/>
    <n v="391.54"/>
    <m/>
    <n v="2052.0522166669912"/>
    <n v="364.92243737572466"/>
    <n v="0"/>
    <n v="4123.1873599999999"/>
    <n v="1350.0299199999999"/>
    <n v="0"/>
    <n v="7072.2629981187547"/>
    <n v="1258.2525640714987"/>
  </r>
  <r>
    <s v="Sistema de Compensação"/>
    <x v="1"/>
    <x v="2"/>
    <x v="5"/>
    <x v="0"/>
    <x v="0"/>
    <x v="0"/>
    <x v="1"/>
    <x v="8"/>
    <n v="0"/>
    <n v="0"/>
    <n v="6.7949999999999999"/>
    <n v="6.7949999999999999"/>
    <n v="6.7949999999999999"/>
    <n v="6.7949999999999999"/>
    <n v="0"/>
    <x v="0"/>
    <n v="0"/>
    <n v="0"/>
    <n v="15"/>
    <n v="65"/>
    <n v="0"/>
    <n v="1195.82"/>
    <n v="391.54"/>
    <m/>
    <n v="2052.0522166669912"/>
    <n v="364.92243737572466"/>
    <n v="0"/>
    <n v="8125.5968999999996"/>
    <n v="2660.5143000000003"/>
    <n v="0"/>
    <n v="13937.36283997011"/>
    <n v="2479.647961968049"/>
  </r>
  <r>
    <s v="Regular"/>
    <x v="1"/>
    <x v="2"/>
    <x v="5"/>
    <x v="0"/>
    <x v="0"/>
    <x v="0"/>
    <x v="1"/>
    <x v="9"/>
    <n v="0"/>
    <n v="0"/>
    <n v="3.4220000000000002"/>
    <n v="3.4220000000000002"/>
    <n v="3.4220000000000002"/>
    <n v="3.4220000000000002"/>
    <n v="0"/>
    <x v="0"/>
    <n v="0"/>
    <n v="0"/>
    <n v="15"/>
    <n v="65"/>
    <n v="0"/>
    <n v="1195.82"/>
    <n v="391.54"/>
    <m/>
    <n v="2052.0522166669912"/>
    <n v="364.92243737572466"/>
    <n v="0"/>
    <n v="4092.0960399999999"/>
    <n v="1339.8498800000002"/>
    <n v="0"/>
    <n v="7018.933868782593"/>
    <n v="1248.7645806997298"/>
  </r>
  <r>
    <s v="Sistema de Compensação"/>
    <x v="1"/>
    <x v="2"/>
    <x v="5"/>
    <x v="0"/>
    <x v="0"/>
    <x v="0"/>
    <x v="1"/>
    <x v="9"/>
    <n v="0"/>
    <n v="0"/>
    <n v="7.2409999999999997"/>
    <n v="7.2409999999999997"/>
    <n v="7.2409999999999997"/>
    <n v="7.2409999999999997"/>
    <n v="0"/>
    <x v="0"/>
    <n v="0"/>
    <n v="0"/>
    <n v="15"/>
    <n v="65"/>
    <n v="0"/>
    <n v="1195.82"/>
    <n v="391.54"/>
    <m/>
    <n v="2052.0522166669912"/>
    <n v="364.92243737572466"/>
    <n v="0"/>
    <n v="8658.9326199999996"/>
    <n v="2835.1411400000002"/>
    <n v="0"/>
    <n v="14852.162520121201"/>
    <n v="2642.4033690376223"/>
  </r>
  <r>
    <s v="Regular"/>
    <x v="1"/>
    <x v="2"/>
    <x v="5"/>
    <x v="0"/>
    <x v="0"/>
    <x v="0"/>
    <x v="1"/>
    <x v="1"/>
    <n v="0"/>
    <n v="0"/>
    <n v="3.3050000000000002"/>
    <n v="3.3050000000000002"/>
    <n v="3.3050000000000002"/>
    <n v="3.3050000000000002"/>
    <n v="0"/>
    <x v="0"/>
    <n v="0"/>
    <n v="0"/>
    <n v="15"/>
    <n v="65"/>
    <n v="0"/>
    <n v="1195.82"/>
    <n v="391.54"/>
    <m/>
    <n v="2052.0522166669912"/>
    <n v="364.92243737572466"/>
    <n v="0"/>
    <n v="3952.1851000000001"/>
    <n v="1294.0397"/>
    <n v="0"/>
    <n v="6778.9527867698625"/>
    <n v="1206.06865552677"/>
  </r>
  <r>
    <s v="Sistema de Compensação"/>
    <x v="1"/>
    <x v="2"/>
    <x v="5"/>
    <x v="0"/>
    <x v="0"/>
    <x v="0"/>
    <x v="1"/>
    <x v="1"/>
    <n v="0"/>
    <n v="0"/>
    <n v="6.1420000000000003"/>
    <n v="6.1420000000000003"/>
    <n v="6.1420000000000003"/>
    <n v="6.1420000000000003"/>
    <n v="0"/>
    <x v="0"/>
    <n v="0"/>
    <n v="0"/>
    <n v="15"/>
    <n v="65"/>
    <n v="0"/>
    <n v="1195.82"/>
    <n v="391.54"/>
    <m/>
    <n v="2052.0522166669912"/>
    <n v="364.92243737572466"/>
    <n v="0"/>
    <n v="7344.7264400000004"/>
    <n v="2404.8386800000003"/>
    <n v="0"/>
    <n v="12597.981245488803"/>
    <n v="2241.3536103617012"/>
  </r>
  <r>
    <s v="Regular"/>
    <x v="1"/>
    <x v="2"/>
    <x v="5"/>
    <x v="0"/>
    <x v="0"/>
    <x v="0"/>
    <x v="1"/>
    <x v="2"/>
    <n v="0"/>
    <n v="0"/>
    <n v="2.6240000000000001"/>
    <n v="2.6240000000000001"/>
    <n v="2.6240000000000001"/>
    <n v="2.6240000000000001"/>
    <n v="0"/>
    <x v="0"/>
    <n v="0"/>
    <n v="0"/>
    <n v="15"/>
    <n v="65"/>
    <n v="0"/>
    <n v="1195.82"/>
    <n v="391.54"/>
    <m/>
    <n v="2052.0522166669912"/>
    <n v="364.92243737572466"/>
    <n v="0"/>
    <n v="3137.8316799999998"/>
    <n v="1027.4009600000002"/>
    <n v="0"/>
    <n v="5382.1398222342268"/>
    <n v="957.55647567390156"/>
  </r>
  <r>
    <s v="Sistema de Compensação"/>
    <x v="1"/>
    <x v="2"/>
    <x v="5"/>
    <x v="0"/>
    <x v="0"/>
    <x v="0"/>
    <x v="1"/>
    <x v="2"/>
    <n v="0"/>
    <n v="0"/>
    <n v="3.996"/>
    <n v="3.996"/>
    <n v="3.996"/>
    <n v="3.996"/>
    <n v="0"/>
    <x v="0"/>
    <n v="0"/>
    <n v="0"/>
    <n v="15"/>
    <n v="65"/>
    <n v="0"/>
    <n v="1195.82"/>
    <n v="391.54"/>
    <m/>
    <n v="2052.0522166669912"/>
    <n v="364.92243737572466"/>
    <n v="0"/>
    <n v="4778.4967200000001"/>
    <n v="1564.59384"/>
    <n v="0"/>
    <n v="8196.2769548963297"/>
    <n v="1458.2300597533956"/>
  </r>
  <r>
    <s v="Regular"/>
    <x v="1"/>
    <x v="2"/>
    <x v="5"/>
    <x v="0"/>
    <x v="0"/>
    <x v="0"/>
    <x v="1"/>
    <x v="3"/>
    <n v="0"/>
    <n v="0"/>
    <n v="4.0730000000000004"/>
    <n v="4.0730000000000004"/>
    <n v="4.0730000000000004"/>
    <n v="4.0730000000000004"/>
    <n v="0"/>
    <x v="0"/>
    <n v="0"/>
    <n v="0"/>
    <n v="15"/>
    <n v="65"/>
    <n v="0"/>
    <n v="1195.82"/>
    <n v="391.54"/>
    <m/>
    <n v="2052.0522166669912"/>
    <n v="364.92243737572466"/>
    <n v="0"/>
    <n v="4870.5748600000006"/>
    <n v="1594.7424200000003"/>
    <n v="0"/>
    <n v="8354.2132225457335"/>
    <n v="1486.3290874313266"/>
  </r>
  <r>
    <s v="Sistema de Compensação"/>
    <x v="1"/>
    <x v="2"/>
    <x v="5"/>
    <x v="0"/>
    <x v="0"/>
    <x v="0"/>
    <x v="1"/>
    <x v="3"/>
    <n v="0"/>
    <n v="0"/>
    <n v="6.8949999999999996"/>
    <n v="6.8949999999999996"/>
    <n v="6.8949999999999996"/>
    <n v="6.8949999999999996"/>
    <n v="0"/>
    <x v="0"/>
    <n v="0"/>
    <n v="0"/>
    <n v="15"/>
    <n v="65"/>
    <n v="0"/>
    <n v="1195.82"/>
    <n v="391.54"/>
    <m/>
    <n v="2052.0522166669912"/>
    <n v="364.92243737572466"/>
    <n v="0"/>
    <n v="8245.178899999999"/>
    <n v="2699.6682999999998"/>
    <n v="0"/>
    <n v="14142.474875878426"/>
    <n v="2516.1402057056212"/>
  </r>
  <r>
    <s v="Regular"/>
    <x v="1"/>
    <x v="2"/>
    <x v="5"/>
    <x v="0"/>
    <x v="0"/>
    <x v="0"/>
    <x v="1"/>
    <x v="10"/>
    <n v="0"/>
    <n v="0"/>
    <n v="4.0110000000000001"/>
    <n v="4.0110000000000001"/>
    <n v="4.0110000000000001"/>
    <n v="4.0110000000000001"/>
    <n v="0"/>
    <x v="0"/>
    <n v="0"/>
    <n v="0"/>
    <n v="15"/>
    <n v="65"/>
    <n v="0"/>
    <n v="1195.82"/>
    <n v="391.54"/>
    <m/>
    <n v="2052.0522166669912"/>
    <n v="364.92243737572466"/>
    <n v="0"/>
    <n v="4796.4340199999997"/>
    <n v="1570.46694"/>
    <n v="0"/>
    <n v="8227.0437602825768"/>
    <n v="1463.7038963140317"/>
  </r>
  <r>
    <s v="Sistema de Compensação"/>
    <x v="1"/>
    <x v="2"/>
    <x v="5"/>
    <x v="0"/>
    <x v="0"/>
    <x v="0"/>
    <x v="1"/>
    <x v="10"/>
    <n v="0"/>
    <n v="0"/>
    <n v="8.4139999999999997"/>
    <n v="8.4139999999999997"/>
    <n v="8.4139999999999997"/>
    <n v="8.4139999999999997"/>
    <n v="0"/>
    <x v="0"/>
    <n v="0"/>
    <n v="0"/>
    <n v="15"/>
    <n v="65"/>
    <n v="0"/>
    <n v="1195.82"/>
    <n v="391.54"/>
    <m/>
    <n v="2052.0522166669912"/>
    <n v="364.92243737572466"/>
    <n v="0"/>
    <n v="10061.62948"/>
    <n v="3294.4175599999999"/>
    <n v="0"/>
    <n v="17258.126701325753"/>
    <n v="3070.4573880793473"/>
  </r>
  <r>
    <s v="PROJETADO"/>
    <x v="1"/>
    <x v="2"/>
    <x v="5"/>
    <x v="0"/>
    <x v="0"/>
    <x v="0"/>
    <x v="1"/>
    <x v="11"/>
    <n v="0"/>
    <n v="0"/>
    <n v="4.0110000000000001"/>
    <n v="4.0110000000000001"/>
    <n v="4.0110000000000001"/>
    <n v="4.0110000000000001"/>
    <n v="0"/>
    <x v="0"/>
    <n v="0"/>
    <n v="0"/>
    <n v="15"/>
    <n v="65"/>
    <n v="0"/>
    <n v="1195.82"/>
    <n v="391.54"/>
    <m/>
    <n v="2052.0522166669912"/>
    <n v="364.92243737572466"/>
    <n v="0"/>
    <n v="4796.4340199999997"/>
    <n v="1570.46694"/>
    <n v="0"/>
    <n v="8227.0437602825768"/>
    <n v="1463.7038963140317"/>
  </r>
  <r>
    <s v="PROJETADO"/>
    <x v="1"/>
    <x v="2"/>
    <x v="5"/>
    <x v="0"/>
    <x v="0"/>
    <x v="0"/>
    <x v="1"/>
    <x v="11"/>
    <n v="0"/>
    <n v="0"/>
    <n v="8.4139999999999997"/>
    <n v="8.4139999999999997"/>
    <n v="8.4139999999999997"/>
    <n v="8.4139999999999997"/>
    <n v="0"/>
    <x v="0"/>
    <n v="0"/>
    <n v="0"/>
    <n v="15"/>
    <n v="65"/>
    <n v="0"/>
    <n v="1195.82"/>
    <n v="391.54"/>
    <m/>
    <n v="2052.0522166669912"/>
    <n v="364.92243737572466"/>
    <n v="0"/>
    <n v="10061.62948"/>
    <n v="3294.4175599999999"/>
    <n v="0"/>
    <n v="17258.126701325753"/>
    <n v="3070.4573880793473"/>
  </r>
  <r>
    <s v="Regular"/>
    <x v="1"/>
    <x v="2"/>
    <x v="1"/>
    <x v="1"/>
    <x v="1"/>
    <x v="0"/>
    <x v="0"/>
    <x v="4"/>
    <n v="0"/>
    <n v="0"/>
    <n v="10.618"/>
    <n v="2.1236000000000002"/>
    <n v="10.618"/>
    <n v="2.1236000000000002"/>
    <n v="0"/>
    <x v="0"/>
    <n v="0"/>
    <n v="0"/>
    <n v="17"/>
    <n v="66"/>
    <n v="0"/>
    <n v="84.99"/>
    <n v="242.77"/>
    <m/>
    <n v="146.90220900317223"/>
    <n v="227.53897547400734"/>
    <n v="0"/>
    <n v="180.48476400000001"/>
    <n v="515.54637200000002"/>
    <n v="0"/>
    <n v="311.96153103913656"/>
    <n v="483.20176831660206"/>
  </r>
  <r>
    <s v="Regular"/>
    <x v="1"/>
    <x v="2"/>
    <x v="1"/>
    <x v="1"/>
    <x v="1"/>
    <x v="0"/>
    <x v="0"/>
    <x v="5"/>
    <n v="0"/>
    <n v="0"/>
    <n v="1.8220000000000001"/>
    <n v="0.3644"/>
    <n v="1.8220000000000001"/>
    <n v="0.3644"/>
    <n v="0"/>
    <x v="0"/>
    <n v="0"/>
    <n v="0"/>
    <n v="17"/>
    <n v="66"/>
    <n v="0"/>
    <n v="84.99"/>
    <n v="242.77"/>
    <m/>
    <n v="146.90220900317223"/>
    <n v="227.53897547400734"/>
    <n v="0"/>
    <n v="30.970355999999999"/>
    <n v="88.465388000000004"/>
    <n v="0"/>
    <n v="53.531164960755959"/>
    <n v="82.915202662728277"/>
  </r>
  <r>
    <s v="Regular"/>
    <x v="1"/>
    <x v="2"/>
    <x v="1"/>
    <x v="1"/>
    <x v="1"/>
    <x v="0"/>
    <x v="0"/>
    <x v="0"/>
    <n v="0"/>
    <n v="0"/>
    <n v="10.122999999999999"/>
    <n v="2.0246"/>
    <n v="10.122999999999999"/>
    <n v="2.0246"/>
    <n v="0"/>
    <x v="0"/>
    <n v="0"/>
    <n v="0"/>
    <n v="17"/>
    <n v="66"/>
    <n v="0"/>
    <n v="84.99"/>
    <n v="242.77"/>
    <m/>
    <n v="146.90220900317223"/>
    <n v="227.53897547400734"/>
    <n v="0"/>
    <n v="172.07075399999999"/>
    <n v="491.51214199999998"/>
    <n v="0"/>
    <n v="297.41821234782248"/>
    <n v="460.67540974467528"/>
  </r>
  <r>
    <s v="Regular"/>
    <x v="1"/>
    <x v="2"/>
    <x v="1"/>
    <x v="1"/>
    <x v="1"/>
    <x v="0"/>
    <x v="0"/>
    <x v="6"/>
    <n v="0"/>
    <n v="0"/>
    <n v="2.15"/>
    <n v="0.43"/>
    <n v="2.15"/>
    <n v="0.43"/>
    <n v="0"/>
    <x v="0"/>
    <n v="0"/>
    <n v="0"/>
    <n v="17"/>
    <n v="66"/>
    <n v="0"/>
    <n v="84.99"/>
    <n v="242.77"/>
    <m/>
    <n v="146.90220900317223"/>
    <n v="227.53897547400734"/>
    <n v="0"/>
    <n v="36.545699999999997"/>
    <n v="104.39110000000001"/>
    <n v="0"/>
    <n v="63.167949871364058"/>
    <n v="97.841759453823158"/>
  </r>
  <r>
    <s v="Regular"/>
    <x v="1"/>
    <x v="2"/>
    <x v="1"/>
    <x v="1"/>
    <x v="1"/>
    <x v="0"/>
    <x v="0"/>
    <x v="7"/>
    <n v="0"/>
    <n v="0"/>
    <n v="31.052"/>
    <n v="6.2103999999999999"/>
    <n v="31.052"/>
    <n v="6.2103999999999999"/>
    <n v="0"/>
    <x v="0"/>
    <n v="0"/>
    <n v="0"/>
    <n v="17"/>
    <n v="66"/>
    <n v="0"/>
    <n v="84.99"/>
    <n v="242.77"/>
    <m/>
    <n v="146.90220900317223"/>
    <n v="227.53897547400734"/>
    <n v="0"/>
    <n v="527.82189599999992"/>
    <n v="1507.6988080000001"/>
    <n v="0"/>
    <n v="912.3214787933008"/>
    <n v="1413.1080532837752"/>
  </r>
  <r>
    <s v="Regular"/>
    <x v="1"/>
    <x v="2"/>
    <x v="1"/>
    <x v="1"/>
    <x v="1"/>
    <x v="0"/>
    <x v="0"/>
    <x v="8"/>
    <n v="0"/>
    <n v="0"/>
    <n v="147.99100000000001"/>
    <n v="29.598199999999999"/>
    <n v="147.99100000000001"/>
    <n v="29.598199999999999"/>
    <n v="0"/>
    <x v="0"/>
    <n v="0"/>
    <n v="0"/>
    <n v="17"/>
    <n v="66"/>
    <n v="0"/>
    <n v="84.99"/>
    <n v="242.77"/>
    <m/>
    <n v="146.90220900317223"/>
    <n v="227.53897547400734"/>
    <n v="0"/>
    <n v="2515.5510179999997"/>
    <n v="7185.5550139999996"/>
    <n v="0"/>
    <n v="4348.0409625176917"/>
    <n v="6734.7441038747638"/>
  </r>
  <r>
    <s v="Regular"/>
    <x v="1"/>
    <x v="2"/>
    <x v="1"/>
    <x v="1"/>
    <x v="1"/>
    <x v="0"/>
    <x v="0"/>
    <x v="9"/>
    <n v="0"/>
    <n v="0"/>
    <n v="181.78399999999999"/>
    <n v="36.3568"/>
    <n v="181.78399999999999"/>
    <n v="36.3568"/>
    <n v="0"/>
    <x v="0"/>
    <n v="0"/>
    <n v="0"/>
    <n v="17"/>
    <n v="66"/>
    <n v="0"/>
    <n v="84.99"/>
    <n v="242.77"/>
    <m/>
    <n v="146.90220900317223"/>
    <n v="227.53897547400734"/>
    <n v="0"/>
    <n v="3089.9644319999998"/>
    <n v="8826.3403360000011"/>
    <n v="0"/>
    <n v="5340.8942322865323"/>
    <n v="8272.5890235133902"/>
  </r>
  <r>
    <s v="Regular"/>
    <x v="1"/>
    <x v="2"/>
    <x v="1"/>
    <x v="1"/>
    <x v="1"/>
    <x v="0"/>
    <x v="0"/>
    <x v="1"/>
    <n v="0"/>
    <n v="0"/>
    <n v="131.59800000000001"/>
    <n v="26.319600000000001"/>
    <n v="131.59800000000001"/>
    <n v="26.319600000000001"/>
    <n v="0"/>
    <x v="0"/>
    <n v="0"/>
    <n v="0"/>
    <n v="17"/>
    <n v="66"/>
    <n v="0"/>
    <n v="84.99"/>
    <n v="242.77"/>
    <m/>
    <n v="146.90220900317223"/>
    <n v="227.53897547400734"/>
    <n v="0"/>
    <n v="2236.9028039999998"/>
    <n v="6389.609292000001"/>
    <n v="0"/>
    <n v="3866.4073800798919"/>
    <n v="5988.734818885684"/>
  </r>
  <r>
    <s v="Regular"/>
    <x v="1"/>
    <x v="2"/>
    <x v="1"/>
    <x v="1"/>
    <x v="1"/>
    <x v="0"/>
    <x v="0"/>
    <x v="2"/>
    <n v="0"/>
    <n v="0"/>
    <n v="146.72200000000001"/>
    <n v="29.3444"/>
    <n v="146.72200000000001"/>
    <n v="29.3444"/>
    <n v="0"/>
    <x v="0"/>
    <n v="0"/>
    <n v="0"/>
    <n v="17"/>
    <n v="66"/>
    <n v="0"/>
    <n v="84.99"/>
    <n v="242.77"/>
    <m/>
    <n v="146.90220900317223"/>
    <n v="227.53897547400734"/>
    <n v="0"/>
    <n v="2493.980556"/>
    <n v="7123.9399880000001"/>
    <n v="0"/>
    <n v="4310.7571818726874"/>
    <n v="6676.9947118994614"/>
  </r>
  <r>
    <s v="Regular"/>
    <x v="1"/>
    <x v="2"/>
    <x v="1"/>
    <x v="1"/>
    <x v="1"/>
    <x v="0"/>
    <x v="0"/>
    <x v="3"/>
    <n v="0"/>
    <n v="0"/>
    <n v="147.726"/>
    <n v="29.545200000000001"/>
    <n v="147.726"/>
    <n v="29.545200000000001"/>
    <n v="0"/>
    <x v="0"/>
    <n v="0"/>
    <n v="0"/>
    <n v="17"/>
    <n v="66"/>
    <n v="0"/>
    <n v="84.99"/>
    <n v="242.77"/>
    <m/>
    <n v="146.90220900317223"/>
    <n v="227.53897547400734"/>
    <n v="0"/>
    <n v="2511.0465479999998"/>
    <n v="7172.688204000001"/>
    <n v="0"/>
    <n v="4340.2551454405248"/>
    <n v="6722.6845381746425"/>
  </r>
  <r>
    <s v="Regular"/>
    <x v="1"/>
    <x v="2"/>
    <x v="1"/>
    <x v="1"/>
    <x v="1"/>
    <x v="0"/>
    <x v="0"/>
    <x v="10"/>
    <n v="0"/>
    <n v="0"/>
    <n v="132.041"/>
    <n v="26.408200000000001"/>
    <n v="132.041"/>
    <n v="26.408200000000001"/>
    <n v="0"/>
    <x v="0"/>
    <n v="0"/>
    <n v="0"/>
    <n v="17"/>
    <n v="66"/>
    <n v="0"/>
    <n v="84.99"/>
    <n v="242.77"/>
    <m/>
    <n v="146.90220900317223"/>
    <n v="227.53897547400734"/>
    <n v="0"/>
    <n v="2244.432918"/>
    <n v="6411.1187140000002"/>
    <n v="0"/>
    <n v="3879.4229157975728"/>
    <n v="6008.8947721126806"/>
  </r>
  <r>
    <s v="PROJETADO"/>
    <x v="1"/>
    <x v="2"/>
    <x v="1"/>
    <x v="1"/>
    <x v="1"/>
    <x v="0"/>
    <x v="0"/>
    <x v="11"/>
    <n v="0"/>
    <n v="0"/>
    <n v="132.041"/>
    <n v="26.408200000000001"/>
    <n v="132.041"/>
    <n v="26.408200000000001"/>
    <n v="0"/>
    <x v="0"/>
    <n v="0"/>
    <n v="0"/>
    <n v="17"/>
    <n v="66"/>
    <n v="0"/>
    <n v="84.99"/>
    <n v="242.77"/>
    <m/>
    <n v="146.90220900317223"/>
    <n v="227.53897547400734"/>
    <n v="0"/>
    <n v="2244.432918"/>
    <n v="6411.1187140000002"/>
    <n v="0"/>
    <n v="3879.4229157975728"/>
    <n v="6008.8947721126806"/>
  </r>
  <r>
    <s v="Regular"/>
    <x v="1"/>
    <x v="2"/>
    <x v="1"/>
    <x v="1"/>
    <x v="0"/>
    <x v="0"/>
    <x v="0"/>
    <x v="4"/>
    <n v="0"/>
    <n v="0"/>
    <n v="4.008"/>
    <n v="4.008"/>
    <n v="4.008"/>
    <n v="4.008"/>
    <n v="0"/>
    <x v="0"/>
    <n v="0"/>
    <n v="0"/>
    <n v="17"/>
    <n v="66"/>
    <n v="0"/>
    <n v="81.590399999999988"/>
    <n v="233.0592"/>
    <m/>
    <n v="143.96416482310877"/>
    <n v="222.98819596452719"/>
    <n v="0"/>
    <n v="327.01432319999998"/>
    <n v="934.10127360000001"/>
    <n v="0"/>
    <n v="565.23269153732576"/>
    <n v="893.73668942582503"/>
  </r>
  <r>
    <s v="Regular"/>
    <x v="1"/>
    <x v="2"/>
    <x v="1"/>
    <x v="1"/>
    <x v="0"/>
    <x v="0"/>
    <x v="0"/>
    <x v="5"/>
    <n v="0"/>
    <n v="0"/>
    <n v="3.5409999999999999"/>
    <n v="3.5409999999999999"/>
    <n v="3.5409999999999999"/>
    <n v="3.5409999999999999"/>
    <n v="0"/>
    <x v="0"/>
    <n v="0"/>
    <n v="0"/>
    <n v="17"/>
    <n v="66"/>
    <n v="0"/>
    <n v="81.590399999999988"/>
    <n v="233.0592"/>
    <m/>
    <n v="143.96416482310877"/>
    <n v="222.98819596452719"/>
    <n v="0"/>
    <n v="288.91160639999993"/>
    <n v="825.2626272"/>
    <n v="0"/>
    <n v="499.37349319702361"/>
    <n v="789.60120191039073"/>
  </r>
  <r>
    <s v="Regular"/>
    <x v="1"/>
    <x v="2"/>
    <x v="1"/>
    <x v="1"/>
    <x v="0"/>
    <x v="0"/>
    <x v="0"/>
    <x v="0"/>
    <n v="0"/>
    <n v="0"/>
    <n v="5.49"/>
    <n v="5.49"/>
    <n v="5.49"/>
    <n v="5.49"/>
    <n v="0"/>
    <x v="0"/>
    <n v="0"/>
    <n v="0"/>
    <n v="17"/>
    <n v="66"/>
    <n v="0"/>
    <n v="81.590399999999988"/>
    <n v="233.0592"/>
    <m/>
    <n v="143.96416482310877"/>
    <n v="222.98819596452719"/>
    <n v="0"/>
    <n v="447.93129599999997"/>
    <n v="1279.4950080000001"/>
    <n v="0"/>
    <n v="774.233402330319"/>
    <n v="1224.2051958452544"/>
  </r>
  <r>
    <s v="Regular"/>
    <x v="1"/>
    <x v="2"/>
    <x v="1"/>
    <x v="1"/>
    <x v="0"/>
    <x v="0"/>
    <x v="0"/>
    <x v="6"/>
    <n v="0"/>
    <n v="0"/>
    <n v="2.6269999999999998"/>
    <n v="2.6269999999999998"/>
    <n v="2.6269999999999998"/>
    <n v="2.6269999999999998"/>
    <n v="0"/>
    <x v="0"/>
    <n v="0"/>
    <n v="0"/>
    <n v="17"/>
    <n v="66"/>
    <n v="0"/>
    <n v="81.590399999999988"/>
    <n v="233.0592"/>
    <m/>
    <n v="143.96416482310877"/>
    <n v="222.98819596452719"/>
    <n v="0"/>
    <n v="214.33798079999994"/>
    <n v="612.24651840000001"/>
    <n v="0"/>
    <n v="370.47561892928013"/>
    <n v="585.78999079881294"/>
  </r>
  <r>
    <s v="Regular"/>
    <x v="1"/>
    <x v="2"/>
    <x v="1"/>
    <x v="1"/>
    <x v="0"/>
    <x v="0"/>
    <x v="0"/>
    <x v="7"/>
    <n v="0"/>
    <n v="0"/>
    <n v="8.43"/>
    <n v="8.43"/>
    <n v="8.43"/>
    <n v="8.43"/>
    <n v="0"/>
    <x v="0"/>
    <n v="0"/>
    <n v="0"/>
    <n v="17"/>
    <n v="66"/>
    <n v="0"/>
    <n v="81.590399999999988"/>
    <n v="233.0592"/>
    <m/>
    <n v="143.96416482310877"/>
    <n v="222.98819596452719"/>
    <n v="0"/>
    <n v="687.80707199999983"/>
    <n v="1964.6890559999999"/>
    <n v="0"/>
    <n v="1188.8501970208722"/>
    <n v="1879.7904919809641"/>
  </r>
  <r>
    <s v="Regular"/>
    <x v="1"/>
    <x v="2"/>
    <x v="1"/>
    <x v="1"/>
    <x v="0"/>
    <x v="0"/>
    <x v="0"/>
    <x v="8"/>
    <n v="0"/>
    <n v="0"/>
    <n v="96.036000000000001"/>
    <n v="96.036000000000001"/>
    <n v="96.036000000000001"/>
    <n v="96.036000000000001"/>
    <n v="0"/>
    <x v="0"/>
    <n v="0"/>
    <n v="0"/>
    <n v="17"/>
    <n v="66"/>
    <n v="0"/>
    <n v="81.590399999999988"/>
    <n v="233.0592"/>
    <m/>
    <n v="143.96416482310877"/>
    <n v="222.98819596452719"/>
    <n v="0"/>
    <n v="7835.6156543999987"/>
    <n v="22382.073331200001"/>
    <n v="0"/>
    <n v="13543.584522075502"/>
    <n v="21414.894387649332"/>
  </r>
  <r>
    <s v="Regular"/>
    <x v="1"/>
    <x v="2"/>
    <x v="1"/>
    <x v="1"/>
    <x v="0"/>
    <x v="0"/>
    <x v="0"/>
    <x v="9"/>
    <n v="0"/>
    <n v="0"/>
    <n v="114.723"/>
    <n v="114.723"/>
    <n v="114.723"/>
    <n v="114.723"/>
    <n v="0"/>
    <x v="0"/>
    <n v="0"/>
    <n v="0"/>
    <n v="17"/>
    <n v="66"/>
    <n v="0"/>
    <n v="81.590399999999988"/>
    <n v="233.0592"/>
    <m/>
    <n v="143.96416482310877"/>
    <n v="222.98819596452719"/>
    <n v="0"/>
    <n v="9360.2954591999987"/>
    <n v="26737.250601600001"/>
    <n v="0"/>
    <n v="16178.939638532091"/>
    <n v="25581.874805638454"/>
  </r>
  <r>
    <s v="Regular"/>
    <x v="1"/>
    <x v="2"/>
    <x v="1"/>
    <x v="1"/>
    <x v="0"/>
    <x v="0"/>
    <x v="0"/>
    <x v="1"/>
    <n v="0"/>
    <n v="0"/>
    <n v="99.3"/>
    <n v="99.3"/>
    <n v="99.3"/>
    <n v="99.3"/>
    <n v="0"/>
    <x v="0"/>
    <n v="0"/>
    <n v="0"/>
    <n v="17"/>
    <n v="66"/>
    <n v="0"/>
    <n v="81.590399999999988"/>
    <n v="233.0592"/>
    <m/>
    <n v="143.96416482310877"/>
    <n v="222.98819596452719"/>
    <n v="0"/>
    <n v="8101.9267199999986"/>
    <n v="23142.778559999999"/>
    <n v="0"/>
    <n v="14003.893779854403"/>
    <n v="22142.727859277551"/>
  </r>
  <r>
    <s v="Regular"/>
    <x v="1"/>
    <x v="2"/>
    <x v="1"/>
    <x v="1"/>
    <x v="0"/>
    <x v="0"/>
    <x v="0"/>
    <x v="2"/>
    <n v="0"/>
    <n v="0"/>
    <n v="126.755"/>
    <n v="126.755"/>
    <n v="126.755"/>
    <n v="126.755"/>
    <n v="0"/>
    <x v="0"/>
    <n v="0"/>
    <n v="0"/>
    <n v="17"/>
    <n v="66"/>
    <n v="0"/>
    <n v="81.590399999999988"/>
    <n v="233.0592"/>
    <m/>
    <n v="143.96416482310877"/>
    <n v="222.98819596452719"/>
    <n v="0"/>
    <n v="10341.991151999999"/>
    <n v="29541.418895999999"/>
    <n v="0"/>
    <n v="17875.765922109211"/>
    <n v="28264.868779483644"/>
  </r>
  <r>
    <s v="Regular"/>
    <x v="1"/>
    <x v="2"/>
    <x v="1"/>
    <x v="1"/>
    <x v="0"/>
    <x v="0"/>
    <x v="0"/>
    <x v="3"/>
    <n v="0"/>
    <n v="0"/>
    <n v="106.91200000000001"/>
    <n v="106.91200000000001"/>
    <n v="106.91200000000001"/>
    <n v="106.91200000000001"/>
    <n v="0"/>
    <x v="0"/>
    <n v="0"/>
    <n v="0"/>
    <n v="17"/>
    <n v="66"/>
    <n v="0"/>
    <n v="81.590399999999988"/>
    <n v="233.0592"/>
    <m/>
    <n v="143.96416482310877"/>
    <n v="222.98819596452719"/>
    <n v="0"/>
    <n v="8722.9928447999991"/>
    <n v="24916.825190400003"/>
    <n v="0"/>
    <n v="15077.384610189263"/>
    <n v="23840.114006959531"/>
  </r>
  <r>
    <s v="Regular"/>
    <x v="1"/>
    <x v="2"/>
    <x v="1"/>
    <x v="1"/>
    <x v="0"/>
    <x v="0"/>
    <x v="0"/>
    <x v="10"/>
    <n v="0"/>
    <n v="0"/>
    <n v="116.173"/>
    <n v="116.173"/>
    <n v="116.173"/>
    <n v="116.173"/>
    <n v="0"/>
    <x v="0"/>
    <n v="0"/>
    <n v="0"/>
    <n v="17"/>
    <n v="66"/>
    <n v="0"/>
    <n v="81.590399999999988"/>
    <n v="233.0592"/>
    <m/>
    <n v="143.96416482310877"/>
    <n v="222.98819596452719"/>
    <n v="0"/>
    <n v="9478.601539199999"/>
    <n v="27075.186441600003"/>
    <n v="0"/>
    <n v="16383.427513464505"/>
    <n v="25905.207689787017"/>
  </r>
  <r>
    <s v="PROJETADO"/>
    <x v="1"/>
    <x v="2"/>
    <x v="1"/>
    <x v="1"/>
    <x v="0"/>
    <x v="0"/>
    <x v="0"/>
    <x v="11"/>
    <n v="0"/>
    <n v="0"/>
    <n v="116.173"/>
    <n v="116.173"/>
    <n v="116.173"/>
    <n v="116.173"/>
    <n v="0"/>
    <x v="0"/>
    <n v="0"/>
    <n v="0"/>
    <n v="17"/>
    <n v="66"/>
    <n v="0"/>
    <n v="81.590399999999988"/>
    <n v="233.0592"/>
    <m/>
    <n v="143.96416482310877"/>
    <n v="222.98819596452719"/>
    <n v="0"/>
    <n v="9478.601539199999"/>
    <n v="27075.186441600003"/>
    <n v="0"/>
    <n v="16383.427513464505"/>
    <n v="25905.207689787017"/>
  </r>
  <r>
    <s v="Regular"/>
    <x v="1"/>
    <x v="2"/>
    <x v="1"/>
    <x v="1"/>
    <x v="0"/>
    <x v="0"/>
    <x v="2"/>
    <x v="4"/>
    <n v="508"/>
    <n v="508"/>
    <n v="0"/>
    <n v="0"/>
    <n v="0"/>
    <n v="0"/>
    <n v="14"/>
    <x v="0"/>
    <n v="0"/>
    <n v="13"/>
    <n v="0"/>
    <n v="0"/>
    <n v="18.1632"/>
    <n v="0"/>
    <n v="0"/>
    <n v="31.928085265511982"/>
    <m/>
    <m/>
    <n v="9226.9056"/>
    <n v="0"/>
    <n v="0"/>
    <n v="15877.371067982293"/>
    <n v="0"/>
    <n v="0"/>
  </r>
  <r>
    <s v="Regular"/>
    <x v="1"/>
    <x v="2"/>
    <x v="1"/>
    <x v="1"/>
    <x v="0"/>
    <x v="0"/>
    <x v="2"/>
    <x v="5"/>
    <n v="337"/>
    <n v="337"/>
    <n v="0"/>
    <n v="0"/>
    <n v="0"/>
    <n v="0"/>
    <n v="14"/>
    <x v="0"/>
    <n v="0"/>
    <n v="13"/>
    <n v="0"/>
    <n v="0"/>
    <n v="18.1632"/>
    <n v="0"/>
    <n v="0"/>
    <n v="31.928085265511982"/>
    <m/>
    <m/>
    <n v="6120.9983999999995"/>
    <n v="0"/>
    <n v="0"/>
    <n v="10532.822932893763"/>
    <n v="0"/>
    <n v="0"/>
  </r>
  <r>
    <s v="Regular"/>
    <x v="1"/>
    <x v="2"/>
    <x v="1"/>
    <x v="1"/>
    <x v="0"/>
    <x v="0"/>
    <x v="2"/>
    <x v="0"/>
    <n v="440"/>
    <n v="440"/>
    <n v="0"/>
    <n v="0"/>
    <n v="0"/>
    <n v="0"/>
    <n v="8"/>
    <x v="0"/>
    <n v="0"/>
    <n v="13"/>
    <n v="0"/>
    <n v="0"/>
    <n v="18.1632"/>
    <n v="0"/>
    <n v="0"/>
    <n v="31.928085265511982"/>
    <m/>
    <m/>
    <n v="7991.808"/>
    <n v="0"/>
    <n v="0"/>
    <n v="13752.053680929544"/>
    <n v="0"/>
    <n v="0"/>
  </r>
  <r>
    <s v="Regular"/>
    <x v="1"/>
    <x v="2"/>
    <x v="1"/>
    <x v="1"/>
    <x v="0"/>
    <x v="0"/>
    <x v="2"/>
    <x v="6"/>
    <n v="386"/>
    <n v="386"/>
    <n v="0"/>
    <n v="0"/>
    <n v="0"/>
    <n v="0"/>
    <n v="12"/>
    <x v="0"/>
    <n v="0"/>
    <n v="13"/>
    <n v="0"/>
    <n v="0"/>
    <n v="18.1632"/>
    <n v="0"/>
    <n v="0"/>
    <n v="31.928085265511982"/>
    <m/>
    <m/>
    <n v="7010.9952000000003"/>
    <n v="0"/>
    <n v="0"/>
    <n v="12064.30163827001"/>
    <n v="0"/>
    <n v="0"/>
  </r>
  <r>
    <s v="Regular"/>
    <x v="1"/>
    <x v="2"/>
    <x v="1"/>
    <x v="1"/>
    <x v="0"/>
    <x v="0"/>
    <x v="2"/>
    <x v="7"/>
    <n v="1604"/>
    <n v="1604"/>
    <n v="0"/>
    <n v="0"/>
    <n v="0"/>
    <n v="0"/>
    <n v="12"/>
    <x v="0"/>
    <n v="0"/>
    <n v="13"/>
    <n v="0"/>
    <n v="0"/>
    <n v="18.1632"/>
    <n v="0"/>
    <n v="0"/>
    <n v="31.928085265511982"/>
    <m/>
    <m/>
    <n v="29133.772799999999"/>
    <n v="0"/>
    <n v="0"/>
    <n v="50132.486600479519"/>
    <n v="0"/>
    <n v="0"/>
  </r>
  <r>
    <s v="Regular"/>
    <x v="1"/>
    <x v="2"/>
    <x v="1"/>
    <x v="1"/>
    <x v="0"/>
    <x v="0"/>
    <x v="2"/>
    <x v="8"/>
    <n v="1482"/>
    <n v="1482"/>
    <n v="0"/>
    <n v="0"/>
    <n v="0"/>
    <n v="0"/>
    <n v="11"/>
    <x v="0"/>
    <n v="0"/>
    <n v="13"/>
    <n v="0"/>
    <n v="0"/>
    <n v="18.1632"/>
    <n v="0"/>
    <n v="0"/>
    <n v="31.928085265511982"/>
    <m/>
    <m/>
    <n v="26917.862399999998"/>
    <n v="0"/>
    <n v="0"/>
    <n v="46319.417170767236"/>
    <n v="0"/>
    <n v="0"/>
  </r>
  <r>
    <s v="Regular"/>
    <x v="1"/>
    <x v="2"/>
    <x v="1"/>
    <x v="1"/>
    <x v="0"/>
    <x v="0"/>
    <x v="2"/>
    <x v="9"/>
    <n v="1468"/>
    <n v="1468"/>
    <n v="0"/>
    <n v="0"/>
    <n v="0"/>
    <n v="0"/>
    <n v="11"/>
    <x v="0"/>
    <n v="0"/>
    <n v="13"/>
    <n v="0"/>
    <n v="0"/>
    <n v="18.1632"/>
    <n v="0"/>
    <n v="0"/>
    <n v="31.928085265511982"/>
    <m/>
    <m/>
    <n v="26663.577600000001"/>
    <n v="0"/>
    <n v="0"/>
    <n v="45881.851826374026"/>
    <n v="0"/>
    <n v="0"/>
  </r>
  <r>
    <s v="Regular"/>
    <x v="1"/>
    <x v="2"/>
    <x v="1"/>
    <x v="1"/>
    <x v="0"/>
    <x v="0"/>
    <x v="2"/>
    <x v="1"/>
    <n v="1577"/>
    <n v="1577"/>
    <n v="0"/>
    <n v="0"/>
    <n v="0"/>
    <n v="0"/>
    <n v="11"/>
    <x v="0"/>
    <n v="0"/>
    <n v="13"/>
    <n v="0"/>
    <n v="0"/>
    <n v="18.1632"/>
    <n v="0"/>
    <n v="0"/>
    <n v="31.928085265511982"/>
    <m/>
    <m/>
    <n v="28643.366399999999"/>
    <n v="0"/>
    <n v="0"/>
    <n v="49288.610579149754"/>
    <n v="0"/>
    <n v="0"/>
  </r>
  <r>
    <s v="Regular"/>
    <x v="1"/>
    <x v="2"/>
    <x v="1"/>
    <x v="1"/>
    <x v="0"/>
    <x v="0"/>
    <x v="2"/>
    <x v="2"/>
    <n v="1374"/>
    <n v="1374"/>
    <n v="0"/>
    <n v="0"/>
    <n v="0"/>
    <n v="0"/>
    <n v="10"/>
    <x v="0"/>
    <n v="0"/>
    <n v="13"/>
    <n v="0"/>
    <n v="0"/>
    <n v="18.1632"/>
    <n v="0"/>
    <n v="0"/>
    <n v="31.928085265511982"/>
    <m/>
    <m/>
    <n v="24956.236799999999"/>
    <n v="0"/>
    <n v="0"/>
    <n v="42943.91308544817"/>
    <n v="0"/>
    <n v="0"/>
  </r>
  <r>
    <s v="Regular"/>
    <x v="1"/>
    <x v="2"/>
    <x v="1"/>
    <x v="1"/>
    <x v="0"/>
    <x v="0"/>
    <x v="2"/>
    <x v="3"/>
    <n v="1789"/>
    <n v="1789"/>
    <n v="0"/>
    <n v="0"/>
    <n v="0"/>
    <n v="0"/>
    <n v="10"/>
    <x v="0"/>
    <n v="0"/>
    <n v="13"/>
    <n v="0"/>
    <n v="0"/>
    <n v="18.1632"/>
    <n v="0"/>
    <n v="0"/>
    <n v="31.928085265511982"/>
    <m/>
    <m/>
    <n v="32493.964799999998"/>
    <n v="0"/>
    <n v="0"/>
    <n v="55914.600079961267"/>
    <n v="0"/>
    <n v="0"/>
  </r>
  <r>
    <s v="Regular"/>
    <x v="1"/>
    <x v="2"/>
    <x v="1"/>
    <x v="1"/>
    <x v="0"/>
    <x v="0"/>
    <x v="2"/>
    <x v="10"/>
    <n v="969"/>
    <n v="969"/>
    <n v="0"/>
    <n v="0"/>
    <n v="0"/>
    <n v="0"/>
    <n v="10"/>
    <x v="0"/>
    <n v="0"/>
    <n v="13"/>
    <n v="0"/>
    <n v="0"/>
    <n v="18.1632"/>
    <n v="0"/>
    <n v="0"/>
    <n v="31.928085265511982"/>
    <m/>
    <m/>
    <n v="17600.140800000001"/>
    <n v="0"/>
    <n v="0"/>
    <n v="30285.772765501657"/>
    <n v="0"/>
    <n v="0"/>
  </r>
  <r>
    <s v="PROJETADO"/>
    <x v="1"/>
    <x v="2"/>
    <x v="1"/>
    <x v="1"/>
    <x v="0"/>
    <x v="0"/>
    <x v="2"/>
    <x v="11"/>
    <n v="969"/>
    <n v="969"/>
    <n v="0"/>
    <n v="0"/>
    <n v="0"/>
    <n v="0"/>
    <n v="10"/>
    <x v="0"/>
    <n v="0"/>
    <n v="13"/>
    <n v="0"/>
    <n v="0"/>
    <n v="18.1632"/>
    <n v="0"/>
    <n v="0"/>
    <n v="31.928085265511982"/>
    <m/>
    <m/>
    <n v="17600.140800000001"/>
    <n v="0"/>
    <n v="0"/>
    <n v="30285.772765501657"/>
    <n v="0"/>
    <n v="0"/>
  </r>
  <r>
    <s v="Regular"/>
    <x v="1"/>
    <x v="2"/>
    <x v="1"/>
    <x v="1"/>
    <x v="0"/>
    <x v="0"/>
    <x v="1"/>
    <x v="4"/>
    <n v="0"/>
    <n v="0"/>
    <n v="0.48599999999999999"/>
    <n v="0.48599999999999999"/>
    <n v="0.48599999999999999"/>
    <n v="0.48599999999999999"/>
    <n v="0"/>
    <x v="0"/>
    <n v="0"/>
    <n v="0"/>
    <n v="15"/>
    <n v="65"/>
    <n v="0"/>
    <n v="1147.9871999999998"/>
    <n v="375.8784"/>
    <m/>
    <n v="2011.0111723336513"/>
    <n v="357.62398862821016"/>
    <n v="0"/>
    <n v="557.92177919999995"/>
    <n v="182.67690239999999"/>
    <n v="0"/>
    <n v="956.97071473384165"/>
    <n v="173.80525847331012"/>
  </r>
  <r>
    <s v="Regular"/>
    <x v="1"/>
    <x v="2"/>
    <x v="1"/>
    <x v="1"/>
    <x v="0"/>
    <x v="0"/>
    <x v="1"/>
    <x v="5"/>
    <n v="0"/>
    <n v="0"/>
    <n v="0.51900000000000002"/>
    <n v="0.51900000000000002"/>
    <n v="0.51900000000000002"/>
    <n v="0.51900000000000002"/>
    <n v="0"/>
    <x v="0"/>
    <n v="0"/>
    <n v="0"/>
    <n v="15"/>
    <n v="65"/>
    <n v="0"/>
    <n v="1147.9871999999998"/>
    <n v="375.8784"/>
    <m/>
    <n v="2011.0111723336513"/>
    <n v="357.62398862821016"/>
    <n v="0"/>
    <n v="595.80535679999991"/>
    <n v="195.08088960000001"/>
    <n v="0"/>
    <n v="1021.9502077095965"/>
    <n v="185.60685009804106"/>
  </r>
  <r>
    <s v="Regular"/>
    <x v="1"/>
    <x v="2"/>
    <x v="1"/>
    <x v="1"/>
    <x v="0"/>
    <x v="0"/>
    <x v="1"/>
    <x v="0"/>
    <n v="0"/>
    <n v="0"/>
    <n v="0.33400000000000002"/>
    <n v="0.33400000000000002"/>
    <n v="0.33400000000000002"/>
    <n v="0.33400000000000002"/>
    <n v="0"/>
    <x v="0"/>
    <n v="0"/>
    <n v="0"/>
    <n v="15"/>
    <n v="65"/>
    <n v="0"/>
    <n v="1147.9871999999998"/>
    <n v="375.8784"/>
    <m/>
    <n v="2011.0111723336513"/>
    <n v="357.62398862821016"/>
    <n v="0"/>
    <n v="383.42772479999996"/>
    <n v="125.54338560000001"/>
    <n v="0"/>
    <n v="657.67123193642612"/>
    <n v="119.4464122018222"/>
  </r>
  <r>
    <s v="Regular"/>
    <x v="1"/>
    <x v="2"/>
    <x v="1"/>
    <x v="1"/>
    <x v="0"/>
    <x v="0"/>
    <x v="1"/>
    <x v="6"/>
    <n v="0"/>
    <n v="0"/>
    <n v="0.372"/>
    <n v="0.372"/>
    <n v="0.372"/>
    <n v="0.372"/>
    <n v="0"/>
    <x v="0"/>
    <n v="0"/>
    <n v="0"/>
    <n v="15"/>
    <n v="65"/>
    <n v="0"/>
    <n v="1147.9871999999998"/>
    <n v="375.8784"/>
    <m/>
    <n v="2011.0111723336513"/>
    <n v="357.62398862821016"/>
    <n v="0"/>
    <n v="427.05123839999993"/>
    <n v="139.82676480000001"/>
    <n v="0"/>
    <n v="732.49610263578006"/>
    <n v="133.03612376969417"/>
  </r>
  <r>
    <s v="Regular"/>
    <x v="1"/>
    <x v="2"/>
    <x v="1"/>
    <x v="1"/>
    <x v="0"/>
    <x v="0"/>
    <x v="1"/>
    <x v="7"/>
    <n v="0"/>
    <n v="0"/>
    <n v="0.71499999999999997"/>
    <n v="0.71499999999999997"/>
    <n v="0.71499999999999997"/>
    <n v="0.71499999999999997"/>
    <n v="0"/>
    <x v="0"/>
    <n v="0"/>
    <n v="0"/>
    <n v="15"/>
    <n v="65"/>
    <n v="0"/>
    <n v="1147.9871999999998"/>
    <n v="375.8784"/>
    <m/>
    <n v="2011.0111723336513"/>
    <n v="357.62398862821016"/>
    <n v="0"/>
    <n v="820.81084799999985"/>
    <n v="268.75305600000002"/>
    <n v="0"/>
    <n v="1407.8890144746849"/>
    <n v="255.70115186917025"/>
  </r>
  <r>
    <s v="Regular"/>
    <x v="1"/>
    <x v="2"/>
    <x v="1"/>
    <x v="1"/>
    <x v="0"/>
    <x v="0"/>
    <x v="1"/>
    <x v="8"/>
    <n v="0"/>
    <n v="0"/>
    <n v="0.79900000000000004"/>
    <n v="0.79900000000000004"/>
    <n v="0.79900000000000004"/>
    <n v="0.79900000000000004"/>
    <n v="0"/>
    <x v="0"/>
    <n v="0"/>
    <n v="0"/>
    <n v="15"/>
    <n v="65"/>
    <n v="0"/>
    <n v="1147.9871999999998"/>
    <n v="375.8784"/>
    <m/>
    <n v="2011.0111723336513"/>
    <n v="357.62398862821016"/>
    <n v="0"/>
    <n v="917.24177279999992"/>
    <n v="300.32684160000002"/>
    <n v="0"/>
    <n v="1573.2913602311514"/>
    <n v="285.74156691393995"/>
  </r>
  <r>
    <s v="Regular"/>
    <x v="1"/>
    <x v="2"/>
    <x v="1"/>
    <x v="1"/>
    <x v="0"/>
    <x v="0"/>
    <x v="1"/>
    <x v="9"/>
    <n v="0"/>
    <n v="0"/>
    <n v="0.68500000000000005"/>
    <n v="0.68500000000000005"/>
    <n v="0.68500000000000005"/>
    <n v="0.68500000000000005"/>
    <n v="0"/>
    <x v="0"/>
    <n v="0"/>
    <n v="0"/>
    <n v="15"/>
    <n v="65"/>
    <n v="0"/>
    <n v="1147.9871999999998"/>
    <n v="375.8784"/>
    <m/>
    <n v="2011.0111723336513"/>
    <n v="357.62398862821016"/>
    <n v="0"/>
    <n v="786.37123199999996"/>
    <n v="257.47670400000004"/>
    <n v="0"/>
    <n v="1348.8167481330895"/>
    <n v="244.97243221032397"/>
  </r>
  <r>
    <s v="Regular"/>
    <x v="1"/>
    <x v="2"/>
    <x v="1"/>
    <x v="1"/>
    <x v="0"/>
    <x v="0"/>
    <x v="1"/>
    <x v="1"/>
    <n v="0"/>
    <n v="0"/>
    <n v="1.2609999999999999"/>
    <n v="1.2609999999999999"/>
    <n v="1.2609999999999999"/>
    <n v="1.2609999999999999"/>
    <n v="0"/>
    <x v="0"/>
    <n v="0"/>
    <n v="0"/>
    <n v="15"/>
    <n v="65"/>
    <n v="0"/>
    <n v="1147.9871999999998"/>
    <n v="375.8784"/>
    <m/>
    <n v="2011.0111723336513"/>
    <n v="357.62398862821016"/>
    <n v="0"/>
    <n v="1447.6118591999996"/>
    <n v="473.98266239999998"/>
    <n v="0"/>
    <n v="2483.0042618917169"/>
    <n v="450.96384966017297"/>
  </r>
  <r>
    <s v="Regular"/>
    <x v="1"/>
    <x v="2"/>
    <x v="1"/>
    <x v="1"/>
    <x v="0"/>
    <x v="0"/>
    <x v="1"/>
    <x v="2"/>
    <n v="0"/>
    <n v="0"/>
    <n v="1.0620000000000001"/>
    <n v="1.0620000000000001"/>
    <n v="1.0620000000000001"/>
    <n v="1.0620000000000001"/>
    <n v="0"/>
    <x v="0"/>
    <n v="0"/>
    <n v="0"/>
    <n v="15"/>
    <n v="65"/>
    <n v="0"/>
    <n v="1147.9871999999998"/>
    <n v="375.8784"/>
    <m/>
    <n v="2011.0111723336513"/>
    <n v="357.62398862821016"/>
    <n v="0"/>
    <n v="1219.1624063999998"/>
    <n v="399.18286080000001"/>
    <n v="0"/>
    <n v="2091.1582284924689"/>
    <n v="379.79667592315923"/>
  </r>
  <r>
    <s v="Regular"/>
    <x v="1"/>
    <x v="2"/>
    <x v="1"/>
    <x v="1"/>
    <x v="0"/>
    <x v="0"/>
    <x v="1"/>
    <x v="3"/>
    <n v="0"/>
    <n v="0"/>
    <n v="0.80800000000000005"/>
    <n v="0.80800000000000005"/>
    <n v="0.80800000000000005"/>
    <n v="0.80800000000000005"/>
    <n v="0"/>
    <x v="0"/>
    <n v="0"/>
    <n v="0"/>
    <n v="15"/>
    <n v="65"/>
    <n v="0"/>
    <n v="1147.9871999999998"/>
    <n v="375.8784"/>
    <m/>
    <n v="2011.0111723336513"/>
    <n v="357.62398862821016"/>
    <n v="0"/>
    <n v="927.57365759999993"/>
    <n v="303.70974720000004"/>
    <n v="0"/>
    <n v="1591.0130401336298"/>
    <n v="288.96018281159382"/>
  </r>
  <r>
    <s v="Regular"/>
    <x v="1"/>
    <x v="2"/>
    <x v="1"/>
    <x v="1"/>
    <x v="0"/>
    <x v="0"/>
    <x v="1"/>
    <x v="10"/>
    <n v="0"/>
    <n v="0"/>
    <n v="0.72499999999999998"/>
    <n v="0.72499999999999998"/>
    <n v="0.72499999999999998"/>
    <n v="0.72499999999999998"/>
    <n v="0"/>
    <x v="0"/>
    <n v="0"/>
    <n v="0"/>
    <n v="15"/>
    <n v="65"/>
    <n v="0"/>
    <n v="1147.9871999999998"/>
    <n v="375.8784"/>
    <m/>
    <n v="2011.0111723336513"/>
    <n v="357.62398862821016"/>
    <n v="0"/>
    <n v="832.29071999999985"/>
    <n v="272.51184000000001"/>
    <n v="0"/>
    <n v="1427.5797699218831"/>
    <n v="259.27739175545236"/>
  </r>
  <r>
    <s v="PROJETADO"/>
    <x v="1"/>
    <x v="2"/>
    <x v="1"/>
    <x v="1"/>
    <x v="0"/>
    <x v="0"/>
    <x v="1"/>
    <x v="11"/>
    <n v="0"/>
    <n v="0"/>
    <n v="0.72499999999999998"/>
    <n v="0.72499999999999998"/>
    <n v="0.72499999999999998"/>
    <n v="0.72499999999999998"/>
    <n v="0"/>
    <x v="0"/>
    <n v="0"/>
    <n v="0"/>
    <n v="15"/>
    <n v="65"/>
    <n v="0"/>
    <n v="1147.9871999999998"/>
    <n v="375.8784"/>
    <m/>
    <n v="2011.0111723336513"/>
    <n v="357.62398862821016"/>
    <n v="0"/>
    <n v="832.29071999999985"/>
    <n v="272.51184000000001"/>
    <n v="0"/>
    <n v="1427.5797699218831"/>
    <n v="259.27739175545236"/>
  </r>
  <r>
    <s v="Regular"/>
    <x v="1"/>
    <x v="2"/>
    <x v="1"/>
    <x v="2"/>
    <x v="0"/>
    <x v="0"/>
    <x v="0"/>
    <x v="4"/>
    <n v="0"/>
    <n v="0"/>
    <n v="0.39800000000000002"/>
    <n v="0.39800000000000002"/>
    <n v="0.39800000000000002"/>
    <n v="0.39800000000000002"/>
    <n v="0"/>
    <x v="0"/>
    <n v="0"/>
    <n v="0"/>
    <n v="17"/>
    <n v="66"/>
    <n v="0"/>
    <n v="81.590399999999988"/>
    <n v="233.0592"/>
    <m/>
    <n v="143.96416482310877"/>
    <n v="222.98819596452719"/>
    <n v="0"/>
    <n v="32.472979199999997"/>
    <n v="92.757561600000002"/>
    <n v="0"/>
    <n v="56.128396015932047"/>
    <n v="88.749301993881829"/>
  </r>
  <r>
    <s v="Regular"/>
    <x v="1"/>
    <x v="2"/>
    <x v="1"/>
    <x v="2"/>
    <x v="0"/>
    <x v="0"/>
    <x v="0"/>
    <x v="5"/>
    <n v="0"/>
    <n v="0"/>
    <n v="0.41799999999999998"/>
    <n v="0.41799999999999998"/>
    <n v="0.41799999999999998"/>
    <n v="0.41799999999999998"/>
    <n v="0"/>
    <x v="0"/>
    <n v="0"/>
    <n v="0"/>
    <n v="17"/>
    <n v="66"/>
    <n v="0"/>
    <n v="81.590399999999988"/>
    <n v="233.0592"/>
    <m/>
    <n v="143.96416482310877"/>
    <n v="222.98819596452719"/>
    <n v="0"/>
    <n v="34.104787199999997"/>
    <n v="97.418745599999994"/>
    <n v="0"/>
    <n v="58.948918428792958"/>
    <n v="93.209065913172367"/>
  </r>
  <r>
    <s v="Regular"/>
    <x v="1"/>
    <x v="2"/>
    <x v="1"/>
    <x v="2"/>
    <x v="0"/>
    <x v="0"/>
    <x v="0"/>
    <x v="0"/>
    <n v="0"/>
    <n v="0"/>
    <n v="0.42899999999999999"/>
    <n v="0.42899999999999999"/>
    <n v="0.42899999999999999"/>
    <n v="0.42899999999999999"/>
    <n v="0"/>
    <x v="0"/>
    <n v="0"/>
    <n v="0"/>
    <n v="17"/>
    <n v="66"/>
    <n v="0"/>
    <n v="81.590399999999988"/>
    <n v="233.0592"/>
    <m/>
    <n v="143.96416482310877"/>
    <n v="222.98819596452719"/>
    <n v="0"/>
    <n v="35.002281599999996"/>
    <n v="99.982396800000004"/>
    <n v="0"/>
    <n v="60.500205755866446"/>
    <n v="95.661936068782168"/>
  </r>
  <r>
    <s v="Regular"/>
    <x v="1"/>
    <x v="2"/>
    <x v="1"/>
    <x v="2"/>
    <x v="0"/>
    <x v="0"/>
    <x v="2"/>
    <x v="4"/>
    <n v="1"/>
    <n v="1"/>
    <n v="0"/>
    <n v="0"/>
    <n v="0"/>
    <n v="0"/>
    <n v="2"/>
    <x v="0"/>
    <n v="0"/>
    <n v="13"/>
    <n v="0"/>
    <n v="0"/>
    <n v="18.1632"/>
    <n v="0"/>
    <n v="0"/>
    <n v="31.928085265511982"/>
    <m/>
    <m/>
    <n v="18.1632"/>
    <n v="0"/>
    <n v="0"/>
    <n v="31.254667456658055"/>
    <n v="0"/>
    <n v="0"/>
  </r>
  <r>
    <s v="Regular"/>
    <x v="1"/>
    <x v="2"/>
    <x v="1"/>
    <x v="2"/>
    <x v="0"/>
    <x v="0"/>
    <x v="2"/>
    <x v="5"/>
    <n v="1"/>
    <n v="1"/>
    <n v="0"/>
    <n v="0"/>
    <n v="0"/>
    <n v="0"/>
    <n v="2"/>
    <x v="0"/>
    <n v="0"/>
    <n v="13"/>
    <n v="0"/>
    <n v="0"/>
    <n v="18.1632"/>
    <n v="0"/>
    <n v="0"/>
    <n v="31.928085265511982"/>
    <m/>
    <m/>
    <n v="18.1632"/>
    <n v="0"/>
    <n v="0"/>
    <n v="31.254667456658055"/>
    <n v="0"/>
    <n v="0"/>
  </r>
  <r>
    <s v="Regular"/>
    <x v="1"/>
    <x v="2"/>
    <x v="1"/>
    <x v="2"/>
    <x v="0"/>
    <x v="0"/>
    <x v="2"/>
    <x v="0"/>
    <n v="1"/>
    <n v="1"/>
    <n v="0"/>
    <n v="0"/>
    <n v="0"/>
    <n v="0"/>
    <n v="2"/>
    <x v="0"/>
    <n v="0"/>
    <n v="13"/>
    <n v="0"/>
    <n v="0"/>
    <n v="18.1632"/>
    <n v="0"/>
    <n v="0"/>
    <n v="31.928085265511982"/>
    <m/>
    <m/>
    <n v="18.1632"/>
    <n v="0"/>
    <n v="0"/>
    <n v="31.254667456658055"/>
    <n v="0"/>
    <n v="0"/>
  </r>
  <r>
    <s v="Regular"/>
    <x v="1"/>
    <x v="2"/>
    <x v="1"/>
    <x v="2"/>
    <x v="0"/>
    <x v="0"/>
    <x v="1"/>
    <x v="4"/>
    <n v="0"/>
    <n v="0"/>
    <n v="0.06"/>
    <n v="0.06"/>
    <n v="0.06"/>
    <n v="0.06"/>
    <n v="0"/>
    <x v="0"/>
    <n v="0"/>
    <n v="0"/>
    <n v="15"/>
    <n v="65"/>
    <n v="0"/>
    <n v="1147.9871999999998"/>
    <n v="375.8784"/>
    <m/>
    <n v="2011.0111723336513"/>
    <n v="357.62398862821016"/>
    <n v="0"/>
    <n v="68.879231999999988"/>
    <n v="22.552703999999999"/>
    <n v="0"/>
    <n v="118.14453268319033"/>
    <n v="21.457439317692607"/>
  </r>
  <r>
    <s v="Regular"/>
    <x v="1"/>
    <x v="2"/>
    <x v="1"/>
    <x v="2"/>
    <x v="0"/>
    <x v="0"/>
    <x v="1"/>
    <x v="5"/>
    <n v="0"/>
    <n v="0"/>
    <n v="6.5000000000000002E-2"/>
    <n v="6.5000000000000002E-2"/>
    <n v="6.5000000000000002E-2"/>
    <n v="6.5000000000000002E-2"/>
    <n v="0"/>
    <x v="0"/>
    <n v="0"/>
    <n v="0"/>
    <n v="15"/>
    <n v="65"/>
    <n v="0"/>
    <n v="1147.9871999999998"/>
    <n v="375.8784"/>
    <m/>
    <n v="2011.0111723336513"/>
    <n v="357.62398862821016"/>
    <n v="0"/>
    <n v="74.619167999999988"/>
    <n v="24.432096000000001"/>
    <n v="0"/>
    <n v="127.98991040678952"/>
    <n v="23.245559260833662"/>
  </r>
  <r>
    <s v="Regular"/>
    <x v="1"/>
    <x v="2"/>
    <x v="1"/>
    <x v="2"/>
    <x v="0"/>
    <x v="0"/>
    <x v="1"/>
    <x v="0"/>
    <n v="0"/>
    <n v="0"/>
    <n v="5.3999999999999999E-2"/>
    <n v="5.3999999999999999E-2"/>
    <n v="5.3999999999999999E-2"/>
    <n v="5.3999999999999999E-2"/>
    <n v="0"/>
    <x v="0"/>
    <n v="0"/>
    <n v="0"/>
    <n v="15"/>
    <n v="65"/>
    <n v="0"/>
    <n v="1147.9871999999998"/>
    <n v="375.8784"/>
    <m/>
    <n v="2011.0111723336513"/>
    <n v="357.62398862821016"/>
    <n v="0"/>
    <n v="61.991308799999992"/>
    <n v="20.297433599999998"/>
    <n v="0"/>
    <n v="106.33007941487129"/>
    <n v="19.311695385923347"/>
  </r>
  <r>
    <s v="Regular"/>
    <x v="1"/>
    <x v="2"/>
    <x v="1"/>
    <x v="0"/>
    <x v="0"/>
    <x v="0"/>
    <x v="0"/>
    <x v="2"/>
    <n v="0"/>
    <n v="0"/>
    <n v="42.765999999999998"/>
    <n v="42.765999999999998"/>
    <n v="42.765999999999998"/>
    <n v="42.765999999999998"/>
    <n v="0"/>
    <x v="0"/>
    <n v="0"/>
    <n v="0"/>
    <n v="17"/>
    <n v="66"/>
    <n v="0"/>
    <n v="81.590399999999988"/>
    <n v="233.0592"/>
    <m/>
    <n v="143.96416482310877"/>
    <n v="222.98819596452719"/>
    <n v="0"/>
    <n v="3489.2950463999991"/>
    <n v="9967.0097471999998"/>
    <n v="0"/>
    <n v="6031.1230754204771"/>
    <n v="9536.3131886189694"/>
  </r>
  <r>
    <s v="Regular"/>
    <x v="1"/>
    <x v="2"/>
    <x v="1"/>
    <x v="0"/>
    <x v="0"/>
    <x v="0"/>
    <x v="0"/>
    <x v="3"/>
    <n v="0"/>
    <n v="0"/>
    <n v="37.598999999999997"/>
    <n v="37.598999999999997"/>
    <n v="37.598999999999997"/>
    <n v="37.598999999999997"/>
    <n v="0"/>
    <x v="0"/>
    <n v="0"/>
    <n v="0"/>
    <n v="17"/>
    <n v="66"/>
    <n v="0"/>
    <n v="81.590399999999988"/>
    <n v="233.0592"/>
    <m/>
    <n v="143.96416482310877"/>
    <n v="222.98819596452719"/>
    <n v="0"/>
    <n v="3067.7174495999993"/>
    <n v="8762.7928608000002"/>
    <n v="0"/>
    <n v="5302.4411100578618"/>
    <n v="8384.1331800702574"/>
  </r>
  <r>
    <s v="Regular"/>
    <x v="1"/>
    <x v="2"/>
    <x v="1"/>
    <x v="0"/>
    <x v="0"/>
    <x v="0"/>
    <x v="0"/>
    <x v="10"/>
    <n v="0"/>
    <n v="0"/>
    <n v="35.881999999999998"/>
    <n v="35.881999999999998"/>
    <n v="35.881999999999998"/>
    <n v="35.881999999999998"/>
    <n v="0"/>
    <x v="0"/>
    <n v="0"/>
    <n v="0"/>
    <n v="17"/>
    <n v="66"/>
    <n v="0"/>
    <n v="81.590399999999988"/>
    <n v="233.0592"/>
    <m/>
    <n v="143.96416482310877"/>
    <n v="222.98819596452719"/>
    <n v="0"/>
    <n v="2927.6267327999994"/>
    <n v="8362.6302144000001"/>
    <n v="0"/>
    <n v="5060.2992609137527"/>
    <n v="8001.2624475991643"/>
  </r>
  <r>
    <s v="PROJETADO"/>
    <x v="1"/>
    <x v="2"/>
    <x v="1"/>
    <x v="0"/>
    <x v="0"/>
    <x v="0"/>
    <x v="0"/>
    <x v="11"/>
    <n v="0"/>
    <n v="0"/>
    <n v="35.881999999999998"/>
    <n v="35.881999999999998"/>
    <n v="35.881999999999998"/>
    <n v="35.881999999999998"/>
    <n v="0"/>
    <x v="0"/>
    <n v="0"/>
    <n v="0"/>
    <n v="17"/>
    <n v="66"/>
    <n v="0"/>
    <n v="81.590399999999988"/>
    <n v="233.0592"/>
    <m/>
    <n v="143.96416482310877"/>
    <n v="222.98819596452719"/>
    <n v="0"/>
    <n v="2927.6267327999994"/>
    <n v="8362.6302144000001"/>
    <n v="0"/>
    <n v="5060.2992609137527"/>
    <n v="8001.2624475991643"/>
  </r>
  <r>
    <s v="Regular"/>
    <x v="1"/>
    <x v="2"/>
    <x v="1"/>
    <x v="0"/>
    <x v="0"/>
    <x v="0"/>
    <x v="2"/>
    <x v="2"/>
    <n v="149"/>
    <n v="149"/>
    <n v="0"/>
    <n v="0"/>
    <n v="0"/>
    <n v="0"/>
    <n v="1"/>
    <x v="0"/>
    <n v="0"/>
    <n v="13"/>
    <n v="0"/>
    <n v="0"/>
    <n v="18.1632"/>
    <n v="0"/>
    <n v="0"/>
    <n v="31.928085265511982"/>
    <m/>
    <m/>
    <n v="2706.3168000000001"/>
    <n v="0"/>
    <n v="0"/>
    <n v="4656.9454510420501"/>
    <n v="0"/>
    <n v="0"/>
  </r>
  <r>
    <s v="Regular"/>
    <x v="1"/>
    <x v="2"/>
    <x v="1"/>
    <x v="0"/>
    <x v="0"/>
    <x v="0"/>
    <x v="2"/>
    <x v="3"/>
    <n v="149"/>
    <n v="149"/>
    <n v="0"/>
    <n v="0"/>
    <n v="0"/>
    <n v="0"/>
    <n v="1"/>
    <x v="0"/>
    <n v="0"/>
    <n v="13"/>
    <n v="0"/>
    <n v="0"/>
    <n v="18.1632"/>
    <n v="0"/>
    <n v="0"/>
    <n v="31.928085265511982"/>
    <m/>
    <m/>
    <n v="2706.3168000000001"/>
    <n v="0"/>
    <n v="0"/>
    <n v="4656.9454510420501"/>
    <n v="0"/>
    <n v="0"/>
  </r>
  <r>
    <s v="Regular"/>
    <x v="1"/>
    <x v="2"/>
    <x v="1"/>
    <x v="0"/>
    <x v="0"/>
    <x v="0"/>
    <x v="2"/>
    <x v="10"/>
    <n v="149"/>
    <n v="149"/>
    <n v="0"/>
    <n v="0"/>
    <n v="0"/>
    <n v="0"/>
    <n v="1"/>
    <x v="0"/>
    <n v="0"/>
    <n v="13"/>
    <n v="0"/>
    <n v="0"/>
    <n v="18.1632"/>
    <n v="0"/>
    <n v="0"/>
    <n v="31.928085265511982"/>
    <m/>
    <m/>
    <n v="2706.3168000000001"/>
    <n v="0"/>
    <n v="0"/>
    <n v="4656.9454510420501"/>
    <n v="0"/>
    <n v="0"/>
  </r>
  <r>
    <s v="PROJETADO"/>
    <x v="1"/>
    <x v="2"/>
    <x v="1"/>
    <x v="0"/>
    <x v="0"/>
    <x v="0"/>
    <x v="2"/>
    <x v="11"/>
    <n v="149"/>
    <n v="149"/>
    <n v="0"/>
    <n v="0"/>
    <n v="0"/>
    <n v="0"/>
    <n v="1"/>
    <x v="0"/>
    <n v="0"/>
    <n v="13"/>
    <n v="0"/>
    <n v="0"/>
    <n v="18.1632"/>
    <n v="0"/>
    <n v="0"/>
    <n v="31.928085265511982"/>
    <m/>
    <m/>
    <n v="2706.3168000000001"/>
    <n v="0"/>
    <n v="0"/>
    <n v="4656.9454510420501"/>
    <n v="0"/>
    <n v="0"/>
  </r>
  <r>
    <s v="Regular"/>
    <x v="1"/>
    <x v="2"/>
    <x v="1"/>
    <x v="0"/>
    <x v="0"/>
    <x v="0"/>
    <x v="1"/>
    <x v="2"/>
    <n v="0"/>
    <n v="0"/>
    <n v="4.8419999999999996"/>
    <n v="4.8419999999999996"/>
    <n v="4.8419999999999996"/>
    <n v="4.8419999999999996"/>
    <n v="0"/>
    <x v="0"/>
    <n v="0"/>
    <n v="0"/>
    <n v="15"/>
    <n v="65"/>
    <n v="0"/>
    <n v="1147.9871999999998"/>
    <n v="375.8784"/>
    <m/>
    <n v="2011.0111723336513"/>
    <n v="357.62398862821016"/>
    <n v="0"/>
    <n v="5558.5540223999988"/>
    <n v="1820.0032127999998"/>
    <n v="0"/>
    <n v="9534.2637875334603"/>
    <n v="1731.6153529377934"/>
  </r>
  <r>
    <s v="Regular"/>
    <x v="1"/>
    <x v="2"/>
    <x v="1"/>
    <x v="0"/>
    <x v="0"/>
    <x v="0"/>
    <x v="1"/>
    <x v="3"/>
    <n v="0"/>
    <n v="0"/>
    <n v="4.8959999999999999"/>
    <n v="4.8959999999999999"/>
    <n v="4.8959999999999999"/>
    <n v="4.8959999999999999"/>
    <n v="0"/>
    <x v="0"/>
    <n v="0"/>
    <n v="0"/>
    <n v="15"/>
    <n v="65"/>
    <n v="0"/>
    <n v="1147.9871999999998"/>
    <n v="375.8784"/>
    <m/>
    <n v="2011.0111723336513"/>
    <n v="357.62398862821016"/>
    <n v="0"/>
    <n v="5620.5453311999991"/>
    <n v="1840.3006464"/>
    <n v="0"/>
    <n v="9640.593866948333"/>
    <n v="1750.9270483237169"/>
  </r>
  <r>
    <s v="Regular"/>
    <x v="1"/>
    <x v="2"/>
    <x v="1"/>
    <x v="0"/>
    <x v="0"/>
    <x v="0"/>
    <x v="1"/>
    <x v="10"/>
    <n v="0"/>
    <n v="0"/>
    <n v="4.335"/>
    <n v="4.335"/>
    <n v="4.335"/>
    <n v="4.335"/>
    <n v="0"/>
    <x v="0"/>
    <n v="0"/>
    <n v="0"/>
    <n v="15"/>
    <n v="65"/>
    <n v="0"/>
    <n v="1147.9871999999998"/>
    <n v="375.8784"/>
    <m/>
    <n v="2011.0111723336513"/>
    <n v="357.62398862821016"/>
    <n v="0"/>
    <n v="4976.524511999999"/>
    <n v="1629.4328639999999"/>
    <n v="0"/>
    <n v="8535.9424863605018"/>
    <n v="1550.2999907032911"/>
  </r>
  <r>
    <s v="PROJETADO"/>
    <x v="1"/>
    <x v="2"/>
    <x v="1"/>
    <x v="0"/>
    <x v="0"/>
    <x v="0"/>
    <x v="1"/>
    <x v="11"/>
    <n v="0"/>
    <n v="0"/>
    <n v="4.335"/>
    <n v="4.335"/>
    <n v="4.335"/>
    <n v="4.335"/>
    <n v="0"/>
    <x v="0"/>
    <n v="0"/>
    <n v="0"/>
    <n v="15"/>
    <n v="65"/>
    <n v="0"/>
    <n v="1147.9871999999998"/>
    <n v="375.8784"/>
    <m/>
    <n v="2011.0111723336513"/>
    <n v="357.62398862821016"/>
    <n v="0"/>
    <n v="4976.524511999999"/>
    <n v="1629.4328639999999"/>
    <n v="0"/>
    <n v="8535.9424863605018"/>
    <n v="1550.2999907032911"/>
  </r>
  <r>
    <s v="Regular"/>
    <x v="1"/>
    <x v="2"/>
    <x v="3"/>
    <x v="3"/>
    <x v="0"/>
    <x v="0"/>
    <x v="0"/>
    <x v="4"/>
    <n v="0"/>
    <n v="0"/>
    <n v="4.2469999999999999"/>
    <n v="4.2469999999999999"/>
    <n v="4.2469999999999999"/>
    <n v="4.2469999999999999"/>
    <n v="0"/>
    <x v="0"/>
    <n v="0"/>
    <n v="0"/>
    <n v="17"/>
    <n v="66"/>
    <n v="0"/>
    <n v="79.890599999999992"/>
    <n v="228.2038"/>
    <m/>
    <n v="142.49514273307707"/>
    <n v="220.71280620978712"/>
    <n v="0"/>
    <n v="339.29537819999996"/>
    <n v="969.18153859999995"/>
    <n v="0"/>
    <n v="586.46006073828414"/>
    <n v="937.36728797296587"/>
  </r>
  <r>
    <s v="Regular"/>
    <x v="1"/>
    <x v="2"/>
    <x v="3"/>
    <x v="3"/>
    <x v="0"/>
    <x v="0"/>
    <x v="0"/>
    <x v="5"/>
    <n v="0"/>
    <n v="0"/>
    <n v="4.4820000000000002"/>
    <n v="4.4820000000000002"/>
    <n v="4.4820000000000002"/>
    <n v="4.4820000000000002"/>
    <n v="0"/>
    <x v="0"/>
    <n v="0"/>
    <n v="0"/>
    <n v="17"/>
    <n v="66"/>
    <n v="0"/>
    <n v="79.890599999999992"/>
    <n v="228.2038"/>
    <m/>
    <n v="142.49514273307707"/>
    <n v="220.71280620978712"/>
    <n v="0"/>
    <n v="358.06966919999996"/>
    <n v="1022.8094316"/>
    <n v="0"/>
    <n v="618.91075870708482"/>
    <n v="989.23479743226596"/>
  </r>
  <r>
    <s v="Regular"/>
    <x v="1"/>
    <x v="2"/>
    <x v="3"/>
    <x v="3"/>
    <x v="0"/>
    <x v="0"/>
    <x v="0"/>
    <x v="0"/>
    <n v="0"/>
    <n v="0"/>
    <n v="4.8070000000000004"/>
    <n v="4.8070000000000004"/>
    <n v="4.8070000000000004"/>
    <n v="4.8070000000000004"/>
    <n v="0"/>
    <x v="0"/>
    <n v="0"/>
    <n v="0"/>
    <n v="17"/>
    <n v="66"/>
    <n v="0"/>
    <n v="79.890599999999992"/>
    <n v="228.2038"/>
    <m/>
    <n v="142.49514273307707"/>
    <n v="220.71280620978712"/>
    <n v="0"/>
    <n v="384.03411419999998"/>
    <n v="1096.9756666000001"/>
    <n v="0"/>
    <n v="663.78938355755395"/>
    <n v="1060.9664594504468"/>
  </r>
  <r>
    <s v="Regular"/>
    <x v="1"/>
    <x v="2"/>
    <x v="3"/>
    <x v="3"/>
    <x v="0"/>
    <x v="0"/>
    <x v="0"/>
    <x v="6"/>
    <n v="0"/>
    <n v="0"/>
    <n v="4.109"/>
    <n v="4.109"/>
    <n v="4.109"/>
    <n v="4.109"/>
    <n v="0"/>
    <x v="0"/>
    <n v="0"/>
    <n v="0"/>
    <n v="17"/>
    <n v="66"/>
    <n v="0"/>
    <n v="79.890599999999992"/>
    <n v="228.2038"/>
    <m/>
    <n v="142.49514273307707"/>
    <n v="220.71280620978712"/>
    <n v="0"/>
    <n v="328.27047539999995"/>
    <n v="937.68941419999999"/>
    <n v="0"/>
    <n v="567.40390618639265"/>
    <n v="906.90892071601525"/>
  </r>
  <r>
    <s v="Regular"/>
    <x v="1"/>
    <x v="2"/>
    <x v="3"/>
    <x v="3"/>
    <x v="0"/>
    <x v="0"/>
    <x v="0"/>
    <x v="7"/>
    <n v="0"/>
    <n v="0"/>
    <n v="4.4290000000000003"/>
    <n v="4.4290000000000003"/>
    <n v="4.4290000000000003"/>
    <n v="4.4290000000000003"/>
    <n v="0"/>
    <x v="0"/>
    <n v="0"/>
    <n v="0"/>
    <n v="17"/>
    <n v="66"/>
    <n v="0"/>
    <n v="79.890599999999992"/>
    <n v="228.2038"/>
    <m/>
    <n v="142.49514273307707"/>
    <n v="220.71280620978712"/>
    <n v="0"/>
    <n v="353.83546739999997"/>
    <n v="1010.7146302000001"/>
    <n v="0"/>
    <n v="611.59209065454684"/>
    <n v="977.53701870314717"/>
  </r>
  <r>
    <s v="Regular"/>
    <x v="1"/>
    <x v="2"/>
    <x v="3"/>
    <x v="3"/>
    <x v="0"/>
    <x v="0"/>
    <x v="0"/>
    <x v="8"/>
    <n v="0"/>
    <n v="0"/>
    <n v="4.5819999999999999"/>
    <n v="4.5819999999999999"/>
    <n v="4.5819999999999999"/>
    <n v="4.5819999999999999"/>
    <n v="0"/>
    <x v="0"/>
    <n v="0"/>
    <n v="0"/>
    <n v="17"/>
    <n v="66"/>
    <n v="0"/>
    <n v="79.890599999999992"/>
    <n v="228.2038"/>
    <m/>
    <n v="142.49514273307707"/>
    <n v="220.71280620978712"/>
    <n v="0"/>
    <n v="366.05872919999996"/>
    <n v="1045.6298116"/>
    <n v="0"/>
    <n v="632.71956635338302"/>
    <n v="1011.3060780532445"/>
  </r>
  <r>
    <s v="Regular"/>
    <x v="1"/>
    <x v="2"/>
    <x v="3"/>
    <x v="3"/>
    <x v="0"/>
    <x v="0"/>
    <x v="0"/>
    <x v="9"/>
    <n v="0"/>
    <n v="0"/>
    <n v="4.84"/>
    <n v="4.84"/>
    <n v="4.84"/>
    <n v="4.84"/>
    <n v="0"/>
    <x v="0"/>
    <n v="0"/>
    <n v="0"/>
    <n v="17"/>
    <n v="66"/>
    <n v="0"/>
    <n v="79.890599999999992"/>
    <n v="228.2038"/>
    <m/>
    <n v="142.49514273307707"/>
    <n v="220.71280620978712"/>
    <n v="0"/>
    <n v="386.67050399999994"/>
    <n v="1104.506392"/>
    <n v="0"/>
    <n v="668.34629008083232"/>
    <n v="1068.2499820553696"/>
  </r>
  <r>
    <s v="Regular"/>
    <x v="1"/>
    <x v="2"/>
    <x v="3"/>
    <x v="3"/>
    <x v="0"/>
    <x v="0"/>
    <x v="0"/>
    <x v="1"/>
    <n v="0"/>
    <n v="0"/>
    <n v="4.8019999999999996"/>
    <n v="4.8019999999999996"/>
    <n v="4.8019999999999996"/>
    <n v="4.8019999999999996"/>
    <n v="0"/>
    <x v="0"/>
    <n v="0"/>
    <n v="0"/>
    <n v="17"/>
    <n v="66"/>
    <n v="0"/>
    <n v="79.890599999999992"/>
    <n v="228.2038"/>
    <m/>
    <n v="142.49514273307707"/>
    <n v="220.71280620978712"/>
    <n v="0"/>
    <n v="383.63466119999993"/>
    <n v="1095.8346475999999"/>
    <n v="0"/>
    <n v="663.09894317523913"/>
    <n v="1059.8628954193975"/>
  </r>
  <r>
    <s v="Regular"/>
    <x v="1"/>
    <x v="2"/>
    <x v="3"/>
    <x v="3"/>
    <x v="0"/>
    <x v="0"/>
    <x v="0"/>
    <x v="2"/>
    <n v="0"/>
    <n v="0"/>
    <n v="5.4009999999999998"/>
    <n v="5.4009999999999998"/>
    <n v="5.4009999999999998"/>
    <n v="5.4009999999999998"/>
    <n v="0"/>
    <x v="0"/>
    <n v="0"/>
    <n v="0"/>
    <n v="17"/>
    <n v="66"/>
    <n v="0"/>
    <n v="79.890599999999992"/>
    <n v="228.2038"/>
    <m/>
    <n v="142.49514273307707"/>
    <n v="220.71280620978712"/>
    <n v="0"/>
    <n v="431.48913059999995"/>
    <n v="1232.5287237999999"/>
    <n v="0"/>
    <n v="745.8137009765652"/>
    <n v="1192.0698663390601"/>
  </r>
  <r>
    <s v="Regular"/>
    <x v="1"/>
    <x v="2"/>
    <x v="3"/>
    <x v="3"/>
    <x v="0"/>
    <x v="0"/>
    <x v="0"/>
    <x v="3"/>
    <n v="0"/>
    <n v="0"/>
    <n v="5.5839999999999996"/>
    <n v="5.5839999999999996"/>
    <n v="5.5839999999999996"/>
    <n v="5.5839999999999996"/>
    <n v="0"/>
    <x v="0"/>
    <n v="0"/>
    <n v="0"/>
    <n v="17"/>
    <n v="66"/>
    <n v="0"/>
    <n v="79.890599999999992"/>
    <n v="228.2038"/>
    <m/>
    <n v="142.49514273307707"/>
    <n v="220.71280620978712"/>
    <n v="0"/>
    <n v="446.10911039999991"/>
    <n v="1274.2900192"/>
    <n v="0"/>
    <n v="771.08381896929097"/>
    <n v="1232.4603098754512"/>
  </r>
  <r>
    <s v="Regular"/>
    <x v="1"/>
    <x v="2"/>
    <x v="3"/>
    <x v="3"/>
    <x v="0"/>
    <x v="0"/>
    <x v="0"/>
    <x v="10"/>
    <n v="0"/>
    <n v="0"/>
    <n v="5.4020000000000001"/>
    <n v="5.4020000000000001"/>
    <n v="5.4020000000000001"/>
    <n v="5.4020000000000001"/>
    <n v="0"/>
    <x v="0"/>
    <n v="0"/>
    <n v="0"/>
    <n v="17"/>
    <n v="66"/>
    <n v="0"/>
    <n v="79.890599999999992"/>
    <n v="228.2038"/>
    <m/>
    <n v="142.49514273307707"/>
    <n v="220.71280620978712"/>
    <n v="0"/>
    <n v="431.56902119999995"/>
    <n v="1232.7569275999999"/>
    <n v="0"/>
    <n v="745.95178905302828"/>
    <n v="1192.2905791452699"/>
  </r>
  <r>
    <s v="PROJETADO"/>
    <x v="1"/>
    <x v="2"/>
    <x v="3"/>
    <x v="3"/>
    <x v="0"/>
    <x v="0"/>
    <x v="0"/>
    <x v="11"/>
    <n v="0"/>
    <n v="0"/>
    <n v="5.4020000000000001"/>
    <n v="5.4020000000000001"/>
    <n v="5.4020000000000001"/>
    <n v="5.4020000000000001"/>
    <n v="0"/>
    <x v="0"/>
    <n v="0"/>
    <n v="0"/>
    <n v="17"/>
    <n v="66"/>
    <n v="0"/>
    <n v="79.890599999999992"/>
    <n v="228.2038"/>
    <m/>
    <n v="142.49514273307707"/>
    <n v="220.71280620978712"/>
    <n v="0"/>
    <n v="431.56902119999995"/>
    <n v="1232.7569275999999"/>
    <n v="0"/>
    <n v="745.95178905302828"/>
    <n v="1192.2905791452699"/>
  </r>
  <r>
    <s v="Regular"/>
    <x v="1"/>
    <x v="2"/>
    <x v="3"/>
    <x v="3"/>
    <x v="0"/>
    <x v="0"/>
    <x v="2"/>
    <x v="4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Regular"/>
    <x v="1"/>
    <x v="2"/>
    <x v="3"/>
    <x v="3"/>
    <x v="0"/>
    <x v="0"/>
    <x v="2"/>
    <x v="5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Regular"/>
    <x v="1"/>
    <x v="2"/>
    <x v="3"/>
    <x v="3"/>
    <x v="0"/>
    <x v="0"/>
    <x v="2"/>
    <x v="0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Regular"/>
    <x v="1"/>
    <x v="2"/>
    <x v="3"/>
    <x v="3"/>
    <x v="0"/>
    <x v="0"/>
    <x v="2"/>
    <x v="6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Regular"/>
    <x v="1"/>
    <x v="2"/>
    <x v="3"/>
    <x v="3"/>
    <x v="0"/>
    <x v="0"/>
    <x v="2"/>
    <x v="7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Regular"/>
    <x v="1"/>
    <x v="2"/>
    <x v="3"/>
    <x v="3"/>
    <x v="0"/>
    <x v="0"/>
    <x v="2"/>
    <x v="8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Regular"/>
    <x v="1"/>
    <x v="2"/>
    <x v="3"/>
    <x v="3"/>
    <x v="0"/>
    <x v="0"/>
    <x v="2"/>
    <x v="9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Regular"/>
    <x v="1"/>
    <x v="2"/>
    <x v="3"/>
    <x v="3"/>
    <x v="0"/>
    <x v="0"/>
    <x v="2"/>
    <x v="1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Regular"/>
    <x v="1"/>
    <x v="2"/>
    <x v="3"/>
    <x v="3"/>
    <x v="0"/>
    <x v="0"/>
    <x v="2"/>
    <x v="2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Regular"/>
    <x v="1"/>
    <x v="2"/>
    <x v="3"/>
    <x v="3"/>
    <x v="0"/>
    <x v="0"/>
    <x v="2"/>
    <x v="3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Regular"/>
    <x v="1"/>
    <x v="2"/>
    <x v="3"/>
    <x v="3"/>
    <x v="0"/>
    <x v="0"/>
    <x v="2"/>
    <x v="10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PROJETADO"/>
    <x v="1"/>
    <x v="2"/>
    <x v="3"/>
    <x v="3"/>
    <x v="0"/>
    <x v="0"/>
    <x v="2"/>
    <x v="11"/>
    <n v="30"/>
    <n v="30"/>
    <n v="0"/>
    <n v="0"/>
    <n v="0"/>
    <n v="0"/>
    <n v="1"/>
    <x v="0"/>
    <n v="0"/>
    <n v="13"/>
    <n v="0"/>
    <n v="0"/>
    <n v="17.784800000000001"/>
    <n v="0"/>
    <n v="0"/>
    <n v="31.60228847708839"/>
    <m/>
    <m/>
    <n v="533.54399999999998"/>
    <n v="0"/>
    <n v="0"/>
    <n v="830.20210431747955"/>
    <n v="0"/>
    <n v="0"/>
  </r>
  <r>
    <s v="Regular"/>
    <x v="1"/>
    <x v="2"/>
    <x v="3"/>
    <x v="3"/>
    <x v="0"/>
    <x v="0"/>
    <x v="1"/>
    <x v="4"/>
    <n v="0"/>
    <n v="0"/>
    <n v="0.53900000000000003"/>
    <n v="0.53900000000000003"/>
    <n v="0.53900000000000003"/>
    <n v="0.53900000000000003"/>
    <n v="0"/>
    <x v="0"/>
    <n v="0"/>
    <n v="0"/>
    <n v="15"/>
    <n v="65"/>
    <n v="0"/>
    <n v="1124.0708"/>
    <n v="368.04759999999999"/>
    <m/>
    <n v="1990.4906501669814"/>
    <n v="353.97476425445291"/>
    <n v="0"/>
    <n v="605.8741612"/>
    <n v="198.37765640000001"/>
    <n v="0"/>
    <n v="1039.2206411330767"/>
    <n v="190.79239793315014"/>
  </r>
  <r>
    <s v="Regular"/>
    <x v="1"/>
    <x v="2"/>
    <x v="3"/>
    <x v="3"/>
    <x v="0"/>
    <x v="0"/>
    <x v="1"/>
    <x v="5"/>
    <n v="0"/>
    <n v="0"/>
    <n v="0.64700000000000002"/>
    <n v="0.64700000000000002"/>
    <n v="0.64700000000000002"/>
    <n v="0.64700000000000002"/>
    <n v="0"/>
    <x v="0"/>
    <n v="0"/>
    <n v="0"/>
    <n v="15"/>
    <n v="65"/>
    <n v="0"/>
    <n v="1124.0708"/>
    <n v="368.04759999999999"/>
    <m/>
    <n v="1990.4906501669814"/>
    <n v="353.97476425445291"/>
    <n v="0"/>
    <n v="727.27380760000005"/>
    <n v="238.1267972"/>
    <n v="0"/>
    <n v="1247.4503799871998"/>
    <n v="229.02167247263102"/>
  </r>
  <r>
    <s v="Regular"/>
    <x v="1"/>
    <x v="2"/>
    <x v="3"/>
    <x v="3"/>
    <x v="0"/>
    <x v="0"/>
    <x v="1"/>
    <x v="0"/>
    <n v="0"/>
    <n v="0"/>
    <n v="0.64900000000000002"/>
    <n v="0.64900000000000002"/>
    <n v="0.64900000000000002"/>
    <n v="0.64900000000000002"/>
    <n v="0"/>
    <x v="0"/>
    <n v="0"/>
    <n v="0"/>
    <n v="15"/>
    <n v="65"/>
    <n v="0"/>
    <n v="1124.0708"/>
    <n v="368.04759999999999"/>
    <m/>
    <n v="1990.4906501669814"/>
    <n v="353.97476425445291"/>
    <n v="0"/>
    <n v="729.52194919999999"/>
    <n v="238.86289239999999"/>
    <n v="0"/>
    <n v="1251.3064862622762"/>
    <n v="229.72962200113994"/>
  </r>
  <r>
    <s v="Regular"/>
    <x v="1"/>
    <x v="2"/>
    <x v="3"/>
    <x v="3"/>
    <x v="0"/>
    <x v="0"/>
    <x v="1"/>
    <x v="6"/>
    <n v="0"/>
    <n v="0"/>
    <n v="0.57499999999999996"/>
    <n v="0.57499999999999996"/>
    <n v="0.57499999999999996"/>
    <n v="0.57499999999999996"/>
    <n v="0"/>
    <x v="0"/>
    <n v="0"/>
    <n v="0"/>
    <n v="15"/>
    <n v="65"/>
    <n v="0"/>
    <n v="1124.0708"/>
    <n v="368.04759999999999"/>
    <m/>
    <n v="1990.4906501669814"/>
    <n v="353.97476425445291"/>
    <n v="0"/>
    <n v="646.34070999999994"/>
    <n v="211.62736999999998"/>
    <n v="0"/>
    <n v="1108.630554084451"/>
    <n v="203.53548944631041"/>
  </r>
  <r>
    <s v="Regular"/>
    <x v="1"/>
    <x v="2"/>
    <x v="3"/>
    <x v="3"/>
    <x v="0"/>
    <x v="0"/>
    <x v="1"/>
    <x v="7"/>
    <n v="0"/>
    <n v="0"/>
    <n v="0.61099999999999999"/>
    <n v="0.61099999999999999"/>
    <n v="0.61099999999999999"/>
    <n v="0.61099999999999999"/>
    <n v="0"/>
    <x v="0"/>
    <n v="0"/>
    <n v="0"/>
    <n v="15"/>
    <n v="65"/>
    <n v="0"/>
    <n v="1124.0708"/>
    <n v="368.04759999999999"/>
    <m/>
    <n v="1990.4906501669814"/>
    <n v="353.97476425445291"/>
    <n v="0"/>
    <n v="686.8072588"/>
    <n v="224.87708359999999"/>
    <n v="0"/>
    <n v="1178.0404670358253"/>
    <n v="216.27858095947073"/>
  </r>
  <r>
    <s v="Regular"/>
    <x v="1"/>
    <x v="2"/>
    <x v="3"/>
    <x v="3"/>
    <x v="0"/>
    <x v="0"/>
    <x v="1"/>
    <x v="8"/>
    <n v="0"/>
    <n v="0"/>
    <n v="0.56000000000000005"/>
    <n v="0.56000000000000005"/>
    <n v="0.56000000000000005"/>
    <n v="0.56000000000000005"/>
    <n v="0"/>
    <x v="0"/>
    <n v="0"/>
    <n v="0"/>
    <n v="15"/>
    <n v="65"/>
    <n v="0"/>
    <n v="1124.0708"/>
    <n v="368.04759999999999"/>
    <m/>
    <n v="1990.4906501669814"/>
    <n v="353.97476425445291"/>
    <n v="0"/>
    <n v="629.479648"/>
    <n v="206.10665600000002"/>
    <n v="0"/>
    <n v="1079.7097570213782"/>
    <n v="198.22586798249364"/>
  </r>
  <r>
    <s v="Regular"/>
    <x v="1"/>
    <x v="2"/>
    <x v="3"/>
    <x v="3"/>
    <x v="0"/>
    <x v="0"/>
    <x v="1"/>
    <x v="9"/>
    <n v="0"/>
    <n v="0"/>
    <n v="0.69699999999999995"/>
    <n v="0.69699999999999995"/>
    <n v="0.69699999999999995"/>
    <n v="0.69699999999999995"/>
    <n v="0"/>
    <x v="0"/>
    <n v="0"/>
    <n v="0"/>
    <n v="15"/>
    <n v="65"/>
    <n v="0"/>
    <n v="1124.0708"/>
    <n v="368.04759999999999"/>
    <m/>
    <n v="1990.4906501669814"/>
    <n v="353.97476425445291"/>
    <n v="0"/>
    <n v="783.47734759999992"/>
    <n v="256.52917719999999"/>
    <n v="0"/>
    <n v="1343.8530368641084"/>
    <n v="246.72041068535367"/>
  </r>
  <r>
    <s v="Regular"/>
    <x v="1"/>
    <x v="2"/>
    <x v="3"/>
    <x v="3"/>
    <x v="0"/>
    <x v="0"/>
    <x v="1"/>
    <x v="1"/>
    <n v="0"/>
    <n v="0"/>
    <n v="0.65500000000000003"/>
    <n v="0.65500000000000003"/>
    <n v="0.65500000000000003"/>
    <n v="0.65500000000000003"/>
    <n v="0"/>
    <x v="0"/>
    <n v="0"/>
    <n v="0"/>
    <n v="15"/>
    <n v="65"/>
    <n v="0"/>
    <n v="1124.0708"/>
    <n v="368.04759999999999"/>
    <m/>
    <n v="1990.4906501669814"/>
    <n v="353.97476425445291"/>
    <n v="0"/>
    <n v="736.26637400000004"/>
    <n v="241.071178"/>
    <n v="0"/>
    <n v="1262.8748050875051"/>
    <n v="231.85347058666667"/>
  </r>
  <r>
    <s v="Regular"/>
    <x v="1"/>
    <x v="2"/>
    <x v="3"/>
    <x v="3"/>
    <x v="0"/>
    <x v="0"/>
    <x v="1"/>
    <x v="2"/>
    <n v="0"/>
    <n v="0"/>
    <n v="0.76300000000000001"/>
    <n v="0.76300000000000001"/>
    <n v="0.76300000000000001"/>
    <n v="0.76300000000000001"/>
    <n v="0"/>
    <x v="0"/>
    <n v="0"/>
    <n v="0"/>
    <n v="15"/>
    <n v="65"/>
    <n v="0"/>
    <n v="1124.0708"/>
    <n v="368.04759999999999"/>
    <m/>
    <n v="1990.4906501669814"/>
    <n v="353.97476425445291"/>
    <n v="0"/>
    <n v="857.66602039999998"/>
    <n v="280.8203188"/>
    <n v="0"/>
    <n v="1471.104543941628"/>
    <n v="270.08274512614759"/>
  </r>
  <r>
    <s v="Regular"/>
    <x v="1"/>
    <x v="2"/>
    <x v="3"/>
    <x v="3"/>
    <x v="0"/>
    <x v="0"/>
    <x v="1"/>
    <x v="3"/>
    <n v="0"/>
    <n v="0"/>
    <n v="0.83099999999999996"/>
    <n v="0.83099999999999996"/>
    <n v="0.83099999999999996"/>
    <n v="0.83099999999999996"/>
    <n v="0"/>
    <x v="0"/>
    <n v="0"/>
    <n v="0"/>
    <n v="15"/>
    <n v="65"/>
    <n v="0"/>
    <n v="1124.0708"/>
    <n v="368.04759999999999"/>
    <m/>
    <n v="1990.4906501669814"/>
    <n v="353.97476425445291"/>
    <n v="0"/>
    <n v="934.10283479999987"/>
    <n v="305.84755559999996"/>
    <n v="0"/>
    <n v="1602.2121572942237"/>
    <n v="294.15302909545034"/>
  </r>
  <r>
    <s v="Regular"/>
    <x v="1"/>
    <x v="2"/>
    <x v="3"/>
    <x v="3"/>
    <x v="0"/>
    <x v="0"/>
    <x v="1"/>
    <x v="10"/>
    <n v="0"/>
    <n v="0"/>
    <n v="0.748"/>
    <n v="0.748"/>
    <n v="0.748"/>
    <n v="0.748"/>
    <n v="0"/>
    <x v="0"/>
    <n v="0"/>
    <n v="0"/>
    <n v="15"/>
    <n v="65"/>
    <n v="0"/>
    <n v="1124.0708"/>
    <n v="368.04759999999999"/>
    <m/>
    <n v="1990.4906501669814"/>
    <n v="353.97476425445291"/>
    <n v="0"/>
    <n v="840.80495839999992"/>
    <n v="275.2996048"/>
    <n v="0"/>
    <n v="1442.1837468785552"/>
    <n v="264.77312366233076"/>
  </r>
  <r>
    <s v="PROJETADO"/>
    <x v="1"/>
    <x v="2"/>
    <x v="3"/>
    <x v="3"/>
    <x v="0"/>
    <x v="0"/>
    <x v="1"/>
    <x v="11"/>
    <n v="0"/>
    <n v="0"/>
    <n v="0.748"/>
    <n v="0.748"/>
    <n v="0.748"/>
    <n v="0.748"/>
    <n v="0"/>
    <x v="0"/>
    <n v="0"/>
    <n v="0"/>
    <n v="15"/>
    <n v="65"/>
    <n v="0"/>
    <n v="1124.0708"/>
    <n v="368.04759999999999"/>
    <m/>
    <n v="1990.4906501669814"/>
    <n v="353.97476425445291"/>
    <n v="0"/>
    <n v="840.80495839999992"/>
    <n v="275.2996048"/>
    <n v="0"/>
    <n v="1442.1837468785552"/>
    <n v="264.77312366233076"/>
  </r>
  <r>
    <s v="Regular"/>
    <x v="2"/>
    <x v="3"/>
    <x v="6"/>
    <x v="4"/>
    <x v="0"/>
    <x v="0"/>
    <x v="0"/>
    <x v="4"/>
    <n v="0"/>
    <n v="0"/>
    <n v="5.0039999999999996"/>
    <n v="5.0039999999999996"/>
    <n v="5.0039999999999996"/>
    <n v="5.0039999999999996"/>
    <n v="0"/>
    <x v="0"/>
    <n v="0"/>
    <n v="0"/>
    <n v="29"/>
    <n v="70"/>
    <n v="0"/>
    <n v="284.77"/>
    <n v="242.77"/>
    <m/>
    <n v="377.25516767471777"/>
    <n v="227.53897547400734"/>
    <n v="0"/>
    <n v="1424.9890799999998"/>
    <n v="1214.8210799999999"/>
    <n v="0"/>
    <n v="1887.9389677535212"/>
    <n v="1138.6050332719326"/>
  </r>
  <r>
    <s v="Regular"/>
    <x v="2"/>
    <x v="3"/>
    <x v="6"/>
    <x v="4"/>
    <x v="0"/>
    <x v="0"/>
    <x v="0"/>
    <x v="5"/>
    <n v="0"/>
    <n v="0"/>
    <n v="5.3209999999999997"/>
    <n v="5.3209999999999997"/>
    <n v="5.3209999999999997"/>
    <n v="5.3209999999999997"/>
    <n v="0"/>
    <x v="0"/>
    <n v="0"/>
    <n v="0"/>
    <n v="29"/>
    <n v="70"/>
    <n v="0"/>
    <n v="284.77"/>
    <n v="242.77"/>
    <m/>
    <n v="377.25516767471777"/>
    <n v="227.53897547400734"/>
    <n v="0"/>
    <n v="1515.2611699999998"/>
    <n v="1291.77917"/>
    <n v="0"/>
    <n v="2007.5386185884267"/>
    <n v="1210.734888497193"/>
  </r>
  <r>
    <s v="Regular"/>
    <x v="2"/>
    <x v="3"/>
    <x v="6"/>
    <x v="4"/>
    <x v="0"/>
    <x v="0"/>
    <x v="0"/>
    <x v="0"/>
    <n v="0"/>
    <n v="0"/>
    <n v="5.5810000000000004"/>
    <n v="5.5810000000000004"/>
    <n v="5.5810000000000004"/>
    <n v="5.5810000000000004"/>
    <n v="0"/>
    <x v="0"/>
    <n v="0"/>
    <n v="0"/>
    <n v="29"/>
    <n v="70"/>
    <n v="0"/>
    <n v="284.77"/>
    <n v="242.77"/>
    <m/>
    <n v="377.25516767471777"/>
    <n v="227.53897547400734"/>
    <n v="0"/>
    <n v="1589.3013699999999"/>
    <n v="1354.8993700000001"/>
    <n v="0"/>
    <n v="2105.6329694309361"/>
    <n v="1269.895022120435"/>
  </r>
  <r>
    <s v="Regular"/>
    <x v="2"/>
    <x v="3"/>
    <x v="6"/>
    <x v="4"/>
    <x v="0"/>
    <x v="0"/>
    <x v="0"/>
    <x v="6"/>
    <n v="0"/>
    <n v="0"/>
    <n v="5.8360000000000003"/>
    <n v="5.8360000000000003"/>
    <n v="5.8360000000000003"/>
    <n v="5.8360000000000003"/>
    <n v="0"/>
    <x v="0"/>
    <n v="0"/>
    <n v="0"/>
    <n v="29"/>
    <n v="70"/>
    <n v="0"/>
    <n v="284.77"/>
    <n v="242.77"/>
    <m/>
    <n v="377.25516767471777"/>
    <n v="227.53897547400734"/>
    <n v="0"/>
    <n v="1661.9177199999999"/>
    <n v="1416.8057200000001"/>
    <n v="0"/>
    <n v="2201.8408904495509"/>
    <n v="1327.917460866307"/>
  </r>
  <r>
    <s v="Regular"/>
    <x v="2"/>
    <x v="3"/>
    <x v="6"/>
    <x v="4"/>
    <x v="0"/>
    <x v="0"/>
    <x v="0"/>
    <x v="7"/>
    <n v="0"/>
    <n v="0"/>
    <n v="4.88"/>
    <n v="4.88"/>
    <n v="4.88"/>
    <n v="4.88"/>
    <n v="0"/>
    <x v="0"/>
    <n v="0"/>
    <n v="0"/>
    <n v="29"/>
    <n v="70"/>
    <n v="0"/>
    <n v="284.77"/>
    <n v="242.77"/>
    <m/>
    <n v="377.25516767471777"/>
    <n v="227.53897547400734"/>
    <n v="0"/>
    <n v="1389.6776"/>
    <n v="1184.7175999999999"/>
    <n v="0"/>
    <n v="1841.1555081209401"/>
    <n v="1110.3902003131559"/>
  </r>
  <r>
    <s v="Regular"/>
    <x v="2"/>
    <x v="3"/>
    <x v="6"/>
    <x v="4"/>
    <x v="0"/>
    <x v="0"/>
    <x v="0"/>
    <x v="8"/>
    <n v="0"/>
    <n v="0"/>
    <n v="5.3840000000000003"/>
    <n v="5.3840000000000003"/>
    <n v="5.3840000000000003"/>
    <n v="5.3840000000000003"/>
    <n v="0"/>
    <x v="0"/>
    <n v="0"/>
    <n v="0"/>
    <n v="29"/>
    <n v="70"/>
    <n v="0"/>
    <n v="284.77"/>
    <n v="242.77"/>
    <m/>
    <n v="377.25516767471777"/>
    <n v="227.53897547400734"/>
    <n v="0"/>
    <n v="1533.2016799999999"/>
    <n v="1307.0736800000002"/>
    <n v="0"/>
    <n v="2031.3076343694963"/>
    <n v="1225.0698439520556"/>
  </r>
  <r>
    <s v="Regular"/>
    <x v="2"/>
    <x v="3"/>
    <x v="6"/>
    <x v="4"/>
    <x v="0"/>
    <x v="0"/>
    <x v="0"/>
    <x v="9"/>
    <n v="0"/>
    <n v="0"/>
    <n v="3.298"/>
    <n v="3.298"/>
    <n v="3.298"/>
    <n v="3.298"/>
    <n v="0"/>
    <x v="0"/>
    <n v="0"/>
    <n v="0"/>
    <n v="29"/>
    <n v="70"/>
    <n v="0"/>
    <n v="284.77"/>
    <n v="242.77"/>
    <m/>
    <n v="377.25516767471777"/>
    <n v="227.53897547400734"/>
    <n v="0"/>
    <n v="939.17145999999991"/>
    <n v="800.65546000000006"/>
    <n v="0"/>
    <n v="1244.2891118407501"/>
    <n v="750.4235411132762"/>
  </r>
  <r>
    <s v="Regular"/>
    <x v="2"/>
    <x v="3"/>
    <x v="6"/>
    <x v="4"/>
    <x v="0"/>
    <x v="0"/>
    <x v="0"/>
    <x v="1"/>
    <n v="0"/>
    <n v="0"/>
    <n v="2.508"/>
    <n v="2.508"/>
    <n v="2.508"/>
    <n v="2.508"/>
    <n v="0"/>
    <x v="0"/>
    <n v="0"/>
    <n v="0"/>
    <n v="29"/>
    <n v="70"/>
    <n v="0"/>
    <n v="284.77"/>
    <n v="242.77"/>
    <m/>
    <n v="377.25516767471777"/>
    <n v="227.53897547400734"/>
    <n v="0"/>
    <n v="714.20315999999991"/>
    <n v="608.86716000000001"/>
    <n v="0"/>
    <n v="946.23319966543397"/>
    <n v="570.66775048881038"/>
  </r>
  <r>
    <s v="Regular"/>
    <x v="2"/>
    <x v="3"/>
    <x v="6"/>
    <x v="4"/>
    <x v="0"/>
    <x v="0"/>
    <x v="0"/>
    <x v="2"/>
    <n v="0"/>
    <n v="0"/>
    <n v="2.6120000000000001"/>
    <n v="2.6120000000000001"/>
    <n v="2.6120000000000001"/>
    <n v="2.6120000000000001"/>
    <n v="0"/>
    <x v="0"/>
    <n v="0"/>
    <n v="0"/>
    <n v="29"/>
    <n v="70"/>
    <n v="0"/>
    <n v="284.77"/>
    <n v="242.77"/>
    <m/>
    <n v="377.25516767471777"/>
    <n v="227.53897547400734"/>
    <n v="0"/>
    <n v="743.81924000000004"/>
    <n v="634.11524000000009"/>
    <n v="0"/>
    <n v="985.47094000243771"/>
    <n v="594.33180393810721"/>
  </r>
  <r>
    <s v="Regular"/>
    <x v="2"/>
    <x v="3"/>
    <x v="6"/>
    <x v="4"/>
    <x v="0"/>
    <x v="0"/>
    <x v="0"/>
    <x v="3"/>
    <n v="0"/>
    <n v="0"/>
    <n v="2.7879999999999998"/>
    <n v="2.7879999999999998"/>
    <n v="2.7879999999999998"/>
    <n v="2.7879999999999998"/>
    <n v="0"/>
    <x v="0"/>
    <n v="0"/>
    <n v="0"/>
    <n v="29"/>
    <n v="70"/>
    <n v="0"/>
    <n v="284.77"/>
    <n v="242.77"/>
    <m/>
    <n v="377.25516767471777"/>
    <n v="227.53897547400734"/>
    <n v="0"/>
    <n v="793.93875999999989"/>
    <n v="676.84276"/>
    <n v="0"/>
    <n v="1051.8732698035208"/>
    <n v="634.37866362153238"/>
  </r>
  <r>
    <s v="Regular"/>
    <x v="2"/>
    <x v="3"/>
    <x v="6"/>
    <x v="4"/>
    <x v="0"/>
    <x v="0"/>
    <x v="0"/>
    <x v="10"/>
    <n v="0"/>
    <n v="0"/>
    <n v="2.456"/>
    <n v="2.456"/>
    <n v="2.456"/>
    <n v="2.456"/>
    <n v="0"/>
    <x v="0"/>
    <n v="0"/>
    <n v="0"/>
    <n v="29"/>
    <n v="70"/>
    <n v="0"/>
    <n v="284.77"/>
    <n v="242.77"/>
    <m/>
    <n v="377.25516767471777"/>
    <n v="227.53897547400734"/>
    <n v="0"/>
    <n v="699.39511999999991"/>
    <n v="596.24311999999998"/>
    <n v="0"/>
    <n v="926.61432949693221"/>
    <n v="558.83572376416203"/>
  </r>
  <r>
    <s v="PROJETADO"/>
    <x v="2"/>
    <x v="3"/>
    <x v="6"/>
    <x v="4"/>
    <x v="0"/>
    <x v="0"/>
    <x v="0"/>
    <x v="11"/>
    <n v="0"/>
    <n v="0"/>
    <n v="2.456"/>
    <n v="2.456"/>
    <n v="2.456"/>
    <n v="2.456"/>
    <n v="0"/>
    <x v="0"/>
    <n v="0"/>
    <n v="0"/>
    <n v="29"/>
    <n v="70"/>
    <n v="0"/>
    <n v="284.77"/>
    <n v="242.77"/>
    <m/>
    <n v="377.25516767471777"/>
    <n v="227.53897547400734"/>
    <n v="0"/>
    <n v="699.39511999999991"/>
    <n v="596.24311999999998"/>
    <n v="0"/>
    <n v="926.61432949693221"/>
    <n v="558.83572376416203"/>
  </r>
  <r>
    <s v="Regular"/>
    <x v="2"/>
    <x v="3"/>
    <x v="6"/>
    <x v="4"/>
    <x v="0"/>
    <x v="0"/>
    <x v="3"/>
    <x v="4"/>
    <n v="0"/>
    <n v="0"/>
    <n v="0.34100000000000003"/>
    <n v="0.34100000000000003"/>
    <n v="0.34100000000000003"/>
    <n v="0.34100000000000003"/>
    <n v="0"/>
    <x v="0"/>
    <n v="0"/>
    <n v="0"/>
    <n v="28"/>
    <n v="69"/>
    <n v="0"/>
    <n v="637.07000000000005"/>
    <n v="242.77"/>
    <m/>
    <n v="768.96886472921801"/>
    <n v="227.53897547400734"/>
    <n v="0"/>
    <n v="217.24087000000003"/>
    <n v="82.784570000000016"/>
    <n v="0"/>
    <n v="262.24988828944242"/>
    <n v="77.590790636636513"/>
  </r>
  <r>
    <s v="Regular"/>
    <x v="2"/>
    <x v="3"/>
    <x v="6"/>
    <x v="4"/>
    <x v="0"/>
    <x v="0"/>
    <x v="3"/>
    <x v="5"/>
    <n v="0"/>
    <n v="0"/>
    <n v="0.36499999999999999"/>
    <n v="0.36499999999999999"/>
    <n v="0.36499999999999999"/>
    <n v="0.36499999999999999"/>
    <n v="0"/>
    <x v="0"/>
    <n v="0"/>
    <n v="0"/>
    <n v="28"/>
    <n v="69"/>
    <n v="0"/>
    <n v="637.07000000000005"/>
    <n v="242.77"/>
    <m/>
    <n v="768.96886472921801"/>
    <n v="227.53897547400734"/>
    <n v="0"/>
    <n v="232.53055000000001"/>
    <n v="88.611050000000006"/>
    <n v="0"/>
    <n v="280.70735843298087"/>
    <n v="83.051726048012682"/>
  </r>
  <r>
    <s v="Regular"/>
    <x v="2"/>
    <x v="3"/>
    <x v="6"/>
    <x v="4"/>
    <x v="0"/>
    <x v="0"/>
    <x v="3"/>
    <x v="0"/>
    <n v="0"/>
    <n v="0"/>
    <n v="0.373"/>
    <n v="0.373"/>
    <n v="0.373"/>
    <n v="0.373"/>
    <n v="0"/>
    <x v="0"/>
    <n v="0"/>
    <n v="0"/>
    <n v="28"/>
    <n v="69"/>
    <n v="0"/>
    <n v="637.07000000000005"/>
    <n v="242.77"/>
    <m/>
    <n v="768.96886472921801"/>
    <n v="227.53897547400734"/>
    <n v="0"/>
    <n v="237.62711000000002"/>
    <n v="90.553210000000007"/>
    <n v="0"/>
    <n v="286.859848480827"/>
    <n v="84.872037851804734"/>
  </r>
  <r>
    <s v="Regular"/>
    <x v="2"/>
    <x v="3"/>
    <x v="6"/>
    <x v="4"/>
    <x v="0"/>
    <x v="0"/>
    <x v="3"/>
    <x v="6"/>
    <n v="0"/>
    <n v="0"/>
    <n v="0.38600000000000001"/>
    <n v="0.38600000000000001"/>
    <n v="0.38600000000000001"/>
    <n v="0.38600000000000001"/>
    <n v="0"/>
    <x v="0"/>
    <n v="0"/>
    <n v="0"/>
    <n v="28"/>
    <n v="69"/>
    <n v="0"/>
    <n v="637.07000000000005"/>
    <n v="242.77"/>
    <m/>
    <n v="768.96886472921801"/>
    <n v="227.53897547400734"/>
    <n v="0"/>
    <n v="245.90902000000003"/>
    <n v="93.709220000000002"/>
    <n v="0"/>
    <n v="296.85764480857705"/>
    <n v="87.830044532966838"/>
  </r>
  <r>
    <s v="Regular"/>
    <x v="2"/>
    <x v="3"/>
    <x v="6"/>
    <x v="4"/>
    <x v="0"/>
    <x v="0"/>
    <x v="3"/>
    <x v="7"/>
    <n v="0"/>
    <n v="0"/>
    <n v="0.32900000000000001"/>
    <n v="0.32900000000000001"/>
    <n v="0.32900000000000001"/>
    <n v="0.32900000000000001"/>
    <n v="0"/>
    <x v="0"/>
    <n v="0"/>
    <n v="0"/>
    <n v="28"/>
    <n v="69"/>
    <n v="0"/>
    <n v="637.07000000000005"/>
    <n v="242.77"/>
    <m/>
    <n v="768.96886472921801"/>
    <n v="227.53897547400734"/>
    <n v="0"/>
    <n v="209.59603000000001"/>
    <n v="79.87133"/>
    <n v="0"/>
    <n v="253.02115321767317"/>
    <n v="74.860322930948414"/>
  </r>
  <r>
    <s v="Regular"/>
    <x v="2"/>
    <x v="3"/>
    <x v="6"/>
    <x v="4"/>
    <x v="0"/>
    <x v="0"/>
    <x v="3"/>
    <x v="8"/>
    <n v="0"/>
    <n v="0"/>
    <n v="0.38300000000000001"/>
    <n v="0.38300000000000001"/>
    <n v="0.38300000000000001"/>
    <n v="0.38300000000000001"/>
    <n v="0"/>
    <x v="0"/>
    <n v="0"/>
    <n v="0"/>
    <n v="28"/>
    <n v="69"/>
    <n v="0"/>
    <n v="637.07000000000005"/>
    <n v="242.77"/>
    <m/>
    <n v="768.96886472921801"/>
    <n v="227.53897547400734"/>
    <n v="0"/>
    <n v="243.99781000000002"/>
    <n v="92.980910000000009"/>
    <n v="0"/>
    <n v="294.55046104063473"/>
    <n v="87.147427606544809"/>
  </r>
  <r>
    <s v="Regular"/>
    <x v="2"/>
    <x v="3"/>
    <x v="6"/>
    <x v="4"/>
    <x v="0"/>
    <x v="0"/>
    <x v="3"/>
    <x v="9"/>
    <n v="0"/>
    <n v="0"/>
    <n v="0.23699999999999999"/>
    <n v="0.23699999999999999"/>
    <n v="0.23699999999999999"/>
    <n v="0.23699999999999999"/>
    <n v="0"/>
    <x v="0"/>
    <n v="0"/>
    <n v="0"/>
    <n v="28"/>
    <n v="69"/>
    <n v="0"/>
    <n v="637.07000000000005"/>
    <n v="242.77"/>
    <m/>
    <n v="768.96886472921801"/>
    <n v="227.53897547400734"/>
    <n v="0"/>
    <n v="150.98559"/>
    <n v="57.536490000000001"/>
    <n v="0"/>
    <n v="182.26751766744235"/>
    <n v="53.926737187339739"/>
  </r>
  <r>
    <s v="Regular"/>
    <x v="2"/>
    <x v="3"/>
    <x v="6"/>
    <x v="4"/>
    <x v="0"/>
    <x v="0"/>
    <x v="3"/>
    <x v="1"/>
    <n v="0"/>
    <n v="0"/>
    <n v="0.216"/>
    <n v="0.216"/>
    <n v="0.216"/>
    <n v="0.216"/>
    <n v="0"/>
    <x v="0"/>
    <n v="0"/>
    <n v="0"/>
    <n v="28"/>
    <n v="69"/>
    <n v="0"/>
    <n v="637.07000000000005"/>
    <n v="242.77"/>
    <m/>
    <n v="768.96886472921801"/>
    <n v="227.53897547400734"/>
    <n v="0"/>
    <n v="137.60712000000001"/>
    <n v="52.438320000000004"/>
    <n v="0"/>
    <n v="166.1172312918462"/>
    <n v="49.148418702385584"/>
  </r>
  <r>
    <s v="Regular"/>
    <x v="2"/>
    <x v="3"/>
    <x v="6"/>
    <x v="4"/>
    <x v="0"/>
    <x v="0"/>
    <x v="3"/>
    <x v="2"/>
    <n v="0"/>
    <n v="0"/>
    <n v="0.2"/>
    <n v="0.2"/>
    <n v="0.2"/>
    <n v="0.2"/>
    <n v="0"/>
    <x v="0"/>
    <n v="0"/>
    <n v="0"/>
    <n v="28"/>
    <n v="69"/>
    <n v="0"/>
    <n v="637.07000000000005"/>
    <n v="242.77"/>
    <m/>
    <n v="768.96886472921801"/>
    <n v="227.53897547400734"/>
    <n v="0"/>
    <n v="127.41400000000002"/>
    <n v="48.554000000000002"/>
    <n v="0"/>
    <n v="153.81225119615391"/>
    <n v="45.507795094801473"/>
  </r>
  <r>
    <s v="Regular"/>
    <x v="2"/>
    <x v="3"/>
    <x v="6"/>
    <x v="4"/>
    <x v="0"/>
    <x v="0"/>
    <x v="3"/>
    <x v="3"/>
    <n v="0"/>
    <n v="0"/>
    <n v="0.21299999999999999"/>
    <n v="0.21299999999999999"/>
    <n v="0.21299999999999999"/>
    <n v="0.21299999999999999"/>
    <n v="0"/>
    <x v="0"/>
    <n v="0"/>
    <n v="0"/>
    <n v="28"/>
    <n v="69"/>
    <n v="0"/>
    <n v="637.07000000000005"/>
    <n v="242.77"/>
    <m/>
    <n v="768.96886472921801"/>
    <n v="227.53897547400734"/>
    <n v="0"/>
    <n v="135.69591"/>
    <n v="51.710010000000004"/>
    <n v="0"/>
    <n v="163.8100475239039"/>
    <n v="48.465801775963563"/>
  </r>
  <r>
    <s v="Regular"/>
    <x v="2"/>
    <x v="3"/>
    <x v="6"/>
    <x v="4"/>
    <x v="0"/>
    <x v="0"/>
    <x v="3"/>
    <x v="10"/>
    <n v="0"/>
    <n v="0"/>
    <n v="0.17599999999999999"/>
    <n v="0.17599999999999999"/>
    <n v="0.17599999999999999"/>
    <n v="0.17599999999999999"/>
    <n v="0"/>
    <x v="0"/>
    <n v="0"/>
    <n v="0"/>
    <n v="28"/>
    <n v="69"/>
    <n v="0"/>
    <n v="637.07000000000005"/>
    <n v="242.77"/>
    <m/>
    <n v="768.96886472921801"/>
    <n v="227.53897547400734"/>
    <n v="0"/>
    <n v="112.12432"/>
    <n v="42.727519999999998"/>
    <n v="0"/>
    <n v="135.35478105261541"/>
    <n v="40.046859683425289"/>
  </r>
  <r>
    <s v="PROJETADO"/>
    <x v="2"/>
    <x v="3"/>
    <x v="6"/>
    <x v="4"/>
    <x v="0"/>
    <x v="0"/>
    <x v="3"/>
    <x v="11"/>
    <n v="0"/>
    <n v="0"/>
    <n v="0.17599999999999999"/>
    <n v="0.17599999999999999"/>
    <n v="0.17599999999999999"/>
    <n v="0.17599999999999999"/>
    <n v="0"/>
    <x v="0"/>
    <n v="0"/>
    <n v="0"/>
    <n v="28"/>
    <n v="69"/>
    <n v="0"/>
    <n v="637.07000000000005"/>
    <n v="242.77"/>
    <m/>
    <n v="768.96886472921801"/>
    <n v="227.53897547400734"/>
    <n v="0"/>
    <n v="112.12432"/>
    <n v="42.727519999999998"/>
    <n v="0"/>
    <n v="135.35478105261541"/>
    <n v="40.046859683425289"/>
  </r>
  <r>
    <s v="Regular"/>
    <x v="2"/>
    <x v="3"/>
    <x v="6"/>
    <x v="4"/>
    <x v="0"/>
    <x v="0"/>
    <x v="1"/>
    <x v="4"/>
    <n v="0"/>
    <n v="0"/>
    <n v="0.53500000000000003"/>
    <n v="0.53500000000000003"/>
    <n v="0.53500000000000003"/>
    <n v="0.53500000000000003"/>
    <n v="0"/>
    <x v="0"/>
    <n v="0"/>
    <n v="0"/>
    <n v="27"/>
    <n v="68"/>
    <n v="0"/>
    <n v="989.37"/>
    <n v="391.54"/>
    <m/>
    <n v="1160.6824510592296"/>
    <n v="364.92243737572466"/>
    <n v="0"/>
    <n v="529.31295"/>
    <n v="209.47390000000001"/>
    <n v="0"/>
    <n v="621.04749350512054"/>
    <n v="195.2335039960127"/>
  </r>
  <r>
    <s v="Regular"/>
    <x v="2"/>
    <x v="3"/>
    <x v="6"/>
    <x v="4"/>
    <x v="0"/>
    <x v="0"/>
    <x v="1"/>
    <x v="5"/>
    <n v="0"/>
    <n v="0"/>
    <n v="0.55100000000000005"/>
    <n v="0.55100000000000005"/>
    <n v="0.55100000000000005"/>
    <n v="0.55100000000000005"/>
    <n v="0"/>
    <x v="0"/>
    <n v="0"/>
    <n v="0"/>
    <n v="27"/>
    <n v="68"/>
    <n v="0"/>
    <n v="989.37"/>
    <n v="391.54"/>
    <m/>
    <n v="1160.6824510592296"/>
    <n v="364.92243737572466"/>
    <n v="0"/>
    <n v="545.14287000000002"/>
    <n v="215.73854000000003"/>
    <n v="0"/>
    <n v="639.62087648845124"/>
    <n v="201.0722629940243"/>
  </r>
  <r>
    <s v="Regular"/>
    <x v="2"/>
    <x v="3"/>
    <x v="6"/>
    <x v="4"/>
    <x v="0"/>
    <x v="0"/>
    <x v="1"/>
    <x v="0"/>
    <n v="0"/>
    <n v="0"/>
    <n v="0.56399999999999995"/>
    <n v="0.56399999999999995"/>
    <n v="0.56399999999999995"/>
    <n v="0.56399999999999995"/>
    <n v="0"/>
    <x v="0"/>
    <n v="0"/>
    <n v="0"/>
    <n v="27"/>
    <n v="68"/>
    <n v="0"/>
    <n v="989.37"/>
    <n v="391.54"/>
    <m/>
    <n v="1160.6824510592296"/>
    <n v="364.92243737572466"/>
    <n v="0"/>
    <n v="558.00467999999989"/>
    <n v="220.82855999999998"/>
    <n v="0"/>
    <n v="654.71175016240738"/>
    <n v="205.8162546799087"/>
  </r>
  <r>
    <s v="Regular"/>
    <x v="2"/>
    <x v="3"/>
    <x v="6"/>
    <x v="4"/>
    <x v="0"/>
    <x v="0"/>
    <x v="1"/>
    <x v="6"/>
    <n v="0"/>
    <n v="0"/>
    <n v="0.57899999999999996"/>
    <n v="0.57899999999999996"/>
    <n v="0.57899999999999996"/>
    <n v="0.57899999999999996"/>
    <n v="0"/>
    <x v="0"/>
    <n v="0"/>
    <n v="0"/>
    <n v="27"/>
    <n v="68"/>
    <n v="0"/>
    <n v="989.37"/>
    <n v="391.54"/>
    <m/>
    <n v="1160.6824510592296"/>
    <n v="364.92243737572466"/>
    <n v="0"/>
    <n v="572.84523000000002"/>
    <n v="226.70166"/>
    <n v="0"/>
    <n v="672.12429670927986"/>
    <n v="211.29009124054457"/>
  </r>
  <r>
    <s v="Regular"/>
    <x v="2"/>
    <x v="3"/>
    <x v="6"/>
    <x v="4"/>
    <x v="0"/>
    <x v="0"/>
    <x v="1"/>
    <x v="7"/>
    <n v="0"/>
    <n v="0"/>
    <n v="0.49299999999999999"/>
    <n v="0.49299999999999999"/>
    <n v="0.49299999999999999"/>
    <n v="0.49299999999999999"/>
    <n v="0"/>
    <x v="0"/>
    <n v="0"/>
    <n v="0"/>
    <n v="27"/>
    <n v="68"/>
    <n v="0"/>
    <n v="989.37"/>
    <n v="391.54"/>
    <m/>
    <n v="1160.6824510592296"/>
    <n v="364.92243737572466"/>
    <n v="0"/>
    <n v="487.75941"/>
    <n v="193.02922000000001"/>
    <n v="0"/>
    <n v="572.29236317387733"/>
    <n v="179.90676162623225"/>
  </r>
  <r>
    <s v="Regular"/>
    <x v="2"/>
    <x v="3"/>
    <x v="6"/>
    <x v="4"/>
    <x v="0"/>
    <x v="0"/>
    <x v="1"/>
    <x v="8"/>
    <n v="0"/>
    <n v="0"/>
    <n v="0.57999999999999996"/>
    <n v="0.57999999999999996"/>
    <n v="0.57999999999999996"/>
    <n v="0.57999999999999996"/>
    <n v="0"/>
    <x v="0"/>
    <n v="0"/>
    <n v="0"/>
    <n v="27"/>
    <n v="68"/>
    <n v="0"/>
    <n v="989.37"/>
    <n v="391.54"/>
    <m/>
    <n v="1160.6824510592296"/>
    <n v="364.92243737572466"/>
    <n v="0"/>
    <n v="573.83459999999991"/>
    <n v="227.0932"/>
    <n v="0"/>
    <n v="673.28513314573809"/>
    <n v="211.65501367792029"/>
  </r>
  <r>
    <s v="Regular"/>
    <x v="2"/>
    <x v="3"/>
    <x v="6"/>
    <x v="4"/>
    <x v="0"/>
    <x v="0"/>
    <x v="1"/>
    <x v="9"/>
    <n v="0"/>
    <n v="0"/>
    <n v="0.36099999999999999"/>
    <n v="0.36099999999999999"/>
    <n v="0.36099999999999999"/>
    <n v="0.36099999999999999"/>
    <n v="0"/>
    <x v="0"/>
    <n v="0"/>
    <n v="0"/>
    <n v="27"/>
    <n v="68"/>
    <n v="0"/>
    <n v="989.37"/>
    <n v="391.54"/>
    <m/>
    <n v="1160.6824510592296"/>
    <n v="364.92243737572466"/>
    <n v="0"/>
    <n v="357.16257000000002"/>
    <n v="141.34594000000001"/>
    <n v="0"/>
    <n v="419.06195356139904"/>
    <n v="131.73699989263659"/>
  </r>
  <r>
    <s v="Regular"/>
    <x v="2"/>
    <x v="3"/>
    <x v="6"/>
    <x v="4"/>
    <x v="0"/>
    <x v="0"/>
    <x v="1"/>
    <x v="1"/>
    <n v="0"/>
    <n v="0"/>
    <n v="0.32800000000000001"/>
    <n v="0.32800000000000001"/>
    <n v="0.32800000000000001"/>
    <n v="0.32800000000000001"/>
    <n v="0"/>
    <x v="0"/>
    <n v="0"/>
    <n v="0"/>
    <n v="27"/>
    <n v="68"/>
    <n v="0"/>
    <n v="989.37"/>
    <n v="391.54"/>
    <m/>
    <n v="1160.6824510592296"/>
    <n v="364.92243737572466"/>
    <n v="0"/>
    <n v="324.51336000000003"/>
    <n v="128.42512000000002"/>
    <n v="0"/>
    <n v="380.75435115827952"/>
    <n v="119.69455945923769"/>
  </r>
  <r>
    <s v="Regular"/>
    <x v="2"/>
    <x v="3"/>
    <x v="6"/>
    <x v="4"/>
    <x v="0"/>
    <x v="0"/>
    <x v="1"/>
    <x v="2"/>
    <n v="0"/>
    <n v="0"/>
    <n v="0.32200000000000001"/>
    <n v="0.32200000000000001"/>
    <n v="0.32200000000000001"/>
    <n v="0.32200000000000001"/>
    <n v="0"/>
    <x v="0"/>
    <n v="0"/>
    <n v="0"/>
    <n v="27"/>
    <n v="68"/>
    <n v="0"/>
    <n v="989.37"/>
    <n v="391.54"/>
    <m/>
    <n v="1160.6824510592296"/>
    <n v="364.92243737572466"/>
    <n v="0"/>
    <n v="318.57713999999999"/>
    <n v="126.07588000000001"/>
    <n v="0"/>
    <n v="373.78933253953045"/>
    <n v="117.50502483498335"/>
  </r>
  <r>
    <s v="Regular"/>
    <x v="2"/>
    <x v="3"/>
    <x v="6"/>
    <x v="4"/>
    <x v="0"/>
    <x v="0"/>
    <x v="1"/>
    <x v="3"/>
    <n v="0"/>
    <n v="0"/>
    <n v="0.33700000000000002"/>
    <n v="0.33700000000000002"/>
    <n v="0.33700000000000002"/>
    <n v="0.33700000000000002"/>
    <n v="0"/>
    <x v="0"/>
    <n v="0"/>
    <n v="0"/>
    <n v="27"/>
    <n v="68"/>
    <n v="0"/>
    <n v="989.37"/>
    <n v="391.54"/>
    <m/>
    <n v="1160.6824510592296"/>
    <n v="364.92243737572466"/>
    <n v="0"/>
    <n v="333.41769000000005"/>
    <n v="131.94898000000001"/>
    <n v="0"/>
    <n v="391.20187908640304"/>
    <n v="122.97886139561922"/>
  </r>
  <r>
    <s v="Regular"/>
    <x v="2"/>
    <x v="3"/>
    <x v="6"/>
    <x v="4"/>
    <x v="0"/>
    <x v="0"/>
    <x v="1"/>
    <x v="10"/>
    <n v="0"/>
    <n v="0"/>
    <n v="0.27500000000000002"/>
    <n v="0.27500000000000002"/>
    <n v="0.27500000000000002"/>
    <n v="0.27500000000000002"/>
    <n v="0"/>
    <x v="0"/>
    <n v="0"/>
    <n v="0"/>
    <n v="27"/>
    <n v="68"/>
    <n v="0"/>
    <n v="989.37"/>
    <n v="391.54"/>
    <m/>
    <n v="1160.6824510592296"/>
    <n v="364.92243737572466"/>
    <n v="0"/>
    <n v="272.07675"/>
    <n v="107.67350000000002"/>
    <n v="0"/>
    <n v="319.23002002599657"/>
    <n v="100.35367027832429"/>
  </r>
  <r>
    <s v="PROJETADO"/>
    <x v="2"/>
    <x v="3"/>
    <x v="6"/>
    <x v="4"/>
    <x v="0"/>
    <x v="0"/>
    <x v="1"/>
    <x v="11"/>
    <n v="0"/>
    <n v="0"/>
    <n v="0.27500000000000002"/>
    <n v="0.27500000000000002"/>
    <n v="0.27500000000000002"/>
    <n v="0.27500000000000002"/>
    <n v="0"/>
    <x v="0"/>
    <n v="0"/>
    <n v="0"/>
    <n v="27"/>
    <n v="68"/>
    <n v="0"/>
    <n v="989.37"/>
    <n v="391.54"/>
    <m/>
    <n v="1160.6824510592296"/>
    <n v="364.92243737572466"/>
    <n v="0"/>
    <n v="272.07675"/>
    <n v="107.67350000000002"/>
    <n v="0"/>
    <n v="319.23002002599657"/>
    <n v="100.35367027832429"/>
  </r>
  <r>
    <s v="Regular"/>
    <x v="2"/>
    <x v="4"/>
    <x v="6"/>
    <x v="4"/>
    <x v="0"/>
    <x v="0"/>
    <x v="2"/>
    <x v="4"/>
    <n v="0"/>
    <n v="0"/>
    <n v="4079.2910000000002"/>
    <n v="4079.2910000000002"/>
    <n v="4079.2910000000002"/>
    <n v="4079.2910000000002"/>
    <n v="27228"/>
    <x v="0"/>
    <n v="0"/>
    <n v="0"/>
    <n v="30"/>
    <n v="71"/>
    <n v="0"/>
    <n v="379.62"/>
    <n v="255.17"/>
    <m/>
    <n v="482.71658332831322"/>
    <n v="238.98759729915042"/>
    <n v="0"/>
    <n v="1548580.4494200002"/>
    <n v="1040912.68447"/>
    <n v="0"/>
    <n v="1969334.6913657312"/>
    <n v="974899.95477404865"/>
  </r>
  <r>
    <s v="Refaturamento - Regular"/>
    <x v="2"/>
    <x v="4"/>
    <x v="6"/>
    <x v="4"/>
    <x v="0"/>
    <x v="0"/>
    <x v="2"/>
    <x v="4"/>
    <n v="0"/>
    <n v="0"/>
    <n v="-0.3"/>
    <n v="-0.3"/>
    <n v="-0.3"/>
    <n v="-0.3"/>
    <n v="0"/>
    <x v="0"/>
    <n v="0"/>
    <n v="0"/>
    <n v="30"/>
    <n v="71"/>
    <n v="0"/>
    <n v="379.62"/>
    <n v="255.17"/>
    <m/>
    <n v="482.71658332831322"/>
    <n v="238.98759729915042"/>
    <n v="0"/>
    <n v="-113.886"/>
    <n v="-76.550999999999988"/>
    <n v="0"/>
    <n v="-144.82918904528245"/>
    <n v="-71.696279189745127"/>
  </r>
  <r>
    <s v="Sistema de Compensação"/>
    <x v="2"/>
    <x v="4"/>
    <x v="6"/>
    <x v="4"/>
    <x v="0"/>
    <x v="0"/>
    <x v="2"/>
    <x v="4"/>
    <n v="0"/>
    <n v="0"/>
    <n v="63.996000000000002"/>
    <n v="63.996000000000002"/>
    <n v="63.996000000000002"/>
    <n v="63.996000000000002"/>
    <n v="411"/>
    <x v="0"/>
    <n v="0"/>
    <n v="0"/>
    <n v="30"/>
    <n v="71"/>
    <n v="0"/>
    <n v="379.62"/>
    <n v="255.17"/>
    <m/>
    <n v="482.71658332831322"/>
    <n v="238.98759729915042"/>
    <n v="0"/>
    <n v="24294.161520000001"/>
    <n v="16329.85932"/>
    <n v="0"/>
    <n v="30894.962607139656"/>
    <n v="15294.250276756431"/>
  </r>
  <r>
    <s v="Regular"/>
    <x v="2"/>
    <x v="4"/>
    <x v="6"/>
    <x v="4"/>
    <x v="0"/>
    <x v="0"/>
    <x v="2"/>
    <x v="5"/>
    <n v="0"/>
    <n v="0"/>
    <n v="3895.5329999999999"/>
    <n v="3895.5329999999999"/>
    <n v="3895.5329999999999"/>
    <n v="3895.5329999999999"/>
    <n v="27118"/>
    <x v="0"/>
    <n v="0"/>
    <n v="0"/>
    <n v="30"/>
    <n v="71"/>
    <n v="0"/>
    <n v="379.62"/>
    <n v="255.17"/>
    <m/>
    <n v="482.71658332831322"/>
    <n v="238.98759729915042"/>
    <n v="0"/>
    <n v="1478822.23746"/>
    <n v="994023.1556099999"/>
    <n v="0"/>
    <n v="1880622.9509637877"/>
    <n v="930984.07186955132"/>
  </r>
  <r>
    <s v="Sistema de Compensação"/>
    <x v="2"/>
    <x v="4"/>
    <x v="6"/>
    <x v="4"/>
    <x v="0"/>
    <x v="0"/>
    <x v="2"/>
    <x v="5"/>
    <n v="0"/>
    <n v="0"/>
    <n v="50.265000000000001"/>
    <n v="50.265000000000001"/>
    <n v="50.265000000000001"/>
    <n v="50.265000000000001"/>
    <n v="440"/>
    <x v="0"/>
    <n v="0"/>
    <n v="0"/>
    <n v="30"/>
    <n v="71"/>
    <n v="0"/>
    <n v="379.62"/>
    <n v="255.17"/>
    <m/>
    <n v="482.71658332831322"/>
    <n v="238.98759729915042"/>
    <n v="0"/>
    <n v="19081.599300000002"/>
    <n v="12826.12005"/>
    <n v="0"/>
    <n v="24266.130624537076"/>
    <n v="12012.711578241797"/>
  </r>
  <r>
    <s v="Regular"/>
    <x v="2"/>
    <x v="4"/>
    <x v="6"/>
    <x v="4"/>
    <x v="0"/>
    <x v="0"/>
    <x v="2"/>
    <x v="0"/>
    <n v="0"/>
    <n v="0"/>
    <n v="3972.6260000000002"/>
    <n v="3972.6260000000002"/>
    <n v="3972.6260000000002"/>
    <n v="3972.6260000000002"/>
    <n v="27010"/>
    <x v="0"/>
    <n v="0"/>
    <n v="0"/>
    <n v="30"/>
    <n v="71"/>
    <n v="0"/>
    <n v="379.62"/>
    <n v="255.17"/>
    <m/>
    <n v="482.71658332831322"/>
    <n v="238.98759729915042"/>
    <n v="0"/>
    <n v="1508088.2821200001"/>
    <n v="1013694.97642"/>
    <n v="0"/>
    <n v="1917840.6732006811"/>
    <n v="949408.34270813479"/>
  </r>
  <r>
    <s v="Sistema de Compensação"/>
    <x v="2"/>
    <x v="4"/>
    <x v="6"/>
    <x v="4"/>
    <x v="0"/>
    <x v="0"/>
    <x v="2"/>
    <x v="0"/>
    <n v="0"/>
    <n v="0"/>
    <n v="56.207999999999998"/>
    <n v="56.207999999999998"/>
    <n v="56.207999999999998"/>
    <n v="56.207999999999998"/>
    <n v="466"/>
    <x v="0"/>
    <n v="0"/>
    <n v="0"/>
    <n v="30"/>
    <n v="71"/>
    <n v="0"/>
    <n v="379.62"/>
    <n v="255.17"/>
    <m/>
    <n v="482.71658332831322"/>
    <n v="238.98759729915042"/>
    <n v="0"/>
    <n v="21337.680959999998"/>
    <n v="14342.595359999999"/>
    <n v="0"/>
    <n v="27135.196859524123"/>
    <n v="13433.014868990647"/>
  </r>
  <r>
    <s v="Regular"/>
    <x v="2"/>
    <x v="4"/>
    <x v="6"/>
    <x v="4"/>
    <x v="0"/>
    <x v="0"/>
    <x v="2"/>
    <x v="6"/>
    <n v="0"/>
    <n v="0"/>
    <n v="3941.299"/>
    <n v="3941.299"/>
    <n v="3941.299"/>
    <n v="3941.299"/>
    <n v="26925"/>
    <x v="0"/>
    <n v="0"/>
    <n v="0"/>
    <n v="30"/>
    <n v="71"/>
    <n v="0"/>
    <n v="379.62"/>
    <n v="255.17"/>
    <m/>
    <n v="482.71658332831322"/>
    <n v="238.98759729915042"/>
    <n v="0"/>
    <n v="1496195.9263800001"/>
    <n v="1005701.2658299999"/>
    <n v="0"/>
    <n v="1902717.126516609"/>
    <n v="941921.57824754424"/>
  </r>
  <r>
    <s v="Sistema de Compensação"/>
    <x v="2"/>
    <x v="4"/>
    <x v="6"/>
    <x v="4"/>
    <x v="0"/>
    <x v="0"/>
    <x v="2"/>
    <x v="6"/>
    <n v="0"/>
    <n v="0"/>
    <n v="48.512"/>
    <n v="48.512"/>
    <n v="48.512"/>
    <n v="48.512"/>
    <n v="498"/>
    <x v="0"/>
    <n v="0"/>
    <n v="0"/>
    <n v="30"/>
    <n v="71"/>
    <n v="0"/>
    <n v="379.62"/>
    <n v="255.17"/>
    <m/>
    <n v="482.71658332831322"/>
    <n v="238.98759729915042"/>
    <n v="0"/>
    <n v="18416.12544"/>
    <n v="12378.80704"/>
    <n v="0"/>
    <n v="23419.845396549143"/>
    <n v="11593.766320176386"/>
  </r>
  <r>
    <s v="Regular"/>
    <x v="2"/>
    <x v="4"/>
    <x v="6"/>
    <x v="4"/>
    <x v="0"/>
    <x v="0"/>
    <x v="2"/>
    <x v="7"/>
    <n v="0"/>
    <n v="0"/>
    <n v="3635.4769999999999"/>
    <n v="3635.4769999999999"/>
    <n v="3635.4769999999999"/>
    <n v="3635.4769999999999"/>
    <n v="26796"/>
    <x v="0"/>
    <n v="0"/>
    <n v="0"/>
    <n v="30"/>
    <n v="71"/>
    <n v="0"/>
    <n v="379.62"/>
    <n v="255.17"/>
    <m/>
    <n v="482.71658332831322"/>
    <n v="238.98759729915042"/>
    <n v="0"/>
    <n v="1380099.77874"/>
    <n v="927664.66608999996"/>
    <n v="0"/>
    <n v="1755077.285675921"/>
    <n v="868833.91326632339"/>
  </r>
  <r>
    <s v="Sistema de Compensação"/>
    <x v="2"/>
    <x v="4"/>
    <x v="6"/>
    <x v="4"/>
    <x v="0"/>
    <x v="0"/>
    <x v="2"/>
    <x v="7"/>
    <n v="0"/>
    <n v="0"/>
    <n v="47.52"/>
    <n v="47.52"/>
    <n v="47.52"/>
    <n v="47.52"/>
    <n v="539"/>
    <x v="0"/>
    <n v="0"/>
    <n v="0"/>
    <n v="30"/>
    <n v="71"/>
    <n v="0"/>
    <n v="379.62"/>
    <n v="255.17"/>
    <m/>
    <n v="482.71658332831322"/>
    <n v="238.98759729915042"/>
    <n v="0"/>
    <n v="18039.542400000002"/>
    <n v="12125.678400000001"/>
    <n v="0"/>
    <n v="22940.943544772745"/>
    <n v="11356.69062365563"/>
  </r>
  <r>
    <s v="Regular"/>
    <x v="2"/>
    <x v="4"/>
    <x v="6"/>
    <x v="4"/>
    <x v="0"/>
    <x v="0"/>
    <x v="2"/>
    <x v="8"/>
    <n v="0"/>
    <n v="0"/>
    <n v="4193.3450000000003"/>
    <n v="4193.3450000000003"/>
    <n v="4193.3450000000003"/>
    <n v="4193.3450000000003"/>
    <n v="26454"/>
    <x v="0"/>
    <n v="0"/>
    <n v="0"/>
    <n v="30"/>
    <n v="71"/>
    <n v="0"/>
    <n v="379.62"/>
    <n v="255.17"/>
    <m/>
    <n v="482.71658332831322"/>
    <n v="238.98759729915042"/>
    <n v="0"/>
    <n v="1591877.6289000001"/>
    <n v="1070015.8436499999"/>
    <n v="0"/>
    <n v="2024395.8524569669"/>
    <n v="1002157.446196406"/>
  </r>
  <r>
    <s v="Sistema de Compensação"/>
    <x v="2"/>
    <x v="4"/>
    <x v="6"/>
    <x v="4"/>
    <x v="0"/>
    <x v="0"/>
    <x v="2"/>
    <x v="8"/>
    <n v="0"/>
    <n v="0"/>
    <n v="55.765000000000001"/>
    <n v="55.765000000000001"/>
    <n v="55.765000000000001"/>
    <n v="55.765000000000001"/>
    <n v="562"/>
    <x v="0"/>
    <n v="0"/>
    <n v="0"/>
    <n v="30"/>
    <n v="71"/>
    <n v="0"/>
    <n v="379.62"/>
    <n v="255.17"/>
    <m/>
    <n v="482.71658332831322"/>
    <n v="238.98759729915042"/>
    <n v="0"/>
    <n v="21169.509300000002"/>
    <n v="14229.555049999999"/>
    <n v="0"/>
    <n v="26921.332423700591"/>
    <n v="13327.143363387124"/>
  </r>
  <r>
    <s v="Regular"/>
    <x v="2"/>
    <x v="4"/>
    <x v="6"/>
    <x v="4"/>
    <x v="0"/>
    <x v="0"/>
    <x v="2"/>
    <x v="9"/>
    <n v="0"/>
    <n v="0"/>
    <n v="3836.12"/>
    <n v="3836.12"/>
    <n v="3836.12"/>
    <n v="3836.12"/>
    <n v="26230"/>
    <x v="0"/>
    <n v="0"/>
    <n v="0"/>
    <n v="30"/>
    <n v="71"/>
    <n v="0"/>
    <n v="379.62"/>
    <n v="255.17"/>
    <m/>
    <n v="482.71658332831322"/>
    <n v="238.98759729915042"/>
    <n v="0"/>
    <n v="1456267.8744000001"/>
    <n v="978862.74039999989"/>
    <n v="0"/>
    <n v="1851940.4956012964"/>
    <n v="916785.10175121692"/>
  </r>
  <r>
    <s v="Sistema de Compensação"/>
    <x v="2"/>
    <x v="4"/>
    <x v="6"/>
    <x v="4"/>
    <x v="0"/>
    <x v="0"/>
    <x v="2"/>
    <x v="9"/>
    <n v="0"/>
    <n v="0"/>
    <n v="61.878999999999998"/>
    <n v="61.878999999999998"/>
    <n v="61.878999999999998"/>
    <n v="61.878999999999998"/>
    <n v="585"/>
    <x v="0"/>
    <n v="0"/>
    <n v="0"/>
    <n v="30"/>
    <n v="71"/>
    <n v="0"/>
    <n v="379.62"/>
    <n v="255.17"/>
    <m/>
    <n v="482.71658332831322"/>
    <n v="238.98759729915042"/>
    <n v="0"/>
    <n v="23490.505979999998"/>
    <n v="15789.664429999999"/>
    <n v="0"/>
    <n v="29872.951296443443"/>
    <n v="14788.313533274128"/>
  </r>
  <r>
    <s v="Regular"/>
    <x v="2"/>
    <x v="4"/>
    <x v="6"/>
    <x v="4"/>
    <x v="0"/>
    <x v="0"/>
    <x v="2"/>
    <x v="1"/>
    <n v="0"/>
    <n v="0"/>
    <n v="3379.7689999999998"/>
    <n v="3379.7689999999998"/>
    <n v="3379.7689999999998"/>
    <n v="3379.7689999999998"/>
    <n v="26346"/>
    <x v="0"/>
    <n v="0"/>
    <n v="0"/>
    <n v="30"/>
    <n v="71"/>
    <n v="0"/>
    <n v="379.62"/>
    <n v="255.17"/>
    <m/>
    <n v="482.71658332831322"/>
    <n v="238.98759729915042"/>
    <n v="0"/>
    <n v="1283027.90778"/>
    <n v="862415.65572999988"/>
    <n v="0"/>
    <n v="1631630.6781012842"/>
    <n v="807722.87273615226"/>
  </r>
  <r>
    <s v="Refaturamento - Regular"/>
    <x v="2"/>
    <x v="4"/>
    <x v="6"/>
    <x v="4"/>
    <x v="0"/>
    <x v="0"/>
    <x v="2"/>
    <x v="1"/>
    <n v="0"/>
    <n v="0"/>
    <n v="-9.4E-2"/>
    <n v="-9.4E-2"/>
    <n v="-9.4E-2"/>
    <n v="-9.4E-2"/>
    <n v="0"/>
    <x v="0"/>
    <n v="0"/>
    <n v="0"/>
    <n v="30"/>
    <n v="71"/>
    <n v="0"/>
    <n v="379.62"/>
    <n v="255.17"/>
    <m/>
    <n v="482.71658332831322"/>
    <n v="238.98759729915042"/>
    <n v="0"/>
    <n v="-35.684280000000001"/>
    <n v="-23.985979999999998"/>
    <n v="0"/>
    <n v="-45.379812567521839"/>
    <n v="-22.46483414612014"/>
  </r>
  <r>
    <s v="Sistema de Compensação"/>
    <x v="2"/>
    <x v="4"/>
    <x v="6"/>
    <x v="4"/>
    <x v="0"/>
    <x v="0"/>
    <x v="2"/>
    <x v="1"/>
    <n v="0"/>
    <n v="0"/>
    <n v="57.09"/>
    <n v="57.09"/>
    <n v="57.09"/>
    <n v="57.09"/>
    <n v="639"/>
    <x v="0"/>
    <n v="0"/>
    <n v="0"/>
    <n v="30"/>
    <n v="71"/>
    <n v="0"/>
    <n v="379.62"/>
    <n v="255.17"/>
    <m/>
    <n v="482.71658332831322"/>
    <n v="238.98759729915042"/>
    <n v="0"/>
    <n v="21672.505800000003"/>
    <n v="14567.6553"/>
    <n v="0"/>
    <n v="27560.994675317255"/>
    <n v="13643.801929808498"/>
  </r>
  <r>
    <s v="Regular"/>
    <x v="2"/>
    <x v="4"/>
    <x v="6"/>
    <x v="4"/>
    <x v="0"/>
    <x v="0"/>
    <x v="2"/>
    <x v="2"/>
    <n v="0"/>
    <n v="0"/>
    <n v="3550.944"/>
    <n v="3550.944"/>
    <n v="3550.944"/>
    <n v="3550.944"/>
    <n v="26408"/>
    <x v="0"/>
    <n v="0"/>
    <n v="0"/>
    <n v="30"/>
    <n v="71"/>
    <n v="0"/>
    <n v="379.62"/>
    <n v="255.17"/>
    <m/>
    <n v="482.71658332831322"/>
    <n v="238.98759729915042"/>
    <n v="0"/>
    <n v="1348009.3612800001"/>
    <n v="906094.38047999993"/>
    <n v="0"/>
    <n v="1714267.7995507049"/>
    <n v="848631.57470383437"/>
  </r>
  <r>
    <s v="Sistema de Compensação"/>
    <x v="2"/>
    <x v="4"/>
    <x v="6"/>
    <x v="4"/>
    <x v="0"/>
    <x v="0"/>
    <x v="2"/>
    <x v="2"/>
    <n v="0"/>
    <n v="0"/>
    <n v="63.228000000000002"/>
    <n v="63.228000000000002"/>
    <n v="63.228000000000002"/>
    <n v="63.228000000000002"/>
    <n v="652"/>
    <x v="0"/>
    <n v="0"/>
    <n v="0"/>
    <n v="30"/>
    <n v="71"/>
    <n v="0"/>
    <n v="379.62"/>
    <n v="255.17"/>
    <m/>
    <n v="482.71658332831322"/>
    <n v="238.98759729915042"/>
    <n v="0"/>
    <n v="24002.613359999999"/>
    <n v="16133.88876"/>
    <n v="0"/>
    <n v="30524.199883183734"/>
    <n v="15110.707802030684"/>
  </r>
  <r>
    <s v="Regular"/>
    <x v="2"/>
    <x v="4"/>
    <x v="6"/>
    <x v="4"/>
    <x v="0"/>
    <x v="0"/>
    <x v="2"/>
    <x v="3"/>
    <n v="0"/>
    <n v="0"/>
    <n v="3414.7530000000002"/>
    <n v="3414.7530000000002"/>
    <n v="3414.7530000000002"/>
    <n v="3414.7530000000002"/>
    <n v="26417"/>
    <x v="0"/>
    <n v="0"/>
    <n v="0"/>
    <n v="30"/>
    <n v="71"/>
    <n v="0"/>
    <n v="379.62"/>
    <n v="255.17"/>
    <m/>
    <n v="482.71658332831322"/>
    <n v="238.98759729915042"/>
    <n v="0"/>
    <n v="1296308.5338600001"/>
    <n v="871342.52301"/>
    <n v="0"/>
    <n v="1648519.6925998181"/>
    <n v="816083.61484006583"/>
  </r>
  <r>
    <s v="Sistema de Compensação"/>
    <x v="2"/>
    <x v="4"/>
    <x v="6"/>
    <x v="4"/>
    <x v="0"/>
    <x v="0"/>
    <x v="2"/>
    <x v="3"/>
    <n v="0"/>
    <n v="0"/>
    <n v="63.838999999999999"/>
    <n v="63.838999999999999"/>
    <n v="63.838999999999999"/>
    <n v="63.838999999999999"/>
    <n v="697"/>
    <x v="0"/>
    <n v="0"/>
    <n v="0"/>
    <n v="30"/>
    <n v="71"/>
    <n v="0"/>
    <n v="379.62"/>
    <n v="255.17"/>
    <m/>
    <n v="482.71658332831322"/>
    <n v="238.98759729915042"/>
    <n v="0"/>
    <n v="24234.561180000001"/>
    <n v="16289.797629999999"/>
    <n v="0"/>
    <n v="30819.168664872625"/>
    <n v="15256.729223980463"/>
  </r>
  <r>
    <s v="Regular"/>
    <x v="2"/>
    <x v="4"/>
    <x v="6"/>
    <x v="4"/>
    <x v="0"/>
    <x v="0"/>
    <x v="2"/>
    <x v="10"/>
    <n v="0"/>
    <n v="0"/>
    <n v="4069.8310000000001"/>
    <n v="4069.8310000000001"/>
    <n v="4069.8310000000001"/>
    <n v="4069.8310000000001"/>
    <n v="26434"/>
    <x v="0"/>
    <n v="0"/>
    <n v="0"/>
    <n v="30"/>
    <n v="71"/>
    <n v="0"/>
    <n v="379.62"/>
    <n v="255.17"/>
    <m/>
    <n v="482.71658332831322"/>
    <n v="238.98759729915042"/>
    <n v="0"/>
    <n v="1544989.24422"/>
    <n v="1038498.77627"/>
    <n v="0"/>
    <n v="1964767.7442711699"/>
    <n v="972639.13210359868"/>
  </r>
  <r>
    <s v="Sistema de Compensação"/>
    <x v="2"/>
    <x v="4"/>
    <x v="6"/>
    <x v="4"/>
    <x v="0"/>
    <x v="0"/>
    <x v="2"/>
    <x v="10"/>
    <n v="0"/>
    <n v="0"/>
    <n v="74.814999999999998"/>
    <n v="74.814999999999998"/>
    <n v="74.814999999999998"/>
    <n v="74.814999999999998"/>
    <n v="734"/>
    <x v="0"/>
    <n v="0"/>
    <n v="0"/>
    <n v="30"/>
    <n v="71"/>
    <n v="0"/>
    <n v="379.62"/>
    <n v="255.17"/>
    <m/>
    <n v="482.71658332831322"/>
    <n v="238.98759729915042"/>
    <n v="0"/>
    <n v="28401.2703"/>
    <n v="19090.543549999999"/>
    <n v="0"/>
    <n v="36117.985928076021"/>
    <n v="17879.857091935937"/>
  </r>
  <r>
    <s v="PROJETADO"/>
    <x v="2"/>
    <x v="4"/>
    <x v="6"/>
    <x v="4"/>
    <x v="0"/>
    <x v="0"/>
    <x v="2"/>
    <x v="11"/>
    <n v="0"/>
    <n v="0"/>
    <n v="4069.8310000000001"/>
    <n v="4069.8310000000001"/>
    <n v="4069.8310000000001"/>
    <n v="4069.8310000000001"/>
    <n v="26434"/>
    <x v="0"/>
    <n v="0"/>
    <n v="0"/>
    <n v="30"/>
    <n v="71"/>
    <n v="0"/>
    <n v="379.62"/>
    <n v="255.17"/>
    <m/>
    <n v="482.71658332831322"/>
    <n v="238.98759729915042"/>
    <n v="0"/>
    <n v="1544989.24422"/>
    <n v="1038498.77627"/>
    <n v="0"/>
    <n v="1964767.7442711699"/>
    <n v="972639.13210359868"/>
  </r>
  <r>
    <s v="PROJETADO"/>
    <x v="2"/>
    <x v="4"/>
    <x v="6"/>
    <x v="4"/>
    <x v="0"/>
    <x v="0"/>
    <x v="2"/>
    <x v="11"/>
    <n v="0"/>
    <n v="0"/>
    <n v="74.814999999999998"/>
    <n v="74.814999999999998"/>
    <n v="74.814999999999998"/>
    <n v="74.814999999999998"/>
    <n v="734"/>
    <x v="0"/>
    <n v="0"/>
    <n v="0"/>
    <n v="30"/>
    <n v="71"/>
    <n v="0"/>
    <n v="379.62"/>
    <n v="255.17"/>
    <m/>
    <n v="482.71658332831322"/>
    <n v="238.98759729915042"/>
    <n v="0"/>
    <n v="28401.2703"/>
    <n v="19090.543549999999"/>
    <n v="0"/>
    <n v="36117.985928076021"/>
    <n v="17879.857091935937"/>
  </r>
  <r>
    <s v="Regular"/>
    <x v="2"/>
    <x v="4"/>
    <x v="6"/>
    <x v="5"/>
    <x v="0"/>
    <x v="0"/>
    <x v="2"/>
    <x v="4"/>
    <n v="0"/>
    <n v="0"/>
    <n v="74.97"/>
    <n v="74.97"/>
    <n v="74.97"/>
    <n v="74.97"/>
    <n v="78"/>
    <x v="0"/>
    <n v="0"/>
    <n v="0"/>
    <n v="31"/>
    <n v="72"/>
    <n v="0"/>
    <n v="105.1"/>
    <n v="89.31"/>
    <m/>
    <n v="114.2868702802878"/>
    <n v="83.645659054702648"/>
    <n v="0"/>
    <n v="7879.3469999999998"/>
    <n v="6695.5707000000002"/>
    <n v="0"/>
    <n v="8569.3298965155318"/>
    <n v="6270.9150593310578"/>
  </r>
  <r>
    <s v="Regular"/>
    <x v="2"/>
    <x v="4"/>
    <x v="6"/>
    <x v="5"/>
    <x v="0"/>
    <x v="0"/>
    <x v="2"/>
    <x v="5"/>
    <n v="0"/>
    <n v="0"/>
    <n v="78.33"/>
    <n v="78.33"/>
    <n v="78.33"/>
    <n v="78.33"/>
    <n v="100"/>
    <x v="0"/>
    <n v="0"/>
    <n v="0"/>
    <n v="31"/>
    <n v="72"/>
    <n v="0"/>
    <n v="105.1"/>
    <n v="89.31"/>
    <m/>
    <n v="114.2868702802878"/>
    <n v="83.645659054702648"/>
    <n v="0"/>
    <n v="8232.4830000000002"/>
    <n v="6995.6522999999997"/>
    <n v="0"/>
    <n v="8953.3894997207099"/>
    <n v="6551.9644737548579"/>
  </r>
  <r>
    <s v="Regular"/>
    <x v="2"/>
    <x v="4"/>
    <x v="6"/>
    <x v="5"/>
    <x v="0"/>
    <x v="0"/>
    <x v="2"/>
    <x v="0"/>
    <n v="0"/>
    <n v="0"/>
    <n v="80.010000000000005"/>
    <n v="80.010000000000005"/>
    <n v="80.010000000000005"/>
    <n v="80.010000000000005"/>
    <n v="88"/>
    <x v="0"/>
    <n v="0"/>
    <n v="0"/>
    <n v="31"/>
    <n v="72"/>
    <n v="0"/>
    <n v="105.1"/>
    <n v="89.31"/>
    <m/>
    <n v="114.2868702802878"/>
    <n v="83.645659054702648"/>
    <n v="0"/>
    <n v="8409.0509999999995"/>
    <n v="7145.6931000000004"/>
    <n v="0"/>
    <n v="9145.4193013232998"/>
    <n v="6692.4891809667597"/>
  </r>
  <r>
    <s v="Regular"/>
    <x v="2"/>
    <x v="4"/>
    <x v="6"/>
    <x v="5"/>
    <x v="0"/>
    <x v="0"/>
    <x v="2"/>
    <x v="6"/>
    <n v="0"/>
    <n v="0"/>
    <n v="82.56"/>
    <n v="82.56"/>
    <n v="82.56"/>
    <n v="82.56"/>
    <n v="88"/>
    <x v="0"/>
    <n v="0"/>
    <n v="0"/>
    <n v="31"/>
    <n v="72"/>
    <n v="0"/>
    <n v="105.1"/>
    <n v="89.31"/>
    <m/>
    <n v="114.2868702802878"/>
    <n v="83.645659054702648"/>
    <n v="0"/>
    <n v="8677.0560000000005"/>
    <n v="7373.4336000000003"/>
    <n v="0"/>
    <n v="9436.8931073272288"/>
    <n v="6905.7856115562508"/>
  </r>
  <r>
    <s v="Regular"/>
    <x v="2"/>
    <x v="4"/>
    <x v="6"/>
    <x v="5"/>
    <x v="0"/>
    <x v="0"/>
    <x v="2"/>
    <x v="7"/>
    <n v="0"/>
    <n v="0"/>
    <n v="86.88"/>
    <n v="86.88"/>
    <n v="86.88"/>
    <n v="86.88"/>
    <n v="95"/>
    <x v="0"/>
    <n v="0"/>
    <n v="0"/>
    <n v="31"/>
    <n v="72"/>
    <n v="0"/>
    <n v="105.1"/>
    <n v="89.31"/>
    <m/>
    <n v="114.2868702802878"/>
    <n v="83.645659054702648"/>
    <n v="0"/>
    <n v="9131.0879999999997"/>
    <n v="7759.2528000000002"/>
    <n v="0"/>
    <n v="9930.6840257338845"/>
    <n v="7267.1348586725653"/>
  </r>
  <r>
    <s v="Regular"/>
    <x v="2"/>
    <x v="4"/>
    <x v="6"/>
    <x v="5"/>
    <x v="0"/>
    <x v="0"/>
    <x v="2"/>
    <x v="8"/>
    <n v="0"/>
    <n v="0"/>
    <n v="97.29"/>
    <n v="97.29"/>
    <n v="97.29"/>
    <n v="97.29"/>
    <n v="89"/>
    <x v="0"/>
    <n v="0"/>
    <n v="0"/>
    <n v="31"/>
    <n v="72"/>
    <n v="0"/>
    <n v="105.1"/>
    <n v="89.31"/>
    <m/>
    <n v="114.2868702802878"/>
    <n v="83.645659054702648"/>
    <n v="0"/>
    <n v="10225.179"/>
    <n v="8688.9699000000001"/>
    <n v="0"/>
    <n v="11120.582974949928"/>
    <n v="8137.8861694320212"/>
  </r>
  <r>
    <s v="Regular"/>
    <x v="2"/>
    <x v="4"/>
    <x v="6"/>
    <x v="5"/>
    <x v="0"/>
    <x v="0"/>
    <x v="2"/>
    <x v="9"/>
    <n v="0"/>
    <n v="0"/>
    <n v="105.64"/>
    <n v="105.64"/>
    <n v="105.64"/>
    <n v="105.64"/>
    <n v="104"/>
    <x v="0"/>
    <n v="0"/>
    <n v="0"/>
    <n v="31"/>
    <n v="72"/>
    <n v="0"/>
    <n v="105.1"/>
    <n v="89.31"/>
    <m/>
    <n v="114.2868702802878"/>
    <n v="83.645659054702648"/>
    <n v="0"/>
    <n v="11102.763999999999"/>
    <n v="9434.7083999999995"/>
    <n v="0"/>
    <n v="12075.016810296129"/>
    <n v="8836.3274225387886"/>
  </r>
  <r>
    <s v="Regular"/>
    <x v="2"/>
    <x v="4"/>
    <x v="6"/>
    <x v="5"/>
    <x v="0"/>
    <x v="0"/>
    <x v="2"/>
    <x v="1"/>
    <n v="0"/>
    <n v="0"/>
    <n v="101.1"/>
    <n v="101.1"/>
    <n v="101.1"/>
    <n v="101.1"/>
    <n v="100"/>
    <x v="0"/>
    <n v="0"/>
    <n v="0"/>
    <n v="31"/>
    <n v="72"/>
    <n v="0"/>
    <n v="105.1"/>
    <n v="89.31"/>
    <m/>
    <n v="114.2868702802878"/>
    <n v="83.645659054702648"/>
    <n v="0"/>
    <n v="10625.609999999999"/>
    <n v="9029.241"/>
    <n v="0"/>
    <n v="11556.079132155799"/>
    <n v="8456.5761304304378"/>
  </r>
  <r>
    <s v="Regular"/>
    <x v="2"/>
    <x v="4"/>
    <x v="6"/>
    <x v="5"/>
    <x v="0"/>
    <x v="0"/>
    <x v="2"/>
    <x v="2"/>
    <n v="0"/>
    <n v="0"/>
    <n v="101.28"/>
    <n v="101.28"/>
    <n v="101.28"/>
    <n v="101.28"/>
    <n v="97"/>
    <x v="0"/>
    <n v="0"/>
    <n v="0"/>
    <n v="31"/>
    <n v="72"/>
    <n v="0"/>
    <n v="105.1"/>
    <n v="89.31"/>
    <m/>
    <n v="114.2868702802878"/>
    <n v="83.645659054702648"/>
    <n v="0"/>
    <n v="10644.528"/>
    <n v="9045.3168000000005"/>
    <n v="0"/>
    <n v="11576.653753756076"/>
    <n v="8471.6323490602845"/>
  </r>
  <r>
    <s v="Sistema de Compensação"/>
    <x v="2"/>
    <x v="4"/>
    <x v="6"/>
    <x v="5"/>
    <x v="0"/>
    <x v="0"/>
    <x v="2"/>
    <x v="2"/>
    <n v="0"/>
    <n v="0"/>
    <n v="0.03"/>
    <n v="-6.7500000000000004E-2"/>
    <n v="0.03"/>
    <n v="-6.7500000000000004E-2"/>
    <n v="0"/>
    <x v="0"/>
    <n v="0"/>
    <n v="0"/>
    <n v="31"/>
    <n v="72"/>
    <n v="0"/>
    <n v="105.1"/>
    <n v="89.31"/>
    <m/>
    <n v="114.2868702802878"/>
    <n v="83.645659054702648"/>
    <n v="0"/>
    <n v="-7.0942499999999997"/>
    <n v="-6.0284250000000004"/>
    <n v="0"/>
    <n v="-7.7154831001040209"/>
    <n v="-5.6460819861924287"/>
  </r>
  <r>
    <s v="Regular"/>
    <x v="2"/>
    <x v="4"/>
    <x v="6"/>
    <x v="5"/>
    <x v="0"/>
    <x v="0"/>
    <x v="2"/>
    <x v="3"/>
    <n v="0"/>
    <n v="0"/>
    <n v="100.56"/>
    <n v="100.56"/>
    <n v="100.56"/>
    <n v="100.56"/>
    <n v="114"/>
    <x v="0"/>
    <n v="0"/>
    <n v="0"/>
    <n v="31"/>
    <n v="72"/>
    <n v="0"/>
    <n v="105.1"/>
    <n v="89.31"/>
    <m/>
    <n v="114.2868702802878"/>
    <n v="83.645659054702648"/>
    <n v="0"/>
    <n v="10568.856"/>
    <n v="8981.0136000000002"/>
    <n v="0"/>
    <n v="11494.355267354968"/>
    <n v="8411.407474540898"/>
  </r>
  <r>
    <s v="Regular"/>
    <x v="2"/>
    <x v="4"/>
    <x v="6"/>
    <x v="5"/>
    <x v="0"/>
    <x v="0"/>
    <x v="2"/>
    <x v="10"/>
    <n v="0"/>
    <n v="0"/>
    <n v="100.8"/>
    <n v="100.8"/>
    <n v="100.8"/>
    <n v="100.8"/>
    <n v="89"/>
    <x v="0"/>
    <n v="0"/>
    <n v="0"/>
    <n v="31"/>
    <n v="72"/>
    <n v="0"/>
    <n v="105.1"/>
    <n v="89.31"/>
    <m/>
    <n v="114.2868702802878"/>
    <n v="83.645659054702648"/>
    <n v="0"/>
    <n v="10594.08"/>
    <n v="9002.4480000000003"/>
    <n v="0"/>
    <n v="11521.788096155336"/>
    <n v="8431.4824327140268"/>
  </r>
  <r>
    <s v="Sistema de Compensação"/>
    <x v="2"/>
    <x v="4"/>
    <x v="6"/>
    <x v="5"/>
    <x v="0"/>
    <x v="0"/>
    <x v="2"/>
    <x v="10"/>
    <n v="0"/>
    <n v="0"/>
    <n v="0.03"/>
    <n v="0.03"/>
    <n v="0.03"/>
    <n v="0.03"/>
    <n v="0"/>
    <x v="0"/>
    <n v="0"/>
    <n v="0"/>
    <n v="31"/>
    <n v="72"/>
    <n v="0"/>
    <n v="105.1"/>
    <n v="89.31"/>
    <m/>
    <n v="114.2868702802878"/>
    <n v="83.645659054702648"/>
    <n v="0"/>
    <n v="3.1529999999999996"/>
    <n v="2.6793"/>
    <n v="0"/>
    <n v="3.4291036000462314"/>
    <n v="2.5093697716410794"/>
  </r>
  <r>
    <s v="PROJETADO"/>
    <x v="2"/>
    <x v="4"/>
    <x v="6"/>
    <x v="5"/>
    <x v="0"/>
    <x v="0"/>
    <x v="2"/>
    <x v="11"/>
    <n v="0"/>
    <n v="0"/>
    <n v="100.8"/>
    <n v="100.8"/>
    <n v="100.8"/>
    <n v="100.8"/>
    <n v="89"/>
    <x v="0"/>
    <n v="0"/>
    <n v="0"/>
    <n v="31"/>
    <n v="72"/>
    <n v="0"/>
    <n v="105.1"/>
    <n v="89.31"/>
    <m/>
    <n v="114.2868702802878"/>
    <n v="83.645659054702648"/>
    <n v="0"/>
    <n v="10594.08"/>
    <n v="9002.4480000000003"/>
    <n v="0"/>
    <n v="11521.788096155336"/>
    <n v="8431.4824327140268"/>
  </r>
  <r>
    <s v="PROJETADO"/>
    <x v="2"/>
    <x v="4"/>
    <x v="6"/>
    <x v="5"/>
    <x v="0"/>
    <x v="0"/>
    <x v="2"/>
    <x v="11"/>
    <n v="0"/>
    <n v="0"/>
    <n v="0.03"/>
    <n v="0.03"/>
    <n v="0.03"/>
    <n v="0.03"/>
    <n v="0"/>
    <x v="0"/>
    <n v="0"/>
    <n v="0"/>
    <n v="31"/>
    <n v="72"/>
    <n v="0"/>
    <n v="105.1"/>
    <n v="89.31"/>
    <m/>
    <n v="114.2868702802878"/>
    <n v="83.645659054702648"/>
    <n v="0"/>
    <n v="3.1529999999999996"/>
    <n v="2.6793"/>
    <n v="0"/>
    <n v="3.4291036000462314"/>
    <n v="2.5093697716410794"/>
  </r>
  <r>
    <s v="Regular"/>
    <x v="2"/>
    <x v="4"/>
    <x v="6"/>
    <x v="6"/>
    <x v="0"/>
    <x v="0"/>
    <x v="2"/>
    <x v="4"/>
    <n v="0"/>
    <n v="0"/>
    <n v="153.358"/>
    <n v="153.358"/>
    <n v="153.358"/>
    <n v="153.358"/>
    <n v="651"/>
    <x v="0"/>
    <n v="0"/>
    <n v="0"/>
    <n v="32"/>
    <n v="73"/>
    <n v="0"/>
    <n v="180.18"/>
    <n v="153.1"/>
    <m/>
    <n v="195.92034905192193"/>
    <n v="143.39255837949025"/>
    <n v="0"/>
    <n v="27632.044440000001"/>
    <n v="23479.109799999998"/>
    <n v="0"/>
    <n v="30050.312565479428"/>
    <n v="21990.395967961867"/>
  </r>
  <r>
    <s v="Regular"/>
    <x v="2"/>
    <x v="4"/>
    <x v="6"/>
    <x v="6"/>
    <x v="0"/>
    <x v="0"/>
    <x v="2"/>
    <x v="5"/>
    <n v="0"/>
    <n v="0"/>
    <n v="158.65600000000001"/>
    <n v="158.65600000000001"/>
    <n v="158.65600000000001"/>
    <n v="158.65600000000001"/>
    <n v="681"/>
    <x v="0"/>
    <n v="0"/>
    <n v="0"/>
    <n v="32"/>
    <n v="73"/>
    <n v="0"/>
    <n v="180.18"/>
    <n v="153.1"/>
    <m/>
    <n v="195.92034905192193"/>
    <n v="143.39255837949025"/>
    <n v="0"/>
    <n v="28586.638080000001"/>
    <n v="24290.2336"/>
    <n v="0"/>
    <n v="31088.449186796282"/>
    <n v="22750.089742256405"/>
  </r>
  <r>
    <s v="Regular"/>
    <x v="2"/>
    <x v="4"/>
    <x v="6"/>
    <x v="6"/>
    <x v="0"/>
    <x v="0"/>
    <x v="2"/>
    <x v="0"/>
    <n v="0"/>
    <n v="0"/>
    <n v="164.26400000000001"/>
    <n v="164.26400000000001"/>
    <n v="164.26400000000001"/>
    <n v="164.26400000000001"/>
    <n v="674"/>
    <x v="0"/>
    <n v="0"/>
    <n v="0"/>
    <n v="32"/>
    <n v="73"/>
    <n v="0"/>
    <n v="180.18"/>
    <n v="153.1"/>
    <m/>
    <n v="195.92034905192193"/>
    <n v="143.39255837949025"/>
    <n v="0"/>
    <n v="29597.087520000005"/>
    <n v="25148.8184"/>
    <n v="0"/>
    <n v="32187.329929028241"/>
    <n v="23554.235209648588"/>
  </r>
  <r>
    <s v="Regular"/>
    <x v="2"/>
    <x v="4"/>
    <x v="6"/>
    <x v="6"/>
    <x v="0"/>
    <x v="0"/>
    <x v="2"/>
    <x v="6"/>
    <n v="0"/>
    <n v="0"/>
    <n v="168.87899999999999"/>
    <n v="168.87899999999999"/>
    <n v="168.87899999999999"/>
    <n v="168.87899999999999"/>
    <n v="701"/>
    <x v="0"/>
    <n v="0"/>
    <n v="0"/>
    <n v="32"/>
    <n v="73"/>
    <n v="0"/>
    <n v="180.18"/>
    <n v="153.1"/>
    <m/>
    <n v="195.92034905192193"/>
    <n v="143.39255837949025"/>
    <n v="0"/>
    <n v="30428.61822"/>
    <n v="25855.374899999999"/>
    <n v="0"/>
    <n v="33091.633535554713"/>
    <n v="24215.991866569933"/>
  </r>
  <r>
    <s v="Regular"/>
    <x v="2"/>
    <x v="4"/>
    <x v="6"/>
    <x v="6"/>
    <x v="0"/>
    <x v="0"/>
    <x v="2"/>
    <x v="7"/>
    <n v="0"/>
    <n v="0"/>
    <n v="173.79900000000001"/>
    <n v="173.79900000000001"/>
    <n v="173.79900000000001"/>
    <n v="173.79900000000001"/>
    <n v="871"/>
    <x v="0"/>
    <n v="0"/>
    <n v="0"/>
    <n v="32"/>
    <n v="73"/>
    <n v="0"/>
    <n v="180.18"/>
    <n v="153.1"/>
    <m/>
    <n v="195.92034905192193"/>
    <n v="143.39255837949025"/>
    <n v="0"/>
    <n v="31315.103820000004"/>
    <n v="26608.626899999999"/>
    <n v="0"/>
    <n v="34055.701519110575"/>
    <n v="24921.483253797029"/>
  </r>
  <r>
    <s v="Regular"/>
    <x v="2"/>
    <x v="4"/>
    <x v="6"/>
    <x v="6"/>
    <x v="0"/>
    <x v="0"/>
    <x v="2"/>
    <x v="8"/>
    <n v="0"/>
    <n v="0"/>
    <n v="202.85900000000001"/>
    <n v="202.85900000000001"/>
    <n v="202.85900000000001"/>
    <n v="202.85900000000001"/>
    <n v="739"/>
    <x v="0"/>
    <n v="0"/>
    <n v="0"/>
    <n v="32"/>
    <n v="73"/>
    <n v="0"/>
    <n v="180.18"/>
    <n v="153.1"/>
    <m/>
    <n v="195.92034905192193"/>
    <n v="143.39255837949025"/>
    <n v="0"/>
    <n v="36551.134620000004"/>
    <n v="31057.712899999999"/>
    <n v="0"/>
    <n v="39749.972982958774"/>
    <n v="29088.471000305013"/>
  </r>
  <r>
    <s v="Regular"/>
    <x v="2"/>
    <x v="4"/>
    <x v="6"/>
    <x v="6"/>
    <x v="0"/>
    <x v="0"/>
    <x v="2"/>
    <x v="9"/>
    <n v="0"/>
    <n v="0"/>
    <n v="215.45599999999999"/>
    <n v="215.45599999999999"/>
    <n v="215.45599999999999"/>
    <n v="215.45599999999999"/>
    <n v="953"/>
    <x v="0"/>
    <n v="0"/>
    <n v="0"/>
    <n v="32"/>
    <n v="73"/>
    <n v="0"/>
    <n v="180.18"/>
    <n v="153.1"/>
    <m/>
    <n v="195.92034905192193"/>
    <n v="143.39255837949025"/>
    <n v="0"/>
    <n v="38820.862079999999"/>
    <n v="32986.313599999994"/>
    <n v="0"/>
    <n v="42218.33972866062"/>
    <n v="30894.787058211452"/>
  </r>
  <r>
    <s v="Regular"/>
    <x v="2"/>
    <x v="4"/>
    <x v="6"/>
    <x v="6"/>
    <x v="0"/>
    <x v="0"/>
    <x v="2"/>
    <x v="1"/>
    <n v="0"/>
    <n v="0"/>
    <n v="200.75899999999999"/>
    <n v="200.75899999999999"/>
    <n v="200.75899999999999"/>
    <n v="200.75899999999999"/>
    <n v="1051"/>
    <x v="0"/>
    <n v="0"/>
    <n v="0"/>
    <n v="32"/>
    <n v="73"/>
    <n v="0"/>
    <n v="180.18"/>
    <n v="153.1"/>
    <m/>
    <n v="195.92034905192193"/>
    <n v="143.39255837949025"/>
    <n v="0"/>
    <n v="36172.75662"/>
    <n v="30736.202899999997"/>
    <n v="0"/>
    <n v="39338.480550953223"/>
    <n v="28787.346627708081"/>
  </r>
  <r>
    <s v="Regular"/>
    <x v="2"/>
    <x v="4"/>
    <x v="6"/>
    <x v="6"/>
    <x v="0"/>
    <x v="0"/>
    <x v="2"/>
    <x v="2"/>
    <n v="0"/>
    <n v="0"/>
    <n v="204.48699999999999"/>
    <n v="204.48699999999999"/>
    <n v="204.48699999999999"/>
    <n v="204.48699999999999"/>
    <n v="950"/>
    <x v="0"/>
    <n v="0"/>
    <n v="0"/>
    <n v="32"/>
    <n v="73"/>
    <n v="0"/>
    <n v="180.18"/>
    <n v="153.1"/>
    <m/>
    <n v="195.92034905192193"/>
    <n v="143.39255837949025"/>
    <n v="0"/>
    <n v="36844.467660000002"/>
    <n v="31306.959699999999"/>
    <n v="0"/>
    <n v="40068.977592151641"/>
    <n v="29321.914085346823"/>
  </r>
  <r>
    <s v="Regular"/>
    <x v="2"/>
    <x v="4"/>
    <x v="6"/>
    <x v="6"/>
    <x v="0"/>
    <x v="0"/>
    <x v="2"/>
    <x v="3"/>
    <n v="0"/>
    <n v="0"/>
    <n v="199.404"/>
    <n v="199.404"/>
    <n v="199.404"/>
    <n v="199.404"/>
    <n v="1039"/>
    <x v="0"/>
    <n v="0"/>
    <n v="0"/>
    <n v="32"/>
    <n v="73"/>
    <n v="0"/>
    <n v="180.18"/>
    <n v="153.1"/>
    <m/>
    <n v="195.92034905192193"/>
    <n v="143.39255837949025"/>
    <n v="0"/>
    <n v="35928.612719999997"/>
    <n v="30528.752399999998"/>
    <n v="0"/>
    <n v="39072.969957921072"/>
    <n v="28593.049711103875"/>
  </r>
  <r>
    <s v="Regular"/>
    <x v="2"/>
    <x v="4"/>
    <x v="6"/>
    <x v="6"/>
    <x v="0"/>
    <x v="0"/>
    <x v="2"/>
    <x v="10"/>
    <n v="0"/>
    <n v="0"/>
    <n v="210.48099999999999"/>
    <n v="210.48099999999999"/>
    <n v="210.48099999999999"/>
    <n v="210.48099999999999"/>
    <n v="753"/>
    <x v="0"/>
    <n v="0"/>
    <n v="0"/>
    <n v="32"/>
    <n v="73"/>
    <n v="0"/>
    <n v="180.18"/>
    <n v="153.1"/>
    <m/>
    <n v="195.92034905192193"/>
    <n v="143.39255837949025"/>
    <n v="0"/>
    <n v="37924.46658"/>
    <n v="32224.641099999997"/>
    <n v="0"/>
    <n v="41243.49456236176"/>
    <n v="30181.409080273486"/>
  </r>
  <r>
    <s v="Sistema de Compensação"/>
    <x v="2"/>
    <x v="4"/>
    <x v="6"/>
    <x v="6"/>
    <x v="0"/>
    <x v="0"/>
    <x v="2"/>
    <x v="10"/>
    <n v="0"/>
    <n v="0"/>
    <n v="7.0000000000000007E-2"/>
    <n v="7.0000000000000007E-2"/>
    <n v="7.0000000000000007E-2"/>
    <n v="7.0000000000000007E-2"/>
    <n v="0"/>
    <x v="0"/>
    <n v="0"/>
    <n v="0"/>
    <n v="32"/>
    <n v="73"/>
    <n v="0"/>
    <n v="180.18"/>
    <n v="153.1"/>
    <m/>
    <n v="195.92034905192193"/>
    <n v="143.39255837949025"/>
    <n v="0"/>
    <n v="12.612600000000002"/>
    <n v="10.717000000000001"/>
    <n v="0"/>
    <n v="13.716414400184927"/>
    <n v="10.03747908656432"/>
  </r>
  <r>
    <s v="PROJETADO"/>
    <x v="2"/>
    <x v="4"/>
    <x v="6"/>
    <x v="6"/>
    <x v="0"/>
    <x v="0"/>
    <x v="2"/>
    <x v="11"/>
    <n v="0"/>
    <n v="0"/>
    <n v="210.48099999999999"/>
    <n v="210.48099999999999"/>
    <n v="210.48099999999999"/>
    <n v="210.48099999999999"/>
    <n v="753"/>
    <x v="0"/>
    <n v="0"/>
    <n v="0"/>
    <n v="32"/>
    <n v="73"/>
    <n v="0"/>
    <n v="180.18"/>
    <n v="153.1"/>
    <m/>
    <n v="195.92034905192193"/>
    <n v="143.39255837949025"/>
    <n v="0"/>
    <n v="37924.46658"/>
    <n v="32224.641099999997"/>
    <n v="0"/>
    <n v="41243.49456236176"/>
    <n v="30181.409080273486"/>
  </r>
  <r>
    <s v="PROJETADO"/>
    <x v="2"/>
    <x v="4"/>
    <x v="6"/>
    <x v="6"/>
    <x v="0"/>
    <x v="0"/>
    <x v="2"/>
    <x v="11"/>
    <n v="0"/>
    <n v="0"/>
    <n v="7.0000000000000007E-2"/>
    <n v="7.0000000000000007E-2"/>
    <n v="7.0000000000000007E-2"/>
    <n v="7.0000000000000007E-2"/>
    <n v="0"/>
    <x v="0"/>
    <n v="0"/>
    <n v="0"/>
    <n v="32"/>
    <n v="73"/>
    <n v="0"/>
    <n v="180.18"/>
    <n v="153.1"/>
    <m/>
    <n v="195.92034905192193"/>
    <n v="143.39255837949025"/>
    <n v="0"/>
    <n v="12.612600000000002"/>
    <n v="10.717000000000001"/>
    <n v="0"/>
    <n v="13.716414400184927"/>
    <n v="10.03747908656432"/>
  </r>
  <r>
    <s v="Regular"/>
    <x v="2"/>
    <x v="4"/>
    <x v="6"/>
    <x v="7"/>
    <x v="0"/>
    <x v="0"/>
    <x v="2"/>
    <x v="4"/>
    <n v="0"/>
    <n v="0"/>
    <n v="109.375"/>
    <n v="109.375"/>
    <n v="109.375"/>
    <n v="109.375"/>
    <n v="1473"/>
    <x v="0"/>
    <n v="0"/>
    <n v="0"/>
    <n v="33"/>
    <n v="74"/>
    <n v="0"/>
    <n v="270.27"/>
    <n v="229.65"/>
    <m/>
    <n v="293.88052357788291"/>
    <n v="215.08883756923538"/>
    <n v="0"/>
    <n v="29560.781249999996"/>
    <n v="25117.96875"/>
    <n v="0"/>
    <n v="32147.84625043342"/>
    <n v="23525.341609135121"/>
  </r>
  <r>
    <s v="Regular"/>
    <x v="2"/>
    <x v="4"/>
    <x v="6"/>
    <x v="7"/>
    <x v="0"/>
    <x v="0"/>
    <x v="2"/>
    <x v="5"/>
    <n v="0"/>
    <n v="0"/>
    <n v="109.339"/>
    <n v="109.339"/>
    <n v="109.339"/>
    <n v="109.339"/>
    <n v="1550"/>
    <x v="0"/>
    <n v="0"/>
    <n v="0"/>
    <n v="33"/>
    <n v="74"/>
    <n v="0"/>
    <n v="270.27"/>
    <n v="229.65"/>
    <m/>
    <n v="293.88052357788291"/>
    <n v="215.08883756923538"/>
    <n v="0"/>
    <n v="29551.051529999997"/>
    <n v="25109.701349999999"/>
    <n v="0"/>
    <n v="32137.265016467562"/>
    <n v="23517.598410982628"/>
  </r>
  <r>
    <s v="Regular"/>
    <x v="2"/>
    <x v="4"/>
    <x v="6"/>
    <x v="7"/>
    <x v="0"/>
    <x v="0"/>
    <x v="2"/>
    <x v="0"/>
    <n v="0"/>
    <n v="0"/>
    <n v="118.824"/>
    <n v="118.824"/>
    <n v="118.824"/>
    <n v="118.824"/>
    <n v="1563"/>
    <x v="0"/>
    <n v="0"/>
    <n v="0"/>
    <n v="33"/>
    <n v="74"/>
    <n v="0"/>
    <n v="270.27"/>
    <n v="229.65"/>
    <m/>
    <n v="293.88052357788291"/>
    <n v="215.08883756923538"/>
    <n v="0"/>
    <n v="32114.562479999997"/>
    <n v="27287.9316"/>
    <n v="0"/>
    <n v="34925.126243305152"/>
    <n v="25557.716035326823"/>
  </r>
  <r>
    <s v="Regular"/>
    <x v="2"/>
    <x v="4"/>
    <x v="6"/>
    <x v="7"/>
    <x v="0"/>
    <x v="0"/>
    <x v="2"/>
    <x v="6"/>
    <n v="0"/>
    <n v="0"/>
    <n v="119.429"/>
    <n v="119.429"/>
    <n v="119.429"/>
    <n v="119.429"/>
    <n v="1643"/>
    <x v="0"/>
    <n v="0"/>
    <n v="0"/>
    <n v="33"/>
    <n v="74"/>
    <n v="0"/>
    <n v="270.27"/>
    <n v="229.65"/>
    <m/>
    <n v="293.88052357788291"/>
    <n v="215.08883756923538"/>
    <n v="0"/>
    <n v="32278.075829999998"/>
    <n v="27426.869850000003"/>
    <n v="0"/>
    <n v="35102.94975856469"/>
    <n v="25687.844782056214"/>
  </r>
  <r>
    <s v="Regular"/>
    <x v="2"/>
    <x v="4"/>
    <x v="6"/>
    <x v="7"/>
    <x v="0"/>
    <x v="0"/>
    <x v="2"/>
    <x v="7"/>
    <n v="0"/>
    <n v="0"/>
    <n v="109.42"/>
    <n v="109.42"/>
    <n v="109.42"/>
    <n v="109.42"/>
    <n v="1674"/>
    <x v="0"/>
    <n v="0"/>
    <n v="0"/>
    <n v="33"/>
    <n v="74"/>
    <n v="0"/>
    <n v="270.27"/>
    <n v="229.65"/>
    <m/>
    <n v="293.88052357788291"/>
    <n v="215.08883756923538"/>
    <n v="0"/>
    <n v="29572.9434"/>
    <n v="25128.303"/>
    <n v="0"/>
    <n v="32161.072792890744"/>
    <n v="23535.020606825736"/>
  </r>
  <r>
    <s v="Regular"/>
    <x v="2"/>
    <x v="4"/>
    <x v="6"/>
    <x v="7"/>
    <x v="0"/>
    <x v="0"/>
    <x v="2"/>
    <x v="8"/>
    <n v="0"/>
    <n v="0"/>
    <n v="159.411"/>
    <n v="159.411"/>
    <n v="159.411"/>
    <n v="159.411"/>
    <n v="1893"/>
    <x v="0"/>
    <n v="0"/>
    <n v="0"/>
    <n v="33"/>
    <n v="74"/>
    <n v="0"/>
    <n v="270.27"/>
    <n v="229.65"/>
    <m/>
    <n v="293.88052357788291"/>
    <n v="215.08883756923538"/>
    <n v="0"/>
    <n v="43084.010969999996"/>
    <n v="36608.736150000004"/>
    <n v="0"/>
    <n v="46854.5857703117"/>
    <n v="34287.526685749384"/>
  </r>
  <r>
    <s v="Regular"/>
    <x v="2"/>
    <x v="4"/>
    <x v="6"/>
    <x v="7"/>
    <x v="0"/>
    <x v="0"/>
    <x v="2"/>
    <x v="9"/>
    <n v="0"/>
    <n v="0"/>
    <n v="151.39599999999999"/>
    <n v="151.39599999999999"/>
    <n v="151.39599999999999"/>
    <n v="151.39599999999999"/>
    <n v="2031"/>
    <x v="0"/>
    <n v="0"/>
    <n v="0"/>
    <n v="33"/>
    <n v="74"/>
    <n v="0"/>
    <n v="270.27"/>
    <n v="229.65"/>
    <m/>
    <n v="293.88052357788291"/>
    <n v="215.08883756923538"/>
    <n v="0"/>
    <n v="40917.796919999993"/>
    <n v="34768.091399999998"/>
    <n v="0"/>
    <n v="44498.791597079929"/>
    <n v="32563.589652631956"/>
  </r>
  <r>
    <s v="Regular"/>
    <x v="2"/>
    <x v="4"/>
    <x v="6"/>
    <x v="7"/>
    <x v="0"/>
    <x v="0"/>
    <x v="2"/>
    <x v="1"/>
    <n v="0"/>
    <n v="0"/>
    <n v="119.86199999999999"/>
    <n v="119.86199999999999"/>
    <n v="119.86199999999999"/>
    <n v="119.86199999999999"/>
    <n v="1966"/>
    <x v="0"/>
    <n v="0"/>
    <n v="0"/>
    <n v="33"/>
    <n v="74"/>
    <n v="0"/>
    <n v="270.27"/>
    <n v="229.65"/>
    <m/>
    <n v="293.88052357788291"/>
    <n v="215.08883756923538"/>
    <n v="0"/>
    <n v="32395.102739999995"/>
    <n v="27526.308300000001"/>
    <n v="0"/>
    <n v="35230.218489320687"/>
    <n v="25780.978248723692"/>
  </r>
  <r>
    <s v="Regular"/>
    <x v="2"/>
    <x v="4"/>
    <x v="6"/>
    <x v="7"/>
    <x v="0"/>
    <x v="0"/>
    <x v="2"/>
    <x v="2"/>
    <n v="0"/>
    <n v="0"/>
    <n v="138.29599999999999"/>
    <n v="138.29599999999999"/>
    <n v="138.29599999999999"/>
    <n v="138.29599999999999"/>
    <n v="1982"/>
    <x v="0"/>
    <n v="0"/>
    <n v="0"/>
    <n v="33"/>
    <n v="74"/>
    <n v="0"/>
    <n v="270.27"/>
    <n v="229.65"/>
    <m/>
    <n v="293.88052357788291"/>
    <n v="215.08883756923538"/>
    <n v="0"/>
    <n v="37377.259919999997"/>
    <n v="31759.6764"/>
    <n v="0"/>
    <n v="40648.398126170883"/>
    <n v="29745.925880474973"/>
  </r>
  <r>
    <s v="Regular"/>
    <x v="2"/>
    <x v="4"/>
    <x v="6"/>
    <x v="7"/>
    <x v="0"/>
    <x v="0"/>
    <x v="2"/>
    <x v="3"/>
    <n v="0"/>
    <n v="0"/>
    <n v="122.026"/>
    <n v="122.026"/>
    <n v="122.026"/>
    <n v="122.026"/>
    <n v="1935"/>
    <x v="0"/>
    <n v="0"/>
    <n v="0"/>
    <n v="33"/>
    <n v="74"/>
    <n v="0"/>
    <n v="270.27"/>
    <n v="229.65"/>
    <m/>
    <n v="293.88052357788291"/>
    <n v="215.08883756923538"/>
    <n v="0"/>
    <n v="32979.967019999996"/>
    <n v="28023.2709"/>
    <n v="0"/>
    <n v="35866.26821993498"/>
    <n v="26246.430493223517"/>
  </r>
  <r>
    <s v="Regular"/>
    <x v="2"/>
    <x v="4"/>
    <x v="6"/>
    <x v="7"/>
    <x v="0"/>
    <x v="0"/>
    <x v="2"/>
    <x v="10"/>
    <n v="0"/>
    <n v="0"/>
    <n v="166.53299999999999"/>
    <n v="166.53299999999999"/>
    <n v="166.53299999999999"/>
    <n v="166.53299999999999"/>
    <n v="1994"/>
    <x v="0"/>
    <n v="0"/>
    <n v="0"/>
    <n v="33"/>
    <n v="74"/>
    <n v="0"/>
    <n v="270.27"/>
    <n v="229.65"/>
    <m/>
    <n v="293.88052357788291"/>
    <n v="215.08883756923538"/>
    <n v="0"/>
    <n v="45008.873909999995"/>
    <n v="38244.303449999999"/>
    <n v="0"/>
    <n v="48947.906556557056"/>
    <n v="35819.389386917472"/>
  </r>
  <r>
    <s v="Sistema de Compensação"/>
    <x v="2"/>
    <x v="4"/>
    <x v="6"/>
    <x v="7"/>
    <x v="0"/>
    <x v="0"/>
    <x v="2"/>
    <x v="10"/>
    <n v="0"/>
    <n v="0"/>
    <n v="5.0000000000000001E-3"/>
    <n v="5.0000000000000001E-3"/>
    <n v="5.0000000000000001E-3"/>
    <n v="5.0000000000000001E-3"/>
    <n v="4"/>
    <x v="0"/>
    <n v="0"/>
    <n v="0"/>
    <n v="33"/>
    <n v="74"/>
    <n v="0"/>
    <n v="270.27"/>
    <n v="229.65"/>
    <m/>
    <n v="293.88052357788291"/>
    <n v="215.08883756923538"/>
    <n v="0"/>
    <n v="1.3513499999999998"/>
    <n v="1.14825"/>
    <n v="0"/>
    <n v="1.4696158285912422"/>
    <n v="1.0754441878461769"/>
  </r>
  <r>
    <s v="PROJETADO"/>
    <x v="2"/>
    <x v="4"/>
    <x v="6"/>
    <x v="7"/>
    <x v="0"/>
    <x v="0"/>
    <x v="2"/>
    <x v="11"/>
    <n v="0"/>
    <n v="0"/>
    <n v="166.53299999999999"/>
    <n v="166.53299999999999"/>
    <n v="166.53299999999999"/>
    <n v="166.53299999999999"/>
    <n v="1994"/>
    <x v="0"/>
    <n v="0"/>
    <n v="0"/>
    <n v="33"/>
    <n v="74"/>
    <n v="0"/>
    <n v="270.27"/>
    <n v="229.65"/>
    <m/>
    <n v="293.88052357788291"/>
    <n v="215.08883756923538"/>
    <n v="0"/>
    <n v="45008.873909999995"/>
    <n v="38244.303449999999"/>
    <n v="0"/>
    <n v="48947.906556557056"/>
    <n v="35819.389386917472"/>
  </r>
  <r>
    <s v="PROJETADO"/>
    <x v="2"/>
    <x v="4"/>
    <x v="6"/>
    <x v="7"/>
    <x v="0"/>
    <x v="0"/>
    <x v="2"/>
    <x v="11"/>
    <n v="0"/>
    <n v="0"/>
    <n v="5.0000000000000001E-3"/>
    <n v="5.0000000000000001E-3"/>
    <n v="5.0000000000000001E-3"/>
    <n v="5.0000000000000001E-3"/>
    <n v="4"/>
    <x v="0"/>
    <n v="0"/>
    <n v="0"/>
    <n v="33"/>
    <n v="74"/>
    <n v="0"/>
    <n v="270.27"/>
    <n v="229.65"/>
    <m/>
    <n v="293.88052357788291"/>
    <n v="215.08883756923538"/>
    <n v="0"/>
    <n v="1.3513499999999998"/>
    <n v="1.14825"/>
    <n v="0"/>
    <n v="1.4696158285912422"/>
    <n v="1.0754441878461769"/>
  </r>
  <r>
    <s v="Regular"/>
    <x v="2"/>
    <x v="4"/>
    <x v="6"/>
    <x v="8"/>
    <x v="0"/>
    <x v="0"/>
    <x v="2"/>
    <x v="4"/>
    <n v="0"/>
    <n v="0"/>
    <n v="18.216000000000001"/>
    <n v="18.216000000000001"/>
    <n v="18.216000000000001"/>
    <n v="18.216000000000001"/>
    <n v="297"/>
    <x v="0"/>
    <n v="0"/>
    <n v="0"/>
    <n v="34"/>
    <n v="75"/>
    <n v="0"/>
    <n v="300.3"/>
    <n v="255.17"/>
    <m/>
    <n v="326.53391508653658"/>
    <n v="238.98759729915042"/>
    <n v="0"/>
    <n v="5470.2648000000008"/>
    <n v="4648.1767200000004"/>
    <n v="0"/>
    <n v="5949.0048741373485"/>
    <n v="4353.3980724013245"/>
  </r>
  <r>
    <s v="Regular"/>
    <x v="2"/>
    <x v="4"/>
    <x v="6"/>
    <x v="8"/>
    <x v="0"/>
    <x v="0"/>
    <x v="2"/>
    <x v="5"/>
    <n v="0"/>
    <n v="0"/>
    <n v="17.201000000000001"/>
    <n v="17.201000000000001"/>
    <n v="17.201000000000001"/>
    <n v="17.201000000000001"/>
    <n v="280"/>
    <x v="0"/>
    <n v="0"/>
    <n v="0"/>
    <n v="34"/>
    <n v="75"/>
    <n v="0"/>
    <n v="300.3"/>
    <n v="255.17"/>
    <m/>
    <n v="326.53391508653658"/>
    <n v="238.98759729915042"/>
    <n v="0"/>
    <n v="5165.4603000000006"/>
    <n v="4389.1791700000003"/>
    <n v="0"/>
    <n v="5617.5248594662125"/>
    <n v="4110.8256611426868"/>
  </r>
  <r>
    <s v="Regular"/>
    <x v="2"/>
    <x v="4"/>
    <x v="6"/>
    <x v="8"/>
    <x v="0"/>
    <x v="0"/>
    <x v="2"/>
    <x v="0"/>
    <n v="0"/>
    <n v="0"/>
    <n v="19.754999999999999"/>
    <n v="19.754999999999999"/>
    <n v="19.754999999999999"/>
    <n v="19.754999999999999"/>
    <n v="342"/>
    <x v="0"/>
    <n v="0"/>
    <n v="0"/>
    <n v="34"/>
    <n v="75"/>
    <n v="0"/>
    <n v="300.3"/>
    <n v="255.17"/>
    <m/>
    <n v="326.53391508653658"/>
    <n v="238.98759729915042"/>
    <n v="0"/>
    <n v="5932.4264999999996"/>
    <n v="5040.8833499999992"/>
    <n v="0"/>
    <n v="6451.6134875155522"/>
    <n v="4721.1999846447161"/>
  </r>
  <r>
    <s v="Regular"/>
    <x v="2"/>
    <x v="4"/>
    <x v="6"/>
    <x v="8"/>
    <x v="0"/>
    <x v="0"/>
    <x v="2"/>
    <x v="6"/>
    <n v="0"/>
    <n v="0"/>
    <n v="20.62"/>
    <n v="20.62"/>
    <n v="20.62"/>
    <n v="20.62"/>
    <n v="320"/>
    <x v="0"/>
    <n v="0"/>
    <n v="0"/>
    <n v="34"/>
    <n v="75"/>
    <n v="0"/>
    <n v="300.3"/>
    <n v="255.17"/>
    <m/>
    <n v="326.53391508653658"/>
    <n v="238.98759729915042"/>
    <n v="0"/>
    <n v="6192.1860000000006"/>
    <n v="5261.6054000000004"/>
    <n v="0"/>
    <n v="6734.1063079003143"/>
    <n v="4927.9242563084817"/>
  </r>
  <r>
    <s v="Regular"/>
    <x v="2"/>
    <x v="4"/>
    <x v="6"/>
    <x v="8"/>
    <x v="0"/>
    <x v="0"/>
    <x v="2"/>
    <x v="7"/>
    <n v="0"/>
    <n v="0"/>
    <n v="15.47"/>
    <n v="15.47"/>
    <n v="15.47"/>
    <n v="15.47"/>
    <n v="256"/>
    <x v="0"/>
    <n v="0"/>
    <n v="0"/>
    <n v="34"/>
    <n v="75"/>
    <n v="0"/>
    <n v="300.3"/>
    <n v="255.17"/>
    <m/>
    <n v="326.53391508653658"/>
    <n v="238.98759729915042"/>
    <n v="0"/>
    <n v="4645.6410000000005"/>
    <n v="3947.4798999999998"/>
    <n v="0"/>
    <n v="5052.2126374014479"/>
    <n v="3697.138130217857"/>
  </r>
  <r>
    <s v="Regular"/>
    <x v="2"/>
    <x v="4"/>
    <x v="6"/>
    <x v="8"/>
    <x v="0"/>
    <x v="0"/>
    <x v="2"/>
    <x v="8"/>
    <n v="0"/>
    <n v="0"/>
    <n v="38.283999999999999"/>
    <n v="38.283999999999999"/>
    <n v="38.283999999999999"/>
    <n v="38.283999999999999"/>
    <n v="522"/>
    <x v="0"/>
    <n v="0"/>
    <n v="0"/>
    <n v="34"/>
    <n v="75"/>
    <n v="0"/>
    <n v="300.3"/>
    <n v="255.17"/>
    <m/>
    <n v="326.53391508653658"/>
    <n v="238.98759729915042"/>
    <n v="0"/>
    <n v="11496.6852"/>
    <n v="9768.9282800000001"/>
    <n v="0"/>
    <n v="12502.838307063803"/>
    <n v="9149.4011750006739"/>
  </r>
  <r>
    <s v="Regular"/>
    <x v="2"/>
    <x v="4"/>
    <x v="6"/>
    <x v="8"/>
    <x v="0"/>
    <x v="0"/>
    <x v="2"/>
    <x v="9"/>
    <n v="0"/>
    <n v="0"/>
    <n v="30.593"/>
    <n v="30.593"/>
    <n v="30.593"/>
    <n v="30.593"/>
    <n v="432"/>
    <x v="0"/>
    <n v="0"/>
    <n v="0"/>
    <n v="34"/>
    <n v="75"/>
    <n v="0"/>
    <n v="300.3"/>
    <n v="255.17"/>
    <m/>
    <n v="326.53391508653658"/>
    <n v="238.98759729915042"/>
    <n v="0"/>
    <n v="9187.0779000000002"/>
    <n v="7806.4158099999995"/>
    <n v="0"/>
    <n v="9991.1015653537488"/>
    <n v="7311.3475641729092"/>
  </r>
  <r>
    <s v="Regular"/>
    <x v="2"/>
    <x v="4"/>
    <x v="6"/>
    <x v="8"/>
    <x v="0"/>
    <x v="0"/>
    <x v="2"/>
    <x v="1"/>
    <n v="0"/>
    <n v="0"/>
    <n v="15.170999999999999"/>
    <n v="15.170999999999999"/>
    <n v="15.170999999999999"/>
    <n v="15.170999999999999"/>
    <n v="253"/>
    <x v="0"/>
    <n v="0"/>
    <n v="0"/>
    <n v="34"/>
    <n v="75"/>
    <n v="0"/>
    <n v="300.3"/>
    <n v="255.17"/>
    <m/>
    <n v="326.53391508653658"/>
    <n v="238.98759729915042"/>
    <n v="0"/>
    <n v="4555.8513000000003"/>
    <n v="3871.1840699999998"/>
    <n v="0"/>
    <n v="4954.5648301239407"/>
    <n v="3625.6808386254111"/>
  </r>
  <r>
    <s v="Regular"/>
    <x v="2"/>
    <x v="4"/>
    <x v="6"/>
    <x v="8"/>
    <x v="0"/>
    <x v="0"/>
    <x v="2"/>
    <x v="2"/>
    <n v="0"/>
    <n v="0"/>
    <n v="20.350999999999999"/>
    <n v="20.350999999999999"/>
    <n v="20.350999999999999"/>
    <n v="20.350999999999999"/>
    <n v="347"/>
    <x v="0"/>
    <n v="0"/>
    <n v="0"/>
    <n v="34"/>
    <n v="75"/>
    <n v="0"/>
    <n v="300.3"/>
    <n v="255.17"/>
    <m/>
    <n v="326.53391508653658"/>
    <n v="238.98759729915042"/>
    <n v="0"/>
    <n v="6111.4053000000004"/>
    <n v="5192.9646699999994"/>
    <n v="0"/>
    <n v="6646.255939480081"/>
    <n v="4863.6365926350099"/>
  </r>
  <r>
    <s v="Regular"/>
    <x v="2"/>
    <x v="4"/>
    <x v="6"/>
    <x v="8"/>
    <x v="0"/>
    <x v="0"/>
    <x v="2"/>
    <x v="3"/>
    <n v="0"/>
    <n v="0"/>
    <n v="15.516"/>
    <n v="15.516"/>
    <n v="15.516"/>
    <n v="15.516"/>
    <n v="264"/>
    <x v="0"/>
    <n v="0"/>
    <n v="0"/>
    <n v="34"/>
    <n v="75"/>
    <n v="0"/>
    <n v="300.3"/>
    <n v="255.17"/>
    <m/>
    <n v="326.53391508653658"/>
    <n v="238.98759729915042"/>
    <n v="0"/>
    <n v="4659.4548000000004"/>
    <n v="3959.2177199999996"/>
    <n v="0"/>
    <n v="5067.2353769826032"/>
    <n v="3708.1315596936179"/>
  </r>
  <r>
    <s v="Regular"/>
    <x v="2"/>
    <x v="4"/>
    <x v="6"/>
    <x v="8"/>
    <x v="0"/>
    <x v="0"/>
    <x v="2"/>
    <x v="10"/>
    <n v="0"/>
    <n v="0"/>
    <n v="36.475000000000001"/>
    <n v="36.475000000000001"/>
    <n v="36.475000000000001"/>
    <n v="36.475000000000001"/>
    <n v="524"/>
    <x v="0"/>
    <n v="0"/>
    <n v="0"/>
    <n v="34"/>
    <n v="75"/>
    <n v="0"/>
    <n v="300.3"/>
    <n v="255.17"/>
    <m/>
    <n v="326.53391508653658"/>
    <n v="238.98759729915042"/>
    <n v="0"/>
    <n v="10953.442500000001"/>
    <n v="9307.32575"/>
    <n v="0"/>
    <n v="11912.052743970124"/>
    <n v="8717.072611486512"/>
  </r>
  <r>
    <s v="PROJETADO"/>
    <x v="2"/>
    <x v="4"/>
    <x v="6"/>
    <x v="8"/>
    <x v="0"/>
    <x v="0"/>
    <x v="2"/>
    <x v="11"/>
    <n v="0"/>
    <n v="0"/>
    <n v="36.475000000000001"/>
    <n v="36.475000000000001"/>
    <n v="36.475000000000001"/>
    <n v="36.475000000000001"/>
    <n v="524"/>
    <x v="0"/>
    <n v="0"/>
    <n v="0"/>
    <n v="34"/>
    <n v="75"/>
    <n v="0"/>
    <n v="300.3"/>
    <n v="255.17"/>
    <m/>
    <n v="326.53391508653658"/>
    <n v="238.98759729915042"/>
    <n v="0"/>
    <n v="10953.442500000001"/>
    <n v="9307.32575"/>
    <n v="0"/>
    <n v="11912.052743970124"/>
    <n v="8717.072611486512"/>
  </r>
  <r>
    <s v="Regular"/>
    <x v="3"/>
    <x v="4"/>
    <x v="1"/>
    <x v="1"/>
    <x v="3"/>
    <x v="0"/>
    <x v="2"/>
    <x v="4"/>
    <n v="0"/>
    <n v="0"/>
    <n v="20.692"/>
    <n v="20.692"/>
    <n v="20.692"/>
    <n v="20.692"/>
    <n v="0"/>
    <x v="0"/>
    <n v="0"/>
    <n v="0"/>
    <n v="43"/>
    <n v="84"/>
    <n v="0"/>
    <n v="334.07"/>
    <n v="224.55"/>
    <m/>
    <n v="453.7535883286144"/>
    <n v="224.6483414612014"/>
    <n v="0"/>
    <n v="6912.5764399999998"/>
    <n v="4646.3886000000002"/>
    <n v="0"/>
    <n v="9389.9908164716198"/>
    <n v="4648.4234815151794"/>
  </r>
  <r>
    <s v="Regular"/>
    <x v="3"/>
    <x v="4"/>
    <x v="1"/>
    <x v="1"/>
    <x v="3"/>
    <x v="0"/>
    <x v="2"/>
    <x v="5"/>
    <n v="0"/>
    <n v="0"/>
    <n v="6.3330000000000002"/>
    <n v="6.3330000000000002"/>
    <n v="6.3330000000000002"/>
    <n v="6.3330000000000002"/>
    <n v="0"/>
    <x v="0"/>
    <n v="0"/>
    <n v="0"/>
    <n v="43"/>
    <n v="84"/>
    <n v="0"/>
    <n v="334.07"/>
    <n v="224.55"/>
    <m/>
    <n v="453.7535883286144"/>
    <n v="224.6483414612014"/>
    <n v="0"/>
    <n v="2115.6653099999999"/>
    <n v="1422.0751500000001"/>
    <n v="0"/>
    <n v="2873.903529901158"/>
    <n v="1422.6979464737885"/>
  </r>
  <r>
    <s v="Regular"/>
    <x v="3"/>
    <x v="4"/>
    <x v="1"/>
    <x v="1"/>
    <x v="3"/>
    <x v="0"/>
    <x v="2"/>
    <x v="0"/>
    <n v="0"/>
    <n v="0"/>
    <n v="3.2189999999999999"/>
    <n v="3.2189999999999999"/>
    <n v="3.2189999999999999"/>
    <n v="3.2189999999999999"/>
    <n v="0"/>
    <x v="0"/>
    <n v="0"/>
    <n v="0"/>
    <n v="43"/>
    <n v="84"/>
    <n v="0"/>
    <n v="334.07"/>
    <n v="224.55"/>
    <m/>
    <n v="453.7535883286144"/>
    <n v="224.6483414612014"/>
    <n v="0"/>
    <n v="1075.3713299999999"/>
    <n v="722.82645000000002"/>
    <n v="0"/>
    <n v="1460.776166548528"/>
    <n v="723.1430111636073"/>
  </r>
  <r>
    <s v="Regular"/>
    <x v="3"/>
    <x v="4"/>
    <x v="1"/>
    <x v="1"/>
    <x v="3"/>
    <x v="0"/>
    <x v="2"/>
    <x v="6"/>
    <n v="0"/>
    <n v="0"/>
    <n v="7.2119999999999997"/>
    <n v="7.2119999999999997"/>
    <n v="7.2119999999999997"/>
    <n v="7.2119999999999997"/>
    <n v="0"/>
    <x v="0"/>
    <n v="0"/>
    <n v="0"/>
    <n v="43"/>
    <n v="84"/>
    <n v="0"/>
    <n v="334.07"/>
    <n v="224.55"/>
    <m/>
    <n v="453.7535883286144"/>
    <n v="224.6483414612014"/>
    <n v="0"/>
    <n v="2409.3128400000001"/>
    <n v="1619.4546"/>
    <n v="0"/>
    <n v="3272.792082369675"/>
    <n v="1620.1638386181844"/>
  </r>
  <r>
    <s v="Regular"/>
    <x v="3"/>
    <x v="4"/>
    <x v="1"/>
    <x v="1"/>
    <x v="3"/>
    <x v="0"/>
    <x v="2"/>
    <x v="7"/>
    <n v="0"/>
    <n v="0"/>
    <n v="16.541"/>
    <n v="16.541"/>
    <n v="16.541"/>
    <n v="16.541"/>
    <n v="0"/>
    <x v="0"/>
    <n v="0"/>
    <n v="0"/>
    <n v="43"/>
    <n v="84"/>
    <n v="0"/>
    <n v="334.07"/>
    <n v="224.55"/>
    <m/>
    <n v="453.7535883286144"/>
    <n v="224.6483414612014"/>
    <n v="0"/>
    <n v="5525.8518700000004"/>
    <n v="3714.2815500000002"/>
    <n v="0"/>
    <n v="7506.2747967937876"/>
    <n v="3715.9082161097326"/>
  </r>
  <r>
    <s v="Regular"/>
    <x v="3"/>
    <x v="4"/>
    <x v="1"/>
    <x v="1"/>
    <x v="3"/>
    <x v="0"/>
    <x v="2"/>
    <x v="8"/>
    <n v="0"/>
    <n v="0"/>
    <n v="78.981999999999999"/>
    <n v="78.981999999999999"/>
    <n v="78.981999999999999"/>
    <n v="78.981999999999999"/>
    <n v="0"/>
    <x v="0"/>
    <n v="0"/>
    <n v="0"/>
    <n v="43"/>
    <n v="84"/>
    <n v="0"/>
    <n v="334.07"/>
    <n v="224.55"/>
    <m/>
    <n v="453.7535883286144"/>
    <n v="224.6483414612014"/>
    <n v="0"/>
    <n v="26385.516739999999"/>
    <n v="17735.408100000001"/>
    <n v="0"/>
    <n v="35841.883562080096"/>
    <n v="17743.175305288609"/>
  </r>
  <r>
    <s v="Regular"/>
    <x v="3"/>
    <x v="4"/>
    <x v="1"/>
    <x v="1"/>
    <x v="3"/>
    <x v="0"/>
    <x v="2"/>
    <x v="9"/>
    <n v="0"/>
    <n v="0"/>
    <n v="107.337"/>
    <n v="107.337"/>
    <n v="107.337"/>
    <n v="107.337"/>
    <n v="0"/>
    <x v="0"/>
    <n v="0"/>
    <n v="0"/>
    <n v="43"/>
    <n v="84"/>
    <n v="0"/>
    <n v="334.07"/>
    <n v="224.55"/>
    <m/>
    <n v="453.7535883286144"/>
    <n v="224.6483414612014"/>
    <n v="0"/>
    <n v="35858.07159"/>
    <n v="24102.523350000003"/>
    <n v="0"/>
    <n v="48709.329415600914"/>
    <n v="24113.079027420976"/>
  </r>
  <r>
    <s v="Regular"/>
    <x v="3"/>
    <x v="4"/>
    <x v="1"/>
    <x v="1"/>
    <x v="3"/>
    <x v="0"/>
    <x v="2"/>
    <x v="1"/>
    <n v="0"/>
    <n v="0"/>
    <n v="101.113"/>
    <n v="101.113"/>
    <n v="101.113"/>
    <n v="101.113"/>
    <n v="0"/>
    <x v="0"/>
    <n v="0"/>
    <n v="0"/>
    <n v="43"/>
    <n v="84"/>
    <n v="0"/>
    <n v="334.07"/>
    <n v="224.55"/>
    <m/>
    <n v="453.7535883286144"/>
    <n v="224.6483414612014"/>
    <n v="0"/>
    <n v="33778.819909999998"/>
    <n v="22704.924150000003"/>
    <n v="0"/>
    <n v="45884.889881398354"/>
    <n v="22714.867750166457"/>
  </r>
  <r>
    <s v="Regular"/>
    <x v="3"/>
    <x v="4"/>
    <x v="1"/>
    <x v="1"/>
    <x v="3"/>
    <x v="0"/>
    <x v="2"/>
    <x v="2"/>
    <n v="0"/>
    <n v="0"/>
    <n v="103.361"/>
    <n v="103.361"/>
    <n v="103.361"/>
    <n v="103.361"/>
    <n v="0"/>
    <x v="0"/>
    <n v="0"/>
    <n v="0"/>
    <n v="43"/>
    <n v="84"/>
    <n v="0"/>
    <n v="334.07"/>
    <n v="224.55"/>
    <m/>
    <n v="453.7535883286144"/>
    <n v="224.6483414612014"/>
    <n v="0"/>
    <n v="34529.809269999998"/>
    <n v="23209.712550000004"/>
    <n v="0"/>
    <n v="46905.028067916246"/>
    <n v="23219.877221771239"/>
  </r>
  <r>
    <s v="Regular"/>
    <x v="3"/>
    <x v="4"/>
    <x v="1"/>
    <x v="1"/>
    <x v="3"/>
    <x v="0"/>
    <x v="2"/>
    <x v="3"/>
    <n v="0"/>
    <n v="0"/>
    <n v="103.392"/>
    <n v="103.392"/>
    <n v="103.392"/>
    <n v="103.392"/>
    <n v="0"/>
    <x v="0"/>
    <n v="0"/>
    <n v="0"/>
    <n v="43"/>
    <n v="84"/>
    <n v="0"/>
    <n v="334.07"/>
    <n v="224.55"/>
    <m/>
    <n v="453.7535883286144"/>
    <n v="224.6483414612014"/>
    <n v="0"/>
    <n v="34540.165439999997"/>
    <n v="23216.673600000002"/>
    <n v="0"/>
    <n v="46919.095809812177"/>
    <n v="23226.841320356532"/>
  </r>
  <r>
    <s v="Sistema de Compensação"/>
    <x v="3"/>
    <x v="4"/>
    <x v="1"/>
    <x v="1"/>
    <x v="3"/>
    <x v="0"/>
    <x v="2"/>
    <x v="3"/>
    <n v="0"/>
    <n v="0"/>
    <n v="27.16"/>
    <n v="27.16"/>
    <n v="27.16"/>
    <n v="27.16"/>
    <n v="0"/>
    <x v="0"/>
    <n v="0"/>
    <n v="0"/>
    <n v="43"/>
    <n v="84"/>
    <n v="0"/>
    <n v="334.07"/>
    <n v="224.55"/>
    <m/>
    <n v="453.7535883286144"/>
    <n v="224.6483414612014"/>
    <n v="0"/>
    <n v="9073.3412000000008"/>
    <n v="6098.7780000000002"/>
    <n v="0"/>
    <n v="12325.157093338932"/>
    <n v="6101.4489540862296"/>
  </r>
  <r>
    <s v="Regular"/>
    <x v="3"/>
    <x v="4"/>
    <x v="1"/>
    <x v="1"/>
    <x v="3"/>
    <x v="0"/>
    <x v="2"/>
    <x v="10"/>
    <n v="0"/>
    <n v="0"/>
    <n v="130.322"/>
    <n v="130.322"/>
    <n v="130.322"/>
    <n v="130.322"/>
    <n v="0"/>
    <x v="0"/>
    <n v="0"/>
    <n v="0"/>
    <n v="43"/>
    <n v="84"/>
    <n v="0"/>
    <n v="334.07"/>
    <n v="224.55"/>
    <m/>
    <n v="453.7535883286144"/>
    <n v="224.6483414612014"/>
    <n v="0"/>
    <n v="43536.670539999999"/>
    <n v="29263.805100000001"/>
    <n v="0"/>
    <n v="59139.879334245808"/>
    <n v="29276.621155906691"/>
  </r>
  <r>
    <s v="Sistema de Compensação"/>
    <x v="3"/>
    <x v="4"/>
    <x v="1"/>
    <x v="1"/>
    <x v="3"/>
    <x v="0"/>
    <x v="2"/>
    <x v="10"/>
    <n v="0"/>
    <n v="0"/>
    <n v="7.8"/>
    <n v="7.8"/>
    <n v="7.8"/>
    <n v="7.8"/>
    <n v="0"/>
    <x v="0"/>
    <n v="0"/>
    <n v="0"/>
    <n v="43"/>
    <n v="84"/>
    <n v="0"/>
    <n v="334.07"/>
    <n v="224.55"/>
    <m/>
    <n v="453.7535883286144"/>
    <n v="224.6483414612014"/>
    <n v="0"/>
    <n v="2605.7460000000001"/>
    <n v="1751.49"/>
    <n v="0"/>
    <n v="3539.6253802667034"/>
    <n v="1752.2570633973708"/>
  </r>
  <r>
    <s v="PROJETADO"/>
    <x v="3"/>
    <x v="4"/>
    <x v="1"/>
    <x v="1"/>
    <x v="3"/>
    <x v="0"/>
    <x v="2"/>
    <x v="11"/>
    <n v="0"/>
    <n v="0"/>
    <n v="130.322"/>
    <n v="130.322"/>
    <n v="130.322"/>
    <n v="130.322"/>
    <n v="0"/>
    <x v="0"/>
    <n v="0"/>
    <n v="0"/>
    <n v="43"/>
    <n v="84"/>
    <n v="0"/>
    <n v="334.07"/>
    <n v="224.55"/>
    <m/>
    <n v="453.7535883286144"/>
    <n v="224.6483414612014"/>
    <n v="0"/>
    <n v="43536.670539999999"/>
    <n v="29263.805100000001"/>
    <n v="0"/>
    <n v="59139.879334245808"/>
    <n v="29276.621155906691"/>
  </r>
  <r>
    <s v="PROJETADO"/>
    <x v="3"/>
    <x v="4"/>
    <x v="1"/>
    <x v="1"/>
    <x v="3"/>
    <x v="0"/>
    <x v="2"/>
    <x v="11"/>
    <n v="0"/>
    <n v="0"/>
    <n v="7.8"/>
    <n v="7.8"/>
    <n v="7.8"/>
    <n v="7.8"/>
    <n v="0"/>
    <x v="0"/>
    <n v="0"/>
    <n v="0"/>
    <n v="43"/>
    <n v="84"/>
    <n v="0"/>
    <n v="334.07"/>
    <n v="224.55"/>
    <m/>
    <n v="453.7535883286144"/>
    <n v="224.6483414612014"/>
    <n v="0"/>
    <n v="2605.7460000000001"/>
    <n v="1751.49"/>
    <n v="0"/>
    <n v="3539.6253802667034"/>
    <n v="1752.2570633973708"/>
  </r>
  <r>
    <s v="Regular"/>
    <x v="3"/>
    <x v="4"/>
    <x v="1"/>
    <x v="1"/>
    <x v="1"/>
    <x v="0"/>
    <x v="2"/>
    <x v="4"/>
    <n v="0"/>
    <n v="0"/>
    <n v="17.97"/>
    <n v="5.9301000000000004"/>
    <n v="17.97"/>
    <n v="5.9301000000000004"/>
    <n v="0"/>
    <x v="0"/>
    <n v="0"/>
    <n v="0"/>
    <n v="43"/>
    <n v="84"/>
    <n v="0"/>
    <n v="334.07"/>
    <n v="224.55"/>
    <m/>
    <n v="453.7535883286144"/>
    <n v="224.6483414612014"/>
    <n v="0"/>
    <n v="1981.0685070000002"/>
    <n v="1331.603955"/>
    <n v="0"/>
    <n v="2691.0682650666126"/>
    <n v="1332.1871296990705"/>
  </r>
  <r>
    <s v="Regular"/>
    <x v="3"/>
    <x v="4"/>
    <x v="1"/>
    <x v="1"/>
    <x v="1"/>
    <x v="0"/>
    <x v="2"/>
    <x v="5"/>
    <n v="0"/>
    <n v="0"/>
    <n v="6.3819999999999997"/>
    <n v="2.1060599999999998"/>
    <n v="6.3819999999999997"/>
    <n v="2.1060599999999998"/>
    <n v="0"/>
    <x v="0"/>
    <n v="0"/>
    <n v="0"/>
    <n v="43"/>
    <n v="84"/>
    <n v="0"/>
    <n v="334.07"/>
    <n v="224.55"/>
    <m/>
    <n v="453.7535883286144"/>
    <n v="224.6483414612014"/>
    <n v="0"/>
    <n v="703.57146419999992"/>
    <n v="472.915773"/>
    <n v="0"/>
    <n v="955.72608055955038"/>
    <n v="473.12288601777777"/>
  </r>
  <r>
    <s v="Regular"/>
    <x v="3"/>
    <x v="4"/>
    <x v="1"/>
    <x v="1"/>
    <x v="1"/>
    <x v="0"/>
    <x v="2"/>
    <x v="0"/>
    <n v="0"/>
    <n v="0"/>
    <n v="0.55400000000000005"/>
    <n v="0.18282000000000001"/>
    <n v="0.55400000000000005"/>
    <n v="0.18282000000000001"/>
    <n v="0"/>
    <x v="0"/>
    <n v="0"/>
    <n v="0"/>
    <n v="43"/>
    <n v="84"/>
    <n v="0"/>
    <n v="334.07"/>
    <n v="224.55"/>
    <m/>
    <n v="453.7535883286144"/>
    <n v="224.6483414612014"/>
    <n v="0"/>
    <n v="61.074677399999999"/>
    <n v="41.052231000000006"/>
    <n v="0"/>
    <n v="82.96337333594343"/>
    <n v="41.070209785936839"/>
  </r>
  <r>
    <s v="Regular"/>
    <x v="3"/>
    <x v="4"/>
    <x v="1"/>
    <x v="1"/>
    <x v="1"/>
    <x v="0"/>
    <x v="2"/>
    <x v="6"/>
    <n v="0"/>
    <n v="0"/>
    <n v="5.9119999999999999"/>
    <n v="1.95096"/>
    <n v="5.9119999999999999"/>
    <n v="1.95096"/>
    <n v="0"/>
    <x v="0"/>
    <n v="0"/>
    <n v="0"/>
    <n v="43"/>
    <n v="84"/>
    <n v="0"/>
    <n v="334.07"/>
    <n v="224.55"/>
    <m/>
    <n v="453.7535883286144"/>
    <n v="224.6483414612014"/>
    <n v="0"/>
    <n v="651.75720720000004"/>
    <n v="438.08806800000002"/>
    <n v="0"/>
    <n v="885.34199126732403"/>
    <n v="438.27992825714546"/>
  </r>
  <r>
    <s v="Regular"/>
    <x v="3"/>
    <x v="4"/>
    <x v="1"/>
    <x v="1"/>
    <x v="1"/>
    <x v="0"/>
    <x v="2"/>
    <x v="7"/>
    <n v="0"/>
    <n v="0"/>
    <n v="11.507999999999999"/>
    <n v="3.7976399999999999"/>
    <n v="11.507999999999999"/>
    <n v="3.7976399999999999"/>
    <n v="0"/>
    <x v="0"/>
    <n v="0"/>
    <n v="0"/>
    <n v="43"/>
    <n v="84"/>
    <n v="0"/>
    <n v="334.07"/>
    <n v="224.55"/>
    <m/>
    <n v="453.7535883286144"/>
    <n v="224.6483414612014"/>
    <n v="0"/>
    <n v="1268.6775948"/>
    <n v="852.76006200000006"/>
    <n v="0"/>
    <n v="1723.3619139892362"/>
    <n v="853.13352746671683"/>
  </r>
  <r>
    <s v="Regular"/>
    <x v="3"/>
    <x v="4"/>
    <x v="1"/>
    <x v="1"/>
    <x v="1"/>
    <x v="0"/>
    <x v="2"/>
    <x v="8"/>
    <n v="0"/>
    <n v="0"/>
    <n v="83.4"/>
    <n v="27.521999999999998"/>
    <n v="83.4"/>
    <n v="27.521999999999998"/>
    <n v="0"/>
    <x v="0"/>
    <n v="0"/>
    <n v="0"/>
    <n v="43"/>
    <n v="84"/>
    <n v="0"/>
    <n v="334.07"/>
    <n v="224.55"/>
    <m/>
    <n v="453.7535883286144"/>
    <n v="224.6483414612014"/>
    <n v="0"/>
    <n v="9194.2745399999985"/>
    <n v="6180.0650999999998"/>
    <n v="0"/>
    <n v="12489.432014833359"/>
    <n v="6182.7716536951848"/>
  </r>
  <r>
    <s v="Regular"/>
    <x v="3"/>
    <x v="4"/>
    <x v="1"/>
    <x v="1"/>
    <x v="1"/>
    <x v="0"/>
    <x v="2"/>
    <x v="9"/>
    <n v="0"/>
    <n v="0"/>
    <n v="105.05800000000001"/>
    <n v="34.669139999999999"/>
    <n v="105.05800000000001"/>
    <n v="34.669139999999999"/>
    <n v="0"/>
    <x v="0"/>
    <n v="0"/>
    <n v="0"/>
    <n v="43"/>
    <n v="84"/>
    <n v="0"/>
    <n v="334.07"/>
    <n v="224.55"/>
    <m/>
    <n v="453.7535883286144"/>
    <n v="224.6483414612014"/>
    <n v="0"/>
    <n v="11581.9195998"/>
    <n v="7784.955387"/>
    <n v="0"/>
    <n v="15732.790750771741"/>
    <n v="7788.3648008861956"/>
  </r>
  <r>
    <s v="Regular"/>
    <x v="3"/>
    <x v="4"/>
    <x v="1"/>
    <x v="1"/>
    <x v="1"/>
    <x v="0"/>
    <x v="2"/>
    <x v="1"/>
    <n v="0"/>
    <n v="0"/>
    <n v="106.611"/>
    <n v="35.181629999999998"/>
    <n v="106.611"/>
    <n v="35.181629999999998"/>
    <n v="0"/>
    <x v="0"/>
    <n v="0"/>
    <n v="0"/>
    <n v="43"/>
    <n v="84"/>
    <n v="0"/>
    <n v="334.07"/>
    <n v="224.55"/>
    <m/>
    <n v="453.7535883286144"/>
    <n v="224.6483414612014"/>
    <n v="0"/>
    <n v="11753.127134099999"/>
    <n v="7900.0350165"/>
    <n v="0"/>
    <n v="15965.357752199032"/>
    <n v="7903.4948294016467"/>
  </r>
  <r>
    <s v="Regular"/>
    <x v="3"/>
    <x v="4"/>
    <x v="1"/>
    <x v="1"/>
    <x v="1"/>
    <x v="0"/>
    <x v="2"/>
    <x v="2"/>
    <n v="0"/>
    <n v="0"/>
    <n v="115.55500000000001"/>
    <n v="38.133150000000001"/>
    <n v="115.55500000000001"/>
    <n v="38.133150000000001"/>
    <n v="0"/>
    <x v="0"/>
    <n v="0"/>
    <n v="0"/>
    <n v="43"/>
    <n v="84"/>
    <n v="0"/>
    <n v="334.07"/>
    <n v="224.55"/>
    <m/>
    <n v="453.7535883286144"/>
    <n v="224.6483414612014"/>
    <n v="0"/>
    <n v="12739.1414205"/>
    <n v="8562.7988325000006"/>
    <n v="0"/>
    <n v="17304.751996091953"/>
    <n v="8566.5489021912126"/>
  </r>
  <r>
    <s v="Regular"/>
    <x v="3"/>
    <x v="4"/>
    <x v="1"/>
    <x v="1"/>
    <x v="1"/>
    <x v="0"/>
    <x v="2"/>
    <x v="3"/>
    <n v="0"/>
    <n v="0"/>
    <n v="97.406000000000006"/>
    <n v="32.143979999999999"/>
    <n v="97.406000000000006"/>
    <n v="32.143979999999999"/>
    <n v="0"/>
    <x v="0"/>
    <n v="0"/>
    <n v="0"/>
    <n v="43"/>
    <n v="84"/>
    <n v="0"/>
    <n v="334.07"/>
    <n v="224.55"/>
    <m/>
    <n v="453.7535883286144"/>
    <n v="224.6483414612014"/>
    <n v="0"/>
    <n v="10738.339398599999"/>
    <n v="7217.9307090000002"/>
    <n v="0"/>
    <n v="14586.877875741706"/>
    <n v="7221.091794962028"/>
  </r>
  <r>
    <s v="Sistema de Compensação"/>
    <x v="3"/>
    <x v="4"/>
    <x v="1"/>
    <x v="1"/>
    <x v="1"/>
    <x v="0"/>
    <x v="2"/>
    <x v="3"/>
    <n v="0"/>
    <n v="0"/>
    <n v="18.099"/>
    <n v="5.9726699999999999"/>
    <n v="18.099"/>
    <n v="5.9726699999999999"/>
    <n v="0"/>
    <x v="0"/>
    <n v="0"/>
    <n v="0"/>
    <n v="43"/>
    <n v="84"/>
    <n v="0"/>
    <n v="334.07"/>
    <n v="224.55"/>
    <m/>
    <n v="453.7535883286144"/>
    <n v="224.6483414612014"/>
    <n v="0"/>
    <n v="1995.2898668999999"/>
    <n v="1341.1630485000001"/>
    <n v="0"/>
    <n v="2710.3864512766067"/>
    <n v="1341.7504095950737"/>
  </r>
  <r>
    <s v="Regular"/>
    <x v="3"/>
    <x v="4"/>
    <x v="1"/>
    <x v="1"/>
    <x v="1"/>
    <x v="0"/>
    <x v="2"/>
    <x v="10"/>
    <n v="0"/>
    <n v="0"/>
    <n v="116.042"/>
    <n v="38.293860000000002"/>
    <n v="116.042"/>
    <n v="38.293860000000002"/>
    <n v="0"/>
    <x v="0"/>
    <n v="0"/>
    <n v="0"/>
    <n v="43"/>
    <n v="84"/>
    <n v="0"/>
    <n v="334.07"/>
    <n v="224.55"/>
    <m/>
    <n v="453.7535883286144"/>
    <n v="224.6483414612014"/>
    <n v="0"/>
    <n v="12792.829810200001"/>
    <n v="8598.8862630000003"/>
    <n v="0"/>
    <n v="17377.681892869219"/>
    <n v="8602.6521371474428"/>
  </r>
  <r>
    <s v="Sistema de Compensação"/>
    <x v="3"/>
    <x v="4"/>
    <x v="1"/>
    <x v="1"/>
    <x v="1"/>
    <x v="0"/>
    <x v="2"/>
    <x v="10"/>
    <n v="0"/>
    <n v="0"/>
    <n v="16.12"/>
    <n v="5.3196000000000003"/>
    <n v="16.12"/>
    <n v="5.3196000000000003"/>
    <n v="0"/>
    <x v="0"/>
    <n v="0"/>
    <n v="0"/>
    <n v="43"/>
    <n v="84"/>
    <n v="0"/>
    <n v="334.07"/>
    <n v="224.55"/>
    <m/>
    <n v="453.7535883286144"/>
    <n v="224.6483414612014"/>
    <n v="0"/>
    <n v="1777.118772"/>
    <n v="1194.5161800000001"/>
    <n v="0"/>
    <n v="2414.0245093418921"/>
    <n v="1195.039317237007"/>
  </r>
  <r>
    <s v="PROJETADO"/>
    <x v="3"/>
    <x v="4"/>
    <x v="1"/>
    <x v="1"/>
    <x v="1"/>
    <x v="0"/>
    <x v="2"/>
    <x v="11"/>
    <n v="0"/>
    <n v="0"/>
    <n v="116.042"/>
    <n v="38.293860000000002"/>
    <n v="116.042"/>
    <n v="38.293860000000002"/>
    <n v="0"/>
    <x v="0"/>
    <n v="0"/>
    <n v="0"/>
    <n v="43"/>
    <n v="84"/>
    <n v="0"/>
    <n v="334.07"/>
    <n v="224.55"/>
    <m/>
    <n v="453.7535883286144"/>
    <n v="224.6483414612014"/>
    <n v="0"/>
    <n v="12792.829810200001"/>
    <n v="8598.8862630000003"/>
    <n v="0"/>
    <n v="17377.681892869219"/>
    <n v="8602.6521371474428"/>
  </r>
  <r>
    <s v="PROJETADO"/>
    <x v="3"/>
    <x v="4"/>
    <x v="1"/>
    <x v="1"/>
    <x v="1"/>
    <x v="0"/>
    <x v="2"/>
    <x v="11"/>
    <n v="0"/>
    <n v="0"/>
    <n v="16.12"/>
    <n v="5.3196000000000003"/>
    <n v="16.12"/>
    <n v="5.3196000000000003"/>
    <n v="0"/>
    <x v="0"/>
    <n v="0"/>
    <n v="0"/>
    <n v="43"/>
    <n v="84"/>
    <n v="0"/>
    <n v="334.07"/>
    <n v="224.55"/>
    <m/>
    <n v="453.7535883286144"/>
    <n v="224.6483414612014"/>
    <n v="0"/>
    <n v="1777.118772"/>
    <n v="1194.5161800000001"/>
    <n v="0"/>
    <n v="2414.0245093418921"/>
    <n v="1195.039317237007"/>
  </r>
  <r>
    <s v="Regular"/>
    <x v="3"/>
    <x v="4"/>
    <x v="1"/>
    <x v="2"/>
    <x v="3"/>
    <x v="0"/>
    <x v="2"/>
    <x v="4"/>
    <n v="0"/>
    <n v="0"/>
    <n v="8.7739999999999991"/>
    <n v="8.7739999999999991"/>
    <n v="8.7739999999999991"/>
    <n v="8.7739999999999991"/>
    <n v="0"/>
    <x v="0"/>
    <n v="0"/>
    <n v="0"/>
    <n v="43"/>
    <n v="84"/>
    <n v="0"/>
    <n v="334.07"/>
    <n v="224.55"/>
    <m/>
    <n v="453.7535883286144"/>
    <n v="224.6483414612014"/>
    <n v="0"/>
    <n v="2931.1301799999997"/>
    <n v="1970.2016999999998"/>
    <n v="0"/>
    <n v="3981.6247546743657"/>
    <n v="1971.0645479805808"/>
  </r>
  <r>
    <s v="Sistema de Compensação"/>
    <x v="3"/>
    <x v="4"/>
    <x v="1"/>
    <x v="2"/>
    <x v="3"/>
    <x v="0"/>
    <x v="2"/>
    <x v="4"/>
    <n v="0"/>
    <n v="0"/>
    <n v="0.38200000000000001"/>
    <n v="0.38200000000000001"/>
    <n v="0.38200000000000001"/>
    <n v="0.38200000000000001"/>
    <n v="0"/>
    <x v="0"/>
    <n v="0"/>
    <n v="0"/>
    <n v="43"/>
    <n v="84"/>
    <n v="0"/>
    <n v="334.07"/>
    <n v="224.55"/>
    <m/>
    <n v="453.7535883286144"/>
    <n v="224.6483414612014"/>
    <n v="0"/>
    <n v="127.61474"/>
    <n v="85.778100000000009"/>
    <n v="0"/>
    <n v="173.35088400793342"/>
    <n v="85.815666438178937"/>
  </r>
  <r>
    <s v="Regular"/>
    <x v="3"/>
    <x v="4"/>
    <x v="1"/>
    <x v="2"/>
    <x v="3"/>
    <x v="0"/>
    <x v="2"/>
    <x v="5"/>
    <n v="0"/>
    <n v="0"/>
    <n v="7.7729999999999997"/>
    <n v="7.7729999999999997"/>
    <n v="7.7729999999999997"/>
    <n v="7.7729999999999997"/>
    <n v="0"/>
    <x v="0"/>
    <n v="0"/>
    <n v="0"/>
    <n v="43"/>
    <n v="84"/>
    <n v="0"/>
    <n v="334.07"/>
    <n v="224.55"/>
    <m/>
    <n v="453.7535883286144"/>
    <n v="224.6483414612014"/>
    <n v="0"/>
    <n v="2596.7261100000001"/>
    <n v="1745.42715"/>
    <n v="0"/>
    <n v="3527.3728308734726"/>
    <n v="1746.1915581779183"/>
  </r>
  <r>
    <s v="Sistema de Compensação"/>
    <x v="3"/>
    <x v="4"/>
    <x v="1"/>
    <x v="2"/>
    <x v="3"/>
    <x v="0"/>
    <x v="2"/>
    <x v="5"/>
    <n v="0"/>
    <n v="0"/>
    <n v="0.65700000000000003"/>
    <n v="0.65700000000000003"/>
    <n v="0.65700000000000003"/>
    <n v="0.65700000000000003"/>
    <n v="0"/>
    <x v="0"/>
    <n v="0"/>
    <n v="0"/>
    <n v="43"/>
    <n v="84"/>
    <n v="0"/>
    <n v="334.07"/>
    <n v="224.55"/>
    <m/>
    <n v="453.7535883286144"/>
    <n v="224.6483414612014"/>
    <n v="0"/>
    <n v="219.48399000000001"/>
    <n v="147.52935000000002"/>
    <n v="0"/>
    <n v="298.14536856861849"/>
    <n v="147.59396034000932"/>
  </r>
  <r>
    <s v="Regular"/>
    <x v="3"/>
    <x v="4"/>
    <x v="1"/>
    <x v="2"/>
    <x v="3"/>
    <x v="0"/>
    <x v="2"/>
    <x v="0"/>
    <n v="0"/>
    <n v="0"/>
    <n v="8.7479999999999993"/>
    <n v="8.7479999999999993"/>
    <n v="8.7479999999999993"/>
    <n v="8.7479999999999993"/>
    <n v="0"/>
    <x v="0"/>
    <n v="0"/>
    <n v="0"/>
    <n v="43"/>
    <n v="84"/>
    <n v="0"/>
    <n v="334.07"/>
    <n v="224.55"/>
    <m/>
    <n v="453.7535883286144"/>
    <n v="224.6483414612014"/>
    <n v="0"/>
    <n v="2922.4443599999995"/>
    <n v="1964.3634"/>
    <n v="0"/>
    <n v="3969.8260034068103"/>
    <n v="1965.2236911025898"/>
  </r>
  <r>
    <s v="Sistema de Compensação"/>
    <x v="3"/>
    <x v="4"/>
    <x v="1"/>
    <x v="2"/>
    <x v="3"/>
    <x v="0"/>
    <x v="2"/>
    <x v="0"/>
    <n v="0"/>
    <n v="0"/>
    <n v="0.95899999999999996"/>
    <n v="0.95899999999999996"/>
    <n v="0.95899999999999996"/>
    <n v="0.95899999999999996"/>
    <n v="0"/>
    <x v="0"/>
    <n v="0"/>
    <n v="0"/>
    <n v="43"/>
    <n v="84"/>
    <n v="0"/>
    <n v="334.07"/>
    <n v="224.55"/>
    <m/>
    <n v="453.7535883286144"/>
    <n v="224.6483414612014"/>
    <n v="0"/>
    <n v="320.37313"/>
    <n v="215.34344999999999"/>
    <n v="0"/>
    <n v="435.19240252253439"/>
    <n v="215.43775946129213"/>
  </r>
  <r>
    <s v="Regular"/>
    <x v="3"/>
    <x v="4"/>
    <x v="1"/>
    <x v="2"/>
    <x v="3"/>
    <x v="0"/>
    <x v="2"/>
    <x v="6"/>
    <n v="0"/>
    <n v="0"/>
    <n v="9.0630000000000006"/>
    <n v="9.0630000000000006"/>
    <n v="9.0630000000000006"/>
    <n v="9.0630000000000006"/>
    <n v="0"/>
    <x v="0"/>
    <n v="0"/>
    <n v="0"/>
    <n v="43"/>
    <n v="84"/>
    <n v="0"/>
    <n v="334.07"/>
    <n v="224.55"/>
    <m/>
    <n v="453.7535883286144"/>
    <n v="224.6483414612014"/>
    <n v="0"/>
    <n v="3027.67641"/>
    <n v="2035.0966500000002"/>
    <n v="0"/>
    <n v="4112.7724129945045"/>
    <n v="2035.9879186628684"/>
  </r>
  <r>
    <s v="Sistema de Compensação"/>
    <x v="3"/>
    <x v="4"/>
    <x v="1"/>
    <x v="2"/>
    <x v="3"/>
    <x v="0"/>
    <x v="2"/>
    <x v="6"/>
    <n v="0"/>
    <n v="0"/>
    <n v="0.318"/>
    <n v="0.318"/>
    <n v="0.318"/>
    <n v="0.318"/>
    <n v="0"/>
    <x v="0"/>
    <n v="0"/>
    <n v="0"/>
    <n v="43"/>
    <n v="84"/>
    <n v="0"/>
    <n v="334.07"/>
    <n v="224.55"/>
    <m/>
    <n v="453.7535883286144"/>
    <n v="224.6483414612014"/>
    <n v="0"/>
    <n v="106.23426000000001"/>
    <n v="71.406900000000007"/>
    <n v="0"/>
    <n v="144.30780396471945"/>
    <n v="71.438172584662041"/>
  </r>
  <r>
    <s v="Regular"/>
    <x v="3"/>
    <x v="4"/>
    <x v="1"/>
    <x v="2"/>
    <x v="3"/>
    <x v="0"/>
    <x v="2"/>
    <x v="7"/>
    <n v="0"/>
    <n v="0"/>
    <n v="8.8219999999999992"/>
    <n v="8.8219999999999992"/>
    <n v="8.8219999999999992"/>
    <n v="8.8219999999999992"/>
    <n v="0"/>
    <x v="0"/>
    <n v="0"/>
    <n v="0"/>
    <n v="43"/>
    <n v="84"/>
    <n v="0"/>
    <n v="334.07"/>
    <n v="224.55"/>
    <m/>
    <n v="453.7535883286144"/>
    <n v="224.6483414612014"/>
    <n v="0"/>
    <n v="2947.1655399999995"/>
    <n v="1980.9801"/>
    <n v="0"/>
    <n v="4003.4070647067761"/>
    <n v="1981.8476683707186"/>
  </r>
  <r>
    <s v="Sistema de Compensação"/>
    <x v="3"/>
    <x v="4"/>
    <x v="1"/>
    <x v="2"/>
    <x v="3"/>
    <x v="0"/>
    <x v="2"/>
    <x v="7"/>
    <n v="0"/>
    <n v="0"/>
    <n v="0.71099999999999997"/>
    <n v="0.71099999999999997"/>
    <n v="0.71099999999999997"/>
    <n v="0.71099999999999997"/>
    <n v="0"/>
    <x v="0"/>
    <n v="0"/>
    <n v="0"/>
    <n v="43"/>
    <n v="84"/>
    <n v="0"/>
    <n v="334.07"/>
    <n v="224.55"/>
    <m/>
    <n v="453.7535883286144"/>
    <n v="224.6483414612014"/>
    <n v="0"/>
    <n v="237.52376999999998"/>
    <n v="159.65504999999999"/>
    <n v="0"/>
    <n v="322.65046735508025"/>
    <n v="159.72497077891418"/>
  </r>
  <r>
    <s v="Regular"/>
    <x v="3"/>
    <x v="4"/>
    <x v="1"/>
    <x v="2"/>
    <x v="3"/>
    <x v="0"/>
    <x v="2"/>
    <x v="8"/>
    <n v="0"/>
    <n v="0"/>
    <n v="17.407"/>
    <n v="17.407"/>
    <n v="17.407"/>
    <n v="17.407"/>
    <n v="0"/>
    <x v="0"/>
    <n v="0"/>
    <n v="0"/>
    <n v="43"/>
    <n v="84"/>
    <n v="0"/>
    <n v="334.07"/>
    <n v="224.55"/>
    <m/>
    <n v="453.7535883286144"/>
    <n v="224.6483414612014"/>
    <n v="0"/>
    <n v="5815.1564900000003"/>
    <n v="3908.7418500000003"/>
    <n v="0"/>
    <n v="7899.2639736285264"/>
    <n v="3910.4536798151325"/>
  </r>
  <r>
    <s v="Sistema de Compensação"/>
    <x v="3"/>
    <x v="4"/>
    <x v="1"/>
    <x v="2"/>
    <x v="3"/>
    <x v="0"/>
    <x v="2"/>
    <x v="8"/>
    <n v="0"/>
    <n v="0"/>
    <n v="0.83199999999999996"/>
    <n v="0.83199999999999996"/>
    <n v="0.83199999999999996"/>
    <n v="0.83199999999999996"/>
    <n v="0"/>
    <x v="0"/>
    <n v="0"/>
    <n v="0"/>
    <n v="43"/>
    <n v="84"/>
    <n v="0"/>
    <n v="334.07"/>
    <n v="224.55"/>
    <m/>
    <n v="453.7535883286144"/>
    <n v="224.6483414612014"/>
    <n v="0"/>
    <n v="277.94623999999999"/>
    <n v="186.82560000000001"/>
    <n v="0"/>
    <n v="377.5600405617817"/>
    <n v="186.90742009571954"/>
  </r>
  <r>
    <s v="Regular"/>
    <x v="3"/>
    <x v="4"/>
    <x v="1"/>
    <x v="2"/>
    <x v="3"/>
    <x v="0"/>
    <x v="2"/>
    <x v="9"/>
    <n v="0"/>
    <n v="0"/>
    <n v="9.9469999999999992"/>
    <n v="9.9469999999999992"/>
    <n v="9.9469999999999992"/>
    <n v="9.9469999999999992"/>
    <n v="0"/>
    <x v="0"/>
    <n v="0"/>
    <n v="0"/>
    <n v="43"/>
    <n v="84"/>
    <n v="0"/>
    <n v="334.07"/>
    <n v="224.55"/>
    <m/>
    <n v="453.7535883286144"/>
    <n v="224.6483414612014"/>
    <n v="0"/>
    <n v="3322.9942899999996"/>
    <n v="2233.5988499999999"/>
    <n v="0"/>
    <n v="4513.9299560913969"/>
    <n v="2234.5770525145699"/>
  </r>
  <r>
    <s v="Sistema de Compensação"/>
    <x v="3"/>
    <x v="4"/>
    <x v="1"/>
    <x v="2"/>
    <x v="3"/>
    <x v="0"/>
    <x v="2"/>
    <x v="9"/>
    <n v="0"/>
    <n v="0"/>
    <n v="4.1079999999999997"/>
    <n v="4.1079999999999997"/>
    <n v="4.1079999999999997"/>
    <n v="4.1079999999999997"/>
    <n v="0"/>
    <x v="0"/>
    <n v="0"/>
    <n v="0"/>
    <n v="43"/>
    <n v="84"/>
    <n v="0"/>
    <n v="334.07"/>
    <n v="224.55"/>
    <m/>
    <n v="453.7535883286144"/>
    <n v="224.6483414612014"/>
    <n v="0"/>
    <n v="1372.3595599999999"/>
    <n v="922.45139999999992"/>
    <n v="0"/>
    <n v="1864.2027002737971"/>
    <n v="922.85538672261521"/>
  </r>
  <r>
    <s v="Regular"/>
    <x v="3"/>
    <x v="4"/>
    <x v="1"/>
    <x v="2"/>
    <x v="3"/>
    <x v="0"/>
    <x v="2"/>
    <x v="1"/>
    <n v="0"/>
    <n v="0"/>
    <n v="9.6579999999999995"/>
    <n v="9.6579999999999995"/>
    <n v="9.6579999999999995"/>
    <n v="9.6579999999999995"/>
    <n v="0"/>
    <x v="0"/>
    <n v="0"/>
    <n v="0"/>
    <n v="43"/>
    <n v="84"/>
    <n v="0"/>
    <n v="334.07"/>
    <n v="224.55"/>
    <m/>
    <n v="453.7535883286144"/>
    <n v="224.6483414612014"/>
    <n v="0"/>
    <n v="3226.4480599999997"/>
    <n v="2168.7039"/>
    <n v="0"/>
    <n v="4382.7822977712585"/>
    <n v="2169.6536818322829"/>
  </r>
  <r>
    <s v="Sistema de Compensação"/>
    <x v="3"/>
    <x v="4"/>
    <x v="1"/>
    <x v="2"/>
    <x v="3"/>
    <x v="0"/>
    <x v="2"/>
    <x v="1"/>
    <n v="0"/>
    <n v="0"/>
    <n v="1.2729999999999999"/>
    <n v="1.2729999999999999"/>
    <n v="1.2729999999999999"/>
    <n v="1.2729999999999999"/>
    <n v="0"/>
    <x v="0"/>
    <n v="0"/>
    <n v="0"/>
    <n v="43"/>
    <n v="84"/>
    <n v="0"/>
    <n v="334.07"/>
    <n v="224.55"/>
    <m/>
    <n v="453.7535883286144"/>
    <n v="224.6483414612014"/>
    <n v="0"/>
    <n v="425.27110999999996"/>
    <n v="285.85214999999999"/>
    <n v="0"/>
    <n v="577.68501398455294"/>
    <n v="285.97733868010937"/>
  </r>
  <r>
    <s v="Regular"/>
    <x v="3"/>
    <x v="4"/>
    <x v="1"/>
    <x v="2"/>
    <x v="3"/>
    <x v="0"/>
    <x v="2"/>
    <x v="2"/>
    <n v="0"/>
    <n v="0"/>
    <n v="12.952"/>
    <n v="12.952"/>
    <n v="12.952"/>
    <n v="12.952"/>
    <n v="0"/>
    <x v="0"/>
    <n v="0"/>
    <n v="0"/>
    <n v="43"/>
    <n v="84"/>
    <n v="0"/>
    <n v="334.07"/>
    <n v="224.55"/>
    <m/>
    <n v="453.7535883286144"/>
    <n v="224.6483414612014"/>
    <n v="0"/>
    <n v="4326.87464"/>
    <n v="2908.3715999999999"/>
    <n v="0"/>
    <n v="5877.5933237454283"/>
    <n v="2909.6453186054805"/>
  </r>
  <r>
    <s v="Sistema de Compensação"/>
    <x v="3"/>
    <x v="4"/>
    <x v="1"/>
    <x v="2"/>
    <x v="3"/>
    <x v="0"/>
    <x v="2"/>
    <x v="2"/>
    <n v="0"/>
    <n v="0"/>
    <n v="0.16300000000000001"/>
    <n v="0.16300000000000001"/>
    <n v="0.16300000000000001"/>
    <n v="0.16300000000000001"/>
    <n v="0"/>
    <x v="0"/>
    <n v="0"/>
    <n v="0"/>
    <n v="43"/>
    <n v="84"/>
    <n v="0"/>
    <n v="334.07"/>
    <n v="224.55"/>
    <m/>
    <n v="453.7535883286144"/>
    <n v="224.6483414612014"/>
    <n v="0"/>
    <n v="54.453409999999998"/>
    <n v="36.601650000000006"/>
    <n v="0"/>
    <n v="73.969094485060594"/>
    <n v="36.617679658175831"/>
  </r>
  <r>
    <s v="Regular"/>
    <x v="3"/>
    <x v="4"/>
    <x v="1"/>
    <x v="2"/>
    <x v="3"/>
    <x v="0"/>
    <x v="2"/>
    <x v="3"/>
    <n v="0"/>
    <n v="0"/>
    <n v="8.8119999999999994"/>
    <n v="8.8119999999999994"/>
    <n v="8.8119999999999994"/>
    <n v="8.8119999999999994"/>
    <n v="0"/>
    <x v="0"/>
    <n v="0"/>
    <n v="0"/>
    <n v="43"/>
    <n v="84"/>
    <n v="0"/>
    <n v="334.07"/>
    <n v="224.55"/>
    <m/>
    <n v="453.7535883286144"/>
    <n v="224.6483414612014"/>
    <n v="0"/>
    <n v="2943.8248399999998"/>
    <n v="1978.7346"/>
    <n v="0"/>
    <n v="3998.8690834500239"/>
    <n v="1979.6011849561066"/>
  </r>
  <r>
    <s v="Sistema de Compensação"/>
    <x v="3"/>
    <x v="4"/>
    <x v="1"/>
    <x v="2"/>
    <x v="3"/>
    <x v="0"/>
    <x v="2"/>
    <x v="3"/>
    <n v="0"/>
    <n v="0"/>
    <n v="2.0569999999999999"/>
    <n v="2.0569999999999999"/>
    <n v="2.0569999999999999"/>
    <n v="2.0569999999999999"/>
    <n v="0"/>
    <x v="0"/>
    <n v="0"/>
    <n v="0"/>
    <n v="43"/>
    <n v="84"/>
    <n v="0"/>
    <n v="334.07"/>
    <n v="224.55"/>
    <m/>
    <n v="453.7535883286144"/>
    <n v="224.6483414612014"/>
    <n v="0"/>
    <n v="687.18198999999993"/>
    <n v="461.89935000000003"/>
    <n v="0"/>
    <n v="933.46274451392424"/>
    <n v="462.10163838569127"/>
  </r>
  <r>
    <s v="Regular"/>
    <x v="3"/>
    <x v="4"/>
    <x v="1"/>
    <x v="2"/>
    <x v="3"/>
    <x v="0"/>
    <x v="2"/>
    <x v="10"/>
    <n v="0"/>
    <n v="0"/>
    <n v="10.707000000000001"/>
    <n v="10.707000000000001"/>
    <n v="10.707000000000001"/>
    <n v="10.707000000000001"/>
    <n v="0"/>
    <x v="0"/>
    <n v="0"/>
    <n v="0"/>
    <n v="43"/>
    <n v="84"/>
    <n v="0"/>
    <n v="334.07"/>
    <n v="224.55"/>
    <m/>
    <n v="453.7535883286144"/>
    <n v="224.6483414612014"/>
    <n v="0"/>
    <n v="3576.8874900000001"/>
    <n v="2404.2568500000002"/>
    <n v="0"/>
    <n v="4858.8165316045634"/>
    <n v="2405.3097920250834"/>
  </r>
  <r>
    <s v="Sistema de Compensação"/>
    <x v="3"/>
    <x v="4"/>
    <x v="1"/>
    <x v="2"/>
    <x v="3"/>
    <x v="0"/>
    <x v="2"/>
    <x v="10"/>
    <n v="0"/>
    <n v="0"/>
    <n v="6.9749999999999996"/>
    <n v="6.9749999999999996"/>
    <n v="6.9749999999999996"/>
    <n v="6.9749999999999996"/>
    <n v="0"/>
    <x v="0"/>
    <n v="0"/>
    <n v="0"/>
    <n v="43"/>
    <n v="84"/>
    <n v="0"/>
    <n v="334.07"/>
    <n v="224.55"/>
    <m/>
    <n v="453.7535883286144"/>
    <n v="224.6483414612014"/>
    <n v="0"/>
    <n v="2330.13825"/>
    <n v="1566.2362499999999"/>
    <n v="0"/>
    <n v="3165.2419265846479"/>
    <n v="1566.9221816918796"/>
  </r>
  <r>
    <s v="PROJETADO"/>
    <x v="3"/>
    <x v="4"/>
    <x v="1"/>
    <x v="2"/>
    <x v="3"/>
    <x v="0"/>
    <x v="2"/>
    <x v="11"/>
    <n v="0"/>
    <n v="0"/>
    <n v="10.707000000000001"/>
    <n v="10.707000000000001"/>
    <n v="10.707000000000001"/>
    <n v="10.707000000000001"/>
    <n v="0"/>
    <x v="0"/>
    <n v="0"/>
    <n v="0"/>
    <n v="43"/>
    <n v="84"/>
    <n v="0"/>
    <n v="334.07"/>
    <n v="224.55"/>
    <m/>
    <n v="453.7535883286144"/>
    <n v="224.6483414612014"/>
    <n v="0"/>
    <n v="3576.8874900000001"/>
    <n v="2404.2568500000002"/>
    <n v="0"/>
    <n v="4858.8165316045634"/>
    <n v="2405.3097920250834"/>
  </r>
  <r>
    <s v="PROJETADO"/>
    <x v="3"/>
    <x v="4"/>
    <x v="1"/>
    <x v="2"/>
    <x v="3"/>
    <x v="0"/>
    <x v="2"/>
    <x v="11"/>
    <n v="0"/>
    <n v="0"/>
    <n v="6.9749999999999996"/>
    <n v="6.9749999999999996"/>
    <n v="6.9749999999999996"/>
    <n v="6.9749999999999996"/>
    <n v="0"/>
    <x v="0"/>
    <n v="0"/>
    <n v="0"/>
    <n v="43"/>
    <n v="84"/>
    <n v="0"/>
    <n v="334.07"/>
    <n v="224.55"/>
    <m/>
    <n v="453.7535883286144"/>
    <n v="224.6483414612014"/>
    <n v="0"/>
    <n v="2330.13825"/>
    <n v="1566.2362499999999"/>
    <n v="0"/>
    <n v="3165.2419265846479"/>
    <n v="1566.9221816918796"/>
  </r>
  <r>
    <s v="Regular"/>
    <x v="3"/>
    <x v="4"/>
    <x v="1"/>
    <x v="2"/>
    <x v="1"/>
    <x v="0"/>
    <x v="2"/>
    <x v="4"/>
    <n v="0"/>
    <n v="0"/>
    <n v="16.626000000000001"/>
    <n v="5.48658"/>
    <n v="16.626000000000001"/>
    <n v="5.48658"/>
    <n v="0"/>
    <x v="0"/>
    <n v="0"/>
    <n v="0"/>
    <n v="43"/>
    <n v="84"/>
    <n v="0"/>
    <n v="334.07"/>
    <n v="224.55"/>
    <m/>
    <n v="453.7535883286144"/>
    <n v="224.6483414612014"/>
    <n v="0"/>
    <n v="1832.9017805999999"/>
    <n v="1232.0115390000001"/>
    <n v="0"/>
    <n v="2489.7997203671398"/>
    <n v="1232.5510972941984"/>
  </r>
  <r>
    <s v="Sistema de Compensação"/>
    <x v="3"/>
    <x v="4"/>
    <x v="1"/>
    <x v="2"/>
    <x v="1"/>
    <x v="0"/>
    <x v="2"/>
    <x v="4"/>
    <n v="0"/>
    <n v="0"/>
    <n v="2.2549999999999999"/>
    <n v="2.2549999999999999"/>
    <n v="2.2549999999999999"/>
    <n v="2.2549999999999999"/>
    <n v="0"/>
    <x v="0"/>
    <n v="0"/>
    <n v="0"/>
    <n v="43"/>
    <n v="84"/>
    <n v="0"/>
    <n v="334.07"/>
    <n v="224.55"/>
    <m/>
    <n v="453.7535883286144"/>
    <n v="224.6483414612014"/>
    <n v="0"/>
    <n v="753.3278499999999"/>
    <n v="506.36025000000001"/>
    <n v="0"/>
    <n v="1023.3147733976174"/>
    <n v="506.58200999500912"/>
  </r>
  <r>
    <s v="Regular"/>
    <x v="3"/>
    <x v="4"/>
    <x v="1"/>
    <x v="2"/>
    <x v="1"/>
    <x v="0"/>
    <x v="2"/>
    <x v="5"/>
    <n v="0"/>
    <n v="0"/>
    <n v="19.251999999999999"/>
    <n v="6.3531599999999999"/>
    <n v="19.251999999999999"/>
    <n v="6.3531599999999999"/>
    <n v="0"/>
    <x v="0"/>
    <n v="0"/>
    <n v="0"/>
    <n v="43"/>
    <n v="84"/>
    <n v="0"/>
    <n v="334.07"/>
    <n v="224.55"/>
    <m/>
    <n v="453.7535883286144"/>
    <n v="224.6483414612014"/>
    <n v="0"/>
    <n v="2122.4001611999997"/>
    <n v="1426.6020780000001"/>
    <n v="0"/>
    <n v="2883.0521001147704"/>
    <n v="1427.2268570376461"/>
  </r>
  <r>
    <s v="Sistema de Compensação"/>
    <x v="3"/>
    <x v="4"/>
    <x v="1"/>
    <x v="2"/>
    <x v="1"/>
    <x v="0"/>
    <x v="2"/>
    <x v="5"/>
    <n v="0"/>
    <n v="0"/>
    <n v="2.0499999999999998"/>
    <n v="0.67649999999999999"/>
    <n v="2.0499999999999998"/>
    <n v="0.67649999999999999"/>
    <n v="0"/>
    <x v="0"/>
    <n v="0"/>
    <n v="0"/>
    <n v="43"/>
    <n v="84"/>
    <n v="0"/>
    <n v="334.07"/>
    <n v="224.55"/>
    <m/>
    <n v="453.7535883286144"/>
    <n v="224.6483414612014"/>
    <n v="0"/>
    <n v="225.998355"/>
    <n v="151.908075"/>
    <n v="0"/>
    <n v="306.99443201928523"/>
    <n v="151.97460299850275"/>
  </r>
  <r>
    <s v="Regular"/>
    <x v="3"/>
    <x v="4"/>
    <x v="1"/>
    <x v="2"/>
    <x v="1"/>
    <x v="0"/>
    <x v="2"/>
    <x v="0"/>
    <n v="0"/>
    <n v="0"/>
    <n v="18.866"/>
    <n v="6.2257800000000003"/>
    <n v="18.866"/>
    <n v="6.2257800000000003"/>
    <n v="0"/>
    <x v="0"/>
    <n v="0"/>
    <n v="0"/>
    <n v="43"/>
    <n v="84"/>
    <n v="0"/>
    <n v="334.07"/>
    <n v="224.55"/>
    <m/>
    <n v="453.7535883286144"/>
    <n v="224.6483414612014"/>
    <n v="0"/>
    <n v="2079.8463246000001"/>
    <n v="1397.9988990000002"/>
    <n v="0"/>
    <n v="2825.2472948662612"/>
    <n v="1398.6111513023186"/>
  </r>
  <r>
    <s v="Sistema de Compensação"/>
    <x v="3"/>
    <x v="4"/>
    <x v="1"/>
    <x v="2"/>
    <x v="1"/>
    <x v="0"/>
    <x v="2"/>
    <x v="0"/>
    <n v="0"/>
    <n v="0"/>
    <n v="2.2549999999999999"/>
    <n v="0.74414999999999998"/>
    <n v="2.2549999999999999"/>
    <n v="0.74414999999999998"/>
    <n v="0"/>
    <x v="0"/>
    <n v="0"/>
    <n v="0"/>
    <n v="43"/>
    <n v="84"/>
    <n v="0"/>
    <n v="334.07"/>
    <n v="224.55"/>
    <m/>
    <n v="453.7535883286144"/>
    <n v="224.6483414612014"/>
    <n v="0"/>
    <n v="248.59819049999999"/>
    <n v="167.0988825"/>
    <n v="0"/>
    <n v="337.69387522121377"/>
    <n v="167.17206329835301"/>
  </r>
  <r>
    <s v="Regular"/>
    <x v="3"/>
    <x v="4"/>
    <x v="1"/>
    <x v="2"/>
    <x v="1"/>
    <x v="0"/>
    <x v="2"/>
    <x v="6"/>
    <n v="0"/>
    <n v="0"/>
    <n v="17.338000000000001"/>
    <n v="5.7215400000000001"/>
    <n v="17.338000000000001"/>
    <n v="5.7215400000000001"/>
    <n v="0"/>
    <x v="0"/>
    <n v="0"/>
    <n v="0"/>
    <n v="43"/>
    <n v="84"/>
    <n v="0"/>
    <n v="334.07"/>
    <n v="224.55"/>
    <m/>
    <n v="453.7535883286144"/>
    <n v="224.6483414612014"/>
    <n v="0"/>
    <n v="1911.3948677999999"/>
    <n v="1284.7718070000001"/>
    <n v="0"/>
    <n v="2596.4241279757889"/>
    <n v="1285.3344716039223"/>
  </r>
  <r>
    <s v="Sistema de Compensação"/>
    <x v="3"/>
    <x v="4"/>
    <x v="1"/>
    <x v="2"/>
    <x v="1"/>
    <x v="0"/>
    <x v="2"/>
    <x v="6"/>
    <n v="0"/>
    <n v="0"/>
    <n v="1.968"/>
    <n v="0.64944000000000002"/>
    <n v="1.968"/>
    <n v="0.64944000000000002"/>
    <n v="0"/>
    <x v="0"/>
    <n v="0"/>
    <n v="0"/>
    <n v="43"/>
    <n v="84"/>
    <n v="0"/>
    <n v="334.07"/>
    <n v="224.55"/>
    <m/>
    <n v="453.7535883286144"/>
    <n v="224.6483414612014"/>
    <n v="0"/>
    <n v="216.9584208"/>
    <n v="145.83175200000002"/>
    <n v="0"/>
    <n v="294.71465473851384"/>
    <n v="145.89561887856263"/>
  </r>
  <r>
    <s v="Regular"/>
    <x v="3"/>
    <x v="4"/>
    <x v="1"/>
    <x v="2"/>
    <x v="1"/>
    <x v="0"/>
    <x v="2"/>
    <x v="7"/>
    <n v="0"/>
    <n v="0"/>
    <n v="17.251999999999999"/>
    <n v="5.6931599999999998"/>
    <n v="17.251999999999999"/>
    <n v="5.6931599999999998"/>
    <n v="0"/>
    <x v="0"/>
    <n v="0"/>
    <n v="0"/>
    <n v="43"/>
    <n v="84"/>
    <n v="0"/>
    <n v="334.07"/>
    <n v="224.55"/>
    <m/>
    <n v="453.7535883286144"/>
    <n v="224.6483414612014"/>
    <n v="0"/>
    <n v="1901.9139611999999"/>
    <n v="1278.3990779999999"/>
    <n v="0"/>
    <n v="2583.545337169126"/>
    <n v="1278.9589516732533"/>
  </r>
  <r>
    <s v="Sistema de Compensação"/>
    <x v="3"/>
    <x v="4"/>
    <x v="1"/>
    <x v="2"/>
    <x v="1"/>
    <x v="0"/>
    <x v="2"/>
    <x v="7"/>
    <n v="0"/>
    <n v="0"/>
    <n v="1.64"/>
    <n v="0.54120000000000001"/>
    <n v="1.64"/>
    <n v="0.54120000000000001"/>
    <n v="0"/>
    <x v="0"/>
    <n v="0"/>
    <n v="0"/>
    <n v="43"/>
    <n v="84"/>
    <n v="0"/>
    <n v="334.07"/>
    <n v="224.55"/>
    <m/>
    <n v="453.7535883286144"/>
    <n v="224.6483414612014"/>
    <n v="0"/>
    <n v="180.79868400000001"/>
    <n v="121.52646000000001"/>
    <n v="0"/>
    <n v="245.59554561542819"/>
    <n v="121.57968239880221"/>
  </r>
  <r>
    <s v="Regular"/>
    <x v="3"/>
    <x v="4"/>
    <x v="1"/>
    <x v="2"/>
    <x v="1"/>
    <x v="0"/>
    <x v="2"/>
    <x v="8"/>
    <n v="0"/>
    <n v="0"/>
    <n v="18.675999999999998"/>
    <n v="6.1630799999999999"/>
    <n v="18.675999999999998"/>
    <n v="6.1630799999999999"/>
    <n v="0"/>
    <x v="0"/>
    <n v="0"/>
    <n v="0"/>
    <n v="43"/>
    <n v="84"/>
    <n v="0"/>
    <n v="334.07"/>
    <n v="224.55"/>
    <m/>
    <n v="453.7535883286144"/>
    <n v="224.6483414612014"/>
    <n v="0"/>
    <n v="2058.9001355999999"/>
    <n v="1383.9196140000001"/>
    <n v="0"/>
    <n v="2796.7941523864247"/>
    <n v="1384.525700292701"/>
  </r>
  <r>
    <s v="Sistema de Compensação"/>
    <x v="3"/>
    <x v="4"/>
    <x v="1"/>
    <x v="2"/>
    <x v="1"/>
    <x v="0"/>
    <x v="2"/>
    <x v="8"/>
    <n v="0"/>
    <n v="0"/>
    <n v="2.0499999999999998"/>
    <n v="0.67649999999999999"/>
    <n v="2.0499999999999998"/>
    <n v="0.67649999999999999"/>
    <n v="0"/>
    <x v="0"/>
    <n v="0"/>
    <n v="0"/>
    <n v="43"/>
    <n v="84"/>
    <n v="0"/>
    <n v="334.07"/>
    <n v="224.55"/>
    <m/>
    <n v="453.7535883286144"/>
    <n v="224.6483414612014"/>
    <n v="0"/>
    <n v="225.998355"/>
    <n v="151.908075"/>
    <n v="0"/>
    <n v="306.99443201928523"/>
    <n v="151.97460299850275"/>
  </r>
  <r>
    <s v="Regular"/>
    <x v="3"/>
    <x v="4"/>
    <x v="1"/>
    <x v="2"/>
    <x v="1"/>
    <x v="0"/>
    <x v="2"/>
    <x v="9"/>
    <n v="0"/>
    <n v="0"/>
    <n v="17.824999999999999"/>
    <n v="5.88225"/>
    <n v="17.824999999999999"/>
    <n v="5.88225"/>
    <n v="0"/>
    <x v="0"/>
    <n v="0"/>
    <n v="0"/>
    <n v="43"/>
    <n v="84"/>
    <n v="0"/>
    <n v="334.07"/>
    <n v="224.55"/>
    <m/>
    <n v="453.7535883286144"/>
    <n v="224.6483414612014"/>
    <n v="0"/>
    <n v="1965.0832574999999"/>
    <n v="1320.8592375000001"/>
    <n v="0"/>
    <n v="2669.3540247530532"/>
    <n v="1321.4377065601518"/>
  </r>
  <r>
    <s v="Sistema de Compensação"/>
    <x v="3"/>
    <x v="4"/>
    <x v="1"/>
    <x v="2"/>
    <x v="1"/>
    <x v="0"/>
    <x v="2"/>
    <x v="9"/>
    <n v="0"/>
    <n v="0"/>
    <n v="2.7469999999999999"/>
    <n v="0.90651000000000004"/>
    <n v="2.7469999999999999"/>
    <n v="0.90651000000000004"/>
    <n v="0"/>
    <x v="0"/>
    <n v="0"/>
    <n v="0"/>
    <n v="43"/>
    <n v="84"/>
    <n v="0"/>
    <n v="334.07"/>
    <n v="224.55"/>
    <m/>
    <n v="453.7535883286144"/>
    <n v="224.6483414612014"/>
    <n v="0"/>
    <n v="302.83779570000002"/>
    <n v="203.55682050000001"/>
    <n v="0"/>
    <n v="411.37253890584225"/>
    <n v="203.64596801799368"/>
  </r>
  <r>
    <s v="Regular"/>
    <x v="3"/>
    <x v="4"/>
    <x v="1"/>
    <x v="2"/>
    <x v="1"/>
    <x v="0"/>
    <x v="2"/>
    <x v="1"/>
    <n v="0"/>
    <n v="0"/>
    <n v="16.347999999999999"/>
    <n v="5.3948400000000003"/>
    <n v="16.347999999999999"/>
    <n v="5.3948400000000003"/>
    <n v="0"/>
    <x v="0"/>
    <n v="0"/>
    <n v="0"/>
    <n v="43"/>
    <n v="84"/>
    <n v="0"/>
    <n v="334.07"/>
    <n v="224.55"/>
    <m/>
    <n v="453.7535883286144"/>
    <n v="224.6483414612014"/>
    <n v="0"/>
    <n v="1802.2541988"/>
    <n v="1211.4113220000002"/>
    <n v="0"/>
    <n v="2448.1682803176955"/>
    <n v="1211.9418584485479"/>
  </r>
  <r>
    <s v="Sistema de Compensação"/>
    <x v="3"/>
    <x v="4"/>
    <x v="1"/>
    <x v="2"/>
    <x v="1"/>
    <x v="0"/>
    <x v="2"/>
    <x v="1"/>
    <n v="0"/>
    <n v="0"/>
    <n v="2.0910000000000002"/>
    <n v="0.69003000000000003"/>
    <n v="2.0910000000000002"/>
    <n v="0.69003000000000003"/>
    <n v="0"/>
    <x v="0"/>
    <n v="0"/>
    <n v="0"/>
    <n v="43"/>
    <n v="84"/>
    <n v="0"/>
    <n v="334.07"/>
    <n v="224.55"/>
    <m/>
    <n v="453.7535883286144"/>
    <n v="224.6483414612014"/>
    <n v="0"/>
    <n v="230.51832210000001"/>
    <n v="154.94623650000003"/>
    <n v="0"/>
    <n v="313.13432065967095"/>
    <n v="155.0140950584728"/>
  </r>
  <r>
    <s v="Regular"/>
    <x v="3"/>
    <x v="4"/>
    <x v="1"/>
    <x v="2"/>
    <x v="1"/>
    <x v="0"/>
    <x v="2"/>
    <x v="2"/>
    <n v="0"/>
    <n v="0"/>
    <n v="17.5"/>
    <n v="5.7750000000000004"/>
    <n v="17.5"/>
    <n v="5.7750000000000004"/>
    <n v="0"/>
    <x v="0"/>
    <n v="0"/>
    <n v="0"/>
    <n v="43"/>
    <n v="84"/>
    <n v="0"/>
    <n v="334.07"/>
    <n v="224.55"/>
    <m/>
    <n v="453.7535883286144"/>
    <n v="224.6483414612014"/>
    <n v="0"/>
    <n v="1929.2542500000002"/>
    <n v="1296.7762500000001"/>
    <n v="0"/>
    <n v="2620.6841757743864"/>
    <n v="1297.3441719384382"/>
  </r>
  <r>
    <s v="Sistema de Compensação"/>
    <x v="3"/>
    <x v="4"/>
    <x v="1"/>
    <x v="2"/>
    <x v="1"/>
    <x v="0"/>
    <x v="2"/>
    <x v="2"/>
    <n v="0"/>
    <n v="0"/>
    <n v="0.877"/>
    <n v="0.28941"/>
    <n v="0.877"/>
    <n v="0.28941"/>
    <n v="0"/>
    <x v="0"/>
    <n v="0"/>
    <n v="0"/>
    <n v="43"/>
    <n v="84"/>
    <n v="0"/>
    <n v="334.07"/>
    <n v="224.55"/>
    <m/>
    <n v="453.7535883286144"/>
    <n v="224.6483414612014"/>
    <n v="0"/>
    <n v="96.683198699999991"/>
    <n v="64.987015499999998"/>
    <n v="0"/>
    <n v="131.33371555166497"/>
    <n v="65.01547650228629"/>
  </r>
  <r>
    <s v="Regular"/>
    <x v="3"/>
    <x v="4"/>
    <x v="1"/>
    <x v="2"/>
    <x v="1"/>
    <x v="0"/>
    <x v="2"/>
    <x v="3"/>
    <n v="0"/>
    <n v="0"/>
    <n v="12.945"/>
    <n v="4.2718499999999997"/>
    <n v="12.945"/>
    <n v="4.2718499999999997"/>
    <n v="0"/>
    <x v="0"/>
    <n v="0"/>
    <n v="0"/>
    <n v="43"/>
    <n v="84"/>
    <n v="0"/>
    <n v="334.07"/>
    <n v="224.55"/>
    <m/>
    <n v="453.7535883286144"/>
    <n v="224.6483414612014"/>
    <n v="0"/>
    <n v="1427.0969294999998"/>
    <n v="959.24391749999995"/>
    <n v="0"/>
    <n v="1938.5575231656815"/>
    <n v="959.66401747103316"/>
  </r>
  <r>
    <s v="Sistema de Compensação"/>
    <x v="3"/>
    <x v="4"/>
    <x v="1"/>
    <x v="2"/>
    <x v="1"/>
    <x v="0"/>
    <x v="2"/>
    <x v="3"/>
    <n v="0"/>
    <n v="0"/>
    <n v="1.337"/>
    <n v="0.44120999999999999"/>
    <n v="1.337"/>
    <n v="0.44120999999999999"/>
    <n v="0"/>
    <x v="0"/>
    <n v="0"/>
    <n v="0"/>
    <n v="43"/>
    <n v="84"/>
    <n v="0"/>
    <n v="334.07"/>
    <n v="224.55"/>
    <m/>
    <n v="453.7535883286144"/>
    <n v="224.6483414612014"/>
    <n v="0"/>
    <n v="147.39502469999999"/>
    <n v="99.073705500000003"/>
    <n v="0"/>
    <n v="200.22027102916309"/>
    <n v="99.117094736096661"/>
  </r>
  <r>
    <s v="Regular"/>
    <x v="3"/>
    <x v="4"/>
    <x v="1"/>
    <x v="2"/>
    <x v="1"/>
    <x v="0"/>
    <x v="2"/>
    <x v="10"/>
    <n v="0"/>
    <n v="0"/>
    <n v="14.973000000000001"/>
    <n v="4.94109"/>
    <n v="14.973000000000001"/>
    <n v="4.94109"/>
    <n v="0"/>
    <x v="0"/>
    <n v="0"/>
    <n v="0"/>
    <n v="43"/>
    <n v="84"/>
    <n v="0"/>
    <n v="334.07"/>
    <n v="224.55"/>
    <m/>
    <n v="453.7535883286144"/>
    <n v="224.6483414612014"/>
    <n v="0"/>
    <n v="1650.6699363"/>
    <n v="1109.5217595000001"/>
    <n v="0"/>
    <n v="2242.2573807925646"/>
    <n v="1110.0076735105276"/>
  </r>
  <r>
    <s v="Sistema de Compensação"/>
    <x v="3"/>
    <x v="4"/>
    <x v="1"/>
    <x v="2"/>
    <x v="1"/>
    <x v="0"/>
    <x v="2"/>
    <x v="10"/>
    <n v="0"/>
    <n v="0"/>
    <n v="0.85499999999999998"/>
    <n v="0.28215000000000001"/>
    <n v="0.85499999999999998"/>
    <n v="0.28215000000000001"/>
    <n v="0"/>
    <x v="0"/>
    <n v="0"/>
    <n v="0"/>
    <n v="43"/>
    <n v="84"/>
    <n v="0"/>
    <n v="334.07"/>
    <n v="224.55"/>
    <m/>
    <n v="453.7535883286144"/>
    <n v="224.6483414612014"/>
    <n v="0"/>
    <n v="94.257850500000004"/>
    <n v="63.356782500000008"/>
    <n v="0"/>
    <n v="128.03914115926287"/>
    <n v="63.384529543277978"/>
  </r>
  <r>
    <s v="PROJETADO"/>
    <x v="3"/>
    <x v="4"/>
    <x v="1"/>
    <x v="2"/>
    <x v="1"/>
    <x v="0"/>
    <x v="2"/>
    <x v="11"/>
    <n v="0"/>
    <n v="0"/>
    <n v="14.973000000000001"/>
    <n v="4.94109"/>
    <n v="14.973000000000001"/>
    <n v="4.94109"/>
    <n v="0"/>
    <x v="0"/>
    <n v="0"/>
    <n v="0"/>
    <n v="43"/>
    <n v="84"/>
    <n v="0"/>
    <n v="334.07"/>
    <n v="224.55"/>
    <m/>
    <n v="453.7535883286144"/>
    <n v="224.6483414612014"/>
    <n v="0"/>
    <n v="1650.6699363"/>
    <n v="1109.5217595000001"/>
    <n v="0"/>
    <n v="2242.2573807925646"/>
    <n v="1110.0076735105276"/>
  </r>
  <r>
    <s v="PROJETADO"/>
    <x v="3"/>
    <x v="4"/>
    <x v="1"/>
    <x v="2"/>
    <x v="1"/>
    <x v="0"/>
    <x v="2"/>
    <x v="11"/>
    <n v="0"/>
    <n v="0"/>
    <n v="0.85499999999999998"/>
    <n v="0.28215000000000001"/>
    <n v="0.85499999999999998"/>
    <n v="0.28215000000000001"/>
    <n v="0"/>
    <x v="0"/>
    <n v="0"/>
    <n v="0"/>
    <n v="43"/>
    <n v="84"/>
    <n v="0"/>
    <n v="334.07"/>
    <n v="224.55"/>
    <m/>
    <n v="453.7535883286144"/>
    <n v="224.6483414612014"/>
    <n v="0"/>
    <n v="94.257850500000004"/>
    <n v="63.356782500000008"/>
    <n v="0"/>
    <n v="128.03914115926287"/>
    <n v="63.384529543277978"/>
  </r>
  <r>
    <s v="Regular"/>
    <x v="3"/>
    <x v="4"/>
    <x v="1"/>
    <x v="0"/>
    <x v="0"/>
    <x v="0"/>
    <x v="2"/>
    <x v="4"/>
    <n v="0"/>
    <n v="0"/>
    <n v="1381.0450000000001"/>
    <n v="1381.0450000000001"/>
    <n v="1381.0450000000001"/>
    <n v="1381.0450000000001"/>
    <n v="4522"/>
    <x v="0"/>
    <n v="0"/>
    <n v="0"/>
    <n v="43"/>
    <n v="84"/>
    <n v="0"/>
    <n v="334.07"/>
    <n v="224.55"/>
    <m/>
    <n v="453.7535883286144"/>
    <n v="224.6483414612014"/>
    <n v="0"/>
    <n v="461365.70315000002"/>
    <n v="310113.65475000005"/>
    <n v="0"/>
    <n v="626715.63247313199"/>
    <n v="310249.46873328491"/>
  </r>
  <r>
    <s v="Sistema de Compensação"/>
    <x v="3"/>
    <x v="4"/>
    <x v="1"/>
    <x v="0"/>
    <x v="0"/>
    <x v="0"/>
    <x v="2"/>
    <x v="4"/>
    <n v="0"/>
    <n v="0"/>
    <n v="11.712"/>
    <n v="11.712"/>
    <n v="11.712"/>
    <n v="11.712"/>
    <n v="61"/>
    <x v="0"/>
    <n v="0"/>
    <n v="0"/>
    <n v="43"/>
    <n v="84"/>
    <n v="0"/>
    <n v="334.07"/>
    <n v="224.55"/>
    <m/>
    <n v="453.7535883286144"/>
    <n v="224.6483414612014"/>
    <n v="0"/>
    <n v="3912.6278399999997"/>
    <n v="2629.9295999999999"/>
    <n v="0"/>
    <n v="5314.8836479081574"/>
    <n v="2631.0813751935907"/>
  </r>
  <r>
    <s v="Regular"/>
    <x v="3"/>
    <x v="4"/>
    <x v="1"/>
    <x v="0"/>
    <x v="0"/>
    <x v="0"/>
    <x v="2"/>
    <x v="5"/>
    <n v="0"/>
    <n v="0"/>
    <n v="1271.596"/>
    <n v="1271.596"/>
    <n v="1271.596"/>
    <n v="1271.596"/>
    <n v="4519"/>
    <x v="0"/>
    <n v="0"/>
    <n v="0"/>
    <n v="43"/>
    <n v="84"/>
    <n v="0"/>
    <n v="334.07"/>
    <n v="224.55"/>
    <m/>
    <n v="453.7535883286144"/>
    <n v="224.6483414612014"/>
    <n v="0"/>
    <n v="424802.07571999996"/>
    <n v="285536.88180000003"/>
    <n v="0"/>
    <n v="577047.88141610497"/>
    <n v="285661.93240869784"/>
  </r>
  <r>
    <s v="Sistema de Compensação"/>
    <x v="3"/>
    <x v="4"/>
    <x v="1"/>
    <x v="0"/>
    <x v="0"/>
    <x v="0"/>
    <x v="2"/>
    <x v="5"/>
    <n v="0"/>
    <n v="0"/>
    <n v="12.464"/>
    <n v="12.464"/>
    <n v="12.464"/>
    <n v="12.464"/>
    <n v="66"/>
    <x v="0"/>
    <n v="0"/>
    <n v="0"/>
    <n v="43"/>
    <n v="84"/>
    <n v="0"/>
    <n v="334.07"/>
    <n v="224.55"/>
    <m/>
    <n v="453.7535883286144"/>
    <n v="224.6483414612014"/>
    <n v="0"/>
    <n v="4163.8484799999997"/>
    <n v="2798.7912000000001"/>
    <n v="0"/>
    <n v="5656.139838415922"/>
    <n v="2800.0169279724141"/>
  </r>
  <r>
    <s v="Regular"/>
    <x v="3"/>
    <x v="4"/>
    <x v="1"/>
    <x v="0"/>
    <x v="0"/>
    <x v="0"/>
    <x v="2"/>
    <x v="0"/>
    <n v="0"/>
    <n v="0"/>
    <n v="1167.3910000000001"/>
    <n v="1167.3910000000001"/>
    <n v="1167.3910000000001"/>
    <n v="1167.3910000000001"/>
    <n v="4510"/>
    <x v="0"/>
    <n v="0"/>
    <n v="0"/>
    <n v="43"/>
    <n v="84"/>
    <n v="0"/>
    <n v="334.07"/>
    <n v="224.55"/>
    <m/>
    <n v="453.7535883286144"/>
    <n v="224.6483414612014"/>
    <n v="0"/>
    <n v="389990.31137000001"/>
    <n v="262137.64905000004"/>
    <n v="0"/>
    <n v="529759.8477301189"/>
    <n v="262252.45198673336"/>
  </r>
  <r>
    <s v="Sistema de Compensação"/>
    <x v="3"/>
    <x v="4"/>
    <x v="1"/>
    <x v="0"/>
    <x v="0"/>
    <x v="0"/>
    <x v="2"/>
    <x v="0"/>
    <n v="0"/>
    <n v="0"/>
    <n v="17.41"/>
    <n v="17.41"/>
    <n v="17.41"/>
    <n v="17.41"/>
    <n v="70"/>
    <x v="0"/>
    <n v="0"/>
    <n v="0"/>
    <n v="43"/>
    <n v="84"/>
    <n v="0"/>
    <n v="334.07"/>
    <n v="224.55"/>
    <m/>
    <n v="453.7535883286144"/>
    <n v="224.6483414612014"/>
    <n v="0"/>
    <n v="5816.1587"/>
    <n v="3909.4155000000001"/>
    <n v="0"/>
    <n v="7900.6253680055524"/>
    <n v="3911.1276248395166"/>
  </r>
  <r>
    <s v="Regular"/>
    <x v="3"/>
    <x v="4"/>
    <x v="1"/>
    <x v="0"/>
    <x v="0"/>
    <x v="0"/>
    <x v="2"/>
    <x v="6"/>
    <n v="0"/>
    <n v="0"/>
    <n v="1228.2760000000001"/>
    <n v="1228.2760000000001"/>
    <n v="1228.2760000000001"/>
    <n v="1228.2760000000001"/>
    <n v="4501"/>
    <x v="0"/>
    <n v="0"/>
    <n v="0"/>
    <n v="43"/>
    <n v="84"/>
    <n v="0"/>
    <n v="334.07"/>
    <n v="224.55"/>
    <m/>
    <n v="453.7535883286144"/>
    <n v="224.6483414612014"/>
    <n v="0"/>
    <n v="410330.16331999999"/>
    <n v="275809.37580000004"/>
    <n v="0"/>
    <n v="557389.34661185462"/>
    <n v="275930.1662565986"/>
  </r>
  <r>
    <s v="Sistema de Compensação"/>
    <x v="3"/>
    <x v="4"/>
    <x v="1"/>
    <x v="0"/>
    <x v="0"/>
    <x v="0"/>
    <x v="2"/>
    <x v="6"/>
    <n v="0"/>
    <n v="0"/>
    <n v="12.071999999999999"/>
    <n v="12.071999999999999"/>
    <n v="12.071999999999999"/>
    <n v="12.071999999999999"/>
    <n v="72"/>
    <x v="0"/>
    <n v="0"/>
    <n v="0"/>
    <n v="43"/>
    <n v="84"/>
    <n v="0"/>
    <n v="334.07"/>
    <n v="224.55"/>
    <m/>
    <n v="453.7535883286144"/>
    <n v="224.6483414612014"/>
    <n v="0"/>
    <n v="4032.8930399999995"/>
    <n v="2710.7676000000001"/>
    <n v="0"/>
    <n v="5478.2509731512364"/>
    <n v="2711.9547781196229"/>
  </r>
  <r>
    <s v="Regular"/>
    <x v="3"/>
    <x v="4"/>
    <x v="1"/>
    <x v="0"/>
    <x v="0"/>
    <x v="0"/>
    <x v="2"/>
    <x v="7"/>
    <n v="0"/>
    <n v="0"/>
    <n v="1114.348"/>
    <n v="1114.348"/>
    <n v="1114.348"/>
    <n v="1114.348"/>
    <n v="4482"/>
    <x v="0"/>
    <n v="0"/>
    <n v="0"/>
    <n v="43"/>
    <n v="84"/>
    <n v="0"/>
    <n v="334.07"/>
    <n v="224.55"/>
    <m/>
    <n v="453.7535883286144"/>
    <n v="224.6483414612014"/>
    <n v="0"/>
    <n v="372270.23635999998"/>
    <n v="250226.84340000001"/>
    <n v="0"/>
    <n v="505689.03374992823"/>
    <n v="250336.43001060685"/>
  </r>
  <r>
    <s v="Sistema de Compensação"/>
    <x v="3"/>
    <x v="4"/>
    <x v="1"/>
    <x v="0"/>
    <x v="0"/>
    <x v="0"/>
    <x v="2"/>
    <x v="7"/>
    <n v="0"/>
    <n v="0"/>
    <n v="11.337"/>
    <n v="11.337"/>
    <n v="11.337"/>
    <n v="11.337"/>
    <n v="82"/>
    <x v="0"/>
    <n v="0"/>
    <n v="0"/>
    <n v="43"/>
    <n v="84"/>
    <n v="0"/>
    <n v="334.07"/>
    <n v="224.55"/>
    <m/>
    <n v="453.7535883286144"/>
    <n v="224.6483414612014"/>
    <n v="0"/>
    <n v="3787.3515899999998"/>
    <n v="2545.7233500000002"/>
    <n v="0"/>
    <n v="5144.7093507799509"/>
    <n v="2546.8382471456403"/>
  </r>
  <r>
    <s v="Regular"/>
    <x v="3"/>
    <x v="4"/>
    <x v="1"/>
    <x v="0"/>
    <x v="0"/>
    <x v="0"/>
    <x v="2"/>
    <x v="8"/>
    <n v="0"/>
    <n v="0"/>
    <n v="1176.8989999999999"/>
    <n v="1176.8989999999999"/>
    <n v="1176.8989999999999"/>
    <n v="1176.8989999999999"/>
    <n v="4469"/>
    <x v="0"/>
    <n v="0"/>
    <n v="0"/>
    <n v="43"/>
    <n v="84"/>
    <n v="0"/>
    <n v="334.07"/>
    <n v="224.55"/>
    <m/>
    <n v="453.7535883286144"/>
    <n v="224.6483414612014"/>
    <n v="0"/>
    <n v="393166.64892999997"/>
    <n v="264272.67044999998"/>
    <n v="0"/>
    <n v="534074.56030903885"/>
    <n v="264388.40841734642"/>
  </r>
  <r>
    <s v="Sistema de Compensação"/>
    <x v="3"/>
    <x v="4"/>
    <x v="1"/>
    <x v="0"/>
    <x v="0"/>
    <x v="0"/>
    <x v="2"/>
    <x v="8"/>
    <n v="0"/>
    <n v="0"/>
    <n v="27.274000000000001"/>
    <n v="27.274000000000001"/>
    <n v="27.274000000000001"/>
    <n v="27.274000000000001"/>
    <n v="91"/>
    <x v="0"/>
    <n v="0"/>
    <n v="0"/>
    <n v="43"/>
    <n v="84"/>
    <n v="0"/>
    <n v="334.07"/>
    <n v="224.55"/>
    <m/>
    <n v="453.7535883286144"/>
    <n v="224.6483414612014"/>
    <n v="0"/>
    <n v="9111.4251800000002"/>
    <n v="6124.3767000000007"/>
    <n v="0"/>
    <n v="12376.890079665907"/>
    <n v="6127.0588650128075"/>
  </r>
  <r>
    <s v="Regular"/>
    <x v="3"/>
    <x v="4"/>
    <x v="1"/>
    <x v="0"/>
    <x v="0"/>
    <x v="0"/>
    <x v="2"/>
    <x v="9"/>
    <n v="0"/>
    <n v="0"/>
    <n v="1273.9549999999999"/>
    <n v="1273.9549999999999"/>
    <n v="1273.9549999999999"/>
    <n v="1273.9549999999999"/>
    <n v="4481"/>
    <x v="0"/>
    <n v="0"/>
    <n v="0"/>
    <n v="43"/>
    <n v="84"/>
    <n v="0"/>
    <n v="334.07"/>
    <n v="224.55"/>
    <m/>
    <n v="453.7535883286144"/>
    <n v="224.6483414612014"/>
    <n v="0"/>
    <n v="425590.14684999996"/>
    <n v="286066.59525000001"/>
    <n v="0"/>
    <n v="578118.39119457279"/>
    <n v="286191.87784620479"/>
  </r>
  <r>
    <s v="Sistema de Compensação"/>
    <x v="3"/>
    <x v="4"/>
    <x v="1"/>
    <x v="0"/>
    <x v="0"/>
    <x v="0"/>
    <x v="2"/>
    <x v="9"/>
    <n v="0"/>
    <n v="0"/>
    <n v="24.559000000000001"/>
    <n v="24.559000000000001"/>
    <n v="24.559000000000001"/>
    <n v="24.559000000000001"/>
    <n v="100"/>
    <x v="0"/>
    <n v="0"/>
    <n v="0"/>
    <n v="43"/>
    <n v="84"/>
    <n v="0"/>
    <n v="334.07"/>
    <n v="224.55"/>
    <m/>
    <n v="453.7535883286144"/>
    <n v="224.6483414612014"/>
    <n v="0"/>
    <n v="8204.4251299999996"/>
    <n v="5514.7234500000004"/>
    <n v="0"/>
    <n v="11144.828168457689"/>
    <n v="5517.1386179456449"/>
  </r>
  <r>
    <s v="Regular"/>
    <x v="3"/>
    <x v="4"/>
    <x v="1"/>
    <x v="0"/>
    <x v="0"/>
    <x v="0"/>
    <x v="2"/>
    <x v="1"/>
    <n v="0"/>
    <n v="0"/>
    <n v="1163.0940000000001"/>
    <n v="1163.0940000000001"/>
    <n v="1163.0940000000001"/>
    <n v="1163.0940000000001"/>
    <n v="4476"/>
    <x v="0"/>
    <n v="0"/>
    <n v="0"/>
    <n v="43"/>
    <n v="84"/>
    <n v="0"/>
    <n v="334.07"/>
    <n v="224.55"/>
    <m/>
    <n v="453.7535883286144"/>
    <n v="224.6483414612014"/>
    <n v="0"/>
    <n v="388554.81258000003"/>
    <n v="261172.75770000002"/>
    <n v="0"/>
    <n v="527809.87718409253"/>
    <n v="261287.13806347459"/>
  </r>
  <r>
    <s v="Sistema de Compensação"/>
    <x v="3"/>
    <x v="4"/>
    <x v="1"/>
    <x v="0"/>
    <x v="0"/>
    <x v="0"/>
    <x v="2"/>
    <x v="1"/>
    <n v="0"/>
    <n v="0"/>
    <n v="23.04"/>
    <n v="23.04"/>
    <n v="23.04"/>
    <n v="23.04"/>
    <n v="105"/>
    <x v="0"/>
    <n v="0"/>
    <n v="0"/>
    <n v="43"/>
    <n v="84"/>
    <n v="0"/>
    <n v="334.07"/>
    <n v="224.55"/>
    <m/>
    <n v="453.7535883286144"/>
    <n v="224.6483414612014"/>
    <n v="0"/>
    <n v="7696.9727999999996"/>
    <n v="5173.6320000000005"/>
    <n v="0"/>
    <n v="10455.508815557032"/>
    <n v="5175.8977872660798"/>
  </r>
  <r>
    <s v="Regular"/>
    <x v="3"/>
    <x v="4"/>
    <x v="1"/>
    <x v="0"/>
    <x v="0"/>
    <x v="0"/>
    <x v="2"/>
    <x v="2"/>
    <n v="0"/>
    <n v="0"/>
    <n v="1133.1010000000001"/>
    <n v="1133.1010000000001"/>
    <n v="1133.1010000000001"/>
    <n v="1133.1010000000001"/>
    <n v="4468"/>
    <x v="0"/>
    <n v="0"/>
    <n v="0"/>
    <n v="43"/>
    <n v="84"/>
    <n v="0"/>
    <n v="334.07"/>
    <n v="224.55"/>
    <m/>
    <n v="453.7535883286144"/>
    <n v="224.6483414612014"/>
    <n v="0"/>
    <n v="378535.05107000005"/>
    <n v="254437.82955000002"/>
    <n v="0"/>
    <n v="514199.11000071571"/>
    <n v="254549.26035802878"/>
  </r>
  <r>
    <s v="Sistema de Compensação"/>
    <x v="3"/>
    <x v="4"/>
    <x v="1"/>
    <x v="0"/>
    <x v="0"/>
    <x v="0"/>
    <x v="2"/>
    <x v="2"/>
    <n v="0"/>
    <n v="0"/>
    <n v="25.085000000000001"/>
    <n v="25.085000000000001"/>
    <n v="25.085000000000001"/>
    <n v="25.085000000000001"/>
    <n v="109"/>
    <x v="0"/>
    <n v="0"/>
    <n v="0"/>
    <n v="43"/>
    <n v="84"/>
    <n v="0"/>
    <n v="334.07"/>
    <n v="224.55"/>
    <m/>
    <n v="453.7535883286144"/>
    <n v="224.6483414612014"/>
    <n v="0"/>
    <n v="8380.1459500000001"/>
    <n v="5632.8367500000004"/>
    <n v="0"/>
    <n v="11383.525982562853"/>
    <n v="5635.3036455542369"/>
  </r>
  <r>
    <s v="Regular"/>
    <x v="3"/>
    <x v="4"/>
    <x v="1"/>
    <x v="0"/>
    <x v="0"/>
    <x v="0"/>
    <x v="2"/>
    <x v="3"/>
    <n v="0"/>
    <n v="0"/>
    <n v="1323.0640000000001"/>
    <n v="1323.0640000000001"/>
    <n v="1323.0640000000001"/>
    <n v="1323.0640000000001"/>
    <n v="4459"/>
    <x v="0"/>
    <n v="0"/>
    <n v="0"/>
    <n v="43"/>
    <n v="84"/>
    <n v="0"/>
    <n v="334.07"/>
    <n v="224.55"/>
    <m/>
    <n v="453.7535883286144"/>
    <n v="224.6483414612014"/>
    <n v="0"/>
    <n v="441995.99048000004"/>
    <n v="297094.02120000002"/>
    <n v="0"/>
    <n v="600403.96334835712"/>
    <n v="297224.13324702298"/>
  </r>
  <r>
    <s v="Sistema de Compensação"/>
    <x v="3"/>
    <x v="4"/>
    <x v="1"/>
    <x v="0"/>
    <x v="0"/>
    <x v="0"/>
    <x v="2"/>
    <x v="3"/>
    <n v="0"/>
    <n v="0"/>
    <n v="24.838999999999999"/>
    <n v="24.838999999999999"/>
    <n v="24.838999999999999"/>
    <n v="24.838999999999999"/>
    <n v="117"/>
    <x v="0"/>
    <n v="0"/>
    <n v="0"/>
    <n v="43"/>
    <n v="84"/>
    <n v="0"/>
    <n v="334.07"/>
    <n v="224.55"/>
    <m/>
    <n v="453.7535883286144"/>
    <n v="224.6483414612014"/>
    <n v="0"/>
    <n v="8297.9647299999997"/>
    <n v="5577.5974500000002"/>
    <n v="0"/>
    <n v="11271.891643646748"/>
    <n v="5580.0401535547808"/>
  </r>
  <r>
    <s v="Regular"/>
    <x v="3"/>
    <x v="4"/>
    <x v="1"/>
    <x v="0"/>
    <x v="0"/>
    <x v="0"/>
    <x v="2"/>
    <x v="10"/>
    <n v="0"/>
    <n v="0"/>
    <n v="1539.942"/>
    <n v="1539.942"/>
    <n v="1539.942"/>
    <n v="1539.942"/>
    <n v="4452"/>
    <x v="0"/>
    <n v="0"/>
    <n v="0"/>
    <n v="43"/>
    <n v="84"/>
    <n v="0"/>
    <n v="334.07"/>
    <n v="224.55"/>
    <m/>
    <n v="453.7535883286144"/>
    <n v="224.6483414612014"/>
    <n v="0"/>
    <n v="514448.42394000001"/>
    <n v="345793.97610000003"/>
    <n v="0"/>
    <n v="698822.79324854712"/>
    <n v="345945.41624644538"/>
  </r>
  <r>
    <s v="Sistema de Compensação"/>
    <x v="3"/>
    <x v="4"/>
    <x v="1"/>
    <x v="0"/>
    <x v="0"/>
    <x v="0"/>
    <x v="2"/>
    <x v="10"/>
    <n v="0"/>
    <n v="0"/>
    <n v="27.417000000000002"/>
    <n v="27.417000000000002"/>
    <n v="27.417000000000002"/>
    <n v="27.417000000000002"/>
    <n v="125"/>
    <x v="0"/>
    <n v="0"/>
    <n v="0"/>
    <n v="43"/>
    <n v="84"/>
    <n v="0"/>
    <n v="334.07"/>
    <n v="224.55"/>
    <m/>
    <n v="453.7535883286144"/>
    <n v="224.6483414612014"/>
    <n v="0"/>
    <n v="9159.1971900000008"/>
    <n v="6156.4873500000003"/>
    <n v="0"/>
    <n v="12441.783211637463"/>
    <n v="6159.183577841759"/>
  </r>
  <r>
    <s v="PROJETADO"/>
    <x v="3"/>
    <x v="4"/>
    <x v="1"/>
    <x v="0"/>
    <x v="0"/>
    <x v="0"/>
    <x v="2"/>
    <x v="11"/>
    <n v="0"/>
    <n v="0"/>
    <n v="1539.942"/>
    <n v="1539.942"/>
    <n v="1539.942"/>
    <n v="1539.942"/>
    <n v="4452"/>
    <x v="0"/>
    <n v="0"/>
    <n v="0"/>
    <n v="43"/>
    <n v="84"/>
    <n v="0"/>
    <n v="334.07"/>
    <n v="224.55"/>
    <m/>
    <n v="453.7535883286144"/>
    <n v="224.6483414612014"/>
    <n v="0"/>
    <n v="514448.42394000001"/>
    <n v="345793.97610000003"/>
    <n v="0"/>
    <n v="698822.79324854712"/>
    <n v="345945.41624644538"/>
  </r>
  <r>
    <s v="PROJETADO"/>
    <x v="3"/>
    <x v="4"/>
    <x v="1"/>
    <x v="0"/>
    <x v="0"/>
    <x v="0"/>
    <x v="2"/>
    <x v="11"/>
    <n v="0"/>
    <n v="0"/>
    <n v="27.417000000000002"/>
    <n v="27.417000000000002"/>
    <n v="27.417000000000002"/>
    <n v="27.417000000000002"/>
    <n v="125"/>
    <x v="0"/>
    <n v="0"/>
    <n v="0"/>
    <n v="43"/>
    <n v="84"/>
    <n v="0"/>
    <n v="334.07"/>
    <n v="224.55"/>
    <m/>
    <n v="453.7535883286144"/>
    <n v="224.6483414612014"/>
    <n v="0"/>
    <n v="9159.1971900000008"/>
    <n v="6156.4873500000003"/>
    <n v="0"/>
    <n v="12441.783211637463"/>
    <n v="6159.183577841759"/>
  </r>
  <r>
    <s v="Regular"/>
    <x v="4"/>
    <x v="3"/>
    <x v="0"/>
    <x v="0"/>
    <x v="0"/>
    <x v="0"/>
    <x v="0"/>
    <x v="4"/>
    <n v="0"/>
    <n v="0"/>
    <n v="7.7889999999999997"/>
    <n v="7.7889999999999997"/>
    <n v="7.7889999999999997"/>
    <n v="7.7889999999999997"/>
    <n v="0"/>
    <x v="0"/>
    <n v="0"/>
    <n v="0"/>
    <n v="57"/>
    <n v="98"/>
    <n v="0"/>
    <n v="295.61"/>
    <n v="242.77"/>
    <m/>
    <n v="389.30792678934722"/>
    <n v="227.53897547400734"/>
    <n v="0"/>
    <n v="2302.5062899999998"/>
    <n v="1890.93553"/>
    <n v="0"/>
    <n v="3032.5740815038539"/>
    <n v="1772.3010799670431"/>
  </r>
  <r>
    <s v="Regular"/>
    <x v="4"/>
    <x v="3"/>
    <x v="0"/>
    <x v="0"/>
    <x v="0"/>
    <x v="0"/>
    <x v="0"/>
    <x v="5"/>
    <n v="0"/>
    <n v="0"/>
    <n v="6.8789999999999996"/>
    <n v="6.8789999999999996"/>
    <n v="6.8789999999999996"/>
    <n v="6.8789999999999996"/>
    <n v="0"/>
    <x v="0"/>
    <n v="0"/>
    <n v="0"/>
    <n v="57"/>
    <n v="98"/>
    <n v="0"/>
    <n v="295.61"/>
    <n v="242.77"/>
    <m/>
    <n v="389.30792678934722"/>
    <n v="227.53897547400734"/>
    <n v="0"/>
    <n v="2033.50119"/>
    <n v="1670.0148300000001"/>
    <n v="0"/>
    <n v="2678.2741182006689"/>
    <n v="1565.2406122856964"/>
  </r>
  <r>
    <s v="Regular"/>
    <x v="4"/>
    <x v="3"/>
    <x v="0"/>
    <x v="0"/>
    <x v="0"/>
    <x v="0"/>
    <x v="0"/>
    <x v="0"/>
    <n v="0"/>
    <n v="0"/>
    <n v="7.7439999999999998"/>
    <n v="7.7439999999999998"/>
    <n v="7.7439999999999998"/>
    <n v="7.7439999999999998"/>
    <n v="0"/>
    <x v="0"/>
    <n v="0"/>
    <n v="0"/>
    <n v="57"/>
    <n v="98"/>
    <n v="0"/>
    <n v="295.61"/>
    <n v="242.77"/>
    <m/>
    <n v="389.30792678934722"/>
    <n v="227.53897547400734"/>
    <n v="0"/>
    <n v="2289.2038400000001"/>
    <n v="1880.01088"/>
    <n v="0"/>
    <n v="3015.053753648202"/>
    <n v="1762.0618260707129"/>
  </r>
  <r>
    <s v="Regular"/>
    <x v="4"/>
    <x v="3"/>
    <x v="0"/>
    <x v="0"/>
    <x v="0"/>
    <x v="0"/>
    <x v="0"/>
    <x v="6"/>
    <n v="0"/>
    <n v="0"/>
    <n v="7.1369999999999996"/>
    <n v="7.1369999999999996"/>
    <n v="7.1369999999999996"/>
    <n v="7.1369999999999996"/>
    <n v="0"/>
    <x v="0"/>
    <n v="0"/>
    <n v="0"/>
    <n v="57"/>
    <n v="98"/>
    <n v="0"/>
    <n v="295.61"/>
    <n v="242.77"/>
    <m/>
    <n v="389.30792678934722"/>
    <n v="227.53897547400734"/>
    <n v="0"/>
    <n v="2109.7685700000002"/>
    <n v="1732.64949"/>
    <n v="0"/>
    <n v="2778.723997906407"/>
    <n v="1623.9456679579903"/>
  </r>
  <r>
    <s v="Regular"/>
    <x v="4"/>
    <x v="3"/>
    <x v="0"/>
    <x v="0"/>
    <x v="0"/>
    <x v="0"/>
    <x v="0"/>
    <x v="7"/>
    <n v="0"/>
    <n v="0"/>
    <n v="6.2789999999999999"/>
    <n v="6.2789999999999999"/>
    <n v="6.2789999999999999"/>
    <n v="6.2789999999999999"/>
    <n v="0"/>
    <x v="0"/>
    <n v="0"/>
    <n v="0"/>
    <n v="57"/>
    <n v="98"/>
    <n v="0"/>
    <n v="295.61"/>
    <n v="242.77"/>
    <m/>
    <n v="389.30792678934722"/>
    <n v="227.53897547400734"/>
    <n v="0"/>
    <n v="1856.13519"/>
    <n v="1524.35283"/>
    <n v="0"/>
    <n v="2444.6697467919757"/>
    <n v="1428.717227001292"/>
  </r>
  <r>
    <s v="Regular"/>
    <x v="4"/>
    <x v="3"/>
    <x v="0"/>
    <x v="0"/>
    <x v="0"/>
    <x v="0"/>
    <x v="0"/>
    <x v="8"/>
    <n v="0"/>
    <n v="0"/>
    <n v="7.7119999999999997"/>
    <n v="7.7119999999999997"/>
    <n v="7.7119999999999997"/>
    <n v="7.7119999999999997"/>
    <n v="0"/>
    <x v="0"/>
    <n v="0"/>
    <n v="0"/>
    <n v="57"/>
    <n v="98"/>
    <n v="0"/>
    <n v="295.61"/>
    <n v="242.77"/>
    <m/>
    <n v="389.30792678934722"/>
    <n v="227.53897547400734"/>
    <n v="0"/>
    <n v="2279.7443200000002"/>
    <n v="1872.24224"/>
    <n v="0"/>
    <n v="3002.5948538397383"/>
    <n v="1754.7805788555445"/>
  </r>
  <r>
    <s v="Regular"/>
    <x v="4"/>
    <x v="3"/>
    <x v="0"/>
    <x v="0"/>
    <x v="0"/>
    <x v="0"/>
    <x v="0"/>
    <x v="9"/>
    <n v="0"/>
    <n v="0"/>
    <n v="8.8460000000000001"/>
    <n v="8.8460000000000001"/>
    <n v="8.8460000000000001"/>
    <n v="8.8460000000000001"/>
    <n v="0"/>
    <x v="0"/>
    <n v="0"/>
    <n v="0"/>
    <n v="57"/>
    <n v="98"/>
    <n v="0"/>
    <n v="295.61"/>
    <n v="242.77"/>
    <m/>
    <n v="389.30792678934722"/>
    <n v="227.53897547400734"/>
    <n v="0"/>
    <n v="2614.9660600000002"/>
    <n v="2147.54342"/>
    <n v="0"/>
    <n v="3444.1071158021687"/>
    <n v="2012.8097770430691"/>
  </r>
  <r>
    <s v="Regular"/>
    <x v="4"/>
    <x v="3"/>
    <x v="0"/>
    <x v="0"/>
    <x v="0"/>
    <x v="0"/>
    <x v="0"/>
    <x v="1"/>
    <n v="0"/>
    <n v="0"/>
    <n v="5.734"/>
    <n v="5.734"/>
    <n v="5.734"/>
    <n v="5.734"/>
    <n v="0"/>
    <x v="0"/>
    <n v="0"/>
    <n v="0"/>
    <n v="57"/>
    <n v="98"/>
    <n v="0"/>
    <n v="295.61"/>
    <n v="242.77"/>
    <m/>
    <n v="389.30792678934722"/>
    <n v="227.53897547400734"/>
    <n v="0"/>
    <n v="1695.02774"/>
    <n v="1392.0431800000001"/>
    <n v="0"/>
    <n v="2232.479109429079"/>
    <n v="1304.708485367958"/>
  </r>
  <r>
    <s v="Sistema de Compensação"/>
    <x v="4"/>
    <x v="3"/>
    <x v="0"/>
    <x v="0"/>
    <x v="0"/>
    <x v="0"/>
    <x v="0"/>
    <x v="1"/>
    <n v="0"/>
    <n v="0"/>
    <n v="0.309"/>
    <n v="0.309"/>
    <n v="0.309"/>
    <n v="0.309"/>
    <n v="0"/>
    <x v="0"/>
    <n v="0"/>
    <n v="0"/>
    <n v="57"/>
    <n v="98"/>
    <n v="0"/>
    <n v="295.61"/>
    <n v="242.77"/>
    <m/>
    <n v="389.30792678934722"/>
    <n v="227.53897547400734"/>
    <n v="0"/>
    <n v="91.343490000000003"/>
    <n v="75.015929999999997"/>
    <n v="0"/>
    <n v="120.30625127547707"/>
    <n v="70.309543421468263"/>
  </r>
  <r>
    <s v="Regular"/>
    <x v="4"/>
    <x v="3"/>
    <x v="0"/>
    <x v="0"/>
    <x v="0"/>
    <x v="0"/>
    <x v="0"/>
    <x v="2"/>
    <n v="0"/>
    <n v="0"/>
    <n v="6.3289999999999997"/>
    <n v="6.3289999999999997"/>
    <n v="6.3289999999999997"/>
    <n v="6.3289999999999997"/>
    <n v="0"/>
    <x v="0"/>
    <n v="0"/>
    <n v="0"/>
    <n v="57"/>
    <n v="98"/>
    <n v="0"/>
    <n v="295.61"/>
    <n v="242.77"/>
    <m/>
    <n v="389.30792678934722"/>
    <n v="227.53897547400734"/>
    <n v="0"/>
    <n v="1870.91569"/>
    <n v="1536.4913300000001"/>
    <n v="0"/>
    <n v="2464.1367777426999"/>
    <n v="1440.0941757749924"/>
  </r>
  <r>
    <s v="Regular"/>
    <x v="4"/>
    <x v="3"/>
    <x v="0"/>
    <x v="0"/>
    <x v="0"/>
    <x v="0"/>
    <x v="0"/>
    <x v="3"/>
    <n v="0"/>
    <n v="0"/>
    <n v="5.601"/>
    <n v="5.601"/>
    <n v="5.601"/>
    <n v="5.601"/>
    <n v="0"/>
    <x v="0"/>
    <n v="0"/>
    <n v="0"/>
    <n v="57"/>
    <n v="98"/>
    <n v="0"/>
    <n v="295.61"/>
    <n v="242.77"/>
    <m/>
    <n v="389.30792678934722"/>
    <n v="227.53897547400734"/>
    <n v="0"/>
    <n v="1655.7116100000001"/>
    <n v="1359.75477"/>
    <n v="0"/>
    <n v="2180.696807100152"/>
    <n v="1274.4458016299152"/>
  </r>
  <r>
    <s v="Regular"/>
    <x v="4"/>
    <x v="3"/>
    <x v="0"/>
    <x v="0"/>
    <x v="0"/>
    <x v="0"/>
    <x v="0"/>
    <x v="10"/>
    <n v="0"/>
    <n v="0"/>
    <n v="6.96"/>
    <n v="6.96"/>
    <n v="6.96"/>
    <n v="6.96"/>
    <n v="0"/>
    <x v="0"/>
    <n v="0"/>
    <n v="0"/>
    <n v="57"/>
    <n v="98"/>
    <n v="0"/>
    <n v="295.61"/>
    <n v="242.77"/>
    <m/>
    <n v="389.30792678934722"/>
    <n v="227.53897547400734"/>
    <n v="0"/>
    <n v="2057.4456"/>
    <n v="1689.6792"/>
    <n v="0"/>
    <n v="2709.8107083408427"/>
    <n v="1583.6712692990911"/>
  </r>
  <r>
    <s v="PROJETADO"/>
    <x v="4"/>
    <x v="3"/>
    <x v="0"/>
    <x v="0"/>
    <x v="0"/>
    <x v="0"/>
    <x v="0"/>
    <x v="11"/>
    <n v="0"/>
    <n v="0"/>
    <n v="6.96"/>
    <n v="6.96"/>
    <n v="6.96"/>
    <n v="6.96"/>
    <n v="0"/>
    <x v="0"/>
    <n v="0"/>
    <n v="0"/>
    <n v="57"/>
    <n v="98"/>
    <n v="0"/>
    <n v="295.61"/>
    <n v="242.77"/>
    <m/>
    <n v="389.30792678934722"/>
    <n v="227.53897547400734"/>
    <n v="0"/>
    <n v="2057.4456"/>
    <n v="1689.6792"/>
    <n v="0"/>
    <n v="2709.8107083408427"/>
    <n v="1583.6712692990911"/>
  </r>
  <r>
    <s v="Regular"/>
    <x v="4"/>
    <x v="3"/>
    <x v="0"/>
    <x v="0"/>
    <x v="0"/>
    <x v="0"/>
    <x v="3"/>
    <x v="4"/>
    <n v="0"/>
    <n v="0"/>
    <n v="0.53500000000000003"/>
    <n v="0.53500000000000003"/>
    <n v="0.53500000000000003"/>
    <n v="0.53500000000000003"/>
    <n v="0"/>
    <x v="0"/>
    <n v="0"/>
    <n v="0"/>
    <n v="56"/>
    <n v="97"/>
    <n v="0"/>
    <n v="669.59"/>
    <n v="242.77"/>
    <m/>
    <n v="805.12701833625476"/>
    <n v="227.53897547400734"/>
    <n v="0"/>
    <n v="358.23065000000003"/>
    <n v="129.88195000000002"/>
    <n v="0"/>
    <n v="430.79542590824281"/>
    <n v="121.73335187859394"/>
  </r>
  <r>
    <s v="Regular"/>
    <x v="4"/>
    <x v="3"/>
    <x v="0"/>
    <x v="0"/>
    <x v="0"/>
    <x v="0"/>
    <x v="3"/>
    <x v="5"/>
    <n v="0"/>
    <n v="0"/>
    <n v="0.47199999999999998"/>
    <n v="0.47199999999999998"/>
    <n v="0.47199999999999998"/>
    <n v="0.47199999999999998"/>
    <n v="0"/>
    <x v="0"/>
    <n v="0"/>
    <n v="0"/>
    <n v="56"/>
    <n v="97"/>
    <n v="0"/>
    <n v="669.59"/>
    <n v="242.77"/>
    <m/>
    <n v="805.12701833625476"/>
    <n v="227.53897547400734"/>
    <n v="0"/>
    <n v="316.04647999999997"/>
    <n v="114.58744"/>
    <n v="0"/>
    <n v="380.06624491344036"/>
    <n v="107.39839642373146"/>
  </r>
  <r>
    <s v="Regular"/>
    <x v="4"/>
    <x v="3"/>
    <x v="0"/>
    <x v="0"/>
    <x v="0"/>
    <x v="0"/>
    <x v="3"/>
    <x v="0"/>
    <n v="0"/>
    <n v="0"/>
    <n v="0.58599999999999997"/>
    <n v="0.58599999999999997"/>
    <n v="0.58599999999999997"/>
    <n v="0.58599999999999997"/>
    <n v="0"/>
    <x v="0"/>
    <n v="0"/>
    <n v="0"/>
    <n v="56"/>
    <n v="97"/>
    <n v="0"/>
    <n v="669.59"/>
    <n v="242.77"/>
    <m/>
    <n v="805.12701833625476"/>
    <n v="227.53897547400734"/>
    <n v="0"/>
    <n v="392.37973999999997"/>
    <n v="142.26321999999999"/>
    <n v="0"/>
    <n v="471.86190576117804"/>
    <n v="133.33783962776829"/>
  </r>
  <r>
    <s v="Regular"/>
    <x v="4"/>
    <x v="3"/>
    <x v="0"/>
    <x v="0"/>
    <x v="0"/>
    <x v="0"/>
    <x v="3"/>
    <x v="6"/>
    <n v="0"/>
    <n v="0"/>
    <n v="0.57399999999999995"/>
    <n v="0.57399999999999995"/>
    <n v="0.57399999999999995"/>
    <n v="0.57399999999999995"/>
    <n v="0"/>
    <x v="0"/>
    <n v="0"/>
    <n v="0"/>
    <n v="56"/>
    <n v="97"/>
    <n v="0"/>
    <n v="669.59"/>
    <n v="242.77"/>
    <m/>
    <n v="805.12701833625476"/>
    <n v="227.53897547400734"/>
    <n v="0"/>
    <n v="384.34465999999998"/>
    <n v="139.34997999999999"/>
    <n v="0"/>
    <n v="462.19920461931093"/>
    <n v="130.6073719220802"/>
  </r>
  <r>
    <s v="Regular"/>
    <x v="4"/>
    <x v="3"/>
    <x v="0"/>
    <x v="0"/>
    <x v="0"/>
    <x v="0"/>
    <x v="3"/>
    <x v="7"/>
    <n v="0"/>
    <n v="0"/>
    <n v="0.436"/>
    <n v="0.436"/>
    <n v="0.436"/>
    <n v="0.436"/>
    <n v="0"/>
    <x v="0"/>
    <n v="0"/>
    <n v="0"/>
    <n v="56"/>
    <n v="97"/>
    <n v="0"/>
    <n v="669.59"/>
    <n v="242.77"/>
    <m/>
    <n v="805.12701833625476"/>
    <n v="227.53897547400734"/>
    <n v="0"/>
    <n v="291.94123999999999"/>
    <n v="105.84772000000001"/>
    <n v="0"/>
    <n v="351.07814148783899"/>
    <n v="99.206993306667201"/>
  </r>
  <r>
    <s v="Regular"/>
    <x v="4"/>
    <x v="3"/>
    <x v="0"/>
    <x v="0"/>
    <x v="0"/>
    <x v="0"/>
    <x v="3"/>
    <x v="8"/>
    <n v="0"/>
    <n v="0"/>
    <n v="0.61299999999999999"/>
    <n v="0.61299999999999999"/>
    <n v="0.61299999999999999"/>
    <n v="0.61299999999999999"/>
    <n v="0"/>
    <x v="0"/>
    <n v="0"/>
    <n v="0"/>
    <n v="56"/>
    <n v="97"/>
    <n v="0"/>
    <n v="669.59"/>
    <n v="242.77"/>
    <m/>
    <n v="805.12701833625476"/>
    <n v="227.53897547400734"/>
    <n v="0"/>
    <n v="410.45867000000004"/>
    <n v="148.81801000000002"/>
    <n v="0"/>
    <n v="493.60298333037912"/>
    <n v="139.4813919655665"/>
  </r>
  <r>
    <s v="Regular"/>
    <x v="4"/>
    <x v="3"/>
    <x v="0"/>
    <x v="0"/>
    <x v="0"/>
    <x v="0"/>
    <x v="3"/>
    <x v="9"/>
    <n v="0"/>
    <n v="0"/>
    <n v="0.56599999999999995"/>
    <n v="0.56599999999999995"/>
    <n v="0.56599999999999995"/>
    <n v="0.56599999999999995"/>
    <n v="0"/>
    <x v="0"/>
    <n v="0"/>
    <n v="0"/>
    <n v="56"/>
    <n v="97"/>
    <n v="0"/>
    <n v="669.59"/>
    <n v="242.77"/>
    <m/>
    <n v="805.12701833625476"/>
    <n v="227.53897547400734"/>
    <n v="0"/>
    <n v="378.98793999999998"/>
    <n v="137.40781999999999"/>
    <n v="0"/>
    <n v="455.75740385806614"/>
    <n v="128.78706011828814"/>
  </r>
  <r>
    <s v="Regular"/>
    <x v="4"/>
    <x v="3"/>
    <x v="0"/>
    <x v="0"/>
    <x v="0"/>
    <x v="0"/>
    <x v="3"/>
    <x v="1"/>
    <n v="0"/>
    <n v="0"/>
    <n v="0.42499999999999999"/>
    <n v="0.42499999999999999"/>
    <n v="0.42499999999999999"/>
    <n v="0.42499999999999999"/>
    <n v="0"/>
    <x v="0"/>
    <n v="0"/>
    <n v="0"/>
    <n v="56"/>
    <n v="97"/>
    <n v="0"/>
    <n v="669.59"/>
    <n v="242.77"/>
    <m/>
    <n v="805.12701833625476"/>
    <n v="227.53897547400734"/>
    <n v="0"/>
    <n v="284.57575000000003"/>
    <n v="103.17725"/>
    <n v="0"/>
    <n v="342.22066544112744"/>
    <n v="96.704064576453121"/>
  </r>
  <r>
    <s v="Sistema de Compensação"/>
    <x v="4"/>
    <x v="3"/>
    <x v="0"/>
    <x v="0"/>
    <x v="0"/>
    <x v="0"/>
    <x v="3"/>
    <x v="1"/>
    <n v="0"/>
    <n v="0"/>
    <n v="0.05"/>
    <n v="0.05"/>
    <n v="0.05"/>
    <n v="0.05"/>
    <n v="0"/>
    <x v="0"/>
    <n v="0"/>
    <n v="0"/>
    <n v="56"/>
    <n v="97"/>
    <n v="0"/>
    <n v="669.59"/>
    <n v="242.77"/>
    <m/>
    <n v="805.12701833625476"/>
    <n v="227.53897547400734"/>
    <n v="0"/>
    <n v="33.479500000000002"/>
    <n v="12.138500000000001"/>
    <n v="0"/>
    <n v="40.261254757779703"/>
    <n v="11.376948773700368"/>
  </r>
  <r>
    <s v="Regular"/>
    <x v="4"/>
    <x v="3"/>
    <x v="0"/>
    <x v="0"/>
    <x v="0"/>
    <x v="0"/>
    <x v="3"/>
    <x v="2"/>
    <n v="0"/>
    <n v="0"/>
    <n v="0.41899999999999998"/>
    <n v="0.41899999999999998"/>
    <n v="0.41899999999999998"/>
    <n v="0.41899999999999998"/>
    <n v="0"/>
    <x v="0"/>
    <n v="0"/>
    <n v="0"/>
    <n v="56"/>
    <n v="97"/>
    <n v="0"/>
    <n v="669.59"/>
    <n v="242.77"/>
    <m/>
    <n v="805.12701833625476"/>
    <n v="227.53897547400734"/>
    <n v="0"/>
    <n v="280.55820999999997"/>
    <n v="101.72063"/>
    <n v="0"/>
    <n v="337.38931487019386"/>
    <n v="95.338830723609078"/>
  </r>
  <r>
    <s v="Sistema de Compensação"/>
    <x v="4"/>
    <x v="3"/>
    <x v="0"/>
    <x v="0"/>
    <x v="0"/>
    <x v="0"/>
    <x v="3"/>
    <x v="2"/>
    <n v="0"/>
    <n v="0"/>
    <n v="4.7E-2"/>
    <n v="4.7E-2"/>
    <n v="4.7E-2"/>
    <n v="4.7E-2"/>
    <n v="0"/>
    <x v="0"/>
    <n v="0"/>
    <n v="0"/>
    <n v="56"/>
    <n v="97"/>
    <n v="0"/>
    <n v="669.59"/>
    <n v="242.77"/>
    <m/>
    <n v="805.12701833625476"/>
    <n v="227.53897547400734"/>
    <n v="0"/>
    <n v="31.470730000000003"/>
    <n v="11.41019"/>
    <n v="0"/>
    <n v="37.84557947231292"/>
    <n v="10.694331847278345"/>
  </r>
  <r>
    <s v="Regular"/>
    <x v="4"/>
    <x v="3"/>
    <x v="0"/>
    <x v="0"/>
    <x v="0"/>
    <x v="0"/>
    <x v="3"/>
    <x v="3"/>
    <n v="0"/>
    <n v="0"/>
    <n v="0.39400000000000002"/>
    <n v="0.39400000000000002"/>
    <n v="0.39400000000000002"/>
    <n v="0.39400000000000002"/>
    <n v="0"/>
    <x v="0"/>
    <n v="0"/>
    <n v="0"/>
    <n v="56"/>
    <n v="97"/>
    <n v="0"/>
    <n v="669.59"/>
    <n v="242.77"/>
    <m/>
    <n v="805.12701833625476"/>
    <n v="227.53897547400734"/>
    <n v="0"/>
    <n v="263.81846000000002"/>
    <n v="95.651380000000003"/>
    <n v="0"/>
    <n v="317.25868749130404"/>
    <n v="89.650356336758904"/>
  </r>
  <r>
    <s v="Regular"/>
    <x v="4"/>
    <x v="3"/>
    <x v="0"/>
    <x v="0"/>
    <x v="0"/>
    <x v="0"/>
    <x v="3"/>
    <x v="10"/>
    <n v="0"/>
    <n v="0"/>
    <n v="0.496"/>
    <n v="0.496"/>
    <n v="0.496"/>
    <n v="0.496"/>
    <n v="0"/>
    <x v="0"/>
    <n v="0"/>
    <n v="0"/>
    <n v="56"/>
    <n v="97"/>
    <n v="0"/>
    <n v="669.59"/>
    <n v="242.77"/>
    <m/>
    <n v="805.12701833625476"/>
    <n v="227.53897547400734"/>
    <n v="0"/>
    <n v="332.11664000000002"/>
    <n v="120.41392"/>
    <n v="0"/>
    <n v="399.39164719717462"/>
    <n v="112.85933183510764"/>
  </r>
  <r>
    <s v="PROJETADO"/>
    <x v="4"/>
    <x v="3"/>
    <x v="0"/>
    <x v="0"/>
    <x v="0"/>
    <x v="0"/>
    <x v="3"/>
    <x v="11"/>
    <n v="0"/>
    <n v="0"/>
    <n v="0.496"/>
    <n v="0.496"/>
    <n v="0.496"/>
    <n v="0.496"/>
    <n v="0"/>
    <x v="0"/>
    <n v="0"/>
    <n v="0"/>
    <n v="56"/>
    <n v="97"/>
    <n v="0"/>
    <n v="669.59"/>
    <n v="242.77"/>
    <m/>
    <n v="805.12701833625476"/>
    <n v="227.53897547400734"/>
    <n v="0"/>
    <n v="332.11664000000002"/>
    <n v="120.41392"/>
    <n v="0"/>
    <n v="399.39164719717462"/>
    <n v="112.85933183510764"/>
  </r>
  <r>
    <s v="Regular"/>
    <x v="4"/>
    <x v="3"/>
    <x v="0"/>
    <x v="0"/>
    <x v="0"/>
    <x v="0"/>
    <x v="1"/>
    <x v="4"/>
    <n v="0"/>
    <n v="0"/>
    <n v="0.64600000000000002"/>
    <n v="0.64600000000000002"/>
    <n v="0.64600000000000002"/>
    <n v="0.64600000000000002"/>
    <n v="0"/>
    <x v="0"/>
    <n v="0"/>
    <n v="0"/>
    <n v="55"/>
    <n v="96"/>
    <n v="0"/>
    <n v="1043.57"/>
    <n v="391.54"/>
    <m/>
    <n v="1220.9462383439195"/>
    <n v="364.92243737572466"/>
    <n v="0"/>
    <n v="674.14621999999997"/>
    <n v="252.93484000000001"/>
    <n v="0"/>
    <n v="788.83686609691915"/>
    <n v="235.73989454471814"/>
  </r>
  <r>
    <s v="Regular"/>
    <x v="4"/>
    <x v="3"/>
    <x v="0"/>
    <x v="0"/>
    <x v="0"/>
    <x v="0"/>
    <x v="1"/>
    <x v="5"/>
    <n v="0"/>
    <n v="0"/>
    <n v="0.60799999999999998"/>
    <n v="0.60799999999999998"/>
    <n v="0.60799999999999998"/>
    <n v="0.60799999999999998"/>
    <n v="0"/>
    <x v="0"/>
    <n v="0"/>
    <n v="0"/>
    <n v="55"/>
    <n v="96"/>
    <n v="0"/>
    <n v="1043.57"/>
    <n v="391.54"/>
    <m/>
    <n v="1220.9462383439195"/>
    <n v="364.92243737572466"/>
    <n v="0"/>
    <n v="634.49055999999996"/>
    <n v="238.05632"/>
    <n v="0"/>
    <n v="742.43469750298266"/>
    <n v="221.87284192444059"/>
  </r>
  <r>
    <s v="Regular"/>
    <x v="4"/>
    <x v="3"/>
    <x v="0"/>
    <x v="0"/>
    <x v="0"/>
    <x v="0"/>
    <x v="1"/>
    <x v="0"/>
    <n v="0"/>
    <n v="0"/>
    <n v="0.73899999999999999"/>
    <n v="0.73899999999999999"/>
    <n v="0.73899999999999999"/>
    <n v="0.73899999999999999"/>
    <n v="0"/>
    <x v="0"/>
    <n v="0"/>
    <n v="0"/>
    <n v="55"/>
    <n v="96"/>
    <n v="0"/>
    <n v="1043.57"/>
    <n v="391.54"/>
    <m/>
    <n v="1220.9462383439195"/>
    <n v="364.92243737572466"/>
    <n v="0"/>
    <n v="771.19822999999997"/>
    <n v="289.34806000000003"/>
    <n v="0"/>
    <n v="902.40006818207928"/>
    <n v="269.67768122066053"/>
  </r>
  <r>
    <s v="Regular"/>
    <x v="4"/>
    <x v="3"/>
    <x v="0"/>
    <x v="0"/>
    <x v="0"/>
    <x v="0"/>
    <x v="1"/>
    <x v="6"/>
    <n v="0"/>
    <n v="0"/>
    <n v="0.72"/>
    <n v="0.72"/>
    <n v="0.72"/>
    <n v="0.72"/>
    <n v="0"/>
    <x v="0"/>
    <n v="0"/>
    <n v="0"/>
    <n v="55"/>
    <n v="96"/>
    <n v="0"/>
    <n v="1043.57"/>
    <n v="391.54"/>
    <m/>
    <n v="1220.9462383439195"/>
    <n v="364.92243737572466"/>
    <n v="0"/>
    <n v="751.3703999999999"/>
    <n v="281.90879999999999"/>
    <n v="0"/>
    <n v="879.19898388511103"/>
    <n v="262.74415491052173"/>
  </r>
  <r>
    <s v="Regular"/>
    <x v="4"/>
    <x v="3"/>
    <x v="0"/>
    <x v="0"/>
    <x v="0"/>
    <x v="0"/>
    <x v="1"/>
    <x v="7"/>
    <n v="0"/>
    <n v="0"/>
    <n v="0.59799999999999998"/>
    <n v="0.59799999999999998"/>
    <n v="0.59799999999999998"/>
    <n v="0.59799999999999998"/>
    <n v="0"/>
    <x v="0"/>
    <n v="0"/>
    <n v="0"/>
    <n v="55"/>
    <n v="96"/>
    <n v="0"/>
    <n v="1043.57"/>
    <n v="391.54"/>
    <m/>
    <n v="1220.9462383439195"/>
    <n v="364.92243737572466"/>
    <n v="0"/>
    <n v="624.05485999999996"/>
    <n v="234.14091999999999"/>
    <n v="0"/>
    <n v="730.22360050457837"/>
    <n v="218.22361755068334"/>
  </r>
  <r>
    <s v="Regular"/>
    <x v="4"/>
    <x v="3"/>
    <x v="0"/>
    <x v="0"/>
    <x v="0"/>
    <x v="0"/>
    <x v="1"/>
    <x v="8"/>
    <n v="0"/>
    <n v="0"/>
    <n v="0.82699999999999996"/>
    <n v="0.82699999999999996"/>
    <n v="0.82699999999999996"/>
    <n v="0.82699999999999996"/>
    <n v="0"/>
    <x v="0"/>
    <n v="0"/>
    <n v="0"/>
    <n v="55"/>
    <n v="96"/>
    <n v="0"/>
    <n v="1043.57"/>
    <n v="391.54"/>
    <m/>
    <n v="1220.9462383439195"/>
    <n v="364.92243737572466"/>
    <n v="0"/>
    <n v="863.03238999999985"/>
    <n v="323.80358000000001"/>
    <n v="0"/>
    <n v="1009.8577217680373"/>
    <n v="301.79085570972427"/>
  </r>
  <r>
    <s v="Regular"/>
    <x v="4"/>
    <x v="3"/>
    <x v="0"/>
    <x v="0"/>
    <x v="0"/>
    <x v="0"/>
    <x v="1"/>
    <x v="9"/>
    <n v="0"/>
    <n v="0"/>
    <n v="0.752"/>
    <n v="0.752"/>
    <n v="0.752"/>
    <n v="0.752"/>
    <n v="0"/>
    <x v="0"/>
    <n v="0"/>
    <n v="0"/>
    <n v="55"/>
    <n v="96"/>
    <n v="0"/>
    <n v="1043.57"/>
    <n v="391.54"/>
    <m/>
    <n v="1220.9462383439195"/>
    <n v="364.92243737572466"/>
    <n v="0"/>
    <n v="784.76463999999999"/>
    <n v="294.43808000000001"/>
    <n v="0"/>
    <n v="918.27449428000489"/>
    <n v="274.42167290654493"/>
  </r>
  <r>
    <s v="Regular"/>
    <x v="4"/>
    <x v="3"/>
    <x v="0"/>
    <x v="0"/>
    <x v="0"/>
    <x v="0"/>
    <x v="1"/>
    <x v="1"/>
    <n v="0"/>
    <n v="0"/>
    <n v="0.59899999999999998"/>
    <n v="0.59899999999999998"/>
    <n v="0.59899999999999998"/>
    <n v="0.59899999999999998"/>
    <n v="0"/>
    <x v="0"/>
    <n v="0"/>
    <n v="0"/>
    <n v="55"/>
    <n v="96"/>
    <n v="0"/>
    <n v="1043.57"/>
    <n v="391.54"/>
    <m/>
    <n v="1220.9462383439195"/>
    <n v="364.92243737572466"/>
    <n v="0"/>
    <n v="625.09842999999989"/>
    <n v="234.53246000000001"/>
    <n v="0"/>
    <n v="731.44471020441881"/>
    <n v="218.58853998805907"/>
  </r>
  <r>
    <s v="Sistema de Compensação"/>
    <x v="4"/>
    <x v="3"/>
    <x v="0"/>
    <x v="0"/>
    <x v="0"/>
    <x v="0"/>
    <x v="1"/>
    <x v="1"/>
    <n v="0"/>
    <n v="0"/>
    <n v="6.4000000000000001E-2"/>
    <n v="6.4000000000000001E-2"/>
    <n v="6.4000000000000001E-2"/>
    <n v="6.4000000000000001E-2"/>
    <n v="0"/>
    <x v="0"/>
    <n v="0"/>
    <n v="0"/>
    <n v="55"/>
    <n v="96"/>
    <n v="0"/>
    <n v="1043.57"/>
    <n v="391.54"/>
    <m/>
    <n v="1220.9462383439195"/>
    <n v="364.92243737572466"/>
    <n v="0"/>
    <n v="66.788479999999993"/>
    <n v="25.058560000000003"/>
    <n v="0"/>
    <n v="78.151020789787651"/>
    <n v="23.355035992046378"/>
  </r>
  <r>
    <s v="Regular"/>
    <x v="4"/>
    <x v="3"/>
    <x v="0"/>
    <x v="0"/>
    <x v="0"/>
    <x v="0"/>
    <x v="1"/>
    <x v="2"/>
    <n v="0"/>
    <n v="0"/>
    <n v="0.56699999999999995"/>
    <n v="0.56699999999999995"/>
    <n v="0.56699999999999995"/>
    <n v="0.56699999999999995"/>
    <n v="0"/>
    <x v="0"/>
    <n v="0"/>
    <n v="0"/>
    <n v="55"/>
    <n v="96"/>
    <n v="0"/>
    <n v="1043.57"/>
    <n v="391.54"/>
    <m/>
    <n v="1220.9462383439195"/>
    <n v="364.92243737572466"/>
    <n v="0"/>
    <n v="591.70418999999993"/>
    <n v="222.00317999999999"/>
    <n v="0"/>
    <n v="692.36919980952496"/>
    <n v="206.91102199203587"/>
  </r>
  <r>
    <s v="Sistema de Compensação"/>
    <x v="4"/>
    <x v="3"/>
    <x v="0"/>
    <x v="0"/>
    <x v="0"/>
    <x v="0"/>
    <x v="1"/>
    <x v="2"/>
    <n v="0"/>
    <n v="0"/>
    <n v="3.2000000000000001E-2"/>
    <n v="3.2000000000000001E-2"/>
    <n v="3.2000000000000001E-2"/>
    <n v="3.2000000000000001E-2"/>
    <n v="0"/>
    <x v="0"/>
    <n v="0"/>
    <n v="0"/>
    <n v="55"/>
    <n v="96"/>
    <n v="0"/>
    <n v="1043.57"/>
    <n v="391.54"/>
    <m/>
    <n v="1220.9462383439195"/>
    <n v="364.92243737572466"/>
    <n v="0"/>
    <n v="33.394239999999996"/>
    <n v="12.529280000000002"/>
    <n v="0"/>
    <n v="39.075510394893826"/>
    <n v="11.677517996023189"/>
  </r>
  <r>
    <s v="Regular"/>
    <x v="4"/>
    <x v="3"/>
    <x v="0"/>
    <x v="0"/>
    <x v="0"/>
    <x v="0"/>
    <x v="1"/>
    <x v="3"/>
    <n v="0"/>
    <n v="0"/>
    <n v="0.52400000000000002"/>
    <n v="0.52400000000000002"/>
    <n v="0.52400000000000002"/>
    <n v="0.52400000000000002"/>
    <n v="0"/>
    <x v="0"/>
    <n v="0"/>
    <n v="0"/>
    <n v="55"/>
    <n v="96"/>
    <n v="0"/>
    <n v="1043.57"/>
    <n v="391.54"/>
    <m/>
    <n v="1220.9462383439195"/>
    <n v="364.92243737572466"/>
    <n v="0"/>
    <n v="546.83068000000003"/>
    <n v="205.16696000000002"/>
    <n v="0"/>
    <n v="639.86148271638649"/>
    <n v="191.21935718487973"/>
  </r>
  <r>
    <s v="Regular"/>
    <x v="4"/>
    <x v="3"/>
    <x v="0"/>
    <x v="0"/>
    <x v="0"/>
    <x v="0"/>
    <x v="1"/>
    <x v="10"/>
    <n v="0"/>
    <n v="0"/>
    <n v="0.65200000000000002"/>
    <n v="0.65200000000000002"/>
    <n v="0.65200000000000002"/>
    <n v="0.65200000000000002"/>
    <n v="0"/>
    <x v="0"/>
    <n v="0"/>
    <n v="0"/>
    <n v="55"/>
    <n v="96"/>
    <n v="0"/>
    <n v="1043.57"/>
    <n v="391.54"/>
    <m/>
    <n v="1220.9462383439195"/>
    <n v="364.92243737572466"/>
    <n v="0"/>
    <n v="680.40764000000001"/>
    <n v="255.28408000000002"/>
    <n v="0"/>
    <n v="796.16352429596179"/>
    <n v="237.92942916897249"/>
  </r>
  <r>
    <s v="PROJETADO"/>
    <x v="4"/>
    <x v="3"/>
    <x v="0"/>
    <x v="0"/>
    <x v="0"/>
    <x v="0"/>
    <x v="1"/>
    <x v="11"/>
    <n v="0"/>
    <n v="0"/>
    <n v="0.65200000000000002"/>
    <n v="0.65200000000000002"/>
    <n v="0.65200000000000002"/>
    <n v="0.65200000000000002"/>
    <n v="0"/>
    <x v="0"/>
    <n v="0"/>
    <n v="0"/>
    <n v="55"/>
    <n v="96"/>
    <n v="0"/>
    <n v="1043.57"/>
    <n v="391.54"/>
    <m/>
    <n v="1220.9462383439195"/>
    <n v="364.92243737572466"/>
    <n v="0"/>
    <n v="680.40764000000001"/>
    <n v="255.28408000000002"/>
    <n v="0"/>
    <n v="796.16352429596179"/>
    <n v="237.92942916897249"/>
  </r>
  <r>
    <s v="Regular"/>
    <x v="4"/>
    <x v="3"/>
    <x v="5"/>
    <x v="0"/>
    <x v="0"/>
    <x v="0"/>
    <x v="0"/>
    <x v="4"/>
    <n v="0"/>
    <n v="0"/>
    <n v="6.8019999999999996"/>
    <n v="6.8019999999999996"/>
    <n v="6.8019999999999996"/>
    <n v="6.8019999999999996"/>
    <n v="0"/>
    <x v="0"/>
    <n v="0"/>
    <n v="0"/>
    <n v="57"/>
    <n v="98"/>
    <n v="0"/>
    <n v="295.61"/>
    <n v="242.77"/>
    <m/>
    <n v="389.30792678934722"/>
    <n v="227.53897547400734"/>
    <n v="0"/>
    <n v="2010.7392199999999"/>
    <n v="1651.3215399999999"/>
    <n v="0"/>
    <n v="2648.2948905365533"/>
    <n v="1547.7201111741979"/>
  </r>
  <r>
    <s v="Regular"/>
    <x v="4"/>
    <x v="3"/>
    <x v="5"/>
    <x v="0"/>
    <x v="0"/>
    <x v="0"/>
    <x v="0"/>
    <x v="5"/>
    <n v="0"/>
    <n v="0"/>
    <n v="6.032"/>
    <n v="6.032"/>
    <n v="6.032"/>
    <n v="6.032"/>
    <n v="0"/>
    <x v="0"/>
    <n v="0"/>
    <n v="0"/>
    <n v="57"/>
    <n v="98"/>
    <n v="0"/>
    <n v="295.61"/>
    <n v="242.77"/>
    <m/>
    <n v="389.30792678934722"/>
    <n v="227.53897547400734"/>
    <n v="0"/>
    <n v="1783.1195200000002"/>
    <n v="1464.3886400000001"/>
    <n v="0"/>
    <n v="2348.5026138953967"/>
    <n v="1372.5151000592123"/>
  </r>
  <r>
    <s v="Regular"/>
    <x v="4"/>
    <x v="3"/>
    <x v="5"/>
    <x v="0"/>
    <x v="0"/>
    <x v="0"/>
    <x v="0"/>
    <x v="0"/>
    <n v="0"/>
    <n v="0"/>
    <n v="6.2839999999999998"/>
    <n v="6.2839999999999998"/>
    <n v="6.2839999999999998"/>
    <n v="6.2839999999999998"/>
    <n v="0"/>
    <x v="0"/>
    <n v="0"/>
    <n v="0"/>
    <n v="57"/>
    <n v="98"/>
    <n v="0"/>
    <n v="295.61"/>
    <n v="242.77"/>
    <m/>
    <n v="389.30792678934722"/>
    <n v="227.53897547400734"/>
    <n v="0"/>
    <n v="1857.6132400000001"/>
    <n v="1525.5666799999999"/>
    <n v="0"/>
    <n v="2446.616449887048"/>
    <n v="1429.854921878662"/>
  </r>
  <r>
    <s v="Regular"/>
    <x v="4"/>
    <x v="3"/>
    <x v="5"/>
    <x v="0"/>
    <x v="0"/>
    <x v="0"/>
    <x v="0"/>
    <x v="6"/>
    <n v="0"/>
    <n v="0"/>
    <n v="5.7450000000000001"/>
    <n v="5.7450000000000001"/>
    <n v="5.7450000000000001"/>
    <n v="5.7450000000000001"/>
    <n v="0"/>
    <x v="0"/>
    <n v="0"/>
    <n v="0"/>
    <n v="57"/>
    <n v="98"/>
    <n v="0"/>
    <n v="295.61"/>
    <n v="242.77"/>
    <m/>
    <n v="389.30792678934722"/>
    <n v="227.53897547400734"/>
    <n v="0"/>
    <n v="1698.27945"/>
    <n v="1394.7136500000001"/>
    <n v="0"/>
    <n v="2236.7618562382386"/>
    <n v="1307.2114140981723"/>
  </r>
  <r>
    <s v="Regular"/>
    <x v="4"/>
    <x v="3"/>
    <x v="5"/>
    <x v="0"/>
    <x v="0"/>
    <x v="0"/>
    <x v="0"/>
    <x v="7"/>
    <n v="0"/>
    <n v="0"/>
    <n v="4.883"/>
    <n v="4.883"/>
    <n v="4.883"/>
    <n v="4.883"/>
    <n v="0"/>
    <x v="0"/>
    <n v="0"/>
    <n v="0"/>
    <n v="57"/>
    <n v="98"/>
    <n v="0"/>
    <n v="295.61"/>
    <n v="242.77"/>
    <m/>
    <n v="389.30792678934722"/>
    <n v="227.53897547400734"/>
    <n v="0"/>
    <n v="1443.46363"/>
    <n v="1185.4459100000001"/>
    <n v="0"/>
    <n v="1901.1502426477491"/>
    <n v="1111.0728172395779"/>
  </r>
  <r>
    <s v="Regular"/>
    <x v="4"/>
    <x v="3"/>
    <x v="5"/>
    <x v="0"/>
    <x v="0"/>
    <x v="0"/>
    <x v="0"/>
    <x v="8"/>
    <n v="0"/>
    <n v="0"/>
    <n v="6.9420000000000002"/>
    <n v="6.9420000000000002"/>
    <n v="6.9420000000000002"/>
    <n v="6.9420000000000002"/>
    <n v="0"/>
    <x v="0"/>
    <n v="0"/>
    <n v="0"/>
    <n v="57"/>
    <n v="98"/>
    <n v="0"/>
    <n v="295.61"/>
    <n v="242.77"/>
    <m/>
    <n v="389.30792678934722"/>
    <n v="227.53897547400734"/>
    <n v="0"/>
    <n v="2052.12462"/>
    <n v="1685.30934"/>
    <n v="0"/>
    <n v="2702.8025771985817"/>
    <n v="1579.5755677405591"/>
  </r>
  <r>
    <s v="Regular"/>
    <x v="4"/>
    <x v="3"/>
    <x v="5"/>
    <x v="0"/>
    <x v="0"/>
    <x v="0"/>
    <x v="0"/>
    <x v="9"/>
    <n v="0"/>
    <n v="0"/>
    <n v="6.66"/>
    <n v="6.66"/>
    <n v="6.66"/>
    <n v="6.66"/>
    <n v="0"/>
    <x v="0"/>
    <n v="0"/>
    <n v="0"/>
    <n v="57"/>
    <n v="98"/>
    <n v="0"/>
    <n v="295.61"/>
    <n v="242.77"/>
    <m/>
    <n v="389.30792678934722"/>
    <n v="227.53897547400734"/>
    <n v="0"/>
    <n v="1968.7626"/>
    <n v="1616.8482000000001"/>
    <n v="0"/>
    <n v="2593.0085226364959"/>
    <n v="1515.4095766568889"/>
  </r>
  <r>
    <s v="Regular"/>
    <x v="4"/>
    <x v="3"/>
    <x v="5"/>
    <x v="0"/>
    <x v="0"/>
    <x v="0"/>
    <x v="0"/>
    <x v="1"/>
    <n v="0"/>
    <n v="0"/>
    <n v="4.3639999999999999"/>
    <n v="4.3639999999999999"/>
    <n v="4.3639999999999999"/>
    <n v="4.3639999999999999"/>
    <n v="0"/>
    <x v="0"/>
    <n v="0"/>
    <n v="0"/>
    <n v="57"/>
    <n v="98"/>
    <n v="0"/>
    <n v="295.61"/>
    <n v="242.77"/>
    <m/>
    <n v="389.30792678934722"/>
    <n v="227.53897547400734"/>
    <n v="0"/>
    <n v="1290.04204"/>
    <n v="1059.4482800000001"/>
    <n v="0"/>
    <n v="1699.0824613792295"/>
    <n v="992.980088968568"/>
  </r>
  <r>
    <s v="Regular"/>
    <x v="4"/>
    <x v="3"/>
    <x v="5"/>
    <x v="0"/>
    <x v="0"/>
    <x v="0"/>
    <x v="0"/>
    <x v="2"/>
    <n v="0"/>
    <n v="0"/>
    <n v="4.2699999999999996"/>
    <n v="4.2699999999999996"/>
    <n v="4.2699999999999996"/>
    <n v="4.2699999999999996"/>
    <n v="0"/>
    <x v="0"/>
    <n v="0"/>
    <n v="0"/>
    <n v="57"/>
    <n v="98"/>
    <n v="0"/>
    <n v="295.61"/>
    <n v="242.77"/>
    <m/>
    <n v="389.30792678934722"/>
    <n v="227.53897547400734"/>
    <n v="0"/>
    <n v="1262.2547"/>
    <n v="1036.6279"/>
    <n v="0"/>
    <n v="1662.4844431918673"/>
    <n v="971.59142527401127"/>
  </r>
  <r>
    <s v="Regular"/>
    <x v="4"/>
    <x v="3"/>
    <x v="5"/>
    <x v="0"/>
    <x v="0"/>
    <x v="0"/>
    <x v="0"/>
    <x v="3"/>
    <n v="0"/>
    <n v="0"/>
    <n v="3.8069999999999999"/>
    <n v="3.8069999999999999"/>
    <n v="3.8069999999999999"/>
    <n v="3.8069999999999999"/>
    <n v="0"/>
    <x v="0"/>
    <n v="0"/>
    <n v="0"/>
    <n v="57"/>
    <n v="98"/>
    <n v="0"/>
    <n v="295.61"/>
    <n v="242.77"/>
    <m/>
    <n v="389.30792678934722"/>
    <n v="227.53897547400734"/>
    <n v="0"/>
    <n v="1125.3872699999999"/>
    <n v="924.22539000000006"/>
    <n v="0"/>
    <n v="1482.2197365881591"/>
    <n v="866.24087962954593"/>
  </r>
  <r>
    <s v="Regular"/>
    <x v="4"/>
    <x v="3"/>
    <x v="5"/>
    <x v="0"/>
    <x v="0"/>
    <x v="0"/>
    <x v="0"/>
    <x v="10"/>
    <n v="0"/>
    <n v="0"/>
    <n v="5.13"/>
    <n v="5.13"/>
    <n v="5.13"/>
    <n v="5.13"/>
    <n v="0"/>
    <x v="0"/>
    <n v="0"/>
    <n v="0"/>
    <n v="57"/>
    <n v="98"/>
    <n v="0"/>
    <n v="295.61"/>
    <n v="242.77"/>
    <m/>
    <n v="389.30792678934722"/>
    <n v="227.53897547400734"/>
    <n v="0"/>
    <n v="1516.4793"/>
    <n v="1245.4101000000001"/>
    <n v="0"/>
    <n v="1997.3173755443279"/>
    <n v="1167.2749441816577"/>
  </r>
  <r>
    <s v="PROJETADO"/>
    <x v="4"/>
    <x v="3"/>
    <x v="5"/>
    <x v="0"/>
    <x v="0"/>
    <x v="0"/>
    <x v="0"/>
    <x v="11"/>
    <n v="0"/>
    <n v="0"/>
    <n v="5.13"/>
    <n v="5.13"/>
    <n v="5.13"/>
    <n v="5.13"/>
    <n v="0"/>
    <x v="0"/>
    <n v="0"/>
    <n v="0"/>
    <n v="57"/>
    <n v="98"/>
    <n v="0"/>
    <n v="295.61"/>
    <n v="242.77"/>
    <m/>
    <n v="389.30792678934722"/>
    <n v="227.53897547400734"/>
    <n v="0"/>
    <n v="1516.4793"/>
    <n v="1245.4101000000001"/>
    <n v="0"/>
    <n v="1997.3173755443279"/>
    <n v="1167.2749441816577"/>
  </r>
  <r>
    <s v="Regular"/>
    <x v="4"/>
    <x v="3"/>
    <x v="5"/>
    <x v="0"/>
    <x v="0"/>
    <x v="0"/>
    <x v="3"/>
    <x v="4"/>
    <n v="0"/>
    <n v="0"/>
    <n v="0.36099999999999999"/>
    <n v="0.36099999999999999"/>
    <n v="0.36099999999999999"/>
    <n v="0.36099999999999999"/>
    <n v="0"/>
    <x v="0"/>
    <n v="0"/>
    <n v="0"/>
    <n v="56"/>
    <n v="97"/>
    <n v="0"/>
    <n v="669.59"/>
    <n v="242.77"/>
    <m/>
    <n v="805.12701833625476"/>
    <n v="227.53897547400734"/>
    <n v="0"/>
    <n v="241.72199000000001"/>
    <n v="87.639970000000005"/>
    <n v="0"/>
    <n v="290.68625935116944"/>
    <n v="82.141570146116649"/>
  </r>
  <r>
    <s v="Regular"/>
    <x v="4"/>
    <x v="3"/>
    <x v="5"/>
    <x v="0"/>
    <x v="0"/>
    <x v="0"/>
    <x v="3"/>
    <x v="5"/>
    <n v="0"/>
    <n v="0"/>
    <n v="0.29699999999999999"/>
    <n v="0.29699999999999999"/>
    <n v="0.29699999999999999"/>
    <n v="0.29699999999999999"/>
    <n v="0"/>
    <x v="0"/>
    <n v="0"/>
    <n v="0"/>
    <n v="56"/>
    <n v="97"/>
    <n v="0"/>
    <n v="669.59"/>
    <n v="242.77"/>
    <m/>
    <n v="805.12701833625476"/>
    <n v="227.53897547400734"/>
    <n v="0"/>
    <n v="198.86823000000001"/>
    <n v="72.102689999999996"/>
    <n v="0"/>
    <n v="239.15185326121139"/>
    <n v="67.579075715780178"/>
  </r>
  <r>
    <s v="Regular"/>
    <x v="4"/>
    <x v="3"/>
    <x v="5"/>
    <x v="0"/>
    <x v="0"/>
    <x v="0"/>
    <x v="3"/>
    <x v="0"/>
    <n v="0"/>
    <n v="0"/>
    <n v="0.316"/>
    <n v="0.316"/>
    <n v="0.316"/>
    <n v="0.316"/>
    <n v="0"/>
    <x v="0"/>
    <n v="0"/>
    <n v="0"/>
    <n v="56"/>
    <n v="97"/>
    <n v="0"/>
    <n v="669.59"/>
    <n v="242.77"/>
    <m/>
    <n v="805.12701833625476"/>
    <n v="227.53897547400734"/>
    <n v="0"/>
    <n v="211.59044"/>
    <n v="76.715320000000006"/>
    <n v="0"/>
    <n v="254.4511300691677"/>
    <n v="71.902316249786324"/>
  </r>
  <r>
    <s v="Regular"/>
    <x v="4"/>
    <x v="3"/>
    <x v="5"/>
    <x v="0"/>
    <x v="0"/>
    <x v="0"/>
    <x v="3"/>
    <x v="6"/>
    <n v="0"/>
    <n v="0"/>
    <n v="0.31900000000000001"/>
    <n v="0.31900000000000001"/>
    <n v="0.31900000000000001"/>
    <n v="0.31900000000000001"/>
    <n v="0"/>
    <x v="0"/>
    <n v="0"/>
    <n v="0"/>
    <n v="56"/>
    <n v="97"/>
    <n v="0"/>
    <n v="669.59"/>
    <n v="242.77"/>
    <m/>
    <n v="805.12701833625476"/>
    <n v="227.53897547400734"/>
    <n v="0"/>
    <n v="213.59921000000003"/>
    <n v="77.443629999999999"/>
    <n v="0"/>
    <n v="256.86680535463449"/>
    <n v="72.584933176208338"/>
  </r>
  <r>
    <s v="Regular"/>
    <x v="4"/>
    <x v="3"/>
    <x v="5"/>
    <x v="0"/>
    <x v="0"/>
    <x v="0"/>
    <x v="3"/>
    <x v="7"/>
    <n v="0"/>
    <n v="0"/>
    <n v="0.27800000000000002"/>
    <n v="0.27800000000000002"/>
    <n v="0.27800000000000002"/>
    <n v="0.27800000000000002"/>
    <n v="0"/>
    <x v="0"/>
    <n v="0"/>
    <n v="0"/>
    <n v="56"/>
    <n v="97"/>
    <n v="0"/>
    <n v="669.59"/>
    <n v="242.77"/>
    <m/>
    <n v="805.12701833625476"/>
    <n v="227.53897547400734"/>
    <n v="0"/>
    <n v="186.14602000000002"/>
    <n v="67.490060000000014"/>
    <n v="0"/>
    <n v="223.85257645325515"/>
    <n v="63.255835181774046"/>
  </r>
  <r>
    <s v="Regular"/>
    <x v="4"/>
    <x v="3"/>
    <x v="5"/>
    <x v="0"/>
    <x v="0"/>
    <x v="0"/>
    <x v="3"/>
    <x v="8"/>
    <n v="0"/>
    <n v="0"/>
    <n v="0.377"/>
    <n v="0.377"/>
    <n v="0.377"/>
    <n v="0.377"/>
    <n v="0"/>
    <x v="0"/>
    <n v="0"/>
    <n v="0"/>
    <n v="56"/>
    <n v="97"/>
    <n v="0"/>
    <n v="669.59"/>
    <n v="242.77"/>
    <m/>
    <n v="805.12701833625476"/>
    <n v="227.53897547400734"/>
    <n v="0"/>
    <n v="252.43543000000003"/>
    <n v="91.524290000000008"/>
    <n v="0"/>
    <n v="303.56986087365891"/>
    <n v="85.782193753700767"/>
  </r>
  <r>
    <s v="Regular"/>
    <x v="4"/>
    <x v="3"/>
    <x v="5"/>
    <x v="0"/>
    <x v="0"/>
    <x v="0"/>
    <x v="3"/>
    <x v="9"/>
    <n v="0"/>
    <n v="0"/>
    <n v="0.307"/>
    <n v="0.307"/>
    <n v="0.307"/>
    <n v="0.307"/>
    <n v="0"/>
    <x v="0"/>
    <n v="0"/>
    <n v="0"/>
    <n v="56"/>
    <n v="97"/>
    <n v="0"/>
    <n v="669.59"/>
    <n v="242.77"/>
    <m/>
    <n v="805.12701833625476"/>
    <n v="227.53897547400734"/>
    <n v="0"/>
    <n v="205.56413000000001"/>
    <n v="74.530389999999997"/>
    <n v="0"/>
    <n v="247.20410421276733"/>
    <n v="69.854465470520253"/>
  </r>
  <r>
    <s v="Regular"/>
    <x v="4"/>
    <x v="3"/>
    <x v="5"/>
    <x v="0"/>
    <x v="0"/>
    <x v="0"/>
    <x v="3"/>
    <x v="1"/>
    <n v="0"/>
    <n v="0"/>
    <n v="0.23899999999999999"/>
    <n v="0.23899999999999999"/>
    <n v="0.23899999999999999"/>
    <n v="0.23899999999999999"/>
    <n v="0"/>
    <x v="0"/>
    <n v="0"/>
    <n v="0"/>
    <n v="56"/>
    <n v="97"/>
    <n v="0"/>
    <n v="669.59"/>
    <n v="242.77"/>
    <m/>
    <n v="805.12701833625476"/>
    <n v="227.53897547400734"/>
    <n v="0"/>
    <n v="160.03201000000001"/>
    <n v="58.022030000000001"/>
    <n v="0"/>
    <n v="192.44879774218694"/>
    <n v="54.381815138287756"/>
  </r>
  <r>
    <s v="Regular"/>
    <x v="4"/>
    <x v="3"/>
    <x v="5"/>
    <x v="0"/>
    <x v="0"/>
    <x v="0"/>
    <x v="3"/>
    <x v="2"/>
    <n v="0"/>
    <n v="0"/>
    <n v="0.26900000000000002"/>
    <n v="0.26900000000000002"/>
    <n v="0.26900000000000002"/>
    <n v="0.26900000000000002"/>
    <n v="0"/>
    <x v="0"/>
    <n v="0"/>
    <n v="0"/>
    <n v="56"/>
    <n v="97"/>
    <n v="0"/>
    <n v="669.59"/>
    <n v="242.77"/>
    <m/>
    <n v="805.12701833625476"/>
    <n v="227.53897547400734"/>
    <n v="0"/>
    <n v="180.11971000000003"/>
    <n v="65.305130000000005"/>
    <n v="0"/>
    <n v="216.60555059685478"/>
    <n v="61.207984402507982"/>
  </r>
  <r>
    <s v="Regular"/>
    <x v="4"/>
    <x v="3"/>
    <x v="5"/>
    <x v="0"/>
    <x v="0"/>
    <x v="0"/>
    <x v="3"/>
    <x v="3"/>
    <n v="0"/>
    <n v="0"/>
    <n v="0.26500000000000001"/>
    <n v="0.26500000000000001"/>
    <n v="0.26500000000000001"/>
    <n v="0.26500000000000001"/>
    <n v="0"/>
    <x v="0"/>
    <n v="0"/>
    <n v="0"/>
    <n v="56"/>
    <n v="97"/>
    <n v="0"/>
    <n v="669.59"/>
    <n v="242.77"/>
    <m/>
    <n v="805.12701833625476"/>
    <n v="227.53897547400734"/>
    <n v="0"/>
    <n v="177.44135000000003"/>
    <n v="64.334050000000005"/>
    <n v="0"/>
    <n v="213.38465021623242"/>
    <n v="60.297828500611949"/>
  </r>
  <r>
    <s v="Regular"/>
    <x v="4"/>
    <x v="3"/>
    <x v="5"/>
    <x v="0"/>
    <x v="0"/>
    <x v="0"/>
    <x v="3"/>
    <x v="10"/>
    <n v="0"/>
    <n v="0"/>
    <n v="0.27700000000000002"/>
    <n v="0.27700000000000002"/>
    <n v="0.27700000000000002"/>
    <n v="0.27700000000000002"/>
    <n v="0"/>
    <x v="0"/>
    <n v="0"/>
    <n v="0"/>
    <n v="56"/>
    <n v="97"/>
    <n v="0"/>
    <n v="669.59"/>
    <n v="242.77"/>
    <m/>
    <n v="805.12701833625476"/>
    <n v="227.53897547400734"/>
    <n v="0"/>
    <n v="185.47643000000002"/>
    <n v="67.247290000000007"/>
    <n v="0"/>
    <n v="223.04735135809955"/>
    <n v="63.028296206300041"/>
  </r>
  <r>
    <s v="PROJETADO"/>
    <x v="4"/>
    <x v="3"/>
    <x v="5"/>
    <x v="0"/>
    <x v="0"/>
    <x v="0"/>
    <x v="3"/>
    <x v="11"/>
    <n v="0"/>
    <n v="0"/>
    <n v="0.27700000000000002"/>
    <n v="0.27700000000000002"/>
    <n v="0.27700000000000002"/>
    <n v="0.27700000000000002"/>
    <n v="0"/>
    <x v="0"/>
    <n v="0"/>
    <n v="0"/>
    <n v="56"/>
    <n v="97"/>
    <n v="0"/>
    <n v="669.59"/>
    <n v="242.77"/>
    <m/>
    <n v="805.12701833625476"/>
    <n v="227.53897547400734"/>
    <n v="0"/>
    <n v="185.47643000000002"/>
    <n v="67.247290000000007"/>
    <n v="0"/>
    <n v="223.04735135809955"/>
    <n v="63.028296206300041"/>
  </r>
  <r>
    <s v="Regular"/>
    <x v="4"/>
    <x v="3"/>
    <x v="5"/>
    <x v="0"/>
    <x v="0"/>
    <x v="0"/>
    <x v="1"/>
    <x v="4"/>
    <n v="0"/>
    <n v="0"/>
    <n v="0.21099999999999999"/>
    <n v="0.21099999999999999"/>
    <n v="0.21099999999999999"/>
    <n v="0.21099999999999999"/>
    <n v="0"/>
    <x v="0"/>
    <n v="0"/>
    <n v="0"/>
    <n v="55"/>
    <n v="96"/>
    <n v="0"/>
    <n v="1043.57"/>
    <n v="391.54"/>
    <m/>
    <n v="1220.9462383439195"/>
    <n v="364.92243737572466"/>
    <n v="0"/>
    <n v="220.19326999999998"/>
    <n v="82.614940000000004"/>
    <n v="0"/>
    <n v="257.65414666633114"/>
    <n v="76.998634286277905"/>
  </r>
  <r>
    <s v="Regular"/>
    <x v="4"/>
    <x v="3"/>
    <x v="5"/>
    <x v="0"/>
    <x v="0"/>
    <x v="0"/>
    <x v="1"/>
    <x v="5"/>
    <n v="0"/>
    <n v="0"/>
    <n v="0.2"/>
    <n v="0.2"/>
    <n v="0.2"/>
    <n v="0.2"/>
    <n v="0"/>
    <x v="0"/>
    <n v="0"/>
    <n v="0"/>
    <n v="55"/>
    <n v="96"/>
    <n v="0"/>
    <n v="1043.57"/>
    <n v="391.54"/>
    <m/>
    <n v="1220.9462383439195"/>
    <n v="364.92243737572466"/>
    <n v="0"/>
    <n v="208.714"/>
    <n v="78.308000000000007"/>
    <n v="0"/>
    <n v="244.22193996808642"/>
    <n v="72.984487475144931"/>
  </r>
  <r>
    <s v="Regular"/>
    <x v="4"/>
    <x v="3"/>
    <x v="5"/>
    <x v="0"/>
    <x v="0"/>
    <x v="0"/>
    <x v="1"/>
    <x v="0"/>
    <n v="0"/>
    <n v="0"/>
    <n v="0.21299999999999999"/>
    <n v="0.21299999999999999"/>
    <n v="0.21299999999999999"/>
    <n v="0.21299999999999999"/>
    <n v="0"/>
    <x v="0"/>
    <n v="0"/>
    <n v="0"/>
    <n v="55"/>
    <n v="96"/>
    <n v="0"/>
    <n v="1043.57"/>
    <n v="391.54"/>
    <m/>
    <n v="1220.9462383439195"/>
    <n v="364.92243737572466"/>
    <n v="0"/>
    <n v="222.28040999999999"/>
    <n v="83.398020000000002"/>
    <n v="0"/>
    <n v="260.09636606601202"/>
    <n v="77.728479161029355"/>
  </r>
  <r>
    <s v="Regular"/>
    <x v="4"/>
    <x v="3"/>
    <x v="5"/>
    <x v="0"/>
    <x v="0"/>
    <x v="0"/>
    <x v="1"/>
    <x v="6"/>
    <n v="0"/>
    <n v="0"/>
    <n v="0.28000000000000003"/>
    <n v="0.28000000000000003"/>
    <n v="0.28000000000000003"/>
    <n v="0.28000000000000003"/>
    <n v="0"/>
    <x v="0"/>
    <n v="0"/>
    <n v="0"/>
    <n v="55"/>
    <n v="96"/>
    <n v="0"/>
    <n v="1043.57"/>
    <n v="391.54"/>
    <m/>
    <n v="1220.9462383439195"/>
    <n v="364.92243737572466"/>
    <n v="0"/>
    <n v="292.19960000000003"/>
    <n v="109.63120000000002"/>
    <n v="0"/>
    <n v="341.910715955321"/>
    <n v="102.17828246520291"/>
  </r>
  <r>
    <s v="Regular"/>
    <x v="4"/>
    <x v="3"/>
    <x v="5"/>
    <x v="0"/>
    <x v="0"/>
    <x v="0"/>
    <x v="1"/>
    <x v="7"/>
    <n v="0"/>
    <n v="0"/>
    <n v="0.17699999999999999"/>
    <n v="0.17699999999999999"/>
    <n v="0.17699999999999999"/>
    <n v="0.17699999999999999"/>
    <n v="0"/>
    <x v="0"/>
    <n v="0"/>
    <n v="0"/>
    <n v="55"/>
    <n v="96"/>
    <n v="0"/>
    <n v="1043.57"/>
    <n v="391.54"/>
    <m/>
    <n v="1220.9462383439195"/>
    <n v="364.92243737572466"/>
    <n v="0"/>
    <n v="184.71188999999998"/>
    <n v="69.302580000000006"/>
    <n v="0"/>
    <n v="216.13641687175647"/>
    <n v="64.591271415503257"/>
  </r>
  <r>
    <s v="Regular"/>
    <x v="4"/>
    <x v="3"/>
    <x v="5"/>
    <x v="0"/>
    <x v="0"/>
    <x v="0"/>
    <x v="1"/>
    <x v="8"/>
    <n v="0"/>
    <n v="0"/>
    <n v="0.20599999999999999"/>
    <n v="0.20599999999999999"/>
    <n v="0.20599999999999999"/>
    <n v="0.20599999999999999"/>
    <n v="0"/>
    <x v="0"/>
    <n v="0"/>
    <n v="0"/>
    <n v="55"/>
    <n v="96"/>
    <n v="0"/>
    <n v="1043.57"/>
    <n v="391.54"/>
    <m/>
    <n v="1220.9462383439195"/>
    <n v="364.92243737572466"/>
    <n v="0"/>
    <n v="214.97541999999999"/>
    <n v="80.657240000000002"/>
    <n v="0"/>
    <n v="251.548598167129"/>
    <n v="75.174022099399281"/>
  </r>
  <r>
    <s v="Regular"/>
    <x v="4"/>
    <x v="3"/>
    <x v="5"/>
    <x v="0"/>
    <x v="0"/>
    <x v="0"/>
    <x v="1"/>
    <x v="9"/>
    <n v="0"/>
    <n v="0"/>
    <n v="0.19600000000000001"/>
    <n v="0.19600000000000001"/>
    <n v="0.19600000000000001"/>
    <n v="0.19600000000000001"/>
    <n v="0"/>
    <x v="0"/>
    <n v="0"/>
    <n v="0"/>
    <n v="55"/>
    <n v="96"/>
    <n v="0"/>
    <n v="1043.57"/>
    <n v="391.54"/>
    <m/>
    <n v="1220.9462383439195"/>
    <n v="364.92243737572466"/>
    <n v="0"/>
    <n v="204.53971999999999"/>
    <n v="76.74184000000001"/>
    <n v="0"/>
    <n v="239.33750116872469"/>
    <n v="71.524797725642031"/>
  </r>
  <r>
    <s v="Regular"/>
    <x v="4"/>
    <x v="3"/>
    <x v="5"/>
    <x v="0"/>
    <x v="0"/>
    <x v="0"/>
    <x v="1"/>
    <x v="1"/>
    <n v="0"/>
    <n v="0"/>
    <n v="0.183"/>
    <n v="0.183"/>
    <n v="0.183"/>
    <n v="0.183"/>
    <n v="0"/>
    <x v="0"/>
    <n v="0"/>
    <n v="0"/>
    <n v="55"/>
    <n v="96"/>
    <n v="0"/>
    <n v="1043.57"/>
    <n v="391.54"/>
    <m/>
    <n v="1220.9462383439195"/>
    <n v="364.92243737572466"/>
    <n v="0"/>
    <n v="190.97331"/>
    <n v="71.651820000000001"/>
    <n v="0"/>
    <n v="223.46307507079908"/>
    <n v="66.780806039757607"/>
  </r>
  <r>
    <s v="Regular"/>
    <x v="4"/>
    <x v="3"/>
    <x v="5"/>
    <x v="0"/>
    <x v="0"/>
    <x v="0"/>
    <x v="1"/>
    <x v="2"/>
    <n v="0"/>
    <n v="0"/>
    <n v="0.19500000000000001"/>
    <n v="0.19500000000000001"/>
    <n v="0.19500000000000001"/>
    <n v="0.19500000000000001"/>
    <n v="0"/>
    <x v="0"/>
    <n v="0"/>
    <n v="0"/>
    <n v="55"/>
    <n v="96"/>
    <n v="0"/>
    <n v="1043.57"/>
    <n v="391.54"/>
    <m/>
    <n v="1220.9462383439195"/>
    <n v="364.92243737572466"/>
    <n v="0"/>
    <n v="203.49615"/>
    <n v="76.350300000000004"/>
    <n v="0"/>
    <n v="238.11639146888427"/>
    <n v="71.159875288266306"/>
  </r>
  <r>
    <s v="Regular"/>
    <x v="4"/>
    <x v="3"/>
    <x v="5"/>
    <x v="0"/>
    <x v="0"/>
    <x v="0"/>
    <x v="1"/>
    <x v="3"/>
    <n v="0"/>
    <n v="0"/>
    <n v="0.223"/>
    <n v="0.223"/>
    <n v="0.223"/>
    <n v="0.223"/>
    <n v="0"/>
    <x v="0"/>
    <n v="0"/>
    <n v="0"/>
    <n v="55"/>
    <n v="96"/>
    <n v="0"/>
    <n v="1043.57"/>
    <n v="391.54"/>
    <m/>
    <n v="1220.9462383439195"/>
    <n v="364.92243737572466"/>
    <n v="0"/>
    <n v="232.71610999999999"/>
    <n v="87.313420000000008"/>
    <n v="0"/>
    <n v="272.30746306441637"/>
    <n v="81.377703534786605"/>
  </r>
  <r>
    <s v="Regular"/>
    <x v="4"/>
    <x v="3"/>
    <x v="5"/>
    <x v="0"/>
    <x v="0"/>
    <x v="0"/>
    <x v="1"/>
    <x v="10"/>
    <n v="0"/>
    <n v="0"/>
    <n v="0.20200000000000001"/>
    <n v="0.20200000000000001"/>
    <n v="0.20200000000000001"/>
    <n v="0.20200000000000001"/>
    <n v="0"/>
    <x v="0"/>
    <n v="0"/>
    <n v="0"/>
    <n v="55"/>
    <n v="96"/>
    <n v="0"/>
    <n v="1043.57"/>
    <n v="391.54"/>
    <m/>
    <n v="1220.9462383439195"/>
    <n v="364.92243737572466"/>
    <n v="0"/>
    <n v="210.80114"/>
    <n v="79.091080000000005"/>
    <n v="0"/>
    <n v="246.6641593677673"/>
    <n v="73.714332349896381"/>
  </r>
  <r>
    <s v="PROJETADO"/>
    <x v="4"/>
    <x v="3"/>
    <x v="5"/>
    <x v="0"/>
    <x v="0"/>
    <x v="0"/>
    <x v="1"/>
    <x v="11"/>
    <n v="0"/>
    <n v="0"/>
    <n v="0.20200000000000001"/>
    <n v="0.20200000000000001"/>
    <n v="0.20200000000000001"/>
    <n v="0.20200000000000001"/>
    <n v="0"/>
    <x v="0"/>
    <n v="0"/>
    <n v="0"/>
    <n v="55"/>
    <n v="96"/>
    <n v="0"/>
    <n v="1043.57"/>
    <n v="391.54"/>
    <m/>
    <n v="1220.9462383439195"/>
    <n v="364.92243737572466"/>
    <n v="0"/>
    <n v="210.80114"/>
    <n v="79.091080000000005"/>
    <n v="0"/>
    <n v="246.6641593677673"/>
    <n v="73.714332349896381"/>
  </r>
  <r>
    <s v="Regular"/>
    <x v="4"/>
    <x v="4"/>
    <x v="0"/>
    <x v="0"/>
    <x v="0"/>
    <x v="0"/>
    <x v="2"/>
    <x v="4"/>
    <n v="0"/>
    <n v="0"/>
    <n v="1412.8710000000001"/>
    <n v="1412.8710000000001"/>
    <n v="1412.8710000000001"/>
    <n v="1412.8710000000001"/>
    <n v="3152"/>
    <x v="0"/>
    <n v="0"/>
    <n v="0"/>
    <n v="58"/>
    <n v="99"/>
    <n v="0"/>
    <n v="379.62"/>
    <n v="255.17"/>
    <m/>
    <n v="482.71658332831322"/>
    <n v="238.98759729915042"/>
    <n v="0"/>
    <n v="536354.08902000007"/>
    <n v="360522.29307000001"/>
    <n v="0"/>
    <n v="682083.20385199098"/>
    <n v="337658.645583648"/>
  </r>
  <r>
    <s v="Sistema de Compensação"/>
    <x v="4"/>
    <x v="4"/>
    <x v="0"/>
    <x v="0"/>
    <x v="0"/>
    <x v="0"/>
    <x v="2"/>
    <x v="4"/>
    <n v="0"/>
    <n v="0"/>
    <n v="127.961"/>
    <n v="127.961"/>
    <n v="127.961"/>
    <n v="127.961"/>
    <n v="172"/>
    <x v="0"/>
    <n v="0"/>
    <n v="0"/>
    <n v="58"/>
    <n v="99"/>
    <n v="0"/>
    <n v="379.62"/>
    <n v="255.17"/>
    <m/>
    <n v="482.71658332831322"/>
    <n v="238.98759729915042"/>
    <n v="0"/>
    <n v="48576.554819999998"/>
    <n v="32651.808369999999"/>
    <n v="0"/>
    <n v="61774.959531411296"/>
    <n v="30581.091937996585"/>
  </r>
  <r>
    <s v="Regular"/>
    <x v="4"/>
    <x v="4"/>
    <x v="0"/>
    <x v="0"/>
    <x v="0"/>
    <x v="0"/>
    <x v="2"/>
    <x v="5"/>
    <n v="0"/>
    <n v="0"/>
    <n v="1341.183"/>
    <n v="1341.183"/>
    <n v="1341.183"/>
    <n v="1341.183"/>
    <n v="3157"/>
    <x v="0"/>
    <n v="0"/>
    <n v="0"/>
    <n v="58"/>
    <n v="99"/>
    <n v="0"/>
    <n v="379.62"/>
    <n v="255.17"/>
    <m/>
    <n v="482.71658332831322"/>
    <n v="238.98759729915042"/>
    <n v="0"/>
    <n v="509139.89046000002"/>
    <n v="342229.66610999999"/>
    <n v="0"/>
    <n v="647474.82083773019"/>
    <n v="320526.10270846647"/>
  </r>
  <r>
    <s v="Sistema de Compensação"/>
    <x v="4"/>
    <x v="4"/>
    <x v="0"/>
    <x v="0"/>
    <x v="0"/>
    <x v="0"/>
    <x v="2"/>
    <x v="5"/>
    <n v="0"/>
    <n v="0"/>
    <n v="135.56899999999999"/>
    <n v="135.56899999999999"/>
    <n v="135.56899999999999"/>
    <n v="135.56899999999999"/>
    <n v="178"/>
    <x v="0"/>
    <n v="0"/>
    <n v="0"/>
    <n v="58"/>
    <n v="99"/>
    <n v="0"/>
    <n v="379.62"/>
    <n v="255.17"/>
    <m/>
    <n v="482.71658332831322"/>
    <n v="238.98759729915042"/>
    <n v="0"/>
    <n v="51464.703779999996"/>
    <n v="34593.141729999996"/>
    <n v="0"/>
    <n v="65447.827765599657"/>
    <n v="32399.309578248522"/>
  </r>
  <r>
    <s v="Regular"/>
    <x v="4"/>
    <x v="4"/>
    <x v="0"/>
    <x v="0"/>
    <x v="0"/>
    <x v="0"/>
    <x v="2"/>
    <x v="0"/>
    <n v="0"/>
    <n v="0"/>
    <n v="1364.8309999999999"/>
    <n v="1364.8309999999999"/>
    <n v="1364.8309999999999"/>
    <n v="1364.8309999999999"/>
    <n v="3143"/>
    <x v="0"/>
    <n v="0"/>
    <n v="0"/>
    <n v="58"/>
    <n v="99"/>
    <n v="0"/>
    <n v="379.62"/>
    <n v="255.17"/>
    <m/>
    <n v="482.71658332831322"/>
    <n v="238.98759729915042"/>
    <n v="0"/>
    <n v="518117.14421999996"/>
    <n v="348263.92626999994"/>
    <n v="0"/>
    <n v="658891.22304620629"/>
    <n v="326177.68140939676"/>
  </r>
  <r>
    <s v="Sistema de Compensação"/>
    <x v="4"/>
    <x v="4"/>
    <x v="0"/>
    <x v="0"/>
    <x v="0"/>
    <x v="0"/>
    <x v="2"/>
    <x v="0"/>
    <n v="0"/>
    <n v="0"/>
    <n v="143.53"/>
    <n v="143.53"/>
    <n v="143.53"/>
    <n v="143.53"/>
    <n v="190"/>
    <x v="0"/>
    <n v="0"/>
    <n v="0"/>
    <n v="58"/>
    <n v="99"/>
    <n v="0"/>
    <n v="379.62"/>
    <n v="255.17"/>
    <m/>
    <n v="482.71658332831322"/>
    <n v="238.98759729915042"/>
    <n v="0"/>
    <n v="54486.8586"/>
    <n v="36624.5501"/>
    <n v="0"/>
    <n v="69291.111678897971"/>
    <n v="34301.889840347059"/>
  </r>
  <r>
    <s v="Regular"/>
    <x v="4"/>
    <x v="4"/>
    <x v="0"/>
    <x v="0"/>
    <x v="0"/>
    <x v="0"/>
    <x v="2"/>
    <x v="6"/>
    <n v="0"/>
    <n v="0"/>
    <n v="1338.837"/>
    <n v="1338.837"/>
    <n v="1338.837"/>
    <n v="1338.837"/>
    <n v="3126"/>
    <x v="0"/>
    <n v="0"/>
    <n v="0"/>
    <n v="58"/>
    <n v="99"/>
    <n v="0"/>
    <n v="379.62"/>
    <n v="255.17"/>
    <m/>
    <n v="482.71658332831322"/>
    <n v="238.98759729915042"/>
    <n v="0"/>
    <n v="508249.30193999998"/>
    <n v="341631.03729000001"/>
    <n v="0"/>
    <n v="646342.25657939608"/>
    <n v="319965.43780520267"/>
  </r>
  <r>
    <s v="Sistema de Compensação"/>
    <x v="4"/>
    <x v="4"/>
    <x v="0"/>
    <x v="0"/>
    <x v="0"/>
    <x v="0"/>
    <x v="2"/>
    <x v="6"/>
    <n v="0"/>
    <n v="0"/>
    <n v="117.672"/>
    <n v="117.672"/>
    <n v="117.672"/>
    <n v="117.672"/>
    <n v="206"/>
    <x v="0"/>
    <n v="0"/>
    <n v="0"/>
    <n v="58"/>
    <n v="99"/>
    <n v="0"/>
    <n v="379.62"/>
    <n v="255.17"/>
    <m/>
    <n v="482.71658332831322"/>
    <n v="238.98759729915042"/>
    <n v="0"/>
    <n v="44670.644639999999"/>
    <n v="30026.364239999999"/>
    <n v="0"/>
    <n v="56807.801111121589"/>
    <n v="28122.148549385627"/>
  </r>
  <r>
    <s v="Regular"/>
    <x v="4"/>
    <x v="4"/>
    <x v="0"/>
    <x v="0"/>
    <x v="0"/>
    <x v="0"/>
    <x v="2"/>
    <x v="7"/>
    <n v="0"/>
    <n v="0"/>
    <n v="1231.1179999999999"/>
    <n v="1231.1179999999999"/>
    <n v="1231.1179999999999"/>
    <n v="1231.1179999999999"/>
    <n v="3135"/>
    <x v="0"/>
    <n v="0"/>
    <n v="0"/>
    <n v="58"/>
    <n v="99"/>
    <n v="0"/>
    <n v="379.62"/>
    <n v="255.17"/>
    <m/>
    <n v="482.71658332831322"/>
    <n v="238.98759729915042"/>
    <n v="0"/>
    <n v="467357.01516000001"/>
    <n v="314144.38006"/>
    <n v="0"/>
    <n v="594339.40519683354"/>
    <n v="294221.93281173543"/>
  </r>
  <r>
    <s v="Sistema de Compensação"/>
    <x v="4"/>
    <x v="4"/>
    <x v="0"/>
    <x v="0"/>
    <x v="0"/>
    <x v="0"/>
    <x v="2"/>
    <x v="7"/>
    <n v="0"/>
    <n v="0"/>
    <n v="114.151"/>
    <n v="114.151"/>
    <n v="114.151"/>
    <n v="114.151"/>
    <n v="213"/>
    <x v="0"/>
    <n v="0"/>
    <n v="0"/>
    <n v="58"/>
    <n v="99"/>
    <n v="0"/>
    <n v="379.62"/>
    <n v="255.17"/>
    <m/>
    <n v="482.71658332831322"/>
    <n v="238.98759729915042"/>
    <n v="0"/>
    <n v="43334.002619999999"/>
    <n v="29127.910669999997"/>
    <n v="0"/>
    <n v="55107.989195693459"/>
    <n v="27280.67321929532"/>
  </r>
  <r>
    <s v="Regular"/>
    <x v="4"/>
    <x v="4"/>
    <x v="0"/>
    <x v="0"/>
    <x v="0"/>
    <x v="0"/>
    <x v="2"/>
    <x v="8"/>
    <n v="0"/>
    <n v="0"/>
    <n v="1489.4559999999999"/>
    <n v="1489.4559999999999"/>
    <n v="1489.4559999999999"/>
    <n v="1489.4559999999999"/>
    <n v="3121"/>
    <x v="0"/>
    <n v="0"/>
    <n v="0"/>
    <n v="58"/>
    <n v="99"/>
    <n v="0"/>
    <n v="379.62"/>
    <n v="255.17"/>
    <m/>
    <n v="482.71658332831322"/>
    <n v="238.98759729915042"/>
    <n v="0"/>
    <n v="565427.28671999997"/>
    <n v="380064.48751999997"/>
    <n v="0"/>
    <n v="719055.6819954341"/>
    <n v="355961.51072280336"/>
  </r>
  <r>
    <s v="Sistema de Compensação"/>
    <x v="4"/>
    <x v="4"/>
    <x v="0"/>
    <x v="0"/>
    <x v="0"/>
    <x v="0"/>
    <x v="2"/>
    <x v="8"/>
    <n v="0"/>
    <n v="0"/>
    <n v="126.386"/>
    <n v="126.386"/>
    <n v="126.386"/>
    <n v="126.386"/>
    <n v="230"/>
    <x v="0"/>
    <n v="0"/>
    <n v="0"/>
    <n v="58"/>
    <n v="99"/>
    <n v="0"/>
    <n v="379.62"/>
    <n v="255.17"/>
    <m/>
    <n v="482.71658332831322"/>
    <n v="238.98759729915042"/>
    <n v="0"/>
    <n v="47978.653319999998"/>
    <n v="32249.915619999996"/>
    <n v="0"/>
    <n v="61014.606288923562"/>
    <n v="30204.686472250425"/>
  </r>
  <r>
    <s v="Regular"/>
    <x v="4"/>
    <x v="4"/>
    <x v="0"/>
    <x v="0"/>
    <x v="0"/>
    <x v="0"/>
    <x v="2"/>
    <x v="9"/>
    <n v="0"/>
    <n v="0"/>
    <n v="1390.402"/>
    <n v="1390.402"/>
    <n v="1390.402"/>
    <n v="1390.402"/>
    <n v="3120"/>
    <x v="0"/>
    <n v="0"/>
    <n v="0"/>
    <n v="58"/>
    <n v="99"/>
    <n v="0"/>
    <n v="379.62"/>
    <n v="255.17"/>
    <m/>
    <n v="482.71658332831322"/>
    <n v="238.98759729915042"/>
    <n v="0"/>
    <n v="527824.40723999997"/>
    <n v="354788.87834"/>
    <n v="0"/>
    <n v="671235.98035646277"/>
    <n v="332288.83325993334"/>
  </r>
  <r>
    <s v="Sistema de Compensação"/>
    <x v="4"/>
    <x v="4"/>
    <x v="0"/>
    <x v="0"/>
    <x v="0"/>
    <x v="0"/>
    <x v="2"/>
    <x v="9"/>
    <n v="0"/>
    <n v="0"/>
    <n v="144.86600000000001"/>
    <n v="144.86600000000001"/>
    <n v="144.86600000000001"/>
    <n v="144.86600000000001"/>
    <n v="233"/>
    <x v="0"/>
    <n v="0"/>
    <n v="0"/>
    <n v="58"/>
    <n v="99"/>
    <n v="0"/>
    <n v="379.62"/>
    <n v="255.17"/>
    <m/>
    <n v="482.71658332831322"/>
    <n v="238.98759729915042"/>
    <n v="0"/>
    <n v="54994.030920000005"/>
    <n v="36965.457220000004"/>
    <n v="0"/>
    <n v="69936.084334112966"/>
    <n v="34621.177270338725"/>
  </r>
  <r>
    <s v="Regular"/>
    <x v="4"/>
    <x v="4"/>
    <x v="0"/>
    <x v="0"/>
    <x v="0"/>
    <x v="0"/>
    <x v="2"/>
    <x v="1"/>
    <n v="0"/>
    <n v="0"/>
    <n v="1191.5650000000001"/>
    <n v="1191.5650000000001"/>
    <n v="1191.5650000000001"/>
    <n v="1191.5650000000001"/>
    <n v="3116"/>
    <x v="0"/>
    <n v="0"/>
    <n v="0"/>
    <n v="58"/>
    <n v="99"/>
    <n v="0"/>
    <n v="379.62"/>
    <n v="255.17"/>
    <m/>
    <n v="482.71658332831322"/>
    <n v="238.98759729915042"/>
    <n v="0"/>
    <n v="452341.90530000004"/>
    <n v="304051.64104999998"/>
    <n v="0"/>
    <n v="575244.64214914001"/>
    <n v="284769.25637576217"/>
  </r>
  <r>
    <s v="Sistema de Compensação"/>
    <x v="4"/>
    <x v="4"/>
    <x v="0"/>
    <x v="0"/>
    <x v="0"/>
    <x v="0"/>
    <x v="2"/>
    <x v="1"/>
    <n v="0"/>
    <n v="0"/>
    <n v="123.622"/>
    <n v="123.622"/>
    <n v="123.622"/>
    <n v="123.622"/>
    <n v="236"/>
    <x v="0"/>
    <n v="0"/>
    <n v="0"/>
    <n v="58"/>
    <n v="99"/>
    <n v="0"/>
    <n v="379.62"/>
    <n v="255.17"/>
    <m/>
    <n v="482.71658332831322"/>
    <n v="238.98759729915042"/>
    <n v="0"/>
    <n v="46929.38364"/>
    <n v="31544.625739999999"/>
    <n v="0"/>
    <n v="59680.246693853027"/>
    <n v="29544.124753315573"/>
  </r>
  <r>
    <s v="Regular"/>
    <x v="4"/>
    <x v="4"/>
    <x v="0"/>
    <x v="0"/>
    <x v="0"/>
    <x v="0"/>
    <x v="2"/>
    <x v="2"/>
    <n v="0"/>
    <n v="0"/>
    <n v="1218.107"/>
    <n v="1218.107"/>
    <n v="1218.107"/>
    <n v="1218.107"/>
    <n v="3101"/>
    <x v="0"/>
    <n v="0"/>
    <n v="0"/>
    <n v="58"/>
    <n v="99"/>
    <n v="0"/>
    <n v="379.62"/>
    <n v="255.17"/>
    <m/>
    <n v="482.71658332831322"/>
    <n v="238.98759729915042"/>
    <n v="0"/>
    <n v="462417.77934000001"/>
    <n v="310824.36319"/>
    <n v="0"/>
    <n v="588058.16326793958"/>
    <n v="291112.46518327622"/>
  </r>
  <r>
    <s v="Sistema de Compensação"/>
    <x v="4"/>
    <x v="4"/>
    <x v="0"/>
    <x v="0"/>
    <x v="0"/>
    <x v="0"/>
    <x v="2"/>
    <x v="2"/>
    <n v="0"/>
    <n v="0"/>
    <n v="133.83799999999999"/>
    <n v="133.83799999999999"/>
    <n v="133.83799999999999"/>
    <n v="133.83799999999999"/>
    <n v="257"/>
    <x v="0"/>
    <n v="0"/>
    <n v="0"/>
    <n v="58"/>
    <n v="99"/>
    <n v="0"/>
    <n v="379.62"/>
    <n v="255.17"/>
    <m/>
    <n v="482.71658332831322"/>
    <n v="238.98759729915042"/>
    <n v="0"/>
    <n v="50807.581559999999"/>
    <n v="34151.442459999998"/>
    <n v="0"/>
    <n v="64612.163344808381"/>
    <n v="31985.622047323694"/>
  </r>
  <r>
    <s v="Regular"/>
    <x v="4"/>
    <x v="4"/>
    <x v="0"/>
    <x v="0"/>
    <x v="0"/>
    <x v="0"/>
    <x v="2"/>
    <x v="3"/>
    <n v="0"/>
    <n v="0"/>
    <n v="1135.0899999999999"/>
    <n v="1135.0899999999999"/>
    <n v="1135.0899999999999"/>
    <n v="1135.0899999999999"/>
    <n v="3087"/>
    <x v="0"/>
    <n v="0"/>
    <n v="0"/>
    <n v="58"/>
    <n v="99"/>
    <n v="0"/>
    <n v="379.62"/>
    <n v="255.17"/>
    <m/>
    <n v="482.71658332831322"/>
    <n v="238.98759729915042"/>
    <n v="0"/>
    <n v="430902.86579999997"/>
    <n v="289640.91529999999"/>
    <n v="0"/>
    <n v="547980.54731136549"/>
    <n v="271272.43181829265"/>
  </r>
  <r>
    <s v="Sistema de Compensação"/>
    <x v="4"/>
    <x v="4"/>
    <x v="0"/>
    <x v="0"/>
    <x v="0"/>
    <x v="0"/>
    <x v="2"/>
    <x v="3"/>
    <n v="0"/>
    <n v="0"/>
    <n v="116.259"/>
    <n v="116.259"/>
    <n v="116.259"/>
    <n v="116.259"/>
    <n v="265"/>
    <x v="0"/>
    <n v="0"/>
    <n v="0"/>
    <n v="58"/>
    <n v="99"/>
    <n v="0"/>
    <n v="379.62"/>
    <n v="255.17"/>
    <m/>
    <n v="482.71658332831322"/>
    <n v="238.98759729915042"/>
    <n v="0"/>
    <n v="44134.241580000002"/>
    <n v="29665.80903"/>
    <n v="0"/>
    <n v="56125.655630718313"/>
    <n v="27784.45907440193"/>
  </r>
  <r>
    <s v="Regular"/>
    <x v="4"/>
    <x v="4"/>
    <x v="0"/>
    <x v="0"/>
    <x v="0"/>
    <x v="0"/>
    <x v="2"/>
    <x v="10"/>
    <n v="0"/>
    <n v="0"/>
    <n v="1354.8879999999999"/>
    <n v="1354.8879999999999"/>
    <n v="1354.8879999999999"/>
    <n v="1354.8879999999999"/>
    <n v="3096"/>
    <x v="0"/>
    <n v="0"/>
    <n v="0"/>
    <n v="58"/>
    <n v="99"/>
    <n v="0"/>
    <n v="379.62"/>
    <n v="255.17"/>
    <m/>
    <n v="482.71658332831322"/>
    <n v="238.98759729915042"/>
    <n v="0"/>
    <n v="514342.58255999995"/>
    <n v="345726.77095999994"/>
    <n v="0"/>
    <n v="654091.10095728224"/>
    <n v="323801.42772945127"/>
  </r>
  <r>
    <s v="Sistema de Compensação"/>
    <x v="4"/>
    <x v="4"/>
    <x v="0"/>
    <x v="0"/>
    <x v="0"/>
    <x v="0"/>
    <x v="2"/>
    <x v="10"/>
    <n v="0"/>
    <n v="0"/>
    <n v="130.71199999999999"/>
    <n v="130.71199999999999"/>
    <n v="130.71199999999999"/>
    <n v="130.71199999999999"/>
    <n v="273"/>
    <x v="0"/>
    <n v="0"/>
    <n v="0"/>
    <n v="58"/>
    <n v="99"/>
    <n v="0"/>
    <n v="379.62"/>
    <n v="255.17"/>
    <m/>
    <n v="482.71658332831322"/>
    <n v="238.98759729915042"/>
    <n v="0"/>
    <n v="49620.889439999999"/>
    <n v="33353.781039999994"/>
    <n v="0"/>
    <n v="63103.043194956532"/>
    <n v="31238.546818166549"/>
  </r>
  <r>
    <s v="PROJETADO"/>
    <x v="4"/>
    <x v="4"/>
    <x v="0"/>
    <x v="0"/>
    <x v="0"/>
    <x v="0"/>
    <x v="2"/>
    <x v="11"/>
    <n v="0"/>
    <n v="0"/>
    <n v="1354.8879999999999"/>
    <n v="1354.8879999999999"/>
    <n v="1354.8879999999999"/>
    <n v="1354.8879999999999"/>
    <n v="3096"/>
    <x v="0"/>
    <n v="0"/>
    <n v="0"/>
    <n v="58"/>
    <n v="99"/>
    <n v="0"/>
    <n v="379.62"/>
    <n v="255.17"/>
    <m/>
    <n v="482.71658332831322"/>
    <n v="238.98759729915042"/>
    <n v="0"/>
    <n v="514342.58255999995"/>
    <n v="345726.77095999994"/>
    <n v="0"/>
    <n v="654091.10095728224"/>
    <n v="323801.42772945127"/>
  </r>
  <r>
    <s v="PROJETADO"/>
    <x v="4"/>
    <x v="4"/>
    <x v="0"/>
    <x v="0"/>
    <x v="0"/>
    <x v="0"/>
    <x v="2"/>
    <x v="11"/>
    <n v="0"/>
    <n v="0"/>
    <n v="130.71199999999999"/>
    <n v="130.71199999999999"/>
    <n v="130.71199999999999"/>
    <n v="130.71199999999999"/>
    <n v="273"/>
    <x v="0"/>
    <n v="0"/>
    <n v="0"/>
    <n v="58"/>
    <n v="99"/>
    <n v="0"/>
    <n v="379.62"/>
    <n v="255.17"/>
    <m/>
    <n v="482.71658332831322"/>
    <n v="238.98759729915042"/>
    <n v="0"/>
    <n v="49620.889439999999"/>
    <n v="33353.781039999994"/>
    <n v="0"/>
    <n v="63103.043194956532"/>
    <n v="31238.546818166549"/>
  </r>
  <r>
    <s v="Regular"/>
    <x v="4"/>
    <x v="4"/>
    <x v="7"/>
    <x v="0"/>
    <x v="0"/>
    <x v="0"/>
    <x v="2"/>
    <x v="4"/>
    <n v="0"/>
    <n v="0"/>
    <n v="15.702999999999999"/>
    <n v="15.702999999999999"/>
    <n v="15.702999999999999"/>
    <n v="15.702999999999999"/>
    <n v="11"/>
    <x v="0"/>
    <n v="0"/>
    <n v="0"/>
    <n v="58"/>
    <n v="99"/>
    <n v="0"/>
    <n v="379.62"/>
    <n v="255.17"/>
    <m/>
    <n v="482.71658332831322"/>
    <n v="238.98759729915042"/>
    <n v="0"/>
    <n v="5961.1728599999997"/>
    <n v="4006.9345099999996"/>
    <n v="0"/>
    <n v="7580.8425185935685"/>
    <n v="3752.8222403885588"/>
  </r>
  <r>
    <s v="Regular"/>
    <x v="4"/>
    <x v="4"/>
    <x v="7"/>
    <x v="0"/>
    <x v="0"/>
    <x v="0"/>
    <x v="2"/>
    <x v="5"/>
    <n v="0"/>
    <n v="0"/>
    <n v="15.512"/>
    <n v="15.512"/>
    <n v="15.512"/>
    <n v="15.512"/>
    <n v="11"/>
    <x v="0"/>
    <n v="0"/>
    <n v="0"/>
    <n v="58"/>
    <n v="99"/>
    <n v="0"/>
    <n v="379.62"/>
    <n v="255.17"/>
    <m/>
    <n v="482.71658332831322"/>
    <n v="238.98759729915042"/>
    <n v="0"/>
    <n v="5888.6654400000007"/>
    <n v="3958.19704"/>
    <n v="0"/>
    <n v="7488.634601568072"/>
    <n v="3707.1756093044214"/>
  </r>
  <r>
    <s v="Regular"/>
    <x v="4"/>
    <x v="4"/>
    <x v="7"/>
    <x v="0"/>
    <x v="0"/>
    <x v="0"/>
    <x v="2"/>
    <x v="0"/>
    <n v="0"/>
    <n v="0"/>
    <n v="13.901"/>
    <n v="13.901"/>
    <n v="13.901"/>
    <n v="13.901"/>
    <n v="11"/>
    <x v="0"/>
    <n v="0"/>
    <n v="0"/>
    <n v="58"/>
    <n v="99"/>
    <n v="0"/>
    <n v="379.62"/>
    <n v="255.17"/>
    <m/>
    <n v="482.71658332831322"/>
    <n v="238.98759729915042"/>
    <n v="0"/>
    <n v="5277.0976199999996"/>
    <n v="3547.1181699999997"/>
    <n v="0"/>
    <n v="6710.9018563949048"/>
    <n v="3322.1665900554899"/>
  </r>
  <r>
    <s v="Regular"/>
    <x v="4"/>
    <x v="4"/>
    <x v="7"/>
    <x v="0"/>
    <x v="0"/>
    <x v="0"/>
    <x v="2"/>
    <x v="6"/>
    <n v="0"/>
    <n v="0"/>
    <n v="15.327999999999999"/>
    <n v="15.327999999999999"/>
    <n v="15.327999999999999"/>
    <n v="15.327999999999999"/>
    <n v="11"/>
    <x v="0"/>
    <n v="0"/>
    <n v="0"/>
    <n v="58"/>
    <n v="99"/>
    <n v="0"/>
    <n v="379.62"/>
    <n v="255.17"/>
    <m/>
    <n v="482.71658332831322"/>
    <n v="238.98759729915042"/>
    <n v="0"/>
    <n v="5818.8153599999996"/>
    <n v="3911.2457599999998"/>
    <n v="0"/>
    <n v="7399.8060322869651"/>
    <n v="3663.2018914013775"/>
  </r>
  <r>
    <s v="Regular"/>
    <x v="4"/>
    <x v="4"/>
    <x v="7"/>
    <x v="0"/>
    <x v="0"/>
    <x v="0"/>
    <x v="2"/>
    <x v="7"/>
    <n v="0"/>
    <n v="0"/>
    <n v="14.196999999999999"/>
    <n v="14.196999999999999"/>
    <n v="14.196999999999999"/>
    <n v="14.196999999999999"/>
    <n v="11"/>
    <x v="0"/>
    <n v="0"/>
    <n v="0"/>
    <n v="58"/>
    <n v="99"/>
    <n v="0"/>
    <n v="379.62"/>
    <n v="255.17"/>
    <m/>
    <n v="482.71658332831322"/>
    <n v="238.98759729915042"/>
    <n v="0"/>
    <n v="5389.4651399999993"/>
    <n v="3622.6484899999996"/>
    <n v="0"/>
    <n v="6853.7999895862504"/>
    <n v="3392.9069188560384"/>
  </r>
  <r>
    <s v="Regular"/>
    <x v="4"/>
    <x v="4"/>
    <x v="7"/>
    <x v="0"/>
    <x v="0"/>
    <x v="0"/>
    <x v="2"/>
    <x v="8"/>
    <n v="0"/>
    <n v="0"/>
    <n v="17.297000000000001"/>
    <n v="17.297000000000001"/>
    <n v="17.297000000000001"/>
    <n v="17.297000000000001"/>
    <n v="11"/>
    <x v="0"/>
    <n v="0"/>
    <n v="0"/>
    <n v="58"/>
    <n v="99"/>
    <n v="0"/>
    <n v="379.62"/>
    <n v="255.17"/>
    <m/>
    <n v="482.71658332831322"/>
    <n v="238.98759729915042"/>
    <n v="0"/>
    <n v="6566.2871400000004"/>
    <n v="4413.6754899999996"/>
    <n v="0"/>
    <n v="8350.3682763875022"/>
    <n v="4133.7684704834046"/>
  </r>
  <r>
    <s v="Regular"/>
    <x v="4"/>
    <x v="4"/>
    <x v="7"/>
    <x v="0"/>
    <x v="0"/>
    <x v="0"/>
    <x v="2"/>
    <x v="9"/>
    <n v="0"/>
    <n v="0"/>
    <n v="15.887"/>
    <n v="15.887"/>
    <n v="15.887"/>
    <n v="15.887"/>
    <n v="11"/>
    <x v="0"/>
    <n v="0"/>
    <n v="0"/>
    <n v="58"/>
    <n v="99"/>
    <n v="0"/>
    <n v="379.62"/>
    <n v="255.17"/>
    <m/>
    <n v="482.71658332831322"/>
    <n v="238.98759729915042"/>
    <n v="0"/>
    <n v="6031.0229399999998"/>
    <n v="4053.8857899999998"/>
    <n v="0"/>
    <n v="7669.6710878746753"/>
    <n v="3796.7959582916028"/>
  </r>
  <r>
    <s v="Regular"/>
    <x v="4"/>
    <x v="4"/>
    <x v="7"/>
    <x v="0"/>
    <x v="0"/>
    <x v="0"/>
    <x v="2"/>
    <x v="1"/>
    <n v="0"/>
    <n v="0"/>
    <n v="12.807"/>
    <n v="12.807"/>
    <n v="12.807"/>
    <n v="12.807"/>
    <n v="11"/>
    <x v="0"/>
    <n v="0"/>
    <n v="0"/>
    <n v="58"/>
    <n v="99"/>
    <n v="0"/>
    <n v="379.62"/>
    <n v="255.17"/>
    <m/>
    <n v="482.71658332831322"/>
    <n v="238.98759729915042"/>
    <n v="0"/>
    <n v="4861.7933400000002"/>
    <n v="3267.9621899999997"/>
    <n v="0"/>
    <n v="6182.7580803431083"/>
    <n v="3060.7141586102193"/>
  </r>
  <r>
    <s v="Regular"/>
    <x v="4"/>
    <x v="4"/>
    <x v="7"/>
    <x v="0"/>
    <x v="0"/>
    <x v="0"/>
    <x v="2"/>
    <x v="2"/>
    <n v="0"/>
    <n v="0"/>
    <n v="13.413"/>
    <n v="13.413"/>
    <n v="13.413"/>
    <n v="13.413"/>
    <n v="11"/>
    <x v="0"/>
    <n v="0"/>
    <n v="0"/>
    <n v="58"/>
    <n v="99"/>
    <n v="0"/>
    <n v="379.62"/>
    <n v="255.17"/>
    <m/>
    <n v="482.71658332831322"/>
    <n v="238.98759729915042"/>
    <n v="0"/>
    <n v="5091.8430600000002"/>
    <n v="3422.59521"/>
    <n v="0"/>
    <n v="6475.3130422145787"/>
    <n v="3205.5406425735046"/>
  </r>
  <r>
    <s v="Regular"/>
    <x v="4"/>
    <x v="4"/>
    <x v="7"/>
    <x v="0"/>
    <x v="0"/>
    <x v="0"/>
    <x v="2"/>
    <x v="3"/>
    <n v="0"/>
    <n v="0"/>
    <n v="12.808"/>
    <n v="12.808"/>
    <n v="12.808"/>
    <n v="12.808"/>
    <n v="11"/>
    <x v="0"/>
    <n v="0"/>
    <n v="0"/>
    <n v="58"/>
    <n v="99"/>
    <n v="0"/>
    <n v="379.62"/>
    <n v="255.17"/>
    <m/>
    <n v="482.71658332831322"/>
    <n v="238.98759729915042"/>
    <n v="0"/>
    <n v="4862.1729599999999"/>
    <n v="3268.2173599999996"/>
    <n v="0"/>
    <n v="6183.2408443065924"/>
    <n v="3060.9531462075188"/>
  </r>
  <r>
    <s v="Regular"/>
    <x v="4"/>
    <x v="4"/>
    <x v="7"/>
    <x v="0"/>
    <x v="0"/>
    <x v="0"/>
    <x v="2"/>
    <x v="10"/>
    <n v="0"/>
    <n v="0"/>
    <n v="16.094999999999999"/>
    <n v="16.094999999999999"/>
    <n v="16.094999999999999"/>
    <n v="16.094999999999999"/>
    <n v="11"/>
    <x v="0"/>
    <n v="0"/>
    <n v="0"/>
    <n v="58"/>
    <n v="99"/>
    <n v="0"/>
    <n v="379.62"/>
    <n v="255.17"/>
    <m/>
    <n v="482.71658332831322"/>
    <n v="238.98759729915042"/>
    <n v="0"/>
    <n v="6109.9838999999993"/>
    <n v="4106.9611499999992"/>
    <n v="0"/>
    <n v="7770.0859922794034"/>
    <n v="3846.505378529826"/>
  </r>
  <r>
    <s v="PROJETADO"/>
    <x v="4"/>
    <x v="4"/>
    <x v="7"/>
    <x v="0"/>
    <x v="0"/>
    <x v="0"/>
    <x v="2"/>
    <x v="11"/>
    <n v="0"/>
    <n v="0"/>
    <n v="16.094999999999999"/>
    <n v="16.094999999999999"/>
    <n v="16.094999999999999"/>
    <n v="16.094999999999999"/>
    <n v="11"/>
    <x v="0"/>
    <n v="0"/>
    <n v="0"/>
    <n v="58"/>
    <n v="99"/>
    <n v="0"/>
    <n v="379.62"/>
    <n v="255.17"/>
    <m/>
    <n v="482.71658332831322"/>
    <n v="238.98759729915042"/>
    <n v="0"/>
    <n v="6109.9838999999993"/>
    <n v="4106.9611499999992"/>
    <n v="0"/>
    <n v="7770.0859922794034"/>
    <n v="3846.505378529826"/>
  </r>
  <r>
    <s v="Regular"/>
    <x v="4"/>
    <x v="4"/>
    <x v="4"/>
    <x v="0"/>
    <x v="0"/>
    <x v="0"/>
    <x v="2"/>
    <x v="4"/>
    <n v="0"/>
    <n v="0"/>
    <n v="48.664999999999999"/>
    <n v="48.664999999999999"/>
    <n v="48.664999999999999"/>
    <n v="48.664999999999999"/>
    <n v="44"/>
    <x v="0"/>
    <n v="0"/>
    <n v="0"/>
    <n v="58"/>
    <n v="99"/>
    <n v="0"/>
    <n v="379.62"/>
    <n v="255.17"/>
    <m/>
    <n v="482.71658332831322"/>
    <n v="238.98759729915042"/>
    <n v="0"/>
    <n v="18474.207299999998"/>
    <n v="12417.848049999999"/>
    <n v="0"/>
    <n v="23493.708282962238"/>
    <n v="11630.331422563155"/>
  </r>
  <r>
    <s v="Sistema de Compensação"/>
    <x v="4"/>
    <x v="4"/>
    <x v="4"/>
    <x v="0"/>
    <x v="0"/>
    <x v="0"/>
    <x v="2"/>
    <x v="4"/>
    <n v="0"/>
    <n v="0"/>
    <n v="1.589"/>
    <n v="1.589"/>
    <n v="1.589"/>
    <n v="1.589"/>
    <n v="3"/>
    <x v="0"/>
    <n v="0"/>
    <n v="0"/>
    <n v="58"/>
    <n v="99"/>
    <n v="0"/>
    <n v="379.62"/>
    <n v="255.17"/>
    <m/>
    <n v="482.71658332831322"/>
    <n v="238.98759729915042"/>
    <n v="0"/>
    <n v="603.21618000000001"/>
    <n v="405.46512999999999"/>
    <n v="0"/>
    <n v="767.11193797651276"/>
    <n v="379.75129210835001"/>
  </r>
  <r>
    <s v="Regular"/>
    <x v="4"/>
    <x v="4"/>
    <x v="4"/>
    <x v="0"/>
    <x v="0"/>
    <x v="0"/>
    <x v="2"/>
    <x v="5"/>
    <n v="0"/>
    <n v="0"/>
    <n v="43.027999999999999"/>
    <n v="43.027999999999999"/>
    <n v="43.027999999999999"/>
    <n v="43.027999999999999"/>
    <n v="44"/>
    <x v="0"/>
    <n v="0"/>
    <n v="0"/>
    <n v="58"/>
    <n v="99"/>
    <n v="0"/>
    <n v="379.62"/>
    <n v="255.17"/>
    <m/>
    <n v="482.71658332831322"/>
    <n v="238.98759729915042"/>
    <n v="0"/>
    <n v="16334.289359999999"/>
    <n v="10979.454759999999"/>
    <n v="0"/>
    <n v="20772.367820801381"/>
    <n v="10283.158336587843"/>
  </r>
  <r>
    <s v="Sistema de Compensação"/>
    <x v="4"/>
    <x v="4"/>
    <x v="4"/>
    <x v="0"/>
    <x v="0"/>
    <x v="0"/>
    <x v="2"/>
    <x v="5"/>
    <n v="0"/>
    <n v="0"/>
    <n v="1.998"/>
    <n v="1.998"/>
    <n v="1.998"/>
    <n v="1.998"/>
    <n v="3"/>
    <x v="0"/>
    <n v="0"/>
    <n v="0"/>
    <n v="58"/>
    <n v="99"/>
    <n v="0"/>
    <n v="379.62"/>
    <n v="255.17"/>
    <m/>
    <n v="482.71658332831322"/>
    <n v="238.98759729915042"/>
    <n v="0"/>
    <n v="758.48076000000003"/>
    <n v="509.82965999999999"/>
    <n v="0"/>
    <n v="964.56239904158122"/>
    <n v="477.49721940370256"/>
  </r>
  <r>
    <s v="Regular"/>
    <x v="4"/>
    <x v="4"/>
    <x v="4"/>
    <x v="0"/>
    <x v="0"/>
    <x v="0"/>
    <x v="2"/>
    <x v="0"/>
    <n v="0"/>
    <n v="0"/>
    <n v="44.354999999999997"/>
    <n v="44.354999999999997"/>
    <n v="44.354999999999997"/>
    <n v="44.354999999999997"/>
    <n v="44"/>
    <x v="0"/>
    <n v="0"/>
    <n v="0"/>
    <n v="58"/>
    <n v="99"/>
    <n v="0"/>
    <n v="379.62"/>
    <n v="255.17"/>
    <m/>
    <n v="482.71658332831322"/>
    <n v="238.98759729915042"/>
    <n v="0"/>
    <n v="16838.045099999999"/>
    <n v="11318.065349999999"/>
    <n v="0"/>
    <n v="21412.99560034501"/>
    <n v="10600.294878203817"/>
  </r>
  <r>
    <s v="Sistema de Compensação"/>
    <x v="4"/>
    <x v="4"/>
    <x v="4"/>
    <x v="0"/>
    <x v="0"/>
    <x v="0"/>
    <x v="2"/>
    <x v="0"/>
    <n v="0"/>
    <n v="0"/>
    <n v="1.978"/>
    <n v="1.978"/>
    <n v="1.978"/>
    <n v="1.978"/>
    <n v="3"/>
    <x v="0"/>
    <n v="0"/>
    <n v="0"/>
    <n v="58"/>
    <n v="99"/>
    <n v="0"/>
    <n v="379.62"/>
    <n v="255.17"/>
    <m/>
    <n v="482.71658332831322"/>
    <n v="238.98759729915042"/>
    <n v="0"/>
    <n v="750.88836000000003"/>
    <n v="504.72625999999997"/>
    <n v="0"/>
    <n v="954.90711977189574"/>
    <n v="472.71746745771952"/>
  </r>
  <r>
    <s v="Regular"/>
    <x v="4"/>
    <x v="4"/>
    <x v="4"/>
    <x v="0"/>
    <x v="0"/>
    <x v="0"/>
    <x v="2"/>
    <x v="6"/>
    <n v="0"/>
    <n v="0"/>
    <n v="44.408000000000001"/>
    <n v="44.408000000000001"/>
    <n v="44.408000000000001"/>
    <n v="44.408000000000001"/>
    <n v="42"/>
    <x v="0"/>
    <n v="0"/>
    <n v="0"/>
    <n v="58"/>
    <n v="99"/>
    <n v="0"/>
    <n v="379.62"/>
    <n v="255.17"/>
    <m/>
    <n v="482.71658332831322"/>
    <n v="238.98759729915042"/>
    <n v="0"/>
    <n v="16858.164960000002"/>
    <n v="11331.58936"/>
    <n v="0"/>
    <n v="21438.58209040968"/>
    <n v="10612.961220860672"/>
  </r>
  <r>
    <s v="Sistema de Compensação"/>
    <x v="4"/>
    <x v="4"/>
    <x v="4"/>
    <x v="0"/>
    <x v="0"/>
    <x v="0"/>
    <x v="2"/>
    <x v="6"/>
    <n v="0"/>
    <n v="0"/>
    <n v="0.71199999999999997"/>
    <n v="0.71199999999999997"/>
    <n v="0.71199999999999997"/>
    <n v="0.71199999999999997"/>
    <n v="3"/>
    <x v="0"/>
    <n v="0"/>
    <n v="0"/>
    <n v="58"/>
    <n v="99"/>
    <n v="0"/>
    <n v="379.62"/>
    <n v="255.17"/>
    <m/>
    <n v="482.71658332831322"/>
    <n v="238.98759729915042"/>
    <n v="0"/>
    <n v="270.28944000000001"/>
    <n v="181.68104"/>
    <n v="0"/>
    <n v="343.72794200080369"/>
    <n v="170.1591692769951"/>
  </r>
  <r>
    <s v="Regular"/>
    <x v="4"/>
    <x v="4"/>
    <x v="4"/>
    <x v="0"/>
    <x v="0"/>
    <x v="0"/>
    <x v="2"/>
    <x v="7"/>
    <n v="0"/>
    <n v="0"/>
    <n v="43.771000000000001"/>
    <n v="43.771000000000001"/>
    <n v="43.771000000000001"/>
    <n v="43.771000000000001"/>
    <n v="42"/>
    <x v="0"/>
    <n v="0"/>
    <n v="0"/>
    <n v="58"/>
    <n v="99"/>
    <n v="0"/>
    <n v="379.62"/>
    <n v="255.17"/>
    <m/>
    <n v="482.71658332831322"/>
    <n v="238.98759729915042"/>
    <n v="0"/>
    <n v="16616.347020000001"/>
    <n v="11169.04607"/>
    <n v="0"/>
    <n v="21131.061445670195"/>
    <n v="10460.726121381113"/>
  </r>
  <r>
    <s v="Sistema de Compensação"/>
    <x v="4"/>
    <x v="4"/>
    <x v="4"/>
    <x v="0"/>
    <x v="0"/>
    <x v="0"/>
    <x v="2"/>
    <x v="7"/>
    <n v="0"/>
    <n v="0"/>
    <n v="0.6"/>
    <n v="0.6"/>
    <n v="0.6"/>
    <n v="0.6"/>
    <n v="3"/>
    <x v="0"/>
    <n v="0"/>
    <n v="0"/>
    <n v="58"/>
    <n v="99"/>
    <n v="0"/>
    <n v="379.62"/>
    <n v="255.17"/>
    <m/>
    <n v="482.71658332831322"/>
    <n v="238.98759729915042"/>
    <n v="0"/>
    <n v="227.77199999999999"/>
    <n v="153.10199999999998"/>
    <n v="0"/>
    <n v="289.6583780905649"/>
    <n v="143.39255837949025"/>
  </r>
  <r>
    <s v="Regular"/>
    <x v="4"/>
    <x v="4"/>
    <x v="4"/>
    <x v="0"/>
    <x v="0"/>
    <x v="0"/>
    <x v="2"/>
    <x v="8"/>
    <n v="0"/>
    <n v="0"/>
    <n v="47.892000000000003"/>
    <n v="47.892000000000003"/>
    <n v="47.892000000000003"/>
    <n v="47.892000000000003"/>
    <n v="42"/>
    <x v="0"/>
    <n v="0"/>
    <n v="0"/>
    <n v="58"/>
    <n v="99"/>
    <n v="0"/>
    <n v="379.62"/>
    <n v="255.17"/>
    <m/>
    <n v="482.71658332831322"/>
    <n v="238.98759729915042"/>
    <n v="0"/>
    <n v="18180.761040000001"/>
    <n v="12220.601640000001"/>
    <n v="0"/>
    <n v="23120.531739188893"/>
    <n v="11445.594009850913"/>
  </r>
  <r>
    <s v="Sistema de Compensação"/>
    <x v="4"/>
    <x v="4"/>
    <x v="4"/>
    <x v="0"/>
    <x v="0"/>
    <x v="0"/>
    <x v="2"/>
    <x v="8"/>
    <n v="0"/>
    <n v="0"/>
    <n v="0.47399999999999998"/>
    <n v="0.47399999999999998"/>
    <n v="0.47399999999999998"/>
    <n v="0.47399999999999998"/>
    <n v="3"/>
    <x v="0"/>
    <n v="0"/>
    <n v="0"/>
    <n v="58"/>
    <n v="99"/>
    <n v="0"/>
    <n v="379.62"/>
    <n v="255.17"/>
    <m/>
    <n v="482.71658332831322"/>
    <n v="238.98759729915042"/>
    <n v="0"/>
    <n v="179.93987999999999"/>
    <n v="120.95057999999999"/>
    <n v="0"/>
    <n v="228.83011869154629"/>
    <n v="113.2801211197973"/>
  </r>
  <r>
    <s v="Regular"/>
    <x v="4"/>
    <x v="4"/>
    <x v="4"/>
    <x v="0"/>
    <x v="0"/>
    <x v="0"/>
    <x v="2"/>
    <x v="9"/>
    <n v="0"/>
    <n v="0"/>
    <n v="41.951000000000001"/>
    <n v="41.951000000000001"/>
    <n v="41.951000000000001"/>
    <n v="41.951000000000001"/>
    <n v="43"/>
    <x v="0"/>
    <n v="0"/>
    <n v="0"/>
    <n v="58"/>
    <n v="99"/>
    <n v="0"/>
    <n v="379.62"/>
    <n v="255.17"/>
    <m/>
    <n v="482.71658332831322"/>
    <n v="238.98759729915042"/>
    <n v="0"/>
    <n v="15925.438620000001"/>
    <n v="10704.63667"/>
    <n v="0"/>
    <n v="20252.431032128818"/>
    <n v="10025.768694296659"/>
  </r>
  <r>
    <s v="Sistema de Compensação"/>
    <x v="4"/>
    <x v="4"/>
    <x v="4"/>
    <x v="0"/>
    <x v="0"/>
    <x v="0"/>
    <x v="2"/>
    <x v="9"/>
    <n v="0"/>
    <n v="0"/>
    <n v="1.8620000000000001"/>
    <n v="1.8620000000000001"/>
    <n v="1.8620000000000001"/>
    <n v="1.8620000000000001"/>
    <n v="3"/>
    <x v="0"/>
    <n v="0"/>
    <n v="0"/>
    <n v="58"/>
    <n v="99"/>
    <n v="0"/>
    <n v="379.62"/>
    <n v="255.17"/>
    <m/>
    <n v="482.71658332831322"/>
    <n v="238.98759729915042"/>
    <n v="0"/>
    <n v="706.85244"/>
    <n v="475.12653999999998"/>
    <n v="0"/>
    <n v="898.90650000771984"/>
    <n v="444.9949061710181"/>
  </r>
  <r>
    <s v="Regular"/>
    <x v="4"/>
    <x v="4"/>
    <x v="4"/>
    <x v="0"/>
    <x v="0"/>
    <x v="0"/>
    <x v="2"/>
    <x v="1"/>
    <n v="0"/>
    <n v="0"/>
    <n v="48.308999999999997"/>
    <n v="48.308999999999997"/>
    <n v="48.308999999999997"/>
    <n v="48.308999999999997"/>
    <n v="42"/>
    <x v="0"/>
    <n v="0"/>
    <n v="0"/>
    <n v="58"/>
    <n v="99"/>
    <n v="0"/>
    <n v="379.62"/>
    <n v="255.17"/>
    <m/>
    <n v="482.71658332831322"/>
    <n v="238.98759729915042"/>
    <n v="0"/>
    <n v="18339.062579999998"/>
    <n v="12327.007529999999"/>
    <n v="0"/>
    <n v="23321.844311961835"/>
    <n v="11545.251837924658"/>
  </r>
  <r>
    <s v="Sistema de Compensação"/>
    <x v="4"/>
    <x v="4"/>
    <x v="4"/>
    <x v="0"/>
    <x v="0"/>
    <x v="0"/>
    <x v="2"/>
    <x v="1"/>
    <n v="0"/>
    <n v="0"/>
    <n v="1.448"/>
    <n v="1.448"/>
    <n v="1.448"/>
    <n v="1.448"/>
    <n v="3"/>
    <x v="0"/>
    <n v="0"/>
    <n v="0"/>
    <n v="58"/>
    <n v="99"/>
    <n v="0"/>
    <n v="379.62"/>
    <n v="255.17"/>
    <m/>
    <n v="482.71658332831322"/>
    <n v="238.98759729915042"/>
    <n v="0"/>
    <n v="549.68975999999998"/>
    <n v="369.48615999999998"/>
    <n v="0"/>
    <n v="699.04221912522996"/>
    <n v="346.05404088916981"/>
  </r>
  <r>
    <s v="Regular"/>
    <x v="4"/>
    <x v="4"/>
    <x v="4"/>
    <x v="0"/>
    <x v="0"/>
    <x v="0"/>
    <x v="2"/>
    <x v="2"/>
    <n v="0"/>
    <n v="0"/>
    <n v="59.238"/>
    <n v="59.238"/>
    <n v="59.238"/>
    <n v="59.238"/>
    <n v="42"/>
    <x v="0"/>
    <n v="0"/>
    <n v="0"/>
    <n v="58"/>
    <n v="99"/>
    <n v="0"/>
    <n v="379.62"/>
    <n v="255.17"/>
    <m/>
    <n v="482.71658332831322"/>
    <n v="238.98759729915042"/>
    <n v="0"/>
    <n v="22487.92956"/>
    <n v="15115.76046"/>
    <n v="0"/>
    <n v="28597.971668881477"/>
    <n v="14157.147288807073"/>
  </r>
  <r>
    <s v="Sistema de Compensação"/>
    <x v="4"/>
    <x v="4"/>
    <x v="4"/>
    <x v="0"/>
    <x v="0"/>
    <x v="0"/>
    <x v="2"/>
    <x v="2"/>
    <n v="0"/>
    <n v="0"/>
    <n v="1.8420000000000001"/>
    <n v="1.8420000000000001"/>
    <n v="1.8420000000000001"/>
    <n v="1.8420000000000001"/>
    <n v="3"/>
    <x v="0"/>
    <n v="0"/>
    <n v="0"/>
    <n v="58"/>
    <n v="99"/>
    <n v="0"/>
    <n v="379.62"/>
    <n v="255.17"/>
    <m/>
    <n v="482.71658332831322"/>
    <n v="238.98759729915042"/>
    <n v="0"/>
    <n v="699.26004"/>
    <n v="470.02314000000001"/>
    <n v="0"/>
    <n v="889.25122073803436"/>
    <n v="440.21515422503512"/>
  </r>
  <r>
    <s v="Regular"/>
    <x v="4"/>
    <x v="4"/>
    <x v="4"/>
    <x v="0"/>
    <x v="0"/>
    <x v="0"/>
    <x v="2"/>
    <x v="3"/>
    <n v="0"/>
    <n v="0"/>
    <n v="52.244999999999997"/>
    <n v="52.244999999999997"/>
    <n v="52.244999999999997"/>
    <n v="52.244999999999997"/>
    <n v="38"/>
    <x v="0"/>
    <n v="0"/>
    <n v="0"/>
    <n v="58"/>
    <n v="99"/>
    <n v="0"/>
    <n v="379.62"/>
    <n v="255.17"/>
    <m/>
    <n v="482.71658332831322"/>
    <n v="238.98759729915042"/>
    <n v="0"/>
    <n v="19833.246899999998"/>
    <n v="13331.356649999998"/>
    <n v="0"/>
    <n v="25222.003272235939"/>
    <n v="12485.907020894114"/>
  </r>
  <r>
    <s v="Sistema de Compensação"/>
    <x v="4"/>
    <x v="4"/>
    <x v="4"/>
    <x v="0"/>
    <x v="0"/>
    <x v="0"/>
    <x v="2"/>
    <x v="3"/>
    <n v="0"/>
    <n v="0"/>
    <n v="1.1379999999999999"/>
    <n v="1.1379999999999999"/>
    <n v="1.1379999999999999"/>
    <n v="1.1379999999999999"/>
    <n v="3"/>
    <x v="0"/>
    <n v="0"/>
    <n v="0"/>
    <n v="58"/>
    <n v="99"/>
    <n v="0"/>
    <n v="379.62"/>
    <n v="255.17"/>
    <m/>
    <n v="482.71658332831322"/>
    <n v="238.98759729915042"/>
    <n v="0"/>
    <n v="432.00755999999996"/>
    <n v="290.38345999999996"/>
    <n v="0"/>
    <n v="549.3853904451048"/>
    <n v="271.96788572643317"/>
  </r>
  <r>
    <s v="Regular"/>
    <x v="4"/>
    <x v="4"/>
    <x v="4"/>
    <x v="0"/>
    <x v="0"/>
    <x v="0"/>
    <x v="2"/>
    <x v="10"/>
    <n v="0"/>
    <n v="0"/>
    <n v="56.640999999999998"/>
    <n v="56.640999999999998"/>
    <n v="56.640999999999998"/>
    <n v="56.640999999999998"/>
    <n v="37"/>
    <x v="0"/>
    <n v="0"/>
    <n v="0"/>
    <n v="58"/>
    <n v="99"/>
    <n v="0"/>
    <n v="379.62"/>
    <n v="255.17"/>
    <m/>
    <n v="482.71658332831322"/>
    <n v="238.98759729915042"/>
    <n v="0"/>
    <n v="21502.056420000001"/>
    <n v="14453.08397"/>
    <n v="0"/>
    <n v="27344.233655712811"/>
    <n v="13536.496498621178"/>
  </r>
  <r>
    <s v="Sistema de Compensação"/>
    <x v="4"/>
    <x v="4"/>
    <x v="4"/>
    <x v="0"/>
    <x v="0"/>
    <x v="0"/>
    <x v="2"/>
    <x v="10"/>
    <n v="0"/>
    <n v="0"/>
    <n v="1.889"/>
    <n v="1.889"/>
    <n v="1.889"/>
    <n v="1.889"/>
    <n v="3"/>
    <x v="0"/>
    <n v="0"/>
    <n v="0"/>
    <n v="58"/>
    <n v="99"/>
    <n v="0"/>
    <n v="379.62"/>
    <n v="255.17"/>
    <m/>
    <n v="482.71658332831322"/>
    <n v="238.98759729915042"/>
    <n v="0"/>
    <n v="717.10217999999998"/>
    <n v="482.01612999999998"/>
    <n v="0"/>
    <n v="911.9411270217953"/>
    <n v="451.44757129809517"/>
  </r>
  <r>
    <s v="PROJETADO"/>
    <x v="4"/>
    <x v="4"/>
    <x v="4"/>
    <x v="0"/>
    <x v="0"/>
    <x v="0"/>
    <x v="2"/>
    <x v="11"/>
    <n v="0"/>
    <n v="0"/>
    <n v="56.640999999999998"/>
    <n v="56.640999999999998"/>
    <n v="56.640999999999998"/>
    <n v="56.640999999999998"/>
    <n v="37"/>
    <x v="0"/>
    <n v="0"/>
    <n v="0"/>
    <n v="58"/>
    <n v="99"/>
    <n v="0"/>
    <n v="379.62"/>
    <n v="255.17"/>
    <m/>
    <n v="482.71658332831322"/>
    <n v="238.98759729915042"/>
    <n v="0"/>
    <n v="21502.056420000001"/>
    <n v="14453.08397"/>
    <n v="0"/>
    <n v="27344.233655712811"/>
    <n v="13536.496498621178"/>
  </r>
  <r>
    <s v="PROJETADO"/>
    <x v="4"/>
    <x v="4"/>
    <x v="4"/>
    <x v="0"/>
    <x v="0"/>
    <x v="0"/>
    <x v="2"/>
    <x v="11"/>
    <n v="0"/>
    <n v="0"/>
    <n v="1.889"/>
    <n v="1.889"/>
    <n v="1.889"/>
    <n v="1.889"/>
    <n v="3"/>
    <x v="0"/>
    <n v="0"/>
    <n v="0"/>
    <n v="58"/>
    <n v="99"/>
    <n v="0"/>
    <n v="379.62"/>
    <n v="255.17"/>
    <m/>
    <n v="482.71658332831322"/>
    <n v="238.98759729915042"/>
    <n v="0"/>
    <n v="717.10217999999998"/>
    <n v="482.01612999999998"/>
    <n v="0"/>
    <n v="911.9411270217953"/>
    <n v="451.44757129809517"/>
  </r>
  <r>
    <s v="Regular"/>
    <x v="4"/>
    <x v="4"/>
    <x v="5"/>
    <x v="0"/>
    <x v="0"/>
    <x v="0"/>
    <x v="2"/>
    <x v="4"/>
    <n v="0"/>
    <n v="0"/>
    <n v="394.25700000000001"/>
    <n v="394.25700000000001"/>
    <n v="394.25700000000001"/>
    <n v="394.25700000000001"/>
    <n v="451"/>
    <x v="0"/>
    <n v="0"/>
    <n v="0"/>
    <n v="58"/>
    <n v="99"/>
    <n v="0"/>
    <n v="379.62"/>
    <n v="255.17"/>
    <m/>
    <n v="482.71658332831322"/>
    <n v="238.98759729915042"/>
    <n v="0"/>
    <n v="149667.84234"/>
    <n v="100602.55868999999"/>
    <n v="0"/>
    <n v="190333.07195141976"/>
    <n v="94222.533148371149"/>
  </r>
  <r>
    <s v="Regular"/>
    <x v="4"/>
    <x v="4"/>
    <x v="5"/>
    <x v="0"/>
    <x v="0"/>
    <x v="0"/>
    <x v="2"/>
    <x v="5"/>
    <n v="0"/>
    <n v="0"/>
    <n v="392.77600000000001"/>
    <n v="392.77600000000001"/>
    <n v="392.77600000000001"/>
    <n v="392.77600000000001"/>
    <n v="451"/>
    <x v="0"/>
    <n v="0"/>
    <n v="0"/>
    <n v="58"/>
    <n v="99"/>
    <n v="0"/>
    <n v="379.62"/>
    <n v="255.17"/>
    <m/>
    <n v="482.71658332831322"/>
    <n v="238.98759729915042"/>
    <n v="0"/>
    <n v="149105.62512000001"/>
    <n v="100224.65192"/>
    <n v="0"/>
    <n v="189618.09852149955"/>
    <n v="93868.59251677111"/>
  </r>
  <r>
    <s v="Regular"/>
    <x v="4"/>
    <x v="4"/>
    <x v="5"/>
    <x v="0"/>
    <x v="0"/>
    <x v="0"/>
    <x v="2"/>
    <x v="0"/>
    <n v="0"/>
    <n v="0"/>
    <n v="336.15199999999999"/>
    <n v="336.15199999999999"/>
    <n v="336.15199999999999"/>
    <n v="336.15199999999999"/>
    <n v="457"/>
    <x v="0"/>
    <n v="0"/>
    <n v="0"/>
    <n v="58"/>
    <n v="99"/>
    <n v="0"/>
    <n v="379.62"/>
    <n v="255.17"/>
    <m/>
    <n v="482.71658332831322"/>
    <n v="238.98759729915042"/>
    <n v="0"/>
    <n v="127610.02223999999"/>
    <n v="85775.905839999992"/>
    <n v="0"/>
    <n v="162282.07185316595"/>
    <n v="80336.158807304004"/>
  </r>
  <r>
    <s v="Regular"/>
    <x v="4"/>
    <x v="4"/>
    <x v="5"/>
    <x v="0"/>
    <x v="0"/>
    <x v="0"/>
    <x v="2"/>
    <x v="6"/>
    <n v="0"/>
    <n v="0"/>
    <n v="365.01900000000001"/>
    <n v="365.01900000000001"/>
    <n v="365.01900000000001"/>
    <n v="365.01900000000001"/>
    <n v="452"/>
    <x v="0"/>
    <n v="0"/>
    <n v="0"/>
    <n v="58"/>
    <n v="99"/>
    <n v="0"/>
    <n v="379.62"/>
    <n v="255.17"/>
    <m/>
    <n v="482.71658332831322"/>
    <n v="238.98759729915042"/>
    <n v="0"/>
    <n v="138568.51277999999"/>
    <n v="93141.898229999992"/>
    <n v="0"/>
    <n v="176218.01918706653"/>
    <n v="87235.013778538589"/>
  </r>
  <r>
    <s v="Regular"/>
    <x v="4"/>
    <x v="4"/>
    <x v="5"/>
    <x v="0"/>
    <x v="0"/>
    <x v="0"/>
    <x v="2"/>
    <x v="7"/>
    <n v="0"/>
    <n v="0"/>
    <n v="355.18400000000003"/>
    <n v="355.18400000000003"/>
    <n v="355.18400000000003"/>
    <n v="355.18400000000003"/>
    <n v="453"/>
    <x v="0"/>
    <n v="0"/>
    <n v="0"/>
    <n v="58"/>
    <n v="99"/>
    <n v="0"/>
    <n v="379.62"/>
    <n v="255.17"/>
    <m/>
    <n v="482.71658332831322"/>
    <n v="238.98759729915042"/>
    <n v="0"/>
    <n v="134834.95008000001"/>
    <n v="90632.30128"/>
    <n v="0"/>
    <n v="171470.03560619871"/>
    <n v="84884.570759101451"/>
  </r>
  <r>
    <s v="Regular"/>
    <x v="4"/>
    <x v="4"/>
    <x v="5"/>
    <x v="0"/>
    <x v="0"/>
    <x v="0"/>
    <x v="2"/>
    <x v="8"/>
    <n v="0"/>
    <n v="0"/>
    <n v="475.65499999999997"/>
    <n v="475.65499999999997"/>
    <n v="475.65499999999997"/>
    <n v="475.65499999999997"/>
    <n v="451"/>
    <x v="0"/>
    <n v="0"/>
    <n v="0"/>
    <n v="58"/>
    <n v="99"/>
    <n v="0"/>
    <n v="379.62"/>
    <n v="255.17"/>
    <m/>
    <n v="482.71658332831322"/>
    <n v="238.98759729915042"/>
    <n v="0"/>
    <n v="180568.15109999999"/>
    <n v="121372.88634999999"/>
    <n v="0"/>
    <n v="229629.09305111275"/>
    <n v="113675.64559332738"/>
  </r>
  <r>
    <s v="Regular"/>
    <x v="4"/>
    <x v="4"/>
    <x v="5"/>
    <x v="0"/>
    <x v="0"/>
    <x v="0"/>
    <x v="2"/>
    <x v="9"/>
    <n v="0"/>
    <n v="0"/>
    <n v="418.78199999999998"/>
    <n v="418.78199999999998"/>
    <n v="418.78199999999998"/>
    <n v="418.78199999999998"/>
    <n v="450"/>
    <x v="0"/>
    <n v="0"/>
    <n v="0"/>
    <n v="58"/>
    <n v="99"/>
    <n v="0"/>
    <n v="379.62"/>
    <n v="255.17"/>
    <m/>
    <n v="482.71658332831322"/>
    <n v="238.98759729915042"/>
    <n v="0"/>
    <n v="158978.02283999999"/>
    <n v="106860.60294"/>
    <n v="0"/>
    <n v="202172.8581558716"/>
    <n v="100083.7039721328"/>
  </r>
  <r>
    <s v="Sistema de Compensação"/>
    <x v="4"/>
    <x v="4"/>
    <x v="5"/>
    <x v="0"/>
    <x v="0"/>
    <x v="0"/>
    <x v="2"/>
    <x v="9"/>
    <n v="0"/>
    <n v="0"/>
    <n v="0.107"/>
    <n v="0.107"/>
    <n v="0.107"/>
    <n v="0.107"/>
    <n v="1"/>
    <x v="0"/>
    <n v="0"/>
    <n v="0"/>
    <n v="58"/>
    <n v="99"/>
    <n v="0"/>
    <n v="379.62"/>
    <n v="255.17"/>
    <m/>
    <n v="482.71658332831322"/>
    <n v="238.98759729915042"/>
    <n v="0"/>
    <n v="40.619340000000001"/>
    <n v="27.303189999999997"/>
    <n v="0"/>
    <n v="51.655744092817415"/>
    <n v="25.571672911009095"/>
  </r>
  <r>
    <s v="Regular"/>
    <x v="4"/>
    <x v="4"/>
    <x v="5"/>
    <x v="0"/>
    <x v="0"/>
    <x v="0"/>
    <x v="2"/>
    <x v="1"/>
    <n v="0"/>
    <n v="0"/>
    <n v="314.72800000000001"/>
    <n v="314.72800000000001"/>
    <n v="314.72800000000001"/>
    <n v="314.72800000000001"/>
    <n v="451"/>
    <x v="0"/>
    <n v="0"/>
    <n v="0"/>
    <n v="58"/>
    <n v="99"/>
    <n v="0"/>
    <n v="379.62"/>
    <n v="255.17"/>
    <m/>
    <n v="482.71658332831322"/>
    <n v="238.98759729915042"/>
    <n v="0"/>
    <n v="119477.04336000001"/>
    <n v="80309.143759999992"/>
    <n v="0"/>
    <n v="151939.33669947888"/>
    <n v="75216.088522767022"/>
  </r>
  <r>
    <s v="Sistema de Compensação"/>
    <x v="4"/>
    <x v="4"/>
    <x v="5"/>
    <x v="0"/>
    <x v="0"/>
    <x v="0"/>
    <x v="2"/>
    <x v="1"/>
    <n v="0"/>
    <n v="0"/>
    <n v="1.3220000000000001"/>
    <n v="1.3220000000000001"/>
    <n v="1.3220000000000001"/>
    <n v="1.3220000000000001"/>
    <n v="1"/>
    <x v="0"/>
    <n v="0"/>
    <n v="0"/>
    <n v="58"/>
    <n v="99"/>
    <n v="0"/>
    <n v="379.62"/>
    <n v="255.17"/>
    <m/>
    <n v="482.71658332831322"/>
    <n v="238.98759729915042"/>
    <n v="0"/>
    <n v="501.85764"/>
    <n v="337.33474000000001"/>
    <n v="0"/>
    <n v="638.21395972621144"/>
    <n v="315.9416036294769"/>
  </r>
  <r>
    <s v="Regular"/>
    <x v="4"/>
    <x v="4"/>
    <x v="5"/>
    <x v="0"/>
    <x v="0"/>
    <x v="0"/>
    <x v="2"/>
    <x v="2"/>
    <n v="0"/>
    <n v="0"/>
    <n v="295.98200000000003"/>
    <n v="295.98200000000003"/>
    <n v="295.98200000000003"/>
    <n v="295.98200000000003"/>
    <n v="451"/>
    <x v="0"/>
    <n v="0"/>
    <n v="0"/>
    <n v="58"/>
    <n v="99"/>
    <n v="0"/>
    <n v="379.62"/>
    <n v="255.17"/>
    <m/>
    <n v="482.71658332831322"/>
    <n v="238.98759729915042"/>
    <n v="0"/>
    <n v="112360.68684000001"/>
    <n v="75525.726940000008"/>
    <n v="0"/>
    <n v="142889.44344000265"/>
    <n v="70736.027023797142"/>
  </r>
  <r>
    <s v="Sistema de Compensação"/>
    <x v="4"/>
    <x v="4"/>
    <x v="5"/>
    <x v="0"/>
    <x v="0"/>
    <x v="0"/>
    <x v="2"/>
    <x v="2"/>
    <n v="0"/>
    <n v="0"/>
    <n v="2.2280000000000002"/>
    <n v="2.2280000000000002"/>
    <n v="2.2280000000000002"/>
    <n v="2.2280000000000002"/>
    <n v="1"/>
    <x v="0"/>
    <n v="0"/>
    <n v="0"/>
    <n v="58"/>
    <n v="99"/>
    <n v="0"/>
    <n v="379.62"/>
    <n v="255.17"/>
    <m/>
    <n v="482.71658332831322"/>
    <n v="238.98759729915042"/>
    <n v="0"/>
    <n v="845.79336000000012"/>
    <n v="568.51876000000004"/>
    <n v="0"/>
    <n v="1075.5981106429645"/>
    <n v="532.46436678250723"/>
  </r>
  <r>
    <s v="Regular"/>
    <x v="4"/>
    <x v="4"/>
    <x v="5"/>
    <x v="0"/>
    <x v="0"/>
    <x v="0"/>
    <x v="2"/>
    <x v="3"/>
    <n v="0"/>
    <n v="0"/>
    <n v="278.72300000000001"/>
    <n v="278.72300000000001"/>
    <n v="278.72300000000001"/>
    <n v="278.72300000000001"/>
    <n v="450"/>
    <x v="0"/>
    <n v="0"/>
    <n v="0"/>
    <n v="58"/>
    <n v="99"/>
    <n v="0"/>
    <n v="379.62"/>
    <n v="255.17"/>
    <m/>
    <n v="482.71658332831322"/>
    <n v="238.98759729915042"/>
    <n v="0"/>
    <n v="105808.82526000001"/>
    <n v="71121.747910000006"/>
    <n v="0"/>
    <n v="134557.42019422757"/>
    <n v="66611.340082011113"/>
  </r>
  <r>
    <s v="Sistema de Compensação"/>
    <x v="4"/>
    <x v="4"/>
    <x v="5"/>
    <x v="0"/>
    <x v="0"/>
    <x v="0"/>
    <x v="2"/>
    <x v="3"/>
    <n v="0"/>
    <n v="0"/>
    <n v="2.2320000000000002"/>
    <n v="2.2320000000000002"/>
    <n v="2.2320000000000002"/>
    <n v="2.2320000000000002"/>
    <n v="1"/>
    <x v="0"/>
    <n v="0"/>
    <n v="0"/>
    <n v="58"/>
    <n v="99"/>
    <n v="0"/>
    <n v="379.62"/>
    <n v="255.17"/>
    <m/>
    <n v="482.71658332831322"/>
    <n v="238.98759729915042"/>
    <n v="0"/>
    <n v="847.31184000000007"/>
    <n v="569.53944000000001"/>
    <n v="0"/>
    <n v="1077.5291664969016"/>
    <n v="533.4203171717038"/>
  </r>
  <r>
    <s v="Regular"/>
    <x v="4"/>
    <x v="4"/>
    <x v="5"/>
    <x v="0"/>
    <x v="0"/>
    <x v="0"/>
    <x v="2"/>
    <x v="10"/>
    <n v="0"/>
    <n v="0"/>
    <n v="418.947"/>
    <n v="418.947"/>
    <n v="418.947"/>
    <n v="418.947"/>
    <n v="451"/>
    <x v="0"/>
    <n v="0"/>
    <n v="0"/>
    <n v="58"/>
    <n v="99"/>
    <n v="0"/>
    <n v="379.62"/>
    <n v="255.17"/>
    <m/>
    <n v="482.71658332831322"/>
    <n v="238.98759729915042"/>
    <n v="0"/>
    <n v="159040.66013999999"/>
    <n v="106902.70599"/>
    <n v="0"/>
    <n v="202252.5142098465"/>
    <n v="100123.13692568717"/>
  </r>
  <r>
    <s v="Sistema de Compensação"/>
    <x v="4"/>
    <x v="4"/>
    <x v="5"/>
    <x v="0"/>
    <x v="0"/>
    <x v="0"/>
    <x v="2"/>
    <x v="10"/>
    <n v="0"/>
    <n v="0"/>
    <n v="0.623"/>
    <n v="0.623"/>
    <n v="0.623"/>
    <n v="0.623"/>
    <n v="1"/>
    <x v="0"/>
    <n v="0"/>
    <n v="0"/>
    <n v="58"/>
    <n v="99"/>
    <n v="0"/>
    <n v="379.62"/>
    <n v="255.17"/>
    <m/>
    <n v="482.71658332831322"/>
    <n v="238.98759729915042"/>
    <n v="0"/>
    <n v="236.50326000000001"/>
    <n v="158.97091"/>
    <n v="0"/>
    <n v="300.76194925070325"/>
    <n v="148.88927311737072"/>
  </r>
  <r>
    <s v="PROJETADO"/>
    <x v="4"/>
    <x v="4"/>
    <x v="5"/>
    <x v="0"/>
    <x v="0"/>
    <x v="0"/>
    <x v="2"/>
    <x v="11"/>
    <n v="0"/>
    <n v="0"/>
    <n v="418.947"/>
    <n v="418.947"/>
    <n v="418.947"/>
    <n v="418.947"/>
    <n v="451"/>
    <x v="0"/>
    <n v="0"/>
    <n v="0"/>
    <n v="58"/>
    <n v="99"/>
    <n v="0"/>
    <n v="379.62"/>
    <n v="255.17"/>
    <m/>
    <n v="482.71658332831322"/>
    <n v="238.98759729915042"/>
    <n v="0"/>
    <n v="159040.66013999999"/>
    <n v="106902.70599"/>
    <n v="0"/>
    <n v="202252.5142098465"/>
    <n v="100123.13692568717"/>
  </r>
  <r>
    <s v="PROJETADO"/>
    <x v="4"/>
    <x v="4"/>
    <x v="5"/>
    <x v="0"/>
    <x v="0"/>
    <x v="0"/>
    <x v="2"/>
    <x v="11"/>
    <n v="0"/>
    <n v="0"/>
    <n v="0.623"/>
    <n v="0.623"/>
    <n v="0.623"/>
    <n v="0.623"/>
    <n v="1"/>
    <x v="0"/>
    <n v="0"/>
    <n v="0"/>
    <n v="58"/>
    <n v="99"/>
    <n v="0"/>
    <n v="379.62"/>
    <n v="255.17"/>
    <m/>
    <n v="482.71658332831322"/>
    <n v="238.98759729915042"/>
    <n v="0"/>
    <n v="236.50326000000001"/>
    <n v="158.97091"/>
    <n v="0"/>
    <n v="300.76194925070325"/>
    <n v="148.88927311737072"/>
  </r>
  <r>
    <s v="Regular"/>
    <x v="4"/>
    <x v="4"/>
    <x v="3"/>
    <x v="3"/>
    <x v="0"/>
    <x v="0"/>
    <x v="2"/>
    <x v="4"/>
    <n v="0"/>
    <n v="0"/>
    <n v="136.46199999999999"/>
    <n v="136.46199999999999"/>
    <n v="136.46199999999999"/>
    <n v="136.46199999999999"/>
    <n v="60"/>
    <x v="0"/>
    <n v="0"/>
    <n v="0"/>
    <n v="58"/>
    <n v="99"/>
    <n v="0"/>
    <n v="356.84280000000001"/>
    <n v="239.85979999999998"/>
    <m/>
    <n v="468.23508582846381"/>
    <n v="231.8179693801759"/>
    <n v="0"/>
    <n v="48695.482173599994"/>
    <n v="32731.748027599995"/>
    <n v="0"/>
    <n v="61926.199825891643"/>
    <n v="31634.34373755756"/>
  </r>
  <r>
    <s v="Regular"/>
    <x v="4"/>
    <x v="4"/>
    <x v="3"/>
    <x v="3"/>
    <x v="0"/>
    <x v="0"/>
    <x v="2"/>
    <x v="5"/>
    <n v="0"/>
    <n v="0"/>
    <n v="126.931"/>
    <n v="126.931"/>
    <n v="126.931"/>
    <n v="126.931"/>
    <n v="60"/>
    <x v="0"/>
    <n v="0"/>
    <n v="0"/>
    <n v="58"/>
    <n v="99"/>
    <n v="0"/>
    <n v="356.84280000000001"/>
    <n v="239.85979999999998"/>
    <m/>
    <n v="468.23508582846381"/>
    <n v="231.8179693801759"/>
    <n v="0"/>
    <n v="45294.413446799997"/>
    <n v="30445.644273799997"/>
    <n v="0"/>
    <n v="57601.049890081136"/>
    <n v="29424.886671395107"/>
  </r>
  <r>
    <s v="Regular"/>
    <x v="4"/>
    <x v="4"/>
    <x v="3"/>
    <x v="3"/>
    <x v="0"/>
    <x v="0"/>
    <x v="2"/>
    <x v="0"/>
    <n v="0"/>
    <n v="0"/>
    <n v="127.96"/>
    <n v="127.96"/>
    <n v="127.96"/>
    <n v="127.96"/>
    <n v="60"/>
    <x v="0"/>
    <n v="0"/>
    <n v="0"/>
    <n v="58"/>
    <n v="99"/>
    <n v="0"/>
    <n v="356.84280000000001"/>
    <n v="239.85979999999998"/>
    <m/>
    <n v="468.23508582846381"/>
    <n v="231.8179693801759"/>
    <n v="0"/>
    <n v="45661.604687999999"/>
    <n v="30692.460007999995"/>
    <n v="0"/>
    <n v="58068.00816140094"/>
    <n v="29663.427361887305"/>
  </r>
  <r>
    <s v="Regular"/>
    <x v="4"/>
    <x v="4"/>
    <x v="3"/>
    <x v="3"/>
    <x v="0"/>
    <x v="0"/>
    <x v="2"/>
    <x v="6"/>
    <n v="0"/>
    <n v="0"/>
    <n v="119.953"/>
    <n v="119.953"/>
    <n v="119.953"/>
    <n v="119.953"/>
    <n v="60"/>
    <x v="0"/>
    <n v="0"/>
    <n v="0"/>
    <n v="58"/>
    <n v="99"/>
    <n v="0"/>
    <n v="356.84280000000001"/>
    <n v="239.85979999999998"/>
    <m/>
    <n v="468.23508582846381"/>
    <n v="231.8179693801759"/>
    <n v="0"/>
    <n v="42804.364388400005"/>
    <n v="28771.902589399997"/>
    <n v="0"/>
    <n v="54434.446569119471"/>
    <n v="27807.26088106024"/>
  </r>
  <r>
    <s v="Regular"/>
    <x v="4"/>
    <x v="4"/>
    <x v="3"/>
    <x v="3"/>
    <x v="0"/>
    <x v="0"/>
    <x v="2"/>
    <x v="7"/>
    <n v="0"/>
    <n v="0"/>
    <n v="113.24"/>
    <n v="113.24"/>
    <n v="113.24"/>
    <n v="113.24"/>
    <n v="60"/>
    <x v="0"/>
    <n v="0"/>
    <n v="0"/>
    <n v="58"/>
    <n v="99"/>
    <n v="0"/>
    <n v="356.84280000000001"/>
    <n v="239.85979999999998"/>
    <m/>
    <n v="468.23508582846381"/>
    <n v="231.8179693801759"/>
    <n v="0"/>
    <n v="40408.878671999999"/>
    <n v="27161.723751999998"/>
    <n v="0"/>
    <n v="51388.099751461727"/>
    <n v="26251.066852611119"/>
  </r>
  <r>
    <s v="Regular"/>
    <x v="4"/>
    <x v="4"/>
    <x v="3"/>
    <x v="3"/>
    <x v="0"/>
    <x v="0"/>
    <x v="2"/>
    <x v="8"/>
    <n v="0"/>
    <n v="0"/>
    <n v="128.71899999999999"/>
    <n v="128.71899999999999"/>
    <n v="128.71899999999999"/>
    <n v="128.71899999999999"/>
    <n v="60"/>
    <x v="0"/>
    <n v="0"/>
    <n v="0"/>
    <n v="58"/>
    <n v="99"/>
    <n v="0"/>
    <n v="356.84280000000001"/>
    <n v="239.85979999999998"/>
    <m/>
    <n v="468.23508582846381"/>
    <n v="231.8179693801759"/>
    <n v="0"/>
    <n v="45932.448373200001"/>
    <n v="30874.513596199995"/>
    <n v="0"/>
    <n v="58412.44093878843"/>
    <n v="29839.377200646861"/>
  </r>
  <r>
    <s v="Regular"/>
    <x v="4"/>
    <x v="4"/>
    <x v="3"/>
    <x v="3"/>
    <x v="0"/>
    <x v="0"/>
    <x v="2"/>
    <x v="9"/>
    <n v="0"/>
    <n v="0"/>
    <n v="136.97"/>
    <n v="136.97"/>
    <n v="136.97"/>
    <n v="136.97"/>
    <n v="60"/>
    <x v="0"/>
    <n v="0"/>
    <n v="0"/>
    <n v="58"/>
    <n v="99"/>
    <n v="0"/>
    <n v="356.84280000000001"/>
    <n v="239.85979999999998"/>
    <m/>
    <n v="468.23508582846381"/>
    <n v="231.8179693801759"/>
    <n v="0"/>
    <n v="48876.758315999999"/>
    <n v="32853.596805999994"/>
    <n v="0"/>
    <n v="62156.729273734665"/>
    <n v="31752.107266002691"/>
  </r>
  <r>
    <s v="Regular"/>
    <x v="4"/>
    <x v="4"/>
    <x v="3"/>
    <x v="3"/>
    <x v="0"/>
    <x v="0"/>
    <x v="2"/>
    <x v="1"/>
    <n v="0"/>
    <n v="0"/>
    <n v="121.28700000000001"/>
    <n v="121.28700000000001"/>
    <n v="121.28700000000001"/>
    <n v="121.28700000000001"/>
    <n v="60"/>
    <x v="0"/>
    <n v="0"/>
    <n v="0"/>
    <n v="58"/>
    <n v="99"/>
    <n v="0"/>
    <n v="356.84280000000001"/>
    <n v="239.85979999999998"/>
    <m/>
    <n v="468.23508582846381"/>
    <n v="231.8179693801759"/>
    <n v="0"/>
    <n v="43280.392683600003"/>
    <n v="29091.875562599998"/>
    <n v="0"/>
    <n v="55039.813268770216"/>
    <n v="28116.506052213394"/>
  </r>
  <r>
    <s v="Regular"/>
    <x v="4"/>
    <x v="4"/>
    <x v="3"/>
    <x v="3"/>
    <x v="0"/>
    <x v="0"/>
    <x v="2"/>
    <x v="2"/>
    <n v="0"/>
    <n v="0"/>
    <n v="134.69"/>
    <n v="134.69"/>
    <n v="134.69"/>
    <n v="134.69"/>
    <n v="60"/>
    <x v="0"/>
    <n v="0"/>
    <n v="0"/>
    <n v="58"/>
    <n v="99"/>
    <n v="0"/>
    <n v="356.84280000000001"/>
    <n v="239.85979999999998"/>
    <m/>
    <n v="468.23508582846381"/>
    <n v="231.8179693801759"/>
    <n v="0"/>
    <n v="48063.156732000003"/>
    <n v="32306.716461999997"/>
    <n v="0"/>
    <n v="61122.069547195162"/>
    <n v="31223.562295815889"/>
  </r>
  <r>
    <s v="Regular"/>
    <x v="4"/>
    <x v="4"/>
    <x v="3"/>
    <x v="3"/>
    <x v="0"/>
    <x v="0"/>
    <x v="2"/>
    <x v="3"/>
    <n v="0"/>
    <n v="0"/>
    <n v="135.35599999999999"/>
    <n v="135.35599999999999"/>
    <n v="135.35599999999999"/>
    <n v="135.35599999999999"/>
    <n v="60"/>
    <x v="0"/>
    <n v="0"/>
    <n v="0"/>
    <n v="58"/>
    <n v="99"/>
    <n v="0"/>
    <n v="356.84280000000001"/>
    <n v="239.85979999999998"/>
    <m/>
    <n v="468.23508582846381"/>
    <n v="231.8179693801759"/>
    <n v="0"/>
    <n v="48300.814036800002"/>
    <n v="32466.463088799996"/>
    <n v="0"/>
    <n v="61424.299098894859"/>
    <n v="31377.953063423087"/>
  </r>
  <r>
    <s v="Regular"/>
    <x v="4"/>
    <x v="4"/>
    <x v="3"/>
    <x v="3"/>
    <x v="0"/>
    <x v="0"/>
    <x v="2"/>
    <x v="10"/>
    <n v="0"/>
    <n v="0"/>
    <n v="140.65799999999999"/>
    <n v="140.65799999999999"/>
    <n v="140.65799999999999"/>
    <n v="140.65799999999999"/>
    <n v="60"/>
    <x v="0"/>
    <n v="0"/>
    <n v="0"/>
    <n v="58"/>
    <n v="99"/>
    <n v="0"/>
    <n v="356.84280000000001"/>
    <n v="239.85979999999998"/>
    <m/>
    <n v="468.23508582846381"/>
    <n v="231.8179693801759"/>
    <n v="0"/>
    <n v="50192.794562399999"/>
    <n v="33738.199748399995"/>
    <n v="0"/>
    <n v="63830.336761224877"/>
    <n v="32607.05193707678"/>
  </r>
  <r>
    <s v="PROJETADO"/>
    <x v="4"/>
    <x v="4"/>
    <x v="3"/>
    <x v="3"/>
    <x v="0"/>
    <x v="0"/>
    <x v="2"/>
    <x v="11"/>
    <n v="0"/>
    <n v="0"/>
    <n v="140.65799999999999"/>
    <n v="140.65799999999999"/>
    <n v="140.65799999999999"/>
    <n v="140.65799999999999"/>
    <n v="60"/>
    <x v="0"/>
    <n v="0"/>
    <n v="0"/>
    <n v="58"/>
    <n v="99"/>
    <n v="0"/>
    <n v="356.84280000000001"/>
    <n v="239.85979999999998"/>
    <m/>
    <n v="468.23508582846381"/>
    <n v="231.8179693801759"/>
    <n v="0"/>
    <n v="50192.794562399999"/>
    <n v="33738.199748399995"/>
    <n v="0"/>
    <n v="63830.336761224877"/>
    <n v="32607.05193707678"/>
  </r>
  <r>
    <s v="Regular"/>
    <x v="5"/>
    <x v="4"/>
    <x v="8"/>
    <x v="9"/>
    <x v="0"/>
    <x v="0"/>
    <x v="2"/>
    <x v="4"/>
    <n v="0"/>
    <n v="0"/>
    <n v="388.404"/>
    <n v="388.404"/>
    <n v="388.404"/>
    <n v="388.404"/>
    <n v="10"/>
    <x v="0"/>
    <n v="0"/>
    <n v="0"/>
    <n v="60"/>
    <n v="101"/>
    <n v="0"/>
    <n v="208.79"/>
    <n v="140.34"/>
    <m/>
    <n v="265.49412083057229"/>
    <n v="131.44317851453278"/>
    <n v="0"/>
    <n v="81094.871159999995"/>
    <n v="54508.617360000004"/>
    <n v="0"/>
    <n v="103129.09996023047"/>
    <n v="51053.05630775859"/>
  </r>
  <r>
    <s v="Regular"/>
    <x v="5"/>
    <x v="4"/>
    <x v="8"/>
    <x v="9"/>
    <x v="0"/>
    <x v="0"/>
    <x v="2"/>
    <x v="5"/>
    <n v="0"/>
    <n v="0"/>
    <n v="392.16199999999998"/>
    <n v="392.16199999999998"/>
    <n v="392.16199999999998"/>
    <n v="392.16199999999998"/>
    <n v="10"/>
    <x v="0"/>
    <n v="0"/>
    <n v="0"/>
    <n v="60"/>
    <n v="101"/>
    <n v="0"/>
    <n v="208.79"/>
    <n v="140.34"/>
    <m/>
    <n v="265.49412083057229"/>
    <n v="131.44317851453278"/>
    <n v="0"/>
    <n v="81879.503979999994"/>
    <n v="55036.015079999997"/>
    <n v="0"/>
    <n v="104126.92479635611"/>
    <n v="51547.0197726162"/>
  </r>
  <r>
    <s v="Regular"/>
    <x v="5"/>
    <x v="4"/>
    <x v="8"/>
    <x v="9"/>
    <x v="0"/>
    <x v="0"/>
    <x v="2"/>
    <x v="0"/>
    <n v="0"/>
    <n v="0"/>
    <n v="398.52600000000001"/>
    <n v="398.52600000000001"/>
    <n v="398.52600000000001"/>
    <n v="398.52600000000001"/>
    <n v="10"/>
    <x v="0"/>
    <n v="0"/>
    <n v="0"/>
    <n v="60"/>
    <n v="101"/>
    <n v="0"/>
    <n v="208.79"/>
    <n v="140.34"/>
    <m/>
    <n v="265.49412083057229"/>
    <n v="131.44317851453278"/>
    <n v="0"/>
    <n v="83208.243539999996"/>
    <n v="55929.13884"/>
    <n v="0"/>
    <n v="105816.69522134378"/>
    <n v="52383.524160682689"/>
  </r>
  <r>
    <s v="Regular"/>
    <x v="5"/>
    <x v="4"/>
    <x v="8"/>
    <x v="9"/>
    <x v="0"/>
    <x v="0"/>
    <x v="2"/>
    <x v="6"/>
    <n v="0"/>
    <n v="0"/>
    <n v="372.46199999999999"/>
    <n v="372.46199999999999"/>
    <n v="372.46199999999999"/>
    <n v="372.46199999999999"/>
    <n v="10"/>
    <x v="0"/>
    <n v="0"/>
    <n v="0"/>
    <n v="60"/>
    <n v="101"/>
    <n v="0"/>
    <n v="208.79"/>
    <n v="140.34"/>
    <m/>
    <n v="265.49412083057229"/>
    <n v="131.44317851453278"/>
    <n v="0"/>
    <n v="77766.340979999994"/>
    <n v="52271.317080000001"/>
    <n v="0"/>
    <n v="98896.177252003996"/>
    <n v="48957.589155879905"/>
  </r>
  <r>
    <s v="Regular"/>
    <x v="5"/>
    <x v="4"/>
    <x v="8"/>
    <x v="9"/>
    <x v="0"/>
    <x v="0"/>
    <x v="2"/>
    <x v="7"/>
    <n v="0"/>
    <n v="0"/>
    <n v="428.50099999999998"/>
    <n v="428.50099999999998"/>
    <n v="428.50099999999998"/>
    <n v="428.50099999999998"/>
    <n v="10"/>
    <x v="0"/>
    <n v="0"/>
    <n v="0"/>
    <n v="60"/>
    <n v="101"/>
    <n v="0"/>
    <n v="208.79"/>
    <n v="140.34"/>
    <m/>
    <n v="265.49412083057229"/>
    <n v="131.44317851453278"/>
    <n v="0"/>
    <n v="89466.723789999989"/>
    <n v="60135.83034"/>
    <n v="0"/>
    <n v="113775.6626143364"/>
    <n v="56323.533436655809"/>
  </r>
  <r>
    <s v="Regular"/>
    <x v="5"/>
    <x v="4"/>
    <x v="8"/>
    <x v="9"/>
    <x v="0"/>
    <x v="0"/>
    <x v="2"/>
    <x v="8"/>
    <n v="0"/>
    <n v="0"/>
    <n v="430.83100000000002"/>
    <n v="430.83100000000002"/>
    <n v="430.83100000000002"/>
    <n v="430.83100000000002"/>
    <n v="10"/>
    <x v="0"/>
    <n v="0"/>
    <n v="0"/>
    <n v="60"/>
    <n v="101"/>
    <n v="0"/>
    <n v="208.79"/>
    <n v="140.34"/>
    <m/>
    <n v="265.49412083057229"/>
    <n v="131.44317851453278"/>
    <n v="0"/>
    <n v="89953.204490000004"/>
    <n v="60462.822540000001"/>
    <n v="0"/>
    <n v="114394.3246335415"/>
    <n v="56629.796042594673"/>
  </r>
  <r>
    <s v="Regular"/>
    <x v="5"/>
    <x v="4"/>
    <x v="8"/>
    <x v="9"/>
    <x v="0"/>
    <x v="0"/>
    <x v="2"/>
    <x v="9"/>
    <n v="0"/>
    <n v="0"/>
    <n v="457.91300000000001"/>
    <n v="457.91300000000001"/>
    <n v="457.91300000000001"/>
    <n v="457.91300000000001"/>
    <n v="10"/>
    <x v="0"/>
    <n v="0"/>
    <n v="0"/>
    <n v="60"/>
    <n v="101"/>
    <n v="0"/>
    <n v="208.79"/>
    <n v="140.34"/>
    <m/>
    <n v="265.49412083057229"/>
    <n v="131.44317851453278"/>
    <n v="0"/>
    <n v="95607.655270000003"/>
    <n v="64263.510420000006"/>
    <n v="0"/>
    <n v="121585.14214603613"/>
    <n v="60189.540203125245"/>
  </r>
  <r>
    <s v="Regular"/>
    <x v="5"/>
    <x v="4"/>
    <x v="8"/>
    <x v="9"/>
    <x v="0"/>
    <x v="0"/>
    <x v="2"/>
    <x v="1"/>
    <n v="0"/>
    <n v="0"/>
    <n v="450.31200000000001"/>
    <n v="450.31200000000001"/>
    <n v="450.31200000000001"/>
    <n v="450.31200000000001"/>
    <n v="10"/>
    <x v="0"/>
    <n v="0"/>
    <n v="0"/>
    <n v="60"/>
    <n v="101"/>
    <n v="0"/>
    <n v="208.79"/>
    <n v="140.34"/>
    <m/>
    <n v="265.49412083057229"/>
    <n v="131.44317851453278"/>
    <n v="0"/>
    <n v="94020.642479999995"/>
    <n v="63196.786080000005"/>
    <n v="0"/>
    <n v="119566.92325849194"/>
    <n v="59190.440603236282"/>
  </r>
  <r>
    <s v="Regular"/>
    <x v="5"/>
    <x v="4"/>
    <x v="8"/>
    <x v="9"/>
    <x v="0"/>
    <x v="0"/>
    <x v="2"/>
    <x v="2"/>
    <n v="0"/>
    <n v="0"/>
    <n v="467.81"/>
    <n v="467.81"/>
    <n v="467.81"/>
    <n v="467.81"/>
    <n v="10"/>
    <x v="0"/>
    <n v="0"/>
    <n v="0"/>
    <n v="60"/>
    <n v="101"/>
    <n v="0"/>
    <n v="208.79"/>
    <n v="140.34"/>
    <m/>
    <n v="265.49412083057229"/>
    <n v="131.44317851453278"/>
    <n v="0"/>
    <n v="97674.049899999998"/>
    <n v="65652.455400000006"/>
    <n v="0"/>
    <n v="124212.99536666826"/>
    <n v="61490.433340883581"/>
  </r>
  <r>
    <s v="Regular"/>
    <x v="5"/>
    <x v="4"/>
    <x v="8"/>
    <x v="9"/>
    <x v="0"/>
    <x v="0"/>
    <x v="2"/>
    <x v="3"/>
    <n v="0"/>
    <n v="0"/>
    <n v="459.02600000000001"/>
    <n v="459.02600000000001"/>
    <n v="459.02600000000001"/>
    <n v="459.02600000000001"/>
    <n v="10"/>
    <x v="0"/>
    <n v="0"/>
    <n v="0"/>
    <n v="60"/>
    <n v="101"/>
    <n v="0"/>
    <n v="208.79"/>
    <n v="140.34"/>
    <m/>
    <n v="265.49412083057229"/>
    <n v="131.44317851453278"/>
    <n v="0"/>
    <n v="95840.038539999994"/>
    <n v="64419.708840000007"/>
    <n v="0"/>
    <n v="121880.66610628302"/>
    <n v="60335.836460811923"/>
  </r>
  <r>
    <s v="Regular"/>
    <x v="5"/>
    <x v="4"/>
    <x v="8"/>
    <x v="9"/>
    <x v="0"/>
    <x v="0"/>
    <x v="2"/>
    <x v="10"/>
    <n v="0"/>
    <n v="0"/>
    <n v="429.27"/>
    <n v="429.27"/>
    <n v="429.27"/>
    <n v="429.27"/>
    <n v="10"/>
    <x v="0"/>
    <n v="0"/>
    <n v="0"/>
    <n v="60"/>
    <n v="101"/>
    <n v="0"/>
    <n v="208.79"/>
    <n v="140.34"/>
    <m/>
    <n v="265.49412083057229"/>
    <n v="131.44317851453278"/>
    <n v="0"/>
    <n v="89627.283299999996"/>
    <n v="60243.751799999998"/>
    <n v="0"/>
    <n v="113979.84763269208"/>
    <n v="56424.613240933482"/>
  </r>
  <r>
    <s v="PROJETADO"/>
    <x v="5"/>
    <x v="4"/>
    <x v="8"/>
    <x v="9"/>
    <x v="0"/>
    <x v="0"/>
    <x v="2"/>
    <x v="11"/>
    <n v="0"/>
    <n v="0"/>
    <n v="429.27"/>
    <n v="429.27"/>
    <n v="429.27"/>
    <n v="429.27"/>
    <n v="10"/>
    <x v="0"/>
    <n v="0"/>
    <n v="0"/>
    <n v="60"/>
    <n v="101"/>
    <n v="0"/>
    <n v="208.79"/>
    <n v="140.34"/>
    <m/>
    <n v="265.49412083057229"/>
    <n v="131.44317851453278"/>
    <n v="0"/>
    <n v="89627.283299999996"/>
    <n v="60243.751799999998"/>
    <n v="0"/>
    <n v="113979.84763269208"/>
    <n v="56424.6132409334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3D6FC-726D-4299-BF43-3B4ED36E3F25}" name="Efeito Resumo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903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10">
        <item x="0"/>
        <item x="7"/>
        <item x="8"/>
        <item x="4"/>
        <item x="2"/>
        <item x="5"/>
        <item x="6"/>
        <item x="1"/>
        <item x="3"/>
        <item t="default"/>
      </items>
    </pivotField>
    <pivotField axis="axisRow" showAll="0">
      <items count="11">
        <item x="1"/>
        <item x="3"/>
        <item x="2"/>
        <item x="9"/>
        <item x="0"/>
        <item x="4"/>
        <item x="5"/>
        <item x="6"/>
        <item x="7"/>
        <item x="8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4"/>
        <item x="5"/>
        <item x="0"/>
        <item x="6"/>
        <item x="7"/>
        <item x="8"/>
        <item x="9"/>
        <item x="1"/>
        <item x="2"/>
        <item x="3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0"/>
        <item x="1"/>
        <item x="2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902">
    <i>
      <x/>
    </i>
    <i r="1">
      <x/>
    </i>
    <i r="2">
      <x/>
    </i>
    <i r="3">
      <x/>
    </i>
    <i r="4">
      <x v="4"/>
    </i>
    <i r="5">
      <x v="3"/>
    </i>
    <i r="6">
      <x v="1"/>
    </i>
    <i r="7">
      <x/>
    </i>
    <i r="8">
      <x v="2"/>
    </i>
    <i r="7">
      <x v="3"/>
    </i>
    <i r="8">
      <x v="2"/>
    </i>
    <i r="3">
      <x v="7"/>
    </i>
    <i r="4">
      <x/>
    </i>
    <i r="5">
      <x v="2"/>
    </i>
    <i r="6">
      <x v="1"/>
    </i>
    <i r="7">
      <x/>
    </i>
    <i r="8">
      <x v="7"/>
    </i>
    <i r="8">
      <x v="8"/>
    </i>
    <i r="8">
      <x v="9"/>
    </i>
    <i r="5">
      <x v="3"/>
    </i>
    <i r="6">
      <x v="1"/>
    </i>
    <i r="7">
      <x/>
    </i>
    <i r="8">
      <x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7"/>
    </i>
    <i r="4">
      <x/>
    </i>
    <i r="5">
      <x v="2"/>
    </i>
    <i r="6">
      <x v="1"/>
    </i>
    <i r="7">
      <x/>
    </i>
    <i r="8">
      <x v="10"/>
    </i>
    <i r="8">
      <x v="11"/>
    </i>
    <i r="5">
      <x v="3"/>
    </i>
    <i r="6">
      <x v="1"/>
    </i>
    <i r="7">
      <x/>
    </i>
    <i r="8">
      <x v="10"/>
    </i>
    <i r="8">
      <x v="11"/>
    </i>
    <i r="7">
      <x v="2"/>
    </i>
    <i r="8">
      <x v="10"/>
    </i>
    <i r="8">
      <x v="11"/>
    </i>
    <i r="7">
      <x v="3"/>
    </i>
    <i r="8">
      <x v="10"/>
    </i>
    <i r="8">
      <x v="11"/>
    </i>
    <i r="4">
      <x v="2"/>
    </i>
    <i r="5">
      <x v="3"/>
    </i>
    <i r="6">
      <x v="1"/>
    </i>
    <i r="7">
      <x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1">
      <x v="1"/>
    </i>
    <i r="2">
      <x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2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 v="1"/>
    </i>
    <i r="7">
      <x/>
    </i>
    <i r="8">
      <x/>
    </i>
    <i r="8">
      <x v="1"/>
    </i>
    <i r="8">
      <x v="2"/>
    </i>
    <i r="7">
      <x v="2"/>
    </i>
    <i r="8">
      <x/>
    </i>
    <i r="8">
      <x v="1"/>
    </i>
    <i r="8">
      <x v="2"/>
    </i>
    <i r="7">
      <x v="3"/>
    </i>
    <i r="8">
      <x/>
    </i>
    <i r="8">
      <x v="1"/>
    </i>
    <i r="8">
      <x v="2"/>
    </i>
    <i r="4">
      <x v="4"/>
    </i>
    <i r="5">
      <x v="3"/>
    </i>
    <i r="6">
      <x v="1"/>
    </i>
    <i r="7">
      <x/>
    </i>
    <i r="8">
      <x v="8"/>
    </i>
    <i r="8">
      <x v="9"/>
    </i>
    <i r="8">
      <x v="10"/>
    </i>
    <i r="8">
      <x v="11"/>
    </i>
    <i r="7">
      <x v="2"/>
    </i>
    <i r="8">
      <x v="8"/>
    </i>
    <i r="8">
      <x v="9"/>
    </i>
    <i r="8">
      <x v="10"/>
    </i>
    <i r="8">
      <x v="11"/>
    </i>
    <i r="7">
      <x v="3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5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5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2"/>
    </i>
    <i r="3">
      <x v="7"/>
    </i>
    <i r="4">
      <x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2"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4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 v="4"/>
    </i>
    <i r="3">
      <x v="3"/>
    </i>
    <i r="4">
      <x v="4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460">
    <format dxfId="1086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08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84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083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1082">
      <pivotArea type="all" dataOnly="0" outline="0" fieldPosition="0"/>
    </format>
    <format dxfId="1081">
      <pivotArea outline="0" collapsedLevelsAreSubtotals="1" fieldPosition="0"/>
    </format>
    <format dxfId="1080">
      <pivotArea field="16" type="button" dataOnly="0" labelOnly="1" outline="0" axis="axisRow" fieldPosition="0"/>
    </format>
    <format dxfId="1079">
      <pivotArea dataOnly="0" labelOnly="1" fieldPosition="0">
        <references count="1">
          <reference field="16" count="0"/>
        </references>
      </pivotArea>
    </format>
    <format dxfId="1078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1077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1076">
      <pivotArea dataOnly="0" labelOnly="1" fieldPosition="0">
        <references count="2">
          <reference field="1" count="1">
            <x v="1"/>
          </reference>
          <reference field="16" count="1" selected="0">
            <x v="2"/>
          </reference>
        </references>
      </pivotArea>
    </format>
    <format dxfId="1075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1074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1073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072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1071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070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106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1068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06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0"/>
            <x v="7"/>
          </reference>
          <reference field="16" count="1" selected="0">
            <x v="0"/>
          </reference>
        </references>
      </pivotArea>
    </format>
    <format dxfId="1066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06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0"/>
            <x v="8"/>
          </reference>
          <reference field="16" count="1" selected="0">
            <x v="0"/>
          </reference>
        </references>
      </pivotArea>
    </format>
    <format dxfId="1064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1063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062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061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060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5"/>
          </reference>
          <reference field="16" count="1" selected="0">
            <x v="0"/>
          </reference>
        </references>
      </pivotArea>
    </format>
    <format dxfId="1059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1058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1057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105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105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05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1053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105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05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05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04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04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04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104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04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104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104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104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04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04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03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03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03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03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035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03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103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103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3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1030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1029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28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2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2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2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2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2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2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102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2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1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1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1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1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1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1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1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1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101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101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0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08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0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0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0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0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0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02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100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100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99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9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9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9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9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94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93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9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9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9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8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8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8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8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8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8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8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8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8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8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7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7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7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7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7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7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7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7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7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7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6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6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6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6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6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64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96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96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96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96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95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95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95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95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95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5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95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95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95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95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94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94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94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94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94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94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94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4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4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4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3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3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3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3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3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3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33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932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93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3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2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2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2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26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2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92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92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">
            <x v="2"/>
          </reference>
          <reference field="16" count="1" selected="0">
            <x v="0"/>
          </reference>
        </references>
      </pivotArea>
    </format>
    <format dxfId="92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2"/>
          </reference>
          <reference field="16" count="1" selected="0">
            <x v="0"/>
          </reference>
        </references>
      </pivotArea>
    </format>
    <format dxfId="92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7"/>
            <x v="8"/>
            <x v="9"/>
          </reference>
          <reference field="16" count="1" selected="0">
            <x v="0"/>
          </reference>
        </references>
      </pivotArea>
    </format>
    <format dxfId="92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91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91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91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91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91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91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91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91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91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8">
            <x v="0"/>
            <x v="1"/>
            <x v="2"/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91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0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0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0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0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0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0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0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0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0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0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9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9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9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9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9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9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9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89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89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89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88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88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88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8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8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8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8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88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8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8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7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7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7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7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7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7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7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7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7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7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86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6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86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86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86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6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6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6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6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60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5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85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85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85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855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854">
      <pivotArea type="all" dataOnly="0" outline="0" fieldPosition="0"/>
    </format>
    <format dxfId="853">
      <pivotArea outline="0" collapsedLevelsAreSubtotals="1" fieldPosition="0"/>
    </format>
    <format dxfId="852">
      <pivotArea field="16" type="button" dataOnly="0" labelOnly="1" outline="0" axis="axisRow" fieldPosition="0"/>
    </format>
    <format dxfId="851">
      <pivotArea dataOnly="0" labelOnly="1" fieldPosition="0">
        <references count="1">
          <reference field="16" count="0"/>
        </references>
      </pivotArea>
    </format>
    <format dxfId="850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849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848">
      <pivotArea dataOnly="0" labelOnly="1" fieldPosition="0">
        <references count="2">
          <reference field="1" count="1">
            <x v="1"/>
          </reference>
          <reference field="16" count="1" selected="0">
            <x v="2"/>
          </reference>
        </references>
      </pivotArea>
    </format>
    <format dxfId="847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84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845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44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843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42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84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840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83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0"/>
            <x v="7"/>
          </reference>
          <reference field="16" count="1" selected="0">
            <x v="0"/>
          </reference>
        </references>
      </pivotArea>
    </format>
    <format dxfId="838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3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0"/>
            <x v="8"/>
          </reference>
          <reference field="16" count="1" selected="0">
            <x v="0"/>
          </reference>
        </references>
      </pivotArea>
    </format>
    <format dxfId="83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83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3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33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32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2">
            <x v="0"/>
            <x v="5"/>
          </reference>
          <reference field="16" count="1" selected="0">
            <x v="0"/>
          </reference>
        </references>
      </pivotArea>
    </format>
    <format dxfId="831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830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82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82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82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2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825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82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2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2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2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2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1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81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1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5"/>
          </reference>
          <reference field="16" count="1" selected="0">
            <x v="0"/>
          </reference>
        </references>
      </pivotArea>
    </format>
    <format dxfId="816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5"/>
            <x v="6"/>
            <x v="7"/>
            <x v="8"/>
            <x v="9"/>
          </reference>
          <reference field="16" count="1" selected="0">
            <x v="0"/>
          </reference>
        </references>
      </pivotArea>
    </format>
    <format dxfId="81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0"/>
            <x v="2"/>
            <x v="4"/>
          </reference>
          <reference field="16" count="1" selected="0">
            <x v="0"/>
          </reference>
        </references>
      </pivotArea>
    </format>
    <format dxfId="814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1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1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1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1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0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0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07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4"/>
          </reference>
          <reference field="16" count="1" selected="0">
            <x v="1"/>
          </reference>
        </references>
      </pivotArea>
    </format>
    <format dxfId="80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4"/>
          </reference>
          <reference field="16" count="1" selected="0">
            <x v="2"/>
          </reference>
        </references>
      </pivotArea>
    </format>
    <format dxfId="80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0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802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801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00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79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9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8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8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4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7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77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77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7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8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7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3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73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73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9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9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">
            <x v="2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2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7"/>
            <x v="8"/>
            <x v="9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2">
            <x v="10"/>
            <x v="11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8">
            <x v="0"/>
            <x v="1"/>
            <x v="2"/>
            <x v="3"/>
            <x v="4"/>
            <x v="5"/>
            <x v="6"/>
            <x v="7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5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9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4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3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2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3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2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2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4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2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D0D07C-B5E8-4816-BB1D-8FC42895768A}" name="Subsidio Resumo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536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6">
        <item x="3"/>
        <item x="1"/>
        <item x="4"/>
        <item x="0"/>
        <item x="2"/>
        <item t="default"/>
      </items>
    </pivotField>
    <pivotField axis="axisRow" showAll="0">
      <items count="10">
        <item x="0"/>
        <item x="3"/>
        <item x="2"/>
        <item x="1"/>
        <item x="4"/>
        <item x="5"/>
        <item x="6"/>
        <item x="7"/>
        <item x="8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numFmtId="14" showAll="0">
      <items count="13">
        <item x="3"/>
        <item x="4"/>
        <item x="11"/>
        <item x="5"/>
        <item x="6"/>
        <item x="7"/>
        <item x="8"/>
        <item x="0"/>
        <item x="1"/>
        <item x="2"/>
        <item x="9"/>
        <item x="10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3"/>
        <item x="6"/>
        <item x="4"/>
        <item x="2"/>
        <item x="0"/>
        <item x="1"/>
        <item x="5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535">
    <i>
      <x/>
    </i>
    <i r="1">
      <x v="1"/>
    </i>
    <i r="2">
      <x/>
    </i>
    <i r="3">
      <x v="4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 v="4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4"/>
    </i>
    <i r="4">
      <x v="1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1"/>
    </i>
    <i r="3">
      <x v="2"/>
    </i>
    <i r="4">
      <x v="5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 v="3"/>
    </i>
    <i r="3">
      <x/>
    </i>
    <i r="4">
      <x v="3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1"/>
    </i>
    <i r="4">
      <x v="3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/>
    </i>
    <i r="3">
      <x v="3"/>
    </i>
    <i r="4">
      <x/>
    </i>
    <i r="5">
      <x v="2"/>
    </i>
    <i r="6">
      <x v="1"/>
    </i>
    <i r="7">
      <x/>
    </i>
    <i r="8">
      <x v="7"/>
    </i>
    <i r="8">
      <x v="8"/>
    </i>
    <i r="8">
      <x v="9"/>
    </i>
    <i r="2">
      <x v="3"/>
    </i>
    <i r="3">
      <x v="3"/>
    </i>
    <i r="4">
      <x/>
    </i>
    <i r="5">
      <x v="2"/>
    </i>
    <i r="6">
      <x v="1"/>
    </i>
    <i r="7">
      <x/>
    </i>
    <i r="8">
      <x v="10"/>
    </i>
    <i r="8">
      <x v="11"/>
    </i>
    <i r="1">
      <x v="1"/>
    </i>
    <i r="2">
      <x v="3"/>
    </i>
    <i r="3">
      <x v="3"/>
    </i>
    <i r="4">
      <x/>
    </i>
    <i r="5">
      <x v="2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/>
    </i>
    <i r="5">
      <x v="2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/>
    </i>
    <i r="2">
      <x/>
    </i>
    <i r="3">
      <x v="3"/>
    </i>
    <i r="4">
      <x/>
    </i>
    <i r="5">
      <x v="3"/>
    </i>
    <i r="6">
      <x v="1"/>
    </i>
    <i r="7">
      <x/>
    </i>
    <i r="8">
      <x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 v="3"/>
    </i>
    <i r="4">
      <x/>
    </i>
    <i r="5">
      <x v="3"/>
    </i>
    <i r="6">
      <x v="1"/>
    </i>
    <i r="7">
      <x/>
    </i>
    <i r="8">
      <x v="10"/>
    </i>
    <i r="8">
      <x v="11"/>
    </i>
    <i r="7">
      <x v="1"/>
    </i>
    <i r="8">
      <x v="10"/>
    </i>
    <i r="8">
      <x v="11"/>
    </i>
    <i r="7">
      <x v="2"/>
    </i>
    <i r="8">
      <x v="10"/>
    </i>
    <i r="8">
      <x v="11"/>
    </i>
    <i r="4">
      <x v="2"/>
    </i>
    <i r="5">
      <x v="3"/>
    </i>
    <i r="6">
      <x v="1"/>
    </i>
    <i r="7">
      <x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1">
      <x v="1"/>
    </i>
    <i r="2">
      <x v="3"/>
    </i>
    <i r="3">
      <x v="3"/>
    </i>
    <i r="4">
      <x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 v="1"/>
    </i>
    <i r="7">
      <x/>
    </i>
    <i r="8">
      <x/>
    </i>
    <i r="8">
      <x v="1"/>
    </i>
    <i r="8">
      <x v="2"/>
    </i>
    <i r="7">
      <x v="1"/>
    </i>
    <i r="8">
      <x/>
    </i>
    <i r="8">
      <x v="1"/>
    </i>
    <i r="8">
      <x v="2"/>
    </i>
    <i r="7">
      <x v="2"/>
    </i>
    <i r="8">
      <x/>
    </i>
    <i r="8">
      <x v="1"/>
    </i>
    <i r="8">
      <x v="2"/>
    </i>
    <i r="4">
      <x v="3"/>
    </i>
    <i r="5">
      <x v="3"/>
    </i>
    <i r="6">
      <x v="1"/>
    </i>
    <i r="7">
      <x/>
    </i>
    <i r="8">
      <x v="8"/>
    </i>
    <i r="8">
      <x v="9"/>
    </i>
    <i r="8">
      <x v="10"/>
    </i>
    <i r="8">
      <x v="11"/>
    </i>
    <i r="7">
      <x v="1"/>
    </i>
    <i r="8">
      <x v="8"/>
    </i>
    <i r="8">
      <x v="9"/>
    </i>
    <i r="8">
      <x v="10"/>
    </i>
    <i r="8">
      <x v="11"/>
    </i>
    <i r="7">
      <x v="2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/>
    </i>
    <i r="5">
      <x v="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1"/>
    </i>
    <i r="7">
      <x v="1"/>
    </i>
    <i r="8">
      <x/>
    </i>
    <i r="4">
      <x v="3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2"/>
    </i>
    <i r="2">
      <x v="1"/>
    </i>
    <i r="3">
      <x v="2"/>
    </i>
    <i r="4">
      <x v="4"/>
    </i>
    <i r="5">
      <x v="3"/>
    </i>
    <i r="6">
      <x v="1"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348">
    <format dxfId="626">
      <pivotArea outline="0" collapsedLevelsAreSubtotals="1" fieldPosition="0"/>
    </format>
    <format dxfId="62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624">
      <pivotArea type="all" dataOnly="0" outline="0" fieldPosition="0"/>
    </format>
    <format dxfId="623">
      <pivotArea outline="0" collapsedLevelsAreSubtotals="1" fieldPosition="0"/>
    </format>
    <format dxfId="622">
      <pivotArea field="31" type="button" dataOnly="0" labelOnly="1" outline="0" axis="axisRow" fieldPosition="0"/>
    </format>
    <format dxfId="621">
      <pivotArea dataOnly="0" labelOnly="1" fieldPosition="0">
        <references count="1">
          <reference field="31" count="0"/>
        </references>
      </pivotArea>
    </format>
    <format dxfId="620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619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618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617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616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4"/>
          </reference>
        </references>
      </pivotArea>
    </format>
    <format dxfId="615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614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61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612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61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610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609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608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4"/>
          </reference>
        </references>
      </pivotArea>
    </format>
    <format dxfId="607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606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605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5"/>
          </reference>
        </references>
      </pivotArea>
    </format>
    <format dxfId="604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603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602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60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60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99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9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59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96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95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9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93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92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9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9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89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8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87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58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8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84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8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582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58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58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57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578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577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57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5"/>
          </reference>
        </references>
      </pivotArea>
    </format>
    <format dxfId="57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574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57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57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57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7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6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56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6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6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6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564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563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56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56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56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55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55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55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55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55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55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55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552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55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55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54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54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54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54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545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544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54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54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54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54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539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538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3"/>
          </reference>
        </references>
      </pivotArea>
    </format>
    <format dxfId="53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53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535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53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53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53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53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53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52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52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527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526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52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52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52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52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52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6"/>
          </reference>
        </references>
      </pivotArea>
    </format>
    <format dxfId="52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51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0"/>
          </reference>
        </references>
      </pivotArea>
    </format>
    <format dxfId="51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51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51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51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51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513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0"/>
          <reference field="31" count="1" selected="0">
            <x v="2"/>
          </reference>
        </references>
      </pivotArea>
    </format>
    <format dxfId="51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51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51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50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50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50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50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2"/>
          </reference>
          <reference field="31" count="1" selected="0">
            <x v="5"/>
          </reference>
        </references>
      </pivotArea>
    </format>
    <format dxfId="50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50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50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502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50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50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49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9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9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9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9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49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9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9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9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49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8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48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8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8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8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48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48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48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48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48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7"/>
            <x v="8"/>
            <x v="9"/>
          </reference>
          <reference field="31" count="1" selected="0">
            <x v="4"/>
          </reference>
        </references>
      </pivotArea>
    </format>
    <format dxfId="47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2">
            <x v="10"/>
            <x v="11"/>
          </reference>
          <reference field="31" count="1" selected="0">
            <x v="4"/>
          </reference>
        </references>
      </pivotArea>
    </format>
    <format dxfId="47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47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47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47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47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47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2">
            <x v="10"/>
            <x v="11"/>
          </reference>
          <reference field="31" count="1" selected="0">
            <x v="5"/>
          </reference>
        </references>
      </pivotArea>
    </format>
    <format dxfId="47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2">
            <x v="10"/>
            <x v="11"/>
          </reference>
          <reference field="31" count="1" selected="0">
            <x v="5"/>
          </reference>
        </references>
      </pivotArea>
    </format>
    <format dxfId="47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2">
            <x v="10"/>
            <x v="11"/>
          </reference>
          <reference field="31" count="1" selected="0">
            <x v="5"/>
          </reference>
        </references>
      </pivotArea>
    </format>
    <format dxfId="47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46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46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46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8">
            <x v="0"/>
            <x v="1"/>
            <x v="2"/>
            <x v="3"/>
            <x v="4"/>
            <x v="5"/>
            <x v="6"/>
            <x v="7"/>
          </reference>
          <reference field="31" count="1" selected="0">
            <x v="5"/>
          </reference>
        </references>
      </pivotArea>
    </format>
    <format dxfId="46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46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6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46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0"/>
            <x v="1"/>
            <x v="2"/>
          </reference>
          <reference field="31" count="1" selected="0">
            <x v="5"/>
          </reference>
        </references>
      </pivotArea>
    </format>
    <format dxfId="46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3">
            <x v="0"/>
            <x v="1"/>
            <x v="2"/>
          </reference>
          <reference field="31" count="1" selected="0">
            <x v="5"/>
          </reference>
        </references>
      </pivotArea>
    </format>
    <format dxfId="46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3">
            <x v="0"/>
            <x v="1"/>
            <x v="2"/>
          </reference>
          <reference field="31" count="1" selected="0">
            <x v="5"/>
          </reference>
        </references>
      </pivotArea>
    </format>
    <format dxfId="46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45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45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45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5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5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45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45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452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51">
      <pivotArea type="all" dataOnly="0" outline="0" fieldPosition="0"/>
    </format>
    <format dxfId="450">
      <pivotArea outline="0" collapsedLevelsAreSubtotals="1" fieldPosition="0"/>
    </format>
    <format dxfId="449">
      <pivotArea field="31" type="button" dataOnly="0" labelOnly="1" outline="0" axis="axisRow" fieldPosition="0"/>
    </format>
    <format dxfId="448">
      <pivotArea dataOnly="0" labelOnly="1" fieldPosition="0">
        <references count="1">
          <reference field="31" count="0"/>
        </references>
      </pivotArea>
    </format>
    <format dxfId="447">
      <pivotArea dataOnly="0" labelOnly="1" fieldPosition="0">
        <references count="2">
          <reference field="1" count="2">
            <x v="1"/>
            <x v="4"/>
          </reference>
          <reference field="31" count="1" selected="0">
            <x v="0"/>
          </reference>
        </references>
      </pivotArea>
    </format>
    <format dxfId="446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445">
      <pivotArea dataOnly="0" labelOnly="1" fieldPosition="0">
        <references count="2">
          <reference field="1" count="1">
            <x v="1"/>
          </reference>
          <reference field="31" count="1" selected="0">
            <x v="2"/>
          </reference>
        </references>
      </pivotArea>
    </format>
    <format dxfId="444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443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4"/>
          </reference>
        </references>
      </pivotArea>
    </format>
    <format dxfId="442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441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440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439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438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437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436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435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4"/>
          </reference>
        </references>
      </pivotArea>
    </format>
    <format dxfId="434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433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432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5"/>
          </reference>
        </references>
      </pivotArea>
    </format>
    <format dxfId="431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430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429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42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2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26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2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424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2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2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2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20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19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1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17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16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1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14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41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12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1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1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5"/>
            <x v="6"/>
            <x v="7"/>
            <x v="8"/>
          </reference>
          <reference field="31" count="1" selected="0">
            <x v="1"/>
          </reference>
        </references>
      </pivotArea>
    </format>
    <format dxfId="409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2"/>
          </reference>
        </references>
      </pivotArea>
    </format>
    <format dxfId="408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3"/>
          </reference>
        </references>
      </pivotArea>
    </format>
    <format dxfId="40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0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0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0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40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5"/>
          </reference>
        </references>
      </pivotArea>
    </format>
    <format dxfId="40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40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40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99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4"/>
          </reference>
          <reference field="31" count="1" selected="0">
            <x v="6"/>
          </reference>
        </references>
      </pivotArea>
    </format>
    <format dxfId="39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97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9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9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9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93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9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9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90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8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8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87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8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8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8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8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8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8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8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79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78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7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7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37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7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37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7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71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7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6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6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6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66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365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3"/>
          </reference>
        </references>
      </pivotArea>
    </format>
    <format dxfId="36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6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62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6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6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5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5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5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5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55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54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5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5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5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5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4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4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6"/>
          </reference>
        </references>
      </pivotArea>
    </format>
    <format dxfId="34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34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0"/>
          </reference>
        </references>
      </pivotArea>
    </format>
    <format dxfId="34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34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4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4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4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4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0"/>
          <reference field="31" count="1" selected="0">
            <x v="2"/>
          </reference>
        </references>
      </pivotArea>
    </format>
    <format dxfId="339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3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33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33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33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3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33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2"/>
          </reference>
          <reference field="31" count="1" selected="0">
            <x v="5"/>
          </reference>
        </references>
      </pivotArea>
    </format>
    <format dxfId="33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33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33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2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328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32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0"/>
          <reference field="31" count="1" selected="0">
            <x v="5"/>
          </reference>
        </references>
      </pivotArea>
    </format>
    <format dxfId="32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2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2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2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32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32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2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1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1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1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1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31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1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1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1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1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1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0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0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0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7"/>
            <x v="8"/>
            <x v="9"/>
          </reference>
          <reference field="31" count="1" selected="0">
            <x v="4"/>
          </reference>
        </references>
      </pivotArea>
    </format>
    <format dxfId="30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2">
            <x v="10"/>
            <x v="11"/>
          </reference>
          <reference field="31" count="1" selected="0">
            <x v="4"/>
          </reference>
        </references>
      </pivotArea>
    </format>
    <format dxfId="30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30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30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30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0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0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2">
            <x v="10"/>
            <x v="11"/>
          </reference>
          <reference field="31" count="1" selected="0">
            <x v="5"/>
          </reference>
        </references>
      </pivotArea>
    </format>
    <format dxfId="29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2">
            <x v="10"/>
            <x v="11"/>
          </reference>
          <reference field="31" count="1" selected="0">
            <x v="5"/>
          </reference>
        </references>
      </pivotArea>
    </format>
    <format dxfId="29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2">
            <x v="10"/>
            <x v="11"/>
          </reference>
          <reference field="31" count="1" selected="0">
            <x v="5"/>
          </reference>
        </references>
      </pivotArea>
    </format>
    <format dxfId="29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9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9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9"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9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8">
            <x v="0"/>
            <x v="1"/>
            <x v="2"/>
            <x v="3"/>
            <x v="4"/>
            <x v="5"/>
            <x v="6"/>
            <x v="7"/>
          </reference>
          <reference field="31" count="1" selected="0">
            <x v="5"/>
          </reference>
        </references>
      </pivotArea>
    </format>
    <format dxfId="29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9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9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9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0"/>
            <x v="1"/>
            <x v="2"/>
          </reference>
          <reference field="31" count="1" selected="0">
            <x v="5"/>
          </reference>
        </references>
      </pivotArea>
    </format>
    <format dxfId="289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3">
            <x v="0"/>
            <x v="1"/>
            <x v="2"/>
          </reference>
          <reference field="31" count="1" selected="0">
            <x v="5"/>
          </reference>
        </references>
      </pivotArea>
    </format>
    <format dxfId="28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3">
            <x v="0"/>
            <x v="1"/>
            <x v="2"/>
          </reference>
          <reference field="31" count="1" selected="0">
            <x v="5"/>
          </reference>
        </references>
      </pivotArea>
    </format>
    <format dxfId="28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8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8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8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8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8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28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8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27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D8103-17BE-4C82-8684-FDED9942586C}" name="Efeito Resumo" cacheId="2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909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10">
        <item x="0"/>
        <item x="7"/>
        <item x="8"/>
        <item x="4"/>
        <item x="2"/>
        <item x="5"/>
        <item x="6"/>
        <item x="1"/>
        <item x="3"/>
        <item t="default"/>
      </items>
    </pivotField>
    <pivotField axis="axisRow" showAll="0">
      <items count="11">
        <item x="1"/>
        <item x="3"/>
        <item x="2"/>
        <item x="9"/>
        <item x="0"/>
        <item x="4"/>
        <item x="5"/>
        <item x="6"/>
        <item x="7"/>
        <item x="8"/>
        <item t="default"/>
      </items>
    </pivotField>
    <pivotField axis="axisRow" showAll="0">
      <items count="5">
        <item x="2"/>
        <item x="3"/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4"/>
        <item x="5"/>
        <item x="0"/>
        <item x="6"/>
        <item x="7"/>
        <item x="8"/>
        <item x="9"/>
        <item x="1"/>
        <item x="2"/>
        <item x="3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0"/>
        <item x="1"/>
        <item x="2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"/>
    <field x="2"/>
    <field x="16"/>
    <field x="3"/>
    <field x="4"/>
    <field x="5"/>
    <field x="6"/>
    <field x="7"/>
    <field x="8"/>
  </rowFields>
  <rowItems count="908">
    <i>
      <x/>
    </i>
    <i r="1">
      <x/>
    </i>
    <i r="2">
      <x/>
    </i>
    <i r="3">
      <x/>
    </i>
    <i r="4">
      <x v="4"/>
    </i>
    <i r="5">
      <x v="3"/>
    </i>
    <i r="6">
      <x v="1"/>
    </i>
    <i r="7">
      <x/>
    </i>
    <i r="8">
      <x v="2"/>
    </i>
    <i r="7">
      <x v="3"/>
    </i>
    <i r="8">
      <x v="2"/>
    </i>
    <i r="3">
      <x v="7"/>
    </i>
    <i r="4">
      <x/>
    </i>
    <i r="5">
      <x v="2"/>
    </i>
    <i r="6">
      <x v="1"/>
    </i>
    <i r="7">
      <x/>
    </i>
    <i r="8">
      <x v="7"/>
    </i>
    <i r="8">
      <x v="8"/>
    </i>
    <i r="8">
      <x v="9"/>
    </i>
    <i r="5">
      <x v="3"/>
    </i>
    <i r="6">
      <x v="1"/>
    </i>
    <i r="7">
      <x/>
    </i>
    <i r="8">
      <x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4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/>
    </i>
    <i r="3">
      <x v="7"/>
    </i>
    <i r="4">
      <x/>
    </i>
    <i r="5">
      <x v="2"/>
    </i>
    <i r="6">
      <x v="1"/>
    </i>
    <i r="7">
      <x/>
    </i>
    <i r="8">
      <x v="10"/>
    </i>
    <i r="8">
      <x v="11"/>
    </i>
    <i r="5">
      <x v="3"/>
    </i>
    <i r="6">
      <x v="1"/>
    </i>
    <i r="7">
      <x/>
    </i>
    <i r="8">
      <x v="10"/>
    </i>
    <i r="8">
      <x v="11"/>
    </i>
    <i r="7">
      <x v="2"/>
    </i>
    <i r="8">
      <x v="10"/>
    </i>
    <i r="8">
      <x v="11"/>
    </i>
    <i r="7">
      <x v="3"/>
    </i>
    <i r="8">
      <x v="10"/>
    </i>
    <i r="8">
      <x v="11"/>
    </i>
    <i r="4">
      <x v="2"/>
    </i>
    <i r="5">
      <x v="3"/>
    </i>
    <i r="6">
      <x v="1"/>
    </i>
    <i r="7">
      <x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>
      <x v="1"/>
    </i>
    <i r="1">
      <x/>
    </i>
    <i r="2">
      <x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2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 v="1"/>
    </i>
    <i r="7">
      <x/>
    </i>
    <i r="8">
      <x/>
    </i>
    <i r="8">
      <x v="1"/>
    </i>
    <i r="8">
      <x v="2"/>
    </i>
    <i r="7">
      <x v="2"/>
    </i>
    <i r="8">
      <x/>
    </i>
    <i r="8">
      <x v="1"/>
    </i>
    <i r="8">
      <x v="2"/>
    </i>
    <i r="7">
      <x v="3"/>
    </i>
    <i r="8">
      <x/>
    </i>
    <i r="8">
      <x v="1"/>
    </i>
    <i r="8">
      <x v="2"/>
    </i>
    <i r="4">
      <x v="4"/>
    </i>
    <i r="5">
      <x v="3"/>
    </i>
    <i r="6">
      <x v="1"/>
    </i>
    <i r="7">
      <x/>
    </i>
    <i r="8">
      <x v="8"/>
    </i>
    <i r="8">
      <x v="9"/>
    </i>
    <i r="8">
      <x v="10"/>
    </i>
    <i r="8">
      <x v="11"/>
    </i>
    <i r="7">
      <x v="2"/>
    </i>
    <i r="8">
      <x v="8"/>
    </i>
    <i r="8">
      <x v="9"/>
    </i>
    <i r="8">
      <x v="10"/>
    </i>
    <i r="8">
      <x v="11"/>
    </i>
    <i r="7">
      <x v="3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3"/>
    </i>
    <i r="4">
      <x v="4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/>
    </i>
    <i r="3">
      <x v="6"/>
    </i>
    <i r="4">
      <x v="5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6"/>
    </i>
    <i r="4">
      <x v="5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2"/>
    </i>
    <i r="2">
      <x/>
    </i>
    <i r="3">
      <x v="7"/>
    </i>
    <i r="4">
      <x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1"/>
    </i>
    <i r="2">
      <x/>
    </i>
    <i r="3">
      <x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2"/>
    </i>
    <i r="2">
      <x/>
    </i>
    <i r="3">
      <x v="2"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4">
    <format dxfId="188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8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8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8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6F6FA91-6A64-4C46-AAD6-FFB1B1A84A8E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870A44F0-1D5C-4F69-B3B6-4BEA13D33020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EBAEE39C-5AFE-4193-9243-A191206B7E04}" autoFormatId="0" applyNumberFormats="0" applyBorderFormats="0" applyFontFormats="1" applyPatternFormats="1" applyAlignmentFormats="0" applyWidthHeightFormats="0">
  <queryTableRefresh nextId="46">
    <queryTableFields count="45">
      <queryTableField id="1" name="SUBGRUPO" tableColumnId="46"/>
      <queryTableField id="2" name="MODALIDADE" tableColumnId="47"/>
      <queryTableField id="3" name="CLASSE" tableColumnId="48"/>
      <queryTableField id="4" name="SUBCLASSE" tableColumnId="49"/>
      <queryTableField id="5" name="DETALHE" tableColumnId="50"/>
      <queryTableField id="6" name="POSTO" tableColumnId="51"/>
      <queryTableField id="7" name="UNIDADE" tableColumnId="52"/>
      <queryTableField id="8" name="ACESSANTE" tableColumnId="53"/>
      <queryTableField id="9" name="Total TUSD" tableColumnId="54"/>
      <queryTableField id="10" name="Total TE" tableColumnId="55"/>
      <queryTableField id="11" name="TUSD_CDE_COVID" tableColumnId="56"/>
      <queryTableField id="12" name="TUSD_TFSEE" tableColumnId="57"/>
      <queryTableField id="13" name="TUSD_PeD" tableColumnId="58"/>
      <queryTableField id="14" name="TUSD_ONS" tableColumnId="59"/>
      <queryTableField id="15" name="TUSD_CCC" tableColumnId="60"/>
      <queryTableField id="16" name="TUSD_CDE" tableColumnId="61"/>
      <queryTableField id="17" name="TUSD_PROINFA" tableColumnId="62"/>
      <queryTableField id="18" name="Liminar1" tableColumnId="63"/>
      <queryTableField id="19" name="TUSD_RB" tableColumnId="64"/>
      <queryTableField id="20" name="TUSD_FR" tableColumnId="65"/>
      <queryTableField id="21" name="TUSD_CCT" tableColumnId="66"/>
      <queryTableField id="22" name="TUSD_CCD" tableColumnId="67"/>
      <queryTableField id="23" name="TUSD_CUSD" tableColumnId="68"/>
      <queryTableField id="24" name="TUSDG_T" tableColumnId="69"/>
      <queryTableField id="25" name="TUSDG_ONS" tableColumnId="70"/>
      <queryTableField id="26" name="TUSD_FioB" tableColumnId="71"/>
      <queryTableField id="27" name="TUSD Subsidio" tableColumnId="72"/>
      <queryTableField id="28" name="TUSD BENEFICIO_L14299" tableColumnId="73"/>
      <queryTableField id="29" name="TUSD Outros" tableColumnId="74"/>
      <queryTableField id="30" name="TUSD_PT" tableColumnId="75"/>
      <queryTableField id="31" name="TUSD_Per_RB_D" tableColumnId="76"/>
      <queryTableField id="32" name="TUSD_PNT" tableColumnId="77"/>
      <queryTableField id="33" name="TUSD_RI" tableColumnId="78"/>
      <queryTableField id="34" name="TE_CDE_COVID" tableColumnId="79"/>
      <queryTableField id="35" name="TE_CDE_ELET" tableColumnId="80"/>
      <queryTableField id="36" name="TE_PeD" tableColumnId="81"/>
      <queryTableField id="37" name="TE_ESSERR" tableColumnId="82"/>
      <queryTableField id="38" name="TE_CFURH" tableColumnId="83"/>
      <queryTableField id="39" name="TE_ENERGIA" tableColumnId="84"/>
      <queryTableField id="40" name="TE_TRANSPORTE_ITAIPU" tableColumnId="85"/>
      <queryTableField id="41" name="TE_TUST_ITAIPU" tableColumnId="86"/>
      <queryTableField id="42" name="TE_TUST_CI" tableColumnId="87"/>
      <queryTableField id="43" name="TE Subsidio" tableColumnId="88"/>
      <queryTableField id="44" name="TE BENEFICIO_L14299" tableColumnId="89"/>
      <queryTableField id="45" name="TE_Per_RB" tableColumnId="90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F70B85-3820-431F-BD5B-DEC51B2D5ECF}" name="Efeito" displayName="Efeito" ref="A1:AG886" totalsRowShown="0" headerRowDxfId="1155" dataDxfId="1154">
  <autoFilter ref="A1:AG886" xr:uid="{91F70B85-3820-431F-BD5B-DEC51B2D5ECF}"/>
  <tableColumns count="33">
    <tableColumn id="1" xr3:uid="{8D7F0A1C-124B-4CDF-9BC2-470534747F85}" name="TipoMercado" dataDxfId="1153"/>
    <tableColumn id="2" xr3:uid="{061354C2-C3DE-4450-B64B-0C0F92C9F03B}" name="Subgrupo" dataDxfId="1152"/>
    <tableColumn id="3" xr3:uid="{283C63D3-670B-47D1-916B-9549E3244BB7}" name="Modalidade" dataDxfId="1151"/>
    <tableColumn id="4" xr3:uid="{E12F5A8B-5A61-433C-A272-79A2B2A3E35D}" name="Classe" dataDxfId="1150"/>
    <tableColumn id="5" xr3:uid="{D359DCF0-49AA-4BC2-8B6E-C73D3A3E77CF}" name="Subclasse" dataDxfId="1149"/>
    <tableColumn id="6" xr3:uid="{9F230BE7-48B6-40CC-A3AF-B46A9B720F3E}" name="Detalhe" dataDxfId="1148"/>
    <tableColumn id="7" xr3:uid="{E612A3E3-94CF-4F0A-816F-9DBF6FAD1CB9}" name="Agente" dataDxfId="1147"/>
    <tableColumn id="8" xr3:uid="{6BE4B402-1FA0-4298-98B7-FD92A13EBD5C}" name="Posto" dataDxfId="1146"/>
    <tableColumn id="9" xr3:uid="{D72E6C57-C296-4FC7-8932-1F6AFD9750C4}" name="AnoMes" dataDxfId="1145"/>
    <tableColumn id="10" xr3:uid="{7A5F4343-7178-4965-A7E9-1B64E50D4C73}" name="D" dataDxfId="1144"/>
    <tableColumn id="11" xr3:uid="{3C0A3287-23C1-42DD-BD98-55DDAD156034}" name="Daj" dataDxfId="1143"/>
    <tableColumn id="12" xr3:uid="{89B03648-3DF3-4B43-993D-684EADFEB68B}" name="TUSD_E" dataDxfId="1142"/>
    <tableColumn id="13" xr3:uid="{69F2DE67-5C31-4AF0-A8D2-76708D9059C2}" name="TUSD_Eaj" dataDxfId="1141"/>
    <tableColumn id="14" xr3:uid="{AC6141A8-EE9F-43CD-9905-B9308D59A5C1}" name="TE_E" dataDxfId="1140"/>
    <tableColumn id="15" xr3:uid="{FED8F6C5-20F5-473C-85BE-1689AE34E9DF}" name="TE_Eaj" dataDxfId="1139"/>
    <tableColumn id="16" xr3:uid="{600A688C-3086-4F99-8D66-DCD321F12D73}" name="UC" dataDxfId="1138"/>
    <tableColumn id="17" xr3:uid="{3C32629E-A658-4AB7-AB28-6DC5F31E0C32}" name="OPÇÃO" dataDxfId="1137"/>
    <tableColumn id="18" xr3:uid="{13EDE900-7F22-4F75-82CC-744AC1434854}" name="CóD. AUX." dataDxfId="1136"/>
    <tableColumn id="19" xr3:uid="{2FED8EE8-A118-4AC3-9962-A05C24061AC4}" name="CóD. AUX. TUSD R$/kW" dataDxfId="1135"/>
    <tableColumn id="20" xr3:uid="{CA17094F-1CF8-4CA6-802D-BFADE1A981FB}" name="CóD. AUX. TUSD R$/MWh" dataDxfId="1134"/>
    <tableColumn id="21" xr3:uid="{5F17BDB8-C920-40F3-82D9-9D45B821774C}" name="CóD. AUX. TE R$/MWh" dataDxfId="1133"/>
    <tableColumn id="22" xr3:uid="{775FBCFC-735F-4639-ADBB-AE54AFF9C79F}" name="TUSD (R$/kW)" dataDxfId="1132"/>
    <tableColumn id="23" xr3:uid="{463B8E14-67DD-4229-8019-C40C7D227BAD}" name="TUSD (R$/MWh)" dataDxfId="1131"/>
    <tableColumn id="24" xr3:uid="{02F302CF-A27A-4514-BE0F-0D9C55E83698}" name="TE (R$/MWh)" dataDxfId="1130"/>
    <tableColumn id="25" xr3:uid="{99B52D53-EBD5-485E-A9B5-0D0CE1B99305}" name="TUSD (R$/kW) NOVA" dataDxfId="1129"/>
    <tableColumn id="26" xr3:uid="{CA0A4A46-1B19-42E9-9F59-581B3831AB3C}" name="TUSD (R$/MWh) NOVA" dataDxfId="1128">
      <calculatedColumnFormula>('TUSD BE'!$AM$62+'TUSD BF'!$AM$62+'TUSD CVA'!$AM$62)*1</calculatedColumnFormula>
    </tableColumn>
    <tableColumn id="27" xr3:uid="{43BFF7F2-1249-4558-80B4-1F8F808D5E5D}" name="TE (R$/MWh) NOVA" dataDxfId="1127">
      <calculatedColumnFormula>('TE BE'!$AB$43+'TE BF'!$AB$43+'TE CVA'!$AB$43)*1</calculatedColumnFormula>
    </tableColumn>
    <tableColumn id="28" xr3:uid="{8CCC4744-A724-4D31-8E26-C275BC644120}" name="RA0 ou RV - TUSD (kW)" dataDxfId="1126"/>
    <tableColumn id="29" xr3:uid="{A5C7D1AB-1D19-4D89-B06F-01B027C364C9}" name="RA0 ou RV - TUSD (MWh)" dataDxfId="1125"/>
    <tableColumn id="30" xr3:uid="{108BCBD9-1F39-44EE-8966-F0CDC6BF2CF8}" name="RA0 ou RV - TE (MWh)" dataDxfId="1124"/>
    <tableColumn id="31" xr3:uid="{EC2580A2-55B4-4260-9332-A1DC475CFA7A}" name="RA1 ou RRD - TUSD (kW)" dataDxfId="1123"/>
    <tableColumn id="32" xr3:uid="{2D81EDFB-6772-4892-A606-4A84C9CB53A1}" name="RA1 ou RRD - TUSD (MWh)" dataDxfId="1122"/>
    <tableColumn id="33" xr3:uid="{A5D43E9B-F185-452B-902F-1A3D9ECAB54E}" name="RA1 ou RRD - TE (MWh)" dataDxfId="11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9B0C4C-41DA-482F-82C3-3B58511236A9}" name="Subsidio" displayName="Subsidio" ref="A1:AF416" totalsRowShown="0" headerRowDxfId="1120" dataDxfId="1119">
  <autoFilter ref="A1:AF416" xr:uid="{469B0C4C-41DA-482F-82C3-3B58511236A9}"/>
  <tableColumns count="32">
    <tableColumn id="1" xr3:uid="{330CAD06-D1B2-4040-A7EF-706A60C222C9}" name="TipoMercado" dataDxfId="1118"/>
    <tableColumn id="2" xr3:uid="{1B92ED4C-8C0C-4D4F-AAAE-9A057FAC4696}" name="Subgrupo" dataDxfId="1117"/>
    <tableColumn id="3" xr3:uid="{A68B59A7-D3CB-4EFF-9B5F-53E157393A8B}" name="Modalidade" dataDxfId="1116"/>
    <tableColumn id="4" xr3:uid="{7C54D60B-3616-4DB3-A044-520B178B80DE}" name="Classe" dataDxfId="1115"/>
    <tableColumn id="5" xr3:uid="{5F673E8E-0EE8-44CE-9AD5-A7171D277A36}" name="Subclasse" dataDxfId="1114"/>
    <tableColumn id="6" xr3:uid="{41725295-EABA-4200-AB70-A3952655C138}" name="Detalhe" dataDxfId="1113"/>
    <tableColumn id="7" xr3:uid="{5C1E0B4D-724C-4178-94AA-D6AFC296BA04}" name="Agente" dataDxfId="1112"/>
    <tableColumn id="8" xr3:uid="{F32AFE7D-66BF-4110-B411-A5BC16CB69F2}" name="Posto" dataDxfId="1111"/>
    <tableColumn id="9" xr3:uid="{B817DEFB-13E0-4EEF-B8F5-A03113E879D2}" name="AnoMes" dataDxfId="1110"/>
    <tableColumn id="10" xr3:uid="{1945CD0C-0DA8-4330-8863-0F830800BB92}" name="D" dataDxfId="1109"/>
    <tableColumn id="11" xr3:uid="{8315D960-385F-4B5D-AEFB-0B04D8CC9C5B}" name="Daj" dataDxfId="1108"/>
    <tableColumn id="12" xr3:uid="{00BB5379-7B9C-4EA6-87F4-8BB359B36D55}" name="TUSD_E" dataDxfId="1107"/>
    <tableColumn id="13" xr3:uid="{9EEE637B-7414-45D4-A71A-B03504B7D078}" name="TUSD_Eaj" dataDxfId="1106"/>
    <tableColumn id="14" xr3:uid="{1C3F9005-CCB5-4179-BEFA-EE518DA6B0A3}" name="TE_E" dataDxfId="1105"/>
    <tableColumn id="15" xr3:uid="{9FCCF9D6-1211-4A23-98BD-D66777ACE1FD}" name="TE_Eaj" dataDxfId="1104"/>
    <tableColumn id="16" xr3:uid="{F8A8F837-3C17-407F-950A-4E6D2F36C870}" name="UC" dataDxfId="1103"/>
    <tableColumn id="17" xr3:uid="{9643ED00-BAB0-4208-9167-DC0455F6F7C1}" name="OPÇÃO" dataDxfId="1102"/>
    <tableColumn id="18" xr3:uid="{94950DDC-21EE-4BDD-87AC-CE39F4BB8D13}" name="CóD. AUX." dataDxfId="1101"/>
    <tableColumn id="19" xr3:uid="{FC334832-94D0-44ED-92BD-4311BD4FA0C9}" name="CóD. AUX. TUSD R$/kW" dataDxfId="1100"/>
    <tableColumn id="20" xr3:uid="{185E5DF4-6AE5-4FBA-A357-FD832287F3DA}" name="CóD. AUX. TUSD R$/MWh" dataDxfId="1099"/>
    <tableColumn id="21" xr3:uid="{E0F212F8-858E-4951-903C-4C5D0EF6179E}" name="CóD. AUX. TE R$/MWh" dataDxfId="1098"/>
    <tableColumn id="22" xr3:uid="{DE46F716-217D-4B37-A96E-1DC2AAEDA9DC}" name="TUSD (R$/kW)" dataDxfId="1097"/>
    <tableColumn id="23" xr3:uid="{B5EE1344-1930-4C9A-B83E-5CECA7841654}" name="TUSD (R$/MWh)" dataDxfId="1096"/>
    <tableColumn id="24" xr3:uid="{21335EAA-4763-4E3F-8469-5294524F72ED}" name="TE (R$/MWh)" dataDxfId="1095"/>
    <tableColumn id="25" xr3:uid="{7529AA5C-6039-42AE-8F75-06F6CA8D8B2B}" name="TUSD (R$/kW) NOVA" dataDxfId="1094"/>
    <tableColumn id="26" xr3:uid="{18516331-2419-4AF3-A3DA-7CA19B167421}" name="TUSD (R$/MWh) NOVA" dataDxfId="1093">
      <calculatedColumnFormula>('TUSD BE'!$AM$60+'TUSD BF'!$AM$60+'TUSD CVA'!$AM$60)*1</calculatedColumnFormula>
    </tableColumn>
    <tableColumn id="27" xr3:uid="{AF3D21A0-B7E9-461E-8BFB-C5036BA0DA8A}" name="TE (R$/MWh) NOVA" dataDxfId="1092">
      <calculatedColumnFormula>('TE BE'!$AB$41+'TE BF'!$AB$41+'TE CVA'!$AB$41)*1</calculatedColumnFormula>
    </tableColumn>
    <tableColumn id="28" xr3:uid="{3C801086-CD22-4F5B-BE66-15AF2B9CCF75}" name="SUBSIDIO kW - TV" dataDxfId="1091">
      <calculatedColumnFormula>(J2-K2)*V2</calculatedColumnFormula>
    </tableColumn>
    <tableColumn id="29" xr3:uid="{FEB66FCF-C08E-4C68-9BA7-AF60DBCDD1EB}" name="SUBSIDIO MWh - TV" dataDxfId="1090">
      <calculatedColumnFormula>(L2-M2)*W2+(N2-O2)*X2</calculatedColumnFormula>
    </tableColumn>
    <tableColumn id="30" xr3:uid="{FDB4516D-C48F-4121-AC1B-1FB1FA2054E6}" name="SUBSIDIO kW - TN" dataDxfId="1089">
      <calculatedColumnFormula>(J2-K2)*Y2</calculatedColumnFormula>
    </tableColumn>
    <tableColumn id="31" xr3:uid="{424C4650-680A-4E76-B502-DC410E8D79A5}" name="SUBSIDIO MWh - TN" dataDxfId="1088">
      <calculatedColumnFormula>(L2-M2)*Z2+(N2-O2)*AA2</calculatedColumnFormula>
    </tableColumn>
    <tableColumn id="32" xr3:uid="{56C35E6D-B5C6-4450-AD11-E4899D2B00E1}" name="TIPO" dataDxfId="108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455660-51C3-45A9-87A2-5013870997BC}" name="Efeito4" displayName="Efeito4" ref="A1:AG886" totalsRowShown="0" headerRowDxfId="184" dataDxfId="183">
  <tableColumns count="33">
    <tableColumn id="1" xr3:uid="{28E2E2FA-B196-4848-BA7F-2F1ED6980EBA}" name="TipoMercado" dataDxfId="182"/>
    <tableColumn id="2" xr3:uid="{5DFA7995-3BEC-46DF-8180-FF3A5D8DE02E}" name="Subgrupo" dataDxfId="181"/>
    <tableColumn id="3" xr3:uid="{C7BA59EF-35A4-4459-99CA-DE5C026B0B4F}" name="Modalidade" dataDxfId="180"/>
    <tableColumn id="4" xr3:uid="{DFE79E2F-CC10-4AA7-BFA3-95C2E8F7BD14}" name="Classe" dataDxfId="179"/>
    <tableColumn id="5" xr3:uid="{EB3B7337-241F-4514-B2F5-D6639255C5B8}" name="Subclasse" dataDxfId="178"/>
    <tableColumn id="6" xr3:uid="{6579B10C-9226-4954-A985-283AD7E1B4EC}" name="Detalhe" dataDxfId="177"/>
    <tableColumn id="7" xr3:uid="{9A804042-302C-4E6D-B2E7-B04DA6674B62}" name="Agente" dataDxfId="176"/>
    <tableColumn id="8" xr3:uid="{C4249F2C-AD45-47D2-9189-7A44DF6869E4}" name="Posto" dataDxfId="175"/>
    <tableColumn id="9" xr3:uid="{6B123DB7-D5F8-4FEB-8711-9A7DF99643D2}" name="AnoMes" dataDxfId="174"/>
    <tableColumn id="10" xr3:uid="{E1FBE653-EB13-4C40-815C-2D1DBDA89CF0}" name="D" dataDxfId="173"/>
    <tableColumn id="11" xr3:uid="{43826009-0FE8-48CF-85C8-9C5613BF38C8}" name="Daj" dataDxfId="172"/>
    <tableColumn id="12" xr3:uid="{AB9E471E-4367-4E09-951C-B5777A12AE3A}" name="TUSD_E" dataDxfId="171"/>
    <tableColumn id="13" xr3:uid="{428EC5F3-F11A-414E-890A-DEB776373272}" name="TUSD_Eaj" dataDxfId="170"/>
    <tableColumn id="14" xr3:uid="{7A9CF22D-7638-4FDF-8EFB-02E45DF4BED9}" name="TE_E" dataDxfId="169"/>
    <tableColumn id="15" xr3:uid="{2CB8D65C-81D8-4C66-AEA2-07BA256C35C8}" name="TE_Eaj" dataDxfId="168"/>
    <tableColumn id="16" xr3:uid="{DF4583DE-2E76-45FF-9F5C-7BF202A13135}" name="UC" dataDxfId="167"/>
    <tableColumn id="17" xr3:uid="{63DB8831-536D-440C-873C-9873A78C9422}" name="OPÇÃO" dataDxfId="166"/>
    <tableColumn id="18" xr3:uid="{991B979A-AFF7-48BE-AEB7-788ED90E62B4}" name="CóD. AUX." dataDxfId="165"/>
    <tableColumn id="19" xr3:uid="{7721E894-D9F9-497C-BD75-5B0E78777519}" name="CóD. AUX. TUSD R$/kW" dataDxfId="164"/>
    <tableColumn id="20" xr3:uid="{FBF5CFD1-E365-43DE-9DA0-4E33783791BE}" name="CóD. AUX. TUSD R$/MWh" dataDxfId="163"/>
    <tableColumn id="21" xr3:uid="{78D46971-152D-492B-B319-EBA8CE53C662}" name="CóD. AUX. TE R$/MWh" dataDxfId="162"/>
    <tableColumn id="22" xr3:uid="{D3E2E4A5-1269-4DE8-BCD5-E512F6FE5287}" name="TUSD (R$/kW)" dataDxfId="161"/>
    <tableColumn id="23" xr3:uid="{A6944CCC-5424-4AD1-9213-C743563729A1}" name="TUSD (R$/MWh)" dataDxfId="160"/>
    <tableColumn id="24" xr3:uid="{CD68F9E3-26B3-465A-A2E6-8BA2948683C5}" name="TE (R$/MWh)" dataDxfId="159"/>
    <tableColumn id="25" xr3:uid="{A17EDFB0-8CEA-4DBC-9F93-C31148B7B23A}" name="TUSD (R$/kW) NOVA" dataDxfId="158"/>
    <tableColumn id="26" xr3:uid="{65D30B91-0971-431E-9650-CC3A76F833B7}" name="TUSD (R$/MWh) NOVA" dataDxfId="157">
      <calculatedColumnFormula>('TUSD BE'!$AM$62+'TUSD BF'!$AM$62+'TUSD CVA'!$AM$62)*1</calculatedColumnFormula>
    </tableColumn>
    <tableColumn id="27" xr3:uid="{32C52F44-57C8-49AF-8F0D-5B77938121CA}" name="TE (R$/MWh) NOVA" dataDxfId="156">
      <calculatedColumnFormula>('TE BE'!$AB$43+'TE BF'!$AB$43+'TE CVA'!$AB$43)*1</calculatedColumnFormula>
    </tableColumn>
    <tableColumn id="28" xr3:uid="{B5A0E0B8-4FE0-4118-BC45-9285A2EC4BCD}" name="RA0 ou RV - TUSD (kW)" dataDxfId="155"/>
    <tableColumn id="29" xr3:uid="{BA76A608-DC3D-4545-AA62-00657F8AF16A}" name="RA0 ou RV - TUSD (MWh)" dataDxfId="154"/>
    <tableColumn id="30" xr3:uid="{1EB75CA5-D0A5-4407-AE24-68024F844B7C}" name="RA0 ou RV - TE (MWh)" dataDxfId="153"/>
    <tableColumn id="31" xr3:uid="{A68E96D2-2ECA-4BCC-A4F9-C3500D51AD4F}" name="RA1 ou RRD - TUSD (kW)" dataDxfId="152"/>
    <tableColumn id="32" xr3:uid="{6F076DF2-D759-4DA9-BD22-2929D1FBB57B}" name="RA1 ou RRD - TUSD (MWh)" dataDxfId="151"/>
    <tableColumn id="33" xr3:uid="{796F69A5-57C8-49DD-A622-74E3B950CED7}" name="RA1 ou RRD - TE (MWh)" dataDxfId="15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6A240B-08D5-4606-A555-7925F421AA24}" name="TabelaFin" displayName="TabelaFin" ref="B3:AT66" tableType="queryTable" totalsRowShown="0" headerRowDxfId="149" dataDxfId="147" headerRowBorderDxfId="148" tableBorderDxfId="146" totalsRowBorderDxfId="145">
  <autoFilter ref="B3:AT66" xr:uid="{066A240B-08D5-4606-A555-7925F421AA24}"/>
  <sortState xmlns:xlrd2="http://schemas.microsoft.com/office/spreadsheetml/2017/richdata2" ref="B4:AT66">
    <sortCondition ref="B4:B66"/>
    <sortCondition ref="C4:C66"/>
    <sortCondition ref="D4:D66"/>
    <sortCondition ref="E4:E66"/>
    <sortCondition ref="F4:F66"/>
    <sortCondition descending="1" ref="G4:G66"/>
    <sortCondition descending="1" ref="H4:H66"/>
    <sortCondition ref="I4:I66"/>
  </sortState>
  <tableColumns count="45">
    <tableColumn id="46" xr3:uid="{52386FF0-54AF-4C5F-B428-C3BD7F716254}" uniqueName="46" name="SUBGRUPO" queryTableFieldId="1" dataDxfId="144"/>
    <tableColumn id="47" xr3:uid="{0F7D18A3-342D-4608-ADBC-AD34F42E4FAA}" uniqueName="47" name="MODALIDADE" queryTableFieldId="2" dataDxfId="143"/>
    <tableColumn id="48" xr3:uid="{E0927087-16D1-4E72-89F4-F3F7BBF7CC77}" uniqueName="48" name="CLASSE" queryTableFieldId="3" dataDxfId="142"/>
    <tableColumn id="49" xr3:uid="{5ABD9EA1-238A-4E2F-900C-6BF51EA00AEA}" uniqueName="49" name="SUBCLASSE" queryTableFieldId="4" dataDxfId="141"/>
    <tableColumn id="50" xr3:uid="{1B197989-656F-4219-B061-C4E8BFEE0EE3}" uniqueName="50" name="DETALHE" queryTableFieldId="5" dataDxfId="140"/>
    <tableColumn id="51" xr3:uid="{AA77EBFC-5F8D-454F-A9BE-DA36C3C1044C}" uniqueName="51" name="POSTO" queryTableFieldId="6" dataDxfId="139"/>
    <tableColumn id="52" xr3:uid="{87E4666D-E45C-4155-BB64-42AEF2EA3BD4}" uniqueName="52" name="UNIDADE" queryTableFieldId="7" dataDxfId="138"/>
    <tableColumn id="53" xr3:uid="{18D8D99C-2B08-432E-8ABF-38E379659C2F}" uniqueName="53" name="ACESSANTE" queryTableFieldId="8" dataDxfId="137"/>
    <tableColumn id="54" xr3:uid="{D4E91AA1-7D4F-4A17-94B0-E028F77CF210}" uniqueName="54" name="Total TUSD" queryTableFieldId="9" dataDxfId="136"/>
    <tableColumn id="55" xr3:uid="{9B3ABAAA-03E5-4368-BB85-3F36731B9142}" uniqueName="55" name="Total TE" queryTableFieldId="10" dataDxfId="135"/>
    <tableColumn id="56" xr3:uid="{5B8F4222-428D-4DAB-A572-75FCABC4FFB9}" uniqueName="56" name="TUSD_CDE_COVID" queryTableFieldId="11" dataDxfId="134"/>
    <tableColumn id="57" xr3:uid="{86A7F6F9-62E0-4079-B345-E8FC1D98F16C}" uniqueName="57" name="TUSD_TFSEE" queryTableFieldId="12" dataDxfId="133"/>
    <tableColumn id="58" xr3:uid="{E4BC9BFF-A028-45EA-8F0E-73D40B482484}" uniqueName="58" name="TUSD_PeD" queryTableFieldId="13" dataDxfId="132"/>
    <tableColumn id="59" xr3:uid="{1BFD1DC8-559D-4770-9041-7E095C2E284A}" uniqueName="59" name="TUSD_ONS" queryTableFieldId="14" dataDxfId="131"/>
    <tableColumn id="60" xr3:uid="{F5BF79E2-690F-4BED-80D6-5C3170231597}" uniqueName="60" name="TUSD_CCC" queryTableFieldId="15" dataDxfId="130"/>
    <tableColumn id="61" xr3:uid="{BF46577E-C092-4DB2-A36B-96AEA7059369}" uniqueName="61" name="TUSD_CDE" queryTableFieldId="16" dataDxfId="129"/>
    <tableColumn id="62" xr3:uid="{FB255D8A-CB90-46A1-A09C-B6BB9A248C02}" uniqueName="62" name="TUSD_PROINFA" queryTableFieldId="17" dataDxfId="128"/>
    <tableColumn id="63" xr3:uid="{A788B95D-8F7E-4043-A761-5D91228B5307}" uniqueName="63" name="Liminar1" queryTableFieldId="18" dataDxfId="127"/>
    <tableColumn id="64" xr3:uid="{1427BDAA-4C5B-4FF9-ABA4-86E6B2F099F3}" uniqueName="64" name="TUSD_RB" queryTableFieldId="19" dataDxfId="126"/>
    <tableColumn id="65" xr3:uid="{E563E280-4D89-4877-8A41-43FEFF44A165}" uniqueName="65" name="TUSD_FR" queryTableFieldId="20" dataDxfId="125"/>
    <tableColumn id="66" xr3:uid="{20F79B1B-8207-49E6-BBB6-E1C92EB245F5}" uniqueName="66" name="TUSD_CCT" queryTableFieldId="21" dataDxfId="124"/>
    <tableColumn id="67" xr3:uid="{ACE98EAA-D407-4836-B43C-E7A86873AE1D}" uniqueName="67" name="TUSD_CCD" queryTableFieldId="22" dataDxfId="123"/>
    <tableColumn id="68" xr3:uid="{4FFC41D9-59CB-4E56-A0B7-0E1B912683EC}" uniqueName="68" name="TUSD_CUSD" queryTableFieldId="23" dataDxfId="122"/>
    <tableColumn id="69" xr3:uid="{EB1B462F-0B50-4752-9683-1EDACC054339}" uniqueName="69" name="TUSDG_T" queryTableFieldId="24" dataDxfId="121"/>
    <tableColumn id="70" xr3:uid="{BD9C287C-4F20-44C1-80B8-8C8622F50132}" uniqueName="70" name="TUSDG_ONS" queryTableFieldId="25" dataDxfId="120"/>
    <tableColumn id="71" xr3:uid="{B6104970-B224-481E-ABAD-BB2B596F156F}" uniqueName="71" name="TUSD_FioB" queryTableFieldId="26" dataDxfId="119"/>
    <tableColumn id="72" xr3:uid="{96273CBD-7523-4435-BF84-19BCD0D57358}" uniqueName="72" name="TUSD Subsidio" queryTableFieldId="27" dataDxfId="118"/>
    <tableColumn id="73" xr3:uid="{C1A674EE-AF93-48F4-84E9-9C71327AC6BE}" uniqueName="73" name="TUSD BENEFICIO_L14299" queryTableFieldId="28" dataDxfId="117"/>
    <tableColumn id="74" xr3:uid="{9B50A3B0-B54C-4E35-A79D-81D4C4CE782D}" uniqueName="74" name="TUSD Outros" queryTableFieldId="29" dataDxfId="116"/>
    <tableColumn id="75" xr3:uid="{0BBA05FC-50DA-4AFE-A76E-E9547F24AA83}" uniqueName="75" name="TUSD_PT" queryTableFieldId="30" dataDxfId="115"/>
    <tableColumn id="76" xr3:uid="{277A293A-BCA8-4A23-98B9-401C9D5C451D}" uniqueName="76" name="TUSD_Per_RB_D" queryTableFieldId="31" dataDxfId="114"/>
    <tableColumn id="77" xr3:uid="{58C967FC-204B-4D99-B3BF-1267FF45033A}" uniqueName="77" name="TUSD_PNT" queryTableFieldId="32" dataDxfId="113"/>
    <tableColumn id="78" xr3:uid="{8EE65F60-3AA0-4E6A-8B4D-655FF8816637}" uniqueName="78" name="TUSD_RI" queryTableFieldId="33" dataDxfId="112"/>
    <tableColumn id="79" xr3:uid="{2CF3F8A0-6BB9-43D7-8795-1C37333BDEBF}" uniqueName="79" name="TE_CDE_COVID" queryTableFieldId="34" dataDxfId="111"/>
    <tableColumn id="80" xr3:uid="{DEF8AEA1-AC0F-46AC-B9F9-E7320A9EBA40}" uniqueName="80" name="TE_CDE_ELET" queryTableFieldId="35" dataDxfId="110"/>
    <tableColumn id="81" xr3:uid="{9873F1C4-35E6-4674-86F4-5618CDD79A2D}" uniqueName="81" name="TE_PeD" queryTableFieldId="36" dataDxfId="109"/>
    <tableColumn id="82" xr3:uid="{4AFE4B37-AAFA-486E-AD73-EE9151B57680}" uniqueName="82" name="TE_ESSERR" queryTableFieldId="37" dataDxfId="108"/>
    <tableColumn id="83" xr3:uid="{97A5B786-DC2F-4A06-BEC2-F82803AFFFF2}" uniqueName="83" name="TE_CFURH" queryTableFieldId="38" dataDxfId="107"/>
    <tableColumn id="84" xr3:uid="{DB46AC64-31F7-4B8B-83B8-39A5A6271E6E}" uniqueName="84" name="TE_ENERGIA" queryTableFieldId="39" dataDxfId="106"/>
    <tableColumn id="85" xr3:uid="{072DE661-B64D-4F3E-ADD3-EBE1738605D4}" uniqueName="85" name="TE_TRANSPORTE_ITAIPU" queryTableFieldId="40" dataDxfId="105"/>
    <tableColumn id="86" xr3:uid="{823E6768-4C7A-4CC0-A61E-D7B5CF36FF50}" uniqueName="86" name="TE_TUST_ITAIPU" queryTableFieldId="41" dataDxfId="104"/>
    <tableColumn id="87" xr3:uid="{26A2FC45-ED7C-48DB-BCA6-4E302434A52B}" uniqueName="87" name="TE_TUST_CI" queryTableFieldId="42" dataDxfId="103"/>
    <tableColumn id="88" xr3:uid="{E498316A-2ECA-4161-82CE-98F69F1AB0AE}" uniqueName="88" name="TE Subsidio" queryTableFieldId="43" dataDxfId="102"/>
    <tableColumn id="89" xr3:uid="{A5E1E2CE-AAC2-4833-911E-78898086F6CE}" uniqueName="89" name="TE BENEFICIO_L14299" queryTableFieldId="44" dataDxfId="101"/>
    <tableColumn id="90" xr3:uid="{753926CA-359F-4402-AA3C-B26E8337BE14}" uniqueName="90" name="TE_Per_RB" queryTableFieldId="45" dataDxfId="10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202184-3817-4F24-8652-C6894B26585B}" name="TabelaEc" displayName="TabelaEc" ref="B3:AT66" tableType="queryTable" totalsRowShown="0" headerRowDxfId="99" dataDxfId="97" headerRowBorderDxfId="98" tableBorderDxfId="96" totalsRowBorderDxfId="95">
  <autoFilter ref="B3:AT66" xr:uid="{F3202184-3817-4F24-8652-C6894B26585B}"/>
  <sortState xmlns:xlrd2="http://schemas.microsoft.com/office/spreadsheetml/2017/richdata2" ref="B4:AT66">
    <sortCondition ref="B4:B66"/>
    <sortCondition ref="C4:C66"/>
    <sortCondition ref="D4:D66"/>
    <sortCondition ref="E4:E66"/>
    <sortCondition ref="F4:F66"/>
    <sortCondition descending="1" ref="G4:G66"/>
    <sortCondition descending="1" ref="H4:H66"/>
    <sortCondition ref="I4:I66"/>
  </sortState>
  <tableColumns count="45">
    <tableColumn id="46" xr3:uid="{463E193E-8AAC-4143-BE01-1FF34B7FC644}" uniqueName="46" name="SUBGRUPO" queryTableFieldId="1" dataDxfId="94"/>
    <tableColumn id="47" xr3:uid="{E92D4393-2EC5-4301-AFEC-A972E55CBF79}" uniqueName="47" name="MODALIDADE" queryTableFieldId="2" dataDxfId="93"/>
    <tableColumn id="48" xr3:uid="{764C6536-D7E9-43BE-959B-FB4EA14FDAB9}" uniqueName="48" name="CLASSE" queryTableFieldId="3" dataDxfId="92"/>
    <tableColumn id="49" xr3:uid="{6034B937-3A9D-4B37-9638-769353609253}" uniqueName="49" name="SUBCLASSE" queryTableFieldId="4" dataDxfId="91"/>
    <tableColumn id="50" xr3:uid="{2F651B1A-DA1D-4487-9FC3-3E441DAD6BFD}" uniqueName="50" name="DETALHE" queryTableFieldId="5" dataDxfId="90"/>
    <tableColumn id="51" xr3:uid="{9FDDE250-57CF-47B9-AB7E-2CF80C22F529}" uniqueName="51" name="POSTO" queryTableFieldId="6" dataDxfId="89"/>
    <tableColumn id="52" xr3:uid="{DFB1CF40-10C9-441F-B79D-C954FAED26DA}" uniqueName="52" name="UNIDADE" queryTableFieldId="7" dataDxfId="88"/>
    <tableColumn id="53" xr3:uid="{0BA4D0B1-256C-4084-B0D6-6DF671BA383D}" uniqueName="53" name="ACESSANTE" queryTableFieldId="8" dataDxfId="87"/>
    <tableColumn id="54" xr3:uid="{AB3777B2-B38D-439C-9241-9B96BDB5B77B}" uniqueName="54" name="Total TUSD" queryTableFieldId="9" dataDxfId="86"/>
    <tableColumn id="55" xr3:uid="{069B831A-2689-4BBD-B14B-1F835D9FB189}" uniqueName="55" name="Total TE" queryTableFieldId="10" dataDxfId="85"/>
    <tableColumn id="56" xr3:uid="{833548FD-45A3-4EE7-9E02-C7D4FAE47240}" uniqueName="56" name="TUSD_CDE_COVID" queryTableFieldId="11" dataDxfId="84"/>
    <tableColumn id="57" xr3:uid="{D26E7C41-6FA2-443F-8403-B38A6A4D8BDC}" uniqueName="57" name="TUSD_TFSEE" queryTableFieldId="12" dataDxfId="83"/>
    <tableColumn id="58" xr3:uid="{1EC6665C-589D-4CB7-9E05-41A29D644817}" uniqueName="58" name="TUSD_PeD" queryTableFieldId="13" dataDxfId="82"/>
    <tableColumn id="59" xr3:uid="{F497B72A-7ACC-4971-9502-AEAD8B4854D8}" uniqueName="59" name="TUSD_ONS" queryTableFieldId="14" dataDxfId="81"/>
    <tableColumn id="60" xr3:uid="{6CB11409-B32A-4E50-A4A5-5AFE30A45FF5}" uniqueName="60" name="TUSD_CCC" queryTableFieldId="15" dataDxfId="80"/>
    <tableColumn id="61" xr3:uid="{CE3A9B07-71BD-4E6F-97EE-7EF1A0ADF6F1}" uniqueName="61" name="TUSD_CDE" queryTableFieldId="16" dataDxfId="79"/>
    <tableColumn id="62" xr3:uid="{280345A3-4441-4657-833A-EC5A58896334}" uniqueName="62" name="TUSD_PROINFA" queryTableFieldId="17" dataDxfId="78"/>
    <tableColumn id="63" xr3:uid="{68F53CA0-ED7D-43C9-81DE-C086CF8F02A1}" uniqueName="63" name="Liminar1" queryTableFieldId="18" dataDxfId="77"/>
    <tableColumn id="64" xr3:uid="{28FCA7EF-C383-40ED-8B24-EE2430191B5A}" uniqueName="64" name="TUSD_RB" queryTableFieldId="19" dataDxfId="76"/>
    <tableColumn id="65" xr3:uid="{490EAF78-22CF-47B7-A97E-77B181C3F435}" uniqueName="65" name="TUSD_FR" queryTableFieldId="20" dataDxfId="75"/>
    <tableColumn id="66" xr3:uid="{513008A4-9A01-4307-9831-FAA1DACF2784}" uniqueName="66" name="TUSD_CCT" queryTableFieldId="21" dataDxfId="74"/>
    <tableColumn id="67" xr3:uid="{7B3A7DD4-3259-4D4C-88CF-13046BA9AA71}" uniqueName="67" name="TUSD_CCD" queryTableFieldId="22" dataDxfId="73"/>
    <tableColumn id="68" xr3:uid="{31C679E7-98E5-47A6-ACE8-B8E2464A3923}" uniqueName="68" name="TUSD_CUSD" queryTableFieldId="23" dataDxfId="72"/>
    <tableColumn id="69" xr3:uid="{ED5111AF-6AE9-49AA-BC1B-5B5A68944008}" uniqueName="69" name="TUSDG_T" queryTableFieldId="24" dataDxfId="71"/>
    <tableColumn id="70" xr3:uid="{70B62127-83DC-4551-8115-82E533B93F62}" uniqueName="70" name="TUSDG_ONS" queryTableFieldId="25" dataDxfId="70"/>
    <tableColumn id="71" xr3:uid="{7B6D9ECE-B9B5-4FBD-8488-463F5DB470CF}" uniqueName="71" name="TUSD_FioB" queryTableFieldId="26" dataDxfId="69"/>
    <tableColumn id="72" xr3:uid="{01B1E2ED-A0D8-41AA-BBC7-2B0EB290E700}" uniqueName="72" name="TUSD Subsidio" queryTableFieldId="27" dataDxfId="68"/>
    <tableColumn id="73" xr3:uid="{B6E3775F-1E86-4F8C-AA5F-97F76BB83A1B}" uniqueName="73" name="TUSD BENEFICIO_L14299" queryTableFieldId="28" dataDxfId="67"/>
    <tableColumn id="74" xr3:uid="{3CEEF757-2E17-420D-9C94-0E24624CDA1B}" uniqueName="74" name="TUSD Outros" queryTableFieldId="29" dataDxfId="66"/>
    <tableColumn id="75" xr3:uid="{B4DF5787-F69C-466F-9BDA-92742203EBE8}" uniqueName="75" name="TUSD_PT" queryTableFieldId="30" dataDxfId="65"/>
    <tableColumn id="76" xr3:uid="{9CB12582-F6B9-42F1-ACE5-B8ED3895E383}" uniqueName="76" name="TUSD_Per_RB_D" queryTableFieldId="31" dataDxfId="64"/>
    <tableColumn id="77" xr3:uid="{ED3213A6-4DDE-4E0F-A23D-A1CF688A7943}" uniqueName="77" name="TUSD_PNT" queryTableFieldId="32" dataDxfId="63"/>
    <tableColumn id="78" xr3:uid="{4222B019-9FB0-447C-91CC-8941C0286E58}" uniqueName="78" name="TUSD_RI" queryTableFieldId="33" dataDxfId="62"/>
    <tableColumn id="79" xr3:uid="{3E01115B-F482-43D7-A20D-449CD2B38954}" uniqueName="79" name="TE_CDE_COVID" queryTableFieldId="34" dataDxfId="61"/>
    <tableColumn id="80" xr3:uid="{62B08F38-343E-4A31-AB25-E21FE47E273D}" uniqueName="80" name="TE_CDE_ELET" queryTableFieldId="35" dataDxfId="60"/>
    <tableColumn id="81" xr3:uid="{D024AA5D-70AD-40BB-9093-F34888EB8C42}" uniqueName="81" name="TE_PeD" queryTableFieldId="36" dataDxfId="59"/>
    <tableColumn id="82" xr3:uid="{ABF1AA43-54B2-48EE-AA62-DD8323897B0E}" uniqueName="82" name="TE_ESSERR" queryTableFieldId="37" dataDxfId="58"/>
    <tableColumn id="83" xr3:uid="{6444094C-3ECC-4956-80FE-B13E0AD110ED}" uniqueName="83" name="TE_CFURH" queryTableFieldId="38" dataDxfId="57"/>
    <tableColumn id="84" xr3:uid="{0B33567A-FA0F-450E-B676-253D6C5F7D01}" uniqueName="84" name="TE_ENERGIA" queryTableFieldId="39" dataDxfId="56"/>
    <tableColumn id="85" xr3:uid="{1454DA9A-2A71-45D3-A256-5C5B0D178296}" uniqueName="85" name="TE_TRANSPORTE_ITAIPU" queryTableFieldId="40" dataDxfId="55"/>
    <tableColumn id="86" xr3:uid="{2CBA3983-F324-4B77-BC8A-5B6DD8DA616D}" uniqueName="86" name="TE_TUST_ITAIPU" queryTableFieldId="41" dataDxfId="54"/>
    <tableColumn id="87" xr3:uid="{48CCF9C0-596D-4615-AC39-C630FA19757E}" uniqueName="87" name="TE_TUST_CI" queryTableFieldId="42" dataDxfId="53"/>
    <tableColumn id="88" xr3:uid="{3798C61B-A447-430F-9A2C-AF27FFFF7EDD}" uniqueName="88" name="TE Subsidio" queryTableFieldId="43" dataDxfId="52"/>
    <tableColumn id="89" xr3:uid="{3C367088-83B8-4DE2-B614-775BC0440B4B}" uniqueName="89" name="TE BENEFICIO_L14299" queryTableFieldId="44" dataDxfId="51"/>
    <tableColumn id="90" xr3:uid="{0497C982-59EA-4039-B5AE-CBFB247C2775}" uniqueName="90" name="TE_Per_RB" queryTableFieldId="45" dataDxfId="5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0842F34-F4A3-4559-B18D-4E8D1C8B20DC}" name="TabelaCVA" displayName="TabelaCVA" ref="B3:AT66" tableType="queryTable" totalsRowShown="0" headerRowDxfId="49" dataDxfId="47" headerRowBorderDxfId="48" tableBorderDxfId="46" totalsRowBorderDxfId="45">
  <autoFilter ref="B3:AT66" xr:uid="{10842F34-F4A3-4559-B18D-4E8D1C8B20DC}"/>
  <sortState xmlns:xlrd2="http://schemas.microsoft.com/office/spreadsheetml/2017/richdata2" ref="B4:AT66">
    <sortCondition ref="B4:B66"/>
    <sortCondition ref="C4:C66"/>
    <sortCondition ref="D4:D66"/>
    <sortCondition ref="E4:E66"/>
    <sortCondition ref="F4:F66"/>
    <sortCondition descending="1" ref="G4:G66"/>
    <sortCondition descending="1" ref="H4:H66"/>
    <sortCondition ref="I4:I66"/>
  </sortState>
  <tableColumns count="45">
    <tableColumn id="46" xr3:uid="{33B61776-B0A4-40CE-A4DC-D984345BA66D}" uniqueName="46" name="SUBGRUPO" queryTableFieldId="1" dataDxfId="44"/>
    <tableColumn id="47" xr3:uid="{1D51EC78-A8D4-40B9-A12E-3A14D86857AA}" uniqueName="47" name="MODALIDADE" queryTableFieldId="2" dataDxfId="43"/>
    <tableColumn id="48" xr3:uid="{F36251C5-F861-463E-A3B6-74F6BC42856B}" uniqueName="48" name="CLASSE" queryTableFieldId="3" dataDxfId="42"/>
    <tableColumn id="49" xr3:uid="{D36A18CE-5CDF-4B83-8F57-93400091F3E7}" uniqueName="49" name="SUBCLASSE" queryTableFieldId="4" dataDxfId="41"/>
    <tableColumn id="50" xr3:uid="{058D04C4-F669-43C2-B760-13F2C0885F29}" uniqueName="50" name="DETALHE" queryTableFieldId="5" dataDxfId="40"/>
    <tableColumn id="51" xr3:uid="{46B5358A-4D81-4439-B9F5-9B88A754F9E7}" uniqueName="51" name="POSTO" queryTableFieldId="6" dataDxfId="39"/>
    <tableColumn id="52" xr3:uid="{2877DCF8-345D-433B-A1D8-FF896AE0CAC5}" uniqueName="52" name="UNIDADE" queryTableFieldId="7" dataDxfId="38"/>
    <tableColumn id="53" xr3:uid="{A4C351F0-B06A-4AF9-A60A-F0D9949E8615}" uniqueName="53" name="ACESSANTE" queryTableFieldId="8" dataDxfId="37"/>
    <tableColumn id="54" xr3:uid="{D38162D9-4759-4E1B-8000-18FA09318084}" uniqueName="54" name="Total TUSD" queryTableFieldId="9" dataDxfId="36"/>
    <tableColumn id="55" xr3:uid="{08DD8A79-2A01-4A3A-B930-177E9C8B6B82}" uniqueName="55" name="Total TE" queryTableFieldId="10" dataDxfId="35"/>
    <tableColumn id="56" xr3:uid="{F5402DAF-1187-469E-ADB3-88EF4A907212}" uniqueName="56" name="TUSD_CDE_COVID" queryTableFieldId="11" dataDxfId="34"/>
    <tableColumn id="57" xr3:uid="{9B7B141B-EDE6-4BAE-A445-BAA22E438E27}" uniqueName="57" name="TUSD_TFSEE" queryTableFieldId="12" dataDxfId="33"/>
    <tableColumn id="58" xr3:uid="{7CB8B258-8184-4666-A998-BAB9DFB1EB8B}" uniqueName="58" name="TUSD_PeD" queryTableFieldId="13" dataDxfId="32"/>
    <tableColumn id="59" xr3:uid="{716E6AE3-68C5-4B79-8097-C64E0D21A405}" uniqueName="59" name="TUSD_ONS" queryTableFieldId="14" dataDxfId="31"/>
    <tableColumn id="60" xr3:uid="{CF5026CB-B995-4D16-814B-632BBDDCBA0C}" uniqueName="60" name="TUSD_CCC" queryTableFieldId="15" dataDxfId="30"/>
    <tableColumn id="61" xr3:uid="{825B7A16-6757-481A-A2FC-2266B371A39F}" uniqueName="61" name="TUSD_CDE" queryTableFieldId="16" dataDxfId="29"/>
    <tableColumn id="62" xr3:uid="{8F26F9FB-8740-4048-922C-C49CD87DCA4B}" uniqueName="62" name="TUSD_PROINFA" queryTableFieldId="17" dataDxfId="28"/>
    <tableColumn id="63" xr3:uid="{0A3FE005-223E-4378-A630-44985A7A7783}" uniqueName="63" name="Liminar1" queryTableFieldId="18" dataDxfId="27"/>
    <tableColumn id="64" xr3:uid="{F6B8A2A1-FBEB-41A1-9616-FA41469C6878}" uniqueName="64" name="TUSD_RB" queryTableFieldId="19" dataDxfId="26"/>
    <tableColumn id="65" xr3:uid="{E2194427-4A71-4A9D-9CE0-9C2257EDB563}" uniqueName="65" name="TUSD_FR" queryTableFieldId="20" dataDxfId="25"/>
    <tableColumn id="66" xr3:uid="{48FCDA25-C2BC-4011-8814-7BE0BA3B6C4D}" uniqueName="66" name="TUSD_CCT" queryTableFieldId="21" dataDxfId="24"/>
    <tableColumn id="67" xr3:uid="{5A85EF45-D633-41D7-95CF-5BFB0FAB129B}" uniqueName="67" name="TUSD_CCD" queryTableFieldId="22" dataDxfId="23"/>
    <tableColumn id="68" xr3:uid="{6D63A50D-0A8F-4B19-93FB-A90BD9A81AC2}" uniqueName="68" name="TUSD_CUSD" queryTableFieldId="23" dataDxfId="22"/>
    <tableColumn id="69" xr3:uid="{88BBC17C-8412-4273-BE20-59C81E51479F}" uniqueName="69" name="TUSDG_T" queryTableFieldId="24" dataDxfId="21"/>
    <tableColumn id="70" xr3:uid="{4311ACA7-F880-454F-B9CF-5F61EF5D610B}" uniqueName="70" name="TUSDG_ONS" queryTableFieldId="25" dataDxfId="20"/>
    <tableColumn id="71" xr3:uid="{42F7876C-BB6D-48A9-9CB0-4CFC52D15503}" uniqueName="71" name="TUSD_FioB" queryTableFieldId="26" dataDxfId="19"/>
    <tableColumn id="72" xr3:uid="{477939FC-2CDB-4039-9FB7-14A6C7C60FC2}" uniqueName="72" name="TUSD Subsidio" queryTableFieldId="27" dataDxfId="18"/>
    <tableColumn id="73" xr3:uid="{5C0FB1BF-531B-4281-BBB6-D7EFA06A4037}" uniqueName="73" name="TUSD BENEFICIO_L14299" queryTableFieldId="28" dataDxfId="17"/>
    <tableColumn id="74" xr3:uid="{B4F3DBD6-27A3-4D46-99DD-CEBFB3D1985B}" uniqueName="74" name="TUSD Outros" queryTableFieldId="29" dataDxfId="16"/>
    <tableColumn id="75" xr3:uid="{FF397C5B-6E79-4386-A012-B0C5260A2A25}" uniqueName="75" name="TUSD_PT" queryTableFieldId="30" dataDxfId="15"/>
    <tableColumn id="76" xr3:uid="{32994EA9-73C0-4877-BA23-3F19E2AD4FEB}" uniqueName="76" name="TUSD_Per_RB_D" queryTableFieldId="31" dataDxfId="14"/>
    <tableColumn id="77" xr3:uid="{D0CF809B-1FB7-409D-8871-9CA5F00CC3E4}" uniqueName="77" name="TUSD_PNT" queryTableFieldId="32" dataDxfId="13"/>
    <tableColumn id="78" xr3:uid="{CB821F73-DFCF-4407-89C7-E51A332CECD2}" uniqueName="78" name="TUSD_RI" queryTableFieldId="33" dataDxfId="12"/>
    <tableColumn id="79" xr3:uid="{69B90726-1A08-4493-A695-FCF5985125E9}" uniqueName="79" name="TE_CDE_COVID" queryTableFieldId="34" dataDxfId="11"/>
    <tableColumn id="80" xr3:uid="{11CF786D-11A6-474E-8F8A-88A19EDE39F1}" uniqueName="80" name="TE_CDE_ELET" queryTableFieldId="35" dataDxfId="10"/>
    <tableColumn id="81" xr3:uid="{79B221FE-5FA6-4828-A36D-B8404891DF57}" uniqueName="81" name="TE_PeD" queryTableFieldId="36" dataDxfId="9"/>
    <tableColumn id="82" xr3:uid="{05230B5C-C0C7-403D-B377-0F705A30F61F}" uniqueName="82" name="TE_ESSERR" queryTableFieldId="37" dataDxfId="8"/>
    <tableColumn id="83" xr3:uid="{82A6957C-584A-4FD5-B3CD-C204F9CD2DF7}" uniqueName="83" name="TE_CFURH" queryTableFieldId="38" dataDxfId="7"/>
    <tableColumn id="84" xr3:uid="{1FB480FB-A6FD-42E7-8326-4F8B6AE9E5A0}" uniqueName="84" name="TE_ENERGIA" queryTableFieldId="39" dataDxfId="6"/>
    <tableColumn id="85" xr3:uid="{2FC4283E-F420-49BC-853E-3107B356CB0D}" uniqueName="85" name="TE_TRANSPORTE_ITAIPU" queryTableFieldId="40" dataDxfId="5"/>
    <tableColumn id="86" xr3:uid="{364DAD7E-4EB0-47AA-9C9D-6A443AE20D0B}" uniqueName="86" name="TE_TUST_ITAIPU" queryTableFieldId="41" dataDxfId="4"/>
    <tableColumn id="87" xr3:uid="{462B3DBB-8E52-41C1-98F4-A26AE1857C4C}" uniqueName="87" name="TE_TUST_CI" queryTableFieldId="42" dataDxfId="3"/>
    <tableColumn id="88" xr3:uid="{17D9CC02-AD18-4555-B074-0C9680CEE902}" uniqueName="88" name="TE Subsidio" queryTableFieldId="43" dataDxfId="2"/>
    <tableColumn id="89" xr3:uid="{D2823887-F7E4-4941-BE11-99BE3A0B9146}" uniqueName="89" name="TE BENEFICIO_L14299" queryTableFieldId="44" dataDxfId="1"/>
    <tableColumn id="90" xr3:uid="{31B70B3C-B828-4F97-AF34-F0D2E54F8C6E}" uniqueName="90" name="TE_Per_RB" queryTableFieldId="4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39134-FCF0-4ABF-BB72-A67E5D6413C6}">
  <sheetPr codeName="Planilha1"/>
  <dimension ref="A1:W886"/>
  <sheetViews>
    <sheetView showGridLines="0" topLeftCell="I856" workbookViewId="0">
      <selection activeCell="T887" sqref="T887"/>
    </sheetView>
  </sheetViews>
  <sheetFormatPr defaultRowHeight="11.25" customHeight="1" x14ac:dyDescent="0.3"/>
  <cols>
    <col min="1" max="1" width="18.5546875" style="4" bestFit="1" customWidth="1"/>
    <col min="2" max="2" width="8.44140625" style="4" bestFit="1" customWidth="1"/>
    <col min="3" max="3" width="10.5546875" style="4" bestFit="1" customWidth="1"/>
    <col min="4" max="4" width="13.21875" style="4" bestFit="1" customWidth="1"/>
    <col min="5" max="5" width="24.44140625" style="4" bestFit="1" customWidth="1"/>
    <col min="6" max="6" width="13.6640625" style="4" bestFit="1" customWidth="1"/>
    <col min="7" max="7" width="37.88671875" style="4" bestFit="1" customWidth="1"/>
    <col min="8" max="8" width="10" style="4" bestFit="1" customWidth="1"/>
    <col min="9" max="9" width="8.77734375" style="5" bestFit="1" customWidth="1"/>
    <col min="10" max="12" width="7" style="6" bestFit="1" customWidth="1"/>
    <col min="13" max="13" width="7.77734375" style="6" bestFit="1" customWidth="1"/>
    <col min="14" max="15" width="7" style="6" bestFit="1" customWidth="1"/>
    <col min="16" max="16" width="7.88671875" style="6" bestFit="1" customWidth="1"/>
    <col min="17" max="17" width="8.21875" style="4" bestFit="1" customWidth="1"/>
    <col min="18" max="18" width="8.33203125" style="4" bestFit="1" customWidth="1"/>
    <col min="19" max="19" width="76" style="4" bestFit="1" customWidth="1"/>
    <col min="20" max="20" width="81.5546875" style="4" bestFit="1" customWidth="1"/>
    <col min="21" max="21" width="17.88671875" style="4" bestFit="1" customWidth="1"/>
    <col min="22" max="22" width="19.33203125" style="4" bestFit="1" customWidth="1"/>
    <col min="23" max="23" width="17.21875" style="4" bestFit="1" customWidth="1"/>
    <col min="24" max="16384" width="8.88671875" style="4"/>
  </cols>
  <sheetData>
    <row r="1" spans="1:23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97</v>
      </c>
      <c r="T1" s="1" t="s">
        <v>392</v>
      </c>
      <c r="U1" s="1" t="s">
        <v>18</v>
      </c>
      <c r="V1" s="1" t="s">
        <v>19</v>
      </c>
      <c r="W1" s="1" t="s">
        <v>20</v>
      </c>
    </row>
    <row r="2" spans="1:23" ht="11.25" customHeight="1" x14ac:dyDescent="0.3">
      <c r="A2" s="4" t="s">
        <v>21</v>
      </c>
      <c r="B2" s="4" t="s">
        <v>45</v>
      </c>
      <c r="C2" s="4" t="s">
        <v>42</v>
      </c>
      <c r="D2" s="4" t="s">
        <v>41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44562</v>
      </c>
      <c r="J2" s="6">
        <v>30</v>
      </c>
      <c r="K2" s="6">
        <v>30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26</v>
      </c>
      <c r="R2" s="4">
        <v>0</v>
      </c>
      <c r="S2" s="4" t="s">
        <v>98</v>
      </c>
      <c r="T2" s="4" t="s">
        <v>393</v>
      </c>
      <c r="U2" s="4">
        <v>3</v>
      </c>
      <c r="V2" s="4">
        <v>0</v>
      </c>
      <c r="W2" s="4">
        <v>0</v>
      </c>
    </row>
    <row r="3" spans="1:23" ht="11.25" customHeight="1" x14ac:dyDescent="0.3">
      <c r="A3" s="4" t="s">
        <v>21</v>
      </c>
      <c r="B3" s="4" t="s">
        <v>45</v>
      </c>
      <c r="C3" s="4" t="s">
        <v>42</v>
      </c>
      <c r="D3" s="4" t="s">
        <v>41</v>
      </c>
      <c r="E3" s="4" t="s">
        <v>25</v>
      </c>
      <c r="F3" s="4" t="s">
        <v>25</v>
      </c>
      <c r="G3" s="4" t="s">
        <v>25</v>
      </c>
      <c r="H3" s="4" t="s">
        <v>34</v>
      </c>
      <c r="I3" s="5">
        <v>44562</v>
      </c>
      <c r="J3" s="6">
        <v>30</v>
      </c>
      <c r="K3" s="6">
        <v>30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26</v>
      </c>
      <c r="R3" s="4">
        <v>0</v>
      </c>
      <c r="S3" s="4" t="s">
        <v>99</v>
      </c>
      <c r="T3" s="4" t="s">
        <v>394</v>
      </c>
      <c r="U3" s="4">
        <v>1</v>
      </c>
      <c r="V3" s="4">
        <v>0</v>
      </c>
      <c r="W3" s="4">
        <v>0</v>
      </c>
    </row>
    <row r="4" spans="1:23" ht="11.25" customHeight="1" x14ac:dyDescent="0.3">
      <c r="A4" s="4" t="s">
        <v>21</v>
      </c>
      <c r="B4" s="4" t="s">
        <v>45</v>
      </c>
      <c r="C4" s="4" t="s">
        <v>42</v>
      </c>
      <c r="D4" s="4" t="s">
        <v>44</v>
      </c>
      <c r="E4" s="4" t="s">
        <v>53</v>
      </c>
      <c r="F4" s="4" t="s">
        <v>55</v>
      </c>
      <c r="G4" s="4" t="s">
        <v>25</v>
      </c>
      <c r="H4" s="4" t="s">
        <v>35</v>
      </c>
      <c r="I4" s="5">
        <v>44713</v>
      </c>
      <c r="J4" s="6">
        <v>0</v>
      </c>
      <c r="K4" s="6">
        <v>0</v>
      </c>
      <c r="L4" s="6">
        <v>169.28800000000001</v>
      </c>
      <c r="M4" s="6">
        <v>33.857599999999998</v>
      </c>
      <c r="N4" s="6">
        <v>169.28800000000001</v>
      </c>
      <c r="O4" s="6">
        <v>33.857599999999998</v>
      </c>
      <c r="P4" s="6">
        <v>0</v>
      </c>
      <c r="Q4" s="4" t="s">
        <v>26</v>
      </c>
      <c r="R4" s="4">
        <v>0</v>
      </c>
      <c r="S4" s="4" t="s">
        <v>100</v>
      </c>
      <c r="T4" s="4" t="s">
        <v>395</v>
      </c>
      <c r="U4" s="4">
        <v>0</v>
      </c>
      <c r="V4" s="4">
        <v>6</v>
      </c>
      <c r="W4" s="4">
        <v>63</v>
      </c>
    </row>
    <row r="5" spans="1:23" ht="11.25" customHeight="1" x14ac:dyDescent="0.3">
      <c r="A5" s="4" t="s">
        <v>21</v>
      </c>
      <c r="B5" s="4" t="s">
        <v>45</v>
      </c>
      <c r="C5" s="4" t="s">
        <v>42</v>
      </c>
      <c r="D5" s="4" t="s">
        <v>44</v>
      </c>
      <c r="E5" s="4" t="s">
        <v>53</v>
      </c>
      <c r="F5" s="4" t="s">
        <v>55</v>
      </c>
      <c r="G5" s="4" t="s">
        <v>25</v>
      </c>
      <c r="H5" s="4" t="s">
        <v>35</v>
      </c>
      <c r="I5" s="5">
        <v>44743</v>
      </c>
      <c r="J5" s="6">
        <v>0</v>
      </c>
      <c r="K5" s="6">
        <v>0</v>
      </c>
      <c r="L5" s="6">
        <v>169.28800000000001</v>
      </c>
      <c r="M5" s="6">
        <v>33.857599999999998</v>
      </c>
      <c r="N5" s="6">
        <v>169.28800000000001</v>
      </c>
      <c r="O5" s="6">
        <v>33.857599999999998</v>
      </c>
      <c r="P5" s="6">
        <v>0</v>
      </c>
      <c r="Q5" s="4" t="s">
        <v>26</v>
      </c>
      <c r="R5" s="4">
        <v>0</v>
      </c>
      <c r="S5" s="4" t="s">
        <v>101</v>
      </c>
      <c r="T5" s="4" t="s">
        <v>396</v>
      </c>
      <c r="U5" s="4">
        <v>0</v>
      </c>
      <c r="V5" s="4">
        <v>6</v>
      </c>
      <c r="W5" s="4">
        <v>63</v>
      </c>
    </row>
    <row r="6" spans="1:23" ht="11.25" customHeight="1" x14ac:dyDescent="0.3">
      <c r="A6" s="4" t="s">
        <v>21</v>
      </c>
      <c r="B6" s="4" t="s">
        <v>45</v>
      </c>
      <c r="C6" s="4" t="s">
        <v>42</v>
      </c>
      <c r="D6" s="4" t="s">
        <v>44</v>
      </c>
      <c r="E6" s="4" t="s">
        <v>53</v>
      </c>
      <c r="F6" s="4" t="s">
        <v>55</v>
      </c>
      <c r="G6" s="4" t="s">
        <v>25</v>
      </c>
      <c r="H6" s="4" t="s">
        <v>35</v>
      </c>
      <c r="I6" s="5">
        <v>44774</v>
      </c>
      <c r="J6" s="6">
        <v>0</v>
      </c>
      <c r="K6" s="6">
        <v>0</v>
      </c>
      <c r="L6" s="6">
        <v>498.92200000000003</v>
      </c>
      <c r="M6" s="6">
        <v>99.784400000000005</v>
      </c>
      <c r="N6" s="6">
        <v>498.92200000000003</v>
      </c>
      <c r="O6" s="6">
        <v>99.784400000000005</v>
      </c>
      <c r="P6" s="6">
        <v>0</v>
      </c>
      <c r="Q6" s="4" t="s">
        <v>26</v>
      </c>
      <c r="R6" s="4">
        <v>0</v>
      </c>
      <c r="S6" s="4" t="s">
        <v>102</v>
      </c>
      <c r="T6" s="4" t="s">
        <v>397</v>
      </c>
      <c r="U6" s="4">
        <v>0</v>
      </c>
      <c r="V6" s="4">
        <v>6</v>
      </c>
      <c r="W6" s="4">
        <v>63</v>
      </c>
    </row>
    <row r="7" spans="1:23" ht="11.25" customHeight="1" x14ac:dyDescent="0.3">
      <c r="A7" s="4" t="s">
        <v>21</v>
      </c>
      <c r="B7" s="4" t="s">
        <v>45</v>
      </c>
      <c r="C7" s="4" t="s">
        <v>42</v>
      </c>
      <c r="D7" s="4" t="s">
        <v>44</v>
      </c>
      <c r="E7" s="4" t="s">
        <v>53</v>
      </c>
      <c r="F7" s="4" t="s">
        <v>25</v>
      </c>
      <c r="G7" s="4" t="s">
        <v>25</v>
      </c>
      <c r="H7" s="4" t="s">
        <v>35</v>
      </c>
      <c r="I7" s="5">
        <v>44501</v>
      </c>
      <c r="J7" s="6">
        <v>114</v>
      </c>
      <c r="K7" s="6">
        <v>109.44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26</v>
      </c>
      <c r="R7" s="4">
        <v>0</v>
      </c>
      <c r="S7" s="4" t="s">
        <v>103</v>
      </c>
      <c r="T7" s="4" t="s">
        <v>398</v>
      </c>
      <c r="U7" s="4">
        <v>3</v>
      </c>
      <c r="V7" s="4">
        <v>0</v>
      </c>
      <c r="W7" s="4">
        <v>0</v>
      </c>
    </row>
    <row r="8" spans="1:23" ht="11.25" customHeight="1" x14ac:dyDescent="0.3">
      <c r="A8" s="4" t="s">
        <v>21</v>
      </c>
      <c r="B8" s="4" t="s">
        <v>45</v>
      </c>
      <c r="C8" s="4" t="s">
        <v>42</v>
      </c>
      <c r="D8" s="4" t="s">
        <v>44</v>
      </c>
      <c r="E8" s="4" t="s">
        <v>53</v>
      </c>
      <c r="F8" s="4" t="s">
        <v>25</v>
      </c>
      <c r="G8" s="4" t="s">
        <v>25</v>
      </c>
      <c r="H8" s="4" t="s">
        <v>35</v>
      </c>
      <c r="I8" s="5">
        <v>44531</v>
      </c>
      <c r="J8" s="6">
        <v>114</v>
      </c>
      <c r="K8" s="6">
        <v>109.44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26</v>
      </c>
      <c r="R8" s="4">
        <v>0</v>
      </c>
      <c r="S8" s="4" t="s">
        <v>104</v>
      </c>
      <c r="T8" s="4" t="s">
        <v>399</v>
      </c>
      <c r="U8" s="4">
        <v>3</v>
      </c>
      <c r="V8" s="4">
        <v>0</v>
      </c>
      <c r="W8" s="4">
        <v>0</v>
      </c>
    </row>
    <row r="9" spans="1:23" ht="11.25" customHeight="1" x14ac:dyDescent="0.3">
      <c r="A9" s="4" t="s">
        <v>21</v>
      </c>
      <c r="B9" s="4" t="s">
        <v>45</v>
      </c>
      <c r="C9" s="4" t="s">
        <v>42</v>
      </c>
      <c r="D9" s="4" t="s">
        <v>44</v>
      </c>
      <c r="E9" s="4" t="s">
        <v>53</v>
      </c>
      <c r="F9" s="4" t="s">
        <v>25</v>
      </c>
      <c r="G9" s="4" t="s">
        <v>25</v>
      </c>
      <c r="H9" s="4" t="s">
        <v>35</v>
      </c>
      <c r="I9" s="5">
        <v>44593</v>
      </c>
      <c r="J9" s="6">
        <v>114</v>
      </c>
      <c r="K9" s="6">
        <v>109.44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26</v>
      </c>
      <c r="R9" s="4">
        <v>0</v>
      </c>
      <c r="S9" s="4" t="s">
        <v>105</v>
      </c>
      <c r="T9" s="4" t="s">
        <v>400</v>
      </c>
      <c r="U9" s="4">
        <v>3</v>
      </c>
      <c r="V9" s="4">
        <v>0</v>
      </c>
      <c r="W9" s="4">
        <v>0</v>
      </c>
    </row>
    <row r="10" spans="1:23" ht="11.25" customHeight="1" x14ac:dyDescent="0.3">
      <c r="A10" s="4" t="s">
        <v>21</v>
      </c>
      <c r="B10" s="4" t="s">
        <v>45</v>
      </c>
      <c r="C10" s="4" t="s">
        <v>42</v>
      </c>
      <c r="D10" s="4" t="s">
        <v>44</v>
      </c>
      <c r="E10" s="4" t="s">
        <v>53</v>
      </c>
      <c r="F10" s="4" t="s">
        <v>25</v>
      </c>
      <c r="G10" s="4" t="s">
        <v>25</v>
      </c>
      <c r="H10" s="4" t="s">
        <v>35</v>
      </c>
      <c r="I10" s="5">
        <v>44621</v>
      </c>
      <c r="J10" s="6">
        <v>114</v>
      </c>
      <c r="K10" s="6">
        <v>109.44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26</v>
      </c>
      <c r="R10" s="4">
        <v>0</v>
      </c>
      <c r="S10" s="4" t="s">
        <v>106</v>
      </c>
      <c r="T10" s="4" t="s">
        <v>401</v>
      </c>
      <c r="U10" s="4">
        <v>3</v>
      </c>
      <c r="V10" s="4">
        <v>0</v>
      </c>
      <c r="W10" s="4">
        <v>0</v>
      </c>
    </row>
    <row r="11" spans="1:23" ht="11.25" customHeight="1" x14ac:dyDescent="0.3">
      <c r="A11" s="4" t="s">
        <v>21</v>
      </c>
      <c r="B11" s="4" t="s">
        <v>45</v>
      </c>
      <c r="C11" s="4" t="s">
        <v>42</v>
      </c>
      <c r="D11" s="4" t="s">
        <v>44</v>
      </c>
      <c r="E11" s="4" t="s">
        <v>53</v>
      </c>
      <c r="F11" s="4" t="s">
        <v>25</v>
      </c>
      <c r="G11" s="4" t="s">
        <v>25</v>
      </c>
      <c r="H11" s="4" t="s">
        <v>35</v>
      </c>
      <c r="I11" s="5">
        <v>44652</v>
      </c>
      <c r="J11" s="6">
        <v>114</v>
      </c>
      <c r="K11" s="6">
        <v>109.44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26</v>
      </c>
      <c r="R11" s="4">
        <v>0</v>
      </c>
      <c r="S11" s="4" t="s">
        <v>107</v>
      </c>
      <c r="T11" s="4" t="s">
        <v>402</v>
      </c>
      <c r="U11" s="4">
        <v>3</v>
      </c>
      <c r="V11" s="4">
        <v>0</v>
      </c>
      <c r="W11" s="4">
        <v>0</v>
      </c>
    </row>
    <row r="12" spans="1:23" ht="11.25" customHeight="1" x14ac:dyDescent="0.3">
      <c r="A12" s="4" t="s">
        <v>21</v>
      </c>
      <c r="B12" s="4" t="s">
        <v>45</v>
      </c>
      <c r="C12" s="4" t="s">
        <v>42</v>
      </c>
      <c r="D12" s="4" t="s">
        <v>44</v>
      </c>
      <c r="E12" s="4" t="s">
        <v>53</v>
      </c>
      <c r="F12" s="4" t="s">
        <v>25</v>
      </c>
      <c r="G12" s="4" t="s">
        <v>25</v>
      </c>
      <c r="H12" s="4" t="s">
        <v>35</v>
      </c>
      <c r="I12" s="5">
        <v>44682</v>
      </c>
      <c r="J12" s="6">
        <v>114</v>
      </c>
      <c r="K12" s="6">
        <v>109.44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26</v>
      </c>
      <c r="R12" s="4">
        <v>0</v>
      </c>
      <c r="S12" s="4" t="s">
        <v>108</v>
      </c>
      <c r="T12" s="4" t="s">
        <v>403</v>
      </c>
      <c r="U12" s="4">
        <v>3</v>
      </c>
      <c r="V12" s="4">
        <v>0</v>
      </c>
      <c r="W12" s="4">
        <v>0</v>
      </c>
    </row>
    <row r="13" spans="1:23" ht="11.25" customHeight="1" x14ac:dyDescent="0.3">
      <c r="A13" s="4" t="s">
        <v>21</v>
      </c>
      <c r="B13" s="4" t="s">
        <v>45</v>
      </c>
      <c r="C13" s="4" t="s">
        <v>42</v>
      </c>
      <c r="D13" s="4" t="s">
        <v>44</v>
      </c>
      <c r="E13" s="4" t="s">
        <v>53</v>
      </c>
      <c r="F13" s="4" t="s">
        <v>25</v>
      </c>
      <c r="G13" s="4" t="s">
        <v>25</v>
      </c>
      <c r="H13" s="4" t="s">
        <v>35</v>
      </c>
      <c r="I13" s="5">
        <v>44713</v>
      </c>
      <c r="J13" s="6">
        <v>1100</v>
      </c>
      <c r="K13" s="6">
        <v>1056</v>
      </c>
      <c r="L13" s="6">
        <v>249.721</v>
      </c>
      <c r="M13" s="6">
        <v>239.73215999999999</v>
      </c>
      <c r="N13" s="6">
        <v>249.721</v>
      </c>
      <c r="O13" s="6">
        <v>239.73215999999999</v>
      </c>
      <c r="P13" s="6">
        <v>0</v>
      </c>
      <c r="Q13" s="4" t="s">
        <v>26</v>
      </c>
      <c r="R13" s="4">
        <v>0</v>
      </c>
      <c r="S13" s="4" t="s">
        <v>100</v>
      </c>
      <c r="T13" s="4" t="s">
        <v>395</v>
      </c>
      <c r="U13" s="4">
        <v>3</v>
      </c>
      <c r="V13" s="4">
        <v>6</v>
      </c>
      <c r="W13" s="4">
        <v>63</v>
      </c>
    </row>
    <row r="14" spans="1:23" ht="11.25" customHeight="1" x14ac:dyDescent="0.3">
      <c r="A14" s="4" t="s">
        <v>21</v>
      </c>
      <c r="B14" s="4" t="s">
        <v>45</v>
      </c>
      <c r="C14" s="4" t="s">
        <v>42</v>
      </c>
      <c r="D14" s="4" t="s">
        <v>44</v>
      </c>
      <c r="E14" s="4" t="s">
        <v>53</v>
      </c>
      <c r="F14" s="4" t="s">
        <v>25</v>
      </c>
      <c r="G14" s="4" t="s">
        <v>25</v>
      </c>
      <c r="H14" s="4" t="s">
        <v>35</v>
      </c>
      <c r="I14" s="5">
        <v>44743</v>
      </c>
      <c r="J14" s="6">
        <v>1100</v>
      </c>
      <c r="K14" s="6">
        <v>1056</v>
      </c>
      <c r="L14" s="6">
        <v>249.721</v>
      </c>
      <c r="M14" s="6">
        <v>239.73215999999999</v>
      </c>
      <c r="N14" s="6">
        <v>249.721</v>
      </c>
      <c r="O14" s="6">
        <v>239.73215999999999</v>
      </c>
      <c r="P14" s="6">
        <v>0</v>
      </c>
      <c r="Q14" s="4" t="s">
        <v>26</v>
      </c>
      <c r="R14" s="4">
        <v>0</v>
      </c>
      <c r="S14" s="4" t="s">
        <v>101</v>
      </c>
      <c r="T14" s="4" t="s">
        <v>396</v>
      </c>
      <c r="U14" s="4">
        <v>3</v>
      </c>
      <c r="V14" s="4">
        <v>6</v>
      </c>
      <c r="W14" s="4">
        <v>63</v>
      </c>
    </row>
    <row r="15" spans="1:23" ht="11.25" customHeight="1" x14ac:dyDescent="0.3">
      <c r="A15" s="4" t="s">
        <v>21</v>
      </c>
      <c r="B15" s="4" t="s">
        <v>45</v>
      </c>
      <c r="C15" s="4" t="s">
        <v>42</v>
      </c>
      <c r="D15" s="4" t="s">
        <v>44</v>
      </c>
      <c r="E15" s="4" t="s">
        <v>53</v>
      </c>
      <c r="F15" s="4" t="s">
        <v>25</v>
      </c>
      <c r="G15" s="4" t="s">
        <v>25</v>
      </c>
      <c r="H15" s="4" t="s">
        <v>35</v>
      </c>
      <c r="I15" s="5">
        <v>44774</v>
      </c>
      <c r="J15" s="6">
        <v>1100</v>
      </c>
      <c r="K15" s="6">
        <v>1056</v>
      </c>
      <c r="L15" s="6">
        <v>422.24400000000003</v>
      </c>
      <c r="M15" s="6">
        <v>405.35424</v>
      </c>
      <c r="N15" s="6">
        <v>422.24400000000003</v>
      </c>
      <c r="O15" s="6">
        <v>405.35424</v>
      </c>
      <c r="P15" s="6">
        <v>0</v>
      </c>
      <c r="Q15" s="4" t="s">
        <v>26</v>
      </c>
      <c r="R15" s="4">
        <v>0</v>
      </c>
      <c r="S15" s="4" t="s">
        <v>102</v>
      </c>
      <c r="T15" s="4" t="s">
        <v>397</v>
      </c>
      <c r="U15" s="4">
        <v>3</v>
      </c>
      <c r="V15" s="4">
        <v>6</v>
      </c>
      <c r="W15" s="4">
        <v>63</v>
      </c>
    </row>
    <row r="16" spans="1:23" ht="11.25" customHeight="1" x14ac:dyDescent="0.3">
      <c r="A16" s="4" t="s">
        <v>21</v>
      </c>
      <c r="B16" s="4" t="s">
        <v>45</v>
      </c>
      <c r="C16" s="4" t="s">
        <v>42</v>
      </c>
      <c r="D16" s="4" t="s">
        <v>44</v>
      </c>
      <c r="E16" s="4" t="s">
        <v>53</v>
      </c>
      <c r="F16" s="4" t="s">
        <v>25</v>
      </c>
      <c r="G16" s="4" t="s">
        <v>25</v>
      </c>
      <c r="H16" s="4" t="s">
        <v>35</v>
      </c>
      <c r="I16" s="5">
        <v>44805</v>
      </c>
      <c r="J16" s="6">
        <v>110</v>
      </c>
      <c r="K16" s="6">
        <v>105.6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4" t="s">
        <v>26</v>
      </c>
      <c r="R16" s="4">
        <v>0</v>
      </c>
      <c r="S16" s="4" t="s">
        <v>109</v>
      </c>
      <c r="T16" s="4" t="s">
        <v>404</v>
      </c>
      <c r="U16" s="4">
        <v>3</v>
      </c>
      <c r="V16" s="4">
        <v>0</v>
      </c>
      <c r="W16" s="4">
        <v>0</v>
      </c>
    </row>
    <row r="17" spans="1:23" ht="11.25" customHeight="1" x14ac:dyDescent="0.3">
      <c r="A17" s="4" t="s">
        <v>57</v>
      </c>
      <c r="B17" s="4" t="s">
        <v>45</v>
      </c>
      <c r="C17" s="4" t="s">
        <v>42</v>
      </c>
      <c r="D17" s="4" t="s">
        <v>44</v>
      </c>
      <c r="E17" s="4" t="s">
        <v>53</v>
      </c>
      <c r="F17" s="4" t="s">
        <v>25</v>
      </c>
      <c r="G17" s="4" t="s">
        <v>25</v>
      </c>
      <c r="H17" s="4" t="s">
        <v>35</v>
      </c>
      <c r="I17" s="5">
        <v>44835</v>
      </c>
      <c r="J17" s="6">
        <v>110</v>
      </c>
      <c r="K17" s="6">
        <v>105.6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4" t="s">
        <v>26</v>
      </c>
      <c r="R17" s="4">
        <v>0</v>
      </c>
      <c r="S17" s="4" t="s">
        <v>110</v>
      </c>
      <c r="T17" s="4" t="s">
        <v>405</v>
      </c>
      <c r="U17" s="4">
        <v>3</v>
      </c>
      <c r="V17" s="4">
        <v>0</v>
      </c>
      <c r="W17" s="4">
        <v>0</v>
      </c>
    </row>
    <row r="18" spans="1:23" ht="11.25" customHeight="1" x14ac:dyDescent="0.3">
      <c r="A18" s="4" t="s">
        <v>21</v>
      </c>
      <c r="B18" s="4" t="s">
        <v>45</v>
      </c>
      <c r="C18" s="4" t="s">
        <v>42</v>
      </c>
      <c r="D18" s="4" t="s">
        <v>44</v>
      </c>
      <c r="E18" s="4" t="s">
        <v>53</v>
      </c>
      <c r="F18" s="4" t="s">
        <v>25</v>
      </c>
      <c r="G18" s="4" t="s">
        <v>25</v>
      </c>
      <c r="H18" s="4" t="s">
        <v>34</v>
      </c>
      <c r="I18" s="5">
        <v>44501</v>
      </c>
      <c r="J18" s="6">
        <v>111</v>
      </c>
      <c r="K18" s="6">
        <v>106.56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4" t="s">
        <v>26</v>
      </c>
      <c r="R18" s="4">
        <v>0</v>
      </c>
      <c r="S18" s="4" t="s">
        <v>111</v>
      </c>
      <c r="T18" s="4" t="s">
        <v>406</v>
      </c>
      <c r="U18" s="4">
        <v>1</v>
      </c>
      <c r="V18" s="4">
        <v>0</v>
      </c>
      <c r="W18" s="4">
        <v>0</v>
      </c>
    </row>
    <row r="19" spans="1:23" ht="11.25" customHeight="1" x14ac:dyDescent="0.3">
      <c r="A19" s="4" t="s">
        <v>21</v>
      </c>
      <c r="B19" s="4" t="s">
        <v>45</v>
      </c>
      <c r="C19" s="4" t="s">
        <v>42</v>
      </c>
      <c r="D19" s="4" t="s">
        <v>44</v>
      </c>
      <c r="E19" s="4" t="s">
        <v>53</v>
      </c>
      <c r="F19" s="4" t="s">
        <v>25</v>
      </c>
      <c r="G19" s="4" t="s">
        <v>25</v>
      </c>
      <c r="H19" s="4" t="s">
        <v>34</v>
      </c>
      <c r="I19" s="5">
        <v>44531</v>
      </c>
      <c r="J19" s="6">
        <v>111</v>
      </c>
      <c r="K19" s="6">
        <v>106.56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4" t="s">
        <v>26</v>
      </c>
      <c r="R19" s="4">
        <v>0</v>
      </c>
      <c r="S19" s="4" t="s">
        <v>112</v>
      </c>
      <c r="T19" s="4" t="s">
        <v>407</v>
      </c>
      <c r="U19" s="4">
        <v>1</v>
      </c>
      <c r="V19" s="4">
        <v>0</v>
      </c>
      <c r="W19" s="4">
        <v>0</v>
      </c>
    </row>
    <row r="20" spans="1:23" ht="11.25" customHeight="1" x14ac:dyDescent="0.3">
      <c r="A20" s="4" t="s">
        <v>21</v>
      </c>
      <c r="B20" s="4" t="s">
        <v>45</v>
      </c>
      <c r="C20" s="4" t="s">
        <v>42</v>
      </c>
      <c r="D20" s="4" t="s">
        <v>44</v>
      </c>
      <c r="E20" s="4" t="s">
        <v>53</v>
      </c>
      <c r="F20" s="4" t="s">
        <v>25</v>
      </c>
      <c r="G20" s="4" t="s">
        <v>25</v>
      </c>
      <c r="H20" s="4" t="s">
        <v>34</v>
      </c>
      <c r="I20" s="5">
        <v>44593</v>
      </c>
      <c r="J20" s="6">
        <v>111</v>
      </c>
      <c r="K20" s="6">
        <v>106.56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4" t="s">
        <v>26</v>
      </c>
      <c r="R20" s="4">
        <v>0</v>
      </c>
      <c r="S20" s="4" t="s">
        <v>113</v>
      </c>
      <c r="T20" s="4" t="s">
        <v>408</v>
      </c>
      <c r="U20" s="4">
        <v>1</v>
      </c>
      <c r="V20" s="4">
        <v>0</v>
      </c>
      <c r="W20" s="4">
        <v>0</v>
      </c>
    </row>
    <row r="21" spans="1:23" ht="11.25" customHeight="1" x14ac:dyDescent="0.3">
      <c r="A21" s="4" t="s">
        <v>21</v>
      </c>
      <c r="B21" s="4" t="s">
        <v>45</v>
      </c>
      <c r="C21" s="4" t="s">
        <v>42</v>
      </c>
      <c r="D21" s="4" t="s">
        <v>44</v>
      </c>
      <c r="E21" s="4" t="s">
        <v>53</v>
      </c>
      <c r="F21" s="4" t="s">
        <v>25</v>
      </c>
      <c r="G21" s="4" t="s">
        <v>25</v>
      </c>
      <c r="H21" s="4" t="s">
        <v>34</v>
      </c>
      <c r="I21" s="5">
        <v>44621</v>
      </c>
      <c r="J21" s="6">
        <v>111</v>
      </c>
      <c r="K21" s="6">
        <v>106.56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4" t="s">
        <v>26</v>
      </c>
      <c r="R21" s="4">
        <v>0</v>
      </c>
      <c r="S21" s="4" t="s">
        <v>114</v>
      </c>
      <c r="T21" s="4" t="s">
        <v>409</v>
      </c>
      <c r="U21" s="4">
        <v>1</v>
      </c>
      <c r="V21" s="4">
        <v>0</v>
      </c>
      <c r="W21" s="4">
        <v>0</v>
      </c>
    </row>
    <row r="22" spans="1:23" ht="11.25" customHeight="1" x14ac:dyDescent="0.3">
      <c r="A22" s="4" t="s">
        <v>21</v>
      </c>
      <c r="B22" s="4" t="s">
        <v>45</v>
      </c>
      <c r="C22" s="4" t="s">
        <v>42</v>
      </c>
      <c r="D22" s="4" t="s">
        <v>44</v>
      </c>
      <c r="E22" s="4" t="s">
        <v>53</v>
      </c>
      <c r="F22" s="4" t="s">
        <v>25</v>
      </c>
      <c r="G22" s="4" t="s">
        <v>25</v>
      </c>
      <c r="H22" s="4" t="s">
        <v>34</v>
      </c>
      <c r="I22" s="5">
        <v>44652</v>
      </c>
      <c r="J22" s="6">
        <v>111</v>
      </c>
      <c r="K22" s="6">
        <v>106.56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4" t="s">
        <v>26</v>
      </c>
      <c r="R22" s="4">
        <v>0</v>
      </c>
      <c r="S22" s="4" t="s">
        <v>115</v>
      </c>
      <c r="T22" s="4" t="s">
        <v>410</v>
      </c>
      <c r="U22" s="4">
        <v>1</v>
      </c>
      <c r="V22" s="4">
        <v>0</v>
      </c>
      <c r="W22" s="4">
        <v>0</v>
      </c>
    </row>
    <row r="23" spans="1:23" ht="11.25" customHeight="1" x14ac:dyDescent="0.3">
      <c r="A23" s="4" t="s">
        <v>21</v>
      </c>
      <c r="B23" s="4" t="s">
        <v>45</v>
      </c>
      <c r="C23" s="4" t="s">
        <v>42</v>
      </c>
      <c r="D23" s="4" t="s">
        <v>44</v>
      </c>
      <c r="E23" s="4" t="s">
        <v>53</v>
      </c>
      <c r="F23" s="4" t="s">
        <v>25</v>
      </c>
      <c r="G23" s="4" t="s">
        <v>25</v>
      </c>
      <c r="H23" s="4" t="s">
        <v>34</v>
      </c>
      <c r="I23" s="5">
        <v>44682</v>
      </c>
      <c r="J23" s="6">
        <v>111</v>
      </c>
      <c r="K23" s="6">
        <v>106.56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4" t="s">
        <v>26</v>
      </c>
      <c r="R23" s="4">
        <v>0</v>
      </c>
      <c r="S23" s="4" t="s">
        <v>116</v>
      </c>
      <c r="T23" s="4" t="s">
        <v>411</v>
      </c>
      <c r="U23" s="4">
        <v>1</v>
      </c>
      <c r="V23" s="4">
        <v>0</v>
      </c>
      <c r="W23" s="4">
        <v>0</v>
      </c>
    </row>
    <row r="24" spans="1:23" ht="11.25" customHeight="1" x14ac:dyDescent="0.3">
      <c r="A24" s="4" t="s">
        <v>21</v>
      </c>
      <c r="B24" s="4" t="s">
        <v>45</v>
      </c>
      <c r="C24" s="4" t="s">
        <v>42</v>
      </c>
      <c r="D24" s="4" t="s">
        <v>44</v>
      </c>
      <c r="E24" s="4" t="s">
        <v>53</v>
      </c>
      <c r="F24" s="4" t="s">
        <v>25</v>
      </c>
      <c r="G24" s="4" t="s">
        <v>25</v>
      </c>
      <c r="H24" s="4" t="s">
        <v>34</v>
      </c>
      <c r="I24" s="5">
        <v>44713</v>
      </c>
      <c r="J24" s="6">
        <v>1100</v>
      </c>
      <c r="K24" s="6">
        <v>1056</v>
      </c>
      <c r="L24" s="6">
        <v>0.437</v>
      </c>
      <c r="M24" s="6">
        <v>0.41952</v>
      </c>
      <c r="N24" s="6">
        <v>0.437</v>
      </c>
      <c r="O24" s="6">
        <v>0.41952</v>
      </c>
      <c r="P24" s="6">
        <v>0</v>
      </c>
      <c r="Q24" s="4" t="s">
        <v>26</v>
      </c>
      <c r="R24" s="4">
        <v>0</v>
      </c>
      <c r="S24" s="4" t="s">
        <v>117</v>
      </c>
      <c r="T24" s="4" t="s">
        <v>412</v>
      </c>
      <c r="U24" s="4">
        <v>1</v>
      </c>
      <c r="V24" s="4">
        <v>6</v>
      </c>
      <c r="W24" s="4">
        <v>62</v>
      </c>
    </row>
    <row r="25" spans="1:23" ht="11.25" customHeight="1" x14ac:dyDescent="0.3">
      <c r="A25" s="4" t="s">
        <v>21</v>
      </c>
      <c r="B25" s="4" t="s">
        <v>45</v>
      </c>
      <c r="C25" s="4" t="s">
        <v>42</v>
      </c>
      <c r="D25" s="4" t="s">
        <v>44</v>
      </c>
      <c r="E25" s="4" t="s">
        <v>53</v>
      </c>
      <c r="F25" s="4" t="s">
        <v>25</v>
      </c>
      <c r="G25" s="4" t="s">
        <v>25</v>
      </c>
      <c r="H25" s="4" t="s">
        <v>34</v>
      </c>
      <c r="I25" s="5">
        <v>44743</v>
      </c>
      <c r="J25" s="6">
        <v>1100</v>
      </c>
      <c r="K25" s="6">
        <v>1056</v>
      </c>
      <c r="L25" s="6">
        <v>0.437</v>
      </c>
      <c r="M25" s="6">
        <v>0.41952</v>
      </c>
      <c r="N25" s="6">
        <v>0.437</v>
      </c>
      <c r="O25" s="6">
        <v>0.41952</v>
      </c>
      <c r="P25" s="6">
        <v>0</v>
      </c>
      <c r="Q25" s="4" t="s">
        <v>26</v>
      </c>
      <c r="R25" s="4">
        <v>0</v>
      </c>
      <c r="S25" s="4" t="s">
        <v>118</v>
      </c>
      <c r="T25" s="4" t="s">
        <v>413</v>
      </c>
      <c r="U25" s="4">
        <v>1</v>
      </c>
      <c r="V25" s="4">
        <v>6</v>
      </c>
      <c r="W25" s="4">
        <v>62</v>
      </c>
    </row>
    <row r="26" spans="1:23" ht="11.25" customHeight="1" x14ac:dyDescent="0.3">
      <c r="A26" s="4" t="s">
        <v>21</v>
      </c>
      <c r="B26" s="4" t="s">
        <v>45</v>
      </c>
      <c r="C26" s="4" t="s">
        <v>42</v>
      </c>
      <c r="D26" s="4" t="s">
        <v>44</v>
      </c>
      <c r="E26" s="4" t="s">
        <v>53</v>
      </c>
      <c r="F26" s="4" t="s">
        <v>25</v>
      </c>
      <c r="G26" s="4" t="s">
        <v>25</v>
      </c>
      <c r="H26" s="4" t="s">
        <v>34</v>
      </c>
      <c r="I26" s="5">
        <v>44774</v>
      </c>
      <c r="J26" s="6">
        <v>1100</v>
      </c>
      <c r="K26" s="6">
        <v>1056</v>
      </c>
      <c r="L26" s="6">
        <v>5.5E-2</v>
      </c>
      <c r="M26" s="6">
        <v>5.28E-2</v>
      </c>
      <c r="N26" s="6">
        <v>5.5E-2</v>
      </c>
      <c r="O26" s="6">
        <v>5.28E-2</v>
      </c>
      <c r="P26" s="6">
        <v>0</v>
      </c>
      <c r="Q26" s="4" t="s">
        <v>26</v>
      </c>
      <c r="R26" s="4">
        <v>0</v>
      </c>
      <c r="S26" s="4" t="s">
        <v>119</v>
      </c>
      <c r="T26" s="4" t="s">
        <v>414</v>
      </c>
      <c r="U26" s="4">
        <v>1</v>
      </c>
      <c r="V26" s="4">
        <v>6</v>
      </c>
      <c r="W26" s="4">
        <v>62</v>
      </c>
    </row>
    <row r="27" spans="1:23" ht="11.25" customHeight="1" x14ac:dyDescent="0.3">
      <c r="A27" s="4" t="s">
        <v>21</v>
      </c>
      <c r="B27" s="4" t="s">
        <v>45</v>
      </c>
      <c r="C27" s="4" t="s">
        <v>42</v>
      </c>
      <c r="D27" s="4" t="s">
        <v>44</v>
      </c>
      <c r="E27" s="4" t="s">
        <v>53</v>
      </c>
      <c r="F27" s="4" t="s">
        <v>25</v>
      </c>
      <c r="G27" s="4" t="s">
        <v>25</v>
      </c>
      <c r="H27" s="4" t="s">
        <v>34</v>
      </c>
      <c r="I27" s="5">
        <v>44805</v>
      </c>
      <c r="J27" s="6">
        <v>110</v>
      </c>
      <c r="K27" s="6">
        <v>105.6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26</v>
      </c>
      <c r="R27" s="4">
        <v>0</v>
      </c>
      <c r="S27" s="4" t="s">
        <v>120</v>
      </c>
      <c r="T27" s="4" t="s">
        <v>415</v>
      </c>
      <c r="U27" s="4">
        <v>1</v>
      </c>
      <c r="V27" s="4">
        <v>0</v>
      </c>
      <c r="W27" s="4">
        <v>0</v>
      </c>
    </row>
    <row r="28" spans="1:23" ht="11.25" customHeight="1" x14ac:dyDescent="0.3">
      <c r="A28" s="4" t="s">
        <v>57</v>
      </c>
      <c r="B28" s="4" t="s">
        <v>45</v>
      </c>
      <c r="C28" s="4" t="s">
        <v>42</v>
      </c>
      <c r="D28" s="4" t="s">
        <v>44</v>
      </c>
      <c r="E28" s="4" t="s">
        <v>53</v>
      </c>
      <c r="F28" s="4" t="s">
        <v>25</v>
      </c>
      <c r="G28" s="4" t="s">
        <v>25</v>
      </c>
      <c r="H28" s="4" t="s">
        <v>34</v>
      </c>
      <c r="I28" s="5">
        <v>44835</v>
      </c>
      <c r="J28" s="6">
        <v>110</v>
      </c>
      <c r="K28" s="6">
        <v>105.6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26</v>
      </c>
      <c r="R28" s="4">
        <v>0</v>
      </c>
      <c r="S28" s="4" t="s">
        <v>121</v>
      </c>
      <c r="T28" s="4" t="s">
        <v>416</v>
      </c>
      <c r="U28" s="4">
        <v>1</v>
      </c>
      <c r="V28" s="4">
        <v>0</v>
      </c>
      <c r="W28" s="4">
        <v>0</v>
      </c>
    </row>
    <row r="29" spans="1:23" ht="11.25" customHeight="1" x14ac:dyDescent="0.3">
      <c r="A29" s="4" t="s">
        <v>21</v>
      </c>
      <c r="B29" s="4" t="s">
        <v>45</v>
      </c>
      <c r="C29" s="4" t="s">
        <v>60</v>
      </c>
      <c r="D29" s="4" t="s">
        <v>25</v>
      </c>
      <c r="E29" s="4" t="s">
        <v>25</v>
      </c>
      <c r="F29" s="4" t="s">
        <v>25</v>
      </c>
      <c r="G29" s="4" t="s">
        <v>61</v>
      </c>
      <c r="H29" s="4" t="s">
        <v>25</v>
      </c>
      <c r="I29" s="5">
        <v>44501</v>
      </c>
      <c r="J29" s="6">
        <v>3010</v>
      </c>
      <c r="K29" s="6">
        <v>3010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62</v>
      </c>
      <c r="R29" s="4">
        <v>26879</v>
      </c>
      <c r="S29" s="4" t="s">
        <v>122</v>
      </c>
      <c r="U29" s="4">
        <v>10</v>
      </c>
      <c r="V29" s="4">
        <v>0</v>
      </c>
      <c r="W29" s="4">
        <v>0</v>
      </c>
    </row>
    <row r="30" spans="1:23" ht="11.25" customHeight="1" x14ac:dyDescent="0.3">
      <c r="A30" s="4" t="s">
        <v>21</v>
      </c>
      <c r="B30" s="4" t="s">
        <v>45</v>
      </c>
      <c r="C30" s="4" t="s">
        <v>60</v>
      </c>
      <c r="D30" s="4" t="s">
        <v>25</v>
      </c>
      <c r="E30" s="4" t="s">
        <v>25</v>
      </c>
      <c r="F30" s="4" t="s">
        <v>25</v>
      </c>
      <c r="G30" s="4" t="s">
        <v>61</v>
      </c>
      <c r="H30" s="4" t="s">
        <v>25</v>
      </c>
      <c r="I30" s="5">
        <v>44531</v>
      </c>
      <c r="J30" s="6">
        <v>3010</v>
      </c>
      <c r="K30" s="6">
        <v>3010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62</v>
      </c>
      <c r="R30" s="4">
        <v>26879</v>
      </c>
      <c r="S30" s="4" t="s">
        <v>123</v>
      </c>
      <c r="U30" s="4">
        <v>10</v>
      </c>
      <c r="V30" s="4">
        <v>0</v>
      </c>
      <c r="W30" s="4">
        <v>0</v>
      </c>
    </row>
    <row r="31" spans="1:23" ht="11.25" customHeight="1" x14ac:dyDescent="0.3">
      <c r="A31" s="4" t="s">
        <v>21</v>
      </c>
      <c r="B31" s="4" t="s">
        <v>45</v>
      </c>
      <c r="C31" s="4" t="s">
        <v>60</v>
      </c>
      <c r="D31" s="4" t="s">
        <v>25</v>
      </c>
      <c r="E31" s="4" t="s">
        <v>25</v>
      </c>
      <c r="F31" s="4" t="s">
        <v>25</v>
      </c>
      <c r="G31" s="4" t="s">
        <v>61</v>
      </c>
      <c r="H31" s="4" t="s">
        <v>25</v>
      </c>
      <c r="I31" s="5">
        <v>44562</v>
      </c>
      <c r="J31" s="6">
        <v>3010</v>
      </c>
      <c r="K31" s="6">
        <v>3010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62</v>
      </c>
      <c r="R31" s="4">
        <v>26879</v>
      </c>
      <c r="S31" s="4" t="s">
        <v>124</v>
      </c>
      <c r="U31" s="4">
        <v>10</v>
      </c>
      <c r="V31" s="4">
        <v>0</v>
      </c>
      <c r="W31" s="4">
        <v>0</v>
      </c>
    </row>
    <row r="32" spans="1:23" ht="11.25" customHeight="1" x14ac:dyDescent="0.3">
      <c r="A32" s="4" t="s">
        <v>21</v>
      </c>
      <c r="B32" s="4" t="s">
        <v>45</v>
      </c>
      <c r="C32" s="4" t="s">
        <v>60</v>
      </c>
      <c r="D32" s="4" t="s">
        <v>25</v>
      </c>
      <c r="E32" s="4" t="s">
        <v>25</v>
      </c>
      <c r="F32" s="4" t="s">
        <v>25</v>
      </c>
      <c r="G32" s="4" t="s">
        <v>61</v>
      </c>
      <c r="H32" s="4" t="s">
        <v>25</v>
      </c>
      <c r="I32" s="5">
        <v>44593</v>
      </c>
      <c r="J32" s="6">
        <v>3010</v>
      </c>
      <c r="K32" s="6">
        <v>3010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62</v>
      </c>
      <c r="R32" s="4">
        <v>26879</v>
      </c>
      <c r="S32" s="4" t="s">
        <v>125</v>
      </c>
      <c r="U32" s="4">
        <v>10</v>
      </c>
      <c r="V32" s="4">
        <v>0</v>
      </c>
      <c r="W32" s="4">
        <v>0</v>
      </c>
    </row>
    <row r="33" spans="1:23" ht="11.25" customHeight="1" x14ac:dyDescent="0.3">
      <c r="A33" s="4" t="s">
        <v>21</v>
      </c>
      <c r="B33" s="4" t="s">
        <v>45</v>
      </c>
      <c r="C33" s="4" t="s">
        <v>60</v>
      </c>
      <c r="D33" s="4" t="s">
        <v>25</v>
      </c>
      <c r="E33" s="4" t="s">
        <v>25</v>
      </c>
      <c r="F33" s="4" t="s">
        <v>25</v>
      </c>
      <c r="G33" s="4" t="s">
        <v>61</v>
      </c>
      <c r="H33" s="4" t="s">
        <v>25</v>
      </c>
      <c r="I33" s="5">
        <v>44621</v>
      </c>
      <c r="J33" s="6">
        <v>3010</v>
      </c>
      <c r="K33" s="6">
        <v>3010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62</v>
      </c>
      <c r="R33" s="4">
        <v>26879</v>
      </c>
      <c r="S33" s="4" t="s">
        <v>126</v>
      </c>
      <c r="U33" s="4">
        <v>10</v>
      </c>
      <c r="V33" s="4">
        <v>0</v>
      </c>
      <c r="W33" s="4">
        <v>0</v>
      </c>
    </row>
    <row r="34" spans="1:23" ht="11.25" customHeight="1" x14ac:dyDescent="0.3">
      <c r="A34" s="4" t="s">
        <v>21</v>
      </c>
      <c r="B34" s="4" t="s">
        <v>45</v>
      </c>
      <c r="C34" s="4" t="s">
        <v>60</v>
      </c>
      <c r="D34" s="4" t="s">
        <v>25</v>
      </c>
      <c r="E34" s="4" t="s">
        <v>25</v>
      </c>
      <c r="F34" s="4" t="s">
        <v>25</v>
      </c>
      <c r="G34" s="4" t="s">
        <v>61</v>
      </c>
      <c r="H34" s="4" t="s">
        <v>25</v>
      </c>
      <c r="I34" s="5">
        <v>44652</v>
      </c>
      <c r="J34" s="6">
        <v>3010</v>
      </c>
      <c r="K34" s="6">
        <v>3010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62</v>
      </c>
      <c r="R34" s="4">
        <v>26879</v>
      </c>
      <c r="S34" s="4" t="s">
        <v>127</v>
      </c>
      <c r="U34" s="4">
        <v>10</v>
      </c>
      <c r="V34" s="4">
        <v>0</v>
      </c>
      <c r="W34" s="4">
        <v>0</v>
      </c>
    </row>
    <row r="35" spans="1:23" ht="11.25" customHeight="1" x14ac:dyDescent="0.3">
      <c r="A35" s="4" t="s">
        <v>21</v>
      </c>
      <c r="B35" s="4" t="s">
        <v>45</v>
      </c>
      <c r="C35" s="4" t="s">
        <v>60</v>
      </c>
      <c r="D35" s="4" t="s">
        <v>25</v>
      </c>
      <c r="E35" s="4" t="s">
        <v>25</v>
      </c>
      <c r="F35" s="4" t="s">
        <v>25</v>
      </c>
      <c r="G35" s="4" t="s">
        <v>61</v>
      </c>
      <c r="H35" s="4" t="s">
        <v>25</v>
      </c>
      <c r="I35" s="5">
        <v>44682</v>
      </c>
      <c r="J35" s="6">
        <v>3010</v>
      </c>
      <c r="K35" s="6">
        <v>3010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62</v>
      </c>
      <c r="R35" s="4">
        <v>26879</v>
      </c>
      <c r="S35" s="4" t="s">
        <v>128</v>
      </c>
      <c r="U35" s="4">
        <v>10</v>
      </c>
      <c r="V35" s="4">
        <v>0</v>
      </c>
      <c r="W35" s="4">
        <v>0</v>
      </c>
    </row>
    <row r="36" spans="1:23" ht="11.25" customHeight="1" x14ac:dyDescent="0.3">
      <c r="A36" s="4" t="s">
        <v>21</v>
      </c>
      <c r="B36" s="4" t="s">
        <v>45</v>
      </c>
      <c r="C36" s="4" t="s">
        <v>60</v>
      </c>
      <c r="D36" s="4" t="s">
        <v>25</v>
      </c>
      <c r="E36" s="4" t="s">
        <v>25</v>
      </c>
      <c r="F36" s="4" t="s">
        <v>25</v>
      </c>
      <c r="G36" s="4" t="s">
        <v>61</v>
      </c>
      <c r="H36" s="4" t="s">
        <v>25</v>
      </c>
      <c r="I36" s="5">
        <v>44713</v>
      </c>
      <c r="J36" s="6">
        <v>3010</v>
      </c>
      <c r="K36" s="6">
        <v>3010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62</v>
      </c>
      <c r="R36" s="4">
        <v>26879</v>
      </c>
      <c r="S36" s="4" t="s">
        <v>129</v>
      </c>
      <c r="U36" s="4">
        <v>10</v>
      </c>
      <c r="V36" s="4">
        <v>0</v>
      </c>
      <c r="W36" s="4">
        <v>0</v>
      </c>
    </row>
    <row r="37" spans="1:23" ht="11.25" customHeight="1" x14ac:dyDescent="0.3">
      <c r="A37" s="4" t="s">
        <v>21</v>
      </c>
      <c r="B37" s="4" t="s">
        <v>45</v>
      </c>
      <c r="C37" s="4" t="s">
        <v>60</v>
      </c>
      <c r="D37" s="4" t="s">
        <v>25</v>
      </c>
      <c r="E37" s="4" t="s">
        <v>25</v>
      </c>
      <c r="F37" s="4" t="s">
        <v>25</v>
      </c>
      <c r="G37" s="4" t="s">
        <v>61</v>
      </c>
      <c r="H37" s="4" t="s">
        <v>25</v>
      </c>
      <c r="I37" s="5">
        <v>44743</v>
      </c>
      <c r="J37" s="6">
        <v>3010</v>
      </c>
      <c r="K37" s="6">
        <v>3010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62</v>
      </c>
      <c r="R37" s="4">
        <v>26879</v>
      </c>
      <c r="S37" s="4" t="s">
        <v>130</v>
      </c>
      <c r="U37" s="4">
        <v>10</v>
      </c>
      <c r="V37" s="4">
        <v>0</v>
      </c>
      <c r="W37" s="4">
        <v>0</v>
      </c>
    </row>
    <row r="38" spans="1:23" ht="11.25" customHeight="1" x14ac:dyDescent="0.3">
      <c r="A38" s="4" t="s">
        <v>21</v>
      </c>
      <c r="B38" s="4" t="s">
        <v>45</v>
      </c>
      <c r="C38" s="4" t="s">
        <v>60</v>
      </c>
      <c r="D38" s="4" t="s">
        <v>25</v>
      </c>
      <c r="E38" s="4" t="s">
        <v>25</v>
      </c>
      <c r="F38" s="4" t="s">
        <v>25</v>
      </c>
      <c r="G38" s="4" t="s">
        <v>61</v>
      </c>
      <c r="H38" s="4" t="s">
        <v>25</v>
      </c>
      <c r="I38" s="5">
        <v>44774</v>
      </c>
      <c r="J38" s="6">
        <v>3010</v>
      </c>
      <c r="K38" s="6">
        <v>3010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62</v>
      </c>
      <c r="R38" s="4">
        <v>26879</v>
      </c>
      <c r="S38" s="4" t="s">
        <v>131</v>
      </c>
      <c r="U38" s="4">
        <v>10</v>
      </c>
      <c r="V38" s="4">
        <v>0</v>
      </c>
      <c r="W38" s="4">
        <v>0</v>
      </c>
    </row>
    <row r="39" spans="1:23" ht="11.25" customHeight="1" x14ac:dyDescent="0.3">
      <c r="A39" s="4" t="s">
        <v>21</v>
      </c>
      <c r="B39" s="4" t="s">
        <v>45</v>
      </c>
      <c r="C39" s="4" t="s">
        <v>60</v>
      </c>
      <c r="D39" s="4" t="s">
        <v>25</v>
      </c>
      <c r="E39" s="4" t="s">
        <v>25</v>
      </c>
      <c r="F39" s="4" t="s">
        <v>25</v>
      </c>
      <c r="G39" s="4" t="s">
        <v>61</v>
      </c>
      <c r="H39" s="4" t="s">
        <v>25</v>
      </c>
      <c r="I39" s="5">
        <v>44805</v>
      </c>
      <c r="J39" s="6">
        <v>3010</v>
      </c>
      <c r="K39" s="6">
        <v>3010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62</v>
      </c>
      <c r="R39" s="4">
        <v>26879</v>
      </c>
      <c r="S39" s="4" t="s">
        <v>132</v>
      </c>
      <c r="U39" s="4">
        <v>10</v>
      </c>
      <c r="V39" s="4">
        <v>0</v>
      </c>
      <c r="W39" s="4">
        <v>0</v>
      </c>
    </row>
    <row r="40" spans="1:23" ht="11.25" customHeight="1" x14ac:dyDescent="0.3">
      <c r="A40" s="4" t="s">
        <v>57</v>
      </c>
      <c r="B40" s="4" t="s">
        <v>45</v>
      </c>
      <c r="C40" s="4" t="s">
        <v>60</v>
      </c>
      <c r="D40" s="4" t="s">
        <v>25</v>
      </c>
      <c r="E40" s="4" t="s">
        <v>25</v>
      </c>
      <c r="F40" s="4" t="s">
        <v>25</v>
      </c>
      <c r="G40" s="4" t="s">
        <v>61</v>
      </c>
      <c r="H40" s="4" t="s">
        <v>25</v>
      </c>
      <c r="I40" s="5">
        <v>44835</v>
      </c>
      <c r="J40" s="6">
        <v>3010</v>
      </c>
      <c r="K40" s="6">
        <v>3010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62</v>
      </c>
      <c r="R40" s="4">
        <v>26879</v>
      </c>
      <c r="S40" s="4" t="s">
        <v>133</v>
      </c>
      <c r="U40" s="4">
        <v>10</v>
      </c>
      <c r="V40" s="4">
        <v>0</v>
      </c>
      <c r="W40" s="4">
        <v>0</v>
      </c>
    </row>
    <row r="41" spans="1:23" ht="11.25" customHeight="1" x14ac:dyDescent="0.3">
      <c r="A41" s="4" t="s">
        <v>21</v>
      </c>
      <c r="B41" s="4" t="s">
        <v>45</v>
      </c>
      <c r="C41" s="4" t="s">
        <v>40</v>
      </c>
      <c r="D41" s="4" t="s">
        <v>44</v>
      </c>
      <c r="E41" s="4" t="s">
        <v>53</v>
      </c>
      <c r="F41" s="4" t="s">
        <v>55</v>
      </c>
      <c r="G41" s="4" t="s">
        <v>25</v>
      </c>
      <c r="H41" s="4" t="s">
        <v>35</v>
      </c>
      <c r="I41" s="5">
        <v>44805</v>
      </c>
      <c r="J41" s="6">
        <v>0</v>
      </c>
      <c r="K41" s="6">
        <v>0</v>
      </c>
      <c r="L41" s="6">
        <v>5.2069999999999999</v>
      </c>
      <c r="M41" s="6">
        <v>1.0414000000000001</v>
      </c>
      <c r="N41" s="6">
        <v>5.2069999999999999</v>
      </c>
      <c r="O41" s="6">
        <v>1.0414000000000001</v>
      </c>
      <c r="P41" s="6">
        <v>0</v>
      </c>
      <c r="Q41" s="4" t="s">
        <v>26</v>
      </c>
      <c r="R41" s="4">
        <v>0</v>
      </c>
      <c r="S41" s="4" t="s">
        <v>134</v>
      </c>
      <c r="T41" s="4" t="s">
        <v>404</v>
      </c>
      <c r="U41" s="4">
        <v>0</v>
      </c>
      <c r="V41" s="4">
        <v>16</v>
      </c>
      <c r="W41" s="4">
        <v>63</v>
      </c>
    </row>
    <row r="42" spans="1:23" ht="11.25" customHeight="1" x14ac:dyDescent="0.3">
      <c r="A42" s="4" t="s">
        <v>57</v>
      </c>
      <c r="B42" s="4" t="s">
        <v>45</v>
      </c>
      <c r="C42" s="4" t="s">
        <v>40</v>
      </c>
      <c r="D42" s="4" t="s">
        <v>44</v>
      </c>
      <c r="E42" s="4" t="s">
        <v>53</v>
      </c>
      <c r="F42" s="4" t="s">
        <v>55</v>
      </c>
      <c r="G42" s="4" t="s">
        <v>25</v>
      </c>
      <c r="H42" s="4" t="s">
        <v>35</v>
      </c>
      <c r="I42" s="5">
        <v>44835</v>
      </c>
      <c r="J42" s="6">
        <v>0</v>
      </c>
      <c r="K42" s="6">
        <v>0</v>
      </c>
      <c r="L42" s="6">
        <v>5.2069999999999999</v>
      </c>
      <c r="M42" s="6">
        <v>1.0414000000000001</v>
      </c>
      <c r="N42" s="6">
        <v>5.2069999999999999</v>
      </c>
      <c r="O42" s="6">
        <v>1.0414000000000001</v>
      </c>
      <c r="P42" s="6">
        <v>0</v>
      </c>
      <c r="Q42" s="4" t="s">
        <v>26</v>
      </c>
      <c r="R42" s="4">
        <v>0</v>
      </c>
      <c r="S42" s="4" t="s">
        <v>135</v>
      </c>
      <c r="T42" s="4" t="s">
        <v>405</v>
      </c>
      <c r="U42" s="4">
        <v>0</v>
      </c>
      <c r="V42" s="4">
        <v>16</v>
      </c>
      <c r="W42" s="4">
        <v>63</v>
      </c>
    </row>
    <row r="43" spans="1:23" ht="11.25" customHeight="1" x14ac:dyDescent="0.3">
      <c r="A43" s="4" t="s">
        <v>21</v>
      </c>
      <c r="B43" s="4" t="s">
        <v>45</v>
      </c>
      <c r="C43" s="4" t="s">
        <v>40</v>
      </c>
      <c r="D43" s="4" t="s">
        <v>44</v>
      </c>
      <c r="E43" s="4" t="s">
        <v>53</v>
      </c>
      <c r="F43" s="4" t="s">
        <v>25</v>
      </c>
      <c r="G43" s="4" t="s">
        <v>25</v>
      </c>
      <c r="H43" s="4" t="s">
        <v>35</v>
      </c>
      <c r="I43" s="5">
        <v>44805</v>
      </c>
      <c r="J43" s="6">
        <v>0</v>
      </c>
      <c r="K43" s="6">
        <v>0</v>
      </c>
      <c r="L43" s="6">
        <v>9.7170000000000005</v>
      </c>
      <c r="M43" s="6">
        <v>9.3283199999999997</v>
      </c>
      <c r="N43" s="6">
        <v>9.7170000000000005</v>
      </c>
      <c r="O43" s="6">
        <v>9.3283199999999997</v>
      </c>
      <c r="P43" s="6">
        <v>0</v>
      </c>
      <c r="Q43" s="4" t="s">
        <v>26</v>
      </c>
      <c r="R43" s="4">
        <v>0</v>
      </c>
      <c r="S43" s="4" t="s">
        <v>134</v>
      </c>
      <c r="T43" s="4" t="s">
        <v>404</v>
      </c>
      <c r="U43" s="4">
        <v>0</v>
      </c>
      <c r="V43" s="4">
        <v>16</v>
      </c>
      <c r="W43" s="4">
        <v>63</v>
      </c>
    </row>
    <row r="44" spans="1:23" ht="11.25" customHeight="1" x14ac:dyDescent="0.3">
      <c r="A44" s="4" t="s">
        <v>57</v>
      </c>
      <c r="B44" s="4" t="s">
        <v>45</v>
      </c>
      <c r="C44" s="4" t="s">
        <v>40</v>
      </c>
      <c r="D44" s="4" t="s">
        <v>44</v>
      </c>
      <c r="E44" s="4" t="s">
        <v>53</v>
      </c>
      <c r="F44" s="4" t="s">
        <v>25</v>
      </c>
      <c r="G44" s="4" t="s">
        <v>25</v>
      </c>
      <c r="H44" s="4" t="s">
        <v>35</v>
      </c>
      <c r="I44" s="5">
        <v>44835</v>
      </c>
      <c r="J44" s="6">
        <v>0</v>
      </c>
      <c r="K44" s="6">
        <v>0</v>
      </c>
      <c r="L44" s="6">
        <v>9.7170000000000005</v>
      </c>
      <c r="M44" s="6">
        <v>9.3283199999999997</v>
      </c>
      <c r="N44" s="6">
        <v>9.7170000000000005</v>
      </c>
      <c r="O44" s="6">
        <v>9.3283199999999997</v>
      </c>
      <c r="P44" s="6">
        <v>0</v>
      </c>
      <c r="Q44" s="4" t="s">
        <v>26</v>
      </c>
      <c r="R44" s="4">
        <v>0</v>
      </c>
      <c r="S44" s="4" t="s">
        <v>135</v>
      </c>
      <c r="T44" s="4" t="s">
        <v>405</v>
      </c>
      <c r="U44" s="4">
        <v>0</v>
      </c>
      <c r="V44" s="4">
        <v>16</v>
      </c>
      <c r="W44" s="4">
        <v>63</v>
      </c>
    </row>
    <row r="45" spans="1:23" ht="11.25" customHeight="1" x14ac:dyDescent="0.3">
      <c r="A45" s="4" t="s">
        <v>21</v>
      </c>
      <c r="B45" s="4" t="s">
        <v>45</v>
      </c>
      <c r="C45" s="4" t="s">
        <v>40</v>
      </c>
      <c r="D45" s="4" t="s">
        <v>44</v>
      </c>
      <c r="E45" s="4" t="s">
        <v>53</v>
      </c>
      <c r="F45" s="4" t="s">
        <v>25</v>
      </c>
      <c r="G45" s="4" t="s">
        <v>25</v>
      </c>
      <c r="H45" s="4" t="s">
        <v>25</v>
      </c>
      <c r="I45" s="5">
        <v>44805</v>
      </c>
      <c r="J45" s="6">
        <v>106</v>
      </c>
      <c r="K45" s="6">
        <v>101.76</v>
      </c>
      <c r="L45" s="6">
        <v>0</v>
      </c>
      <c r="M45" s="6">
        <v>0</v>
      </c>
      <c r="N45" s="6">
        <v>0</v>
      </c>
      <c r="O45" s="6">
        <v>0</v>
      </c>
      <c r="P45" s="6">
        <v>1</v>
      </c>
      <c r="Q45" s="4" t="s">
        <v>26</v>
      </c>
      <c r="R45" s="4">
        <v>0</v>
      </c>
      <c r="S45" s="4" t="s">
        <v>136</v>
      </c>
      <c r="U45" s="4">
        <v>11</v>
      </c>
      <c r="V45" s="4">
        <v>0</v>
      </c>
      <c r="W45" s="4">
        <v>0</v>
      </c>
    </row>
    <row r="46" spans="1:23" ht="11.25" customHeight="1" x14ac:dyDescent="0.3">
      <c r="A46" s="4" t="s">
        <v>57</v>
      </c>
      <c r="B46" s="4" t="s">
        <v>45</v>
      </c>
      <c r="C46" s="4" t="s">
        <v>40</v>
      </c>
      <c r="D46" s="4" t="s">
        <v>44</v>
      </c>
      <c r="E46" s="4" t="s">
        <v>53</v>
      </c>
      <c r="F46" s="4" t="s">
        <v>25</v>
      </c>
      <c r="G46" s="4" t="s">
        <v>25</v>
      </c>
      <c r="H46" s="4" t="s">
        <v>25</v>
      </c>
      <c r="I46" s="5">
        <v>44835</v>
      </c>
      <c r="J46" s="6">
        <v>106</v>
      </c>
      <c r="K46" s="6">
        <v>101.76</v>
      </c>
      <c r="L46" s="6">
        <v>0</v>
      </c>
      <c r="M46" s="6">
        <v>0</v>
      </c>
      <c r="N46" s="6">
        <v>0</v>
      </c>
      <c r="O46" s="6">
        <v>0</v>
      </c>
      <c r="P46" s="6">
        <v>1</v>
      </c>
      <c r="Q46" s="4" t="s">
        <v>26</v>
      </c>
      <c r="R46" s="4">
        <v>0</v>
      </c>
      <c r="S46" s="4" t="s">
        <v>137</v>
      </c>
      <c r="U46" s="4">
        <v>11</v>
      </c>
      <c r="V46" s="4">
        <v>0</v>
      </c>
      <c r="W46" s="4">
        <v>0</v>
      </c>
    </row>
    <row r="47" spans="1:23" ht="11.25" customHeight="1" x14ac:dyDescent="0.3">
      <c r="A47" s="4" t="s">
        <v>21</v>
      </c>
      <c r="B47" s="4" t="s">
        <v>45</v>
      </c>
      <c r="C47" s="4" t="s">
        <v>40</v>
      </c>
      <c r="D47" s="4" t="s">
        <v>44</v>
      </c>
      <c r="E47" s="4" t="s">
        <v>53</v>
      </c>
      <c r="F47" s="4" t="s">
        <v>25</v>
      </c>
      <c r="G47" s="4" t="s">
        <v>25</v>
      </c>
      <c r="H47" s="4" t="s">
        <v>34</v>
      </c>
      <c r="I47" s="5">
        <v>44805</v>
      </c>
      <c r="J47" s="6">
        <v>0</v>
      </c>
      <c r="K47" s="6">
        <v>0</v>
      </c>
      <c r="L47" s="6">
        <v>1.8859999999999999</v>
      </c>
      <c r="M47" s="6">
        <v>1.8105599999999999</v>
      </c>
      <c r="N47" s="6">
        <v>1.8859999999999999</v>
      </c>
      <c r="O47" s="6">
        <v>1.8105599999999999</v>
      </c>
      <c r="P47" s="6">
        <v>0</v>
      </c>
      <c r="Q47" s="4" t="s">
        <v>26</v>
      </c>
      <c r="R47" s="4">
        <v>0</v>
      </c>
      <c r="S47" s="4" t="s">
        <v>138</v>
      </c>
      <c r="T47" s="4" t="s">
        <v>415</v>
      </c>
      <c r="U47" s="4">
        <v>0</v>
      </c>
      <c r="V47" s="4">
        <v>14</v>
      </c>
      <c r="W47" s="4">
        <v>62</v>
      </c>
    </row>
    <row r="48" spans="1:23" ht="11.25" customHeight="1" x14ac:dyDescent="0.3">
      <c r="A48" s="4" t="s">
        <v>57</v>
      </c>
      <c r="B48" s="4" t="s">
        <v>45</v>
      </c>
      <c r="C48" s="4" t="s">
        <v>40</v>
      </c>
      <c r="D48" s="4" t="s">
        <v>44</v>
      </c>
      <c r="E48" s="4" t="s">
        <v>53</v>
      </c>
      <c r="F48" s="4" t="s">
        <v>25</v>
      </c>
      <c r="G48" s="4" t="s">
        <v>25</v>
      </c>
      <c r="H48" s="4" t="s">
        <v>34</v>
      </c>
      <c r="I48" s="5">
        <v>44835</v>
      </c>
      <c r="J48" s="6">
        <v>0</v>
      </c>
      <c r="K48" s="6">
        <v>0</v>
      </c>
      <c r="L48" s="6">
        <v>1.8859999999999999</v>
      </c>
      <c r="M48" s="6">
        <v>1.8105599999999999</v>
      </c>
      <c r="N48" s="6">
        <v>1.8859999999999999</v>
      </c>
      <c r="O48" s="6">
        <v>1.8105599999999999</v>
      </c>
      <c r="P48" s="6">
        <v>0</v>
      </c>
      <c r="Q48" s="4" t="s">
        <v>26</v>
      </c>
      <c r="R48" s="4">
        <v>0</v>
      </c>
      <c r="S48" s="4" t="s">
        <v>139</v>
      </c>
      <c r="T48" s="4" t="s">
        <v>416</v>
      </c>
      <c r="U48" s="4">
        <v>0</v>
      </c>
      <c r="V48" s="4">
        <v>14</v>
      </c>
      <c r="W48" s="4">
        <v>62</v>
      </c>
    </row>
    <row r="49" spans="1:23" ht="11.25" customHeight="1" x14ac:dyDescent="0.3">
      <c r="A49" s="4" t="s">
        <v>21</v>
      </c>
      <c r="B49" s="4" t="s">
        <v>45</v>
      </c>
      <c r="C49" s="4" t="s">
        <v>40</v>
      </c>
      <c r="D49" s="4" t="s">
        <v>44</v>
      </c>
      <c r="E49" s="4" t="s">
        <v>56</v>
      </c>
      <c r="F49" s="4" t="s">
        <v>25</v>
      </c>
      <c r="G49" s="4" t="s">
        <v>25</v>
      </c>
      <c r="H49" s="4" t="s">
        <v>35</v>
      </c>
      <c r="I49" s="5">
        <v>44593</v>
      </c>
      <c r="J49" s="6">
        <v>0</v>
      </c>
      <c r="K49" s="6">
        <v>0</v>
      </c>
      <c r="L49" s="6">
        <v>0.42099999999999999</v>
      </c>
      <c r="M49" s="6">
        <v>0.40416000000000002</v>
      </c>
      <c r="N49" s="6">
        <v>0.42099999999999999</v>
      </c>
      <c r="O49" s="6">
        <v>0.40416000000000002</v>
      </c>
      <c r="P49" s="6">
        <v>0</v>
      </c>
      <c r="Q49" s="4" t="s">
        <v>26</v>
      </c>
      <c r="R49" s="4">
        <v>0</v>
      </c>
      <c r="S49" s="4" t="s">
        <v>140</v>
      </c>
      <c r="T49" s="4" t="s">
        <v>400</v>
      </c>
      <c r="U49" s="4">
        <v>0</v>
      </c>
      <c r="V49" s="4">
        <v>16</v>
      </c>
      <c r="W49" s="4">
        <v>63</v>
      </c>
    </row>
    <row r="50" spans="1:23" ht="11.25" customHeight="1" x14ac:dyDescent="0.3">
      <c r="A50" s="4" t="s">
        <v>21</v>
      </c>
      <c r="B50" s="4" t="s">
        <v>45</v>
      </c>
      <c r="C50" s="4" t="s">
        <v>40</v>
      </c>
      <c r="D50" s="4" t="s">
        <v>44</v>
      </c>
      <c r="E50" s="4" t="s">
        <v>56</v>
      </c>
      <c r="F50" s="4" t="s">
        <v>25</v>
      </c>
      <c r="G50" s="4" t="s">
        <v>25</v>
      </c>
      <c r="H50" s="4" t="s">
        <v>35</v>
      </c>
      <c r="I50" s="5">
        <v>44621</v>
      </c>
      <c r="J50" s="6">
        <v>0</v>
      </c>
      <c r="K50" s="6">
        <v>0</v>
      </c>
      <c r="L50" s="6">
        <v>0.45</v>
      </c>
      <c r="M50" s="6">
        <v>0.432</v>
      </c>
      <c r="N50" s="6">
        <v>0.45</v>
      </c>
      <c r="O50" s="6">
        <v>0.432</v>
      </c>
      <c r="P50" s="6">
        <v>0</v>
      </c>
      <c r="Q50" s="4" t="s">
        <v>26</v>
      </c>
      <c r="R50" s="4">
        <v>0</v>
      </c>
      <c r="S50" s="4" t="s">
        <v>141</v>
      </c>
      <c r="T50" s="4" t="s">
        <v>401</v>
      </c>
      <c r="U50" s="4">
        <v>0</v>
      </c>
      <c r="V50" s="4">
        <v>16</v>
      </c>
      <c r="W50" s="4">
        <v>63</v>
      </c>
    </row>
    <row r="51" spans="1:23" ht="11.25" customHeight="1" x14ac:dyDescent="0.3">
      <c r="A51" s="4" t="s">
        <v>21</v>
      </c>
      <c r="B51" s="4" t="s">
        <v>45</v>
      </c>
      <c r="C51" s="4" t="s">
        <v>40</v>
      </c>
      <c r="D51" s="4" t="s">
        <v>44</v>
      </c>
      <c r="E51" s="4" t="s">
        <v>56</v>
      </c>
      <c r="F51" s="4" t="s">
        <v>25</v>
      </c>
      <c r="G51" s="4" t="s">
        <v>25</v>
      </c>
      <c r="H51" s="4" t="s">
        <v>35</v>
      </c>
      <c r="I51" s="5">
        <v>44652</v>
      </c>
      <c r="J51" s="6">
        <v>0</v>
      </c>
      <c r="K51" s="6">
        <v>0</v>
      </c>
      <c r="L51" s="6">
        <v>0.48299999999999998</v>
      </c>
      <c r="M51" s="6">
        <v>0.46367999999999998</v>
      </c>
      <c r="N51" s="6">
        <v>0.48299999999999998</v>
      </c>
      <c r="O51" s="6">
        <v>0.46367999999999998</v>
      </c>
      <c r="P51" s="6">
        <v>0</v>
      </c>
      <c r="Q51" s="4" t="s">
        <v>26</v>
      </c>
      <c r="R51" s="4">
        <v>0</v>
      </c>
      <c r="S51" s="4" t="s">
        <v>142</v>
      </c>
      <c r="T51" s="4" t="s">
        <v>402</v>
      </c>
      <c r="U51" s="4">
        <v>0</v>
      </c>
      <c r="V51" s="4">
        <v>16</v>
      </c>
      <c r="W51" s="4">
        <v>63</v>
      </c>
    </row>
    <row r="52" spans="1:23" ht="11.25" customHeight="1" x14ac:dyDescent="0.3">
      <c r="A52" s="4" t="s">
        <v>21</v>
      </c>
      <c r="B52" s="4" t="s">
        <v>45</v>
      </c>
      <c r="C52" s="4" t="s">
        <v>40</v>
      </c>
      <c r="D52" s="4" t="s">
        <v>44</v>
      </c>
      <c r="E52" s="4" t="s">
        <v>56</v>
      </c>
      <c r="F52" s="4" t="s">
        <v>25</v>
      </c>
      <c r="G52" s="4" t="s">
        <v>25</v>
      </c>
      <c r="H52" s="4" t="s">
        <v>35</v>
      </c>
      <c r="I52" s="5">
        <v>44682</v>
      </c>
      <c r="J52" s="6">
        <v>0</v>
      </c>
      <c r="K52" s="6">
        <v>0</v>
      </c>
      <c r="L52" s="6">
        <v>0.58699999999999997</v>
      </c>
      <c r="M52" s="6">
        <v>0.56352000000000002</v>
      </c>
      <c r="N52" s="6">
        <v>0.58699999999999997</v>
      </c>
      <c r="O52" s="6">
        <v>0.56352000000000002</v>
      </c>
      <c r="P52" s="6">
        <v>0</v>
      </c>
      <c r="Q52" s="4" t="s">
        <v>26</v>
      </c>
      <c r="R52" s="4">
        <v>0</v>
      </c>
      <c r="S52" s="4" t="s">
        <v>143</v>
      </c>
      <c r="T52" s="4" t="s">
        <v>403</v>
      </c>
      <c r="U52" s="4">
        <v>0</v>
      </c>
      <c r="V52" s="4">
        <v>16</v>
      </c>
      <c r="W52" s="4">
        <v>63</v>
      </c>
    </row>
    <row r="53" spans="1:23" ht="11.25" customHeight="1" x14ac:dyDescent="0.3">
      <c r="A53" s="4" t="s">
        <v>21</v>
      </c>
      <c r="B53" s="4" t="s">
        <v>45</v>
      </c>
      <c r="C53" s="4" t="s">
        <v>40</v>
      </c>
      <c r="D53" s="4" t="s">
        <v>44</v>
      </c>
      <c r="E53" s="4" t="s">
        <v>56</v>
      </c>
      <c r="F53" s="4" t="s">
        <v>25</v>
      </c>
      <c r="G53" s="4" t="s">
        <v>25</v>
      </c>
      <c r="H53" s="4" t="s">
        <v>35</v>
      </c>
      <c r="I53" s="5">
        <v>44713</v>
      </c>
      <c r="J53" s="6">
        <v>0</v>
      </c>
      <c r="K53" s="6">
        <v>0</v>
      </c>
      <c r="L53" s="6">
        <v>0.55700000000000005</v>
      </c>
      <c r="M53" s="6">
        <v>0.53471999999999997</v>
      </c>
      <c r="N53" s="6">
        <v>0.55700000000000005</v>
      </c>
      <c r="O53" s="6">
        <v>0.53471999999999997</v>
      </c>
      <c r="P53" s="6">
        <v>0</v>
      </c>
      <c r="Q53" s="4" t="s">
        <v>26</v>
      </c>
      <c r="R53" s="4">
        <v>0</v>
      </c>
      <c r="S53" s="4" t="s">
        <v>144</v>
      </c>
      <c r="T53" s="4" t="s">
        <v>395</v>
      </c>
      <c r="U53" s="4">
        <v>0</v>
      </c>
      <c r="V53" s="4">
        <v>16</v>
      </c>
      <c r="W53" s="4">
        <v>63</v>
      </c>
    </row>
    <row r="54" spans="1:23" ht="11.25" customHeight="1" x14ac:dyDescent="0.3">
      <c r="A54" s="4" t="s">
        <v>21</v>
      </c>
      <c r="B54" s="4" t="s">
        <v>45</v>
      </c>
      <c r="C54" s="4" t="s">
        <v>40</v>
      </c>
      <c r="D54" s="4" t="s">
        <v>44</v>
      </c>
      <c r="E54" s="4" t="s">
        <v>56</v>
      </c>
      <c r="F54" s="4" t="s">
        <v>25</v>
      </c>
      <c r="G54" s="4" t="s">
        <v>25</v>
      </c>
      <c r="H54" s="4" t="s">
        <v>35</v>
      </c>
      <c r="I54" s="5">
        <v>44743</v>
      </c>
      <c r="J54" s="6">
        <v>0</v>
      </c>
      <c r="K54" s="6">
        <v>0</v>
      </c>
      <c r="L54" s="6">
        <v>0.94299999999999995</v>
      </c>
      <c r="M54" s="6">
        <v>0.90527999999999997</v>
      </c>
      <c r="N54" s="6">
        <v>0.94299999999999995</v>
      </c>
      <c r="O54" s="6">
        <v>0.90527999999999997</v>
      </c>
      <c r="P54" s="6">
        <v>0</v>
      </c>
      <c r="Q54" s="4" t="s">
        <v>26</v>
      </c>
      <c r="R54" s="4">
        <v>0</v>
      </c>
      <c r="S54" s="4" t="s">
        <v>145</v>
      </c>
      <c r="T54" s="4" t="s">
        <v>396</v>
      </c>
      <c r="U54" s="4">
        <v>0</v>
      </c>
      <c r="V54" s="4">
        <v>16</v>
      </c>
      <c r="W54" s="4">
        <v>63</v>
      </c>
    </row>
    <row r="55" spans="1:23" ht="11.25" customHeight="1" x14ac:dyDescent="0.3">
      <c r="A55" s="4" t="s">
        <v>21</v>
      </c>
      <c r="B55" s="4" t="s">
        <v>45</v>
      </c>
      <c r="C55" s="4" t="s">
        <v>40</v>
      </c>
      <c r="D55" s="4" t="s">
        <v>44</v>
      </c>
      <c r="E55" s="4" t="s">
        <v>56</v>
      </c>
      <c r="F55" s="4" t="s">
        <v>25</v>
      </c>
      <c r="G55" s="4" t="s">
        <v>25</v>
      </c>
      <c r="H55" s="4" t="s">
        <v>35</v>
      </c>
      <c r="I55" s="5">
        <v>44774</v>
      </c>
      <c r="J55" s="6">
        <v>0</v>
      </c>
      <c r="K55" s="6">
        <v>0</v>
      </c>
      <c r="L55" s="6">
        <v>2.7690000000000001</v>
      </c>
      <c r="M55" s="6">
        <v>2.6582400000000002</v>
      </c>
      <c r="N55" s="6">
        <v>2.7690000000000001</v>
      </c>
      <c r="O55" s="6">
        <v>2.6582400000000002</v>
      </c>
      <c r="P55" s="6">
        <v>0</v>
      </c>
      <c r="Q55" s="4" t="s">
        <v>26</v>
      </c>
      <c r="R55" s="4">
        <v>0</v>
      </c>
      <c r="S55" s="4" t="s">
        <v>146</v>
      </c>
      <c r="T55" s="4" t="s">
        <v>397</v>
      </c>
      <c r="U55" s="4">
        <v>0</v>
      </c>
      <c r="V55" s="4">
        <v>16</v>
      </c>
      <c r="W55" s="4">
        <v>63</v>
      </c>
    </row>
    <row r="56" spans="1:23" ht="11.25" customHeight="1" x14ac:dyDescent="0.3">
      <c r="A56" s="4" t="s">
        <v>21</v>
      </c>
      <c r="B56" s="4" t="s">
        <v>45</v>
      </c>
      <c r="C56" s="4" t="s">
        <v>40</v>
      </c>
      <c r="D56" s="4" t="s">
        <v>44</v>
      </c>
      <c r="E56" s="4" t="s">
        <v>56</v>
      </c>
      <c r="F56" s="4" t="s">
        <v>25</v>
      </c>
      <c r="G56" s="4" t="s">
        <v>25</v>
      </c>
      <c r="H56" s="4" t="s">
        <v>35</v>
      </c>
      <c r="I56" s="5">
        <v>44805</v>
      </c>
      <c r="J56" s="6">
        <v>0</v>
      </c>
      <c r="K56" s="6">
        <v>0</v>
      </c>
      <c r="L56" s="6">
        <v>5.2640000000000002</v>
      </c>
      <c r="M56" s="6">
        <v>5.0534400000000002</v>
      </c>
      <c r="N56" s="6">
        <v>5.2640000000000002</v>
      </c>
      <c r="O56" s="6">
        <v>5.0534400000000002</v>
      </c>
      <c r="P56" s="6">
        <v>0</v>
      </c>
      <c r="Q56" s="4" t="s">
        <v>26</v>
      </c>
      <c r="R56" s="4">
        <v>0</v>
      </c>
      <c r="S56" s="4" t="s">
        <v>134</v>
      </c>
      <c r="T56" s="4" t="s">
        <v>404</v>
      </c>
      <c r="U56" s="4">
        <v>0</v>
      </c>
      <c r="V56" s="4">
        <v>16</v>
      </c>
      <c r="W56" s="4">
        <v>63</v>
      </c>
    </row>
    <row r="57" spans="1:23" ht="11.25" customHeight="1" x14ac:dyDescent="0.3">
      <c r="A57" s="4" t="s">
        <v>57</v>
      </c>
      <c r="B57" s="4" t="s">
        <v>45</v>
      </c>
      <c r="C57" s="4" t="s">
        <v>40</v>
      </c>
      <c r="D57" s="4" t="s">
        <v>44</v>
      </c>
      <c r="E57" s="4" t="s">
        <v>56</v>
      </c>
      <c r="F57" s="4" t="s">
        <v>25</v>
      </c>
      <c r="G57" s="4" t="s">
        <v>25</v>
      </c>
      <c r="H57" s="4" t="s">
        <v>35</v>
      </c>
      <c r="I57" s="5">
        <v>44835</v>
      </c>
      <c r="J57" s="6">
        <v>0</v>
      </c>
      <c r="K57" s="6">
        <v>0</v>
      </c>
      <c r="L57" s="6">
        <v>5.2640000000000002</v>
      </c>
      <c r="M57" s="6">
        <v>5.0534400000000002</v>
      </c>
      <c r="N57" s="6">
        <v>5.2640000000000002</v>
      </c>
      <c r="O57" s="6">
        <v>5.0534400000000002</v>
      </c>
      <c r="P57" s="6">
        <v>0</v>
      </c>
      <c r="Q57" s="4" t="s">
        <v>26</v>
      </c>
      <c r="R57" s="4">
        <v>0</v>
      </c>
      <c r="S57" s="4" t="s">
        <v>135</v>
      </c>
      <c r="T57" s="4" t="s">
        <v>405</v>
      </c>
      <c r="U57" s="4">
        <v>0</v>
      </c>
      <c r="V57" s="4">
        <v>16</v>
      </c>
      <c r="W57" s="4">
        <v>63</v>
      </c>
    </row>
    <row r="58" spans="1:23" ht="11.25" customHeight="1" x14ac:dyDescent="0.3">
      <c r="A58" s="4" t="s">
        <v>21</v>
      </c>
      <c r="B58" s="4" t="s">
        <v>45</v>
      </c>
      <c r="C58" s="4" t="s">
        <v>40</v>
      </c>
      <c r="D58" s="4" t="s">
        <v>44</v>
      </c>
      <c r="E58" s="4" t="s">
        <v>56</v>
      </c>
      <c r="F58" s="4" t="s">
        <v>25</v>
      </c>
      <c r="G58" s="4" t="s">
        <v>25</v>
      </c>
      <c r="H58" s="4" t="s">
        <v>25</v>
      </c>
      <c r="I58" s="5">
        <v>44593</v>
      </c>
      <c r="J58" s="6">
        <v>1</v>
      </c>
      <c r="K58" s="6">
        <v>0.96</v>
      </c>
      <c r="L58" s="6">
        <v>0</v>
      </c>
      <c r="M58" s="6">
        <v>0</v>
      </c>
      <c r="N58" s="6">
        <v>0</v>
      </c>
      <c r="O58" s="6">
        <v>0</v>
      </c>
      <c r="P58" s="6">
        <v>1</v>
      </c>
      <c r="Q58" s="4" t="s">
        <v>26</v>
      </c>
      <c r="R58" s="4">
        <v>0</v>
      </c>
      <c r="S58" s="4" t="s">
        <v>147</v>
      </c>
      <c r="U58" s="4">
        <v>11</v>
      </c>
      <c r="V58" s="4">
        <v>0</v>
      </c>
      <c r="W58" s="4">
        <v>0</v>
      </c>
    </row>
    <row r="59" spans="1:23" ht="11.25" customHeight="1" x14ac:dyDescent="0.3">
      <c r="A59" s="4" t="s">
        <v>21</v>
      </c>
      <c r="B59" s="4" t="s">
        <v>45</v>
      </c>
      <c r="C59" s="4" t="s">
        <v>40</v>
      </c>
      <c r="D59" s="4" t="s">
        <v>44</v>
      </c>
      <c r="E59" s="4" t="s">
        <v>56</v>
      </c>
      <c r="F59" s="4" t="s">
        <v>25</v>
      </c>
      <c r="G59" s="4" t="s">
        <v>25</v>
      </c>
      <c r="H59" s="4" t="s">
        <v>25</v>
      </c>
      <c r="I59" s="5">
        <v>44621</v>
      </c>
      <c r="J59" s="6">
        <v>1</v>
      </c>
      <c r="K59" s="6">
        <v>0.96</v>
      </c>
      <c r="L59" s="6">
        <v>0</v>
      </c>
      <c r="M59" s="6">
        <v>0</v>
      </c>
      <c r="N59" s="6">
        <v>0</v>
      </c>
      <c r="O59" s="6">
        <v>0</v>
      </c>
      <c r="P59" s="6">
        <v>2</v>
      </c>
      <c r="Q59" s="4" t="s">
        <v>26</v>
      </c>
      <c r="R59" s="4">
        <v>0</v>
      </c>
      <c r="S59" s="4" t="s">
        <v>148</v>
      </c>
      <c r="U59" s="4">
        <v>11</v>
      </c>
      <c r="V59" s="4">
        <v>0</v>
      </c>
      <c r="W59" s="4">
        <v>0</v>
      </c>
    </row>
    <row r="60" spans="1:23" ht="11.25" customHeight="1" x14ac:dyDescent="0.3">
      <c r="A60" s="4" t="s">
        <v>21</v>
      </c>
      <c r="B60" s="4" t="s">
        <v>45</v>
      </c>
      <c r="C60" s="4" t="s">
        <v>40</v>
      </c>
      <c r="D60" s="4" t="s">
        <v>44</v>
      </c>
      <c r="E60" s="4" t="s">
        <v>56</v>
      </c>
      <c r="F60" s="4" t="s">
        <v>25</v>
      </c>
      <c r="G60" s="4" t="s">
        <v>25</v>
      </c>
      <c r="H60" s="4" t="s">
        <v>25</v>
      </c>
      <c r="I60" s="5">
        <v>44652</v>
      </c>
      <c r="J60" s="6">
        <v>3</v>
      </c>
      <c r="K60" s="6">
        <v>2.88</v>
      </c>
      <c r="L60" s="6">
        <v>0</v>
      </c>
      <c r="M60" s="6">
        <v>0</v>
      </c>
      <c r="N60" s="6">
        <v>0</v>
      </c>
      <c r="O60" s="6">
        <v>0</v>
      </c>
      <c r="P60" s="6">
        <v>2</v>
      </c>
      <c r="Q60" s="4" t="s">
        <v>26</v>
      </c>
      <c r="R60" s="4">
        <v>0</v>
      </c>
      <c r="S60" s="4" t="s">
        <v>149</v>
      </c>
      <c r="U60" s="4">
        <v>11</v>
      </c>
      <c r="V60" s="4">
        <v>0</v>
      </c>
      <c r="W60" s="4">
        <v>0</v>
      </c>
    </row>
    <row r="61" spans="1:23" ht="11.25" customHeight="1" x14ac:dyDescent="0.3">
      <c r="A61" s="4" t="s">
        <v>21</v>
      </c>
      <c r="B61" s="4" t="s">
        <v>45</v>
      </c>
      <c r="C61" s="4" t="s">
        <v>40</v>
      </c>
      <c r="D61" s="4" t="s">
        <v>44</v>
      </c>
      <c r="E61" s="4" t="s">
        <v>56</v>
      </c>
      <c r="F61" s="4" t="s">
        <v>25</v>
      </c>
      <c r="G61" s="4" t="s">
        <v>25</v>
      </c>
      <c r="H61" s="4" t="s">
        <v>25</v>
      </c>
      <c r="I61" s="5">
        <v>44682</v>
      </c>
      <c r="J61" s="6">
        <v>3</v>
      </c>
      <c r="K61" s="6">
        <v>2.88</v>
      </c>
      <c r="L61" s="6">
        <v>0</v>
      </c>
      <c r="M61" s="6">
        <v>0</v>
      </c>
      <c r="N61" s="6">
        <v>0</v>
      </c>
      <c r="O61" s="6">
        <v>0</v>
      </c>
      <c r="P61" s="6">
        <v>2</v>
      </c>
      <c r="Q61" s="4" t="s">
        <v>26</v>
      </c>
      <c r="R61" s="4">
        <v>0</v>
      </c>
      <c r="S61" s="4" t="s">
        <v>150</v>
      </c>
      <c r="U61" s="4">
        <v>11</v>
      </c>
      <c r="V61" s="4">
        <v>0</v>
      </c>
      <c r="W61" s="4">
        <v>0</v>
      </c>
    </row>
    <row r="62" spans="1:23" ht="11.25" customHeight="1" x14ac:dyDescent="0.3">
      <c r="A62" s="4" t="s">
        <v>21</v>
      </c>
      <c r="B62" s="4" t="s">
        <v>45</v>
      </c>
      <c r="C62" s="4" t="s">
        <v>40</v>
      </c>
      <c r="D62" s="4" t="s">
        <v>44</v>
      </c>
      <c r="E62" s="4" t="s">
        <v>56</v>
      </c>
      <c r="F62" s="4" t="s">
        <v>25</v>
      </c>
      <c r="G62" s="4" t="s">
        <v>25</v>
      </c>
      <c r="H62" s="4" t="s">
        <v>25</v>
      </c>
      <c r="I62" s="5">
        <v>44713</v>
      </c>
      <c r="J62" s="6">
        <v>3</v>
      </c>
      <c r="K62" s="6">
        <v>2.88</v>
      </c>
      <c r="L62" s="6">
        <v>0</v>
      </c>
      <c r="M62" s="6">
        <v>0</v>
      </c>
      <c r="N62" s="6">
        <v>0</v>
      </c>
      <c r="O62" s="6">
        <v>0</v>
      </c>
      <c r="P62" s="6">
        <v>2</v>
      </c>
      <c r="Q62" s="4" t="s">
        <v>26</v>
      </c>
      <c r="R62" s="4">
        <v>0</v>
      </c>
      <c r="S62" s="4" t="s">
        <v>151</v>
      </c>
      <c r="U62" s="4">
        <v>11</v>
      </c>
      <c r="V62" s="4">
        <v>0</v>
      </c>
      <c r="W62" s="4">
        <v>0</v>
      </c>
    </row>
    <row r="63" spans="1:23" ht="11.25" customHeight="1" x14ac:dyDescent="0.3">
      <c r="A63" s="4" t="s">
        <v>21</v>
      </c>
      <c r="B63" s="4" t="s">
        <v>45</v>
      </c>
      <c r="C63" s="4" t="s">
        <v>40</v>
      </c>
      <c r="D63" s="4" t="s">
        <v>44</v>
      </c>
      <c r="E63" s="4" t="s">
        <v>56</v>
      </c>
      <c r="F63" s="4" t="s">
        <v>25</v>
      </c>
      <c r="G63" s="4" t="s">
        <v>25</v>
      </c>
      <c r="H63" s="4" t="s">
        <v>25</v>
      </c>
      <c r="I63" s="5">
        <v>44743</v>
      </c>
      <c r="J63" s="6">
        <v>4</v>
      </c>
      <c r="K63" s="6">
        <v>3.84</v>
      </c>
      <c r="L63" s="6">
        <v>0</v>
      </c>
      <c r="M63" s="6">
        <v>0</v>
      </c>
      <c r="N63" s="6">
        <v>0</v>
      </c>
      <c r="O63" s="6">
        <v>0</v>
      </c>
      <c r="P63" s="6">
        <v>2</v>
      </c>
      <c r="Q63" s="4" t="s">
        <v>26</v>
      </c>
      <c r="R63" s="4">
        <v>0</v>
      </c>
      <c r="S63" s="4" t="s">
        <v>152</v>
      </c>
      <c r="U63" s="4">
        <v>11</v>
      </c>
      <c r="V63" s="4">
        <v>0</v>
      </c>
      <c r="W63" s="4">
        <v>0</v>
      </c>
    </row>
    <row r="64" spans="1:23" ht="11.25" customHeight="1" x14ac:dyDescent="0.3">
      <c r="A64" s="4" t="s">
        <v>21</v>
      </c>
      <c r="B64" s="4" t="s">
        <v>45</v>
      </c>
      <c r="C64" s="4" t="s">
        <v>40</v>
      </c>
      <c r="D64" s="4" t="s">
        <v>44</v>
      </c>
      <c r="E64" s="4" t="s">
        <v>56</v>
      </c>
      <c r="F64" s="4" t="s">
        <v>25</v>
      </c>
      <c r="G64" s="4" t="s">
        <v>25</v>
      </c>
      <c r="H64" s="4" t="s">
        <v>25</v>
      </c>
      <c r="I64" s="5">
        <v>44774</v>
      </c>
      <c r="J64" s="6">
        <v>10</v>
      </c>
      <c r="K64" s="6">
        <v>9.6</v>
      </c>
      <c r="L64" s="6">
        <v>0</v>
      </c>
      <c r="M64" s="6">
        <v>0</v>
      </c>
      <c r="N64" s="6">
        <v>0</v>
      </c>
      <c r="O64" s="6">
        <v>0</v>
      </c>
      <c r="P64" s="6">
        <v>2</v>
      </c>
      <c r="Q64" s="4" t="s">
        <v>26</v>
      </c>
      <c r="R64" s="4">
        <v>0</v>
      </c>
      <c r="S64" s="4" t="s">
        <v>153</v>
      </c>
      <c r="U64" s="4">
        <v>11</v>
      </c>
      <c r="V64" s="4">
        <v>0</v>
      </c>
      <c r="W64" s="4">
        <v>0</v>
      </c>
    </row>
    <row r="65" spans="1:23" ht="11.25" customHeight="1" x14ac:dyDescent="0.3">
      <c r="A65" s="4" t="s">
        <v>21</v>
      </c>
      <c r="B65" s="4" t="s">
        <v>45</v>
      </c>
      <c r="C65" s="4" t="s">
        <v>40</v>
      </c>
      <c r="D65" s="4" t="s">
        <v>44</v>
      </c>
      <c r="E65" s="4" t="s">
        <v>56</v>
      </c>
      <c r="F65" s="4" t="s">
        <v>25</v>
      </c>
      <c r="G65" s="4" t="s">
        <v>25</v>
      </c>
      <c r="H65" s="4" t="s">
        <v>25</v>
      </c>
      <c r="I65" s="5">
        <v>44805</v>
      </c>
      <c r="J65" s="6">
        <v>11</v>
      </c>
      <c r="K65" s="6">
        <v>10.56</v>
      </c>
      <c r="L65" s="6">
        <v>0</v>
      </c>
      <c r="M65" s="6">
        <v>0</v>
      </c>
      <c r="N65" s="6">
        <v>0</v>
      </c>
      <c r="O65" s="6">
        <v>0</v>
      </c>
      <c r="P65" s="6">
        <v>2</v>
      </c>
      <c r="Q65" s="4" t="s">
        <v>26</v>
      </c>
      <c r="R65" s="4">
        <v>0</v>
      </c>
      <c r="S65" s="4" t="s">
        <v>136</v>
      </c>
      <c r="U65" s="4">
        <v>11</v>
      </c>
      <c r="V65" s="4">
        <v>0</v>
      </c>
      <c r="W65" s="4">
        <v>0</v>
      </c>
    </row>
    <row r="66" spans="1:23" ht="11.25" customHeight="1" x14ac:dyDescent="0.3">
      <c r="A66" s="4" t="s">
        <v>57</v>
      </c>
      <c r="B66" s="4" t="s">
        <v>45</v>
      </c>
      <c r="C66" s="4" t="s">
        <v>40</v>
      </c>
      <c r="D66" s="4" t="s">
        <v>44</v>
      </c>
      <c r="E66" s="4" t="s">
        <v>56</v>
      </c>
      <c r="F66" s="4" t="s">
        <v>25</v>
      </c>
      <c r="G66" s="4" t="s">
        <v>25</v>
      </c>
      <c r="H66" s="4" t="s">
        <v>25</v>
      </c>
      <c r="I66" s="5">
        <v>44835</v>
      </c>
      <c r="J66" s="6">
        <v>11</v>
      </c>
      <c r="K66" s="6">
        <v>10.56</v>
      </c>
      <c r="L66" s="6">
        <v>0</v>
      </c>
      <c r="M66" s="6">
        <v>0</v>
      </c>
      <c r="N66" s="6">
        <v>0</v>
      </c>
      <c r="O66" s="6">
        <v>0</v>
      </c>
      <c r="P66" s="6">
        <v>2</v>
      </c>
      <c r="Q66" s="4" t="s">
        <v>26</v>
      </c>
      <c r="R66" s="4">
        <v>0</v>
      </c>
      <c r="S66" s="4" t="s">
        <v>137</v>
      </c>
      <c r="U66" s="4">
        <v>11</v>
      </c>
      <c r="V66" s="4">
        <v>0</v>
      </c>
      <c r="W66" s="4">
        <v>0</v>
      </c>
    </row>
    <row r="67" spans="1:23" ht="11.25" customHeight="1" x14ac:dyDescent="0.3">
      <c r="A67" s="4" t="s">
        <v>21</v>
      </c>
      <c r="B67" s="4" t="s">
        <v>45</v>
      </c>
      <c r="C67" s="4" t="s">
        <v>40</v>
      </c>
      <c r="D67" s="4" t="s">
        <v>44</v>
      </c>
      <c r="E67" s="4" t="s">
        <v>56</v>
      </c>
      <c r="F67" s="4" t="s">
        <v>25</v>
      </c>
      <c r="G67" s="4" t="s">
        <v>25</v>
      </c>
      <c r="H67" s="4" t="s">
        <v>34</v>
      </c>
      <c r="I67" s="5">
        <v>44593</v>
      </c>
      <c r="J67" s="6">
        <v>0</v>
      </c>
      <c r="K67" s="6">
        <v>0</v>
      </c>
      <c r="L67" s="6">
        <v>5.6000000000000001E-2</v>
      </c>
      <c r="M67" s="6">
        <v>5.3760000000000002E-2</v>
      </c>
      <c r="N67" s="6">
        <v>5.6000000000000001E-2</v>
      </c>
      <c r="O67" s="6">
        <v>5.3760000000000002E-2</v>
      </c>
      <c r="P67" s="6">
        <v>0</v>
      </c>
      <c r="Q67" s="4" t="s">
        <v>26</v>
      </c>
      <c r="R67" s="4">
        <v>0</v>
      </c>
      <c r="S67" s="4" t="s">
        <v>154</v>
      </c>
      <c r="T67" s="4" t="s">
        <v>408</v>
      </c>
      <c r="U67" s="4">
        <v>0</v>
      </c>
      <c r="V67" s="4">
        <v>14</v>
      </c>
      <c r="W67" s="4">
        <v>62</v>
      </c>
    </row>
    <row r="68" spans="1:23" ht="11.25" customHeight="1" x14ac:dyDescent="0.3">
      <c r="A68" s="4" t="s">
        <v>21</v>
      </c>
      <c r="B68" s="4" t="s">
        <v>45</v>
      </c>
      <c r="C68" s="4" t="s">
        <v>40</v>
      </c>
      <c r="D68" s="4" t="s">
        <v>44</v>
      </c>
      <c r="E68" s="4" t="s">
        <v>56</v>
      </c>
      <c r="F68" s="4" t="s">
        <v>25</v>
      </c>
      <c r="G68" s="4" t="s">
        <v>25</v>
      </c>
      <c r="H68" s="4" t="s">
        <v>34</v>
      </c>
      <c r="I68" s="5">
        <v>44621</v>
      </c>
      <c r="J68" s="6">
        <v>0</v>
      </c>
      <c r="K68" s="6">
        <v>0</v>
      </c>
      <c r="L68" s="6">
        <v>6.8000000000000005E-2</v>
      </c>
      <c r="M68" s="6">
        <v>6.5280000000000005E-2</v>
      </c>
      <c r="N68" s="6">
        <v>6.8000000000000005E-2</v>
      </c>
      <c r="O68" s="6">
        <v>6.5280000000000005E-2</v>
      </c>
      <c r="P68" s="6">
        <v>0</v>
      </c>
      <c r="Q68" s="4" t="s">
        <v>26</v>
      </c>
      <c r="R68" s="4">
        <v>0</v>
      </c>
      <c r="S68" s="4" t="s">
        <v>155</v>
      </c>
      <c r="T68" s="4" t="s">
        <v>409</v>
      </c>
      <c r="U68" s="4">
        <v>0</v>
      </c>
      <c r="V68" s="4">
        <v>14</v>
      </c>
      <c r="W68" s="4">
        <v>62</v>
      </c>
    </row>
    <row r="69" spans="1:23" ht="11.25" customHeight="1" x14ac:dyDescent="0.3">
      <c r="A69" s="4" t="s">
        <v>21</v>
      </c>
      <c r="B69" s="4" t="s">
        <v>45</v>
      </c>
      <c r="C69" s="4" t="s">
        <v>40</v>
      </c>
      <c r="D69" s="4" t="s">
        <v>44</v>
      </c>
      <c r="E69" s="4" t="s">
        <v>56</v>
      </c>
      <c r="F69" s="4" t="s">
        <v>25</v>
      </c>
      <c r="G69" s="4" t="s">
        <v>25</v>
      </c>
      <c r="H69" s="4" t="s">
        <v>34</v>
      </c>
      <c r="I69" s="5">
        <v>44652</v>
      </c>
      <c r="J69" s="6">
        <v>0</v>
      </c>
      <c r="K69" s="6">
        <v>0</v>
      </c>
      <c r="L69" s="6">
        <v>7.2999999999999995E-2</v>
      </c>
      <c r="M69" s="6">
        <v>7.0080000000000003E-2</v>
      </c>
      <c r="N69" s="6">
        <v>7.2999999999999995E-2</v>
      </c>
      <c r="O69" s="6">
        <v>7.0080000000000003E-2</v>
      </c>
      <c r="P69" s="6">
        <v>0</v>
      </c>
      <c r="Q69" s="4" t="s">
        <v>26</v>
      </c>
      <c r="R69" s="4">
        <v>0</v>
      </c>
      <c r="S69" s="4" t="s">
        <v>156</v>
      </c>
      <c r="T69" s="4" t="s">
        <v>410</v>
      </c>
      <c r="U69" s="4">
        <v>0</v>
      </c>
      <c r="V69" s="4">
        <v>14</v>
      </c>
      <c r="W69" s="4">
        <v>62</v>
      </c>
    </row>
    <row r="70" spans="1:23" ht="11.25" customHeight="1" x14ac:dyDescent="0.3">
      <c r="A70" s="4" t="s">
        <v>21</v>
      </c>
      <c r="B70" s="4" t="s">
        <v>45</v>
      </c>
      <c r="C70" s="4" t="s">
        <v>40</v>
      </c>
      <c r="D70" s="4" t="s">
        <v>44</v>
      </c>
      <c r="E70" s="4" t="s">
        <v>56</v>
      </c>
      <c r="F70" s="4" t="s">
        <v>25</v>
      </c>
      <c r="G70" s="4" t="s">
        <v>25</v>
      </c>
      <c r="H70" s="4" t="s">
        <v>34</v>
      </c>
      <c r="I70" s="5">
        <v>44682</v>
      </c>
      <c r="J70" s="6">
        <v>0</v>
      </c>
      <c r="K70" s="6">
        <v>0</v>
      </c>
      <c r="L70" s="6">
        <v>0.1</v>
      </c>
      <c r="M70" s="6">
        <v>9.6000000000000002E-2</v>
      </c>
      <c r="N70" s="6">
        <v>0.1</v>
      </c>
      <c r="O70" s="6">
        <v>9.6000000000000002E-2</v>
      </c>
      <c r="P70" s="6">
        <v>0</v>
      </c>
      <c r="Q70" s="4" t="s">
        <v>26</v>
      </c>
      <c r="R70" s="4">
        <v>0</v>
      </c>
      <c r="S70" s="4" t="s">
        <v>157</v>
      </c>
      <c r="T70" s="4" t="s">
        <v>411</v>
      </c>
      <c r="U70" s="4">
        <v>0</v>
      </c>
      <c r="V70" s="4">
        <v>14</v>
      </c>
      <c r="W70" s="4">
        <v>62</v>
      </c>
    </row>
    <row r="71" spans="1:23" ht="11.25" customHeight="1" x14ac:dyDescent="0.3">
      <c r="A71" s="4" t="s">
        <v>21</v>
      </c>
      <c r="B71" s="4" t="s">
        <v>45</v>
      </c>
      <c r="C71" s="4" t="s">
        <v>40</v>
      </c>
      <c r="D71" s="4" t="s">
        <v>44</v>
      </c>
      <c r="E71" s="4" t="s">
        <v>56</v>
      </c>
      <c r="F71" s="4" t="s">
        <v>25</v>
      </c>
      <c r="G71" s="4" t="s">
        <v>25</v>
      </c>
      <c r="H71" s="4" t="s">
        <v>34</v>
      </c>
      <c r="I71" s="5">
        <v>44713</v>
      </c>
      <c r="J71" s="6">
        <v>0</v>
      </c>
      <c r="K71" s="6">
        <v>0</v>
      </c>
      <c r="L71" s="6">
        <v>9.7000000000000003E-2</v>
      </c>
      <c r="M71" s="6">
        <v>9.3119999999999994E-2</v>
      </c>
      <c r="N71" s="6">
        <v>9.7000000000000003E-2</v>
      </c>
      <c r="O71" s="6">
        <v>9.3119999999999994E-2</v>
      </c>
      <c r="P71" s="6">
        <v>0</v>
      </c>
      <c r="Q71" s="4" t="s">
        <v>26</v>
      </c>
      <c r="R71" s="4">
        <v>0</v>
      </c>
      <c r="S71" s="4" t="s">
        <v>158</v>
      </c>
      <c r="T71" s="4" t="s">
        <v>412</v>
      </c>
      <c r="U71" s="4">
        <v>0</v>
      </c>
      <c r="V71" s="4">
        <v>14</v>
      </c>
      <c r="W71" s="4">
        <v>62</v>
      </c>
    </row>
    <row r="72" spans="1:23" ht="11.25" customHeight="1" x14ac:dyDescent="0.3">
      <c r="A72" s="4" t="s">
        <v>21</v>
      </c>
      <c r="B72" s="4" t="s">
        <v>45</v>
      </c>
      <c r="C72" s="4" t="s">
        <v>40</v>
      </c>
      <c r="D72" s="4" t="s">
        <v>44</v>
      </c>
      <c r="E72" s="4" t="s">
        <v>56</v>
      </c>
      <c r="F72" s="4" t="s">
        <v>25</v>
      </c>
      <c r="G72" s="4" t="s">
        <v>25</v>
      </c>
      <c r="H72" s="4" t="s">
        <v>34</v>
      </c>
      <c r="I72" s="5">
        <v>44743</v>
      </c>
      <c r="J72" s="6">
        <v>0</v>
      </c>
      <c r="K72" s="6">
        <v>0</v>
      </c>
      <c r="L72" s="6">
        <v>0.10199999999999999</v>
      </c>
      <c r="M72" s="6">
        <v>9.7919999999999993E-2</v>
      </c>
      <c r="N72" s="6">
        <v>0.10199999999999999</v>
      </c>
      <c r="O72" s="6">
        <v>9.7919999999999993E-2</v>
      </c>
      <c r="P72" s="6">
        <v>0</v>
      </c>
      <c r="Q72" s="4" t="s">
        <v>26</v>
      </c>
      <c r="R72" s="4">
        <v>0</v>
      </c>
      <c r="S72" s="4" t="s">
        <v>159</v>
      </c>
      <c r="T72" s="4" t="s">
        <v>413</v>
      </c>
      <c r="U72" s="4">
        <v>0</v>
      </c>
      <c r="V72" s="4">
        <v>14</v>
      </c>
      <c r="W72" s="4">
        <v>62</v>
      </c>
    </row>
    <row r="73" spans="1:23" ht="11.25" customHeight="1" x14ac:dyDescent="0.3">
      <c r="A73" s="4" t="s">
        <v>21</v>
      </c>
      <c r="B73" s="4" t="s">
        <v>45</v>
      </c>
      <c r="C73" s="4" t="s">
        <v>40</v>
      </c>
      <c r="D73" s="4" t="s">
        <v>44</v>
      </c>
      <c r="E73" s="4" t="s">
        <v>56</v>
      </c>
      <c r="F73" s="4" t="s">
        <v>25</v>
      </c>
      <c r="G73" s="4" t="s">
        <v>25</v>
      </c>
      <c r="H73" s="4" t="s">
        <v>34</v>
      </c>
      <c r="I73" s="5">
        <v>44774</v>
      </c>
      <c r="J73" s="6">
        <v>0</v>
      </c>
      <c r="K73" s="6">
        <v>0</v>
      </c>
      <c r="L73" s="6">
        <v>0.129</v>
      </c>
      <c r="M73" s="6">
        <v>0.12384000000000001</v>
      </c>
      <c r="N73" s="6">
        <v>0.129</v>
      </c>
      <c r="O73" s="6">
        <v>0.12384000000000001</v>
      </c>
      <c r="P73" s="6">
        <v>0</v>
      </c>
      <c r="Q73" s="4" t="s">
        <v>26</v>
      </c>
      <c r="R73" s="4">
        <v>0</v>
      </c>
      <c r="S73" s="4" t="s">
        <v>160</v>
      </c>
      <c r="T73" s="4" t="s">
        <v>414</v>
      </c>
      <c r="U73" s="4">
        <v>0</v>
      </c>
      <c r="V73" s="4">
        <v>14</v>
      </c>
      <c r="W73" s="4">
        <v>62</v>
      </c>
    </row>
    <row r="74" spans="1:23" ht="11.25" customHeight="1" x14ac:dyDescent="0.3">
      <c r="A74" s="4" t="s">
        <v>21</v>
      </c>
      <c r="B74" s="4" t="s">
        <v>45</v>
      </c>
      <c r="C74" s="4" t="s">
        <v>40</v>
      </c>
      <c r="D74" s="4" t="s">
        <v>44</v>
      </c>
      <c r="E74" s="4" t="s">
        <v>56</v>
      </c>
      <c r="F74" s="4" t="s">
        <v>25</v>
      </c>
      <c r="G74" s="4" t="s">
        <v>25</v>
      </c>
      <c r="H74" s="4" t="s">
        <v>34</v>
      </c>
      <c r="I74" s="5">
        <v>44805</v>
      </c>
      <c r="J74" s="6">
        <v>0</v>
      </c>
      <c r="K74" s="6">
        <v>0</v>
      </c>
      <c r="L74" s="6">
        <v>0.54700000000000004</v>
      </c>
      <c r="M74" s="6">
        <v>0.52512000000000003</v>
      </c>
      <c r="N74" s="6">
        <v>0.54700000000000004</v>
      </c>
      <c r="O74" s="6">
        <v>0.52512000000000003</v>
      </c>
      <c r="P74" s="6">
        <v>0</v>
      </c>
      <c r="Q74" s="4" t="s">
        <v>26</v>
      </c>
      <c r="R74" s="4">
        <v>0</v>
      </c>
      <c r="S74" s="4" t="s">
        <v>138</v>
      </c>
      <c r="T74" s="4" t="s">
        <v>415</v>
      </c>
      <c r="U74" s="4">
        <v>0</v>
      </c>
      <c r="V74" s="4">
        <v>14</v>
      </c>
      <c r="W74" s="4">
        <v>62</v>
      </c>
    </row>
    <row r="75" spans="1:23" ht="11.25" customHeight="1" x14ac:dyDescent="0.3">
      <c r="A75" s="4" t="s">
        <v>57</v>
      </c>
      <c r="B75" s="4" t="s">
        <v>45</v>
      </c>
      <c r="C75" s="4" t="s">
        <v>40</v>
      </c>
      <c r="D75" s="4" t="s">
        <v>44</v>
      </c>
      <c r="E75" s="4" t="s">
        <v>56</v>
      </c>
      <c r="F75" s="4" t="s">
        <v>25</v>
      </c>
      <c r="G75" s="4" t="s">
        <v>25</v>
      </c>
      <c r="H75" s="4" t="s">
        <v>34</v>
      </c>
      <c r="I75" s="5">
        <v>44835</v>
      </c>
      <c r="J75" s="6">
        <v>0</v>
      </c>
      <c r="K75" s="6">
        <v>0</v>
      </c>
      <c r="L75" s="6">
        <v>0.54700000000000004</v>
      </c>
      <c r="M75" s="6">
        <v>0.52512000000000003</v>
      </c>
      <c r="N75" s="6">
        <v>0.54700000000000004</v>
      </c>
      <c r="O75" s="6">
        <v>0.52512000000000003</v>
      </c>
      <c r="P75" s="6">
        <v>0</v>
      </c>
      <c r="Q75" s="4" t="s">
        <v>26</v>
      </c>
      <c r="R75" s="4">
        <v>0</v>
      </c>
      <c r="S75" s="4" t="s">
        <v>139</v>
      </c>
      <c r="T75" s="4" t="s">
        <v>416</v>
      </c>
      <c r="U75" s="4">
        <v>0</v>
      </c>
      <c r="V75" s="4">
        <v>14</v>
      </c>
      <c r="W75" s="4">
        <v>62</v>
      </c>
    </row>
    <row r="76" spans="1:23" ht="11.25" customHeight="1" x14ac:dyDescent="0.3">
      <c r="A76" s="4" t="s">
        <v>28</v>
      </c>
      <c r="B76" s="4" t="s">
        <v>45</v>
      </c>
      <c r="C76" s="4" t="s">
        <v>40</v>
      </c>
      <c r="D76" s="4" t="s">
        <v>44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44501</v>
      </c>
      <c r="J76" s="6">
        <v>37</v>
      </c>
      <c r="K76" s="6">
        <v>35.519999999999996</v>
      </c>
      <c r="L76" s="6">
        <v>0</v>
      </c>
      <c r="M76" s="6">
        <v>0</v>
      </c>
      <c r="N76" s="6">
        <v>0</v>
      </c>
      <c r="O76" s="6">
        <v>0</v>
      </c>
      <c r="P76" s="6">
        <v>1</v>
      </c>
      <c r="Q76" s="4" t="s">
        <v>26</v>
      </c>
      <c r="R76" s="4">
        <v>0</v>
      </c>
      <c r="S76" s="4" t="s">
        <v>161</v>
      </c>
      <c r="U76" s="4">
        <v>11</v>
      </c>
      <c r="V76" s="4">
        <v>0</v>
      </c>
      <c r="W76" s="4">
        <v>0</v>
      </c>
    </row>
    <row r="77" spans="1:23" ht="11.25" customHeight="1" x14ac:dyDescent="0.3">
      <c r="A77" s="4" t="s">
        <v>28</v>
      </c>
      <c r="B77" s="4" t="s">
        <v>45</v>
      </c>
      <c r="C77" s="4" t="s">
        <v>40</v>
      </c>
      <c r="D77" s="4" t="s">
        <v>44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44531</v>
      </c>
      <c r="J77" s="6">
        <v>27</v>
      </c>
      <c r="K77" s="6">
        <v>25.919999999999998</v>
      </c>
      <c r="L77" s="6">
        <v>0</v>
      </c>
      <c r="M77" s="6">
        <v>0</v>
      </c>
      <c r="N77" s="6">
        <v>0</v>
      </c>
      <c r="O77" s="6">
        <v>0</v>
      </c>
      <c r="P77" s="6">
        <v>1</v>
      </c>
      <c r="Q77" s="4" t="s">
        <v>26</v>
      </c>
      <c r="R77" s="4">
        <v>0</v>
      </c>
      <c r="S77" s="4" t="s">
        <v>162</v>
      </c>
      <c r="U77" s="4">
        <v>11</v>
      </c>
      <c r="V77" s="4">
        <v>0</v>
      </c>
      <c r="W77" s="4">
        <v>0</v>
      </c>
    </row>
    <row r="78" spans="1:23" ht="11.25" customHeight="1" x14ac:dyDescent="0.3">
      <c r="A78" s="4" t="s">
        <v>28</v>
      </c>
      <c r="B78" s="4" t="s">
        <v>45</v>
      </c>
      <c r="C78" s="4" t="s">
        <v>40</v>
      </c>
      <c r="D78" s="4" t="s">
        <v>44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44562</v>
      </c>
      <c r="J78" s="6">
        <v>35</v>
      </c>
      <c r="K78" s="6">
        <v>33.6</v>
      </c>
      <c r="L78" s="6">
        <v>0</v>
      </c>
      <c r="M78" s="6">
        <v>0</v>
      </c>
      <c r="N78" s="6">
        <v>0</v>
      </c>
      <c r="O78" s="6">
        <v>0</v>
      </c>
      <c r="P78" s="6">
        <v>1</v>
      </c>
      <c r="Q78" s="4" t="s">
        <v>26</v>
      </c>
      <c r="R78" s="4">
        <v>0</v>
      </c>
      <c r="S78" s="4" t="s">
        <v>163</v>
      </c>
      <c r="U78" s="4">
        <v>11</v>
      </c>
      <c r="V78" s="4">
        <v>0</v>
      </c>
      <c r="W78" s="4">
        <v>0</v>
      </c>
    </row>
    <row r="79" spans="1:23" ht="11.25" customHeight="1" x14ac:dyDescent="0.3">
      <c r="A79" s="4" t="s">
        <v>28</v>
      </c>
      <c r="B79" s="4" t="s">
        <v>45</v>
      </c>
      <c r="C79" s="4" t="s">
        <v>40</v>
      </c>
      <c r="D79" s="4" t="s">
        <v>44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44593</v>
      </c>
      <c r="J79" s="6">
        <v>195</v>
      </c>
      <c r="K79" s="6">
        <v>187.2</v>
      </c>
      <c r="L79" s="6">
        <v>0</v>
      </c>
      <c r="M79" s="6">
        <v>0</v>
      </c>
      <c r="N79" s="6">
        <v>0</v>
      </c>
      <c r="O79" s="6">
        <v>0</v>
      </c>
      <c r="P79" s="6">
        <v>1</v>
      </c>
      <c r="Q79" s="4" t="s">
        <v>26</v>
      </c>
      <c r="R79" s="4">
        <v>0</v>
      </c>
      <c r="S79" s="4" t="s">
        <v>147</v>
      </c>
      <c r="U79" s="4">
        <v>11</v>
      </c>
      <c r="V79" s="4">
        <v>0</v>
      </c>
      <c r="W79" s="4">
        <v>0</v>
      </c>
    </row>
    <row r="80" spans="1:23" ht="11.25" customHeight="1" x14ac:dyDescent="0.3">
      <c r="A80" s="4" t="s">
        <v>28</v>
      </c>
      <c r="B80" s="4" t="s">
        <v>45</v>
      </c>
      <c r="C80" s="4" t="s">
        <v>40</v>
      </c>
      <c r="D80" s="4" t="s">
        <v>44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44621</v>
      </c>
      <c r="J80" s="6">
        <v>34</v>
      </c>
      <c r="K80" s="6">
        <v>32.64</v>
      </c>
      <c r="L80" s="6">
        <v>0</v>
      </c>
      <c r="M80" s="6">
        <v>0</v>
      </c>
      <c r="N80" s="6">
        <v>0</v>
      </c>
      <c r="O80" s="6">
        <v>0</v>
      </c>
      <c r="P80" s="6">
        <v>1</v>
      </c>
      <c r="Q80" s="4" t="s">
        <v>26</v>
      </c>
      <c r="R80" s="4">
        <v>0</v>
      </c>
      <c r="S80" s="4" t="s">
        <v>148</v>
      </c>
      <c r="U80" s="4">
        <v>11</v>
      </c>
      <c r="V80" s="4">
        <v>0</v>
      </c>
      <c r="W80" s="4">
        <v>0</v>
      </c>
    </row>
    <row r="81" spans="1:23" ht="11.25" customHeight="1" x14ac:dyDescent="0.3">
      <c r="A81" s="4" t="s">
        <v>28</v>
      </c>
      <c r="B81" s="4" t="s">
        <v>45</v>
      </c>
      <c r="C81" s="4" t="s">
        <v>40</v>
      </c>
      <c r="D81" s="4" t="s">
        <v>44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44652</v>
      </c>
      <c r="J81" s="6">
        <v>26</v>
      </c>
      <c r="K81" s="6">
        <v>24.96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4" t="s">
        <v>26</v>
      </c>
      <c r="R81" s="4">
        <v>0</v>
      </c>
      <c r="S81" s="4" t="s">
        <v>149</v>
      </c>
      <c r="U81" s="4">
        <v>11</v>
      </c>
      <c r="V81" s="4">
        <v>0</v>
      </c>
      <c r="W81" s="4">
        <v>0</v>
      </c>
    </row>
    <row r="82" spans="1:23" ht="11.25" customHeight="1" x14ac:dyDescent="0.3">
      <c r="A82" s="4" t="s">
        <v>28</v>
      </c>
      <c r="B82" s="4" t="s">
        <v>45</v>
      </c>
      <c r="C82" s="4" t="s">
        <v>40</v>
      </c>
      <c r="D82" s="4" t="s">
        <v>44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44682</v>
      </c>
      <c r="J82" s="6">
        <v>31</v>
      </c>
      <c r="K82" s="6">
        <v>29.759999999999998</v>
      </c>
      <c r="L82" s="6">
        <v>0</v>
      </c>
      <c r="M82" s="6">
        <v>0</v>
      </c>
      <c r="N82" s="6">
        <v>0</v>
      </c>
      <c r="O82" s="6">
        <v>0</v>
      </c>
      <c r="P82" s="6">
        <v>1</v>
      </c>
      <c r="Q82" s="4" t="s">
        <v>26</v>
      </c>
      <c r="R82" s="4">
        <v>0</v>
      </c>
      <c r="S82" s="4" t="s">
        <v>150</v>
      </c>
      <c r="U82" s="4">
        <v>11</v>
      </c>
      <c r="V82" s="4">
        <v>0</v>
      </c>
      <c r="W82" s="4">
        <v>0</v>
      </c>
    </row>
    <row r="83" spans="1:23" ht="11.25" customHeight="1" x14ac:dyDescent="0.3">
      <c r="A83" s="4" t="s">
        <v>28</v>
      </c>
      <c r="B83" s="4" t="s">
        <v>45</v>
      </c>
      <c r="C83" s="4" t="s">
        <v>40</v>
      </c>
      <c r="D83" s="4" t="s">
        <v>44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44713</v>
      </c>
      <c r="J83" s="6">
        <v>41</v>
      </c>
      <c r="K83" s="6">
        <v>39.36</v>
      </c>
      <c r="L83" s="6">
        <v>0</v>
      </c>
      <c r="M83" s="6">
        <v>0</v>
      </c>
      <c r="N83" s="6">
        <v>0</v>
      </c>
      <c r="O83" s="6">
        <v>0</v>
      </c>
      <c r="P83" s="6">
        <v>1</v>
      </c>
      <c r="Q83" s="4" t="s">
        <v>26</v>
      </c>
      <c r="R83" s="4">
        <v>0</v>
      </c>
      <c r="S83" s="4" t="s">
        <v>151</v>
      </c>
      <c r="U83" s="4">
        <v>11</v>
      </c>
      <c r="V83" s="4">
        <v>0</v>
      </c>
      <c r="W83" s="4">
        <v>0</v>
      </c>
    </row>
    <row r="84" spans="1:23" ht="11.25" customHeight="1" x14ac:dyDescent="0.3">
      <c r="A84" s="4" t="s">
        <v>21</v>
      </c>
      <c r="B84" s="4" t="s">
        <v>39</v>
      </c>
      <c r="C84" s="4" t="s">
        <v>42</v>
      </c>
      <c r="D84" s="4" t="s">
        <v>41</v>
      </c>
      <c r="E84" s="4" t="s">
        <v>25</v>
      </c>
      <c r="F84" s="4" t="s">
        <v>25</v>
      </c>
      <c r="G84" s="4" t="s">
        <v>25</v>
      </c>
      <c r="H84" s="4" t="s">
        <v>35</v>
      </c>
      <c r="I84" s="5">
        <v>44501</v>
      </c>
      <c r="J84" s="6">
        <v>73</v>
      </c>
      <c r="K84" s="6">
        <v>73</v>
      </c>
      <c r="L84" s="6">
        <v>40.456000000000003</v>
      </c>
      <c r="M84" s="6">
        <v>40.456000000000003</v>
      </c>
      <c r="N84" s="6">
        <v>40.456000000000003</v>
      </c>
      <c r="O84" s="6">
        <v>40.456000000000003</v>
      </c>
      <c r="P84" s="6">
        <v>0</v>
      </c>
      <c r="Q84" s="4" t="s">
        <v>26</v>
      </c>
      <c r="R84" s="4">
        <v>0</v>
      </c>
      <c r="S84" s="4" t="s">
        <v>164</v>
      </c>
      <c r="T84" s="4" t="s">
        <v>421</v>
      </c>
      <c r="U84" s="4">
        <v>5</v>
      </c>
      <c r="V84" s="4">
        <v>8</v>
      </c>
      <c r="W84" s="4">
        <v>66</v>
      </c>
    </row>
    <row r="85" spans="1:23" ht="11.25" customHeight="1" x14ac:dyDescent="0.3">
      <c r="A85" s="4" t="s">
        <v>21</v>
      </c>
      <c r="B85" s="4" t="s">
        <v>39</v>
      </c>
      <c r="C85" s="4" t="s">
        <v>42</v>
      </c>
      <c r="D85" s="4" t="s">
        <v>41</v>
      </c>
      <c r="E85" s="4" t="s">
        <v>25</v>
      </c>
      <c r="F85" s="4" t="s">
        <v>25</v>
      </c>
      <c r="G85" s="4" t="s">
        <v>25</v>
      </c>
      <c r="H85" s="4" t="s">
        <v>35</v>
      </c>
      <c r="I85" s="5">
        <v>44531</v>
      </c>
      <c r="J85" s="6">
        <v>73</v>
      </c>
      <c r="K85" s="6">
        <v>73</v>
      </c>
      <c r="L85" s="6">
        <v>41.588000000000001</v>
      </c>
      <c r="M85" s="6">
        <v>41.588000000000001</v>
      </c>
      <c r="N85" s="6">
        <v>41.588000000000001</v>
      </c>
      <c r="O85" s="6">
        <v>41.588000000000001</v>
      </c>
      <c r="P85" s="6">
        <v>0</v>
      </c>
      <c r="Q85" s="4" t="s">
        <v>26</v>
      </c>
      <c r="R85" s="4">
        <v>0</v>
      </c>
      <c r="S85" s="4" t="s">
        <v>165</v>
      </c>
      <c r="T85" s="4" t="s">
        <v>422</v>
      </c>
      <c r="U85" s="4">
        <v>5</v>
      </c>
      <c r="V85" s="4">
        <v>8</v>
      </c>
      <c r="W85" s="4">
        <v>66</v>
      </c>
    </row>
    <row r="86" spans="1:23" ht="11.25" customHeight="1" x14ac:dyDescent="0.3">
      <c r="A86" s="4" t="s">
        <v>21</v>
      </c>
      <c r="B86" s="4" t="s">
        <v>39</v>
      </c>
      <c r="C86" s="4" t="s">
        <v>42</v>
      </c>
      <c r="D86" s="4" t="s">
        <v>41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44562</v>
      </c>
      <c r="J86" s="6">
        <v>73</v>
      </c>
      <c r="K86" s="6">
        <v>73</v>
      </c>
      <c r="L86" s="6">
        <v>41.439</v>
      </c>
      <c r="M86" s="6">
        <v>41.439</v>
      </c>
      <c r="N86" s="6">
        <v>41.439</v>
      </c>
      <c r="O86" s="6">
        <v>41.439</v>
      </c>
      <c r="P86" s="6">
        <v>0</v>
      </c>
      <c r="Q86" s="4" t="s">
        <v>26</v>
      </c>
      <c r="R86" s="4">
        <v>0</v>
      </c>
      <c r="S86" s="4" t="s">
        <v>166</v>
      </c>
      <c r="T86" s="4" t="s">
        <v>423</v>
      </c>
      <c r="U86" s="4">
        <v>5</v>
      </c>
      <c r="V86" s="4">
        <v>8</v>
      </c>
      <c r="W86" s="4">
        <v>66</v>
      </c>
    </row>
    <row r="87" spans="1:23" ht="11.25" customHeight="1" x14ac:dyDescent="0.3">
      <c r="A87" s="4" t="s">
        <v>21</v>
      </c>
      <c r="B87" s="4" t="s">
        <v>39</v>
      </c>
      <c r="C87" s="4" t="s">
        <v>42</v>
      </c>
      <c r="D87" s="4" t="s">
        <v>41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44593</v>
      </c>
      <c r="J87" s="6">
        <v>71</v>
      </c>
      <c r="K87" s="6">
        <v>71</v>
      </c>
      <c r="L87" s="6">
        <v>37.423999999999999</v>
      </c>
      <c r="M87" s="6">
        <v>37.423999999999999</v>
      </c>
      <c r="N87" s="6">
        <v>37.423999999999999</v>
      </c>
      <c r="O87" s="6">
        <v>37.423999999999999</v>
      </c>
      <c r="P87" s="6">
        <v>0</v>
      </c>
      <c r="Q87" s="4" t="s">
        <v>26</v>
      </c>
      <c r="R87" s="4">
        <v>0</v>
      </c>
      <c r="S87" s="4" t="s">
        <v>167</v>
      </c>
      <c r="T87" s="4" t="s">
        <v>424</v>
      </c>
      <c r="U87" s="4">
        <v>5</v>
      </c>
      <c r="V87" s="4">
        <v>8</v>
      </c>
      <c r="W87" s="4">
        <v>66</v>
      </c>
    </row>
    <row r="88" spans="1:23" ht="11.25" customHeight="1" x14ac:dyDescent="0.3">
      <c r="A88" s="4" t="s">
        <v>21</v>
      </c>
      <c r="B88" s="4" t="s">
        <v>39</v>
      </c>
      <c r="C88" s="4" t="s">
        <v>42</v>
      </c>
      <c r="D88" s="4" t="s">
        <v>41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44621</v>
      </c>
      <c r="J88" s="6">
        <v>73</v>
      </c>
      <c r="K88" s="6">
        <v>73</v>
      </c>
      <c r="L88" s="6">
        <v>42.923000000000002</v>
      </c>
      <c r="M88" s="6">
        <v>42.923000000000002</v>
      </c>
      <c r="N88" s="6">
        <v>42.923000000000002</v>
      </c>
      <c r="O88" s="6">
        <v>42.923000000000002</v>
      </c>
      <c r="P88" s="6">
        <v>0</v>
      </c>
      <c r="Q88" s="4" t="s">
        <v>26</v>
      </c>
      <c r="R88" s="4">
        <v>0</v>
      </c>
      <c r="S88" s="4" t="s">
        <v>168</v>
      </c>
      <c r="T88" s="4" t="s">
        <v>425</v>
      </c>
      <c r="U88" s="4">
        <v>5</v>
      </c>
      <c r="V88" s="4">
        <v>8</v>
      </c>
      <c r="W88" s="4">
        <v>66</v>
      </c>
    </row>
    <row r="89" spans="1:23" ht="11.25" customHeight="1" x14ac:dyDescent="0.3">
      <c r="A89" s="4" t="s">
        <v>21</v>
      </c>
      <c r="B89" s="4" t="s">
        <v>39</v>
      </c>
      <c r="C89" s="4" t="s">
        <v>42</v>
      </c>
      <c r="D89" s="4" t="s">
        <v>41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44652</v>
      </c>
      <c r="J89" s="6">
        <v>72</v>
      </c>
      <c r="K89" s="6">
        <v>72</v>
      </c>
      <c r="L89" s="6">
        <v>42.067</v>
      </c>
      <c r="M89" s="6">
        <v>42.067</v>
      </c>
      <c r="N89" s="6">
        <v>42.067</v>
      </c>
      <c r="O89" s="6">
        <v>42.067</v>
      </c>
      <c r="P89" s="6">
        <v>0</v>
      </c>
      <c r="Q89" s="4" t="s">
        <v>26</v>
      </c>
      <c r="R89" s="4">
        <v>0</v>
      </c>
      <c r="S89" s="4" t="s">
        <v>169</v>
      </c>
      <c r="T89" s="4" t="s">
        <v>426</v>
      </c>
      <c r="U89" s="4">
        <v>5</v>
      </c>
      <c r="V89" s="4">
        <v>8</v>
      </c>
      <c r="W89" s="4">
        <v>66</v>
      </c>
    </row>
    <row r="90" spans="1:23" ht="11.25" customHeight="1" x14ac:dyDescent="0.3">
      <c r="A90" s="4" t="s">
        <v>21</v>
      </c>
      <c r="B90" s="4" t="s">
        <v>39</v>
      </c>
      <c r="C90" s="4" t="s">
        <v>42</v>
      </c>
      <c r="D90" s="4" t="s">
        <v>41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44682</v>
      </c>
      <c r="J90" s="6">
        <v>71</v>
      </c>
      <c r="K90" s="6">
        <v>71</v>
      </c>
      <c r="L90" s="6">
        <v>37.844999999999999</v>
      </c>
      <c r="M90" s="6">
        <v>37.844999999999999</v>
      </c>
      <c r="N90" s="6">
        <v>37.844999999999999</v>
      </c>
      <c r="O90" s="6">
        <v>37.844999999999999</v>
      </c>
      <c r="P90" s="6">
        <v>0</v>
      </c>
      <c r="Q90" s="4" t="s">
        <v>26</v>
      </c>
      <c r="R90" s="4">
        <v>0</v>
      </c>
      <c r="S90" s="4" t="s">
        <v>170</v>
      </c>
      <c r="T90" s="4" t="s">
        <v>427</v>
      </c>
      <c r="U90" s="4">
        <v>5</v>
      </c>
      <c r="V90" s="4">
        <v>8</v>
      </c>
      <c r="W90" s="4">
        <v>66</v>
      </c>
    </row>
    <row r="91" spans="1:23" ht="11.25" customHeight="1" x14ac:dyDescent="0.3">
      <c r="A91" s="4" t="s">
        <v>21</v>
      </c>
      <c r="B91" s="4" t="s">
        <v>39</v>
      </c>
      <c r="C91" s="4" t="s">
        <v>42</v>
      </c>
      <c r="D91" s="4" t="s">
        <v>41</v>
      </c>
      <c r="E91" s="4" t="s">
        <v>25</v>
      </c>
      <c r="F91" s="4" t="s">
        <v>25</v>
      </c>
      <c r="G91" s="4" t="s">
        <v>25</v>
      </c>
      <c r="H91" s="4" t="s">
        <v>35</v>
      </c>
      <c r="I91" s="5">
        <v>44713</v>
      </c>
      <c r="J91" s="6">
        <v>69</v>
      </c>
      <c r="K91" s="6">
        <v>69</v>
      </c>
      <c r="L91" s="6">
        <v>31.007000000000001</v>
      </c>
      <c r="M91" s="6">
        <v>31.007000000000001</v>
      </c>
      <c r="N91" s="6">
        <v>31.007000000000001</v>
      </c>
      <c r="O91" s="6">
        <v>31.007000000000001</v>
      </c>
      <c r="P91" s="6">
        <v>0</v>
      </c>
      <c r="Q91" s="4" t="s">
        <v>26</v>
      </c>
      <c r="R91" s="4">
        <v>0</v>
      </c>
      <c r="S91" s="4" t="s">
        <v>171</v>
      </c>
      <c r="T91" s="4" t="s">
        <v>428</v>
      </c>
      <c r="U91" s="4">
        <v>5</v>
      </c>
      <c r="V91" s="4">
        <v>8</v>
      </c>
      <c r="W91" s="4">
        <v>66</v>
      </c>
    </row>
    <row r="92" spans="1:23" ht="11.25" customHeight="1" x14ac:dyDescent="0.3">
      <c r="A92" s="4" t="s">
        <v>21</v>
      </c>
      <c r="B92" s="4" t="s">
        <v>39</v>
      </c>
      <c r="C92" s="4" t="s">
        <v>42</v>
      </c>
      <c r="D92" s="4" t="s">
        <v>41</v>
      </c>
      <c r="E92" s="4" t="s">
        <v>25</v>
      </c>
      <c r="F92" s="4" t="s">
        <v>25</v>
      </c>
      <c r="G92" s="4" t="s">
        <v>25</v>
      </c>
      <c r="H92" s="4" t="s">
        <v>35</v>
      </c>
      <c r="I92" s="5">
        <v>44743</v>
      </c>
      <c r="J92" s="6">
        <v>69</v>
      </c>
      <c r="K92" s="6">
        <v>69</v>
      </c>
      <c r="L92" s="6">
        <v>33.862000000000002</v>
      </c>
      <c r="M92" s="6">
        <v>33.862000000000002</v>
      </c>
      <c r="N92" s="6">
        <v>33.862000000000002</v>
      </c>
      <c r="O92" s="6">
        <v>33.862000000000002</v>
      </c>
      <c r="P92" s="6">
        <v>0</v>
      </c>
      <c r="Q92" s="4" t="s">
        <v>26</v>
      </c>
      <c r="R92" s="4">
        <v>0</v>
      </c>
      <c r="S92" s="4" t="s">
        <v>172</v>
      </c>
      <c r="T92" s="4" t="s">
        <v>429</v>
      </c>
      <c r="U92" s="4">
        <v>5</v>
      </c>
      <c r="V92" s="4">
        <v>8</v>
      </c>
      <c r="W92" s="4">
        <v>66</v>
      </c>
    </row>
    <row r="93" spans="1:23" ht="11.25" customHeight="1" x14ac:dyDescent="0.3">
      <c r="A93" s="4" t="s">
        <v>21</v>
      </c>
      <c r="B93" s="4" t="s">
        <v>39</v>
      </c>
      <c r="C93" s="4" t="s">
        <v>42</v>
      </c>
      <c r="D93" s="4" t="s">
        <v>41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44774</v>
      </c>
      <c r="J93" s="6">
        <v>71</v>
      </c>
      <c r="K93" s="6">
        <v>71</v>
      </c>
      <c r="L93" s="6">
        <v>39.929000000000002</v>
      </c>
      <c r="M93" s="6">
        <v>39.929000000000002</v>
      </c>
      <c r="N93" s="6">
        <v>39.929000000000002</v>
      </c>
      <c r="O93" s="6">
        <v>39.929000000000002</v>
      </c>
      <c r="P93" s="6">
        <v>0</v>
      </c>
      <c r="Q93" s="4" t="s">
        <v>26</v>
      </c>
      <c r="R93" s="4">
        <v>0</v>
      </c>
      <c r="S93" s="4" t="s">
        <v>173</v>
      </c>
      <c r="T93" s="4" t="s">
        <v>430</v>
      </c>
      <c r="U93" s="4">
        <v>5</v>
      </c>
      <c r="V93" s="4">
        <v>8</v>
      </c>
      <c r="W93" s="4">
        <v>66</v>
      </c>
    </row>
    <row r="94" spans="1:23" ht="11.25" customHeight="1" x14ac:dyDescent="0.3">
      <c r="A94" s="4" t="s">
        <v>21</v>
      </c>
      <c r="B94" s="4" t="s">
        <v>39</v>
      </c>
      <c r="C94" s="4" t="s">
        <v>42</v>
      </c>
      <c r="D94" s="4" t="s">
        <v>41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44805</v>
      </c>
      <c r="J94" s="6">
        <v>71</v>
      </c>
      <c r="K94" s="6">
        <v>71</v>
      </c>
      <c r="L94" s="6">
        <v>37.898000000000003</v>
      </c>
      <c r="M94" s="6">
        <v>37.898000000000003</v>
      </c>
      <c r="N94" s="6">
        <v>37.898000000000003</v>
      </c>
      <c r="O94" s="6">
        <v>37.898000000000003</v>
      </c>
      <c r="P94" s="6">
        <v>0</v>
      </c>
      <c r="Q94" s="4" t="s">
        <v>26</v>
      </c>
      <c r="R94" s="4">
        <v>0</v>
      </c>
      <c r="S94" s="4" t="s">
        <v>174</v>
      </c>
      <c r="T94" s="4" t="s">
        <v>431</v>
      </c>
      <c r="U94" s="4">
        <v>5</v>
      </c>
      <c r="V94" s="4">
        <v>8</v>
      </c>
      <c r="W94" s="4">
        <v>66</v>
      </c>
    </row>
    <row r="95" spans="1:23" ht="11.25" customHeight="1" x14ac:dyDescent="0.3">
      <c r="A95" s="4" t="s">
        <v>57</v>
      </c>
      <c r="B95" s="4" t="s">
        <v>39</v>
      </c>
      <c r="C95" s="4" t="s">
        <v>42</v>
      </c>
      <c r="D95" s="4" t="s">
        <v>41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44835</v>
      </c>
      <c r="J95" s="6">
        <v>71</v>
      </c>
      <c r="K95" s="6">
        <v>71</v>
      </c>
      <c r="L95" s="6">
        <v>37.898000000000003</v>
      </c>
      <c r="M95" s="6">
        <v>37.898000000000003</v>
      </c>
      <c r="N95" s="6">
        <v>37.898000000000003</v>
      </c>
      <c r="O95" s="6">
        <v>37.898000000000003</v>
      </c>
      <c r="P95" s="6">
        <v>0</v>
      </c>
      <c r="Q95" s="4" t="s">
        <v>26</v>
      </c>
      <c r="R95" s="4">
        <v>0</v>
      </c>
      <c r="S95" s="4" t="s">
        <v>175</v>
      </c>
      <c r="T95" s="4" t="s">
        <v>432</v>
      </c>
      <c r="U95" s="4">
        <v>5</v>
      </c>
      <c r="V95" s="4">
        <v>8</v>
      </c>
      <c r="W95" s="4">
        <v>66</v>
      </c>
    </row>
    <row r="96" spans="1:23" ht="11.25" customHeight="1" x14ac:dyDescent="0.3">
      <c r="A96" s="4" t="s">
        <v>21</v>
      </c>
      <c r="B96" s="4" t="s">
        <v>39</v>
      </c>
      <c r="C96" s="4" t="s">
        <v>42</v>
      </c>
      <c r="D96" s="4" t="s">
        <v>41</v>
      </c>
      <c r="E96" s="4" t="s">
        <v>25</v>
      </c>
      <c r="F96" s="4" t="s">
        <v>25</v>
      </c>
      <c r="G96" s="4" t="s">
        <v>25</v>
      </c>
      <c r="H96" s="4" t="s">
        <v>34</v>
      </c>
      <c r="I96" s="5">
        <v>44501</v>
      </c>
      <c r="J96" s="6">
        <v>69</v>
      </c>
      <c r="K96" s="6">
        <v>69</v>
      </c>
      <c r="L96" s="6">
        <v>3.7280000000000002</v>
      </c>
      <c r="M96" s="6">
        <v>3.7280000000000002</v>
      </c>
      <c r="N96" s="6">
        <v>3.7280000000000002</v>
      </c>
      <c r="O96" s="6">
        <v>3.7280000000000002</v>
      </c>
      <c r="P96" s="6">
        <v>0</v>
      </c>
      <c r="Q96" s="4" t="s">
        <v>26</v>
      </c>
      <c r="R96" s="4">
        <v>0</v>
      </c>
      <c r="S96" s="4" t="s">
        <v>176</v>
      </c>
      <c r="T96" s="4" t="s">
        <v>433</v>
      </c>
      <c r="U96" s="4">
        <v>4</v>
      </c>
      <c r="V96" s="4">
        <v>8</v>
      </c>
      <c r="W96" s="4">
        <v>65</v>
      </c>
    </row>
    <row r="97" spans="1:23" ht="11.25" customHeight="1" x14ac:dyDescent="0.3">
      <c r="A97" s="4" t="s">
        <v>21</v>
      </c>
      <c r="B97" s="4" t="s">
        <v>39</v>
      </c>
      <c r="C97" s="4" t="s">
        <v>42</v>
      </c>
      <c r="D97" s="4" t="s">
        <v>41</v>
      </c>
      <c r="E97" s="4" t="s">
        <v>25</v>
      </c>
      <c r="F97" s="4" t="s">
        <v>25</v>
      </c>
      <c r="G97" s="4" t="s">
        <v>25</v>
      </c>
      <c r="H97" s="4" t="s">
        <v>34</v>
      </c>
      <c r="I97" s="5">
        <v>44531</v>
      </c>
      <c r="J97" s="6">
        <v>69</v>
      </c>
      <c r="K97" s="6">
        <v>69</v>
      </c>
      <c r="L97" s="6">
        <v>4.2489999999999997</v>
      </c>
      <c r="M97" s="6">
        <v>4.2489999999999997</v>
      </c>
      <c r="N97" s="6">
        <v>4.2489999999999997</v>
      </c>
      <c r="O97" s="6">
        <v>4.2489999999999997</v>
      </c>
      <c r="P97" s="6">
        <v>0</v>
      </c>
      <c r="Q97" s="4" t="s">
        <v>26</v>
      </c>
      <c r="R97" s="4">
        <v>0</v>
      </c>
      <c r="S97" s="4" t="s">
        <v>177</v>
      </c>
      <c r="T97" s="4" t="s">
        <v>434</v>
      </c>
      <c r="U97" s="4">
        <v>4</v>
      </c>
      <c r="V97" s="4">
        <v>8</v>
      </c>
      <c r="W97" s="4">
        <v>65</v>
      </c>
    </row>
    <row r="98" spans="1:23" ht="11.25" customHeight="1" x14ac:dyDescent="0.3">
      <c r="A98" s="4" t="s">
        <v>21</v>
      </c>
      <c r="B98" s="4" t="s">
        <v>39</v>
      </c>
      <c r="C98" s="4" t="s">
        <v>42</v>
      </c>
      <c r="D98" s="4" t="s">
        <v>41</v>
      </c>
      <c r="E98" s="4" t="s">
        <v>25</v>
      </c>
      <c r="F98" s="4" t="s">
        <v>25</v>
      </c>
      <c r="G98" s="4" t="s">
        <v>25</v>
      </c>
      <c r="H98" s="4" t="s">
        <v>34</v>
      </c>
      <c r="I98" s="5">
        <v>44562</v>
      </c>
      <c r="J98" s="6">
        <v>71</v>
      </c>
      <c r="K98" s="6">
        <v>71</v>
      </c>
      <c r="L98" s="6">
        <v>3.9460000000000002</v>
      </c>
      <c r="M98" s="6">
        <v>3.9460000000000002</v>
      </c>
      <c r="N98" s="6">
        <v>3.9460000000000002</v>
      </c>
      <c r="O98" s="6">
        <v>3.9460000000000002</v>
      </c>
      <c r="P98" s="6">
        <v>0</v>
      </c>
      <c r="Q98" s="4" t="s">
        <v>26</v>
      </c>
      <c r="R98" s="4">
        <v>0</v>
      </c>
      <c r="S98" s="4" t="s">
        <v>178</v>
      </c>
      <c r="T98" s="4" t="s">
        <v>435</v>
      </c>
      <c r="U98" s="4">
        <v>4</v>
      </c>
      <c r="V98" s="4">
        <v>8</v>
      </c>
      <c r="W98" s="4">
        <v>65</v>
      </c>
    </row>
    <row r="99" spans="1:23" ht="11.25" customHeight="1" x14ac:dyDescent="0.3">
      <c r="A99" s="4" t="s">
        <v>21</v>
      </c>
      <c r="B99" s="4" t="s">
        <v>39</v>
      </c>
      <c r="C99" s="4" t="s">
        <v>42</v>
      </c>
      <c r="D99" s="4" t="s">
        <v>41</v>
      </c>
      <c r="E99" s="4" t="s">
        <v>25</v>
      </c>
      <c r="F99" s="4" t="s">
        <v>25</v>
      </c>
      <c r="G99" s="4" t="s">
        <v>25</v>
      </c>
      <c r="H99" s="4" t="s">
        <v>34</v>
      </c>
      <c r="I99" s="5">
        <v>44593</v>
      </c>
      <c r="J99" s="6">
        <v>69</v>
      </c>
      <c r="K99" s="6">
        <v>69</v>
      </c>
      <c r="L99" s="6">
        <v>3.734</v>
      </c>
      <c r="M99" s="6">
        <v>3.734</v>
      </c>
      <c r="N99" s="6">
        <v>3.734</v>
      </c>
      <c r="O99" s="6">
        <v>3.734</v>
      </c>
      <c r="P99" s="6">
        <v>0</v>
      </c>
      <c r="Q99" s="4" t="s">
        <v>26</v>
      </c>
      <c r="R99" s="4">
        <v>0</v>
      </c>
      <c r="S99" s="4" t="s">
        <v>179</v>
      </c>
      <c r="T99" s="4" t="s">
        <v>436</v>
      </c>
      <c r="U99" s="4">
        <v>4</v>
      </c>
      <c r="V99" s="4">
        <v>8</v>
      </c>
      <c r="W99" s="4">
        <v>65</v>
      </c>
    </row>
    <row r="100" spans="1:23" ht="11.25" customHeight="1" x14ac:dyDescent="0.3">
      <c r="A100" s="4" t="s">
        <v>21</v>
      </c>
      <c r="B100" s="4" t="s">
        <v>39</v>
      </c>
      <c r="C100" s="4" t="s">
        <v>42</v>
      </c>
      <c r="D100" s="4" t="s">
        <v>41</v>
      </c>
      <c r="E100" s="4" t="s">
        <v>25</v>
      </c>
      <c r="F100" s="4" t="s">
        <v>25</v>
      </c>
      <c r="G100" s="4" t="s">
        <v>25</v>
      </c>
      <c r="H100" s="4" t="s">
        <v>34</v>
      </c>
      <c r="I100" s="5">
        <v>44621</v>
      </c>
      <c r="J100" s="6">
        <v>69</v>
      </c>
      <c r="K100" s="6">
        <v>69</v>
      </c>
      <c r="L100" s="6">
        <v>4.2190000000000003</v>
      </c>
      <c r="M100" s="6">
        <v>4.2190000000000003</v>
      </c>
      <c r="N100" s="6">
        <v>4.2190000000000003</v>
      </c>
      <c r="O100" s="6">
        <v>4.2190000000000003</v>
      </c>
      <c r="P100" s="6">
        <v>0</v>
      </c>
      <c r="Q100" s="4" t="s">
        <v>26</v>
      </c>
      <c r="R100" s="4">
        <v>0</v>
      </c>
      <c r="S100" s="4" t="s">
        <v>180</v>
      </c>
      <c r="T100" s="4" t="s">
        <v>437</v>
      </c>
      <c r="U100" s="4">
        <v>4</v>
      </c>
      <c r="V100" s="4">
        <v>8</v>
      </c>
      <c r="W100" s="4">
        <v>65</v>
      </c>
    </row>
    <row r="101" spans="1:23" ht="11.25" customHeight="1" x14ac:dyDescent="0.3">
      <c r="A101" s="4" t="s">
        <v>21</v>
      </c>
      <c r="B101" s="4" t="s">
        <v>39</v>
      </c>
      <c r="C101" s="4" t="s">
        <v>42</v>
      </c>
      <c r="D101" s="4" t="s">
        <v>41</v>
      </c>
      <c r="E101" s="4" t="s">
        <v>25</v>
      </c>
      <c r="F101" s="4" t="s">
        <v>25</v>
      </c>
      <c r="G101" s="4" t="s">
        <v>25</v>
      </c>
      <c r="H101" s="4" t="s">
        <v>34</v>
      </c>
      <c r="I101" s="5">
        <v>44652</v>
      </c>
      <c r="J101" s="6">
        <v>69</v>
      </c>
      <c r="K101" s="6">
        <v>69</v>
      </c>
      <c r="L101" s="6">
        <v>3.7389999999999999</v>
      </c>
      <c r="M101" s="6">
        <v>3.7389999999999999</v>
      </c>
      <c r="N101" s="6">
        <v>3.7389999999999999</v>
      </c>
      <c r="O101" s="6">
        <v>3.7389999999999999</v>
      </c>
      <c r="P101" s="6">
        <v>0</v>
      </c>
      <c r="Q101" s="4" t="s">
        <v>26</v>
      </c>
      <c r="R101" s="4">
        <v>0</v>
      </c>
      <c r="S101" s="4" t="s">
        <v>181</v>
      </c>
      <c r="T101" s="4" t="s">
        <v>438</v>
      </c>
      <c r="U101" s="4">
        <v>4</v>
      </c>
      <c r="V101" s="4">
        <v>8</v>
      </c>
      <c r="W101" s="4">
        <v>65</v>
      </c>
    </row>
    <row r="102" spans="1:23" ht="11.25" customHeight="1" x14ac:dyDescent="0.3">
      <c r="A102" s="4" t="s">
        <v>21</v>
      </c>
      <c r="B102" s="4" t="s">
        <v>39</v>
      </c>
      <c r="C102" s="4" t="s">
        <v>42</v>
      </c>
      <c r="D102" s="4" t="s">
        <v>41</v>
      </c>
      <c r="E102" s="4" t="s">
        <v>25</v>
      </c>
      <c r="F102" s="4" t="s">
        <v>25</v>
      </c>
      <c r="G102" s="4" t="s">
        <v>25</v>
      </c>
      <c r="H102" s="4" t="s">
        <v>34</v>
      </c>
      <c r="I102" s="5">
        <v>44682</v>
      </c>
      <c r="J102" s="6">
        <v>69</v>
      </c>
      <c r="K102" s="6">
        <v>69</v>
      </c>
      <c r="L102" s="6">
        <v>3.806</v>
      </c>
      <c r="M102" s="6">
        <v>3.806</v>
      </c>
      <c r="N102" s="6">
        <v>3.806</v>
      </c>
      <c r="O102" s="6">
        <v>3.806</v>
      </c>
      <c r="P102" s="6">
        <v>0</v>
      </c>
      <c r="Q102" s="4" t="s">
        <v>26</v>
      </c>
      <c r="R102" s="4">
        <v>0</v>
      </c>
      <c r="S102" s="4" t="s">
        <v>182</v>
      </c>
      <c r="T102" s="4" t="s">
        <v>439</v>
      </c>
      <c r="U102" s="4">
        <v>4</v>
      </c>
      <c r="V102" s="4">
        <v>8</v>
      </c>
      <c r="W102" s="4">
        <v>65</v>
      </c>
    </row>
    <row r="103" spans="1:23" ht="11.25" customHeight="1" x14ac:dyDescent="0.3">
      <c r="A103" s="4" t="s">
        <v>21</v>
      </c>
      <c r="B103" s="4" t="s">
        <v>39</v>
      </c>
      <c r="C103" s="4" t="s">
        <v>42</v>
      </c>
      <c r="D103" s="4" t="s">
        <v>41</v>
      </c>
      <c r="E103" s="4" t="s">
        <v>25</v>
      </c>
      <c r="F103" s="4" t="s">
        <v>25</v>
      </c>
      <c r="G103" s="4" t="s">
        <v>25</v>
      </c>
      <c r="H103" s="4" t="s">
        <v>34</v>
      </c>
      <c r="I103" s="5">
        <v>44713</v>
      </c>
      <c r="J103" s="6">
        <v>69</v>
      </c>
      <c r="K103" s="6">
        <v>69</v>
      </c>
      <c r="L103" s="6">
        <v>3.0289999999999999</v>
      </c>
      <c r="M103" s="6">
        <v>3.0289999999999999</v>
      </c>
      <c r="N103" s="6">
        <v>3.0289999999999999</v>
      </c>
      <c r="O103" s="6">
        <v>3.0289999999999999</v>
      </c>
      <c r="P103" s="6">
        <v>0</v>
      </c>
      <c r="Q103" s="4" t="s">
        <v>26</v>
      </c>
      <c r="R103" s="4">
        <v>0</v>
      </c>
      <c r="S103" s="4" t="s">
        <v>183</v>
      </c>
      <c r="T103" s="4" t="s">
        <v>440</v>
      </c>
      <c r="U103" s="4">
        <v>4</v>
      </c>
      <c r="V103" s="4">
        <v>8</v>
      </c>
      <c r="W103" s="4">
        <v>65</v>
      </c>
    </row>
    <row r="104" spans="1:23" ht="11.25" customHeight="1" x14ac:dyDescent="0.3">
      <c r="A104" s="4" t="s">
        <v>21</v>
      </c>
      <c r="B104" s="4" t="s">
        <v>39</v>
      </c>
      <c r="C104" s="4" t="s">
        <v>42</v>
      </c>
      <c r="D104" s="4" t="s">
        <v>41</v>
      </c>
      <c r="E104" s="4" t="s">
        <v>25</v>
      </c>
      <c r="F104" s="4" t="s">
        <v>25</v>
      </c>
      <c r="G104" s="4" t="s">
        <v>25</v>
      </c>
      <c r="H104" s="4" t="s">
        <v>34</v>
      </c>
      <c r="I104" s="5">
        <v>44743</v>
      </c>
      <c r="J104" s="6">
        <v>69</v>
      </c>
      <c r="K104" s="6">
        <v>69</v>
      </c>
      <c r="L104" s="6">
        <v>3.2509999999999999</v>
      </c>
      <c r="M104" s="6">
        <v>3.2509999999999999</v>
      </c>
      <c r="N104" s="6">
        <v>3.2509999999999999</v>
      </c>
      <c r="O104" s="6">
        <v>3.2509999999999999</v>
      </c>
      <c r="P104" s="6">
        <v>0</v>
      </c>
      <c r="Q104" s="4" t="s">
        <v>26</v>
      </c>
      <c r="R104" s="4">
        <v>0</v>
      </c>
      <c r="S104" s="4" t="s">
        <v>184</v>
      </c>
      <c r="T104" s="4" t="s">
        <v>441</v>
      </c>
      <c r="U104" s="4">
        <v>4</v>
      </c>
      <c r="V104" s="4">
        <v>8</v>
      </c>
      <c r="W104" s="4">
        <v>65</v>
      </c>
    </row>
    <row r="105" spans="1:23" ht="11.25" customHeight="1" x14ac:dyDescent="0.3">
      <c r="A105" s="4" t="s">
        <v>21</v>
      </c>
      <c r="B105" s="4" t="s">
        <v>39</v>
      </c>
      <c r="C105" s="4" t="s">
        <v>42</v>
      </c>
      <c r="D105" s="4" t="s">
        <v>41</v>
      </c>
      <c r="E105" s="4" t="s">
        <v>25</v>
      </c>
      <c r="F105" s="4" t="s">
        <v>25</v>
      </c>
      <c r="G105" s="4" t="s">
        <v>25</v>
      </c>
      <c r="H105" s="4" t="s">
        <v>34</v>
      </c>
      <c r="I105" s="5">
        <v>44774</v>
      </c>
      <c r="J105" s="6">
        <v>69</v>
      </c>
      <c r="K105" s="6">
        <v>69</v>
      </c>
      <c r="L105" s="6">
        <v>4.1680000000000001</v>
      </c>
      <c r="M105" s="6">
        <v>4.1680000000000001</v>
      </c>
      <c r="N105" s="6">
        <v>4.1680000000000001</v>
      </c>
      <c r="O105" s="6">
        <v>4.1680000000000001</v>
      </c>
      <c r="P105" s="6">
        <v>0</v>
      </c>
      <c r="Q105" s="4" t="s">
        <v>26</v>
      </c>
      <c r="R105" s="4">
        <v>0</v>
      </c>
      <c r="S105" s="4" t="s">
        <v>185</v>
      </c>
      <c r="T105" s="4" t="s">
        <v>442</v>
      </c>
      <c r="U105" s="4">
        <v>4</v>
      </c>
      <c r="V105" s="4">
        <v>8</v>
      </c>
      <c r="W105" s="4">
        <v>65</v>
      </c>
    </row>
    <row r="106" spans="1:23" ht="11.25" customHeight="1" x14ac:dyDescent="0.3">
      <c r="A106" s="4" t="s">
        <v>21</v>
      </c>
      <c r="B106" s="4" t="s">
        <v>39</v>
      </c>
      <c r="C106" s="4" t="s">
        <v>42</v>
      </c>
      <c r="D106" s="4" t="s">
        <v>41</v>
      </c>
      <c r="E106" s="4" t="s">
        <v>25</v>
      </c>
      <c r="F106" s="4" t="s">
        <v>25</v>
      </c>
      <c r="G106" s="4" t="s">
        <v>25</v>
      </c>
      <c r="H106" s="4" t="s">
        <v>34</v>
      </c>
      <c r="I106" s="5">
        <v>44805</v>
      </c>
      <c r="J106" s="6">
        <v>69</v>
      </c>
      <c r="K106" s="6">
        <v>69</v>
      </c>
      <c r="L106" s="6">
        <v>3.67</v>
      </c>
      <c r="M106" s="6">
        <v>3.67</v>
      </c>
      <c r="N106" s="6">
        <v>3.67</v>
      </c>
      <c r="O106" s="6">
        <v>3.67</v>
      </c>
      <c r="P106" s="6">
        <v>0</v>
      </c>
      <c r="Q106" s="4" t="s">
        <v>26</v>
      </c>
      <c r="R106" s="4">
        <v>0</v>
      </c>
      <c r="S106" s="4" t="s">
        <v>186</v>
      </c>
      <c r="T106" s="4" t="s">
        <v>443</v>
      </c>
      <c r="U106" s="4">
        <v>4</v>
      </c>
      <c r="V106" s="4">
        <v>8</v>
      </c>
      <c r="W106" s="4">
        <v>65</v>
      </c>
    </row>
    <row r="107" spans="1:23" ht="11.25" customHeight="1" x14ac:dyDescent="0.3">
      <c r="A107" s="4" t="s">
        <v>57</v>
      </c>
      <c r="B107" s="4" t="s">
        <v>39</v>
      </c>
      <c r="C107" s="4" t="s">
        <v>42</v>
      </c>
      <c r="D107" s="4" t="s">
        <v>41</v>
      </c>
      <c r="E107" s="4" t="s">
        <v>25</v>
      </c>
      <c r="F107" s="4" t="s">
        <v>25</v>
      </c>
      <c r="G107" s="4" t="s">
        <v>25</v>
      </c>
      <c r="H107" s="4" t="s">
        <v>34</v>
      </c>
      <c r="I107" s="5">
        <v>44835</v>
      </c>
      <c r="J107" s="6">
        <v>69</v>
      </c>
      <c r="K107" s="6">
        <v>69</v>
      </c>
      <c r="L107" s="6">
        <v>3.67</v>
      </c>
      <c r="M107" s="6">
        <v>3.67</v>
      </c>
      <c r="N107" s="6">
        <v>3.67</v>
      </c>
      <c r="O107" s="6">
        <v>3.67</v>
      </c>
      <c r="P107" s="6">
        <v>0</v>
      </c>
      <c r="Q107" s="4" t="s">
        <v>26</v>
      </c>
      <c r="R107" s="4">
        <v>0</v>
      </c>
      <c r="S107" s="4" t="s">
        <v>187</v>
      </c>
      <c r="T107" s="4" t="s">
        <v>444</v>
      </c>
      <c r="U107" s="4">
        <v>4</v>
      </c>
      <c r="V107" s="4">
        <v>8</v>
      </c>
      <c r="W107" s="4">
        <v>65</v>
      </c>
    </row>
    <row r="108" spans="1:23" ht="11.25" customHeight="1" x14ac:dyDescent="0.3">
      <c r="A108" s="4" t="s">
        <v>21</v>
      </c>
      <c r="B108" s="4" t="s">
        <v>39</v>
      </c>
      <c r="C108" s="4" t="s">
        <v>42</v>
      </c>
      <c r="D108" s="4" t="s">
        <v>50</v>
      </c>
      <c r="E108" s="4" t="s">
        <v>51</v>
      </c>
      <c r="F108" s="4" t="s">
        <v>25</v>
      </c>
      <c r="G108" s="4" t="s">
        <v>25</v>
      </c>
      <c r="H108" s="4" t="s">
        <v>35</v>
      </c>
      <c r="I108" s="5">
        <v>44501</v>
      </c>
      <c r="J108" s="6">
        <v>505</v>
      </c>
      <c r="K108" s="6">
        <v>474.7</v>
      </c>
      <c r="L108" s="6">
        <v>222.565</v>
      </c>
      <c r="M108" s="6">
        <v>209.21109999999999</v>
      </c>
      <c r="N108" s="6">
        <v>222.565</v>
      </c>
      <c r="O108" s="6">
        <v>209.21109999999999</v>
      </c>
      <c r="P108" s="6">
        <v>0</v>
      </c>
      <c r="Q108" s="4" t="s">
        <v>26</v>
      </c>
      <c r="R108" s="4">
        <v>0</v>
      </c>
      <c r="S108" s="4" t="s">
        <v>164</v>
      </c>
      <c r="T108" s="4" t="s">
        <v>421</v>
      </c>
      <c r="U108" s="4">
        <v>5</v>
      </c>
      <c r="V108" s="4">
        <v>8</v>
      </c>
      <c r="W108" s="4">
        <v>66</v>
      </c>
    </row>
    <row r="109" spans="1:23" ht="11.25" customHeight="1" x14ac:dyDescent="0.3">
      <c r="A109" s="4" t="s">
        <v>21</v>
      </c>
      <c r="B109" s="4" t="s">
        <v>39</v>
      </c>
      <c r="C109" s="4" t="s">
        <v>42</v>
      </c>
      <c r="D109" s="4" t="s">
        <v>50</v>
      </c>
      <c r="E109" s="4" t="s">
        <v>51</v>
      </c>
      <c r="F109" s="4" t="s">
        <v>25</v>
      </c>
      <c r="G109" s="4" t="s">
        <v>25</v>
      </c>
      <c r="H109" s="4" t="s">
        <v>35</v>
      </c>
      <c r="I109" s="5">
        <v>44531</v>
      </c>
      <c r="J109" s="6">
        <v>504</v>
      </c>
      <c r="K109" s="6">
        <v>473.76</v>
      </c>
      <c r="L109" s="6">
        <v>220.71299999999999</v>
      </c>
      <c r="M109" s="6">
        <v>207.47022000000001</v>
      </c>
      <c r="N109" s="6">
        <v>220.71299999999999</v>
      </c>
      <c r="O109" s="6">
        <v>207.47022000000001</v>
      </c>
      <c r="P109" s="6">
        <v>0</v>
      </c>
      <c r="Q109" s="4" t="s">
        <v>26</v>
      </c>
      <c r="R109" s="4">
        <v>0</v>
      </c>
      <c r="S109" s="4" t="s">
        <v>165</v>
      </c>
      <c r="T109" s="4" t="s">
        <v>422</v>
      </c>
      <c r="U109" s="4">
        <v>5</v>
      </c>
      <c r="V109" s="4">
        <v>8</v>
      </c>
      <c r="W109" s="4">
        <v>66</v>
      </c>
    </row>
    <row r="110" spans="1:23" ht="11.25" customHeight="1" x14ac:dyDescent="0.3">
      <c r="A110" s="4" t="s">
        <v>21</v>
      </c>
      <c r="B110" s="4" t="s">
        <v>39</v>
      </c>
      <c r="C110" s="4" t="s">
        <v>42</v>
      </c>
      <c r="D110" s="4" t="s">
        <v>50</v>
      </c>
      <c r="E110" s="4" t="s">
        <v>51</v>
      </c>
      <c r="F110" s="4" t="s">
        <v>25</v>
      </c>
      <c r="G110" s="4" t="s">
        <v>25</v>
      </c>
      <c r="H110" s="4" t="s">
        <v>35</v>
      </c>
      <c r="I110" s="5">
        <v>44562</v>
      </c>
      <c r="J110" s="6">
        <v>505</v>
      </c>
      <c r="K110" s="6">
        <v>474.7</v>
      </c>
      <c r="L110" s="6">
        <v>224.678</v>
      </c>
      <c r="M110" s="6">
        <v>211.19731999999999</v>
      </c>
      <c r="N110" s="6">
        <v>224.678</v>
      </c>
      <c r="O110" s="6">
        <v>211.19731999999999</v>
      </c>
      <c r="P110" s="6">
        <v>0</v>
      </c>
      <c r="Q110" s="4" t="s">
        <v>26</v>
      </c>
      <c r="R110" s="4">
        <v>0</v>
      </c>
      <c r="S110" s="4" t="s">
        <v>166</v>
      </c>
      <c r="T110" s="4" t="s">
        <v>423</v>
      </c>
      <c r="U110" s="4">
        <v>5</v>
      </c>
      <c r="V110" s="4">
        <v>8</v>
      </c>
      <c r="W110" s="4">
        <v>66</v>
      </c>
    </row>
    <row r="111" spans="1:23" ht="11.25" customHeight="1" x14ac:dyDescent="0.3">
      <c r="A111" s="4" t="s">
        <v>21</v>
      </c>
      <c r="B111" s="4" t="s">
        <v>39</v>
      </c>
      <c r="C111" s="4" t="s">
        <v>42</v>
      </c>
      <c r="D111" s="4" t="s">
        <v>50</v>
      </c>
      <c r="E111" s="4" t="s">
        <v>51</v>
      </c>
      <c r="F111" s="4" t="s">
        <v>25</v>
      </c>
      <c r="G111" s="4" t="s">
        <v>25</v>
      </c>
      <c r="H111" s="4" t="s">
        <v>35</v>
      </c>
      <c r="I111" s="5">
        <v>44593</v>
      </c>
      <c r="J111" s="6">
        <v>501</v>
      </c>
      <c r="K111" s="6">
        <v>470.94</v>
      </c>
      <c r="L111" s="6">
        <v>190.18799999999999</v>
      </c>
      <c r="M111" s="6">
        <v>178.77672000000001</v>
      </c>
      <c r="N111" s="6">
        <v>190.18799999999999</v>
      </c>
      <c r="O111" s="6">
        <v>178.77672000000001</v>
      </c>
      <c r="P111" s="6">
        <v>0</v>
      </c>
      <c r="Q111" s="4" t="s">
        <v>26</v>
      </c>
      <c r="R111" s="4">
        <v>0</v>
      </c>
      <c r="S111" s="4" t="s">
        <v>167</v>
      </c>
      <c r="T111" s="4" t="s">
        <v>424</v>
      </c>
      <c r="U111" s="4">
        <v>5</v>
      </c>
      <c r="V111" s="4">
        <v>8</v>
      </c>
      <c r="W111" s="4">
        <v>66</v>
      </c>
    </row>
    <row r="112" spans="1:23" ht="11.25" customHeight="1" x14ac:dyDescent="0.3">
      <c r="A112" s="4" t="s">
        <v>21</v>
      </c>
      <c r="B112" s="4" t="s">
        <v>39</v>
      </c>
      <c r="C112" s="4" t="s">
        <v>42</v>
      </c>
      <c r="D112" s="4" t="s">
        <v>50</v>
      </c>
      <c r="E112" s="4" t="s">
        <v>51</v>
      </c>
      <c r="F112" s="4" t="s">
        <v>25</v>
      </c>
      <c r="G112" s="4" t="s">
        <v>25</v>
      </c>
      <c r="H112" s="4" t="s">
        <v>35</v>
      </c>
      <c r="I112" s="5">
        <v>44621</v>
      </c>
      <c r="J112" s="6">
        <v>501</v>
      </c>
      <c r="K112" s="6">
        <v>470.94</v>
      </c>
      <c r="L112" s="6">
        <v>215.52799999999999</v>
      </c>
      <c r="M112" s="6">
        <v>202.59631999999999</v>
      </c>
      <c r="N112" s="6">
        <v>215.52799999999999</v>
      </c>
      <c r="O112" s="6">
        <v>202.59631999999999</v>
      </c>
      <c r="P112" s="6">
        <v>0</v>
      </c>
      <c r="Q112" s="4" t="s">
        <v>26</v>
      </c>
      <c r="R112" s="4">
        <v>0</v>
      </c>
      <c r="S112" s="4" t="s">
        <v>168</v>
      </c>
      <c r="T112" s="4" t="s">
        <v>425</v>
      </c>
      <c r="U112" s="4">
        <v>5</v>
      </c>
      <c r="V112" s="4">
        <v>8</v>
      </c>
      <c r="W112" s="4">
        <v>66</v>
      </c>
    </row>
    <row r="113" spans="1:23" ht="11.25" customHeight="1" x14ac:dyDescent="0.3">
      <c r="A113" s="4" t="s">
        <v>21</v>
      </c>
      <c r="B113" s="4" t="s">
        <v>39</v>
      </c>
      <c r="C113" s="4" t="s">
        <v>42</v>
      </c>
      <c r="D113" s="4" t="s">
        <v>50</v>
      </c>
      <c r="E113" s="4" t="s">
        <v>51</v>
      </c>
      <c r="F113" s="4" t="s">
        <v>25</v>
      </c>
      <c r="G113" s="4" t="s">
        <v>25</v>
      </c>
      <c r="H113" s="4" t="s">
        <v>35</v>
      </c>
      <c r="I113" s="5">
        <v>44652</v>
      </c>
      <c r="J113" s="6">
        <v>502</v>
      </c>
      <c r="K113" s="6">
        <v>471.88</v>
      </c>
      <c r="L113" s="6">
        <v>224.44300000000001</v>
      </c>
      <c r="M113" s="6">
        <v>210.97641999999999</v>
      </c>
      <c r="N113" s="6">
        <v>224.44300000000001</v>
      </c>
      <c r="O113" s="6">
        <v>210.97641999999999</v>
      </c>
      <c r="P113" s="6">
        <v>0</v>
      </c>
      <c r="Q113" s="4" t="s">
        <v>26</v>
      </c>
      <c r="R113" s="4">
        <v>0</v>
      </c>
      <c r="S113" s="4" t="s">
        <v>169</v>
      </c>
      <c r="T113" s="4" t="s">
        <v>426</v>
      </c>
      <c r="U113" s="4">
        <v>5</v>
      </c>
      <c r="V113" s="4">
        <v>8</v>
      </c>
      <c r="W113" s="4">
        <v>66</v>
      </c>
    </row>
    <row r="114" spans="1:23" ht="11.25" customHeight="1" x14ac:dyDescent="0.3">
      <c r="A114" s="4" t="s">
        <v>21</v>
      </c>
      <c r="B114" s="4" t="s">
        <v>39</v>
      </c>
      <c r="C114" s="4" t="s">
        <v>42</v>
      </c>
      <c r="D114" s="4" t="s">
        <v>50</v>
      </c>
      <c r="E114" s="4" t="s">
        <v>51</v>
      </c>
      <c r="F114" s="4" t="s">
        <v>25</v>
      </c>
      <c r="G114" s="4" t="s">
        <v>25</v>
      </c>
      <c r="H114" s="4" t="s">
        <v>35</v>
      </c>
      <c r="I114" s="5">
        <v>44682</v>
      </c>
      <c r="J114" s="6">
        <v>501</v>
      </c>
      <c r="K114" s="6">
        <v>470.94</v>
      </c>
      <c r="L114" s="6">
        <v>230.06399999999999</v>
      </c>
      <c r="M114" s="6">
        <v>216.26016000000001</v>
      </c>
      <c r="N114" s="6">
        <v>230.06399999999999</v>
      </c>
      <c r="O114" s="6">
        <v>216.26016000000001</v>
      </c>
      <c r="P114" s="6">
        <v>0</v>
      </c>
      <c r="Q114" s="4" t="s">
        <v>26</v>
      </c>
      <c r="R114" s="4">
        <v>0</v>
      </c>
      <c r="S114" s="4" t="s">
        <v>170</v>
      </c>
      <c r="T114" s="4" t="s">
        <v>427</v>
      </c>
      <c r="U114" s="4">
        <v>5</v>
      </c>
      <c r="V114" s="4">
        <v>8</v>
      </c>
      <c r="W114" s="4">
        <v>66</v>
      </c>
    </row>
    <row r="115" spans="1:23" ht="11.25" customHeight="1" x14ac:dyDescent="0.3">
      <c r="A115" s="4" t="s">
        <v>21</v>
      </c>
      <c r="B115" s="4" t="s">
        <v>39</v>
      </c>
      <c r="C115" s="4" t="s">
        <v>42</v>
      </c>
      <c r="D115" s="4" t="s">
        <v>50</v>
      </c>
      <c r="E115" s="4" t="s">
        <v>51</v>
      </c>
      <c r="F115" s="4" t="s">
        <v>25</v>
      </c>
      <c r="G115" s="4" t="s">
        <v>25</v>
      </c>
      <c r="H115" s="4" t="s">
        <v>35</v>
      </c>
      <c r="I115" s="5">
        <v>44713</v>
      </c>
      <c r="J115" s="6">
        <v>501</v>
      </c>
      <c r="K115" s="6">
        <v>470.94</v>
      </c>
      <c r="L115" s="6">
        <v>217.18299999999999</v>
      </c>
      <c r="M115" s="6">
        <v>204.15201999999999</v>
      </c>
      <c r="N115" s="6">
        <v>217.18299999999999</v>
      </c>
      <c r="O115" s="6">
        <v>204.15201999999999</v>
      </c>
      <c r="P115" s="6">
        <v>0</v>
      </c>
      <c r="Q115" s="4" t="s">
        <v>26</v>
      </c>
      <c r="R115" s="4">
        <v>0</v>
      </c>
      <c r="S115" s="4" t="s">
        <v>171</v>
      </c>
      <c r="T115" s="4" t="s">
        <v>428</v>
      </c>
      <c r="U115" s="4">
        <v>5</v>
      </c>
      <c r="V115" s="4">
        <v>8</v>
      </c>
      <c r="W115" s="4">
        <v>66</v>
      </c>
    </row>
    <row r="116" spans="1:23" ht="11.25" customHeight="1" x14ac:dyDescent="0.3">
      <c r="A116" s="4" t="s">
        <v>21</v>
      </c>
      <c r="B116" s="4" t="s">
        <v>39</v>
      </c>
      <c r="C116" s="4" t="s">
        <v>42</v>
      </c>
      <c r="D116" s="4" t="s">
        <v>50</v>
      </c>
      <c r="E116" s="4" t="s">
        <v>51</v>
      </c>
      <c r="F116" s="4" t="s">
        <v>25</v>
      </c>
      <c r="G116" s="4" t="s">
        <v>25</v>
      </c>
      <c r="H116" s="4" t="s">
        <v>35</v>
      </c>
      <c r="I116" s="5">
        <v>44743</v>
      </c>
      <c r="J116" s="6">
        <v>500</v>
      </c>
      <c r="K116" s="6">
        <v>470</v>
      </c>
      <c r="L116" s="6">
        <v>227.62</v>
      </c>
      <c r="M116" s="6">
        <v>213.96279999999999</v>
      </c>
      <c r="N116" s="6">
        <v>227.62</v>
      </c>
      <c r="O116" s="6">
        <v>213.96279999999999</v>
      </c>
      <c r="P116" s="6">
        <v>0</v>
      </c>
      <c r="Q116" s="4" t="s">
        <v>26</v>
      </c>
      <c r="R116" s="4">
        <v>0</v>
      </c>
      <c r="S116" s="4" t="s">
        <v>172</v>
      </c>
      <c r="T116" s="4" t="s">
        <v>429</v>
      </c>
      <c r="U116" s="4">
        <v>5</v>
      </c>
      <c r="V116" s="4">
        <v>8</v>
      </c>
      <c r="W116" s="4">
        <v>66</v>
      </c>
    </row>
    <row r="117" spans="1:23" ht="11.25" customHeight="1" x14ac:dyDescent="0.3">
      <c r="A117" s="4" t="s">
        <v>21</v>
      </c>
      <c r="B117" s="4" t="s">
        <v>39</v>
      </c>
      <c r="C117" s="4" t="s">
        <v>42</v>
      </c>
      <c r="D117" s="4" t="s">
        <v>50</v>
      </c>
      <c r="E117" s="4" t="s">
        <v>51</v>
      </c>
      <c r="F117" s="4" t="s">
        <v>25</v>
      </c>
      <c r="G117" s="4" t="s">
        <v>25</v>
      </c>
      <c r="H117" s="4" t="s">
        <v>35</v>
      </c>
      <c r="I117" s="5">
        <v>44774</v>
      </c>
      <c r="J117" s="6">
        <v>500</v>
      </c>
      <c r="K117" s="6">
        <v>470</v>
      </c>
      <c r="L117" s="6">
        <v>242.39400000000001</v>
      </c>
      <c r="M117" s="6">
        <v>227.85035999999999</v>
      </c>
      <c r="N117" s="6">
        <v>242.39400000000001</v>
      </c>
      <c r="O117" s="6">
        <v>227.85035999999999</v>
      </c>
      <c r="P117" s="6">
        <v>0</v>
      </c>
      <c r="Q117" s="4" t="s">
        <v>26</v>
      </c>
      <c r="R117" s="4">
        <v>0</v>
      </c>
      <c r="S117" s="4" t="s">
        <v>173</v>
      </c>
      <c r="T117" s="4" t="s">
        <v>430</v>
      </c>
      <c r="U117" s="4">
        <v>5</v>
      </c>
      <c r="V117" s="4">
        <v>8</v>
      </c>
      <c r="W117" s="4">
        <v>66</v>
      </c>
    </row>
    <row r="118" spans="1:23" ht="11.25" customHeight="1" x14ac:dyDescent="0.3">
      <c r="A118" s="4" t="s">
        <v>21</v>
      </c>
      <c r="B118" s="4" t="s">
        <v>39</v>
      </c>
      <c r="C118" s="4" t="s">
        <v>42</v>
      </c>
      <c r="D118" s="4" t="s">
        <v>50</v>
      </c>
      <c r="E118" s="4" t="s">
        <v>51</v>
      </c>
      <c r="F118" s="4" t="s">
        <v>25</v>
      </c>
      <c r="G118" s="4" t="s">
        <v>25</v>
      </c>
      <c r="H118" s="4" t="s">
        <v>35</v>
      </c>
      <c r="I118" s="5">
        <v>44805</v>
      </c>
      <c r="J118" s="6">
        <v>500</v>
      </c>
      <c r="K118" s="6">
        <v>470</v>
      </c>
      <c r="L118" s="6">
        <v>249.33799999999999</v>
      </c>
      <c r="M118" s="6">
        <v>234.37772000000001</v>
      </c>
      <c r="N118" s="6">
        <v>249.33799999999999</v>
      </c>
      <c r="O118" s="6">
        <v>234.37772000000001</v>
      </c>
      <c r="P118" s="6">
        <v>0</v>
      </c>
      <c r="Q118" s="4" t="s">
        <v>26</v>
      </c>
      <c r="R118" s="4">
        <v>0</v>
      </c>
      <c r="S118" s="4" t="s">
        <v>174</v>
      </c>
      <c r="T118" s="4" t="s">
        <v>431</v>
      </c>
      <c r="U118" s="4">
        <v>5</v>
      </c>
      <c r="V118" s="4">
        <v>8</v>
      </c>
      <c r="W118" s="4">
        <v>66</v>
      </c>
    </row>
    <row r="119" spans="1:23" ht="11.25" customHeight="1" x14ac:dyDescent="0.3">
      <c r="A119" s="4" t="s">
        <v>57</v>
      </c>
      <c r="B119" s="4" t="s">
        <v>39</v>
      </c>
      <c r="C119" s="4" t="s">
        <v>42</v>
      </c>
      <c r="D119" s="4" t="s">
        <v>50</v>
      </c>
      <c r="E119" s="4" t="s">
        <v>51</v>
      </c>
      <c r="F119" s="4" t="s">
        <v>25</v>
      </c>
      <c r="G119" s="4" t="s">
        <v>25</v>
      </c>
      <c r="H119" s="4" t="s">
        <v>35</v>
      </c>
      <c r="I119" s="5">
        <v>44835</v>
      </c>
      <c r="J119" s="6">
        <v>500</v>
      </c>
      <c r="K119" s="6">
        <v>470</v>
      </c>
      <c r="L119" s="6">
        <v>249.33799999999999</v>
      </c>
      <c r="M119" s="6">
        <v>234.37772000000001</v>
      </c>
      <c r="N119" s="6">
        <v>249.33799999999999</v>
      </c>
      <c r="O119" s="6">
        <v>234.37772000000001</v>
      </c>
      <c r="P119" s="6">
        <v>0</v>
      </c>
      <c r="Q119" s="4" t="s">
        <v>26</v>
      </c>
      <c r="R119" s="4">
        <v>0</v>
      </c>
      <c r="S119" s="4" t="s">
        <v>175</v>
      </c>
      <c r="T119" s="4" t="s">
        <v>432</v>
      </c>
      <c r="U119" s="4">
        <v>5</v>
      </c>
      <c r="V119" s="4">
        <v>8</v>
      </c>
      <c r="W119" s="4">
        <v>66</v>
      </c>
    </row>
    <row r="120" spans="1:23" ht="11.25" customHeight="1" x14ac:dyDescent="0.3">
      <c r="A120" s="4" t="s">
        <v>21</v>
      </c>
      <c r="B120" s="4" t="s">
        <v>39</v>
      </c>
      <c r="C120" s="4" t="s">
        <v>42</v>
      </c>
      <c r="D120" s="4" t="s">
        <v>50</v>
      </c>
      <c r="E120" s="4" t="s">
        <v>51</v>
      </c>
      <c r="F120" s="4" t="s">
        <v>25</v>
      </c>
      <c r="G120" s="4" t="s">
        <v>25</v>
      </c>
      <c r="H120" s="4" t="s">
        <v>34</v>
      </c>
      <c r="I120" s="5">
        <v>44501</v>
      </c>
      <c r="J120" s="6">
        <v>504</v>
      </c>
      <c r="K120" s="6">
        <v>473.76</v>
      </c>
      <c r="L120" s="6">
        <v>26.707000000000001</v>
      </c>
      <c r="M120" s="6">
        <v>25.104579999999999</v>
      </c>
      <c r="N120" s="6">
        <v>26.707000000000001</v>
      </c>
      <c r="O120" s="6">
        <v>25.104579999999999</v>
      </c>
      <c r="P120" s="6">
        <v>0</v>
      </c>
      <c r="Q120" s="4" t="s">
        <v>26</v>
      </c>
      <c r="R120" s="4">
        <v>0</v>
      </c>
      <c r="S120" s="4" t="s">
        <v>176</v>
      </c>
      <c r="T120" s="4" t="s">
        <v>433</v>
      </c>
      <c r="U120" s="4">
        <v>4</v>
      </c>
      <c r="V120" s="4">
        <v>8</v>
      </c>
      <c r="W120" s="4">
        <v>65</v>
      </c>
    </row>
    <row r="121" spans="1:23" ht="11.25" customHeight="1" x14ac:dyDescent="0.3">
      <c r="A121" s="4" t="s">
        <v>21</v>
      </c>
      <c r="B121" s="4" t="s">
        <v>39</v>
      </c>
      <c r="C121" s="4" t="s">
        <v>42</v>
      </c>
      <c r="D121" s="4" t="s">
        <v>50</v>
      </c>
      <c r="E121" s="4" t="s">
        <v>51</v>
      </c>
      <c r="F121" s="4" t="s">
        <v>25</v>
      </c>
      <c r="G121" s="4" t="s">
        <v>25</v>
      </c>
      <c r="H121" s="4" t="s">
        <v>34</v>
      </c>
      <c r="I121" s="5">
        <v>44531</v>
      </c>
      <c r="J121" s="6">
        <v>503</v>
      </c>
      <c r="K121" s="6">
        <v>472.82</v>
      </c>
      <c r="L121" s="6">
        <v>30.75</v>
      </c>
      <c r="M121" s="6">
        <v>28.905000000000001</v>
      </c>
      <c r="N121" s="6">
        <v>30.75</v>
      </c>
      <c r="O121" s="6">
        <v>28.905000000000001</v>
      </c>
      <c r="P121" s="6">
        <v>0</v>
      </c>
      <c r="Q121" s="4" t="s">
        <v>26</v>
      </c>
      <c r="R121" s="4">
        <v>0</v>
      </c>
      <c r="S121" s="4" t="s">
        <v>177</v>
      </c>
      <c r="T121" s="4" t="s">
        <v>434</v>
      </c>
      <c r="U121" s="4">
        <v>4</v>
      </c>
      <c r="V121" s="4">
        <v>8</v>
      </c>
      <c r="W121" s="4">
        <v>65</v>
      </c>
    </row>
    <row r="122" spans="1:23" ht="11.25" customHeight="1" x14ac:dyDescent="0.3">
      <c r="A122" s="4" t="s">
        <v>21</v>
      </c>
      <c r="B122" s="4" t="s">
        <v>39</v>
      </c>
      <c r="C122" s="4" t="s">
        <v>42</v>
      </c>
      <c r="D122" s="4" t="s">
        <v>50</v>
      </c>
      <c r="E122" s="4" t="s">
        <v>51</v>
      </c>
      <c r="F122" s="4" t="s">
        <v>25</v>
      </c>
      <c r="G122" s="4" t="s">
        <v>25</v>
      </c>
      <c r="H122" s="4" t="s">
        <v>34</v>
      </c>
      <c r="I122" s="5">
        <v>44562</v>
      </c>
      <c r="J122" s="6">
        <v>503</v>
      </c>
      <c r="K122" s="6">
        <v>472.82</v>
      </c>
      <c r="L122" s="6">
        <v>27.852</v>
      </c>
      <c r="M122" s="6">
        <v>26.180879999999998</v>
      </c>
      <c r="N122" s="6">
        <v>27.852</v>
      </c>
      <c r="O122" s="6">
        <v>26.180879999999998</v>
      </c>
      <c r="P122" s="6">
        <v>0</v>
      </c>
      <c r="Q122" s="4" t="s">
        <v>26</v>
      </c>
      <c r="R122" s="4">
        <v>0</v>
      </c>
      <c r="S122" s="4" t="s">
        <v>178</v>
      </c>
      <c r="T122" s="4" t="s">
        <v>435</v>
      </c>
      <c r="U122" s="4">
        <v>4</v>
      </c>
      <c r="V122" s="4">
        <v>8</v>
      </c>
      <c r="W122" s="4">
        <v>65</v>
      </c>
    </row>
    <row r="123" spans="1:23" ht="11.25" customHeight="1" x14ac:dyDescent="0.3">
      <c r="A123" s="4" t="s">
        <v>21</v>
      </c>
      <c r="B123" s="4" t="s">
        <v>39</v>
      </c>
      <c r="C123" s="4" t="s">
        <v>42</v>
      </c>
      <c r="D123" s="4" t="s">
        <v>50</v>
      </c>
      <c r="E123" s="4" t="s">
        <v>51</v>
      </c>
      <c r="F123" s="4" t="s">
        <v>25</v>
      </c>
      <c r="G123" s="4" t="s">
        <v>25</v>
      </c>
      <c r="H123" s="4" t="s">
        <v>34</v>
      </c>
      <c r="I123" s="5">
        <v>44593</v>
      </c>
      <c r="J123" s="6">
        <v>496</v>
      </c>
      <c r="K123" s="6">
        <v>466.24</v>
      </c>
      <c r="L123" s="6">
        <v>25.864999999999998</v>
      </c>
      <c r="M123" s="6">
        <v>24.313099999999999</v>
      </c>
      <c r="N123" s="6">
        <v>25.864999999999998</v>
      </c>
      <c r="O123" s="6">
        <v>24.313099999999999</v>
      </c>
      <c r="P123" s="6">
        <v>0</v>
      </c>
      <c r="Q123" s="4" t="s">
        <v>26</v>
      </c>
      <c r="R123" s="4">
        <v>0</v>
      </c>
      <c r="S123" s="4" t="s">
        <v>179</v>
      </c>
      <c r="T123" s="4" t="s">
        <v>436</v>
      </c>
      <c r="U123" s="4">
        <v>4</v>
      </c>
      <c r="V123" s="4">
        <v>8</v>
      </c>
      <c r="W123" s="4">
        <v>65</v>
      </c>
    </row>
    <row r="124" spans="1:23" ht="11.25" customHeight="1" x14ac:dyDescent="0.3">
      <c r="A124" s="4" t="s">
        <v>21</v>
      </c>
      <c r="B124" s="4" t="s">
        <v>39</v>
      </c>
      <c r="C124" s="4" t="s">
        <v>42</v>
      </c>
      <c r="D124" s="4" t="s">
        <v>50</v>
      </c>
      <c r="E124" s="4" t="s">
        <v>51</v>
      </c>
      <c r="F124" s="4" t="s">
        <v>25</v>
      </c>
      <c r="G124" s="4" t="s">
        <v>25</v>
      </c>
      <c r="H124" s="4" t="s">
        <v>34</v>
      </c>
      <c r="I124" s="5">
        <v>44621</v>
      </c>
      <c r="J124" s="6">
        <v>496</v>
      </c>
      <c r="K124" s="6">
        <v>466.24</v>
      </c>
      <c r="L124" s="6">
        <v>28.08</v>
      </c>
      <c r="M124" s="6">
        <v>26.395199999999999</v>
      </c>
      <c r="N124" s="6">
        <v>28.08</v>
      </c>
      <c r="O124" s="6">
        <v>26.395199999999999</v>
      </c>
      <c r="P124" s="6">
        <v>0</v>
      </c>
      <c r="Q124" s="4" t="s">
        <v>26</v>
      </c>
      <c r="R124" s="4">
        <v>0</v>
      </c>
      <c r="S124" s="4" t="s">
        <v>180</v>
      </c>
      <c r="T124" s="4" t="s">
        <v>437</v>
      </c>
      <c r="U124" s="4">
        <v>4</v>
      </c>
      <c r="V124" s="4">
        <v>8</v>
      </c>
      <c r="W124" s="4">
        <v>65</v>
      </c>
    </row>
    <row r="125" spans="1:23" ht="11.25" customHeight="1" x14ac:dyDescent="0.3">
      <c r="A125" s="4" t="s">
        <v>21</v>
      </c>
      <c r="B125" s="4" t="s">
        <v>39</v>
      </c>
      <c r="C125" s="4" t="s">
        <v>42</v>
      </c>
      <c r="D125" s="4" t="s">
        <v>50</v>
      </c>
      <c r="E125" s="4" t="s">
        <v>51</v>
      </c>
      <c r="F125" s="4" t="s">
        <v>25</v>
      </c>
      <c r="G125" s="4" t="s">
        <v>25</v>
      </c>
      <c r="H125" s="4" t="s">
        <v>34</v>
      </c>
      <c r="I125" s="5">
        <v>44652</v>
      </c>
      <c r="J125" s="6">
        <v>496</v>
      </c>
      <c r="K125" s="6">
        <v>466.24</v>
      </c>
      <c r="L125" s="6">
        <v>24.72</v>
      </c>
      <c r="M125" s="6">
        <v>23.236799999999999</v>
      </c>
      <c r="N125" s="6">
        <v>24.72</v>
      </c>
      <c r="O125" s="6">
        <v>23.236799999999999</v>
      </c>
      <c r="P125" s="6">
        <v>0</v>
      </c>
      <c r="Q125" s="4" t="s">
        <v>26</v>
      </c>
      <c r="R125" s="4">
        <v>0</v>
      </c>
      <c r="S125" s="4" t="s">
        <v>181</v>
      </c>
      <c r="T125" s="4" t="s">
        <v>438</v>
      </c>
      <c r="U125" s="4">
        <v>4</v>
      </c>
      <c r="V125" s="4">
        <v>8</v>
      </c>
      <c r="W125" s="4">
        <v>65</v>
      </c>
    </row>
    <row r="126" spans="1:23" ht="11.25" customHeight="1" x14ac:dyDescent="0.3">
      <c r="A126" s="4" t="s">
        <v>21</v>
      </c>
      <c r="B126" s="4" t="s">
        <v>39</v>
      </c>
      <c r="C126" s="4" t="s">
        <v>42</v>
      </c>
      <c r="D126" s="4" t="s">
        <v>50</v>
      </c>
      <c r="E126" s="4" t="s">
        <v>51</v>
      </c>
      <c r="F126" s="4" t="s">
        <v>25</v>
      </c>
      <c r="G126" s="4" t="s">
        <v>25</v>
      </c>
      <c r="H126" s="4" t="s">
        <v>34</v>
      </c>
      <c r="I126" s="5">
        <v>44682</v>
      </c>
      <c r="J126" s="6">
        <v>495</v>
      </c>
      <c r="K126" s="6">
        <v>465.3</v>
      </c>
      <c r="L126" s="6">
        <v>28.018000000000001</v>
      </c>
      <c r="M126" s="6">
        <v>26.336919999999999</v>
      </c>
      <c r="N126" s="6">
        <v>28.018000000000001</v>
      </c>
      <c r="O126" s="6">
        <v>26.336919999999999</v>
      </c>
      <c r="P126" s="6">
        <v>0</v>
      </c>
      <c r="Q126" s="4" t="s">
        <v>26</v>
      </c>
      <c r="R126" s="4">
        <v>0</v>
      </c>
      <c r="S126" s="4" t="s">
        <v>182</v>
      </c>
      <c r="T126" s="4" t="s">
        <v>439</v>
      </c>
      <c r="U126" s="4">
        <v>4</v>
      </c>
      <c r="V126" s="4">
        <v>8</v>
      </c>
      <c r="W126" s="4">
        <v>65</v>
      </c>
    </row>
    <row r="127" spans="1:23" ht="11.25" customHeight="1" x14ac:dyDescent="0.3">
      <c r="A127" s="4" t="s">
        <v>21</v>
      </c>
      <c r="B127" s="4" t="s">
        <v>39</v>
      </c>
      <c r="C127" s="4" t="s">
        <v>42</v>
      </c>
      <c r="D127" s="4" t="s">
        <v>50</v>
      </c>
      <c r="E127" s="4" t="s">
        <v>51</v>
      </c>
      <c r="F127" s="4" t="s">
        <v>25</v>
      </c>
      <c r="G127" s="4" t="s">
        <v>25</v>
      </c>
      <c r="H127" s="4" t="s">
        <v>34</v>
      </c>
      <c r="I127" s="5">
        <v>44713</v>
      </c>
      <c r="J127" s="6">
        <v>495</v>
      </c>
      <c r="K127" s="6">
        <v>465.3</v>
      </c>
      <c r="L127" s="6">
        <v>26.640999999999998</v>
      </c>
      <c r="M127" s="6">
        <v>25.042539999999999</v>
      </c>
      <c r="N127" s="6">
        <v>26.640999999999998</v>
      </c>
      <c r="O127" s="6">
        <v>25.042539999999999</v>
      </c>
      <c r="P127" s="6">
        <v>0</v>
      </c>
      <c r="Q127" s="4" t="s">
        <v>26</v>
      </c>
      <c r="R127" s="4">
        <v>0</v>
      </c>
      <c r="S127" s="4" t="s">
        <v>183</v>
      </c>
      <c r="T127" s="4" t="s">
        <v>440</v>
      </c>
      <c r="U127" s="4">
        <v>4</v>
      </c>
      <c r="V127" s="4">
        <v>8</v>
      </c>
      <c r="W127" s="4">
        <v>65</v>
      </c>
    </row>
    <row r="128" spans="1:23" ht="11.25" customHeight="1" x14ac:dyDescent="0.3">
      <c r="A128" s="4" t="s">
        <v>21</v>
      </c>
      <c r="B128" s="4" t="s">
        <v>39</v>
      </c>
      <c r="C128" s="4" t="s">
        <v>42</v>
      </c>
      <c r="D128" s="4" t="s">
        <v>50</v>
      </c>
      <c r="E128" s="4" t="s">
        <v>51</v>
      </c>
      <c r="F128" s="4" t="s">
        <v>25</v>
      </c>
      <c r="G128" s="4" t="s">
        <v>25</v>
      </c>
      <c r="H128" s="4" t="s">
        <v>34</v>
      </c>
      <c r="I128" s="5">
        <v>44743</v>
      </c>
      <c r="J128" s="6">
        <v>495</v>
      </c>
      <c r="K128" s="6">
        <v>465.3</v>
      </c>
      <c r="L128" s="6">
        <v>26.555</v>
      </c>
      <c r="M128" s="6">
        <v>24.9617</v>
      </c>
      <c r="N128" s="6">
        <v>26.555</v>
      </c>
      <c r="O128" s="6">
        <v>24.9617</v>
      </c>
      <c r="P128" s="6">
        <v>0</v>
      </c>
      <c r="Q128" s="4" t="s">
        <v>26</v>
      </c>
      <c r="R128" s="4">
        <v>0</v>
      </c>
      <c r="S128" s="4" t="s">
        <v>184</v>
      </c>
      <c r="T128" s="4" t="s">
        <v>441</v>
      </c>
      <c r="U128" s="4">
        <v>4</v>
      </c>
      <c r="V128" s="4">
        <v>8</v>
      </c>
      <c r="W128" s="4">
        <v>65</v>
      </c>
    </row>
    <row r="129" spans="1:23" ht="11.25" customHeight="1" x14ac:dyDescent="0.3">
      <c r="A129" s="4" t="s">
        <v>21</v>
      </c>
      <c r="B129" s="4" t="s">
        <v>39</v>
      </c>
      <c r="C129" s="4" t="s">
        <v>42</v>
      </c>
      <c r="D129" s="4" t="s">
        <v>50</v>
      </c>
      <c r="E129" s="4" t="s">
        <v>51</v>
      </c>
      <c r="F129" s="4" t="s">
        <v>25</v>
      </c>
      <c r="G129" s="4" t="s">
        <v>25</v>
      </c>
      <c r="H129" s="4" t="s">
        <v>34</v>
      </c>
      <c r="I129" s="5">
        <v>44774</v>
      </c>
      <c r="J129" s="6">
        <v>495</v>
      </c>
      <c r="K129" s="6">
        <v>465.3</v>
      </c>
      <c r="L129" s="6">
        <v>28.975000000000001</v>
      </c>
      <c r="M129" s="6">
        <v>27.236499999999999</v>
      </c>
      <c r="N129" s="6">
        <v>28.975000000000001</v>
      </c>
      <c r="O129" s="6">
        <v>27.236499999999999</v>
      </c>
      <c r="P129" s="6">
        <v>0</v>
      </c>
      <c r="Q129" s="4" t="s">
        <v>26</v>
      </c>
      <c r="R129" s="4">
        <v>0</v>
      </c>
      <c r="S129" s="4" t="s">
        <v>185</v>
      </c>
      <c r="T129" s="4" t="s">
        <v>442</v>
      </c>
      <c r="U129" s="4">
        <v>4</v>
      </c>
      <c r="V129" s="4">
        <v>8</v>
      </c>
      <c r="W129" s="4">
        <v>65</v>
      </c>
    </row>
    <row r="130" spans="1:23" ht="11.25" customHeight="1" x14ac:dyDescent="0.3">
      <c r="A130" s="4" t="s">
        <v>21</v>
      </c>
      <c r="B130" s="4" t="s">
        <v>39</v>
      </c>
      <c r="C130" s="4" t="s">
        <v>42</v>
      </c>
      <c r="D130" s="4" t="s">
        <v>50</v>
      </c>
      <c r="E130" s="4" t="s">
        <v>51</v>
      </c>
      <c r="F130" s="4" t="s">
        <v>25</v>
      </c>
      <c r="G130" s="4" t="s">
        <v>25</v>
      </c>
      <c r="H130" s="4" t="s">
        <v>34</v>
      </c>
      <c r="I130" s="5">
        <v>44805</v>
      </c>
      <c r="J130" s="6">
        <v>495</v>
      </c>
      <c r="K130" s="6">
        <v>465.3</v>
      </c>
      <c r="L130" s="6">
        <v>26.323</v>
      </c>
      <c r="M130" s="6">
        <v>24.74362</v>
      </c>
      <c r="N130" s="6">
        <v>26.323</v>
      </c>
      <c r="O130" s="6">
        <v>24.74362</v>
      </c>
      <c r="P130" s="6">
        <v>0</v>
      </c>
      <c r="Q130" s="4" t="s">
        <v>26</v>
      </c>
      <c r="R130" s="4">
        <v>0</v>
      </c>
      <c r="S130" s="4" t="s">
        <v>186</v>
      </c>
      <c r="T130" s="4" t="s">
        <v>443</v>
      </c>
      <c r="U130" s="4">
        <v>4</v>
      </c>
      <c r="V130" s="4">
        <v>8</v>
      </c>
      <c r="W130" s="4">
        <v>65</v>
      </c>
    </row>
    <row r="131" spans="1:23" ht="11.25" customHeight="1" x14ac:dyDescent="0.3">
      <c r="A131" s="4" t="s">
        <v>57</v>
      </c>
      <c r="B131" s="4" t="s">
        <v>39</v>
      </c>
      <c r="C131" s="4" t="s">
        <v>42</v>
      </c>
      <c r="D131" s="4" t="s">
        <v>50</v>
      </c>
      <c r="E131" s="4" t="s">
        <v>51</v>
      </c>
      <c r="F131" s="4" t="s">
        <v>25</v>
      </c>
      <c r="G131" s="4" t="s">
        <v>25</v>
      </c>
      <c r="H131" s="4" t="s">
        <v>34</v>
      </c>
      <c r="I131" s="5">
        <v>44835</v>
      </c>
      <c r="J131" s="6">
        <v>495</v>
      </c>
      <c r="K131" s="6">
        <v>465.3</v>
      </c>
      <c r="L131" s="6">
        <v>26.323</v>
      </c>
      <c r="M131" s="6">
        <v>24.74362</v>
      </c>
      <c r="N131" s="6">
        <v>26.323</v>
      </c>
      <c r="O131" s="6">
        <v>24.74362</v>
      </c>
      <c r="P131" s="6">
        <v>0</v>
      </c>
      <c r="Q131" s="4" t="s">
        <v>26</v>
      </c>
      <c r="R131" s="4">
        <v>0</v>
      </c>
      <c r="S131" s="4" t="s">
        <v>187</v>
      </c>
      <c r="T131" s="4" t="s">
        <v>444</v>
      </c>
      <c r="U131" s="4">
        <v>4</v>
      </c>
      <c r="V131" s="4">
        <v>8</v>
      </c>
      <c r="W131" s="4">
        <v>65</v>
      </c>
    </row>
    <row r="132" spans="1:23" ht="11.25" customHeight="1" x14ac:dyDescent="0.3">
      <c r="A132" s="4" t="s">
        <v>21</v>
      </c>
      <c r="B132" s="4" t="s">
        <v>39</v>
      </c>
      <c r="C132" s="4" t="s">
        <v>40</v>
      </c>
      <c r="D132" s="4" t="s">
        <v>41</v>
      </c>
      <c r="E132" s="4" t="s">
        <v>25</v>
      </c>
      <c r="F132" s="4" t="s">
        <v>25</v>
      </c>
      <c r="G132" s="4" t="s">
        <v>25</v>
      </c>
      <c r="H132" s="4" t="s">
        <v>35</v>
      </c>
      <c r="I132" s="5">
        <v>44501</v>
      </c>
      <c r="J132" s="6">
        <v>0</v>
      </c>
      <c r="K132" s="6">
        <v>0</v>
      </c>
      <c r="L132" s="6">
        <v>250.30500000000001</v>
      </c>
      <c r="M132" s="6">
        <v>250.30500000000001</v>
      </c>
      <c r="N132" s="6">
        <v>250.30500000000001</v>
      </c>
      <c r="O132" s="6">
        <v>250.30500000000001</v>
      </c>
      <c r="P132" s="6">
        <v>0</v>
      </c>
      <c r="Q132" s="4" t="s">
        <v>26</v>
      </c>
      <c r="R132" s="4">
        <v>0</v>
      </c>
      <c r="S132" s="4" t="s">
        <v>188</v>
      </c>
      <c r="T132" s="4" t="s">
        <v>421</v>
      </c>
      <c r="U132" s="4">
        <v>0</v>
      </c>
      <c r="V132" s="4">
        <v>17</v>
      </c>
      <c r="W132" s="4">
        <v>66</v>
      </c>
    </row>
    <row r="133" spans="1:23" ht="11.25" customHeight="1" x14ac:dyDescent="0.3">
      <c r="A133" s="4" t="s">
        <v>28</v>
      </c>
      <c r="B133" s="4" t="s">
        <v>39</v>
      </c>
      <c r="C133" s="4" t="s">
        <v>40</v>
      </c>
      <c r="D133" s="4" t="s">
        <v>41</v>
      </c>
      <c r="E133" s="4" t="s">
        <v>25</v>
      </c>
      <c r="F133" s="4" t="s">
        <v>25</v>
      </c>
      <c r="G133" s="4" t="s">
        <v>25</v>
      </c>
      <c r="H133" s="4" t="s">
        <v>35</v>
      </c>
      <c r="I133" s="5">
        <v>44501</v>
      </c>
      <c r="J133" s="6">
        <v>0</v>
      </c>
      <c r="K133" s="6">
        <v>0</v>
      </c>
      <c r="L133" s="6">
        <v>36.600999999999999</v>
      </c>
      <c r="M133" s="6">
        <v>36.600999999999999</v>
      </c>
      <c r="N133" s="6">
        <v>36.600999999999999</v>
      </c>
      <c r="O133" s="6">
        <v>36.600999999999999</v>
      </c>
      <c r="P133" s="6">
        <v>0</v>
      </c>
      <c r="Q133" s="4" t="s">
        <v>26</v>
      </c>
      <c r="R133" s="4">
        <v>0</v>
      </c>
      <c r="S133" s="4" t="s">
        <v>188</v>
      </c>
      <c r="T133" s="4" t="s">
        <v>421</v>
      </c>
      <c r="U133" s="4">
        <v>0</v>
      </c>
      <c r="V133" s="4">
        <v>17</v>
      </c>
      <c r="W133" s="4">
        <v>66</v>
      </c>
    </row>
    <row r="134" spans="1:23" ht="11.25" customHeight="1" x14ac:dyDescent="0.3">
      <c r="A134" s="4" t="s">
        <v>21</v>
      </c>
      <c r="B134" s="4" t="s">
        <v>39</v>
      </c>
      <c r="C134" s="4" t="s">
        <v>40</v>
      </c>
      <c r="D134" s="4" t="s">
        <v>41</v>
      </c>
      <c r="E134" s="4" t="s">
        <v>25</v>
      </c>
      <c r="F134" s="4" t="s">
        <v>25</v>
      </c>
      <c r="G134" s="4" t="s">
        <v>25</v>
      </c>
      <c r="H134" s="4" t="s">
        <v>35</v>
      </c>
      <c r="I134" s="5">
        <v>44531</v>
      </c>
      <c r="J134" s="6">
        <v>0</v>
      </c>
      <c r="K134" s="6">
        <v>0</v>
      </c>
      <c r="L134" s="6">
        <v>248.839</v>
      </c>
      <c r="M134" s="6">
        <v>248.839</v>
      </c>
      <c r="N134" s="6">
        <v>248.839</v>
      </c>
      <c r="O134" s="6">
        <v>248.839</v>
      </c>
      <c r="P134" s="6">
        <v>0</v>
      </c>
      <c r="Q134" s="4" t="s">
        <v>26</v>
      </c>
      <c r="R134" s="4">
        <v>0</v>
      </c>
      <c r="S134" s="4" t="s">
        <v>189</v>
      </c>
      <c r="T134" s="4" t="s">
        <v>422</v>
      </c>
      <c r="U134" s="4">
        <v>0</v>
      </c>
      <c r="V134" s="4">
        <v>17</v>
      </c>
      <c r="W134" s="4">
        <v>66</v>
      </c>
    </row>
    <row r="135" spans="1:23" ht="11.25" customHeight="1" x14ac:dyDescent="0.3">
      <c r="A135" s="4" t="s">
        <v>28</v>
      </c>
      <c r="B135" s="4" t="s">
        <v>39</v>
      </c>
      <c r="C135" s="4" t="s">
        <v>40</v>
      </c>
      <c r="D135" s="4" t="s">
        <v>41</v>
      </c>
      <c r="E135" s="4" t="s">
        <v>25</v>
      </c>
      <c r="F135" s="4" t="s">
        <v>25</v>
      </c>
      <c r="G135" s="4" t="s">
        <v>25</v>
      </c>
      <c r="H135" s="4" t="s">
        <v>35</v>
      </c>
      <c r="I135" s="5">
        <v>44531</v>
      </c>
      <c r="J135" s="6">
        <v>0</v>
      </c>
      <c r="K135" s="6">
        <v>0</v>
      </c>
      <c r="L135" s="6">
        <v>42.082000000000001</v>
      </c>
      <c r="M135" s="6">
        <v>42.082000000000001</v>
      </c>
      <c r="N135" s="6">
        <v>42.082000000000001</v>
      </c>
      <c r="O135" s="6">
        <v>42.082000000000001</v>
      </c>
      <c r="P135" s="6">
        <v>0</v>
      </c>
      <c r="Q135" s="4" t="s">
        <v>26</v>
      </c>
      <c r="R135" s="4">
        <v>0</v>
      </c>
      <c r="S135" s="4" t="s">
        <v>189</v>
      </c>
      <c r="T135" s="4" t="s">
        <v>422</v>
      </c>
      <c r="U135" s="4">
        <v>0</v>
      </c>
      <c r="V135" s="4">
        <v>17</v>
      </c>
      <c r="W135" s="4">
        <v>66</v>
      </c>
    </row>
    <row r="136" spans="1:23" ht="11.25" customHeight="1" x14ac:dyDescent="0.3">
      <c r="A136" s="4" t="s">
        <v>21</v>
      </c>
      <c r="B136" s="4" t="s">
        <v>39</v>
      </c>
      <c r="C136" s="4" t="s">
        <v>40</v>
      </c>
      <c r="D136" s="4" t="s">
        <v>41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44562</v>
      </c>
      <c r="J136" s="6">
        <v>0</v>
      </c>
      <c r="K136" s="6">
        <v>0</v>
      </c>
      <c r="L136" s="6">
        <v>260.56799999999998</v>
      </c>
      <c r="M136" s="6">
        <v>260.56799999999998</v>
      </c>
      <c r="N136" s="6">
        <v>260.56799999999998</v>
      </c>
      <c r="O136" s="6">
        <v>260.56799999999998</v>
      </c>
      <c r="P136" s="6">
        <v>0</v>
      </c>
      <c r="Q136" s="4" t="s">
        <v>26</v>
      </c>
      <c r="R136" s="4">
        <v>0</v>
      </c>
      <c r="S136" s="4" t="s">
        <v>190</v>
      </c>
      <c r="T136" s="4" t="s">
        <v>423</v>
      </c>
      <c r="U136" s="4">
        <v>0</v>
      </c>
      <c r="V136" s="4">
        <v>17</v>
      </c>
      <c r="W136" s="4">
        <v>66</v>
      </c>
    </row>
    <row r="137" spans="1:23" ht="11.25" customHeight="1" x14ac:dyDescent="0.3">
      <c r="A137" s="4" t="s">
        <v>28</v>
      </c>
      <c r="B137" s="4" t="s">
        <v>39</v>
      </c>
      <c r="C137" s="4" t="s">
        <v>40</v>
      </c>
      <c r="D137" s="4" t="s">
        <v>41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44562</v>
      </c>
      <c r="J137" s="6">
        <v>0</v>
      </c>
      <c r="K137" s="6">
        <v>0</v>
      </c>
      <c r="L137" s="6">
        <v>37.851999999999997</v>
      </c>
      <c r="M137" s="6">
        <v>37.851999999999997</v>
      </c>
      <c r="N137" s="6">
        <v>37.851999999999997</v>
      </c>
      <c r="O137" s="6">
        <v>37.851999999999997</v>
      </c>
      <c r="P137" s="6">
        <v>0</v>
      </c>
      <c r="Q137" s="4" t="s">
        <v>26</v>
      </c>
      <c r="R137" s="4">
        <v>0</v>
      </c>
      <c r="S137" s="4" t="s">
        <v>190</v>
      </c>
      <c r="T137" s="4" t="s">
        <v>423</v>
      </c>
      <c r="U137" s="4">
        <v>0</v>
      </c>
      <c r="V137" s="4">
        <v>17</v>
      </c>
      <c r="W137" s="4">
        <v>66</v>
      </c>
    </row>
    <row r="138" spans="1:23" ht="11.25" customHeight="1" x14ac:dyDescent="0.3">
      <c r="A138" s="4" t="s">
        <v>21</v>
      </c>
      <c r="B138" s="4" t="s">
        <v>39</v>
      </c>
      <c r="C138" s="4" t="s">
        <v>40</v>
      </c>
      <c r="D138" s="4" t="s">
        <v>41</v>
      </c>
      <c r="E138" s="4" t="s">
        <v>25</v>
      </c>
      <c r="F138" s="4" t="s">
        <v>25</v>
      </c>
      <c r="G138" s="4" t="s">
        <v>25</v>
      </c>
      <c r="H138" s="4" t="s">
        <v>35</v>
      </c>
      <c r="I138" s="5">
        <v>44593</v>
      </c>
      <c r="J138" s="6">
        <v>0</v>
      </c>
      <c r="K138" s="6">
        <v>0</v>
      </c>
      <c r="L138" s="6">
        <v>248.054</v>
      </c>
      <c r="M138" s="6">
        <v>248.054</v>
      </c>
      <c r="N138" s="6">
        <v>248.054</v>
      </c>
      <c r="O138" s="6">
        <v>248.054</v>
      </c>
      <c r="P138" s="6">
        <v>0</v>
      </c>
      <c r="Q138" s="4" t="s">
        <v>26</v>
      </c>
      <c r="R138" s="4">
        <v>0</v>
      </c>
      <c r="S138" s="4" t="s">
        <v>191</v>
      </c>
      <c r="T138" s="4" t="s">
        <v>424</v>
      </c>
      <c r="U138" s="4">
        <v>0</v>
      </c>
      <c r="V138" s="4">
        <v>17</v>
      </c>
      <c r="W138" s="4">
        <v>66</v>
      </c>
    </row>
    <row r="139" spans="1:23" ht="11.25" customHeight="1" x14ac:dyDescent="0.3">
      <c r="A139" s="4" t="s">
        <v>28</v>
      </c>
      <c r="B139" s="4" t="s">
        <v>39</v>
      </c>
      <c r="C139" s="4" t="s">
        <v>40</v>
      </c>
      <c r="D139" s="4" t="s">
        <v>41</v>
      </c>
      <c r="E139" s="4" t="s">
        <v>25</v>
      </c>
      <c r="F139" s="4" t="s">
        <v>25</v>
      </c>
      <c r="G139" s="4" t="s">
        <v>25</v>
      </c>
      <c r="H139" s="4" t="s">
        <v>35</v>
      </c>
      <c r="I139" s="5">
        <v>44593</v>
      </c>
      <c r="J139" s="6">
        <v>0</v>
      </c>
      <c r="K139" s="6">
        <v>0</v>
      </c>
      <c r="L139" s="6">
        <v>29.741</v>
      </c>
      <c r="M139" s="6">
        <v>29.741</v>
      </c>
      <c r="N139" s="6">
        <v>29.741</v>
      </c>
      <c r="O139" s="6">
        <v>29.741</v>
      </c>
      <c r="P139" s="6">
        <v>0</v>
      </c>
      <c r="Q139" s="4" t="s">
        <v>26</v>
      </c>
      <c r="R139" s="4">
        <v>0</v>
      </c>
      <c r="S139" s="4" t="s">
        <v>191</v>
      </c>
      <c r="T139" s="4" t="s">
        <v>424</v>
      </c>
      <c r="U139" s="4">
        <v>0</v>
      </c>
      <c r="V139" s="4">
        <v>17</v>
      </c>
      <c r="W139" s="4">
        <v>66</v>
      </c>
    </row>
    <row r="140" spans="1:23" ht="11.25" customHeight="1" x14ac:dyDescent="0.3">
      <c r="A140" s="4" t="s">
        <v>21</v>
      </c>
      <c r="B140" s="4" t="s">
        <v>39</v>
      </c>
      <c r="C140" s="4" t="s">
        <v>40</v>
      </c>
      <c r="D140" s="4" t="s">
        <v>41</v>
      </c>
      <c r="E140" s="4" t="s">
        <v>25</v>
      </c>
      <c r="F140" s="4" t="s">
        <v>25</v>
      </c>
      <c r="G140" s="4" t="s">
        <v>25</v>
      </c>
      <c r="H140" s="4" t="s">
        <v>35</v>
      </c>
      <c r="I140" s="5">
        <v>44621</v>
      </c>
      <c r="J140" s="6">
        <v>0</v>
      </c>
      <c r="K140" s="6">
        <v>0</v>
      </c>
      <c r="L140" s="6">
        <v>300.5</v>
      </c>
      <c r="M140" s="6">
        <v>300.5</v>
      </c>
      <c r="N140" s="6">
        <v>300.5</v>
      </c>
      <c r="O140" s="6">
        <v>300.5</v>
      </c>
      <c r="P140" s="6">
        <v>0</v>
      </c>
      <c r="Q140" s="4" t="s">
        <v>26</v>
      </c>
      <c r="R140" s="4">
        <v>0</v>
      </c>
      <c r="S140" s="4" t="s">
        <v>192</v>
      </c>
      <c r="T140" s="4" t="s">
        <v>425</v>
      </c>
      <c r="U140" s="4">
        <v>0</v>
      </c>
      <c r="V140" s="4">
        <v>17</v>
      </c>
      <c r="W140" s="4">
        <v>66</v>
      </c>
    </row>
    <row r="141" spans="1:23" ht="11.25" customHeight="1" x14ac:dyDescent="0.3">
      <c r="A141" s="4" t="s">
        <v>28</v>
      </c>
      <c r="B141" s="4" t="s">
        <v>39</v>
      </c>
      <c r="C141" s="4" t="s">
        <v>40</v>
      </c>
      <c r="D141" s="4" t="s">
        <v>41</v>
      </c>
      <c r="E141" s="4" t="s">
        <v>25</v>
      </c>
      <c r="F141" s="4" t="s">
        <v>25</v>
      </c>
      <c r="G141" s="4" t="s">
        <v>25</v>
      </c>
      <c r="H141" s="4" t="s">
        <v>35</v>
      </c>
      <c r="I141" s="5">
        <v>44621</v>
      </c>
      <c r="J141" s="6">
        <v>0</v>
      </c>
      <c r="K141" s="6">
        <v>0</v>
      </c>
      <c r="L141" s="6">
        <v>40.207000000000001</v>
      </c>
      <c r="M141" s="6">
        <v>40.207000000000001</v>
      </c>
      <c r="N141" s="6">
        <v>40.207000000000001</v>
      </c>
      <c r="O141" s="6">
        <v>40.207000000000001</v>
      </c>
      <c r="P141" s="6">
        <v>0</v>
      </c>
      <c r="Q141" s="4" t="s">
        <v>26</v>
      </c>
      <c r="R141" s="4">
        <v>0</v>
      </c>
      <c r="S141" s="4" t="s">
        <v>192</v>
      </c>
      <c r="T141" s="4" t="s">
        <v>425</v>
      </c>
      <c r="U141" s="4">
        <v>0</v>
      </c>
      <c r="V141" s="4">
        <v>17</v>
      </c>
      <c r="W141" s="4">
        <v>66</v>
      </c>
    </row>
    <row r="142" spans="1:23" ht="11.25" customHeight="1" x14ac:dyDescent="0.3">
      <c r="A142" s="4" t="s">
        <v>21</v>
      </c>
      <c r="B142" s="4" t="s">
        <v>39</v>
      </c>
      <c r="C142" s="4" t="s">
        <v>40</v>
      </c>
      <c r="D142" s="4" t="s">
        <v>41</v>
      </c>
      <c r="E142" s="4" t="s">
        <v>25</v>
      </c>
      <c r="F142" s="4" t="s">
        <v>25</v>
      </c>
      <c r="G142" s="4" t="s">
        <v>25</v>
      </c>
      <c r="H142" s="4" t="s">
        <v>35</v>
      </c>
      <c r="I142" s="5">
        <v>44652</v>
      </c>
      <c r="J142" s="6">
        <v>0</v>
      </c>
      <c r="K142" s="6">
        <v>0</v>
      </c>
      <c r="L142" s="6">
        <v>288.178</v>
      </c>
      <c r="M142" s="6">
        <v>288.178</v>
      </c>
      <c r="N142" s="6">
        <v>288.178</v>
      </c>
      <c r="O142" s="6">
        <v>288.178</v>
      </c>
      <c r="P142" s="6">
        <v>0</v>
      </c>
      <c r="Q142" s="4" t="s">
        <v>26</v>
      </c>
      <c r="R142" s="4">
        <v>0</v>
      </c>
      <c r="S142" s="4" t="s">
        <v>193</v>
      </c>
      <c r="T142" s="4" t="s">
        <v>426</v>
      </c>
      <c r="U142" s="4">
        <v>0</v>
      </c>
      <c r="V142" s="4">
        <v>17</v>
      </c>
      <c r="W142" s="4">
        <v>66</v>
      </c>
    </row>
    <row r="143" spans="1:23" ht="11.25" customHeight="1" x14ac:dyDescent="0.3">
      <c r="A143" s="4" t="s">
        <v>28</v>
      </c>
      <c r="B143" s="4" t="s">
        <v>39</v>
      </c>
      <c r="C143" s="4" t="s">
        <v>40</v>
      </c>
      <c r="D143" s="4" t="s">
        <v>41</v>
      </c>
      <c r="E143" s="4" t="s">
        <v>25</v>
      </c>
      <c r="F143" s="4" t="s">
        <v>25</v>
      </c>
      <c r="G143" s="4" t="s">
        <v>25</v>
      </c>
      <c r="H143" s="4" t="s">
        <v>35</v>
      </c>
      <c r="I143" s="5">
        <v>44652</v>
      </c>
      <c r="J143" s="6">
        <v>0</v>
      </c>
      <c r="K143" s="6">
        <v>0</v>
      </c>
      <c r="L143" s="6">
        <v>32.713000000000001</v>
      </c>
      <c r="M143" s="6">
        <v>32.713000000000001</v>
      </c>
      <c r="N143" s="6">
        <v>32.713000000000001</v>
      </c>
      <c r="O143" s="6">
        <v>32.713000000000001</v>
      </c>
      <c r="P143" s="6">
        <v>0</v>
      </c>
      <c r="Q143" s="4" t="s">
        <v>26</v>
      </c>
      <c r="R143" s="4">
        <v>0</v>
      </c>
      <c r="S143" s="4" t="s">
        <v>193</v>
      </c>
      <c r="T143" s="4" t="s">
        <v>426</v>
      </c>
      <c r="U143" s="4">
        <v>0</v>
      </c>
      <c r="V143" s="4">
        <v>17</v>
      </c>
      <c r="W143" s="4">
        <v>66</v>
      </c>
    </row>
    <row r="144" spans="1:23" ht="11.25" customHeight="1" x14ac:dyDescent="0.3">
      <c r="A144" s="4" t="s">
        <v>21</v>
      </c>
      <c r="B144" s="4" t="s">
        <v>39</v>
      </c>
      <c r="C144" s="4" t="s">
        <v>40</v>
      </c>
      <c r="D144" s="4" t="s">
        <v>41</v>
      </c>
      <c r="E144" s="4" t="s">
        <v>25</v>
      </c>
      <c r="F144" s="4" t="s">
        <v>25</v>
      </c>
      <c r="G144" s="4" t="s">
        <v>25</v>
      </c>
      <c r="H144" s="4" t="s">
        <v>35</v>
      </c>
      <c r="I144" s="5">
        <v>44682</v>
      </c>
      <c r="J144" s="6">
        <v>0</v>
      </c>
      <c r="K144" s="6">
        <v>0</v>
      </c>
      <c r="L144" s="6">
        <v>258.25200000000001</v>
      </c>
      <c r="M144" s="6">
        <v>258.25200000000001</v>
      </c>
      <c r="N144" s="6">
        <v>258.25200000000001</v>
      </c>
      <c r="O144" s="6">
        <v>258.25200000000001</v>
      </c>
      <c r="P144" s="6">
        <v>0</v>
      </c>
      <c r="Q144" s="4" t="s">
        <v>26</v>
      </c>
      <c r="R144" s="4">
        <v>0</v>
      </c>
      <c r="S144" s="4" t="s">
        <v>194</v>
      </c>
      <c r="T144" s="4" t="s">
        <v>427</v>
      </c>
      <c r="U144" s="4">
        <v>0</v>
      </c>
      <c r="V144" s="4">
        <v>17</v>
      </c>
      <c r="W144" s="4">
        <v>66</v>
      </c>
    </row>
    <row r="145" spans="1:23" ht="11.25" customHeight="1" x14ac:dyDescent="0.3">
      <c r="A145" s="4" t="s">
        <v>28</v>
      </c>
      <c r="B145" s="4" t="s">
        <v>39</v>
      </c>
      <c r="C145" s="4" t="s">
        <v>40</v>
      </c>
      <c r="D145" s="4" t="s">
        <v>41</v>
      </c>
      <c r="E145" s="4" t="s">
        <v>25</v>
      </c>
      <c r="F145" s="4" t="s">
        <v>25</v>
      </c>
      <c r="G145" s="4" t="s">
        <v>25</v>
      </c>
      <c r="H145" s="4" t="s">
        <v>35</v>
      </c>
      <c r="I145" s="5">
        <v>44682</v>
      </c>
      <c r="J145" s="6">
        <v>0</v>
      </c>
      <c r="K145" s="6">
        <v>0</v>
      </c>
      <c r="L145" s="6">
        <v>33.741</v>
      </c>
      <c r="M145" s="6">
        <v>33.741</v>
      </c>
      <c r="N145" s="6">
        <v>33.741</v>
      </c>
      <c r="O145" s="6">
        <v>33.741</v>
      </c>
      <c r="P145" s="6">
        <v>0</v>
      </c>
      <c r="Q145" s="4" t="s">
        <v>26</v>
      </c>
      <c r="R145" s="4">
        <v>0</v>
      </c>
      <c r="S145" s="4" t="s">
        <v>194</v>
      </c>
      <c r="T145" s="4" t="s">
        <v>427</v>
      </c>
      <c r="U145" s="4">
        <v>0</v>
      </c>
      <c r="V145" s="4">
        <v>17</v>
      </c>
      <c r="W145" s="4">
        <v>66</v>
      </c>
    </row>
    <row r="146" spans="1:23" ht="11.25" customHeight="1" x14ac:dyDescent="0.3">
      <c r="A146" s="4" t="s">
        <v>21</v>
      </c>
      <c r="B146" s="4" t="s">
        <v>39</v>
      </c>
      <c r="C146" s="4" t="s">
        <v>40</v>
      </c>
      <c r="D146" s="4" t="s">
        <v>41</v>
      </c>
      <c r="E146" s="4" t="s">
        <v>25</v>
      </c>
      <c r="F146" s="4" t="s">
        <v>25</v>
      </c>
      <c r="G146" s="4" t="s">
        <v>25</v>
      </c>
      <c r="H146" s="4" t="s">
        <v>35</v>
      </c>
      <c r="I146" s="5">
        <v>44713</v>
      </c>
      <c r="J146" s="6">
        <v>0</v>
      </c>
      <c r="K146" s="6">
        <v>0</v>
      </c>
      <c r="L146" s="6">
        <v>240.71</v>
      </c>
      <c r="M146" s="6">
        <v>240.71</v>
      </c>
      <c r="N146" s="6">
        <v>240.71</v>
      </c>
      <c r="O146" s="6">
        <v>240.71</v>
      </c>
      <c r="P146" s="6">
        <v>0</v>
      </c>
      <c r="Q146" s="4" t="s">
        <v>26</v>
      </c>
      <c r="R146" s="4">
        <v>0</v>
      </c>
      <c r="S146" s="4" t="s">
        <v>195</v>
      </c>
      <c r="T146" s="4" t="s">
        <v>428</v>
      </c>
      <c r="U146" s="4">
        <v>0</v>
      </c>
      <c r="V146" s="4">
        <v>17</v>
      </c>
      <c r="W146" s="4">
        <v>66</v>
      </c>
    </row>
    <row r="147" spans="1:23" ht="11.25" customHeight="1" x14ac:dyDescent="0.3">
      <c r="A147" s="4" t="s">
        <v>28</v>
      </c>
      <c r="B147" s="4" t="s">
        <v>39</v>
      </c>
      <c r="C147" s="4" t="s">
        <v>40</v>
      </c>
      <c r="D147" s="4" t="s">
        <v>41</v>
      </c>
      <c r="E147" s="4" t="s">
        <v>25</v>
      </c>
      <c r="F147" s="4" t="s">
        <v>25</v>
      </c>
      <c r="G147" s="4" t="s">
        <v>25</v>
      </c>
      <c r="H147" s="4" t="s">
        <v>35</v>
      </c>
      <c r="I147" s="5">
        <v>44713</v>
      </c>
      <c r="J147" s="6">
        <v>0</v>
      </c>
      <c r="K147" s="6">
        <v>0</v>
      </c>
      <c r="L147" s="6">
        <v>34.392000000000003</v>
      </c>
      <c r="M147" s="6">
        <v>34.392000000000003</v>
      </c>
      <c r="N147" s="6">
        <v>34.392000000000003</v>
      </c>
      <c r="O147" s="6">
        <v>34.392000000000003</v>
      </c>
      <c r="P147" s="6">
        <v>0</v>
      </c>
      <c r="Q147" s="4" t="s">
        <v>26</v>
      </c>
      <c r="R147" s="4">
        <v>0</v>
      </c>
      <c r="S147" s="4" t="s">
        <v>195</v>
      </c>
      <c r="T147" s="4" t="s">
        <v>428</v>
      </c>
      <c r="U147" s="4">
        <v>0</v>
      </c>
      <c r="V147" s="4">
        <v>17</v>
      </c>
      <c r="W147" s="4">
        <v>66</v>
      </c>
    </row>
    <row r="148" spans="1:23" ht="11.25" customHeight="1" x14ac:dyDescent="0.3">
      <c r="A148" s="4" t="s">
        <v>21</v>
      </c>
      <c r="B148" s="4" t="s">
        <v>39</v>
      </c>
      <c r="C148" s="4" t="s">
        <v>40</v>
      </c>
      <c r="D148" s="4" t="s">
        <v>41</v>
      </c>
      <c r="E148" s="4" t="s">
        <v>25</v>
      </c>
      <c r="F148" s="4" t="s">
        <v>25</v>
      </c>
      <c r="G148" s="4" t="s">
        <v>25</v>
      </c>
      <c r="H148" s="4" t="s">
        <v>35</v>
      </c>
      <c r="I148" s="5">
        <v>44743</v>
      </c>
      <c r="J148" s="6">
        <v>0</v>
      </c>
      <c r="K148" s="6">
        <v>0</v>
      </c>
      <c r="L148" s="6">
        <v>200.34700000000001</v>
      </c>
      <c r="M148" s="6">
        <v>200.34700000000001</v>
      </c>
      <c r="N148" s="6">
        <v>200.34700000000001</v>
      </c>
      <c r="O148" s="6">
        <v>200.34700000000001</v>
      </c>
      <c r="P148" s="6">
        <v>0</v>
      </c>
      <c r="Q148" s="4" t="s">
        <v>26</v>
      </c>
      <c r="R148" s="4">
        <v>0</v>
      </c>
      <c r="S148" s="4" t="s">
        <v>196</v>
      </c>
      <c r="T148" s="4" t="s">
        <v>429</v>
      </c>
      <c r="U148" s="4">
        <v>0</v>
      </c>
      <c r="V148" s="4">
        <v>17</v>
      </c>
      <c r="W148" s="4">
        <v>66</v>
      </c>
    </row>
    <row r="149" spans="1:23" ht="11.25" customHeight="1" x14ac:dyDescent="0.3">
      <c r="A149" s="4" t="s">
        <v>28</v>
      </c>
      <c r="B149" s="4" t="s">
        <v>39</v>
      </c>
      <c r="C149" s="4" t="s">
        <v>40</v>
      </c>
      <c r="D149" s="4" t="s">
        <v>41</v>
      </c>
      <c r="E149" s="4" t="s">
        <v>25</v>
      </c>
      <c r="F149" s="4" t="s">
        <v>25</v>
      </c>
      <c r="G149" s="4" t="s">
        <v>25</v>
      </c>
      <c r="H149" s="4" t="s">
        <v>35</v>
      </c>
      <c r="I149" s="5">
        <v>44743</v>
      </c>
      <c r="J149" s="6">
        <v>0</v>
      </c>
      <c r="K149" s="6">
        <v>0</v>
      </c>
      <c r="L149" s="6">
        <v>33.978999999999999</v>
      </c>
      <c r="M149" s="6">
        <v>33.978999999999999</v>
      </c>
      <c r="N149" s="6">
        <v>33.978999999999999</v>
      </c>
      <c r="O149" s="6">
        <v>33.978999999999999</v>
      </c>
      <c r="P149" s="6">
        <v>0</v>
      </c>
      <c r="Q149" s="4" t="s">
        <v>26</v>
      </c>
      <c r="R149" s="4">
        <v>0</v>
      </c>
      <c r="S149" s="4" t="s">
        <v>196</v>
      </c>
      <c r="T149" s="4" t="s">
        <v>429</v>
      </c>
      <c r="U149" s="4">
        <v>0</v>
      </c>
      <c r="V149" s="4">
        <v>17</v>
      </c>
      <c r="W149" s="4">
        <v>66</v>
      </c>
    </row>
    <row r="150" spans="1:23" ht="11.25" customHeight="1" x14ac:dyDescent="0.3">
      <c r="A150" s="4" t="s">
        <v>21</v>
      </c>
      <c r="B150" s="4" t="s">
        <v>39</v>
      </c>
      <c r="C150" s="4" t="s">
        <v>40</v>
      </c>
      <c r="D150" s="4" t="s">
        <v>41</v>
      </c>
      <c r="E150" s="4" t="s">
        <v>25</v>
      </c>
      <c r="F150" s="4" t="s">
        <v>25</v>
      </c>
      <c r="G150" s="4" t="s">
        <v>25</v>
      </c>
      <c r="H150" s="4" t="s">
        <v>35</v>
      </c>
      <c r="I150" s="5">
        <v>44774</v>
      </c>
      <c r="J150" s="6">
        <v>0</v>
      </c>
      <c r="K150" s="6">
        <v>0</v>
      </c>
      <c r="L150" s="6">
        <v>238.97200000000001</v>
      </c>
      <c r="M150" s="6">
        <v>238.97200000000001</v>
      </c>
      <c r="N150" s="6">
        <v>238.97200000000001</v>
      </c>
      <c r="O150" s="6">
        <v>238.97200000000001</v>
      </c>
      <c r="P150" s="6">
        <v>0</v>
      </c>
      <c r="Q150" s="4" t="s">
        <v>26</v>
      </c>
      <c r="R150" s="4">
        <v>0</v>
      </c>
      <c r="S150" s="4" t="s">
        <v>197</v>
      </c>
      <c r="T150" s="4" t="s">
        <v>430</v>
      </c>
      <c r="U150" s="4">
        <v>0</v>
      </c>
      <c r="V150" s="4">
        <v>17</v>
      </c>
      <c r="W150" s="4">
        <v>66</v>
      </c>
    </row>
    <row r="151" spans="1:23" ht="11.25" customHeight="1" x14ac:dyDescent="0.3">
      <c r="A151" s="4" t="s">
        <v>28</v>
      </c>
      <c r="B151" s="4" t="s">
        <v>39</v>
      </c>
      <c r="C151" s="4" t="s">
        <v>40</v>
      </c>
      <c r="D151" s="4" t="s">
        <v>41</v>
      </c>
      <c r="E151" s="4" t="s">
        <v>25</v>
      </c>
      <c r="F151" s="4" t="s">
        <v>25</v>
      </c>
      <c r="G151" s="4" t="s">
        <v>25</v>
      </c>
      <c r="H151" s="4" t="s">
        <v>35</v>
      </c>
      <c r="I151" s="5">
        <v>44774</v>
      </c>
      <c r="J151" s="6">
        <v>0</v>
      </c>
      <c r="K151" s="6">
        <v>0</v>
      </c>
      <c r="L151" s="6">
        <v>29.895</v>
      </c>
      <c r="M151" s="6">
        <v>29.895</v>
      </c>
      <c r="N151" s="6">
        <v>29.895</v>
      </c>
      <c r="O151" s="6">
        <v>29.895</v>
      </c>
      <c r="P151" s="6">
        <v>0</v>
      </c>
      <c r="Q151" s="4" t="s">
        <v>26</v>
      </c>
      <c r="R151" s="4">
        <v>0</v>
      </c>
      <c r="S151" s="4" t="s">
        <v>197</v>
      </c>
      <c r="T151" s="4" t="s">
        <v>430</v>
      </c>
      <c r="U151" s="4">
        <v>0</v>
      </c>
      <c r="V151" s="4">
        <v>17</v>
      </c>
      <c r="W151" s="4">
        <v>66</v>
      </c>
    </row>
    <row r="152" spans="1:23" ht="11.25" customHeight="1" x14ac:dyDescent="0.3">
      <c r="A152" s="4" t="s">
        <v>21</v>
      </c>
      <c r="B152" s="4" t="s">
        <v>39</v>
      </c>
      <c r="C152" s="4" t="s">
        <v>40</v>
      </c>
      <c r="D152" s="4" t="s">
        <v>41</v>
      </c>
      <c r="E152" s="4" t="s">
        <v>25</v>
      </c>
      <c r="F152" s="4" t="s">
        <v>25</v>
      </c>
      <c r="G152" s="4" t="s">
        <v>25</v>
      </c>
      <c r="H152" s="4" t="s">
        <v>35</v>
      </c>
      <c r="I152" s="5">
        <v>44805</v>
      </c>
      <c r="J152" s="6">
        <v>0</v>
      </c>
      <c r="K152" s="6">
        <v>0</v>
      </c>
      <c r="L152" s="6">
        <v>266.291</v>
      </c>
      <c r="M152" s="6">
        <v>266.291</v>
      </c>
      <c r="N152" s="6">
        <v>266.291</v>
      </c>
      <c r="O152" s="6">
        <v>266.291</v>
      </c>
      <c r="P152" s="6">
        <v>0</v>
      </c>
      <c r="Q152" s="4" t="s">
        <v>26</v>
      </c>
      <c r="R152" s="4">
        <v>0</v>
      </c>
      <c r="S152" s="4" t="s">
        <v>198</v>
      </c>
      <c r="T152" s="4" t="s">
        <v>431</v>
      </c>
      <c r="U152" s="4">
        <v>0</v>
      </c>
      <c r="V152" s="4">
        <v>17</v>
      </c>
      <c r="W152" s="4">
        <v>66</v>
      </c>
    </row>
    <row r="153" spans="1:23" ht="11.25" customHeight="1" x14ac:dyDescent="0.3">
      <c r="A153" s="4" t="s">
        <v>28</v>
      </c>
      <c r="B153" s="4" t="s">
        <v>39</v>
      </c>
      <c r="C153" s="4" t="s">
        <v>40</v>
      </c>
      <c r="D153" s="4" t="s">
        <v>41</v>
      </c>
      <c r="E153" s="4" t="s">
        <v>25</v>
      </c>
      <c r="F153" s="4" t="s">
        <v>25</v>
      </c>
      <c r="G153" s="4" t="s">
        <v>25</v>
      </c>
      <c r="H153" s="4" t="s">
        <v>35</v>
      </c>
      <c r="I153" s="5">
        <v>44805</v>
      </c>
      <c r="J153" s="6">
        <v>0</v>
      </c>
      <c r="K153" s="6">
        <v>0</v>
      </c>
      <c r="L153" s="6">
        <v>35.994999999999997</v>
      </c>
      <c r="M153" s="6">
        <v>35.994999999999997</v>
      </c>
      <c r="N153" s="6">
        <v>35.994999999999997</v>
      </c>
      <c r="O153" s="6">
        <v>35.994999999999997</v>
      </c>
      <c r="P153" s="6">
        <v>0</v>
      </c>
      <c r="Q153" s="4" t="s">
        <v>26</v>
      </c>
      <c r="R153" s="4">
        <v>0</v>
      </c>
      <c r="S153" s="4" t="s">
        <v>198</v>
      </c>
      <c r="T153" s="4" t="s">
        <v>431</v>
      </c>
      <c r="U153" s="4">
        <v>0</v>
      </c>
      <c r="V153" s="4">
        <v>17</v>
      </c>
      <c r="W153" s="4">
        <v>66</v>
      </c>
    </row>
    <row r="154" spans="1:23" ht="11.25" customHeight="1" x14ac:dyDescent="0.3">
      <c r="A154" s="4" t="s">
        <v>57</v>
      </c>
      <c r="B154" s="4" t="s">
        <v>39</v>
      </c>
      <c r="C154" s="4" t="s">
        <v>40</v>
      </c>
      <c r="D154" s="4" t="s">
        <v>41</v>
      </c>
      <c r="E154" s="4" t="s">
        <v>25</v>
      </c>
      <c r="F154" s="4" t="s">
        <v>25</v>
      </c>
      <c r="G154" s="4" t="s">
        <v>25</v>
      </c>
      <c r="H154" s="4" t="s">
        <v>35</v>
      </c>
      <c r="I154" s="5">
        <v>44835</v>
      </c>
      <c r="J154" s="6">
        <v>0</v>
      </c>
      <c r="K154" s="6">
        <v>0</v>
      </c>
      <c r="L154" s="6">
        <v>266.291</v>
      </c>
      <c r="M154" s="6">
        <v>266.291</v>
      </c>
      <c r="N154" s="6">
        <v>266.291</v>
      </c>
      <c r="O154" s="6">
        <v>266.291</v>
      </c>
      <c r="P154" s="6">
        <v>0</v>
      </c>
      <c r="Q154" s="4" t="s">
        <v>26</v>
      </c>
      <c r="R154" s="4">
        <v>0</v>
      </c>
      <c r="S154" s="4" t="s">
        <v>199</v>
      </c>
      <c r="T154" s="4" t="s">
        <v>432</v>
      </c>
      <c r="U154" s="4">
        <v>0</v>
      </c>
      <c r="V154" s="4">
        <v>17</v>
      </c>
      <c r="W154" s="4">
        <v>66</v>
      </c>
    </row>
    <row r="155" spans="1:23" ht="11.25" customHeight="1" x14ac:dyDescent="0.3">
      <c r="A155" s="4" t="s">
        <v>57</v>
      </c>
      <c r="B155" s="4" t="s">
        <v>39</v>
      </c>
      <c r="C155" s="4" t="s">
        <v>40</v>
      </c>
      <c r="D155" s="4" t="s">
        <v>41</v>
      </c>
      <c r="E155" s="4" t="s">
        <v>25</v>
      </c>
      <c r="F155" s="4" t="s">
        <v>25</v>
      </c>
      <c r="G155" s="4" t="s">
        <v>25</v>
      </c>
      <c r="H155" s="4" t="s">
        <v>35</v>
      </c>
      <c r="I155" s="5">
        <v>44835</v>
      </c>
      <c r="J155" s="6">
        <v>0</v>
      </c>
      <c r="K155" s="6">
        <v>0</v>
      </c>
      <c r="L155" s="6">
        <v>35.994999999999997</v>
      </c>
      <c r="M155" s="6">
        <v>35.994999999999997</v>
      </c>
      <c r="N155" s="6">
        <v>35.994999999999997</v>
      </c>
      <c r="O155" s="6">
        <v>35.994999999999997</v>
      </c>
      <c r="P155" s="6">
        <v>0</v>
      </c>
      <c r="Q155" s="4" t="s">
        <v>26</v>
      </c>
      <c r="R155" s="4">
        <v>0</v>
      </c>
      <c r="S155" s="4" t="s">
        <v>199</v>
      </c>
      <c r="T155" s="4" t="s">
        <v>432</v>
      </c>
      <c r="U155" s="4">
        <v>0</v>
      </c>
      <c r="V155" s="4">
        <v>17</v>
      </c>
      <c r="W155" s="4">
        <v>66</v>
      </c>
    </row>
    <row r="156" spans="1:23" ht="11.25" customHeight="1" x14ac:dyDescent="0.3">
      <c r="A156" s="4" t="s">
        <v>21</v>
      </c>
      <c r="B156" s="4" t="s">
        <v>39</v>
      </c>
      <c r="C156" s="4" t="s">
        <v>40</v>
      </c>
      <c r="D156" s="4" t="s">
        <v>41</v>
      </c>
      <c r="E156" s="4" t="s">
        <v>25</v>
      </c>
      <c r="F156" s="4" t="s">
        <v>25</v>
      </c>
      <c r="G156" s="4" t="s">
        <v>25</v>
      </c>
      <c r="H156" s="4" t="s">
        <v>25</v>
      </c>
      <c r="I156" s="5">
        <v>44501</v>
      </c>
      <c r="J156" s="6">
        <v>1522</v>
      </c>
      <c r="K156" s="6">
        <v>1522</v>
      </c>
      <c r="L156" s="6">
        <v>0</v>
      </c>
      <c r="M156" s="6">
        <v>0</v>
      </c>
      <c r="N156" s="6">
        <v>0</v>
      </c>
      <c r="O156" s="6">
        <v>0</v>
      </c>
      <c r="P156" s="6">
        <v>20</v>
      </c>
      <c r="Q156" s="4" t="s">
        <v>26</v>
      </c>
      <c r="R156" s="4">
        <v>0</v>
      </c>
      <c r="S156" s="4" t="s">
        <v>200</v>
      </c>
      <c r="U156" s="4">
        <v>13</v>
      </c>
      <c r="V156" s="4">
        <v>0</v>
      </c>
      <c r="W156" s="4">
        <v>0</v>
      </c>
    </row>
    <row r="157" spans="1:23" ht="11.25" customHeight="1" x14ac:dyDescent="0.3">
      <c r="A157" s="4" t="s">
        <v>28</v>
      </c>
      <c r="B157" s="4" t="s">
        <v>39</v>
      </c>
      <c r="C157" s="4" t="s">
        <v>40</v>
      </c>
      <c r="D157" s="4" t="s">
        <v>41</v>
      </c>
      <c r="E157" s="4" t="s">
        <v>25</v>
      </c>
      <c r="F157" s="4" t="s">
        <v>25</v>
      </c>
      <c r="G157" s="4" t="s">
        <v>25</v>
      </c>
      <c r="H157" s="4" t="s">
        <v>25</v>
      </c>
      <c r="I157" s="5">
        <v>44501</v>
      </c>
      <c r="J157" s="6">
        <v>507</v>
      </c>
      <c r="K157" s="6">
        <v>507</v>
      </c>
      <c r="L157" s="6">
        <v>0</v>
      </c>
      <c r="M157" s="6">
        <v>0</v>
      </c>
      <c r="N157" s="6">
        <v>0</v>
      </c>
      <c r="O157" s="6">
        <v>0</v>
      </c>
      <c r="P157" s="6">
        <v>4</v>
      </c>
      <c r="Q157" s="4" t="s">
        <v>26</v>
      </c>
      <c r="R157" s="4">
        <v>0</v>
      </c>
      <c r="S157" s="4" t="s">
        <v>200</v>
      </c>
      <c r="U157" s="4">
        <v>13</v>
      </c>
      <c r="V157" s="4">
        <v>0</v>
      </c>
      <c r="W157" s="4">
        <v>0</v>
      </c>
    </row>
    <row r="158" spans="1:23" ht="11.25" customHeight="1" x14ac:dyDescent="0.3">
      <c r="A158" s="4" t="s">
        <v>21</v>
      </c>
      <c r="B158" s="4" t="s">
        <v>39</v>
      </c>
      <c r="C158" s="4" t="s">
        <v>40</v>
      </c>
      <c r="D158" s="4" t="s">
        <v>41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44531</v>
      </c>
      <c r="J158" s="6">
        <v>1520</v>
      </c>
      <c r="K158" s="6">
        <v>1520</v>
      </c>
      <c r="L158" s="6">
        <v>0</v>
      </c>
      <c r="M158" s="6">
        <v>0</v>
      </c>
      <c r="N158" s="6">
        <v>0</v>
      </c>
      <c r="O158" s="6">
        <v>0</v>
      </c>
      <c r="P158" s="6">
        <v>20</v>
      </c>
      <c r="Q158" s="4" t="s">
        <v>26</v>
      </c>
      <c r="R158" s="4">
        <v>0</v>
      </c>
      <c r="S158" s="4" t="s">
        <v>201</v>
      </c>
      <c r="U158" s="4">
        <v>13</v>
      </c>
      <c r="V158" s="4">
        <v>0</v>
      </c>
      <c r="W158" s="4">
        <v>0</v>
      </c>
    </row>
    <row r="159" spans="1:23" ht="11.25" customHeight="1" x14ac:dyDescent="0.3">
      <c r="A159" s="4" t="s">
        <v>28</v>
      </c>
      <c r="B159" s="4" t="s">
        <v>39</v>
      </c>
      <c r="C159" s="4" t="s">
        <v>40</v>
      </c>
      <c r="D159" s="4" t="s">
        <v>41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44531</v>
      </c>
      <c r="J159" s="6">
        <v>507</v>
      </c>
      <c r="K159" s="6">
        <v>507</v>
      </c>
      <c r="L159" s="6">
        <v>0</v>
      </c>
      <c r="M159" s="6">
        <v>0</v>
      </c>
      <c r="N159" s="6">
        <v>0</v>
      </c>
      <c r="O159" s="6">
        <v>0</v>
      </c>
      <c r="P159" s="6">
        <v>4</v>
      </c>
      <c r="Q159" s="4" t="s">
        <v>26</v>
      </c>
      <c r="R159" s="4">
        <v>0</v>
      </c>
      <c r="S159" s="4" t="s">
        <v>201</v>
      </c>
      <c r="U159" s="4">
        <v>13</v>
      </c>
      <c r="V159" s="4">
        <v>0</v>
      </c>
      <c r="W159" s="4">
        <v>0</v>
      </c>
    </row>
    <row r="160" spans="1:23" ht="11.25" customHeight="1" x14ac:dyDescent="0.3">
      <c r="A160" s="4" t="s">
        <v>21</v>
      </c>
      <c r="B160" s="4" t="s">
        <v>39</v>
      </c>
      <c r="C160" s="4" t="s">
        <v>40</v>
      </c>
      <c r="D160" s="4" t="s">
        <v>41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44562</v>
      </c>
      <c r="J160" s="6">
        <v>1983</v>
      </c>
      <c r="K160" s="6">
        <v>1983</v>
      </c>
      <c r="L160" s="6">
        <v>0</v>
      </c>
      <c r="M160" s="6">
        <v>0</v>
      </c>
      <c r="N160" s="6">
        <v>0</v>
      </c>
      <c r="O160" s="6">
        <v>0</v>
      </c>
      <c r="P160" s="6">
        <v>27</v>
      </c>
      <c r="Q160" s="4" t="s">
        <v>26</v>
      </c>
      <c r="R160" s="4">
        <v>0</v>
      </c>
      <c r="S160" s="4" t="s">
        <v>202</v>
      </c>
      <c r="U160" s="4">
        <v>13</v>
      </c>
      <c r="V160" s="4">
        <v>0</v>
      </c>
      <c r="W160" s="4">
        <v>0</v>
      </c>
    </row>
    <row r="161" spans="1:23" ht="11.25" customHeight="1" x14ac:dyDescent="0.3">
      <c r="A161" s="4" t="s">
        <v>28</v>
      </c>
      <c r="B161" s="4" t="s">
        <v>39</v>
      </c>
      <c r="C161" s="4" t="s">
        <v>40</v>
      </c>
      <c r="D161" s="4" t="s">
        <v>41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44562</v>
      </c>
      <c r="J161" s="6">
        <v>507</v>
      </c>
      <c r="K161" s="6">
        <v>507</v>
      </c>
      <c r="L161" s="6">
        <v>0</v>
      </c>
      <c r="M161" s="6">
        <v>0</v>
      </c>
      <c r="N161" s="6">
        <v>0</v>
      </c>
      <c r="O161" s="6">
        <v>0</v>
      </c>
      <c r="P161" s="6">
        <v>4</v>
      </c>
      <c r="Q161" s="4" t="s">
        <v>26</v>
      </c>
      <c r="R161" s="4">
        <v>0</v>
      </c>
      <c r="S161" s="4" t="s">
        <v>202</v>
      </c>
      <c r="U161" s="4">
        <v>13</v>
      </c>
      <c r="V161" s="4">
        <v>0</v>
      </c>
      <c r="W161" s="4">
        <v>0</v>
      </c>
    </row>
    <row r="162" spans="1:23" ht="11.25" customHeight="1" x14ac:dyDescent="0.3">
      <c r="A162" s="4" t="s">
        <v>21</v>
      </c>
      <c r="B162" s="4" t="s">
        <v>39</v>
      </c>
      <c r="C162" s="4" t="s">
        <v>40</v>
      </c>
      <c r="D162" s="4" t="s">
        <v>41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44593</v>
      </c>
      <c r="J162" s="6">
        <v>1701</v>
      </c>
      <c r="K162" s="6">
        <v>1701</v>
      </c>
      <c r="L162" s="6">
        <v>0</v>
      </c>
      <c r="M162" s="6">
        <v>0</v>
      </c>
      <c r="N162" s="6">
        <v>0</v>
      </c>
      <c r="O162" s="6">
        <v>0</v>
      </c>
      <c r="P162" s="6">
        <v>23</v>
      </c>
      <c r="Q162" s="4" t="s">
        <v>26</v>
      </c>
      <c r="R162" s="4">
        <v>0</v>
      </c>
      <c r="S162" s="4" t="s">
        <v>203</v>
      </c>
      <c r="U162" s="4">
        <v>13</v>
      </c>
      <c r="V162" s="4">
        <v>0</v>
      </c>
      <c r="W162" s="4">
        <v>0</v>
      </c>
    </row>
    <row r="163" spans="1:23" ht="11.25" customHeight="1" x14ac:dyDescent="0.3">
      <c r="A163" s="4" t="s">
        <v>28</v>
      </c>
      <c r="B163" s="4" t="s">
        <v>39</v>
      </c>
      <c r="C163" s="4" t="s">
        <v>40</v>
      </c>
      <c r="D163" s="4" t="s">
        <v>41</v>
      </c>
      <c r="E163" s="4" t="s">
        <v>25</v>
      </c>
      <c r="F163" s="4" t="s">
        <v>25</v>
      </c>
      <c r="G163" s="4" t="s">
        <v>25</v>
      </c>
      <c r="H163" s="4" t="s">
        <v>25</v>
      </c>
      <c r="I163" s="5">
        <v>44593</v>
      </c>
      <c r="J163" s="6">
        <v>507</v>
      </c>
      <c r="K163" s="6">
        <v>507</v>
      </c>
      <c r="L163" s="6">
        <v>0</v>
      </c>
      <c r="M163" s="6">
        <v>0</v>
      </c>
      <c r="N163" s="6">
        <v>0</v>
      </c>
      <c r="O163" s="6">
        <v>0</v>
      </c>
      <c r="P163" s="6">
        <v>4</v>
      </c>
      <c r="Q163" s="4" t="s">
        <v>26</v>
      </c>
      <c r="R163" s="4">
        <v>0</v>
      </c>
      <c r="S163" s="4" t="s">
        <v>203</v>
      </c>
      <c r="U163" s="4">
        <v>13</v>
      </c>
      <c r="V163" s="4">
        <v>0</v>
      </c>
      <c r="W163" s="4">
        <v>0</v>
      </c>
    </row>
    <row r="164" spans="1:23" ht="11.25" customHeight="1" x14ac:dyDescent="0.3">
      <c r="A164" s="4" t="s">
        <v>21</v>
      </c>
      <c r="B164" s="4" t="s">
        <v>39</v>
      </c>
      <c r="C164" s="4" t="s">
        <v>40</v>
      </c>
      <c r="D164" s="4" t="s">
        <v>41</v>
      </c>
      <c r="E164" s="4" t="s">
        <v>25</v>
      </c>
      <c r="F164" s="4" t="s">
        <v>25</v>
      </c>
      <c r="G164" s="4" t="s">
        <v>25</v>
      </c>
      <c r="H164" s="4" t="s">
        <v>25</v>
      </c>
      <c r="I164" s="5">
        <v>44621</v>
      </c>
      <c r="J164" s="6">
        <v>1705</v>
      </c>
      <c r="K164" s="6">
        <v>1705</v>
      </c>
      <c r="L164" s="6">
        <v>0</v>
      </c>
      <c r="M164" s="6">
        <v>0</v>
      </c>
      <c r="N164" s="6">
        <v>0</v>
      </c>
      <c r="O164" s="6">
        <v>0</v>
      </c>
      <c r="P164" s="6">
        <v>23</v>
      </c>
      <c r="Q164" s="4" t="s">
        <v>26</v>
      </c>
      <c r="R164" s="4">
        <v>0</v>
      </c>
      <c r="S164" s="4" t="s">
        <v>204</v>
      </c>
      <c r="U164" s="4">
        <v>13</v>
      </c>
      <c r="V164" s="4">
        <v>0</v>
      </c>
      <c r="W164" s="4">
        <v>0</v>
      </c>
    </row>
    <row r="165" spans="1:23" ht="11.25" customHeight="1" x14ac:dyDescent="0.3">
      <c r="A165" s="4" t="s">
        <v>28</v>
      </c>
      <c r="B165" s="4" t="s">
        <v>39</v>
      </c>
      <c r="C165" s="4" t="s">
        <v>40</v>
      </c>
      <c r="D165" s="4" t="s">
        <v>41</v>
      </c>
      <c r="E165" s="4" t="s">
        <v>25</v>
      </c>
      <c r="F165" s="4" t="s">
        <v>25</v>
      </c>
      <c r="G165" s="4" t="s">
        <v>25</v>
      </c>
      <c r="H165" s="4" t="s">
        <v>25</v>
      </c>
      <c r="I165" s="5">
        <v>44621</v>
      </c>
      <c r="J165" s="6">
        <v>507</v>
      </c>
      <c r="K165" s="6">
        <v>507</v>
      </c>
      <c r="L165" s="6">
        <v>0</v>
      </c>
      <c r="M165" s="6">
        <v>0</v>
      </c>
      <c r="N165" s="6">
        <v>0</v>
      </c>
      <c r="O165" s="6">
        <v>0</v>
      </c>
      <c r="P165" s="6">
        <v>4</v>
      </c>
      <c r="Q165" s="4" t="s">
        <v>26</v>
      </c>
      <c r="R165" s="4">
        <v>0</v>
      </c>
      <c r="S165" s="4" t="s">
        <v>204</v>
      </c>
      <c r="U165" s="4">
        <v>13</v>
      </c>
      <c r="V165" s="4">
        <v>0</v>
      </c>
      <c r="W165" s="4">
        <v>0</v>
      </c>
    </row>
    <row r="166" spans="1:23" ht="11.25" customHeight="1" x14ac:dyDescent="0.3">
      <c r="A166" s="4" t="s">
        <v>21</v>
      </c>
      <c r="B166" s="4" t="s">
        <v>39</v>
      </c>
      <c r="C166" s="4" t="s">
        <v>40</v>
      </c>
      <c r="D166" s="4" t="s">
        <v>41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44652</v>
      </c>
      <c r="J166" s="6">
        <v>1750</v>
      </c>
      <c r="K166" s="6">
        <v>1750</v>
      </c>
      <c r="L166" s="6">
        <v>0</v>
      </c>
      <c r="M166" s="6">
        <v>0</v>
      </c>
      <c r="N166" s="6">
        <v>0</v>
      </c>
      <c r="O166" s="6">
        <v>0</v>
      </c>
      <c r="P166" s="6">
        <v>23</v>
      </c>
      <c r="Q166" s="4" t="s">
        <v>26</v>
      </c>
      <c r="R166" s="4">
        <v>0</v>
      </c>
      <c r="S166" s="4" t="s">
        <v>205</v>
      </c>
      <c r="U166" s="4">
        <v>13</v>
      </c>
      <c r="V166" s="4">
        <v>0</v>
      </c>
      <c r="W166" s="4">
        <v>0</v>
      </c>
    </row>
    <row r="167" spans="1:23" ht="11.25" customHeight="1" x14ac:dyDescent="0.3">
      <c r="A167" s="4" t="s">
        <v>28</v>
      </c>
      <c r="B167" s="4" t="s">
        <v>39</v>
      </c>
      <c r="C167" s="4" t="s">
        <v>40</v>
      </c>
      <c r="D167" s="4" t="s">
        <v>41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44652</v>
      </c>
      <c r="J167" s="6">
        <v>522</v>
      </c>
      <c r="K167" s="6">
        <v>522</v>
      </c>
      <c r="L167" s="6">
        <v>0</v>
      </c>
      <c r="M167" s="6">
        <v>0</v>
      </c>
      <c r="N167" s="6">
        <v>0</v>
      </c>
      <c r="O167" s="6">
        <v>0</v>
      </c>
      <c r="P167" s="6">
        <v>4</v>
      </c>
      <c r="Q167" s="4" t="s">
        <v>26</v>
      </c>
      <c r="R167" s="4">
        <v>0</v>
      </c>
      <c r="S167" s="4" t="s">
        <v>205</v>
      </c>
      <c r="U167" s="4">
        <v>13</v>
      </c>
      <c r="V167" s="4">
        <v>0</v>
      </c>
      <c r="W167" s="4">
        <v>0</v>
      </c>
    </row>
    <row r="168" spans="1:23" ht="11.25" customHeight="1" x14ac:dyDescent="0.3">
      <c r="A168" s="4" t="s">
        <v>21</v>
      </c>
      <c r="B168" s="4" t="s">
        <v>39</v>
      </c>
      <c r="C168" s="4" t="s">
        <v>40</v>
      </c>
      <c r="D168" s="4" t="s">
        <v>41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44682</v>
      </c>
      <c r="J168" s="6">
        <v>1819</v>
      </c>
      <c r="K168" s="6">
        <v>1819</v>
      </c>
      <c r="L168" s="6">
        <v>0</v>
      </c>
      <c r="M168" s="6">
        <v>0</v>
      </c>
      <c r="N168" s="6">
        <v>0</v>
      </c>
      <c r="O168" s="6">
        <v>0</v>
      </c>
      <c r="P168" s="6">
        <v>23</v>
      </c>
      <c r="Q168" s="4" t="s">
        <v>26</v>
      </c>
      <c r="R168" s="4">
        <v>0</v>
      </c>
      <c r="S168" s="4" t="s">
        <v>206</v>
      </c>
      <c r="U168" s="4">
        <v>13</v>
      </c>
      <c r="V168" s="4">
        <v>0</v>
      </c>
      <c r="W168" s="4">
        <v>0</v>
      </c>
    </row>
    <row r="169" spans="1:23" ht="11.25" customHeight="1" x14ac:dyDescent="0.3">
      <c r="A169" s="4" t="s">
        <v>28</v>
      </c>
      <c r="B169" s="4" t="s">
        <v>39</v>
      </c>
      <c r="C169" s="4" t="s">
        <v>40</v>
      </c>
      <c r="D169" s="4" t="s">
        <v>41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44682</v>
      </c>
      <c r="J169" s="6">
        <v>507</v>
      </c>
      <c r="K169" s="6">
        <v>507</v>
      </c>
      <c r="L169" s="6">
        <v>0</v>
      </c>
      <c r="M169" s="6">
        <v>0</v>
      </c>
      <c r="N169" s="6">
        <v>0</v>
      </c>
      <c r="O169" s="6">
        <v>0</v>
      </c>
      <c r="P169" s="6">
        <v>4</v>
      </c>
      <c r="Q169" s="4" t="s">
        <v>26</v>
      </c>
      <c r="R169" s="4">
        <v>0</v>
      </c>
      <c r="S169" s="4" t="s">
        <v>206</v>
      </c>
      <c r="U169" s="4">
        <v>13</v>
      </c>
      <c r="V169" s="4">
        <v>0</v>
      </c>
      <c r="W169" s="4">
        <v>0</v>
      </c>
    </row>
    <row r="170" spans="1:23" ht="11.25" customHeight="1" x14ac:dyDescent="0.3">
      <c r="A170" s="4" t="s">
        <v>21</v>
      </c>
      <c r="B170" s="4" t="s">
        <v>39</v>
      </c>
      <c r="C170" s="4" t="s">
        <v>40</v>
      </c>
      <c r="D170" s="4" t="s">
        <v>41</v>
      </c>
      <c r="E170" s="4" t="s">
        <v>25</v>
      </c>
      <c r="F170" s="4" t="s">
        <v>25</v>
      </c>
      <c r="G170" s="4" t="s">
        <v>25</v>
      </c>
      <c r="H170" s="4" t="s">
        <v>25</v>
      </c>
      <c r="I170" s="5">
        <v>44713</v>
      </c>
      <c r="J170" s="6">
        <v>1811</v>
      </c>
      <c r="K170" s="6">
        <v>1811</v>
      </c>
      <c r="L170" s="6">
        <v>0</v>
      </c>
      <c r="M170" s="6">
        <v>0</v>
      </c>
      <c r="N170" s="6">
        <v>0</v>
      </c>
      <c r="O170" s="6">
        <v>0</v>
      </c>
      <c r="P170" s="6">
        <v>23</v>
      </c>
      <c r="Q170" s="4" t="s">
        <v>26</v>
      </c>
      <c r="R170" s="4">
        <v>0</v>
      </c>
      <c r="S170" s="4" t="s">
        <v>207</v>
      </c>
      <c r="U170" s="4">
        <v>13</v>
      </c>
      <c r="V170" s="4">
        <v>0</v>
      </c>
      <c r="W170" s="4">
        <v>0</v>
      </c>
    </row>
    <row r="171" spans="1:23" ht="11.25" customHeight="1" x14ac:dyDescent="0.3">
      <c r="A171" s="4" t="s">
        <v>28</v>
      </c>
      <c r="B171" s="4" t="s">
        <v>39</v>
      </c>
      <c r="C171" s="4" t="s">
        <v>40</v>
      </c>
      <c r="D171" s="4" t="s">
        <v>41</v>
      </c>
      <c r="E171" s="4" t="s">
        <v>25</v>
      </c>
      <c r="F171" s="4" t="s">
        <v>25</v>
      </c>
      <c r="G171" s="4" t="s">
        <v>25</v>
      </c>
      <c r="H171" s="4" t="s">
        <v>25</v>
      </c>
      <c r="I171" s="5">
        <v>44713</v>
      </c>
      <c r="J171" s="6">
        <v>507</v>
      </c>
      <c r="K171" s="6">
        <v>507</v>
      </c>
      <c r="L171" s="6">
        <v>0</v>
      </c>
      <c r="M171" s="6">
        <v>0</v>
      </c>
      <c r="N171" s="6">
        <v>0</v>
      </c>
      <c r="O171" s="6">
        <v>0</v>
      </c>
      <c r="P171" s="6">
        <v>4</v>
      </c>
      <c r="Q171" s="4" t="s">
        <v>26</v>
      </c>
      <c r="R171" s="4">
        <v>0</v>
      </c>
      <c r="S171" s="4" t="s">
        <v>207</v>
      </c>
      <c r="U171" s="4">
        <v>13</v>
      </c>
      <c r="V171" s="4">
        <v>0</v>
      </c>
      <c r="W171" s="4">
        <v>0</v>
      </c>
    </row>
    <row r="172" spans="1:23" ht="11.25" customHeight="1" x14ac:dyDescent="0.3">
      <c r="A172" s="4" t="s">
        <v>21</v>
      </c>
      <c r="B172" s="4" t="s">
        <v>39</v>
      </c>
      <c r="C172" s="4" t="s">
        <v>40</v>
      </c>
      <c r="D172" s="4" t="s">
        <v>41</v>
      </c>
      <c r="E172" s="4" t="s">
        <v>25</v>
      </c>
      <c r="F172" s="4" t="s">
        <v>25</v>
      </c>
      <c r="G172" s="4" t="s">
        <v>25</v>
      </c>
      <c r="H172" s="4" t="s">
        <v>25</v>
      </c>
      <c r="I172" s="5">
        <v>44743</v>
      </c>
      <c r="J172" s="6">
        <v>1647</v>
      </c>
      <c r="K172" s="6">
        <v>1647</v>
      </c>
      <c r="L172" s="6">
        <v>0</v>
      </c>
      <c r="M172" s="6">
        <v>0</v>
      </c>
      <c r="N172" s="6">
        <v>0</v>
      </c>
      <c r="O172" s="6">
        <v>0</v>
      </c>
      <c r="P172" s="6">
        <v>22</v>
      </c>
      <c r="Q172" s="4" t="s">
        <v>26</v>
      </c>
      <c r="R172" s="4">
        <v>0</v>
      </c>
      <c r="S172" s="4" t="s">
        <v>208</v>
      </c>
      <c r="U172" s="4">
        <v>13</v>
      </c>
      <c r="V172" s="4">
        <v>0</v>
      </c>
      <c r="W172" s="4">
        <v>0</v>
      </c>
    </row>
    <row r="173" spans="1:23" ht="11.25" customHeight="1" x14ac:dyDescent="0.3">
      <c r="A173" s="4" t="s">
        <v>28</v>
      </c>
      <c r="B173" s="4" t="s">
        <v>39</v>
      </c>
      <c r="C173" s="4" t="s">
        <v>40</v>
      </c>
      <c r="D173" s="4" t="s">
        <v>41</v>
      </c>
      <c r="E173" s="4" t="s">
        <v>25</v>
      </c>
      <c r="F173" s="4" t="s">
        <v>25</v>
      </c>
      <c r="G173" s="4" t="s">
        <v>25</v>
      </c>
      <c r="H173" s="4" t="s">
        <v>25</v>
      </c>
      <c r="I173" s="5">
        <v>44743</v>
      </c>
      <c r="J173" s="6">
        <v>507</v>
      </c>
      <c r="K173" s="6">
        <v>507</v>
      </c>
      <c r="L173" s="6">
        <v>0</v>
      </c>
      <c r="M173" s="6">
        <v>0</v>
      </c>
      <c r="N173" s="6">
        <v>0</v>
      </c>
      <c r="O173" s="6">
        <v>0</v>
      </c>
      <c r="P173" s="6">
        <v>4</v>
      </c>
      <c r="Q173" s="4" t="s">
        <v>26</v>
      </c>
      <c r="R173" s="4">
        <v>0</v>
      </c>
      <c r="S173" s="4" t="s">
        <v>208</v>
      </c>
      <c r="U173" s="4">
        <v>13</v>
      </c>
      <c r="V173" s="4">
        <v>0</v>
      </c>
      <c r="W173" s="4">
        <v>0</v>
      </c>
    </row>
    <row r="174" spans="1:23" ht="11.25" customHeight="1" x14ac:dyDescent="0.3">
      <c r="A174" s="4" t="s">
        <v>21</v>
      </c>
      <c r="B174" s="4" t="s">
        <v>39</v>
      </c>
      <c r="C174" s="4" t="s">
        <v>40</v>
      </c>
      <c r="D174" s="4" t="s">
        <v>41</v>
      </c>
      <c r="E174" s="4" t="s">
        <v>25</v>
      </c>
      <c r="F174" s="4" t="s">
        <v>25</v>
      </c>
      <c r="G174" s="4" t="s">
        <v>25</v>
      </c>
      <c r="H174" s="4" t="s">
        <v>25</v>
      </c>
      <c r="I174" s="5">
        <v>44774</v>
      </c>
      <c r="J174" s="6">
        <v>1665</v>
      </c>
      <c r="K174" s="6">
        <v>1665</v>
      </c>
      <c r="L174" s="6">
        <v>0</v>
      </c>
      <c r="M174" s="6">
        <v>0</v>
      </c>
      <c r="N174" s="6">
        <v>0</v>
      </c>
      <c r="O174" s="6">
        <v>0</v>
      </c>
      <c r="P174" s="6">
        <v>22</v>
      </c>
      <c r="Q174" s="4" t="s">
        <v>26</v>
      </c>
      <c r="R174" s="4">
        <v>0</v>
      </c>
      <c r="S174" s="4" t="s">
        <v>209</v>
      </c>
      <c r="U174" s="4">
        <v>13</v>
      </c>
      <c r="V174" s="4">
        <v>0</v>
      </c>
      <c r="W174" s="4">
        <v>0</v>
      </c>
    </row>
    <row r="175" spans="1:23" ht="11.25" customHeight="1" x14ac:dyDescent="0.3">
      <c r="A175" s="4" t="s">
        <v>28</v>
      </c>
      <c r="B175" s="4" t="s">
        <v>39</v>
      </c>
      <c r="C175" s="4" t="s">
        <v>40</v>
      </c>
      <c r="D175" s="4" t="s">
        <v>41</v>
      </c>
      <c r="E175" s="4" t="s">
        <v>25</v>
      </c>
      <c r="F175" s="4" t="s">
        <v>25</v>
      </c>
      <c r="G175" s="4" t="s">
        <v>25</v>
      </c>
      <c r="H175" s="4" t="s">
        <v>25</v>
      </c>
      <c r="I175" s="5">
        <v>44774</v>
      </c>
      <c r="J175" s="6">
        <v>507</v>
      </c>
      <c r="K175" s="6">
        <v>507</v>
      </c>
      <c r="L175" s="6">
        <v>0</v>
      </c>
      <c r="M175" s="6">
        <v>0</v>
      </c>
      <c r="N175" s="6">
        <v>0</v>
      </c>
      <c r="O175" s="6">
        <v>0</v>
      </c>
      <c r="P175" s="6">
        <v>4</v>
      </c>
      <c r="Q175" s="4" t="s">
        <v>26</v>
      </c>
      <c r="R175" s="4">
        <v>0</v>
      </c>
      <c r="S175" s="4" t="s">
        <v>209</v>
      </c>
      <c r="U175" s="4">
        <v>13</v>
      </c>
      <c r="V175" s="4">
        <v>0</v>
      </c>
      <c r="W175" s="4">
        <v>0</v>
      </c>
    </row>
    <row r="176" spans="1:23" ht="11.25" customHeight="1" x14ac:dyDescent="0.3">
      <c r="A176" s="4" t="s">
        <v>21</v>
      </c>
      <c r="B176" s="4" t="s">
        <v>39</v>
      </c>
      <c r="C176" s="4" t="s">
        <v>40</v>
      </c>
      <c r="D176" s="4" t="s">
        <v>41</v>
      </c>
      <c r="E176" s="4" t="s">
        <v>25</v>
      </c>
      <c r="F176" s="4" t="s">
        <v>25</v>
      </c>
      <c r="G176" s="4" t="s">
        <v>25</v>
      </c>
      <c r="H176" s="4" t="s">
        <v>25</v>
      </c>
      <c r="I176" s="5">
        <v>44805</v>
      </c>
      <c r="J176" s="6">
        <v>1708</v>
      </c>
      <c r="K176" s="6">
        <v>1708</v>
      </c>
      <c r="L176" s="6">
        <v>0</v>
      </c>
      <c r="M176" s="6">
        <v>0</v>
      </c>
      <c r="N176" s="6">
        <v>0</v>
      </c>
      <c r="O176" s="6">
        <v>0</v>
      </c>
      <c r="P176" s="6">
        <v>22</v>
      </c>
      <c r="Q176" s="4" t="s">
        <v>26</v>
      </c>
      <c r="R176" s="4">
        <v>0</v>
      </c>
      <c r="S176" s="4" t="s">
        <v>210</v>
      </c>
      <c r="U176" s="4">
        <v>13</v>
      </c>
      <c r="V176" s="4">
        <v>0</v>
      </c>
      <c r="W176" s="4">
        <v>0</v>
      </c>
    </row>
    <row r="177" spans="1:23" ht="11.25" customHeight="1" x14ac:dyDescent="0.3">
      <c r="A177" s="4" t="s">
        <v>28</v>
      </c>
      <c r="B177" s="4" t="s">
        <v>39</v>
      </c>
      <c r="C177" s="4" t="s">
        <v>40</v>
      </c>
      <c r="D177" s="4" t="s">
        <v>41</v>
      </c>
      <c r="E177" s="4" t="s">
        <v>25</v>
      </c>
      <c r="F177" s="4" t="s">
        <v>25</v>
      </c>
      <c r="G177" s="4" t="s">
        <v>25</v>
      </c>
      <c r="H177" s="4" t="s">
        <v>25</v>
      </c>
      <c r="I177" s="5">
        <v>44805</v>
      </c>
      <c r="J177" s="6">
        <v>507</v>
      </c>
      <c r="K177" s="6">
        <v>507</v>
      </c>
      <c r="L177" s="6">
        <v>0</v>
      </c>
      <c r="M177" s="6">
        <v>0</v>
      </c>
      <c r="N177" s="6">
        <v>0</v>
      </c>
      <c r="O177" s="6">
        <v>0</v>
      </c>
      <c r="P177" s="6">
        <v>4</v>
      </c>
      <c r="Q177" s="4" t="s">
        <v>26</v>
      </c>
      <c r="R177" s="4">
        <v>0</v>
      </c>
      <c r="S177" s="4" t="s">
        <v>210</v>
      </c>
      <c r="U177" s="4">
        <v>13</v>
      </c>
      <c r="V177" s="4">
        <v>0</v>
      </c>
      <c r="W177" s="4">
        <v>0</v>
      </c>
    </row>
    <row r="178" spans="1:23" ht="11.25" customHeight="1" x14ac:dyDescent="0.3">
      <c r="A178" s="4" t="s">
        <v>57</v>
      </c>
      <c r="B178" s="4" t="s">
        <v>39</v>
      </c>
      <c r="C178" s="4" t="s">
        <v>40</v>
      </c>
      <c r="D178" s="4" t="s">
        <v>41</v>
      </c>
      <c r="E178" s="4" t="s">
        <v>25</v>
      </c>
      <c r="F178" s="4" t="s">
        <v>25</v>
      </c>
      <c r="G178" s="4" t="s">
        <v>25</v>
      </c>
      <c r="H178" s="4" t="s">
        <v>25</v>
      </c>
      <c r="I178" s="5">
        <v>44835</v>
      </c>
      <c r="J178" s="6">
        <v>1708</v>
      </c>
      <c r="K178" s="6">
        <v>1708</v>
      </c>
      <c r="L178" s="6">
        <v>0</v>
      </c>
      <c r="M178" s="6">
        <v>0</v>
      </c>
      <c r="N178" s="6">
        <v>0</v>
      </c>
      <c r="O178" s="6">
        <v>0</v>
      </c>
      <c r="P178" s="6">
        <v>22</v>
      </c>
      <c r="Q178" s="4" t="s">
        <v>26</v>
      </c>
      <c r="R178" s="4">
        <v>0</v>
      </c>
      <c r="S178" s="4" t="s">
        <v>211</v>
      </c>
      <c r="U178" s="4">
        <v>13</v>
      </c>
      <c r="V178" s="4">
        <v>0</v>
      </c>
      <c r="W178" s="4">
        <v>0</v>
      </c>
    </row>
    <row r="179" spans="1:23" ht="11.25" customHeight="1" x14ac:dyDescent="0.3">
      <c r="A179" s="4" t="s">
        <v>57</v>
      </c>
      <c r="B179" s="4" t="s">
        <v>39</v>
      </c>
      <c r="C179" s="4" t="s">
        <v>40</v>
      </c>
      <c r="D179" s="4" t="s">
        <v>41</v>
      </c>
      <c r="E179" s="4" t="s">
        <v>25</v>
      </c>
      <c r="F179" s="4" t="s">
        <v>25</v>
      </c>
      <c r="G179" s="4" t="s">
        <v>25</v>
      </c>
      <c r="H179" s="4" t="s">
        <v>25</v>
      </c>
      <c r="I179" s="5">
        <v>44835</v>
      </c>
      <c r="J179" s="6">
        <v>507</v>
      </c>
      <c r="K179" s="6">
        <v>507</v>
      </c>
      <c r="L179" s="6">
        <v>0</v>
      </c>
      <c r="M179" s="6">
        <v>0</v>
      </c>
      <c r="N179" s="6">
        <v>0</v>
      </c>
      <c r="O179" s="6">
        <v>0</v>
      </c>
      <c r="P179" s="6">
        <v>4</v>
      </c>
      <c r="Q179" s="4" t="s">
        <v>26</v>
      </c>
      <c r="R179" s="4">
        <v>0</v>
      </c>
      <c r="S179" s="4" t="s">
        <v>211</v>
      </c>
      <c r="U179" s="4">
        <v>13</v>
      </c>
      <c r="V179" s="4">
        <v>0</v>
      </c>
      <c r="W179" s="4">
        <v>0</v>
      </c>
    </row>
    <row r="180" spans="1:23" ht="11.25" customHeight="1" x14ac:dyDescent="0.3">
      <c r="A180" s="4" t="s">
        <v>21</v>
      </c>
      <c r="B180" s="4" t="s">
        <v>39</v>
      </c>
      <c r="C180" s="4" t="s">
        <v>40</v>
      </c>
      <c r="D180" s="4" t="s">
        <v>41</v>
      </c>
      <c r="E180" s="4" t="s">
        <v>25</v>
      </c>
      <c r="F180" s="4" t="s">
        <v>25</v>
      </c>
      <c r="G180" s="4" t="s">
        <v>25</v>
      </c>
      <c r="H180" s="4" t="s">
        <v>34</v>
      </c>
      <c r="I180" s="5">
        <v>44501</v>
      </c>
      <c r="J180" s="6">
        <v>0</v>
      </c>
      <c r="K180" s="6">
        <v>0</v>
      </c>
      <c r="L180" s="6">
        <v>26.192</v>
      </c>
      <c r="M180" s="6">
        <v>26.192</v>
      </c>
      <c r="N180" s="6">
        <v>26.192</v>
      </c>
      <c r="O180" s="6">
        <v>26.192</v>
      </c>
      <c r="P180" s="6">
        <v>0</v>
      </c>
      <c r="Q180" s="4" t="s">
        <v>26</v>
      </c>
      <c r="R180" s="4">
        <v>0</v>
      </c>
      <c r="S180" s="4" t="s">
        <v>212</v>
      </c>
      <c r="T180" s="4" t="s">
        <v>433</v>
      </c>
      <c r="U180" s="4">
        <v>0</v>
      </c>
      <c r="V180" s="4">
        <v>15</v>
      </c>
      <c r="W180" s="4">
        <v>65</v>
      </c>
    </row>
    <row r="181" spans="1:23" ht="11.25" customHeight="1" x14ac:dyDescent="0.3">
      <c r="A181" s="4" t="s">
        <v>28</v>
      </c>
      <c r="B181" s="4" t="s">
        <v>39</v>
      </c>
      <c r="C181" s="4" t="s">
        <v>40</v>
      </c>
      <c r="D181" s="4" t="s">
        <v>41</v>
      </c>
      <c r="E181" s="4" t="s">
        <v>25</v>
      </c>
      <c r="F181" s="4" t="s">
        <v>25</v>
      </c>
      <c r="G181" s="4" t="s">
        <v>25</v>
      </c>
      <c r="H181" s="4" t="s">
        <v>34</v>
      </c>
      <c r="I181" s="5">
        <v>44501</v>
      </c>
      <c r="J181" s="6">
        <v>0</v>
      </c>
      <c r="K181" s="6">
        <v>0</v>
      </c>
      <c r="L181" s="6">
        <v>7.835</v>
      </c>
      <c r="M181" s="6">
        <v>7.835</v>
      </c>
      <c r="N181" s="6">
        <v>7.835</v>
      </c>
      <c r="O181" s="6">
        <v>7.835</v>
      </c>
      <c r="P181" s="6">
        <v>0</v>
      </c>
      <c r="Q181" s="4" t="s">
        <v>26</v>
      </c>
      <c r="R181" s="4">
        <v>0</v>
      </c>
      <c r="S181" s="4" t="s">
        <v>212</v>
      </c>
      <c r="T181" s="4" t="s">
        <v>433</v>
      </c>
      <c r="U181" s="4">
        <v>0</v>
      </c>
      <c r="V181" s="4">
        <v>15</v>
      </c>
      <c r="W181" s="4">
        <v>65</v>
      </c>
    </row>
    <row r="182" spans="1:23" ht="11.25" customHeight="1" x14ac:dyDescent="0.3">
      <c r="A182" s="4" t="s">
        <v>21</v>
      </c>
      <c r="B182" s="4" t="s">
        <v>39</v>
      </c>
      <c r="C182" s="4" t="s">
        <v>40</v>
      </c>
      <c r="D182" s="4" t="s">
        <v>41</v>
      </c>
      <c r="E182" s="4" t="s">
        <v>25</v>
      </c>
      <c r="F182" s="4" t="s">
        <v>25</v>
      </c>
      <c r="G182" s="4" t="s">
        <v>25</v>
      </c>
      <c r="H182" s="4" t="s">
        <v>34</v>
      </c>
      <c r="I182" s="5">
        <v>44531</v>
      </c>
      <c r="J182" s="6">
        <v>0</v>
      </c>
      <c r="K182" s="6">
        <v>0</v>
      </c>
      <c r="L182" s="6">
        <v>25.745999999999999</v>
      </c>
      <c r="M182" s="6">
        <v>25.745999999999999</v>
      </c>
      <c r="N182" s="6">
        <v>25.745999999999999</v>
      </c>
      <c r="O182" s="6">
        <v>25.745999999999999</v>
      </c>
      <c r="P182" s="6">
        <v>0</v>
      </c>
      <c r="Q182" s="4" t="s">
        <v>26</v>
      </c>
      <c r="R182" s="4">
        <v>0</v>
      </c>
      <c r="S182" s="4" t="s">
        <v>213</v>
      </c>
      <c r="T182" s="4" t="s">
        <v>434</v>
      </c>
      <c r="U182" s="4">
        <v>0</v>
      </c>
      <c r="V182" s="4">
        <v>15</v>
      </c>
      <c r="W182" s="4">
        <v>65</v>
      </c>
    </row>
    <row r="183" spans="1:23" ht="11.25" customHeight="1" x14ac:dyDescent="0.3">
      <c r="A183" s="4" t="s">
        <v>28</v>
      </c>
      <c r="B183" s="4" t="s">
        <v>39</v>
      </c>
      <c r="C183" s="4" t="s">
        <v>40</v>
      </c>
      <c r="D183" s="4" t="s">
        <v>41</v>
      </c>
      <c r="E183" s="4" t="s">
        <v>25</v>
      </c>
      <c r="F183" s="4" t="s">
        <v>25</v>
      </c>
      <c r="G183" s="4" t="s">
        <v>25</v>
      </c>
      <c r="H183" s="4" t="s">
        <v>34</v>
      </c>
      <c r="I183" s="5">
        <v>44531</v>
      </c>
      <c r="J183" s="6">
        <v>0</v>
      </c>
      <c r="K183" s="6">
        <v>0</v>
      </c>
      <c r="L183" s="6">
        <v>7.01</v>
      </c>
      <c r="M183" s="6">
        <v>7.01</v>
      </c>
      <c r="N183" s="6">
        <v>7.01</v>
      </c>
      <c r="O183" s="6">
        <v>7.01</v>
      </c>
      <c r="P183" s="6">
        <v>0</v>
      </c>
      <c r="Q183" s="4" t="s">
        <v>26</v>
      </c>
      <c r="R183" s="4">
        <v>0</v>
      </c>
      <c r="S183" s="4" t="s">
        <v>213</v>
      </c>
      <c r="T183" s="4" t="s">
        <v>434</v>
      </c>
      <c r="U183" s="4">
        <v>0</v>
      </c>
      <c r="V183" s="4">
        <v>15</v>
      </c>
      <c r="W183" s="4">
        <v>65</v>
      </c>
    </row>
    <row r="184" spans="1:23" ht="11.25" customHeight="1" x14ac:dyDescent="0.3">
      <c r="A184" s="4" t="s">
        <v>21</v>
      </c>
      <c r="B184" s="4" t="s">
        <v>39</v>
      </c>
      <c r="C184" s="4" t="s">
        <v>40</v>
      </c>
      <c r="D184" s="4" t="s">
        <v>41</v>
      </c>
      <c r="E184" s="4" t="s">
        <v>25</v>
      </c>
      <c r="F184" s="4" t="s">
        <v>25</v>
      </c>
      <c r="G184" s="4" t="s">
        <v>25</v>
      </c>
      <c r="H184" s="4" t="s">
        <v>34</v>
      </c>
      <c r="I184" s="5">
        <v>44562</v>
      </c>
      <c r="J184" s="6">
        <v>0</v>
      </c>
      <c r="K184" s="6">
        <v>0</v>
      </c>
      <c r="L184" s="6">
        <v>21.728000000000002</v>
      </c>
      <c r="M184" s="6">
        <v>21.728000000000002</v>
      </c>
      <c r="N184" s="6">
        <v>21.728000000000002</v>
      </c>
      <c r="O184" s="6">
        <v>21.728000000000002</v>
      </c>
      <c r="P184" s="6">
        <v>0</v>
      </c>
      <c r="Q184" s="4" t="s">
        <v>26</v>
      </c>
      <c r="R184" s="4">
        <v>0</v>
      </c>
      <c r="S184" s="4" t="s">
        <v>214</v>
      </c>
      <c r="T184" s="4" t="s">
        <v>435</v>
      </c>
      <c r="U184" s="4">
        <v>0</v>
      </c>
      <c r="V184" s="4">
        <v>15</v>
      </c>
      <c r="W184" s="4">
        <v>65</v>
      </c>
    </row>
    <row r="185" spans="1:23" ht="11.25" customHeight="1" x14ac:dyDescent="0.3">
      <c r="A185" s="4" t="s">
        <v>28</v>
      </c>
      <c r="B185" s="4" t="s">
        <v>39</v>
      </c>
      <c r="C185" s="4" t="s">
        <v>40</v>
      </c>
      <c r="D185" s="4" t="s">
        <v>41</v>
      </c>
      <c r="E185" s="4" t="s">
        <v>25</v>
      </c>
      <c r="F185" s="4" t="s">
        <v>25</v>
      </c>
      <c r="G185" s="4" t="s">
        <v>25</v>
      </c>
      <c r="H185" s="4" t="s">
        <v>34</v>
      </c>
      <c r="I185" s="5">
        <v>44562</v>
      </c>
      <c r="J185" s="6">
        <v>0</v>
      </c>
      <c r="K185" s="6">
        <v>0</v>
      </c>
      <c r="L185" s="6">
        <v>7.5380000000000003</v>
      </c>
      <c r="M185" s="6">
        <v>7.5380000000000003</v>
      </c>
      <c r="N185" s="6">
        <v>7.5380000000000003</v>
      </c>
      <c r="O185" s="6">
        <v>7.5380000000000003</v>
      </c>
      <c r="P185" s="6">
        <v>0</v>
      </c>
      <c r="Q185" s="4" t="s">
        <v>26</v>
      </c>
      <c r="R185" s="4">
        <v>0</v>
      </c>
      <c r="S185" s="4" t="s">
        <v>214</v>
      </c>
      <c r="T185" s="4" t="s">
        <v>435</v>
      </c>
      <c r="U185" s="4">
        <v>0</v>
      </c>
      <c r="V185" s="4">
        <v>15</v>
      </c>
      <c r="W185" s="4">
        <v>65</v>
      </c>
    </row>
    <row r="186" spans="1:23" ht="11.25" customHeight="1" x14ac:dyDescent="0.3">
      <c r="A186" s="4" t="s">
        <v>21</v>
      </c>
      <c r="B186" s="4" t="s">
        <v>39</v>
      </c>
      <c r="C186" s="4" t="s">
        <v>40</v>
      </c>
      <c r="D186" s="4" t="s">
        <v>41</v>
      </c>
      <c r="E186" s="4" t="s">
        <v>25</v>
      </c>
      <c r="F186" s="4" t="s">
        <v>25</v>
      </c>
      <c r="G186" s="4" t="s">
        <v>25</v>
      </c>
      <c r="H186" s="4" t="s">
        <v>34</v>
      </c>
      <c r="I186" s="5">
        <v>44593</v>
      </c>
      <c r="J186" s="6">
        <v>0</v>
      </c>
      <c r="K186" s="6">
        <v>0</v>
      </c>
      <c r="L186" s="6">
        <v>26.103999999999999</v>
      </c>
      <c r="M186" s="6">
        <v>26.103999999999999</v>
      </c>
      <c r="N186" s="6">
        <v>26.103999999999999</v>
      </c>
      <c r="O186" s="6">
        <v>26.103999999999999</v>
      </c>
      <c r="P186" s="6">
        <v>0</v>
      </c>
      <c r="Q186" s="4" t="s">
        <v>26</v>
      </c>
      <c r="R186" s="4">
        <v>0</v>
      </c>
      <c r="S186" s="4" t="s">
        <v>215</v>
      </c>
      <c r="T186" s="4" t="s">
        <v>436</v>
      </c>
      <c r="U186" s="4">
        <v>0</v>
      </c>
      <c r="V186" s="4">
        <v>15</v>
      </c>
      <c r="W186" s="4">
        <v>65</v>
      </c>
    </row>
    <row r="187" spans="1:23" ht="11.25" customHeight="1" x14ac:dyDescent="0.3">
      <c r="A187" s="4" t="s">
        <v>28</v>
      </c>
      <c r="B187" s="4" t="s">
        <v>39</v>
      </c>
      <c r="C187" s="4" t="s">
        <v>40</v>
      </c>
      <c r="D187" s="4" t="s">
        <v>41</v>
      </c>
      <c r="E187" s="4" t="s">
        <v>25</v>
      </c>
      <c r="F187" s="4" t="s">
        <v>25</v>
      </c>
      <c r="G187" s="4" t="s">
        <v>25</v>
      </c>
      <c r="H187" s="4" t="s">
        <v>34</v>
      </c>
      <c r="I187" s="5">
        <v>44593</v>
      </c>
      <c r="J187" s="6">
        <v>0</v>
      </c>
      <c r="K187" s="6">
        <v>0</v>
      </c>
      <c r="L187" s="6">
        <v>6.7990000000000004</v>
      </c>
      <c r="M187" s="6">
        <v>6.7990000000000004</v>
      </c>
      <c r="N187" s="6">
        <v>6.7990000000000004</v>
      </c>
      <c r="O187" s="6">
        <v>6.7990000000000004</v>
      </c>
      <c r="P187" s="6">
        <v>0</v>
      </c>
      <c r="Q187" s="4" t="s">
        <v>26</v>
      </c>
      <c r="R187" s="4">
        <v>0</v>
      </c>
      <c r="S187" s="4" t="s">
        <v>215</v>
      </c>
      <c r="T187" s="4" t="s">
        <v>436</v>
      </c>
      <c r="U187" s="4">
        <v>0</v>
      </c>
      <c r="V187" s="4">
        <v>15</v>
      </c>
      <c r="W187" s="4">
        <v>65</v>
      </c>
    </row>
    <row r="188" spans="1:23" ht="11.25" customHeight="1" x14ac:dyDescent="0.3">
      <c r="A188" s="4" t="s">
        <v>21</v>
      </c>
      <c r="B188" s="4" t="s">
        <v>39</v>
      </c>
      <c r="C188" s="4" t="s">
        <v>40</v>
      </c>
      <c r="D188" s="4" t="s">
        <v>41</v>
      </c>
      <c r="E188" s="4" t="s">
        <v>25</v>
      </c>
      <c r="F188" s="4" t="s">
        <v>25</v>
      </c>
      <c r="G188" s="4" t="s">
        <v>25</v>
      </c>
      <c r="H188" s="4" t="s">
        <v>34</v>
      </c>
      <c r="I188" s="5">
        <v>44621</v>
      </c>
      <c r="J188" s="6">
        <v>0</v>
      </c>
      <c r="K188" s="6">
        <v>0</v>
      </c>
      <c r="L188" s="6">
        <v>35.015000000000001</v>
      </c>
      <c r="M188" s="6">
        <v>35.015000000000001</v>
      </c>
      <c r="N188" s="6">
        <v>35.015000000000001</v>
      </c>
      <c r="O188" s="6">
        <v>35.015000000000001</v>
      </c>
      <c r="P188" s="6">
        <v>0</v>
      </c>
      <c r="Q188" s="4" t="s">
        <v>26</v>
      </c>
      <c r="R188" s="4">
        <v>0</v>
      </c>
      <c r="S188" s="4" t="s">
        <v>216</v>
      </c>
      <c r="T188" s="4" t="s">
        <v>437</v>
      </c>
      <c r="U188" s="4">
        <v>0</v>
      </c>
      <c r="V188" s="4">
        <v>15</v>
      </c>
      <c r="W188" s="4">
        <v>65</v>
      </c>
    </row>
    <row r="189" spans="1:23" ht="11.25" customHeight="1" x14ac:dyDescent="0.3">
      <c r="A189" s="4" t="s">
        <v>28</v>
      </c>
      <c r="B189" s="4" t="s">
        <v>39</v>
      </c>
      <c r="C189" s="4" t="s">
        <v>40</v>
      </c>
      <c r="D189" s="4" t="s">
        <v>41</v>
      </c>
      <c r="E189" s="4" t="s">
        <v>25</v>
      </c>
      <c r="F189" s="4" t="s">
        <v>25</v>
      </c>
      <c r="G189" s="4" t="s">
        <v>25</v>
      </c>
      <c r="H189" s="4" t="s">
        <v>34</v>
      </c>
      <c r="I189" s="5">
        <v>44621</v>
      </c>
      <c r="J189" s="6">
        <v>0</v>
      </c>
      <c r="K189" s="6">
        <v>0</v>
      </c>
      <c r="L189" s="6">
        <v>10.304</v>
      </c>
      <c r="M189" s="6">
        <v>10.304</v>
      </c>
      <c r="N189" s="6">
        <v>10.304</v>
      </c>
      <c r="O189" s="6">
        <v>10.304</v>
      </c>
      <c r="P189" s="6">
        <v>0</v>
      </c>
      <c r="Q189" s="4" t="s">
        <v>26</v>
      </c>
      <c r="R189" s="4">
        <v>0</v>
      </c>
      <c r="S189" s="4" t="s">
        <v>216</v>
      </c>
      <c r="T189" s="4" t="s">
        <v>437</v>
      </c>
      <c r="U189" s="4">
        <v>0</v>
      </c>
      <c r="V189" s="4">
        <v>15</v>
      </c>
      <c r="W189" s="4">
        <v>65</v>
      </c>
    </row>
    <row r="190" spans="1:23" ht="11.25" customHeight="1" x14ac:dyDescent="0.3">
      <c r="A190" s="4" t="s">
        <v>21</v>
      </c>
      <c r="B190" s="4" t="s">
        <v>39</v>
      </c>
      <c r="C190" s="4" t="s">
        <v>40</v>
      </c>
      <c r="D190" s="4" t="s">
        <v>41</v>
      </c>
      <c r="E190" s="4" t="s">
        <v>25</v>
      </c>
      <c r="F190" s="4" t="s">
        <v>25</v>
      </c>
      <c r="G190" s="4" t="s">
        <v>25</v>
      </c>
      <c r="H190" s="4" t="s">
        <v>34</v>
      </c>
      <c r="I190" s="5">
        <v>44652</v>
      </c>
      <c r="J190" s="6">
        <v>0</v>
      </c>
      <c r="K190" s="6">
        <v>0</v>
      </c>
      <c r="L190" s="6">
        <v>30.991</v>
      </c>
      <c r="M190" s="6">
        <v>30.991</v>
      </c>
      <c r="N190" s="6">
        <v>30.991</v>
      </c>
      <c r="O190" s="6">
        <v>30.991</v>
      </c>
      <c r="P190" s="6">
        <v>0</v>
      </c>
      <c r="Q190" s="4" t="s">
        <v>26</v>
      </c>
      <c r="R190" s="4">
        <v>0</v>
      </c>
      <c r="S190" s="4" t="s">
        <v>217</v>
      </c>
      <c r="T190" s="4" t="s">
        <v>438</v>
      </c>
      <c r="U190" s="4">
        <v>0</v>
      </c>
      <c r="V190" s="4">
        <v>15</v>
      </c>
      <c r="W190" s="4">
        <v>65</v>
      </c>
    </row>
    <row r="191" spans="1:23" ht="11.25" customHeight="1" x14ac:dyDescent="0.3">
      <c r="A191" s="4" t="s">
        <v>28</v>
      </c>
      <c r="B191" s="4" t="s">
        <v>39</v>
      </c>
      <c r="C191" s="4" t="s">
        <v>40</v>
      </c>
      <c r="D191" s="4" t="s">
        <v>41</v>
      </c>
      <c r="E191" s="4" t="s">
        <v>25</v>
      </c>
      <c r="F191" s="4" t="s">
        <v>25</v>
      </c>
      <c r="G191" s="4" t="s">
        <v>25</v>
      </c>
      <c r="H191" s="4" t="s">
        <v>34</v>
      </c>
      <c r="I191" s="5">
        <v>44652</v>
      </c>
      <c r="J191" s="6">
        <v>0</v>
      </c>
      <c r="K191" s="6">
        <v>0</v>
      </c>
      <c r="L191" s="6">
        <v>8.5730000000000004</v>
      </c>
      <c r="M191" s="6">
        <v>8.5730000000000004</v>
      </c>
      <c r="N191" s="6">
        <v>8.5730000000000004</v>
      </c>
      <c r="O191" s="6">
        <v>8.5730000000000004</v>
      </c>
      <c r="P191" s="6">
        <v>0</v>
      </c>
      <c r="Q191" s="4" t="s">
        <v>26</v>
      </c>
      <c r="R191" s="4">
        <v>0</v>
      </c>
      <c r="S191" s="4" t="s">
        <v>217</v>
      </c>
      <c r="T191" s="4" t="s">
        <v>438</v>
      </c>
      <c r="U191" s="4">
        <v>0</v>
      </c>
      <c r="V191" s="4">
        <v>15</v>
      </c>
      <c r="W191" s="4">
        <v>65</v>
      </c>
    </row>
    <row r="192" spans="1:23" ht="11.25" customHeight="1" x14ac:dyDescent="0.3">
      <c r="A192" s="4" t="s">
        <v>21</v>
      </c>
      <c r="B192" s="4" t="s">
        <v>39</v>
      </c>
      <c r="C192" s="4" t="s">
        <v>40</v>
      </c>
      <c r="D192" s="4" t="s">
        <v>41</v>
      </c>
      <c r="E192" s="4" t="s">
        <v>25</v>
      </c>
      <c r="F192" s="4" t="s">
        <v>25</v>
      </c>
      <c r="G192" s="4" t="s">
        <v>25</v>
      </c>
      <c r="H192" s="4" t="s">
        <v>34</v>
      </c>
      <c r="I192" s="5">
        <v>44682</v>
      </c>
      <c r="J192" s="6">
        <v>0</v>
      </c>
      <c r="K192" s="6">
        <v>0</v>
      </c>
      <c r="L192" s="6">
        <v>28.847999999999999</v>
      </c>
      <c r="M192" s="6">
        <v>28.847999999999999</v>
      </c>
      <c r="N192" s="6">
        <v>28.847999999999999</v>
      </c>
      <c r="O192" s="6">
        <v>28.847999999999999</v>
      </c>
      <c r="P192" s="6">
        <v>0</v>
      </c>
      <c r="Q192" s="4" t="s">
        <v>26</v>
      </c>
      <c r="R192" s="4">
        <v>0</v>
      </c>
      <c r="S192" s="4" t="s">
        <v>218</v>
      </c>
      <c r="T192" s="4" t="s">
        <v>439</v>
      </c>
      <c r="U192" s="4">
        <v>0</v>
      </c>
      <c r="V192" s="4">
        <v>15</v>
      </c>
      <c r="W192" s="4">
        <v>65</v>
      </c>
    </row>
    <row r="193" spans="1:23" ht="11.25" customHeight="1" x14ac:dyDescent="0.3">
      <c r="A193" s="4" t="s">
        <v>28</v>
      </c>
      <c r="B193" s="4" t="s">
        <v>39</v>
      </c>
      <c r="C193" s="4" t="s">
        <v>40</v>
      </c>
      <c r="D193" s="4" t="s">
        <v>41</v>
      </c>
      <c r="E193" s="4" t="s">
        <v>25</v>
      </c>
      <c r="F193" s="4" t="s">
        <v>25</v>
      </c>
      <c r="G193" s="4" t="s">
        <v>25</v>
      </c>
      <c r="H193" s="4" t="s">
        <v>34</v>
      </c>
      <c r="I193" s="5">
        <v>44682</v>
      </c>
      <c r="J193" s="6">
        <v>0</v>
      </c>
      <c r="K193" s="6">
        <v>0</v>
      </c>
      <c r="L193" s="6">
        <v>9.3439999999999994</v>
      </c>
      <c r="M193" s="6">
        <v>9.3439999999999994</v>
      </c>
      <c r="N193" s="6">
        <v>9.3439999999999994</v>
      </c>
      <c r="O193" s="6">
        <v>9.3439999999999994</v>
      </c>
      <c r="P193" s="6">
        <v>0</v>
      </c>
      <c r="Q193" s="4" t="s">
        <v>26</v>
      </c>
      <c r="R193" s="4">
        <v>0</v>
      </c>
      <c r="S193" s="4" t="s">
        <v>218</v>
      </c>
      <c r="T193" s="4" t="s">
        <v>439</v>
      </c>
      <c r="U193" s="4">
        <v>0</v>
      </c>
      <c r="V193" s="4">
        <v>15</v>
      </c>
      <c r="W193" s="4">
        <v>65</v>
      </c>
    </row>
    <row r="194" spans="1:23" ht="11.25" customHeight="1" x14ac:dyDescent="0.3">
      <c r="A194" s="4" t="s">
        <v>21</v>
      </c>
      <c r="B194" s="4" t="s">
        <v>39</v>
      </c>
      <c r="C194" s="4" t="s">
        <v>40</v>
      </c>
      <c r="D194" s="4" t="s">
        <v>41</v>
      </c>
      <c r="E194" s="4" t="s">
        <v>25</v>
      </c>
      <c r="F194" s="4" t="s">
        <v>25</v>
      </c>
      <c r="G194" s="4" t="s">
        <v>25</v>
      </c>
      <c r="H194" s="4" t="s">
        <v>34</v>
      </c>
      <c r="I194" s="5">
        <v>44713</v>
      </c>
      <c r="J194" s="6">
        <v>0</v>
      </c>
      <c r="K194" s="6">
        <v>0</v>
      </c>
      <c r="L194" s="6">
        <v>26.05</v>
      </c>
      <c r="M194" s="6">
        <v>26.05</v>
      </c>
      <c r="N194" s="6">
        <v>26.05</v>
      </c>
      <c r="O194" s="6">
        <v>26.05</v>
      </c>
      <c r="P194" s="6">
        <v>0</v>
      </c>
      <c r="Q194" s="4" t="s">
        <v>26</v>
      </c>
      <c r="R194" s="4">
        <v>0</v>
      </c>
      <c r="S194" s="4" t="s">
        <v>219</v>
      </c>
      <c r="T194" s="4" t="s">
        <v>440</v>
      </c>
      <c r="U194" s="4">
        <v>0</v>
      </c>
      <c r="V194" s="4">
        <v>15</v>
      </c>
      <c r="W194" s="4">
        <v>65</v>
      </c>
    </row>
    <row r="195" spans="1:23" ht="11.25" customHeight="1" x14ac:dyDescent="0.3">
      <c r="A195" s="4" t="s">
        <v>28</v>
      </c>
      <c r="B195" s="4" t="s">
        <v>39</v>
      </c>
      <c r="C195" s="4" t="s">
        <v>40</v>
      </c>
      <c r="D195" s="4" t="s">
        <v>41</v>
      </c>
      <c r="E195" s="4" t="s">
        <v>25</v>
      </c>
      <c r="F195" s="4" t="s">
        <v>25</v>
      </c>
      <c r="G195" s="4" t="s">
        <v>25</v>
      </c>
      <c r="H195" s="4" t="s">
        <v>34</v>
      </c>
      <c r="I195" s="5">
        <v>44713</v>
      </c>
      <c r="J195" s="6">
        <v>0</v>
      </c>
      <c r="K195" s="6">
        <v>0</v>
      </c>
      <c r="L195" s="6">
        <v>12.593999999999999</v>
      </c>
      <c r="M195" s="6">
        <v>12.593999999999999</v>
      </c>
      <c r="N195" s="6">
        <v>12.593999999999999</v>
      </c>
      <c r="O195" s="6">
        <v>12.593999999999999</v>
      </c>
      <c r="P195" s="6">
        <v>0</v>
      </c>
      <c r="Q195" s="4" t="s">
        <v>26</v>
      </c>
      <c r="R195" s="4">
        <v>0</v>
      </c>
      <c r="S195" s="4" t="s">
        <v>219</v>
      </c>
      <c r="T195" s="4" t="s">
        <v>440</v>
      </c>
      <c r="U195" s="4">
        <v>0</v>
      </c>
      <c r="V195" s="4">
        <v>15</v>
      </c>
      <c r="W195" s="4">
        <v>65</v>
      </c>
    </row>
    <row r="196" spans="1:23" ht="11.25" customHeight="1" x14ac:dyDescent="0.3">
      <c r="A196" s="4" t="s">
        <v>21</v>
      </c>
      <c r="B196" s="4" t="s">
        <v>39</v>
      </c>
      <c r="C196" s="4" t="s">
        <v>40</v>
      </c>
      <c r="D196" s="4" t="s">
        <v>41</v>
      </c>
      <c r="E196" s="4" t="s">
        <v>25</v>
      </c>
      <c r="F196" s="4" t="s">
        <v>25</v>
      </c>
      <c r="G196" s="4" t="s">
        <v>25</v>
      </c>
      <c r="H196" s="4" t="s">
        <v>34</v>
      </c>
      <c r="I196" s="5">
        <v>44743</v>
      </c>
      <c r="J196" s="6">
        <v>0</v>
      </c>
      <c r="K196" s="6">
        <v>0</v>
      </c>
      <c r="L196" s="6">
        <v>16.786000000000001</v>
      </c>
      <c r="M196" s="6">
        <v>16.786000000000001</v>
      </c>
      <c r="N196" s="6">
        <v>16.786000000000001</v>
      </c>
      <c r="O196" s="6">
        <v>16.786000000000001</v>
      </c>
      <c r="P196" s="6">
        <v>0</v>
      </c>
      <c r="Q196" s="4" t="s">
        <v>26</v>
      </c>
      <c r="R196" s="4">
        <v>0</v>
      </c>
      <c r="S196" s="4" t="s">
        <v>220</v>
      </c>
      <c r="T196" s="4" t="s">
        <v>441</v>
      </c>
      <c r="U196" s="4">
        <v>0</v>
      </c>
      <c r="V196" s="4">
        <v>15</v>
      </c>
      <c r="W196" s="4">
        <v>65</v>
      </c>
    </row>
    <row r="197" spans="1:23" ht="11.25" customHeight="1" x14ac:dyDescent="0.3">
      <c r="A197" s="4" t="s">
        <v>28</v>
      </c>
      <c r="B197" s="4" t="s">
        <v>39</v>
      </c>
      <c r="C197" s="4" t="s">
        <v>40</v>
      </c>
      <c r="D197" s="4" t="s">
        <v>41</v>
      </c>
      <c r="E197" s="4" t="s">
        <v>25</v>
      </c>
      <c r="F197" s="4" t="s">
        <v>25</v>
      </c>
      <c r="G197" s="4" t="s">
        <v>25</v>
      </c>
      <c r="H197" s="4" t="s">
        <v>34</v>
      </c>
      <c r="I197" s="5">
        <v>44743</v>
      </c>
      <c r="J197" s="6">
        <v>0</v>
      </c>
      <c r="K197" s="6">
        <v>0</v>
      </c>
      <c r="L197" s="6">
        <v>11.019</v>
      </c>
      <c r="M197" s="6">
        <v>11.019</v>
      </c>
      <c r="N197" s="6">
        <v>11.019</v>
      </c>
      <c r="O197" s="6">
        <v>11.019</v>
      </c>
      <c r="P197" s="6">
        <v>0</v>
      </c>
      <c r="Q197" s="4" t="s">
        <v>26</v>
      </c>
      <c r="R197" s="4">
        <v>0</v>
      </c>
      <c r="S197" s="4" t="s">
        <v>220</v>
      </c>
      <c r="T197" s="4" t="s">
        <v>441</v>
      </c>
      <c r="U197" s="4">
        <v>0</v>
      </c>
      <c r="V197" s="4">
        <v>15</v>
      </c>
      <c r="W197" s="4">
        <v>65</v>
      </c>
    </row>
    <row r="198" spans="1:23" ht="11.25" customHeight="1" x14ac:dyDescent="0.3">
      <c r="A198" s="4" t="s">
        <v>21</v>
      </c>
      <c r="B198" s="4" t="s">
        <v>39</v>
      </c>
      <c r="C198" s="4" t="s">
        <v>40</v>
      </c>
      <c r="D198" s="4" t="s">
        <v>41</v>
      </c>
      <c r="E198" s="4" t="s">
        <v>25</v>
      </c>
      <c r="F198" s="4" t="s">
        <v>25</v>
      </c>
      <c r="G198" s="4" t="s">
        <v>25</v>
      </c>
      <c r="H198" s="4" t="s">
        <v>34</v>
      </c>
      <c r="I198" s="5">
        <v>44774</v>
      </c>
      <c r="J198" s="6">
        <v>0</v>
      </c>
      <c r="K198" s="6">
        <v>0</v>
      </c>
      <c r="L198" s="6">
        <v>25.280999999999999</v>
      </c>
      <c r="M198" s="6">
        <v>25.280999999999999</v>
      </c>
      <c r="N198" s="6">
        <v>25.280999999999999</v>
      </c>
      <c r="O198" s="6">
        <v>25.280999999999999</v>
      </c>
      <c r="P198" s="6">
        <v>0</v>
      </c>
      <c r="Q198" s="4" t="s">
        <v>26</v>
      </c>
      <c r="R198" s="4">
        <v>0</v>
      </c>
      <c r="S198" s="4" t="s">
        <v>221</v>
      </c>
      <c r="T198" s="4" t="s">
        <v>442</v>
      </c>
      <c r="U198" s="4">
        <v>0</v>
      </c>
      <c r="V198" s="4">
        <v>15</v>
      </c>
      <c r="W198" s="4">
        <v>65</v>
      </c>
    </row>
    <row r="199" spans="1:23" ht="11.25" customHeight="1" x14ac:dyDescent="0.3">
      <c r="A199" s="4" t="s">
        <v>28</v>
      </c>
      <c r="B199" s="4" t="s">
        <v>39</v>
      </c>
      <c r="C199" s="4" t="s">
        <v>40</v>
      </c>
      <c r="D199" s="4" t="s">
        <v>41</v>
      </c>
      <c r="E199" s="4" t="s">
        <v>25</v>
      </c>
      <c r="F199" s="4" t="s">
        <v>25</v>
      </c>
      <c r="G199" s="4" t="s">
        <v>25</v>
      </c>
      <c r="H199" s="4" t="s">
        <v>34</v>
      </c>
      <c r="I199" s="5">
        <v>44774</v>
      </c>
      <c r="J199" s="6">
        <v>0</v>
      </c>
      <c r="K199" s="6">
        <v>0</v>
      </c>
      <c r="L199" s="6">
        <v>11.702</v>
      </c>
      <c r="M199" s="6">
        <v>11.702</v>
      </c>
      <c r="N199" s="6">
        <v>11.702</v>
      </c>
      <c r="O199" s="6">
        <v>11.702</v>
      </c>
      <c r="P199" s="6">
        <v>0</v>
      </c>
      <c r="Q199" s="4" t="s">
        <v>26</v>
      </c>
      <c r="R199" s="4">
        <v>0</v>
      </c>
      <c r="S199" s="4" t="s">
        <v>221</v>
      </c>
      <c r="T199" s="4" t="s">
        <v>442</v>
      </c>
      <c r="U199" s="4">
        <v>0</v>
      </c>
      <c r="V199" s="4">
        <v>15</v>
      </c>
      <c r="W199" s="4">
        <v>65</v>
      </c>
    </row>
    <row r="200" spans="1:23" ht="11.25" customHeight="1" x14ac:dyDescent="0.3">
      <c r="A200" s="4" t="s">
        <v>21</v>
      </c>
      <c r="B200" s="4" t="s">
        <v>39</v>
      </c>
      <c r="C200" s="4" t="s">
        <v>40</v>
      </c>
      <c r="D200" s="4" t="s">
        <v>41</v>
      </c>
      <c r="E200" s="4" t="s">
        <v>25</v>
      </c>
      <c r="F200" s="4" t="s">
        <v>25</v>
      </c>
      <c r="G200" s="4" t="s">
        <v>25</v>
      </c>
      <c r="H200" s="4" t="s">
        <v>34</v>
      </c>
      <c r="I200" s="5">
        <v>44805</v>
      </c>
      <c r="J200" s="6">
        <v>0</v>
      </c>
      <c r="K200" s="6">
        <v>0</v>
      </c>
      <c r="L200" s="6">
        <v>29.542000000000002</v>
      </c>
      <c r="M200" s="6">
        <v>29.542000000000002</v>
      </c>
      <c r="N200" s="6">
        <v>29.542000000000002</v>
      </c>
      <c r="O200" s="6">
        <v>29.542000000000002</v>
      </c>
      <c r="P200" s="6">
        <v>0</v>
      </c>
      <c r="Q200" s="4" t="s">
        <v>26</v>
      </c>
      <c r="R200" s="4">
        <v>0</v>
      </c>
      <c r="S200" s="4" t="s">
        <v>222</v>
      </c>
      <c r="T200" s="4" t="s">
        <v>443</v>
      </c>
      <c r="U200" s="4">
        <v>0</v>
      </c>
      <c r="V200" s="4">
        <v>15</v>
      </c>
      <c r="W200" s="4">
        <v>65</v>
      </c>
    </row>
    <row r="201" spans="1:23" ht="11.25" customHeight="1" x14ac:dyDescent="0.3">
      <c r="A201" s="4" t="s">
        <v>28</v>
      </c>
      <c r="B201" s="4" t="s">
        <v>39</v>
      </c>
      <c r="C201" s="4" t="s">
        <v>40</v>
      </c>
      <c r="D201" s="4" t="s">
        <v>41</v>
      </c>
      <c r="E201" s="4" t="s">
        <v>25</v>
      </c>
      <c r="F201" s="4" t="s">
        <v>25</v>
      </c>
      <c r="G201" s="4" t="s">
        <v>25</v>
      </c>
      <c r="H201" s="4" t="s">
        <v>34</v>
      </c>
      <c r="I201" s="5">
        <v>44805</v>
      </c>
      <c r="J201" s="6">
        <v>0</v>
      </c>
      <c r="K201" s="6">
        <v>0</v>
      </c>
      <c r="L201" s="6">
        <v>8.1170000000000009</v>
      </c>
      <c r="M201" s="6">
        <v>8.1170000000000009</v>
      </c>
      <c r="N201" s="6">
        <v>8.1170000000000009</v>
      </c>
      <c r="O201" s="6">
        <v>8.1170000000000009</v>
      </c>
      <c r="P201" s="6">
        <v>0</v>
      </c>
      <c r="Q201" s="4" t="s">
        <v>26</v>
      </c>
      <c r="R201" s="4">
        <v>0</v>
      </c>
      <c r="S201" s="4" t="s">
        <v>222</v>
      </c>
      <c r="T201" s="4" t="s">
        <v>443</v>
      </c>
      <c r="U201" s="4">
        <v>0</v>
      </c>
      <c r="V201" s="4">
        <v>15</v>
      </c>
      <c r="W201" s="4">
        <v>65</v>
      </c>
    </row>
    <row r="202" spans="1:23" ht="11.25" customHeight="1" x14ac:dyDescent="0.3">
      <c r="A202" s="4" t="s">
        <v>57</v>
      </c>
      <c r="B202" s="4" t="s">
        <v>39</v>
      </c>
      <c r="C202" s="4" t="s">
        <v>40</v>
      </c>
      <c r="D202" s="4" t="s">
        <v>41</v>
      </c>
      <c r="E202" s="4" t="s">
        <v>25</v>
      </c>
      <c r="F202" s="4" t="s">
        <v>25</v>
      </c>
      <c r="G202" s="4" t="s">
        <v>25</v>
      </c>
      <c r="H202" s="4" t="s">
        <v>34</v>
      </c>
      <c r="I202" s="5">
        <v>44835</v>
      </c>
      <c r="J202" s="6">
        <v>0</v>
      </c>
      <c r="K202" s="6">
        <v>0</v>
      </c>
      <c r="L202" s="6">
        <v>29.542000000000002</v>
      </c>
      <c r="M202" s="6">
        <v>29.542000000000002</v>
      </c>
      <c r="N202" s="6">
        <v>29.542000000000002</v>
      </c>
      <c r="O202" s="6">
        <v>29.542000000000002</v>
      </c>
      <c r="P202" s="6">
        <v>0</v>
      </c>
      <c r="Q202" s="4" t="s">
        <v>26</v>
      </c>
      <c r="R202" s="4">
        <v>0</v>
      </c>
      <c r="S202" s="4" t="s">
        <v>223</v>
      </c>
      <c r="T202" s="4" t="s">
        <v>444</v>
      </c>
      <c r="U202" s="4">
        <v>0</v>
      </c>
      <c r="V202" s="4">
        <v>15</v>
      </c>
      <c r="W202" s="4">
        <v>65</v>
      </c>
    </row>
    <row r="203" spans="1:23" ht="11.25" customHeight="1" x14ac:dyDescent="0.3">
      <c r="A203" s="4" t="s">
        <v>57</v>
      </c>
      <c r="B203" s="4" t="s">
        <v>39</v>
      </c>
      <c r="C203" s="4" t="s">
        <v>40</v>
      </c>
      <c r="D203" s="4" t="s">
        <v>41</v>
      </c>
      <c r="E203" s="4" t="s">
        <v>25</v>
      </c>
      <c r="F203" s="4" t="s">
        <v>25</v>
      </c>
      <c r="G203" s="4" t="s">
        <v>25</v>
      </c>
      <c r="H203" s="4" t="s">
        <v>34</v>
      </c>
      <c r="I203" s="5">
        <v>44835</v>
      </c>
      <c r="J203" s="6">
        <v>0</v>
      </c>
      <c r="K203" s="6">
        <v>0</v>
      </c>
      <c r="L203" s="6">
        <v>8.1170000000000009</v>
      </c>
      <c r="M203" s="6">
        <v>8.1170000000000009</v>
      </c>
      <c r="N203" s="6">
        <v>8.1170000000000009</v>
      </c>
      <c r="O203" s="6">
        <v>8.1170000000000009</v>
      </c>
      <c r="P203" s="6">
        <v>0</v>
      </c>
      <c r="Q203" s="4" t="s">
        <v>26</v>
      </c>
      <c r="R203" s="4">
        <v>0</v>
      </c>
      <c r="S203" s="4" t="s">
        <v>223</v>
      </c>
      <c r="T203" s="4" t="s">
        <v>444</v>
      </c>
      <c r="U203" s="4">
        <v>0</v>
      </c>
      <c r="V203" s="4">
        <v>15</v>
      </c>
      <c r="W203" s="4">
        <v>65</v>
      </c>
    </row>
    <row r="204" spans="1:23" ht="11.25" customHeight="1" x14ac:dyDescent="0.3">
      <c r="A204" s="4" t="s">
        <v>21</v>
      </c>
      <c r="B204" s="4" t="s">
        <v>39</v>
      </c>
      <c r="C204" s="4" t="s">
        <v>40</v>
      </c>
      <c r="D204" s="4" t="s">
        <v>38</v>
      </c>
      <c r="E204" s="4" t="s">
        <v>25</v>
      </c>
      <c r="F204" s="4" t="s">
        <v>58</v>
      </c>
      <c r="G204" s="4" t="s">
        <v>25</v>
      </c>
      <c r="H204" s="4" t="s">
        <v>35</v>
      </c>
      <c r="I204" s="5">
        <v>44501</v>
      </c>
      <c r="J204" s="6">
        <v>0</v>
      </c>
      <c r="K204" s="6">
        <v>0</v>
      </c>
      <c r="L204" s="6">
        <v>575.26099999999997</v>
      </c>
      <c r="M204" s="6">
        <v>575.26099999999997</v>
      </c>
      <c r="N204" s="6">
        <v>0</v>
      </c>
      <c r="O204" s="6">
        <v>0</v>
      </c>
      <c r="P204" s="6">
        <v>0</v>
      </c>
      <c r="Q204" s="4" t="s">
        <v>59</v>
      </c>
      <c r="R204" s="4">
        <v>0</v>
      </c>
      <c r="S204" s="4" t="s">
        <v>188</v>
      </c>
      <c r="U204" s="4">
        <v>0</v>
      </c>
      <c r="V204" s="4">
        <v>17</v>
      </c>
      <c r="W204" s="4">
        <v>0</v>
      </c>
    </row>
    <row r="205" spans="1:23" ht="11.25" customHeight="1" x14ac:dyDescent="0.3">
      <c r="A205" s="4" t="s">
        <v>21</v>
      </c>
      <c r="B205" s="4" t="s">
        <v>39</v>
      </c>
      <c r="C205" s="4" t="s">
        <v>40</v>
      </c>
      <c r="D205" s="4" t="s">
        <v>38</v>
      </c>
      <c r="E205" s="4" t="s">
        <v>25</v>
      </c>
      <c r="F205" s="4" t="s">
        <v>58</v>
      </c>
      <c r="G205" s="4" t="s">
        <v>25</v>
      </c>
      <c r="H205" s="4" t="s">
        <v>35</v>
      </c>
      <c r="I205" s="5">
        <v>44531</v>
      </c>
      <c r="J205" s="6">
        <v>0</v>
      </c>
      <c r="K205" s="6">
        <v>0</v>
      </c>
      <c r="L205" s="6">
        <v>596.47500000000002</v>
      </c>
      <c r="M205" s="6">
        <v>596.47500000000002</v>
      </c>
      <c r="N205" s="6">
        <v>0</v>
      </c>
      <c r="O205" s="6">
        <v>0</v>
      </c>
      <c r="P205" s="6">
        <v>0</v>
      </c>
      <c r="Q205" s="4" t="s">
        <v>59</v>
      </c>
      <c r="R205" s="4">
        <v>0</v>
      </c>
      <c r="S205" s="4" t="s">
        <v>189</v>
      </c>
      <c r="U205" s="4">
        <v>0</v>
      </c>
      <c r="V205" s="4">
        <v>17</v>
      </c>
      <c r="W205" s="4">
        <v>0</v>
      </c>
    </row>
    <row r="206" spans="1:23" ht="11.25" customHeight="1" x14ac:dyDescent="0.3">
      <c r="A206" s="4" t="s">
        <v>21</v>
      </c>
      <c r="B206" s="4" t="s">
        <v>39</v>
      </c>
      <c r="C206" s="4" t="s">
        <v>40</v>
      </c>
      <c r="D206" s="4" t="s">
        <v>38</v>
      </c>
      <c r="E206" s="4" t="s">
        <v>25</v>
      </c>
      <c r="F206" s="4" t="s">
        <v>58</v>
      </c>
      <c r="G206" s="4" t="s">
        <v>25</v>
      </c>
      <c r="H206" s="4" t="s">
        <v>35</v>
      </c>
      <c r="I206" s="5">
        <v>44562</v>
      </c>
      <c r="J206" s="6">
        <v>0</v>
      </c>
      <c r="K206" s="6">
        <v>0</v>
      </c>
      <c r="L206" s="6">
        <v>604.79100000000005</v>
      </c>
      <c r="M206" s="6">
        <v>604.79100000000005</v>
      </c>
      <c r="N206" s="6">
        <v>0</v>
      </c>
      <c r="O206" s="6">
        <v>0</v>
      </c>
      <c r="P206" s="6">
        <v>0</v>
      </c>
      <c r="Q206" s="4" t="s">
        <v>59</v>
      </c>
      <c r="R206" s="4">
        <v>0</v>
      </c>
      <c r="S206" s="4" t="s">
        <v>190</v>
      </c>
      <c r="U206" s="4">
        <v>0</v>
      </c>
      <c r="V206" s="4">
        <v>17</v>
      </c>
      <c r="W206" s="4">
        <v>0</v>
      </c>
    </row>
    <row r="207" spans="1:23" ht="11.25" customHeight="1" x14ac:dyDescent="0.3">
      <c r="A207" s="4" t="s">
        <v>21</v>
      </c>
      <c r="B207" s="4" t="s">
        <v>39</v>
      </c>
      <c r="C207" s="4" t="s">
        <v>40</v>
      </c>
      <c r="D207" s="4" t="s">
        <v>38</v>
      </c>
      <c r="E207" s="4" t="s">
        <v>25</v>
      </c>
      <c r="F207" s="4" t="s">
        <v>58</v>
      </c>
      <c r="G207" s="4" t="s">
        <v>25</v>
      </c>
      <c r="H207" s="4" t="s">
        <v>35</v>
      </c>
      <c r="I207" s="5">
        <v>44593</v>
      </c>
      <c r="J207" s="6">
        <v>0</v>
      </c>
      <c r="K207" s="6">
        <v>0</v>
      </c>
      <c r="L207" s="6">
        <v>605.59</v>
      </c>
      <c r="M207" s="6">
        <v>605.59</v>
      </c>
      <c r="N207" s="6">
        <v>0</v>
      </c>
      <c r="O207" s="6">
        <v>0</v>
      </c>
      <c r="P207" s="6">
        <v>0</v>
      </c>
      <c r="Q207" s="4" t="s">
        <v>59</v>
      </c>
      <c r="R207" s="4">
        <v>0</v>
      </c>
      <c r="S207" s="4" t="s">
        <v>191</v>
      </c>
      <c r="U207" s="4">
        <v>0</v>
      </c>
      <c r="V207" s="4">
        <v>17</v>
      </c>
      <c r="W207" s="4">
        <v>0</v>
      </c>
    </row>
    <row r="208" spans="1:23" ht="11.25" customHeight="1" x14ac:dyDescent="0.3">
      <c r="A208" s="4" t="s">
        <v>21</v>
      </c>
      <c r="B208" s="4" t="s">
        <v>39</v>
      </c>
      <c r="C208" s="4" t="s">
        <v>40</v>
      </c>
      <c r="D208" s="4" t="s">
        <v>38</v>
      </c>
      <c r="E208" s="4" t="s">
        <v>25</v>
      </c>
      <c r="F208" s="4" t="s">
        <v>58</v>
      </c>
      <c r="G208" s="4" t="s">
        <v>25</v>
      </c>
      <c r="H208" s="4" t="s">
        <v>35</v>
      </c>
      <c r="I208" s="5">
        <v>44621</v>
      </c>
      <c r="J208" s="6">
        <v>0</v>
      </c>
      <c r="K208" s="6">
        <v>0</v>
      </c>
      <c r="L208" s="6">
        <v>636.11300000000006</v>
      </c>
      <c r="M208" s="6">
        <v>636.11300000000006</v>
      </c>
      <c r="N208" s="6">
        <v>0</v>
      </c>
      <c r="O208" s="6">
        <v>0</v>
      </c>
      <c r="P208" s="6">
        <v>0</v>
      </c>
      <c r="Q208" s="4" t="s">
        <v>59</v>
      </c>
      <c r="R208" s="4">
        <v>0</v>
      </c>
      <c r="S208" s="4" t="s">
        <v>192</v>
      </c>
      <c r="U208" s="4">
        <v>0</v>
      </c>
      <c r="V208" s="4">
        <v>17</v>
      </c>
      <c r="W208" s="4">
        <v>0</v>
      </c>
    </row>
    <row r="209" spans="1:23" ht="11.25" customHeight="1" x14ac:dyDescent="0.3">
      <c r="A209" s="4" t="s">
        <v>21</v>
      </c>
      <c r="B209" s="4" t="s">
        <v>39</v>
      </c>
      <c r="C209" s="4" t="s">
        <v>40</v>
      </c>
      <c r="D209" s="4" t="s">
        <v>38</v>
      </c>
      <c r="E209" s="4" t="s">
        <v>25</v>
      </c>
      <c r="F209" s="4" t="s">
        <v>58</v>
      </c>
      <c r="G209" s="4" t="s">
        <v>25</v>
      </c>
      <c r="H209" s="4" t="s">
        <v>35</v>
      </c>
      <c r="I209" s="5">
        <v>44652</v>
      </c>
      <c r="J209" s="6">
        <v>0</v>
      </c>
      <c r="K209" s="6">
        <v>0</v>
      </c>
      <c r="L209" s="6">
        <v>652.21600000000001</v>
      </c>
      <c r="M209" s="6">
        <v>652.21600000000001</v>
      </c>
      <c r="N209" s="6">
        <v>0</v>
      </c>
      <c r="O209" s="6">
        <v>0</v>
      </c>
      <c r="P209" s="6">
        <v>0</v>
      </c>
      <c r="Q209" s="4" t="s">
        <v>59</v>
      </c>
      <c r="R209" s="4">
        <v>0</v>
      </c>
      <c r="S209" s="4" t="s">
        <v>193</v>
      </c>
      <c r="U209" s="4">
        <v>0</v>
      </c>
      <c r="V209" s="4">
        <v>17</v>
      </c>
      <c r="W209" s="4">
        <v>0</v>
      </c>
    </row>
    <row r="210" spans="1:23" ht="11.25" customHeight="1" x14ac:dyDescent="0.3">
      <c r="A210" s="4" t="s">
        <v>21</v>
      </c>
      <c r="B210" s="4" t="s">
        <v>39</v>
      </c>
      <c r="C210" s="4" t="s">
        <v>40</v>
      </c>
      <c r="D210" s="4" t="s">
        <v>38</v>
      </c>
      <c r="E210" s="4" t="s">
        <v>25</v>
      </c>
      <c r="F210" s="4" t="s">
        <v>58</v>
      </c>
      <c r="G210" s="4" t="s">
        <v>25</v>
      </c>
      <c r="H210" s="4" t="s">
        <v>35</v>
      </c>
      <c r="I210" s="5">
        <v>44682</v>
      </c>
      <c r="J210" s="6">
        <v>0</v>
      </c>
      <c r="K210" s="6">
        <v>0</v>
      </c>
      <c r="L210" s="6">
        <v>649.923</v>
      </c>
      <c r="M210" s="6">
        <v>649.923</v>
      </c>
      <c r="N210" s="6">
        <v>0</v>
      </c>
      <c r="O210" s="6">
        <v>0</v>
      </c>
      <c r="P210" s="6">
        <v>0</v>
      </c>
      <c r="Q210" s="4" t="s">
        <v>59</v>
      </c>
      <c r="R210" s="4">
        <v>0</v>
      </c>
      <c r="S210" s="4" t="s">
        <v>194</v>
      </c>
      <c r="U210" s="4">
        <v>0</v>
      </c>
      <c r="V210" s="4">
        <v>17</v>
      </c>
      <c r="W210" s="4">
        <v>0</v>
      </c>
    </row>
    <row r="211" spans="1:23" ht="11.25" customHeight="1" x14ac:dyDescent="0.3">
      <c r="A211" s="4" t="s">
        <v>21</v>
      </c>
      <c r="B211" s="4" t="s">
        <v>39</v>
      </c>
      <c r="C211" s="4" t="s">
        <v>40</v>
      </c>
      <c r="D211" s="4" t="s">
        <v>38</v>
      </c>
      <c r="E211" s="4" t="s">
        <v>25</v>
      </c>
      <c r="F211" s="4" t="s">
        <v>58</v>
      </c>
      <c r="G211" s="4" t="s">
        <v>25</v>
      </c>
      <c r="H211" s="4" t="s">
        <v>35</v>
      </c>
      <c r="I211" s="5">
        <v>44713</v>
      </c>
      <c r="J211" s="6">
        <v>0</v>
      </c>
      <c r="K211" s="6">
        <v>0</v>
      </c>
      <c r="L211" s="6">
        <v>575.21400000000006</v>
      </c>
      <c r="M211" s="6">
        <v>575.21400000000006</v>
      </c>
      <c r="N211" s="6">
        <v>0</v>
      </c>
      <c r="O211" s="6">
        <v>0</v>
      </c>
      <c r="P211" s="6">
        <v>0</v>
      </c>
      <c r="Q211" s="4" t="s">
        <v>59</v>
      </c>
      <c r="R211" s="4">
        <v>0</v>
      </c>
      <c r="S211" s="4" t="s">
        <v>195</v>
      </c>
      <c r="U211" s="4">
        <v>0</v>
      </c>
      <c r="V211" s="4">
        <v>17</v>
      </c>
      <c r="W211" s="4">
        <v>0</v>
      </c>
    </row>
    <row r="212" spans="1:23" ht="11.25" customHeight="1" x14ac:dyDescent="0.3">
      <c r="A212" s="4" t="s">
        <v>21</v>
      </c>
      <c r="B212" s="4" t="s">
        <v>39</v>
      </c>
      <c r="C212" s="4" t="s">
        <v>40</v>
      </c>
      <c r="D212" s="4" t="s">
        <v>38</v>
      </c>
      <c r="E212" s="4" t="s">
        <v>25</v>
      </c>
      <c r="F212" s="4" t="s">
        <v>58</v>
      </c>
      <c r="G212" s="4" t="s">
        <v>25</v>
      </c>
      <c r="H212" s="4" t="s">
        <v>35</v>
      </c>
      <c r="I212" s="5">
        <v>44743</v>
      </c>
      <c r="J212" s="6">
        <v>0</v>
      </c>
      <c r="K212" s="6">
        <v>0</v>
      </c>
      <c r="L212" s="6">
        <v>748.23299999999995</v>
      </c>
      <c r="M212" s="6">
        <v>748.23299999999995</v>
      </c>
      <c r="N212" s="6">
        <v>0</v>
      </c>
      <c r="O212" s="6">
        <v>0</v>
      </c>
      <c r="P212" s="6">
        <v>0</v>
      </c>
      <c r="Q212" s="4" t="s">
        <v>59</v>
      </c>
      <c r="R212" s="4">
        <v>0</v>
      </c>
      <c r="S212" s="4" t="s">
        <v>196</v>
      </c>
      <c r="U212" s="4">
        <v>0</v>
      </c>
      <c r="V212" s="4">
        <v>17</v>
      </c>
      <c r="W212" s="4">
        <v>0</v>
      </c>
    </row>
    <row r="213" spans="1:23" ht="11.25" customHeight="1" x14ac:dyDescent="0.3">
      <c r="A213" s="4" t="s">
        <v>21</v>
      </c>
      <c r="B213" s="4" t="s">
        <v>39</v>
      </c>
      <c r="C213" s="4" t="s">
        <v>40</v>
      </c>
      <c r="D213" s="4" t="s">
        <v>38</v>
      </c>
      <c r="E213" s="4" t="s">
        <v>25</v>
      </c>
      <c r="F213" s="4" t="s">
        <v>58</v>
      </c>
      <c r="G213" s="4" t="s">
        <v>25</v>
      </c>
      <c r="H213" s="4" t="s">
        <v>35</v>
      </c>
      <c r="I213" s="5">
        <v>44774</v>
      </c>
      <c r="J213" s="6">
        <v>0</v>
      </c>
      <c r="K213" s="6">
        <v>0</v>
      </c>
      <c r="L213" s="6">
        <v>706.13199999999995</v>
      </c>
      <c r="M213" s="6">
        <v>706.13199999999995</v>
      </c>
      <c r="N213" s="6">
        <v>0</v>
      </c>
      <c r="O213" s="6">
        <v>0</v>
      </c>
      <c r="P213" s="6">
        <v>0</v>
      </c>
      <c r="Q213" s="4" t="s">
        <v>59</v>
      </c>
      <c r="R213" s="4">
        <v>0</v>
      </c>
      <c r="S213" s="4" t="s">
        <v>197</v>
      </c>
      <c r="U213" s="4">
        <v>0</v>
      </c>
      <c r="V213" s="4">
        <v>17</v>
      </c>
      <c r="W213" s="4">
        <v>0</v>
      </c>
    </row>
    <row r="214" spans="1:23" ht="11.25" customHeight="1" x14ac:dyDescent="0.3">
      <c r="A214" s="4" t="s">
        <v>21</v>
      </c>
      <c r="B214" s="4" t="s">
        <v>39</v>
      </c>
      <c r="C214" s="4" t="s">
        <v>40</v>
      </c>
      <c r="D214" s="4" t="s">
        <v>38</v>
      </c>
      <c r="E214" s="4" t="s">
        <v>25</v>
      </c>
      <c r="F214" s="4" t="s">
        <v>58</v>
      </c>
      <c r="G214" s="4" t="s">
        <v>25</v>
      </c>
      <c r="H214" s="4" t="s">
        <v>35</v>
      </c>
      <c r="I214" s="5">
        <v>44805</v>
      </c>
      <c r="J214" s="6">
        <v>0</v>
      </c>
      <c r="K214" s="6">
        <v>0</v>
      </c>
      <c r="L214" s="6">
        <v>641.66600000000005</v>
      </c>
      <c r="M214" s="6">
        <v>641.66600000000005</v>
      </c>
      <c r="N214" s="6">
        <v>0</v>
      </c>
      <c r="O214" s="6">
        <v>0</v>
      </c>
      <c r="P214" s="6">
        <v>0</v>
      </c>
      <c r="Q214" s="4" t="s">
        <v>59</v>
      </c>
      <c r="R214" s="4">
        <v>0</v>
      </c>
      <c r="S214" s="4" t="s">
        <v>198</v>
      </c>
      <c r="U214" s="4">
        <v>0</v>
      </c>
      <c r="V214" s="4">
        <v>17</v>
      </c>
      <c r="W214" s="4">
        <v>0</v>
      </c>
    </row>
    <row r="215" spans="1:23" ht="11.25" customHeight="1" x14ac:dyDescent="0.3">
      <c r="A215" s="4" t="s">
        <v>57</v>
      </c>
      <c r="B215" s="4" t="s">
        <v>39</v>
      </c>
      <c r="C215" s="4" t="s">
        <v>40</v>
      </c>
      <c r="D215" s="4" t="s">
        <v>38</v>
      </c>
      <c r="E215" s="4" t="s">
        <v>25</v>
      </c>
      <c r="F215" s="4" t="s">
        <v>58</v>
      </c>
      <c r="G215" s="4" t="s">
        <v>25</v>
      </c>
      <c r="H215" s="4" t="s">
        <v>35</v>
      </c>
      <c r="I215" s="5">
        <v>44835</v>
      </c>
      <c r="J215" s="6">
        <v>0</v>
      </c>
      <c r="K215" s="6">
        <v>0</v>
      </c>
      <c r="L215" s="6">
        <v>641.66600000000005</v>
      </c>
      <c r="M215" s="6">
        <v>641.66600000000005</v>
      </c>
      <c r="N215" s="6">
        <v>0</v>
      </c>
      <c r="O215" s="6">
        <v>0</v>
      </c>
      <c r="P215" s="6">
        <v>0</v>
      </c>
      <c r="Q215" s="4" t="s">
        <v>59</v>
      </c>
      <c r="R215" s="4">
        <v>0</v>
      </c>
      <c r="S215" s="4" t="s">
        <v>199</v>
      </c>
      <c r="U215" s="4">
        <v>0</v>
      </c>
      <c r="V215" s="4">
        <v>17</v>
      </c>
      <c r="W215" s="4">
        <v>0</v>
      </c>
    </row>
    <row r="216" spans="1:23" ht="11.25" customHeight="1" x14ac:dyDescent="0.3">
      <c r="A216" s="4" t="s">
        <v>21</v>
      </c>
      <c r="B216" s="4" t="s">
        <v>39</v>
      </c>
      <c r="C216" s="4" t="s">
        <v>40</v>
      </c>
      <c r="D216" s="4" t="s">
        <v>38</v>
      </c>
      <c r="E216" s="4" t="s">
        <v>25</v>
      </c>
      <c r="F216" s="4" t="s">
        <v>58</v>
      </c>
      <c r="G216" s="4" t="s">
        <v>25</v>
      </c>
      <c r="H216" s="4" t="s">
        <v>25</v>
      </c>
      <c r="I216" s="5">
        <v>44501</v>
      </c>
      <c r="J216" s="6">
        <v>2100</v>
      </c>
      <c r="K216" s="6">
        <v>1050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4" t="s">
        <v>59</v>
      </c>
      <c r="R216" s="4">
        <v>0</v>
      </c>
      <c r="S216" s="4" t="s">
        <v>200</v>
      </c>
      <c r="U216" s="4">
        <v>13</v>
      </c>
      <c r="V216" s="4">
        <v>0</v>
      </c>
      <c r="W216" s="4">
        <v>0</v>
      </c>
    </row>
    <row r="217" spans="1:23" ht="11.25" customHeight="1" x14ac:dyDescent="0.3">
      <c r="A217" s="4" t="s">
        <v>21</v>
      </c>
      <c r="B217" s="4" t="s">
        <v>39</v>
      </c>
      <c r="C217" s="4" t="s">
        <v>40</v>
      </c>
      <c r="D217" s="4" t="s">
        <v>38</v>
      </c>
      <c r="E217" s="4" t="s">
        <v>25</v>
      </c>
      <c r="F217" s="4" t="s">
        <v>58</v>
      </c>
      <c r="G217" s="4" t="s">
        <v>25</v>
      </c>
      <c r="H217" s="4" t="s">
        <v>25</v>
      </c>
      <c r="I217" s="5">
        <v>44531</v>
      </c>
      <c r="J217" s="6">
        <v>2100</v>
      </c>
      <c r="K217" s="6">
        <v>1050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4" t="s">
        <v>59</v>
      </c>
      <c r="R217" s="4">
        <v>0</v>
      </c>
      <c r="S217" s="4" t="s">
        <v>201</v>
      </c>
      <c r="U217" s="4">
        <v>13</v>
      </c>
      <c r="V217" s="4">
        <v>0</v>
      </c>
      <c r="W217" s="4">
        <v>0</v>
      </c>
    </row>
    <row r="218" spans="1:23" ht="11.25" customHeight="1" x14ac:dyDescent="0.3">
      <c r="A218" s="4" t="s">
        <v>21</v>
      </c>
      <c r="B218" s="4" t="s">
        <v>39</v>
      </c>
      <c r="C218" s="4" t="s">
        <v>40</v>
      </c>
      <c r="D218" s="4" t="s">
        <v>38</v>
      </c>
      <c r="E218" s="4" t="s">
        <v>25</v>
      </c>
      <c r="F218" s="4" t="s">
        <v>58</v>
      </c>
      <c r="G218" s="4" t="s">
        <v>25</v>
      </c>
      <c r="H218" s="4" t="s">
        <v>25</v>
      </c>
      <c r="I218" s="5">
        <v>44562</v>
      </c>
      <c r="J218" s="6">
        <v>2100</v>
      </c>
      <c r="K218" s="6">
        <v>1050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4" t="s">
        <v>59</v>
      </c>
      <c r="R218" s="4">
        <v>0</v>
      </c>
      <c r="S218" s="4" t="s">
        <v>202</v>
      </c>
      <c r="U218" s="4">
        <v>13</v>
      </c>
      <c r="V218" s="4">
        <v>0</v>
      </c>
      <c r="W218" s="4">
        <v>0</v>
      </c>
    </row>
    <row r="219" spans="1:23" ht="11.25" customHeight="1" x14ac:dyDescent="0.3">
      <c r="A219" s="4" t="s">
        <v>21</v>
      </c>
      <c r="B219" s="4" t="s">
        <v>39</v>
      </c>
      <c r="C219" s="4" t="s">
        <v>40</v>
      </c>
      <c r="D219" s="4" t="s">
        <v>38</v>
      </c>
      <c r="E219" s="4" t="s">
        <v>25</v>
      </c>
      <c r="F219" s="4" t="s">
        <v>58</v>
      </c>
      <c r="G219" s="4" t="s">
        <v>25</v>
      </c>
      <c r="H219" s="4" t="s">
        <v>25</v>
      </c>
      <c r="I219" s="5">
        <v>44593</v>
      </c>
      <c r="J219" s="6">
        <v>2100</v>
      </c>
      <c r="K219" s="6">
        <v>1050</v>
      </c>
      <c r="L219" s="6">
        <v>0</v>
      </c>
      <c r="M219" s="6">
        <v>0</v>
      </c>
      <c r="N219" s="6">
        <v>0</v>
      </c>
      <c r="O219" s="6">
        <v>0</v>
      </c>
      <c r="P219" s="6">
        <v>1</v>
      </c>
      <c r="Q219" s="4" t="s">
        <v>59</v>
      </c>
      <c r="R219" s="4">
        <v>0</v>
      </c>
      <c r="S219" s="4" t="s">
        <v>203</v>
      </c>
      <c r="U219" s="4">
        <v>13</v>
      </c>
      <c r="V219" s="4">
        <v>0</v>
      </c>
      <c r="W219" s="4">
        <v>0</v>
      </c>
    </row>
    <row r="220" spans="1:23" ht="11.25" customHeight="1" x14ac:dyDescent="0.3">
      <c r="A220" s="4" t="s">
        <v>21</v>
      </c>
      <c r="B220" s="4" t="s">
        <v>39</v>
      </c>
      <c r="C220" s="4" t="s">
        <v>40</v>
      </c>
      <c r="D220" s="4" t="s">
        <v>38</v>
      </c>
      <c r="E220" s="4" t="s">
        <v>25</v>
      </c>
      <c r="F220" s="4" t="s">
        <v>58</v>
      </c>
      <c r="G220" s="4" t="s">
        <v>25</v>
      </c>
      <c r="H220" s="4" t="s">
        <v>25</v>
      </c>
      <c r="I220" s="5">
        <v>44621</v>
      </c>
      <c r="J220" s="6">
        <v>2100</v>
      </c>
      <c r="K220" s="6">
        <v>1050</v>
      </c>
      <c r="L220" s="6">
        <v>0</v>
      </c>
      <c r="M220" s="6">
        <v>0</v>
      </c>
      <c r="N220" s="6">
        <v>0</v>
      </c>
      <c r="O220" s="6">
        <v>0</v>
      </c>
      <c r="P220" s="6">
        <v>1</v>
      </c>
      <c r="Q220" s="4" t="s">
        <v>59</v>
      </c>
      <c r="R220" s="4">
        <v>0</v>
      </c>
      <c r="S220" s="4" t="s">
        <v>204</v>
      </c>
      <c r="U220" s="4">
        <v>13</v>
      </c>
      <c r="V220" s="4">
        <v>0</v>
      </c>
      <c r="W220" s="4">
        <v>0</v>
      </c>
    </row>
    <row r="221" spans="1:23" ht="11.25" customHeight="1" x14ac:dyDescent="0.3">
      <c r="A221" s="4" t="s">
        <v>21</v>
      </c>
      <c r="B221" s="4" t="s">
        <v>39</v>
      </c>
      <c r="C221" s="4" t="s">
        <v>40</v>
      </c>
      <c r="D221" s="4" t="s">
        <v>38</v>
      </c>
      <c r="E221" s="4" t="s">
        <v>25</v>
      </c>
      <c r="F221" s="4" t="s">
        <v>58</v>
      </c>
      <c r="G221" s="4" t="s">
        <v>25</v>
      </c>
      <c r="H221" s="4" t="s">
        <v>25</v>
      </c>
      <c r="I221" s="5">
        <v>44652</v>
      </c>
      <c r="J221" s="6">
        <v>2100</v>
      </c>
      <c r="K221" s="6">
        <v>1050</v>
      </c>
      <c r="L221" s="6">
        <v>0</v>
      </c>
      <c r="M221" s="6">
        <v>0</v>
      </c>
      <c r="N221" s="6">
        <v>0</v>
      </c>
      <c r="O221" s="6">
        <v>0</v>
      </c>
      <c r="P221" s="6">
        <v>1</v>
      </c>
      <c r="Q221" s="4" t="s">
        <v>59</v>
      </c>
      <c r="R221" s="4">
        <v>0</v>
      </c>
      <c r="S221" s="4" t="s">
        <v>205</v>
      </c>
      <c r="U221" s="4">
        <v>13</v>
      </c>
      <c r="V221" s="4">
        <v>0</v>
      </c>
      <c r="W221" s="4">
        <v>0</v>
      </c>
    </row>
    <row r="222" spans="1:23" ht="11.25" customHeight="1" x14ac:dyDescent="0.3">
      <c r="A222" s="4" t="s">
        <v>21</v>
      </c>
      <c r="B222" s="4" t="s">
        <v>39</v>
      </c>
      <c r="C222" s="4" t="s">
        <v>40</v>
      </c>
      <c r="D222" s="4" t="s">
        <v>38</v>
      </c>
      <c r="E222" s="4" t="s">
        <v>25</v>
      </c>
      <c r="F222" s="4" t="s">
        <v>58</v>
      </c>
      <c r="G222" s="4" t="s">
        <v>25</v>
      </c>
      <c r="H222" s="4" t="s">
        <v>25</v>
      </c>
      <c r="I222" s="5">
        <v>44682</v>
      </c>
      <c r="J222" s="6">
        <v>2100</v>
      </c>
      <c r="K222" s="6">
        <v>1050</v>
      </c>
      <c r="L222" s="6">
        <v>0</v>
      </c>
      <c r="M222" s="6">
        <v>0</v>
      </c>
      <c r="N222" s="6">
        <v>0</v>
      </c>
      <c r="O222" s="6">
        <v>0</v>
      </c>
      <c r="P222" s="6">
        <v>1</v>
      </c>
      <c r="Q222" s="4" t="s">
        <v>59</v>
      </c>
      <c r="R222" s="4">
        <v>0</v>
      </c>
      <c r="S222" s="4" t="s">
        <v>206</v>
      </c>
      <c r="U222" s="4">
        <v>13</v>
      </c>
      <c r="V222" s="4">
        <v>0</v>
      </c>
      <c r="W222" s="4">
        <v>0</v>
      </c>
    </row>
    <row r="223" spans="1:23" ht="11.25" customHeight="1" x14ac:dyDescent="0.3">
      <c r="A223" s="4" t="s">
        <v>21</v>
      </c>
      <c r="B223" s="4" t="s">
        <v>39</v>
      </c>
      <c r="C223" s="4" t="s">
        <v>40</v>
      </c>
      <c r="D223" s="4" t="s">
        <v>38</v>
      </c>
      <c r="E223" s="4" t="s">
        <v>25</v>
      </c>
      <c r="F223" s="4" t="s">
        <v>58</v>
      </c>
      <c r="G223" s="4" t="s">
        <v>25</v>
      </c>
      <c r="H223" s="4" t="s">
        <v>25</v>
      </c>
      <c r="I223" s="5">
        <v>44713</v>
      </c>
      <c r="J223" s="6">
        <v>2100</v>
      </c>
      <c r="K223" s="6">
        <v>1050</v>
      </c>
      <c r="L223" s="6">
        <v>0</v>
      </c>
      <c r="M223" s="6">
        <v>0</v>
      </c>
      <c r="N223" s="6">
        <v>0</v>
      </c>
      <c r="O223" s="6">
        <v>0</v>
      </c>
      <c r="P223" s="6">
        <v>1</v>
      </c>
      <c r="Q223" s="4" t="s">
        <v>59</v>
      </c>
      <c r="R223" s="4">
        <v>0</v>
      </c>
      <c r="S223" s="4" t="s">
        <v>207</v>
      </c>
      <c r="U223" s="4">
        <v>13</v>
      </c>
      <c r="V223" s="4">
        <v>0</v>
      </c>
      <c r="W223" s="4">
        <v>0</v>
      </c>
    </row>
    <row r="224" spans="1:23" ht="11.25" customHeight="1" x14ac:dyDescent="0.3">
      <c r="A224" s="4" t="s">
        <v>21</v>
      </c>
      <c r="B224" s="4" t="s">
        <v>39</v>
      </c>
      <c r="C224" s="4" t="s">
        <v>40</v>
      </c>
      <c r="D224" s="4" t="s">
        <v>38</v>
      </c>
      <c r="E224" s="4" t="s">
        <v>25</v>
      </c>
      <c r="F224" s="4" t="s">
        <v>58</v>
      </c>
      <c r="G224" s="4" t="s">
        <v>25</v>
      </c>
      <c r="H224" s="4" t="s">
        <v>25</v>
      </c>
      <c r="I224" s="5">
        <v>44743</v>
      </c>
      <c r="J224" s="6">
        <v>2100</v>
      </c>
      <c r="K224" s="6">
        <v>1050</v>
      </c>
      <c r="L224" s="6">
        <v>0</v>
      </c>
      <c r="M224" s="6">
        <v>0</v>
      </c>
      <c r="N224" s="6">
        <v>0</v>
      </c>
      <c r="O224" s="6">
        <v>0</v>
      </c>
      <c r="P224" s="6">
        <v>1</v>
      </c>
      <c r="Q224" s="4" t="s">
        <v>59</v>
      </c>
      <c r="R224" s="4">
        <v>0</v>
      </c>
      <c r="S224" s="4" t="s">
        <v>208</v>
      </c>
      <c r="U224" s="4">
        <v>13</v>
      </c>
      <c r="V224" s="4">
        <v>0</v>
      </c>
      <c r="W224" s="4">
        <v>0</v>
      </c>
    </row>
    <row r="225" spans="1:23" ht="11.25" customHeight="1" x14ac:dyDescent="0.3">
      <c r="A225" s="4" t="s">
        <v>21</v>
      </c>
      <c r="B225" s="4" t="s">
        <v>39</v>
      </c>
      <c r="C225" s="4" t="s">
        <v>40</v>
      </c>
      <c r="D225" s="4" t="s">
        <v>38</v>
      </c>
      <c r="E225" s="4" t="s">
        <v>25</v>
      </c>
      <c r="F225" s="4" t="s">
        <v>58</v>
      </c>
      <c r="G225" s="4" t="s">
        <v>25</v>
      </c>
      <c r="H225" s="4" t="s">
        <v>25</v>
      </c>
      <c r="I225" s="5">
        <v>44774</v>
      </c>
      <c r="J225" s="6">
        <v>2100</v>
      </c>
      <c r="K225" s="6">
        <v>1050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4" t="s">
        <v>59</v>
      </c>
      <c r="R225" s="4">
        <v>0</v>
      </c>
      <c r="S225" s="4" t="s">
        <v>209</v>
      </c>
      <c r="U225" s="4">
        <v>13</v>
      </c>
      <c r="V225" s="4">
        <v>0</v>
      </c>
      <c r="W225" s="4">
        <v>0</v>
      </c>
    </row>
    <row r="226" spans="1:23" ht="11.25" customHeight="1" x14ac:dyDescent="0.3">
      <c r="A226" s="4" t="s">
        <v>21</v>
      </c>
      <c r="B226" s="4" t="s">
        <v>39</v>
      </c>
      <c r="C226" s="4" t="s">
        <v>40</v>
      </c>
      <c r="D226" s="4" t="s">
        <v>38</v>
      </c>
      <c r="E226" s="4" t="s">
        <v>25</v>
      </c>
      <c r="F226" s="4" t="s">
        <v>58</v>
      </c>
      <c r="G226" s="4" t="s">
        <v>25</v>
      </c>
      <c r="H226" s="4" t="s">
        <v>25</v>
      </c>
      <c r="I226" s="5">
        <v>44805</v>
      </c>
      <c r="J226" s="6">
        <v>2100</v>
      </c>
      <c r="K226" s="6">
        <v>1050</v>
      </c>
      <c r="L226" s="6">
        <v>0</v>
      </c>
      <c r="M226" s="6">
        <v>0</v>
      </c>
      <c r="N226" s="6">
        <v>0</v>
      </c>
      <c r="O226" s="6">
        <v>0</v>
      </c>
      <c r="P226" s="6">
        <v>1</v>
      </c>
      <c r="Q226" s="4" t="s">
        <v>59</v>
      </c>
      <c r="R226" s="4">
        <v>0</v>
      </c>
      <c r="S226" s="4" t="s">
        <v>210</v>
      </c>
      <c r="U226" s="4">
        <v>13</v>
      </c>
      <c r="V226" s="4">
        <v>0</v>
      </c>
      <c r="W226" s="4">
        <v>0</v>
      </c>
    </row>
    <row r="227" spans="1:23" ht="11.25" customHeight="1" x14ac:dyDescent="0.3">
      <c r="A227" s="4" t="s">
        <v>57</v>
      </c>
      <c r="B227" s="4" t="s">
        <v>39</v>
      </c>
      <c r="C227" s="4" t="s">
        <v>40</v>
      </c>
      <c r="D227" s="4" t="s">
        <v>38</v>
      </c>
      <c r="E227" s="4" t="s">
        <v>25</v>
      </c>
      <c r="F227" s="4" t="s">
        <v>58</v>
      </c>
      <c r="G227" s="4" t="s">
        <v>25</v>
      </c>
      <c r="H227" s="4" t="s">
        <v>25</v>
      </c>
      <c r="I227" s="5">
        <v>44835</v>
      </c>
      <c r="J227" s="6">
        <v>2100</v>
      </c>
      <c r="K227" s="6">
        <v>1050</v>
      </c>
      <c r="L227" s="6">
        <v>0</v>
      </c>
      <c r="M227" s="6">
        <v>0</v>
      </c>
      <c r="N227" s="6">
        <v>0</v>
      </c>
      <c r="O227" s="6">
        <v>0</v>
      </c>
      <c r="P227" s="6">
        <v>1</v>
      </c>
      <c r="Q227" s="4" t="s">
        <v>59</v>
      </c>
      <c r="R227" s="4">
        <v>0</v>
      </c>
      <c r="S227" s="4" t="s">
        <v>211</v>
      </c>
      <c r="U227" s="4">
        <v>13</v>
      </c>
      <c r="V227" s="4">
        <v>0</v>
      </c>
      <c r="W227" s="4">
        <v>0</v>
      </c>
    </row>
    <row r="228" spans="1:23" ht="11.25" customHeight="1" x14ac:dyDescent="0.3">
      <c r="A228" s="4" t="s">
        <v>21</v>
      </c>
      <c r="B228" s="4" t="s">
        <v>39</v>
      </c>
      <c r="C228" s="4" t="s">
        <v>40</v>
      </c>
      <c r="D228" s="4" t="s">
        <v>38</v>
      </c>
      <c r="E228" s="4" t="s">
        <v>25</v>
      </c>
      <c r="F228" s="4" t="s">
        <v>58</v>
      </c>
      <c r="G228" s="4" t="s">
        <v>25</v>
      </c>
      <c r="H228" s="4" t="s">
        <v>34</v>
      </c>
      <c r="I228" s="5">
        <v>44501</v>
      </c>
      <c r="J228" s="6">
        <v>0</v>
      </c>
      <c r="K228" s="6">
        <v>0</v>
      </c>
      <c r="L228" s="6">
        <v>20.846</v>
      </c>
      <c r="M228" s="6">
        <v>11.075382657640001</v>
      </c>
      <c r="N228" s="6">
        <v>0</v>
      </c>
      <c r="O228" s="6">
        <v>0</v>
      </c>
      <c r="P228" s="6">
        <v>0</v>
      </c>
      <c r="Q228" s="4" t="s">
        <v>59</v>
      </c>
      <c r="R228" s="4">
        <v>0</v>
      </c>
      <c r="S228" s="4" t="s">
        <v>212</v>
      </c>
      <c r="U228" s="4">
        <v>0</v>
      </c>
      <c r="V228" s="4">
        <v>15</v>
      </c>
      <c r="W228" s="4">
        <v>0</v>
      </c>
    </row>
    <row r="229" spans="1:23" ht="11.25" customHeight="1" x14ac:dyDescent="0.3">
      <c r="A229" s="4" t="s">
        <v>21</v>
      </c>
      <c r="B229" s="4" t="s">
        <v>39</v>
      </c>
      <c r="C229" s="4" t="s">
        <v>40</v>
      </c>
      <c r="D229" s="4" t="s">
        <v>38</v>
      </c>
      <c r="E229" s="4" t="s">
        <v>25</v>
      </c>
      <c r="F229" s="4" t="s">
        <v>58</v>
      </c>
      <c r="G229" s="4" t="s">
        <v>25</v>
      </c>
      <c r="H229" s="4" t="s">
        <v>34</v>
      </c>
      <c r="I229" s="5">
        <v>44531</v>
      </c>
      <c r="J229" s="6">
        <v>0</v>
      </c>
      <c r="K229" s="6">
        <v>0</v>
      </c>
      <c r="L229" s="6">
        <v>24.186</v>
      </c>
      <c r="M229" s="6">
        <v>12.952480468079999</v>
      </c>
      <c r="N229" s="6">
        <v>0</v>
      </c>
      <c r="O229" s="6">
        <v>0</v>
      </c>
      <c r="P229" s="6">
        <v>0</v>
      </c>
      <c r="Q229" s="4" t="s">
        <v>59</v>
      </c>
      <c r="R229" s="4">
        <v>0</v>
      </c>
      <c r="S229" s="4" t="s">
        <v>213</v>
      </c>
      <c r="U229" s="4">
        <v>0</v>
      </c>
      <c r="V229" s="4">
        <v>15</v>
      </c>
      <c r="W229" s="4">
        <v>0</v>
      </c>
    </row>
    <row r="230" spans="1:23" ht="11.25" customHeight="1" x14ac:dyDescent="0.3">
      <c r="A230" s="4" t="s">
        <v>21</v>
      </c>
      <c r="B230" s="4" t="s">
        <v>39</v>
      </c>
      <c r="C230" s="4" t="s">
        <v>40</v>
      </c>
      <c r="D230" s="4" t="s">
        <v>38</v>
      </c>
      <c r="E230" s="4" t="s">
        <v>25</v>
      </c>
      <c r="F230" s="4" t="s">
        <v>58</v>
      </c>
      <c r="G230" s="4" t="s">
        <v>25</v>
      </c>
      <c r="H230" s="4" t="s">
        <v>34</v>
      </c>
      <c r="I230" s="5">
        <v>44562</v>
      </c>
      <c r="J230" s="6">
        <v>0</v>
      </c>
      <c r="K230" s="6">
        <v>0</v>
      </c>
      <c r="L230" s="6">
        <v>26.704000000000001</v>
      </c>
      <c r="M230" s="6">
        <v>14.30096082112</v>
      </c>
      <c r="N230" s="6">
        <v>0</v>
      </c>
      <c r="O230" s="6">
        <v>0</v>
      </c>
      <c r="P230" s="6">
        <v>0</v>
      </c>
      <c r="Q230" s="4" t="s">
        <v>59</v>
      </c>
      <c r="R230" s="4">
        <v>0</v>
      </c>
      <c r="S230" s="4" t="s">
        <v>214</v>
      </c>
      <c r="U230" s="4">
        <v>0</v>
      </c>
      <c r="V230" s="4">
        <v>15</v>
      </c>
      <c r="W230" s="4">
        <v>0</v>
      </c>
    </row>
    <row r="231" spans="1:23" ht="11.25" customHeight="1" x14ac:dyDescent="0.3">
      <c r="A231" s="4" t="s">
        <v>21</v>
      </c>
      <c r="B231" s="4" t="s">
        <v>39</v>
      </c>
      <c r="C231" s="4" t="s">
        <v>40</v>
      </c>
      <c r="D231" s="4" t="s">
        <v>38</v>
      </c>
      <c r="E231" s="4" t="s">
        <v>25</v>
      </c>
      <c r="F231" s="4" t="s">
        <v>58</v>
      </c>
      <c r="G231" s="4" t="s">
        <v>25</v>
      </c>
      <c r="H231" s="4" t="s">
        <v>34</v>
      </c>
      <c r="I231" s="5">
        <v>44593</v>
      </c>
      <c r="J231" s="6">
        <v>0</v>
      </c>
      <c r="K231" s="6">
        <v>0</v>
      </c>
      <c r="L231" s="6">
        <v>23.411000000000001</v>
      </c>
      <c r="M231" s="6">
        <v>12.53743985108</v>
      </c>
      <c r="N231" s="6">
        <v>0</v>
      </c>
      <c r="O231" s="6">
        <v>0</v>
      </c>
      <c r="P231" s="6">
        <v>0</v>
      </c>
      <c r="Q231" s="4" t="s">
        <v>59</v>
      </c>
      <c r="R231" s="4">
        <v>0</v>
      </c>
      <c r="S231" s="4" t="s">
        <v>215</v>
      </c>
      <c r="U231" s="4">
        <v>0</v>
      </c>
      <c r="V231" s="4">
        <v>15</v>
      </c>
      <c r="W231" s="4">
        <v>0</v>
      </c>
    </row>
    <row r="232" spans="1:23" ht="11.25" customHeight="1" x14ac:dyDescent="0.3">
      <c r="A232" s="4" t="s">
        <v>21</v>
      </c>
      <c r="B232" s="4" t="s">
        <v>39</v>
      </c>
      <c r="C232" s="4" t="s">
        <v>40</v>
      </c>
      <c r="D232" s="4" t="s">
        <v>38</v>
      </c>
      <c r="E232" s="4" t="s">
        <v>25</v>
      </c>
      <c r="F232" s="4" t="s">
        <v>58</v>
      </c>
      <c r="G232" s="4" t="s">
        <v>25</v>
      </c>
      <c r="H232" s="4" t="s">
        <v>34</v>
      </c>
      <c r="I232" s="5">
        <v>44621</v>
      </c>
      <c r="J232" s="6">
        <v>0</v>
      </c>
      <c r="K232" s="6">
        <v>0</v>
      </c>
      <c r="L232" s="6">
        <v>22.696999999999999</v>
      </c>
      <c r="M232" s="6">
        <v>12.15506694716</v>
      </c>
      <c r="N232" s="6">
        <v>0</v>
      </c>
      <c r="O232" s="6">
        <v>0</v>
      </c>
      <c r="P232" s="6">
        <v>0</v>
      </c>
      <c r="Q232" s="4" t="s">
        <v>59</v>
      </c>
      <c r="R232" s="4">
        <v>0</v>
      </c>
      <c r="S232" s="4" t="s">
        <v>216</v>
      </c>
      <c r="U232" s="4">
        <v>0</v>
      </c>
      <c r="V232" s="4">
        <v>15</v>
      </c>
      <c r="W232" s="4">
        <v>0</v>
      </c>
    </row>
    <row r="233" spans="1:23" ht="11.25" customHeight="1" x14ac:dyDescent="0.3">
      <c r="A233" s="4" t="s">
        <v>21</v>
      </c>
      <c r="B233" s="4" t="s">
        <v>39</v>
      </c>
      <c r="C233" s="4" t="s">
        <v>40</v>
      </c>
      <c r="D233" s="4" t="s">
        <v>38</v>
      </c>
      <c r="E233" s="4" t="s">
        <v>25</v>
      </c>
      <c r="F233" s="4" t="s">
        <v>58</v>
      </c>
      <c r="G233" s="4" t="s">
        <v>25</v>
      </c>
      <c r="H233" s="4" t="s">
        <v>34</v>
      </c>
      <c r="I233" s="5">
        <v>44652</v>
      </c>
      <c r="J233" s="6">
        <v>0</v>
      </c>
      <c r="K233" s="6">
        <v>0</v>
      </c>
      <c r="L233" s="6">
        <v>22.974</v>
      </c>
      <c r="M233" s="6">
        <v>12.30341049672</v>
      </c>
      <c r="N233" s="6">
        <v>0</v>
      </c>
      <c r="O233" s="6">
        <v>0</v>
      </c>
      <c r="P233" s="6">
        <v>0</v>
      </c>
      <c r="Q233" s="4" t="s">
        <v>59</v>
      </c>
      <c r="R233" s="4">
        <v>0</v>
      </c>
      <c r="S233" s="4" t="s">
        <v>217</v>
      </c>
      <c r="U233" s="4">
        <v>0</v>
      </c>
      <c r="V233" s="4">
        <v>15</v>
      </c>
      <c r="W233" s="4">
        <v>0</v>
      </c>
    </row>
    <row r="234" spans="1:23" ht="11.25" customHeight="1" x14ac:dyDescent="0.3">
      <c r="A234" s="4" t="s">
        <v>21</v>
      </c>
      <c r="B234" s="4" t="s">
        <v>39</v>
      </c>
      <c r="C234" s="4" t="s">
        <v>40</v>
      </c>
      <c r="D234" s="4" t="s">
        <v>38</v>
      </c>
      <c r="E234" s="4" t="s">
        <v>25</v>
      </c>
      <c r="F234" s="4" t="s">
        <v>58</v>
      </c>
      <c r="G234" s="4" t="s">
        <v>25</v>
      </c>
      <c r="H234" s="4" t="s">
        <v>34</v>
      </c>
      <c r="I234" s="5">
        <v>44682</v>
      </c>
      <c r="J234" s="6">
        <v>0</v>
      </c>
      <c r="K234" s="6">
        <v>0</v>
      </c>
      <c r="L234" s="6">
        <v>22.655999999999999</v>
      </c>
      <c r="M234" s="6">
        <v>12.133109959680001</v>
      </c>
      <c r="N234" s="6">
        <v>0</v>
      </c>
      <c r="O234" s="6">
        <v>0</v>
      </c>
      <c r="P234" s="6">
        <v>0</v>
      </c>
      <c r="Q234" s="4" t="s">
        <v>59</v>
      </c>
      <c r="R234" s="4">
        <v>0</v>
      </c>
      <c r="S234" s="4" t="s">
        <v>218</v>
      </c>
      <c r="U234" s="4">
        <v>0</v>
      </c>
      <c r="V234" s="4">
        <v>15</v>
      </c>
      <c r="W234" s="4">
        <v>0</v>
      </c>
    </row>
    <row r="235" spans="1:23" ht="11.25" customHeight="1" x14ac:dyDescent="0.3">
      <c r="A235" s="4" t="s">
        <v>21</v>
      </c>
      <c r="B235" s="4" t="s">
        <v>39</v>
      </c>
      <c r="C235" s="4" t="s">
        <v>40</v>
      </c>
      <c r="D235" s="4" t="s">
        <v>38</v>
      </c>
      <c r="E235" s="4" t="s">
        <v>25</v>
      </c>
      <c r="F235" s="4" t="s">
        <v>58</v>
      </c>
      <c r="G235" s="4" t="s">
        <v>25</v>
      </c>
      <c r="H235" s="4" t="s">
        <v>34</v>
      </c>
      <c r="I235" s="5">
        <v>44713</v>
      </c>
      <c r="J235" s="6">
        <v>0</v>
      </c>
      <c r="K235" s="6">
        <v>0</v>
      </c>
      <c r="L235" s="6">
        <v>19.187999999999999</v>
      </c>
      <c r="M235" s="6">
        <v>10.27587014064</v>
      </c>
      <c r="N235" s="6">
        <v>0</v>
      </c>
      <c r="O235" s="6">
        <v>0</v>
      </c>
      <c r="P235" s="6">
        <v>0</v>
      </c>
      <c r="Q235" s="4" t="s">
        <v>59</v>
      </c>
      <c r="R235" s="4">
        <v>0</v>
      </c>
      <c r="S235" s="4" t="s">
        <v>219</v>
      </c>
      <c r="U235" s="4">
        <v>0</v>
      </c>
      <c r="V235" s="4">
        <v>15</v>
      </c>
      <c r="W235" s="4">
        <v>0</v>
      </c>
    </row>
    <row r="236" spans="1:23" ht="11.25" customHeight="1" x14ac:dyDescent="0.3">
      <c r="A236" s="4" t="s">
        <v>21</v>
      </c>
      <c r="B236" s="4" t="s">
        <v>39</v>
      </c>
      <c r="C236" s="4" t="s">
        <v>40</v>
      </c>
      <c r="D236" s="4" t="s">
        <v>38</v>
      </c>
      <c r="E236" s="4" t="s">
        <v>25</v>
      </c>
      <c r="F236" s="4" t="s">
        <v>58</v>
      </c>
      <c r="G236" s="4" t="s">
        <v>25</v>
      </c>
      <c r="H236" s="4" t="s">
        <v>34</v>
      </c>
      <c r="I236" s="5">
        <v>44743</v>
      </c>
      <c r="J236" s="6">
        <v>0</v>
      </c>
      <c r="K236" s="6">
        <v>0</v>
      </c>
      <c r="L236" s="6">
        <v>28.712</v>
      </c>
      <c r="M236" s="6">
        <v>15.376317671360001</v>
      </c>
      <c r="N236" s="6">
        <v>0</v>
      </c>
      <c r="O236" s="6">
        <v>0</v>
      </c>
      <c r="P236" s="6">
        <v>0</v>
      </c>
      <c r="Q236" s="4" t="s">
        <v>59</v>
      </c>
      <c r="R236" s="4">
        <v>0</v>
      </c>
      <c r="S236" s="4" t="s">
        <v>220</v>
      </c>
      <c r="U236" s="4">
        <v>0</v>
      </c>
      <c r="V236" s="4">
        <v>15</v>
      </c>
      <c r="W236" s="4">
        <v>0</v>
      </c>
    </row>
    <row r="237" spans="1:23" ht="11.25" customHeight="1" x14ac:dyDescent="0.3">
      <c r="A237" s="4" t="s">
        <v>21</v>
      </c>
      <c r="B237" s="4" t="s">
        <v>39</v>
      </c>
      <c r="C237" s="4" t="s">
        <v>40</v>
      </c>
      <c r="D237" s="4" t="s">
        <v>38</v>
      </c>
      <c r="E237" s="4" t="s">
        <v>25</v>
      </c>
      <c r="F237" s="4" t="s">
        <v>58</v>
      </c>
      <c r="G237" s="4" t="s">
        <v>25</v>
      </c>
      <c r="H237" s="4" t="s">
        <v>34</v>
      </c>
      <c r="I237" s="5">
        <v>44774</v>
      </c>
      <c r="J237" s="6">
        <v>0</v>
      </c>
      <c r="K237" s="6">
        <v>0</v>
      </c>
      <c r="L237" s="6">
        <v>31.527999999999999</v>
      </c>
      <c r="M237" s="6">
        <v>16.884387835839998</v>
      </c>
      <c r="N237" s="6">
        <v>0</v>
      </c>
      <c r="O237" s="6">
        <v>0</v>
      </c>
      <c r="P237" s="6">
        <v>0</v>
      </c>
      <c r="Q237" s="4" t="s">
        <v>59</v>
      </c>
      <c r="R237" s="4">
        <v>0</v>
      </c>
      <c r="S237" s="4" t="s">
        <v>221</v>
      </c>
      <c r="U237" s="4">
        <v>0</v>
      </c>
      <c r="V237" s="4">
        <v>15</v>
      </c>
      <c r="W237" s="4">
        <v>0</v>
      </c>
    </row>
    <row r="238" spans="1:23" ht="11.25" customHeight="1" x14ac:dyDescent="0.3">
      <c r="A238" s="4" t="s">
        <v>21</v>
      </c>
      <c r="B238" s="4" t="s">
        <v>39</v>
      </c>
      <c r="C238" s="4" t="s">
        <v>40</v>
      </c>
      <c r="D238" s="4" t="s">
        <v>38</v>
      </c>
      <c r="E238" s="4" t="s">
        <v>25</v>
      </c>
      <c r="F238" s="4" t="s">
        <v>58</v>
      </c>
      <c r="G238" s="4" t="s">
        <v>25</v>
      </c>
      <c r="H238" s="4" t="s">
        <v>34</v>
      </c>
      <c r="I238" s="5">
        <v>44805</v>
      </c>
      <c r="J238" s="6">
        <v>0</v>
      </c>
      <c r="K238" s="6">
        <v>0</v>
      </c>
      <c r="L238" s="6">
        <v>29.128</v>
      </c>
      <c r="M238" s="6">
        <v>15.599100763839999</v>
      </c>
      <c r="N238" s="6">
        <v>0</v>
      </c>
      <c r="O238" s="6">
        <v>0</v>
      </c>
      <c r="P238" s="6">
        <v>0</v>
      </c>
      <c r="Q238" s="4" t="s">
        <v>59</v>
      </c>
      <c r="R238" s="4">
        <v>0</v>
      </c>
      <c r="S238" s="4" t="s">
        <v>222</v>
      </c>
      <c r="U238" s="4">
        <v>0</v>
      </c>
      <c r="V238" s="4">
        <v>15</v>
      </c>
      <c r="W238" s="4">
        <v>0</v>
      </c>
    </row>
    <row r="239" spans="1:23" ht="11.25" customHeight="1" x14ac:dyDescent="0.3">
      <c r="A239" s="4" t="s">
        <v>57</v>
      </c>
      <c r="B239" s="4" t="s">
        <v>39</v>
      </c>
      <c r="C239" s="4" t="s">
        <v>40</v>
      </c>
      <c r="D239" s="4" t="s">
        <v>38</v>
      </c>
      <c r="E239" s="4" t="s">
        <v>25</v>
      </c>
      <c r="F239" s="4" t="s">
        <v>58</v>
      </c>
      <c r="G239" s="4" t="s">
        <v>25</v>
      </c>
      <c r="H239" s="4" t="s">
        <v>34</v>
      </c>
      <c r="I239" s="5">
        <v>44835</v>
      </c>
      <c r="J239" s="6">
        <v>0</v>
      </c>
      <c r="K239" s="6">
        <v>0</v>
      </c>
      <c r="L239" s="6">
        <v>29.128</v>
      </c>
      <c r="M239" s="6">
        <v>15.599100763839999</v>
      </c>
      <c r="N239" s="6">
        <v>0</v>
      </c>
      <c r="O239" s="6">
        <v>0</v>
      </c>
      <c r="P239" s="6">
        <v>0</v>
      </c>
      <c r="Q239" s="4" t="s">
        <v>59</v>
      </c>
      <c r="R239" s="4">
        <v>0</v>
      </c>
      <c r="S239" s="4" t="s">
        <v>223</v>
      </c>
      <c r="U239" s="4">
        <v>0</v>
      </c>
      <c r="V239" s="4">
        <v>15</v>
      </c>
      <c r="W239" s="4">
        <v>0</v>
      </c>
    </row>
    <row r="240" spans="1:23" ht="11.25" customHeight="1" x14ac:dyDescent="0.3">
      <c r="A240" s="4" t="s">
        <v>21</v>
      </c>
      <c r="B240" s="4" t="s">
        <v>39</v>
      </c>
      <c r="C240" s="4" t="s">
        <v>40</v>
      </c>
      <c r="D240" s="4" t="s">
        <v>38</v>
      </c>
      <c r="E240" s="4" t="s">
        <v>25</v>
      </c>
      <c r="F240" s="4" t="s">
        <v>25</v>
      </c>
      <c r="G240" s="4" t="s">
        <v>25</v>
      </c>
      <c r="H240" s="4" t="s">
        <v>35</v>
      </c>
      <c r="I240" s="5">
        <v>44501</v>
      </c>
      <c r="J240" s="6">
        <v>0</v>
      </c>
      <c r="K240" s="6">
        <v>0</v>
      </c>
      <c r="L240" s="6">
        <v>849.83</v>
      </c>
      <c r="M240" s="6">
        <v>849.83</v>
      </c>
      <c r="N240" s="6">
        <v>849.83</v>
      </c>
      <c r="O240" s="6">
        <v>849.83</v>
      </c>
      <c r="P240" s="6">
        <v>0</v>
      </c>
      <c r="Q240" s="4" t="s">
        <v>26</v>
      </c>
      <c r="R240" s="4">
        <v>0</v>
      </c>
      <c r="S240" s="4" t="s">
        <v>188</v>
      </c>
      <c r="T240" s="4" t="s">
        <v>421</v>
      </c>
      <c r="U240" s="4">
        <v>0</v>
      </c>
      <c r="V240" s="4">
        <v>17</v>
      </c>
      <c r="W240" s="4">
        <v>66</v>
      </c>
    </row>
    <row r="241" spans="1:23" ht="11.25" customHeight="1" x14ac:dyDescent="0.3">
      <c r="A241" s="4" t="s">
        <v>28</v>
      </c>
      <c r="B241" s="4" t="s">
        <v>39</v>
      </c>
      <c r="C241" s="4" t="s">
        <v>40</v>
      </c>
      <c r="D241" s="4" t="s">
        <v>38</v>
      </c>
      <c r="E241" s="4" t="s">
        <v>25</v>
      </c>
      <c r="F241" s="4" t="s">
        <v>25</v>
      </c>
      <c r="G241" s="4" t="s">
        <v>25</v>
      </c>
      <c r="H241" s="4" t="s">
        <v>35</v>
      </c>
      <c r="I241" s="5">
        <v>44501</v>
      </c>
      <c r="J241" s="6">
        <v>0</v>
      </c>
      <c r="K241" s="6">
        <v>0</v>
      </c>
      <c r="L241" s="6">
        <v>1</v>
      </c>
      <c r="M241" s="6">
        <v>1</v>
      </c>
      <c r="N241" s="6">
        <v>1</v>
      </c>
      <c r="O241" s="6">
        <v>1</v>
      </c>
      <c r="P241" s="6">
        <v>0</v>
      </c>
      <c r="Q241" s="4" t="s">
        <v>26</v>
      </c>
      <c r="R241" s="4">
        <v>0</v>
      </c>
      <c r="S241" s="4" t="s">
        <v>188</v>
      </c>
      <c r="T241" s="4" t="s">
        <v>421</v>
      </c>
      <c r="U241" s="4">
        <v>0</v>
      </c>
      <c r="V241" s="4">
        <v>17</v>
      </c>
      <c r="W241" s="4">
        <v>66</v>
      </c>
    </row>
    <row r="242" spans="1:23" ht="11.25" customHeight="1" x14ac:dyDescent="0.3">
      <c r="A242" s="4" t="s">
        <v>21</v>
      </c>
      <c r="B242" s="4" t="s">
        <v>39</v>
      </c>
      <c r="C242" s="4" t="s">
        <v>40</v>
      </c>
      <c r="D242" s="4" t="s">
        <v>38</v>
      </c>
      <c r="E242" s="4" t="s">
        <v>25</v>
      </c>
      <c r="F242" s="4" t="s">
        <v>25</v>
      </c>
      <c r="G242" s="4" t="s">
        <v>25</v>
      </c>
      <c r="H242" s="4" t="s">
        <v>35</v>
      </c>
      <c r="I242" s="5">
        <v>44531</v>
      </c>
      <c r="J242" s="6">
        <v>0</v>
      </c>
      <c r="K242" s="6">
        <v>0</v>
      </c>
      <c r="L242" s="6">
        <v>751.16800000000001</v>
      </c>
      <c r="M242" s="6">
        <v>751.16800000000001</v>
      </c>
      <c r="N242" s="6">
        <v>751.16800000000001</v>
      </c>
      <c r="O242" s="6">
        <v>751.16800000000001</v>
      </c>
      <c r="P242" s="6">
        <v>0</v>
      </c>
      <c r="Q242" s="4" t="s">
        <v>26</v>
      </c>
      <c r="R242" s="4">
        <v>0</v>
      </c>
      <c r="S242" s="4" t="s">
        <v>189</v>
      </c>
      <c r="T242" s="4" t="s">
        <v>422</v>
      </c>
      <c r="U242" s="4">
        <v>0</v>
      </c>
      <c r="V242" s="4">
        <v>17</v>
      </c>
      <c r="W242" s="4">
        <v>66</v>
      </c>
    </row>
    <row r="243" spans="1:23" ht="11.25" customHeight="1" x14ac:dyDescent="0.3">
      <c r="A243" s="4" t="s">
        <v>28</v>
      </c>
      <c r="B243" s="4" t="s">
        <v>39</v>
      </c>
      <c r="C243" s="4" t="s">
        <v>40</v>
      </c>
      <c r="D243" s="4" t="s">
        <v>38</v>
      </c>
      <c r="E243" s="4" t="s">
        <v>25</v>
      </c>
      <c r="F243" s="4" t="s">
        <v>25</v>
      </c>
      <c r="G243" s="4" t="s">
        <v>25</v>
      </c>
      <c r="H243" s="4" t="s">
        <v>35</v>
      </c>
      <c r="I243" s="5">
        <v>44531</v>
      </c>
      <c r="J243" s="6">
        <v>0</v>
      </c>
      <c r="K243" s="6">
        <v>0</v>
      </c>
      <c r="L243" s="6">
        <v>1.2030000000000001</v>
      </c>
      <c r="M243" s="6">
        <v>1.2030000000000001</v>
      </c>
      <c r="N243" s="6">
        <v>1.2030000000000001</v>
      </c>
      <c r="O243" s="6">
        <v>1.2030000000000001</v>
      </c>
      <c r="P243" s="6">
        <v>0</v>
      </c>
      <c r="Q243" s="4" t="s">
        <v>26</v>
      </c>
      <c r="R243" s="4">
        <v>0</v>
      </c>
      <c r="S243" s="4" t="s">
        <v>189</v>
      </c>
      <c r="T243" s="4" t="s">
        <v>422</v>
      </c>
      <c r="U243" s="4">
        <v>0</v>
      </c>
      <c r="V243" s="4">
        <v>17</v>
      </c>
      <c r="W243" s="4">
        <v>66</v>
      </c>
    </row>
    <row r="244" spans="1:23" ht="11.25" customHeight="1" x14ac:dyDescent="0.3">
      <c r="A244" s="4" t="s">
        <v>21</v>
      </c>
      <c r="B244" s="4" t="s">
        <v>39</v>
      </c>
      <c r="C244" s="4" t="s">
        <v>40</v>
      </c>
      <c r="D244" s="4" t="s">
        <v>38</v>
      </c>
      <c r="E244" s="4" t="s">
        <v>25</v>
      </c>
      <c r="F244" s="4" t="s">
        <v>25</v>
      </c>
      <c r="G244" s="4" t="s">
        <v>25</v>
      </c>
      <c r="H244" s="4" t="s">
        <v>35</v>
      </c>
      <c r="I244" s="5">
        <v>44562</v>
      </c>
      <c r="J244" s="6">
        <v>0</v>
      </c>
      <c r="K244" s="6">
        <v>0</v>
      </c>
      <c r="L244" s="6">
        <v>729.11</v>
      </c>
      <c r="M244" s="6">
        <v>729.11</v>
      </c>
      <c r="N244" s="6">
        <v>729.11</v>
      </c>
      <c r="O244" s="6">
        <v>729.11</v>
      </c>
      <c r="P244" s="6">
        <v>0</v>
      </c>
      <c r="Q244" s="4" t="s">
        <v>26</v>
      </c>
      <c r="R244" s="4">
        <v>0</v>
      </c>
      <c r="S244" s="4" t="s">
        <v>190</v>
      </c>
      <c r="T244" s="4" t="s">
        <v>423</v>
      </c>
      <c r="U244" s="4">
        <v>0</v>
      </c>
      <c r="V244" s="4">
        <v>17</v>
      </c>
      <c r="W244" s="4">
        <v>66</v>
      </c>
    </row>
    <row r="245" spans="1:23" ht="11.25" customHeight="1" x14ac:dyDescent="0.3">
      <c r="A245" s="4" t="s">
        <v>28</v>
      </c>
      <c r="B245" s="4" t="s">
        <v>39</v>
      </c>
      <c r="C245" s="4" t="s">
        <v>40</v>
      </c>
      <c r="D245" s="4" t="s">
        <v>38</v>
      </c>
      <c r="E245" s="4" t="s">
        <v>25</v>
      </c>
      <c r="F245" s="4" t="s">
        <v>25</v>
      </c>
      <c r="G245" s="4" t="s">
        <v>25</v>
      </c>
      <c r="H245" s="4" t="s">
        <v>35</v>
      </c>
      <c r="I245" s="5">
        <v>44562</v>
      </c>
      <c r="J245" s="6">
        <v>0</v>
      </c>
      <c r="K245" s="6">
        <v>0</v>
      </c>
      <c r="L245" s="6">
        <v>1.08</v>
      </c>
      <c r="M245" s="6">
        <v>1.08</v>
      </c>
      <c r="N245" s="6">
        <v>1.08</v>
      </c>
      <c r="O245" s="6">
        <v>1.08</v>
      </c>
      <c r="P245" s="6">
        <v>0</v>
      </c>
      <c r="Q245" s="4" t="s">
        <v>26</v>
      </c>
      <c r="R245" s="4">
        <v>0</v>
      </c>
      <c r="S245" s="4" t="s">
        <v>190</v>
      </c>
      <c r="T245" s="4" t="s">
        <v>423</v>
      </c>
      <c r="U245" s="4">
        <v>0</v>
      </c>
      <c r="V245" s="4">
        <v>17</v>
      </c>
      <c r="W245" s="4">
        <v>66</v>
      </c>
    </row>
    <row r="246" spans="1:23" ht="11.25" customHeight="1" x14ac:dyDescent="0.3">
      <c r="A246" s="4" t="s">
        <v>21</v>
      </c>
      <c r="B246" s="4" t="s">
        <v>39</v>
      </c>
      <c r="C246" s="4" t="s">
        <v>40</v>
      </c>
      <c r="D246" s="4" t="s">
        <v>38</v>
      </c>
      <c r="E246" s="4" t="s">
        <v>25</v>
      </c>
      <c r="F246" s="4" t="s">
        <v>25</v>
      </c>
      <c r="G246" s="4" t="s">
        <v>25</v>
      </c>
      <c r="H246" s="4" t="s">
        <v>35</v>
      </c>
      <c r="I246" s="5">
        <v>44593</v>
      </c>
      <c r="J246" s="6">
        <v>0</v>
      </c>
      <c r="K246" s="6">
        <v>0</v>
      </c>
      <c r="L246" s="6">
        <v>748.76099999999997</v>
      </c>
      <c r="M246" s="6">
        <v>748.76099999999997</v>
      </c>
      <c r="N246" s="6">
        <v>748.76099999999997</v>
      </c>
      <c r="O246" s="6">
        <v>748.76099999999997</v>
      </c>
      <c r="P246" s="6">
        <v>0</v>
      </c>
      <c r="Q246" s="4" t="s">
        <v>26</v>
      </c>
      <c r="R246" s="4">
        <v>0</v>
      </c>
      <c r="S246" s="4" t="s">
        <v>191</v>
      </c>
      <c r="T246" s="4" t="s">
        <v>424</v>
      </c>
      <c r="U246" s="4">
        <v>0</v>
      </c>
      <c r="V246" s="4">
        <v>17</v>
      </c>
      <c r="W246" s="4">
        <v>66</v>
      </c>
    </row>
    <row r="247" spans="1:23" ht="11.25" customHeight="1" x14ac:dyDescent="0.3">
      <c r="A247" s="4" t="s">
        <v>28</v>
      </c>
      <c r="B247" s="4" t="s">
        <v>39</v>
      </c>
      <c r="C247" s="4" t="s">
        <v>40</v>
      </c>
      <c r="D247" s="4" t="s">
        <v>38</v>
      </c>
      <c r="E247" s="4" t="s">
        <v>25</v>
      </c>
      <c r="F247" s="4" t="s">
        <v>25</v>
      </c>
      <c r="G247" s="4" t="s">
        <v>25</v>
      </c>
      <c r="H247" s="4" t="s">
        <v>35</v>
      </c>
      <c r="I247" s="5">
        <v>44593</v>
      </c>
      <c r="J247" s="6">
        <v>0</v>
      </c>
      <c r="K247" s="6">
        <v>0</v>
      </c>
      <c r="L247" s="6">
        <v>1.585</v>
      </c>
      <c r="M247" s="6">
        <v>1.585</v>
      </c>
      <c r="N247" s="6">
        <v>1.585</v>
      </c>
      <c r="O247" s="6">
        <v>1.585</v>
      </c>
      <c r="P247" s="6">
        <v>0</v>
      </c>
      <c r="Q247" s="4" t="s">
        <v>26</v>
      </c>
      <c r="R247" s="4">
        <v>0</v>
      </c>
      <c r="S247" s="4" t="s">
        <v>191</v>
      </c>
      <c r="T247" s="4" t="s">
        <v>424</v>
      </c>
      <c r="U247" s="4">
        <v>0</v>
      </c>
      <c r="V247" s="4">
        <v>17</v>
      </c>
      <c r="W247" s="4">
        <v>66</v>
      </c>
    </row>
    <row r="248" spans="1:23" ht="11.25" customHeight="1" x14ac:dyDescent="0.3">
      <c r="A248" s="4" t="s">
        <v>21</v>
      </c>
      <c r="B248" s="4" t="s">
        <v>39</v>
      </c>
      <c r="C248" s="4" t="s">
        <v>40</v>
      </c>
      <c r="D248" s="4" t="s">
        <v>38</v>
      </c>
      <c r="E248" s="4" t="s">
        <v>25</v>
      </c>
      <c r="F248" s="4" t="s">
        <v>25</v>
      </c>
      <c r="G248" s="4" t="s">
        <v>25</v>
      </c>
      <c r="H248" s="4" t="s">
        <v>35</v>
      </c>
      <c r="I248" s="5">
        <v>44621</v>
      </c>
      <c r="J248" s="6">
        <v>0</v>
      </c>
      <c r="K248" s="6">
        <v>0</v>
      </c>
      <c r="L248" s="6">
        <v>879.36</v>
      </c>
      <c r="M248" s="6">
        <v>879.36</v>
      </c>
      <c r="N248" s="6">
        <v>879.36</v>
      </c>
      <c r="O248" s="6">
        <v>879.36</v>
      </c>
      <c r="P248" s="6">
        <v>0</v>
      </c>
      <c r="Q248" s="4" t="s">
        <v>26</v>
      </c>
      <c r="R248" s="4">
        <v>0</v>
      </c>
      <c r="S248" s="4" t="s">
        <v>192</v>
      </c>
      <c r="T248" s="4" t="s">
        <v>425</v>
      </c>
      <c r="U248" s="4">
        <v>0</v>
      </c>
      <c r="V248" s="4">
        <v>17</v>
      </c>
      <c r="W248" s="4">
        <v>66</v>
      </c>
    </row>
    <row r="249" spans="1:23" ht="11.25" customHeight="1" x14ac:dyDescent="0.3">
      <c r="A249" s="4" t="s">
        <v>28</v>
      </c>
      <c r="B249" s="4" t="s">
        <v>39</v>
      </c>
      <c r="C249" s="4" t="s">
        <v>40</v>
      </c>
      <c r="D249" s="4" t="s">
        <v>38</v>
      </c>
      <c r="E249" s="4" t="s">
        <v>25</v>
      </c>
      <c r="F249" s="4" t="s">
        <v>25</v>
      </c>
      <c r="G249" s="4" t="s">
        <v>25</v>
      </c>
      <c r="H249" s="4" t="s">
        <v>35</v>
      </c>
      <c r="I249" s="5">
        <v>44621</v>
      </c>
      <c r="J249" s="6">
        <v>0</v>
      </c>
      <c r="K249" s="6">
        <v>0</v>
      </c>
      <c r="L249" s="6">
        <v>1.5589999999999999</v>
      </c>
      <c r="M249" s="6">
        <v>1.5589999999999999</v>
      </c>
      <c r="N249" s="6">
        <v>1.5589999999999999</v>
      </c>
      <c r="O249" s="6">
        <v>1.5589999999999999</v>
      </c>
      <c r="P249" s="6">
        <v>0</v>
      </c>
      <c r="Q249" s="4" t="s">
        <v>26</v>
      </c>
      <c r="R249" s="4">
        <v>0</v>
      </c>
      <c r="S249" s="4" t="s">
        <v>192</v>
      </c>
      <c r="T249" s="4" t="s">
        <v>425</v>
      </c>
      <c r="U249" s="4">
        <v>0</v>
      </c>
      <c r="V249" s="4">
        <v>17</v>
      </c>
      <c r="W249" s="4">
        <v>66</v>
      </c>
    </row>
    <row r="250" spans="1:23" ht="11.25" customHeight="1" x14ac:dyDescent="0.3">
      <c r="A250" s="4" t="s">
        <v>21</v>
      </c>
      <c r="B250" s="4" t="s">
        <v>39</v>
      </c>
      <c r="C250" s="4" t="s">
        <v>40</v>
      </c>
      <c r="D250" s="4" t="s">
        <v>38</v>
      </c>
      <c r="E250" s="4" t="s">
        <v>25</v>
      </c>
      <c r="F250" s="4" t="s">
        <v>25</v>
      </c>
      <c r="G250" s="4" t="s">
        <v>25</v>
      </c>
      <c r="H250" s="4" t="s">
        <v>35</v>
      </c>
      <c r="I250" s="5">
        <v>44652</v>
      </c>
      <c r="J250" s="6">
        <v>0</v>
      </c>
      <c r="K250" s="6">
        <v>0</v>
      </c>
      <c r="L250" s="6">
        <v>776.197</v>
      </c>
      <c r="M250" s="6">
        <v>776.197</v>
      </c>
      <c r="N250" s="6">
        <v>776.197</v>
      </c>
      <c r="O250" s="6">
        <v>776.197</v>
      </c>
      <c r="P250" s="6">
        <v>0</v>
      </c>
      <c r="Q250" s="4" t="s">
        <v>26</v>
      </c>
      <c r="R250" s="4">
        <v>0</v>
      </c>
      <c r="S250" s="4" t="s">
        <v>193</v>
      </c>
      <c r="T250" s="4" t="s">
        <v>426</v>
      </c>
      <c r="U250" s="4">
        <v>0</v>
      </c>
      <c r="V250" s="4">
        <v>17</v>
      </c>
      <c r="W250" s="4">
        <v>66</v>
      </c>
    </row>
    <row r="251" spans="1:23" ht="11.25" customHeight="1" x14ac:dyDescent="0.3">
      <c r="A251" s="4" t="s">
        <v>28</v>
      </c>
      <c r="B251" s="4" t="s">
        <v>39</v>
      </c>
      <c r="C251" s="4" t="s">
        <v>40</v>
      </c>
      <c r="D251" s="4" t="s">
        <v>38</v>
      </c>
      <c r="E251" s="4" t="s">
        <v>25</v>
      </c>
      <c r="F251" s="4" t="s">
        <v>25</v>
      </c>
      <c r="G251" s="4" t="s">
        <v>25</v>
      </c>
      <c r="H251" s="4" t="s">
        <v>35</v>
      </c>
      <c r="I251" s="5">
        <v>44652</v>
      </c>
      <c r="J251" s="6">
        <v>0</v>
      </c>
      <c r="K251" s="6">
        <v>0</v>
      </c>
      <c r="L251" s="6">
        <v>1.232</v>
      </c>
      <c r="M251" s="6">
        <v>1.232</v>
      </c>
      <c r="N251" s="6">
        <v>1.232</v>
      </c>
      <c r="O251" s="6">
        <v>1.232</v>
      </c>
      <c r="P251" s="6">
        <v>0</v>
      </c>
      <c r="Q251" s="4" t="s">
        <v>26</v>
      </c>
      <c r="R251" s="4">
        <v>0</v>
      </c>
      <c r="S251" s="4" t="s">
        <v>193</v>
      </c>
      <c r="T251" s="4" t="s">
        <v>426</v>
      </c>
      <c r="U251" s="4">
        <v>0</v>
      </c>
      <c r="V251" s="4">
        <v>17</v>
      </c>
      <c r="W251" s="4">
        <v>66</v>
      </c>
    </row>
    <row r="252" spans="1:23" ht="11.25" customHeight="1" x14ac:dyDescent="0.3">
      <c r="A252" s="4" t="s">
        <v>21</v>
      </c>
      <c r="B252" s="4" t="s">
        <v>39</v>
      </c>
      <c r="C252" s="4" t="s">
        <v>40</v>
      </c>
      <c r="D252" s="4" t="s">
        <v>38</v>
      </c>
      <c r="E252" s="4" t="s">
        <v>25</v>
      </c>
      <c r="F252" s="4" t="s">
        <v>25</v>
      </c>
      <c r="G252" s="4" t="s">
        <v>25</v>
      </c>
      <c r="H252" s="4" t="s">
        <v>35</v>
      </c>
      <c r="I252" s="5">
        <v>44682</v>
      </c>
      <c r="J252" s="6">
        <v>0</v>
      </c>
      <c r="K252" s="6">
        <v>0</v>
      </c>
      <c r="L252" s="6">
        <v>673.07399999999996</v>
      </c>
      <c r="M252" s="6">
        <v>673.07399999999996</v>
      </c>
      <c r="N252" s="6">
        <v>673.07399999999996</v>
      </c>
      <c r="O252" s="6">
        <v>673.07399999999996</v>
      </c>
      <c r="P252" s="6">
        <v>0</v>
      </c>
      <c r="Q252" s="4" t="s">
        <v>26</v>
      </c>
      <c r="R252" s="4">
        <v>0</v>
      </c>
      <c r="S252" s="4" t="s">
        <v>194</v>
      </c>
      <c r="T252" s="4" t="s">
        <v>427</v>
      </c>
      <c r="U252" s="4">
        <v>0</v>
      </c>
      <c r="V252" s="4">
        <v>17</v>
      </c>
      <c r="W252" s="4">
        <v>66</v>
      </c>
    </row>
    <row r="253" spans="1:23" ht="11.25" customHeight="1" x14ac:dyDescent="0.3">
      <c r="A253" s="4" t="s">
        <v>28</v>
      </c>
      <c r="B253" s="4" t="s">
        <v>39</v>
      </c>
      <c r="C253" s="4" t="s">
        <v>40</v>
      </c>
      <c r="D253" s="4" t="s">
        <v>38</v>
      </c>
      <c r="E253" s="4" t="s">
        <v>25</v>
      </c>
      <c r="F253" s="4" t="s">
        <v>25</v>
      </c>
      <c r="G253" s="4" t="s">
        <v>25</v>
      </c>
      <c r="H253" s="4" t="s">
        <v>35</v>
      </c>
      <c r="I253" s="5">
        <v>44682</v>
      </c>
      <c r="J253" s="6">
        <v>0</v>
      </c>
      <c r="K253" s="6">
        <v>0</v>
      </c>
      <c r="L253" s="6">
        <v>1.0860000000000001</v>
      </c>
      <c r="M253" s="6">
        <v>1.0860000000000001</v>
      </c>
      <c r="N253" s="6">
        <v>1.0860000000000001</v>
      </c>
      <c r="O253" s="6">
        <v>1.0860000000000001</v>
      </c>
      <c r="P253" s="6">
        <v>0</v>
      </c>
      <c r="Q253" s="4" t="s">
        <v>26</v>
      </c>
      <c r="R253" s="4">
        <v>0</v>
      </c>
      <c r="S253" s="4" t="s">
        <v>194</v>
      </c>
      <c r="T253" s="4" t="s">
        <v>427</v>
      </c>
      <c r="U253" s="4">
        <v>0</v>
      </c>
      <c r="V253" s="4">
        <v>17</v>
      </c>
      <c r="W253" s="4">
        <v>66</v>
      </c>
    </row>
    <row r="254" spans="1:23" ht="11.25" customHeight="1" x14ac:dyDescent="0.3">
      <c r="A254" s="4" t="s">
        <v>21</v>
      </c>
      <c r="B254" s="4" t="s">
        <v>39</v>
      </c>
      <c r="C254" s="4" t="s">
        <v>40</v>
      </c>
      <c r="D254" s="4" t="s">
        <v>38</v>
      </c>
      <c r="E254" s="4" t="s">
        <v>25</v>
      </c>
      <c r="F254" s="4" t="s">
        <v>25</v>
      </c>
      <c r="G254" s="4" t="s">
        <v>25</v>
      </c>
      <c r="H254" s="4" t="s">
        <v>35</v>
      </c>
      <c r="I254" s="5">
        <v>44713</v>
      </c>
      <c r="J254" s="6">
        <v>0</v>
      </c>
      <c r="K254" s="6">
        <v>0</v>
      </c>
      <c r="L254" s="6">
        <v>639.99800000000005</v>
      </c>
      <c r="M254" s="6">
        <v>639.99800000000005</v>
      </c>
      <c r="N254" s="6">
        <v>639.99800000000005</v>
      </c>
      <c r="O254" s="6">
        <v>639.99800000000005</v>
      </c>
      <c r="P254" s="6">
        <v>0</v>
      </c>
      <c r="Q254" s="4" t="s">
        <v>26</v>
      </c>
      <c r="R254" s="4">
        <v>0</v>
      </c>
      <c r="S254" s="4" t="s">
        <v>195</v>
      </c>
      <c r="T254" s="4" t="s">
        <v>428</v>
      </c>
      <c r="U254" s="4">
        <v>0</v>
      </c>
      <c r="V254" s="4">
        <v>17</v>
      </c>
      <c r="W254" s="4">
        <v>66</v>
      </c>
    </row>
    <row r="255" spans="1:23" ht="11.25" customHeight="1" x14ac:dyDescent="0.3">
      <c r="A255" s="4" t="s">
        <v>28</v>
      </c>
      <c r="B255" s="4" t="s">
        <v>39</v>
      </c>
      <c r="C255" s="4" t="s">
        <v>40</v>
      </c>
      <c r="D255" s="4" t="s">
        <v>38</v>
      </c>
      <c r="E255" s="4" t="s">
        <v>25</v>
      </c>
      <c r="F255" s="4" t="s">
        <v>25</v>
      </c>
      <c r="G255" s="4" t="s">
        <v>25</v>
      </c>
      <c r="H255" s="4" t="s">
        <v>35</v>
      </c>
      <c r="I255" s="5">
        <v>44713</v>
      </c>
      <c r="J255" s="6">
        <v>0</v>
      </c>
      <c r="K255" s="6">
        <v>0</v>
      </c>
      <c r="L255" s="6">
        <v>1.1859999999999999</v>
      </c>
      <c r="M255" s="6">
        <v>1.1859999999999999</v>
      </c>
      <c r="N255" s="6">
        <v>1.1859999999999999</v>
      </c>
      <c r="O255" s="6">
        <v>1.1859999999999999</v>
      </c>
      <c r="P255" s="6">
        <v>0</v>
      </c>
      <c r="Q255" s="4" t="s">
        <v>26</v>
      </c>
      <c r="R255" s="4">
        <v>0</v>
      </c>
      <c r="S255" s="4" t="s">
        <v>195</v>
      </c>
      <c r="T255" s="4" t="s">
        <v>428</v>
      </c>
      <c r="U255" s="4">
        <v>0</v>
      </c>
      <c r="V255" s="4">
        <v>17</v>
      </c>
      <c r="W255" s="4">
        <v>66</v>
      </c>
    </row>
    <row r="256" spans="1:23" ht="11.25" customHeight="1" x14ac:dyDescent="0.3">
      <c r="A256" s="4" t="s">
        <v>21</v>
      </c>
      <c r="B256" s="4" t="s">
        <v>39</v>
      </c>
      <c r="C256" s="4" t="s">
        <v>40</v>
      </c>
      <c r="D256" s="4" t="s">
        <v>38</v>
      </c>
      <c r="E256" s="4" t="s">
        <v>25</v>
      </c>
      <c r="F256" s="4" t="s">
        <v>25</v>
      </c>
      <c r="G256" s="4" t="s">
        <v>25</v>
      </c>
      <c r="H256" s="4" t="s">
        <v>35</v>
      </c>
      <c r="I256" s="5">
        <v>44743</v>
      </c>
      <c r="J256" s="6">
        <v>0</v>
      </c>
      <c r="K256" s="6">
        <v>0</v>
      </c>
      <c r="L256" s="6">
        <v>635.27200000000005</v>
      </c>
      <c r="M256" s="6">
        <v>635.27200000000005</v>
      </c>
      <c r="N256" s="6">
        <v>635.27200000000005</v>
      </c>
      <c r="O256" s="6">
        <v>635.27200000000005</v>
      </c>
      <c r="P256" s="6">
        <v>0</v>
      </c>
      <c r="Q256" s="4" t="s">
        <v>26</v>
      </c>
      <c r="R256" s="4">
        <v>0</v>
      </c>
      <c r="S256" s="4" t="s">
        <v>196</v>
      </c>
      <c r="T256" s="4" t="s">
        <v>429</v>
      </c>
      <c r="U256" s="4">
        <v>0</v>
      </c>
      <c r="V256" s="4">
        <v>17</v>
      </c>
      <c r="W256" s="4">
        <v>66</v>
      </c>
    </row>
    <row r="257" spans="1:23" ht="11.25" customHeight="1" x14ac:dyDescent="0.3">
      <c r="A257" s="4" t="s">
        <v>28</v>
      </c>
      <c r="B257" s="4" t="s">
        <v>39</v>
      </c>
      <c r="C257" s="4" t="s">
        <v>40</v>
      </c>
      <c r="D257" s="4" t="s">
        <v>38</v>
      </c>
      <c r="E257" s="4" t="s">
        <v>25</v>
      </c>
      <c r="F257" s="4" t="s">
        <v>25</v>
      </c>
      <c r="G257" s="4" t="s">
        <v>25</v>
      </c>
      <c r="H257" s="4" t="s">
        <v>35</v>
      </c>
      <c r="I257" s="5">
        <v>44743</v>
      </c>
      <c r="J257" s="6">
        <v>0</v>
      </c>
      <c r="K257" s="6">
        <v>0</v>
      </c>
      <c r="L257" s="6">
        <v>0.89600000000000002</v>
      </c>
      <c r="M257" s="6">
        <v>0.89600000000000002</v>
      </c>
      <c r="N257" s="6">
        <v>0.89600000000000002</v>
      </c>
      <c r="O257" s="6">
        <v>0.89600000000000002</v>
      </c>
      <c r="P257" s="6">
        <v>0</v>
      </c>
      <c r="Q257" s="4" t="s">
        <v>26</v>
      </c>
      <c r="R257" s="4">
        <v>0</v>
      </c>
      <c r="S257" s="4" t="s">
        <v>196</v>
      </c>
      <c r="T257" s="4" t="s">
        <v>429</v>
      </c>
      <c r="U257" s="4">
        <v>0</v>
      </c>
      <c r="V257" s="4">
        <v>17</v>
      </c>
      <c r="W257" s="4">
        <v>66</v>
      </c>
    </row>
    <row r="258" spans="1:23" ht="11.25" customHeight="1" x14ac:dyDescent="0.3">
      <c r="A258" s="4" t="s">
        <v>21</v>
      </c>
      <c r="B258" s="4" t="s">
        <v>39</v>
      </c>
      <c r="C258" s="4" t="s">
        <v>40</v>
      </c>
      <c r="D258" s="4" t="s">
        <v>38</v>
      </c>
      <c r="E258" s="4" t="s">
        <v>25</v>
      </c>
      <c r="F258" s="4" t="s">
        <v>25</v>
      </c>
      <c r="G258" s="4" t="s">
        <v>25</v>
      </c>
      <c r="H258" s="4" t="s">
        <v>35</v>
      </c>
      <c r="I258" s="5">
        <v>44774</v>
      </c>
      <c r="J258" s="6">
        <v>0</v>
      </c>
      <c r="K258" s="6">
        <v>0</v>
      </c>
      <c r="L258" s="6">
        <v>749.01499999999999</v>
      </c>
      <c r="M258" s="6">
        <v>749.01499999999999</v>
      </c>
      <c r="N258" s="6">
        <v>749.01499999999999</v>
      </c>
      <c r="O258" s="6">
        <v>749.01499999999999</v>
      </c>
      <c r="P258" s="6">
        <v>0</v>
      </c>
      <c r="Q258" s="4" t="s">
        <v>26</v>
      </c>
      <c r="R258" s="4">
        <v>0</v>
      </c>
      <c r="S258" s="4" t="s">
        <v>197</v>
      </c>
      <c r="T258" s="4" t="s">
        <v>430</v>
      </c>
      <c r="U258" s="4">
        <v>0</v>
      </c>
      <c r="V258" s="4">
        <v>17</v>
      </c>
      <c r="W258" s="4">
        <v>66</v>
      </c>
    </row>
    <row r="259" spans="1:23" ht="11.25" customHeight="1" x14ac:dyDescent="0.3">
      <c r="A259" s="4" t="s">
        <v>28</v>
      </c>
      <c r="B259" s="4" t="s">
        <v>39</v>
      </c>
      <c r="C259" s="4" t="s">
        <v>40</v>
      </c>
      <c r="D259" s="4" t="s">
        <v>38</v>
      </c>
      <c r="E259" s="4" t="s">
        <v>25</v>
      </c>
      <c r="F259" s="4" t="s">
        <v>25</v>
      </c>
      <c r="G259" s="4" t="s">
        <v>25</v>
      </c>
      <c r="H259" s="4" t="s">
        <v>35</v>
      </c>
      <c r="I259" s="5">
        <v>44774</v>
      </c>
      <c r="J259" s="6">
        <v>0</v>
      </c>
      <c r="K259" s="6">
        <v>0</v>
      </c>
      <c r="L259" s="6">
        <v>1.2310000000000001</v>
      </c>
      <c r="M259" s="6">
        <v>1.2310000000000001</v>
      </c>
      <c r="N259" s="6">
        <v>1.2310000000000001</v>
      </c>
      <c r="O259" s="6">
        <v>1.2310000000000001</v>
      </c>
      <c r="P259" s="6">
        <v>0</v>
      </c>
      <c r="Q259" s="4" t="s">
        <v>26</v>
      </c>
      <c r="R259" s="4">
        <v>0</v>
      </c>
      <c r="S259" s="4" t="s">
        <v>197</v>
      </c>
      <c r="T259" s="4" t="s">
        <v>430</v>
      </c>
      <c r="U259" s="4">
        <v>0</v>
      </c>
      <c r="V259" s="4">
        <v>17</v>
      </c>
      <c r="W259" s="4">
        <v>66</v>
      </c>
    </row>
    <row r="260" spans="1:23" ht="11.25" customHeight="1" x14ac:dyDescent="0.3">
      <c r="A260" s="4" t="s">
        <v>21</v>
      </c>
      <c r="B260" s="4" t="s">
        <v>39</v>
      </c>
      <c r="C260" s="4" t="s">
        <v>40</v>
      </c>
      <c r="D260" s="4" t="s">
        <v>38</v>
      </c>
      <c r="E260" s="4" t="s">
        <v>25</v>
      </c>
      <c r="F260" s="4" t="s">
        <v>25</v>
      </c>
      <c r="G260" s="4" t="s">
        <v>25</v>
      </c>
      <c r="H260" s="4" t="s">
        <v>35</v>
      </c>
      <c r="I260" s="5">
        <v>44805</v>
      </c>
      <c r="J260" s="6">
        <v>0</v>
      </c>
      <c r="K260" s="6">
        <v>0</v>
      </c>
      <c r="L260" s="6">
        <v>731.51099999999997</v>
      </c>
      <c r="M260" s="6">
        <v>731.51099999999997</v>
      </c>
      <c r="N260" s="6">
        <v>731.51099999999997</v>
      </c>
      <c r="O260" s="6">
        <v>731.51099999999997</v>
      </c>
      <c r="P260" s="6">
        <v>0</v>
      </c>
      <c r="Q260" s="4" t="s">
        <v>26</v>
      </c>
      <c r="R260" s="4">
        <v>0</v>
      </c>
      <c r="S260" s="4" t="s">
        <v>198</v>
      </c>
      <c r="T260" s="4" t="s">
        <v>431</v>
      </c>
      <c r="U260" s="4">
        <v>0</v>
      </c>
      <c r="V260" s="4">
        <v>17</v>
      </c>
      <c r="W260" s="4">
        <v>66</v>
      </c>
    </row>
    <row r="261" spans="1:23" ht="11.25" customHeight="1" x14ac:dyDescent="0.3">
      <c r="A261" s="4" t="s">
        <v>28</v>
      </c>
      <c r="B261" s="4" t="s">
        <v>39</v>
      </c>
      <c r="C261" s="4" t="s">
        <v>40</v>
      </c>
      <c r="D261" s="4" t="s">
        <v>38</v>
      </c>
      <c r="E261" s="4" t="s">
        <v>25</v>
      </c>
      <c r="F261" s="4" t="s">
        <v>25</v>
      </c>
      <c r="G261" s="4" t="s">
        <v>25</v>
      </c>
      <c r="H261" s="4" t="s">
        <v>35</v>
      </c>
      <c r="I261" s="5">
        <v>44805</v>
      </c>
      <c r="J261" s="6">
        <v>0</v>
      </c>
      <c r="K261" s="6">
        <v>0</v>
      </c>
      <c r="L261" s="6">
        <v>1.2130000000000001</v>
      </c>
      <c r="M261" s="6">
        <v>1.2130000000000001</v>
      </c>
      <c r="N261" s="6">
        <v>1.2130000000000001</v>
      </c>
      <c r="O261" s="6">
        <v>1.2130000000000001</v>
      </c>
      <c r="P261" s="6">
        <v>0</v>
      </c>
      <c r="Q261" s="4" t="s">
        <v>26</v>
      </c>
      <c r="R261" s="4">
        <v>0</v>
      </c>
      <c r="S261" s="4" t="s">
        <v>198</v>
      </c>
      <c r="T261" s="4" t="s">
        <v>431</v>
      </c>
      <c r="U261" s="4">
        <v>0</v>
      </c>
      <c r="V261" s="4">
        <v>17</v>
      </c>
      <c r="W261" s="4">
        <v>66</v>
      </c>
    </row>
    <row r="262" spans="1:23" ht="11.25" customHeight="1" x14ac:dyDescent="0.3">
      <c r="A262" s="4" t="s">
        <v>57</v>
      </c>
      <c r="B262" s="4" t="s">
        <v>39</v>
      </c>
      <c r="C262" s="4" t="s">
        <v>40</v>
      </c>
      <c r="D262" s="4" t="s">
        <v>38</v>
      </c>
      <c r="E262" s="4" t="s">
        <v>25</v>
      </c>
      <c r="F262" s="4" t="s">
        <v>25</v>
      </c>
      <c r="G262" s="4" t="s">
        <v>25</v>
      </c>
      <c r="H262" s="4" t="s">
        <v>35</v>
      </c>
      <c r="I262" s="5">
        <v>44835</v>
      </c>
      <c r="J262" s="6">
        <v>0</v>
      </c>
      <c r="K262" s="6">
        <v>0</v>
      </c>
      <c r="L262" s="6">
        <v>731.51099999999997</v>
      </c>
      <c r="M262" s="6">
        <v>731.51099999999997</v>
      </c>
      <c r="N262" s="6">
        <v>731.51099999999997</v>
      </c>
      <c r="O262" s="6">
        <v>731.51099999999997</v>
      </c>
      <c r="P262" s="6">
        <v>0</v>
      </c>
      <c r="Q262" s="4" t="s">
        <v>26</v>
      </c>
      <c r="R262" s="4">
        <v>0</v>
      </c>
      <c r="S262" s="4" t="s">
        <v>199</v>
      </c>
      <c r="T262" s="4" t="s">
        <v>432</v>
      </c>
      <c r="U262" s="4">
        <v>0</v>
      </c>
      <c r="V262" s="4">
        <v>17</v>
      </c>
      <c r="W262" s="4">
        <v>66</v>
      </c>
    </row>
    <row r="263" spans="1:23" ht="11.25" customHeight="1" x14ac:dyDescent="0.3">
      <c r="A263" s="4" t="s">
        <v>57</v>
      </c>
      <c r="B263" s="4" t="s">
        <v>39</v>
      </c>
      <c r="C263" s="4" t="s">
        <v>40</v>
      </c>
      <c r="D263" s="4" t="s">
        <v>38</v>
      </c>
      <c r="E263" s="4" t="s">
        <v>25</v>
      </c>
      <c r="F263" s="4" t="s">
        <v>25</v>
      </c>
      <c r="G263" s="4" t="s">
        <v>25</v>
      </c>
      <c r="H263" s="4" t="s">
        <v>35</v>
      </c>
      <c r="I263" s="5">
        <v>44835</v>
      </c>
      <c r="J263" s="6">
        <v>0</v>
      </c>
      <c r="K263" s="6">
        <v>0</v>
      </c>
      <c r="L263" s="6">
        <v>1.2130000000000001</v>
      </c>
      <c r="M263" s="6">
        <v>1.2130000000000001</v>
      </c>
      <c r="N263" s="6">
        <v>1.2130000000000001</v>
      </c>
      <c r="O263" s="6">
        <v>1.2130000000000001</v>
      </c>
      <c r="P263" s="6">
        <v>0</v>
      </c>
      <c r="Q263" s="4" t="s">
        <v>26</v>
      </c>
      <c r="R263" s="4">
        <v>0</v>
      </c>
      <c r="S263" s="4" t="s">
        <v>199</v>
      </c>
      <c r="T263" s="4" t="s">
        <v>432</v>
      </c>
      <c r="U263" s="4">
        <v>0</v>
      </c>
      <c r="V263" s="4">
        <v>17</v>
      </c>
      <c r="W263" s="4">
        <v>66</v>
      </c>
    </row>
    <row r="264" spans="1:23" ht="11.25" customHeight="1" x14ac:dyDescent="0.3">
      <c r="A264" s="4" t="s">
        <v>21</v>
      </c>
      <c r="B264" s="4" t="s">
        <v>39</v>
      </c>
      <c r="C264" s="4" t="s">
        <v>40</v>
      </c>
      <c r="D264" s="4" t="s">
        <v>38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44501</v>
      </c>
      <c r="J264" s="6">
        <v>3988</v>
      </c>
      <c r="K264" s="6">
        <v>3988</v>
      </c>
      <c r="L264" s="6">
        <v>0</v>
      </c>
      <c r="M264" s="6">
        <v>0</v>
      </c>
      <c r="N264" s="6">
        <v>0</v>
      </c>
      <c r="O264" s="6">
        <v>0</v>
      </c>
      <c r="P264" s="6">
        <v>15</v>
      </c>
      <c r="Q264" s="4" t="s">
        <v>26</v>
      </c>
      <c r="R264" s="4">
        <v>0</v>
      </c>
      <c r="S264" s="4" t="s">
        <v>200</v>
      </c>
      <c r="U264" s="4">
        <v>13</v>
      </c>
      <c r="V264" s="4">
        <v>0</v>
      </c>
      <c r="W264" s="4">
        <v>0</v>
      </c>
    </row>
    <row r="265" spans="1:23" ht="11.25" customHeight="1" x14ac:dyDescent="0.3">
      <c r="A265" s="4" t="s">
        <v>28</v>
      </c>
      <c r="B265" s="4" t="s">
        <v>39</v>
      </c>
      <c r="C265" s="4" t="s">
        <v>40</v>
      </c>
      <c r="D265" s="4" t="s">
        <v>38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44501</v>
      </c>
      <c r="J265" s="6">
        <v>209</v>
      </c>
      <c r="K265" s="6">
        <v>209</v>
      </c>
      <c r="L265" s="6">
        <v>0</v>
      </c>
      <c r="M265" s="6">
        <v>0</v>
      </c>
      <c r="N265" s="6">
        <v>0</v>
      </c>
      <c r="O265" s="6">
        <v>0</v>
      </c>
      <c r="P265" s="6">
        <v>2</v>
      </c>
      <c r="Q265" s="4" t="s">
        <v>26</v>
      </c>
      <c r="R265" s="4">
        <v>0</v>
      </c>
      <c r="S265" s="4" t="s">
        <v>200</v>
      </c>
      <c r="U265" s="4">
        <v>13</v>
      </c>
      <c r="V265" s="4">
        <v>0</v>
      </c>
      <c r="W265" s="4">
        <v>0</v>
      </c>
    </row>
    <row r="266" spans="1:23" ht="11.25" customHeight="1" x14ac:dyDescent="0.3">
      <c r="A266" s="4" t="s">
        <v>21</v>
      </c>
      <c r="B266" s="4" t="s">
        <v>39</v>
      </c>
      <c r="C266" s="4" t="s">
        <v>40</v>
      </c>
      <c r="D266" s="4" t="s">
        <v>38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44531</v>
      </c>
      <c r="J266" s="6">
        <v>3660</v>
      </c>
      <c r="K266" s="6">
        <v>3660</v>
      </c>
      <c r="L266" s="6">
        <v>0</v>
      </c>
      <c r="M266" s="6">
        <v>0</v>
      </c>
      <c r="N266" s="6">
        <v>0</v>
      </c>
      <c r="O266" s="6">
        <v>0</v>
      </c>
      <c r="P266" s="6">
        <v>15</v>
      </c>
      <c r="Q266" s="4" t="s">
        <v>26</v>
      </c>
      <c r="R266" s="4">
        <v>0</v>
      </c>
      <c r="S266" s="4" t="s">
        <v>201</v>
      </c>
      <c r="U266" s="4">
        <v>13</v>
      </c>
      <c r="V266" s="4">
        <v>0</v>
      </c>
      <c r="W266" s="4">
        <v>0</v>
      </c>
    </row>
    <row r="267" spans="1:23" ht="11.25" customHeight="1" x14ac:dyDescent="0.3">
      <c r="A267" s="4" t="s">
        <v>28</v>
      </c>
      <c r="B267" s="4" t="s">
        <v>39</v>
      </c>
      <c r="C267" s="4" t="s">
        <v>40</v>
      </c>
      <c r="D267" s="4" t="s">
        <v>38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44531</v>
      </c>
      <c r="J267" s="6">
        <v>209</v>
      </c>
      <c r="K267" s="6">
        <v>209</v>
      </c>
      <c r="L267" s="6">
        <v>0</v>
      </c>
      <c r="M267" s="6">
        <v>0</v>
      </c>
      <c r="N267" s="6">
        <v>0</v>
      </c>
      <c r="O267" s="6">
        <v>0</v>
      </c>
      <c r="P267" s="6">
        <v>2</v>
      </c>
      <c r="Q267" s="4" t="s">
        <v>26</v>
      </c>
      <c r="R267" s="4">
        <v>0</v>
      </c>
      <c r="S267" s="4" t="s">
        <v>201</v>
      </c>
      <c r="U267" s="4">
        <v>13</v>
      </c>
      <c r="V267" s="4">
        <v>0</v>
      </c>
      <c r="W267" s="4">
        <v>0</v>
      </c>
    </row>
    <row r="268" spans="1:23" ht="11.25" customHeight="1" x14ac:dyDescent="0.3">
      <c r="A268" s="4" t="s">
        <v>21</v>
      </c>
      <c r="B268" s="4" t="s">
        <v>39</v>
      </c>
      <c r="C268" s="4" t="s">
        <v>40</v>
      </c>
      <c r="D268" s="4" t="s">
        <v>38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44562</v>
      </c>
      <c r="J268" s="6">
        <v>3514</v>
      </c>
      <c r="K268" s="6">
        <v>3514</v>
      </c>
      <c r="L268" s="6">
        <v>0</v>
      </c>
      <c r="M268" s="6">
        <v>0</v>
      </c>
      <c r="N268" s="6">
        <v>0</v>
      </c>
      <c r="O268" s="6">
        <v>0</v>
      </c>
      <c r="P268" s="6">
        <v>15</v>
      </c>
      <c r="Q268" s="4" t="s">
        <v>26</v>
      </c>
      <c r="R268" s="4">
        <v>0</v>
      </c>
      <c r="S268" s="4" t="s">
        <v>202</v>
      </c>
      <c r="U268" s="4">
        <v>13</v>
      </c>
      <c r="V268" s="4">
        <v>0</v>
      </c>
      <c r="W268" s="4">
        <v>0</v>
      </c>
    </row>
    <row r="269" spans="1:23" ht="11.25" customHeight="1" x14ac:dyDescent="0.3">
      <c r="A269" s="4" t="s">
        <v>28</v>
      </c>
      <c r="B269" s="4" t="s">
        <v>39</v>
      </c>
      <c r="C269" s="4" t="s">
        <v>40</v>
      </c>
      <c r="D269" s="4" t="s">
        <v>38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44562</v>
      </c>
      <c r="J269" s="6">
        <v>209</v>
      </c>
      <c r="K269" s="6">
        <v>209</v>
      </c>
      <c r="L269" s="6">
        <v>0</v>
      </c>
      <c r="M269" s="6">
        <v>0</v>
      </c>
      <c r="N269" s="6">
        <v>0</v>
      </c>
      <c r="O269" s="6">
        <v>0</v>
      </c>
      <c r="P269" s="6">
        <v>2</v>
      </c>
      <c r="Q269" s="4" t="s">
        <v>26</v>
      </c>
      <c r="R269" s="4">
        <v>0</v>
      </c>
      <c r="S269" s="4" t="s">
        <v>202</v>
      </c>
      <c r="U269" s="4">
        <v>13</v>
      </c>
      <c r="V269" s="4">
        <v>0</v>
      </c>
      <c r="W269" s="4">
        <v>0</v>
      </c>
    </row>
    <row r="270" spans="1:23" ht="11.25" customHeight="1" x14ac:dyDescent="0.3">
      <c r="A270" s="4" t="s">
        <v>21</v>
      </c>
      <c r="B270" s="4" t="s">
        <v>39</v>
      </c>
      <c r="C270" s="4" t="s">
        <v>40</v>
      </c>
      <c r="D270" s="4" t="s">
        <v>38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44593</v>
      </c>
      <c r="J270" s="6">
        <v>3548</v>
      </c>
      <c r="K270" s="6">
        <v>3548</v>
      </c>
      <c r="L270" s="6">
        <v>0</v>
      </c>
      <c r="M270" s="6">
        <v>0</v>
      </c>
      <c r="N270" s="6">
        <v>0</v>
      </c>
      <c r="O270" s="6">
        <v>0</v>
      </c>
      <c r="P270" s="6">
        <v>15</v>
      </c>
      <c r="Q270" s="4" t="s">
        <v>26</v>
      </c>
      <c r="R270" s="4">
        <v>0</v>
      </c>
      <c r="S270" s="4" t="s">
        <v>203</v>
      </c>
      <c r="U270" s="4">
        <v>13</v>
      </c>
      <c r="V270" s="4">
        <v>0</v>
      </c>
      <c r="W270" s="4">
        <v>0</v>
      </c>
    </row>
    <row r="271" spans="1:23" ht="11.25" customHeight="1" x14ac:dyDescent="0.3">
      <c r="A271" s="4" t="s">
        <v>28</v>
      </c>
      <c r="B271" s="4" t="s">
        <v>39</v>
      </c>
      <c r="C271" s="4" t="s">
        <v>40</v>
      </c>
      <c r="D271" s="4" t="s">
        <v>38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44593</v>
      </c>
      <c r="J271" s="6">
        <v>209</v>
      </c>
      <c r="K271" s="6">
        <v>209</v>
      </c>
      <c r="L271" s="6">
        <v>0</v>
      </c>
      <c r="M271" s="6">
        <v>0</v>
      </c>
      <c r="N271" s="6">
        <v>0</v>
      </c>
      <c r="O271" s="6">
        <v>0</v>
      </c>
      <c r="P271" s="6">
        <v>2</v>
      </c>
      <c r="Q271" s="4" t="s">
        <v>26</v>
      </c>
      <c r="R271" s="4">
        <v>0</v>
      </c>
      <c r="S271" s="4" t="s">
        <v>203</v>
      </c>
      <c r="U271" s="4">
        <v>13</v>
      </c>
      <c r="V271" s="4">
        <v>0</v>
      </c>
      <c r="W271" s="4">
        <v>0</v>
      </c>
    </row>
    <row r="272" spans="1:23" ht="11.25" customHeight="1" x14ac:dyDescent="0.3">
      <c r="A272" s="4" t="s">
        <v>21</v>
      </c>
      <c r="B272" s="4" t="s">
        <v>39</v>
      </c>
      <c r="C272" s="4" t="s">
        <v>40</v>
      </c>
      <c r="D272" s="4" t="s">
        <v>38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44621</v>
      </c>
      <c r="J272" s="6">
        <v>3826</v>
      </c>
      <c r="K272" s="6">
        <v>3826</v>
      </c>
      <c r="L272" s="6">
        <v>0</v>
      </c>
      <c r="M272" s="6">
        <v>0</v>
      </c>
      <c r="N272" s="6">
        <v>0</v>
      </c>
      <c r="O272" s="6">
        <v>0</v>
      </c>
      <c r="P272" s="6">
        <v>15</v>
      </c>
      <c r="Q272" s="4" t="s">
        <v>26</v>
      </c>
      <c r="R272" s="4">
        <v>0</v>
      </c>
      <c r="S272" s="4" t="s">
        <v>204</v>
      </c>
      <c r="U272" s="4">
        <v>13</v>
      </c>
      <c r="V272" s="4">
        <v>0</v>
      </c>
      <c r="W272" s="4">
        <v>0</v>
      </c>
    </row>
    <row r="273" spans="1:23" ht="11.25" customHeight="1" x14ac:dyDescent="0.3">
      <c r="A273" s="4" t="s">
        <v>28</v>
      </c>
      <c r="B273" s="4" t="s">
        <v>39</v>
      </c>
      <c r="C273" s="4" t="s">
        <v>40</v>
      </c>
      <c r="D273" s="4" t="s">
        <v>38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44621</v>
      </c>
      <c r="J273" s="6">
        <v>209</v>
      </c>
      <c r="K273" s="6">
        <v>209</v>
      </c>
      <c r="L273" s="6">
        <v>0</v>
      </c>
      <c r="M273" s="6">
        <v>0</v>
      </c>
      <c r="N273" s="6">
        <v>0</v>
      </c>
      <c r="O273" s="6">
        <v>0</v>
      </c>
      <c r="P273" s="6">
        <v>2</v>
      </c>
      <c r="Q273" s="4" t="s">
        <v>26</v>
      </c>
      <c r="R273" s="4">
        <v>0</v>
      </c>
      <c r="S273" s="4" t="s">
        <v>204</v>
      </c>
      <c r="U273" s="4">
        <v>13</v>
      </c>
      <c r="V273" s="4">
        <v>0</v>
      </c>
      <c r="W273" s="4">
        <v>0</v>
      </c>
    </row>
    <row r="274" spans="1:23" ht="11.25" customHeight="1" x14ac:dyDescent="0.3">
      <c r="A274" s="4" t="s">
        <v>21</v>
      </c>
      <c r="B274" s="4" t="s">
        <v>39</v>
      </c>
      <c r="C274" s="4" t="s">
        <v>40</v>
      </c>
      <c r="D274" s="4" t="s">
        <v>38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44652</v>
      </c>
      <c r="J274" s="6">
        <v>4167</v>
      </c>
      <c r="K274" s="6">
        <v>4167</v>
      </c>
      <c r="L274" s="6">
        <v>0</v>
      </c>
      <c r="M274" s="6">
        <v>0</v>
      </c>
      <c r="N274" s="6">
        <v>0</v>
      </c>
      <c r="O274" s="6">
        <v>0</v>
      </c>
      <c r="P274" s="6">
        <v>16</v>
      </c>
      <c r="Q274" s="4" t="s">
        <v>26</v>
      </c>
      <c r="R274" s="4">
        <v>0</v>
      </c>
      <c r="S274" s="4" t="s">
        <v>205</v>
      </c>
      <c r="U274" s="4">
        <v>13</v>
      </c>
      <c r="V274" s="4">
        <v>0</v>
      </c>
      <c r="W274" s="4">
        <v>0</v>
      </c>
    </row>
    <row r="275" spans="1:23" ht="11.25" customHeight="1" x14ac:dyDescent="0.3">
      <c r="A275" s="4" t="s">
        <v>28</v>
      </c>
      <c r="B275" s="4" t="s">
        <v>39</v>
      </c>
      <c r="C275" s="4" t="s">
        <v>40</v>
      </c>
      <c r="D275" s="4" t="s">
        <v>38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44652</v>
      </c>
      <c r="J275" s="6">
        <v>209</v>
      </c>
      <c r="K275" s="6">
        <v>209</v>
      </c>
      <c r="L275" s="6">
        <v>0</v>
      </c>
      <c r="M275" s="6">
        <v>0</v>
      </c>
      <c r="N275" s="6">
        <v>0</v>
      </c>
      <c r="O275" s="6">
        <v>0</v>
      </c>
      <c r="P275" s="6">
        <v>2</v>
      </c>
      <c r="Q275" s="4" t="s">
        <v>26</v>
      </c>
      <c r="R275" s="4">
        <v>0</v>
      </c>
      <c r="S275" s="4" t="s">
        <v>205</v>
      </c>
      <c r="U275" s="4">
        <v>13</v>
      </c>
      <c r="V275" s="4">
        <v>0</v>
      </c>
      <c r="W275" s="4">
        <v>0</v>
      </c>
    </row>
    <row r="276" spans="1:23" ht="11.25" customHeight="1" x14ac:dyDescent="0.3">
      <c r="A276" s="4" t="s">
        <v>21</v>
      </c>
      <c r="B276" s="4" t="s">
        <v>39</v>
      </c>
      <c r="C276" s="4" t="s">
        <v>40</v>
      </c>
      <c r="D276" s="4" t="s">
        <v>38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44682</v>
      </c>
      <c r="J276" s="6">
        <v>4194</v>
      </c>
      <c r="K276" s="6">
        <v>4194</v>
      </c>
      <c r="L276" s="6">
        <v>0</v>
      </c>
      <c r="M276" s="6">
        <v>0</v>
      </c>
      <c r="N276" s="6">
        <v>0</v>
      </c>
      <c r="O276" s="6">
        <v>0</v>
      </c>
      <c r="P276" s="6">
        <v>15</v>
      </c>
      <c r="Q276" s="4" t="s">
        <v>26</v>
      </c>
      <c r="R276" s="4">
        <v>0</v>
      </c>
      <c r="S276" s="4" t="s">
        <v>206</v>
      </c>
      <c r="U276" s="4">
        <v>13</v>
      </c>
      <c r="V276" s="4">
        <v>0</v>
      </c>
      <c r="W276" s="4">
        <v>0</v>
      </c>
    </row>
    <row r="277" spans="1:23" ht="11.25" customHeight="1" x14ac:dyDescent="0.3">
      <c r="A277" s="4" t="s">
        <v>28</v>
      </c>
      <c r="B277" s="4" t="s">
        <v>39</v>
      </c>
      <c r="C277" s="4" t="s">
        <v>40</v>
      </c>
      <c r="D277" s="4" t="s">
        <v>38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44682</v>
      </c>
      <c r="J277" s="6">
        <v>209</v>
      </c>
      <c r="K277" s="6">
        <v>209</v>
      </c>
      <c r="L277" s="6">
        <v>0</v>
      </c>
      <c r="M277" s="6">
        <v>0</v>
      </c>
      <c r="N277" s="6">
        <v>0</v>
      </c>
      <c r="O277" s="6">
        <v>0</v>
      </c>
      <c r="P277" s="6">
        <v>2</v>
      </c>
      <c r="Q277" s="4" t="s">
        <v>26</v>
      </c>
      <c r="R277" s="4">
        <v>0</v>
      </c>
      <c r="S277" s="4" t="s">
        <v>206</v>
      </c>
      <c r="U277" s="4">
        <v>13</v>
      </c>
      <c r="V277" s="4">
        <v>0</v>
      </c>
      <c r="W277" s="4">
        <v>0</v>
      </c>
    </row>
    <row r="278" spans="1:23" ht="11.25" customHeight="1" x14ac:dyDescent="0.3">
      <c r="A278" s="4" t="s">
        <v>21</v>
      </c>
      <c r="B278" s="4" t="s">
        <v>39</v>
      </c>
      <c r="C278" s="4" t="s">
        <v>40</v>
      </c>
      <c r="D278" s="4" t="s">
        <v>38</v>
      </c>
      <c r="E278" s="4" t="s">
        <v>25</v>
      </c>
      <c r="F278" s="4" t="s">
        <v>25</v>
      </c>
      <c r="G278" s="4" t="s">
        <v>25</v>
      </c>
      <c r="H278" s="4" t="s">
        <v>25</v>
      </c>
      <c r="I278" s="5">
        <v>44713</v>
      </c>
      <c r="J278" s="6">
        <v>4304</v>
      </c>
      <c r="K278" s="6">
        <v>4304</v>
      </c>
      <c r="L278" s="6">
        <v>0</v>
      </c>
      <c r="M278" s="6">
        <v>0</v>
      </c>
      <c r="N278" s="6">
        <v>0</v>
      </c>
      <c r="O278" s="6">
        <v>0</v>
      </c>
      <c r="P278" s="6">
        <v>15</v>
      </c>
      <c r="Q278" s="4" t="s">
        <v>26</v>
      </c>
      <c r="R278" s="4">
        <v>0</v>
      </c>
      <c r="S278" s="4" t="s">
        <v>207</v>
      </c>
      <c r="U278" s="4">
        <v>13</v>
      </c>
      <c r="V278" s="4">
        <v>0</v>
      </c>
      <c r="W278" s="4">
        <v>0</v>
      </c>
    </row>
    <row r="279" spans="1:23" ht="11.25" customHeight="1" x14ac:dyDescent="0.3">
      <c r="A279" s="4" t="s">
        <v>28</v>
      </c>
      <c r="B279" s="4" t="s">
        <v>39</v>
      </c>
      <c r="C279" s="4" t="s">
        <v>40</v>
      </c>
      <c r="D279" s="4" t="s">
        <v>38</v>
      </c>
      <c r="E279" s="4" t="s">
        <v>25</v>
      </c>
      <c r="F279" s="4" t="s">
        <v>25</v>
      </c>
      <c r="G279" s="4" t="s">
        <v>25</v>
      </c>
      <c r="H279" s="4" t="s">
        <v>25</v>
      </c>
      <c r="I279" s="5">
        <v>44713</v>
      </c>
      <c r="J279" s="6">
        <v>209</v>
      </c>
      <c r="K279" s="6">
        <v>209</v>
      </c>
      <c r="L279" s="6">
        <v>0</v>
      </c>
      <c r="M279" s="6">
        <v>0</v>
      </c>
      <c r="N279" s="6">
        <v>0</v>
      </c>
      <c r="O279" s="6">
        <v>0</v>
      </c>
      <c r="P279" s="6">
        <v>2</v>
      </c>
      <c r="Q279" s="4" t="s">
        <v>26</v>
      </c>
      <c r="R279" s="4">
        <v>0</v>
      </c>
      <c r="S279" s="4" t="s">
        <v>207</v>
      </c>
      <c r="U279" s="4">
        <v>13</v>
      </c>
      <c r="V279" s="4">
        <v>0</v>
      </c>
      <c r="W279" s="4">
        <v>0</v>
      </c>
    </row>
    <row r="280" spans="1:23" ht="11.25" customHeight="1" x14ac:dyDescent="0.3">
      <c r="A280" s="4" t="s">
        <v>21</v>
      </c>
      <c r="B280" s="4" t="s">
        <v>39</v>
      </c>
      <c r="C280" s="4" t="s">
        <v>40</v>
      </c>
      <c r="D280" s="4" t="s">
        <v>38</v>
      </c>
      <c r="E280" s="4" t="s">
        <v>25</v>
      </c>
      <c r="F280" s="4" t="s">
        <v>25</v>
      </c>
      <c r="G280" s="4" t="s">
        <v>25</v>
      </c>
      <c r="H280" s="4" t="s">
        <v>25</v>
      </c>
      <c r="I280" s="5">
        <v>44743</v>
      </c>
      <c r="J280" s="6">
        <v>3071</v>
      </c>
      <c r="K280" s="6">
        <v>3071</v>
      </c>
      <c r="L280" s="6">
        <v>0</v>
      </c>
      <c r="M280" s="6">
        <v>0</v>
      </c>
      <c r="N280" s="6">
        <v>0</v>
      </c>
      <c r="O280" s="6">
        <v>0</v>
      </c>
      <c r="P280" s="6">
        <v>15</v>
      </c>
      <c r="Q280" s="4" t="s">
        <v>26</v>
      </c>
      <c r="R280" s="4">
        <v>0</v>
      </c>
      <c r="S280" s="4" t="s">
        <v>208</v>
      </c>
      <c r="U280" s="4">
        <v>13</v>
      </c>
      <c r="V280" s="4">
        <v>0</v>
      </c>
      <c r="W280" s="4">
        <v>0</v>
      </c>
    </row>
    <row r="281" spans="1:23" ht="11.25" customHeight="1" x14ac:dyDescent="0.3">
      <c r="A281" s="4" t="s">
        <v>28</v>
      </c>
      <c r="B281" s="4" t="s">
        <v>39</v>
      </c>
      <c r="C281" s="4" t="s">
        <v>40</v>
      </c>
      <c r="D281" s="4" t="s">
        <v>38</v>
      </c>
      <c r="E281" s="4" t="s">
        <v>25</v>
      </c>
      <c r="F281" s="4" t="s">
        <v>25</v>
      </c>
      <c r="G281" s="4" t="s">
        <v>25</v>
      </c>
      <c r="H281" s="4" t="s">
        <v>25</v>
      </c>
      <c r="I281" s="5">
        <v>44743</v>
      </c>
      <c r="J281" s="6">
        <v>209</v>
      </c>
      <c r="K281" s="6">
        <v>209</v>
      </c>
      <c r="L281" s="6">
        <v>0</v>
      </c>
      <c r="M281" s="6">
        <v>0</v>
      </c>
      <c r="N281" s="6">
        <v>0</v>
      </c>
      <c r="O281" s="6">
        <v>0</v>
      </c>
      <c r="P281" s="6">
        <v>2</v>
      </c>
      <c r="Q281" s="4" t="s">
        <v>26</v>
      </c>
      <c r="R281" s="4">
        <v>0</v>
      </c>
      <c r="S281" s="4" t="s">
        <v>208</v>
      </c>
      <c r="U281" s="4">
        <v>13</v>
      </c>
      <c r="V281" s="4">
        <v>0</v>
      </c>
      <c r="W281" s="4">
        <v>0</v>
      </c>
    </row>
    <row r="282" spans="1:23" ht="11.25" customHeight="1" x14ac:dyDescent="0.3">
      <c r="A282" s="4" t="s">
        <v>21</v>
      </c>
      <c r="B282" s="4" t="s">
        <v>39</v>
      </c>
      <c r="C282" s="4" t="s">
        <v>40</v>
      </c>
      <c r="D282" s="4" t="s">
        <v>38</v>
      </c>
      <c r="E282" s="4" t="s">
        <v>25</v>
      </c>
      <c r="F282" s="4" t="s">
        <v>25</v>
      </c>
      <c r="G282" s="4" t="s">
        <v>25</v>
      </c>
      <c r="H282" s="4" t="s">
        <v>25</v>
      </c>
      <c r="I282" s="5">
        <v>44774</v>
      </c>
      <c r="J282" s="6">
        <v>4328</v>
      </c>
      <c r="K282" s="6">
        <v>4328</v>
      </c>
      <c r="L282" s="6">
        <v>0</v>
      </c>
      <c r="M282" s="6">
        <v>0</v>
      </c>
      <c r="N282" s="6">
        <v>0</v>
      </c>
      <c r="O282" s="6">
        <v>0</v>
      </c>
      <c r="P282" s="6">
        <v>15</v>
      </c>
      <c r="Q282" s="4" t="s">
        <v>26</v>
      </c>
      <c r="R282" s="4">
        <v>0</v>
      </c>
      <c r="S282" s="4" t="s">
        <v>209</v>
      </c>
      <c r="U282" s="4">
        <v>13</v>
      </c>
      <c r="V282" s="4">
        <v>0</v>
      </c>
      <c r="W282" s="4">
        <v>0</v>
      </c>
    </row>
    <row r="283" spans="1:23" ht="11.25" customHeight="1" x14ac:dyDescent="0.3">
      <c r="A283" s="4" t="s">
        <v>28</v>
      </c>
      <c r="B283" s="4" t="s">
        <v>39</v>
      </c>
      <c r="C283" s="4" t="s">
        <v>40</v>
      </c>
      <c r="D283" s="4" t="s">
        <v>38</v>
      </c>
      <c r="E283" s="4" t="s">
        <v>25</v>
      </c>
      <c r="F283" s="4" t="s">
        <v>25</v>
      </c>
      <c r="G283" s="4" t="s">
        <v>25</v>
      </c>
      <c r="H283" s="4" t="s">
        <v>25</v>
      </c>
      <c r="I283" s="5">
        <v>44774</v>
      </c>
      <c r="J283" s="6">
        <v>209</v>
      </c>
      <c r="K283" s="6">
        <v>209</v>
      </c>
      <c r="L283" s="6">
        <v>0</v>
      </c>
      <c r="M283" s="6">
        <v>0</v>
      </c>
      <c r="N283" s="6">
        <v>0</v>
      </c>
      <c r="O283" s="6">
        <v>0</v>
      </c>
      <c r="P283" s="6">
        <v>2</v>
      </c>
      <c r="Q283" s="4" t="s">
        <v>26</v>
      </c>
      <c r="R283" s="4">
        <v>0</v>
      </c>
      <c r="S283" s="4" t="s">
        <v>209</v>
      </c>
      <c r="U283" s="4">
        <v>13</v>
      </c>
      <c r="V283" s="4">
        <v>0</v>
      </c>
      <c r="W283" s="4">
        <v>0</v>
      </c>
    </row>
    <row r="284" spans="1:23" ht="11.25" customHeight="1" x14ac:dyDescent="0.3">
      <c r="A284" s="4" t="s">
        <v>21</v>
      </c>
      <c r="B284" s="4" t="s">
        <v>39</v>
      </c>
      <c r="C284" s="4" t="s">
        <v>40</v>
      </c>
      <c r="D284" s="4" t="s">
        <v>38</v>
      </c>
      <c r="E284" s="4" t="s">
        <v>25</v>
      </c>
      <c r="F284" s="4" t="s">
        <v>25</v>
      </c>
      <c r="G284" s="4" t="s">
        <v>25</v>
      </c>
      <c r="H284" s="4" t="s">
        <v>25</v>
      </c>
      <c r="I284" s="5">
        <v>44805</v>
      </c>
      <c r="J284" s="6">
        <v>4550</v>
      </c>
      <c r="K284" s="6">
        <v>4550</v>
      </c>
      <c r="L284" s="6">
        <v>0</v>
      </c>
      <c r="M284" s="6">
        <v>0</v>
      </c>
      <c r="N284" s="6">
        <v>0</v>
      </c>
      <c r="O284" s="6">
        <v>0</v>
      </c>
      <c r="P284" s="6">
        <v>16</v>
      </c>
      <c r="Q284" s="4" t="s">
        <v>26</v>
      </c>
      <c r="R284" s="4">
        <v>0</v>
      </c>
      <c r="S284" s="4" t="s">
        <v>210</v>
      </c>
      <c r="U284" s="4">
        <v>13</v>
      </c>
      <c r="V284" s="4">
        <v>0</v>
      </c>
      <c r="W284" s="4">
        <v>0</v>
      </c>
    </row>
    <row r="285" spans="1:23" ht="11.25" customHeight="1" x14ac:dyDescent="0.3">
      <c r="A285" s="4" t="s">
        <v>28</v>
      </c>
      <c r="B285" s="4" t="s">
        <v>39</v>
      </c>
      <c r="C285" s="4" t="s">
        <v>40</v>
      </c>
      <c r="D285" s="4" t="s">
        <v>38</v>
      </c>
      <c r="E285" s="4" t="s">
        <v>25</v>
      </c>
      <c r="F285" s="4" t="s">
        <v>25</v>
      </c>
      <c r="G285" s="4" t="s">
        <v>25</v>
      </c>
      <c r="H285" s="4" t="s">
        <v>25</v>
      </c>
      <c r="I285" s="5">
        <v>44805</v>
      </c>
      <c r="J285" s="6">
        <v>209</v>
      </c>
      <c r="K285" s="6">
        <v>209</v>
      </c>
      <c r="L285" s="6">
        <v>0</v>
      </c>
      <c r="M285" s="6">
        <v>0</v>
      </c>
      <c r="N285" s="6">
        <v>0</v>
      </c>
      <c r="O285" s="6">
        <v>0</v>
      </c>
      <c r="P285" s="6">
        <v>2</v>
      </c>
      <c r="Q285" s="4" t="s">
        <v>26</v>
      </c>
      <c r="R285" s="4">
        <v>0</v>
      </c>
      <c r="S285" s="4" t="s">
        <v>210</v>
      </c>
      <c r="U285" s="4">
        <v>13</v>
      </c>
      <c r="V285" s="4">
        <v>0</v>
      </c>
      <c r="W285" s="4">
        <v>0</v>
      </c>
    </row>
    <row r="286" spans="1:23" ht="11.25" customHeight="1" x14ac:dyDescent="0.3">
      <c r="A286" s="4" t="s">
        <v>57</v>
      </c>
      <c r="B286" s="4" t="s">
        <v>39</v>
      </c>
      <c r="C286" s="4" t="s">
        <v>40</v>
      </c>
      <c r="D286" s="4" t="s">
        <v>38</v>
      </c>
      <c r="E286" s="4" t="s">
        <v>25</v>
      </c>
      <c r="F286" s="4" t="s">
        <v>25</v>
      </c>
      <c r="G286" s="4" t="s">
        <v>25</v>
      </c>
      <c r="H286" s="4" t="s">
        <v>25</v>
      </c>
      <c r="I286" s="5">
        <v>44835</v>
      </c>
      <c r="J286" s="6">
        <v>4550</v>
      </c>
      <c r="K286" s="6">
        <v>4550</v>
      </c>
      <c r="L286" s="6">
        <v>0</v>
      </c>
      <c r="M286" s="6">
        <v>0</v>
      </c>
      <c r="N286" s="6">
        <v>0</v>
      </c>
      <c r="O286" s="6">
        <v>0</v>
      </c>
      <c r="P286" s="6">
        <v>16</v>
      </c>
      <c r="Q286" s="4" t="s">
        <v>26</v>
      </c>
      <c r="R286" s="4">
        <v>0</v>
      </c>
      <c r="S286" s="4" t="s">
        <v>211</v>
      </c>
      <c r="U286" s="4">
        <v>13</v>
      </c>
      <c r="V286" s="4">
        <v>0</v>
      </c>
      <c r="W286" s="4">
        <v>0</v>
      </c>
    </row>
    <row r="287" spans="1:23" ht="11.25" customHeight="1" x14ac:dyDescent="0.3">
      <c r="A287" s="4" t="s">
        <v>57</v>
      </c>
      <c r="B287" s="4" t="s">
        <v>39</v>
      </c>
      <c r="C287" s="4" t="s">
        <v>40</v>
      </c>
      <c r="D287" s="4" t="s">
        <v>38</v>
      </c>
      <c r="E287" s="4" t="s">
        <v>25</v>
      </c>
      <c r="F287" s="4" t="s">
        <v>25</v>
      </c>
      <c r="G287" s="4" t="s">
        <v>25</v>
      </c>
      <c r="H287" s="4" t="s">
        <v>25</v>
      </c>
      <c r="I287" s="5">
        <v>44835</v>
      </c>
      <c r="J287" s="6">
        <v>209</v>
      </c>
      <c r="K287" s="6">
        <v>209</v>
      </c>
      <c r="L287" s="6">
        <v>0</v>
      </c>
      <c r="M287" s="6">
        <v>0</v>
      </c>
      <c r="N287" s="6">
        <v>0</v>
      </c>
      <c r="O287" s="6">
        <v>0</v>
      </c>
      <c r="P287" s="6">
        <v>2</v>
      </c>
      <c r="Q287" s="4" t="s">
        <v>26</v>
      </c>
      <c r="R287" s="4">
        <v>0</v>
      </c>
      <c r="S287" s="4" t="s">
        <v>211</v>
      </c>
      <c r="U287" s="4">
        <v>13</v>
      </c>
      <c r="V287" s="4">
        <v>0</v>
      </c>
      <c r="W287" s="4">
        <v>0</v>
      </c>
    </row>
    <row r="288" spans="1:23" ht="11.25" customHeight="1" x14ac:dyDescent="0.3">
      <c r="A288" s="4" t="s">
        <v>21</v>
      </c>
      <c r="B288" s="4" t="s">
        <v>39</v>
      </c>
      <c r="C288" s="4" t="s">
        <v>40</v>
      </c>
      <c r="D288" s="4" t="s">
        <v>38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44501</v>
      </c>
      <c r="J288" s="6">
        <v>0</v>
      </c>
      <c r="K288" s="6">
        <v>0</v>
      </c>
      <c r="L288" s="6">
        <v>32.292999999999999</v>
      </c>
      <c r="M288" s="6">
        <v>32.292999999999999</v>
      </c>
      <c r="N288" s="6">
        <v>32.292999999999999</v>
      </c>
      <c r="O288" s="6">
        <v>32.292999999999999</v>
      </c>
      <c r="P288" s="6">
        <v>0</v>
      </c>
      <c r="Q288" s="4" t="s">
        <v>26</v>
      </c>
      <c r="R288" s="4">
        <v>0</v>
      </c>
      <c r="S288" s="4" t="s">
        <v>212</v>
      </c>
      <c r="T288" s="4" t="s">
        <v>433</v>
      </c>
      <c r="U288" s="4">
        <v>0</v>
      </c>
      <c r="V288" s="4">
        <v>15</v>
      </c>
      <c r="W288" s="4">
        <v>65</v>
      </c>
    </row>
    <row r="289" spans="1:23" ht="11.25" customHeight="1" x14ac:dyDescent="0.3">
      <c r="A289" s="4" t="s">
        <v>28</v>
      </c>
      <c r="B289" s="4" t="s">
        <v>39</v>
      </c>
      <c r="C289" s="4" t="s">
        <v>40</v>
      </c>
      <c r="D289" s="4" t="s">
        <v>38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44501</v>
      </c>
      <c r="J289" s="6">
        <v>0</v>
      </c>
      <c r="K289" s="6">
        <v>0</v>
      </c>
      <c r="L289" s="6">
        <v>2.3E-2</v>
      </c>
      <c r="M289" s="6">
        <v>2.3E-2</v>
      </c>
      <c r="N289" s="6">
        <v>2.3E-2</v>
      </c>
      <c r="O289" s="6">
        <v>2.3E-2</v>
      </c>
      <c r="P289" s="6">
        <v>0</v>
      </c>
      <c r="Q289" s="4" t="s">
        <v>26</v>
      </c>
      <c r="R289" s="4">
        <v>0</v>
      </c>
      <c r="S289" s="4" t="s">
        <v>212</v>
      </c>
      <c r="T289" s="4" t="s">
        <v>433</v>
      </c>
      <c r="U289" s="4">
        <v>0</v>
      </c>
      <c r="V289" s="4">
        <v>15</v>
      </c>
      <c r="W289" s="4">
        <v>65</v>
      </c>
    </row>
    <row r="290" spans="1:23" ht="11.25" customHeight="1" x14ac:dyDescent="0.3">
      <c r="A290" s="4" t="s">
        <v>21</v>
      </c>
      <c r="B290" s="4" t="s">
        <v>39</v>
      </c>
      <c r="C290" s="4" t="s">
        <v>40</v>
      </c>
      <c r="D290" s="4" t="s">
        <v>38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44531</v>
      </c>
      <c r="J290" s="6">
        <v>0</v>
      </c>
      <c r="K290" s="6">
        <v>0</v>
      </c>
      <c r="L290" s="6">
        <v>28.228000000000002</v>
      </c>
      <c r="M290" s="6">
        <v>28.228000000000002</v>
      </c>
      <c r="N290" s="6">
        <v>28.228000000000002</v>
      </c>
      <c r="O290" s="6">
        <v>28.228000000000002</v>
      </c>
      <c r="P290" s="6">
        <v>0</v>
      </c>
      <c r="Q290" s="4" t="s">
        <v>26</v>
      </c>
      <c r="R290" s="4">
        <v>0</v>
      </c>
      <c r="S290" s="4" t="s">
        <v>213</v>
      </c>
      <c r="T290" s="4" t="s">
        <v>434</v>
      </c>
      <c r="U290" s="4">
        <v>0</v>
      </c>
      <c r="V290" s="4">
        <v>15</v>
      </c>
      <c r="W290" s="4">
        <v>65</v>
      </c>
    </row>
    <row r="291" spans="1:23" ht="11.25" customHeight="1" x14ac:dyDescent="0.3">
      <c r="A291" s="4" t="s">
        <v>28</v>
      </c>
      <c r="B291" s="4" t="s">
        <v>39</v>
      </c>
      <c r="C291" s="4" t="s">
        <v>40</v>
      </c>
      <c r="D291" s="4" t="s">
        <v>38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44531</v>
      </c>
      <c r="J291" s="6">
        <v>0</v>
      </c>
      <c r="K291" s="6">
        <v>0</v>
      </c>
      <c r="L291" s="6">
        <v>2.5000000000000001E-2</v>
      </c>
      <c r="M291" s="6">
        <v>2.5000000000000001E-2</v>
      </c>
      <c r="N291" s="6">
        <v>2.5000000000000001E-2</v>
      </c>
      <c r="O291" s="6">
        <v>2.5000000000000001E-2</v>
      </c>
      <c r="P291" s="6">
        <v>0</v>
      </c>
      <c r="Q291" s="4" t="s">
        <v>26</v>
      </c>
      <c r="R291" s="4">
        <v>0</v>
      </c>
      <c r="S291" s="4" t="s">
        <v>213</v>
      </c>
      <c r="T291" s="4" t="s">
        <v>434</v>
      </c>
      <c r="U291" s="4">
        <v>0</v>
      </c>
      <c r="V291" s="4">
        <v>15</v>
      </c>
      <c r="W291" s="4">
        <v>65</v>
      </c>
    </row>
    <row r="292" spans="1:23" ht="11.25" customHeight="1" x14ac:dyDescent="0.3">
      <c r="A292" s="4" t="s">
        <v>21</v>
      </c>
      <c r="B292" s="4" t="s">
        <v>39</v>
      </c>
      <c r="C292" s="4" t="s">
        <v>40</v>
      </c>
      <c r="D292" s="4" t="s">
        <v>38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44562</v>
      </c>
      <c r="J292" s="6">
        <v>0</v>
      </c>
      <c r="K292" s="6">
        <v>0</v>
      </c>
      <c r="L292" s="6">
        <v>25.013999999999999</v>
      </c>
      <c r="M292" s="6">
        <v>25.013999999999999</v>
      </c>
      <c r="N292" s="6">
        <v>25.013999999999999</v>
      </c>
      <c r="O292" s="6">
        <v>25.013999999999999</v>
      </c>
      <c r="P292" s="6">
        <v>0</v>
      </c>
      <c r="Q292" s="4" t="s">
        <v>26</v>
      </c>
      <c r="R292" s="4">
        <v>0</v>
      </c>
      <c r="S292" s="4" t="s">
        <v>214</v>
      </c>
      <c r="T292" s="4" t="s">
        <v>435</v>
      </c>
      <c r="U292" s="4">
        <v>0</v>
      </c>
      <c r="V292" s="4">
        <v>15</v>
      </c>
      <c r="W292" s="4">
        <v>65</v>
      </c>
    </row>
    <row r="293" spans="1:23" ht="11.25" customHeight="1" x14ac:dyDescent="0.3">
      <c r="A293" s="4" t="s">
        <v>28</v>
      </c>
      <c r="B293" s="4" t="s">
        <v>39</v>
      </c>
      <c r="C293" s="4" t="s">
        <v>40</v>
      </c>
      <c r="D293" s="4" t="s">
        <v>38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44562</v>
      </c>
      <c r="J293" s="6">
        <v>0</v>
      </c>
      <c r="K293" s="6">
        <v>0</v>
      </c>
      <c r="L293" s="6">
        <v>3.1E-2</v>
      </c>
      <c r="M293" s="6">
        <v>3.1E-2</v>
      </c>
      <c r="N293" s="6">
        <v>3.1E-2</v>
      </c>
      <c r="O293" s="6">
        <v>3.1E-2</v>
      </c>
      <c r="P293" s="6">
        <v>0</v>
      </c>
      <c r="Q293" s="4" t="s">
        <v>26</v>
      </c>
      <c r="R293" s="4">
        <v>0</v>
      </c>
      <c r="S293" s="4" t="s">
        <v>214</v>
      </c>
      <c r="T293" s="4" t="s">
        <v>435</v>
      </c>
      <c r="U293" s="4">
        <v>0</v>
      </c>
      <c r="V293" s="4">
        <v>15</v>
      </c>
      <c r="W293" s="4">
        <v>65</v>
      </c>
    </row>
    <row r="294" spans="1:23" ht="11.25" customHeight="1" x14ac:dyDescent="0.3">
      <c r="A294" s="4" t="s">
        <v>21</v>
      </c>
      <c r="B294" s="4" t="s">
        <v>39</v>
      </c>
      <c r="C294" s="4" t="s">
        <v>40</v>
      </c>
      <c r="D294" s="4" t="s">
        <v>38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44593</v>
      </c>
      <c r="J294" s="6">
        <v>0</v>
      </c>
      <c r="K294" s="6">
        <v>0</v>
      </c>
      <c r="L294" s="6">
        <v>23.594999999999999</v>
      </c>
      <c r="M294" s="6">
        <v>23.594999999999999</v>
      </c>
      <c r="N294" s="6">
        <v>23.594999999999999</v>
      </c>
      <c r="O294" s="6">
        <v>23.594999999999999</v>
      </c>
      <c r="P294" s="6">
        <v>0</v>
      </c>
      <c r="Q294" s="4" t="s">
        <v>26</v>
      </c>
      <c r="R294" s="4">
        <v>0</v>
      </c>
      <c r="S294" s="4" t="s">
        <v>215</v>
      </c>
      <c r="T294" s="4" t="s">
        <v>436</v>
      </c>
      <c r="U294" s="4">
        <v>0</v>
      </c>
      <c r="V294" s="4">
        <v>15</v>
      </c>
      <c r="W294" s="4">
        <v>65</v>
      </c>
    </row>
    <row r="295" spans="1:23" ht="11.25" customHeight="1" x14ac:dyDescent="0.3">
      <c r="A295" s="4" t="s">
        <v>28</v>
      </c>
      <c r="B295" s="4" t="s">
        <v>39</v>
      </c>
      <c r="C295" s="4" t="s">
        <v>40</v>
      </c>
      <c r="D295" s="4" t="s">
        <v>38</v>
      </c>
      <c r="E295" s="4" t="s">
        <v>25</v>
      </c>
      <c r="F295" s="4" t="s">
        <v>25</v>
      </c>
      <c r="G295" s="4" t="s">
        <v>25</v>
      </c>
      <c r="H295" s="4" t="s">
        <v>34</v>
      </c>
      <c r="I295" s="5">
        <v>44593</v>
      </c>
      <c r="J295" s="6">
        <v>0</v>
      </c>
      <c r="K295" s="6">
        <v>0</v>
      </c>
      <c r="L295" s="6">
        <v>1.9E-2</v>
      </c>
      <c r="M295" s="6">
        <v>1.9E-2</v>
      </c>
      <c r="N295" s="6">
        <v>1.9E-2</v>
      </c>
      <c r="O295" s="6">
        <v>1.9E-2</v>
      </c>
      <c r="P295" s="6">
        <v>0</v>
      </c>
      <c r="Q295" s="4" t="s">
        <v>26</v>
      </c>
      <c r="R295" s="4">
        <v>0</v>
      </c>
      <c r="S295" s="4" t="s">
        <v>215</v>
      </c>
      <c r="T295" s="4" t="s">
        <v>436</v>
      </c>
      <c r="U295" s="4">
        <v>0</v>
      </c>
      <c r="V295" s="4">
        <v>15</v>
      </c>
      <c r="W295" s="4">
        <v>65</v>
      </c>
    </row>
    <row r="296" spans="1:23" ht="11.25" customHeight="1" x14ac:dyDescent="0.3">
      <c r="A296" s="4" t="s">
        <v>21</v>
      </c>
      <c r="B296" s="4" t="s">
        <v>39</v>
      </c>
      <c r="C296" s="4" t="s">
        <v>40</v>
      </c>
      <c r="D296" s="4" t="s">
        <v>38</v>
      </c>
      <c r="E296" s="4" t="s">
        <v>25</v>
      </c>
      <c r="F296" s="4" t="s">
        <v>25</v>
      </c>
      <c r="G296" s="4" t="s">
        <v>25</v>
      </c>
      <c r="H296" s="4" t="s">
        <v>34</v>
      </c>
      <c r="I296" s="5">
        <v>44621</v>
      </c>
      <c r="J296" s="6">
        <v>0</v>
      </c>
      <c r="K296" s="6">
        <v>0</v>
      </c>
      <c r="L296" s="6">
        <v>27.001999999999999</v>
      </c>
      <c r="M296" s="6">
        <v>27.001999999999999</v>
      </c>
      <c r="N296" s="6">
        <v>27.001999999999999</v>
      </c>
      <c r="O296" s="6">
        <v>27.001999999999999</v>
      </c>
      <c r="P296" s="6">
        <v>0</v>
      </c>
      <c r="Q296" s="4" t="s">
        <v>26</v>
      </c>
      <c r="R296" s="4">
        <v>0</v>
      </c>
      <c r="S296" s="4" t="s">
        <v>216</v>
      </c>
      <c r="T296" s="4" t="s">
        <v>437</v>
      </c>
      <c r="U296" s="4">
        <v>0</v>
      </c>
      <c r="V296" s="4">
        <v>15</v>
      </c>
      <c r="W296" s="4">
        <v>65</v>
      </c>
    </row>
    <row r="297" spans="1:23" ht="11.25" customHeight="1" x14ac:dyDescent="0.3">
      <c r="A297" s="4" t="s">
        <v>28</v>
      </c>
      <c r="B297" s="4" t="s">
        <v>39</v>
      </c>
      <c r="C297" s="4" t="s">
        <v>40</v>
      </c>
      <c r="D297" s="4" t="s">
        <v>38</v>
      </c>
      <c r="E297" s="4" t="s">
        <v>25</v>
      </c>
      <c r="F297" s="4" t="s">
        <v>25</v>
      </c>
      <c r="G297" s="4" t="s">
        <v>25</v>
      </c>
      <c r="H297" s="4" t="s">
        <v>34</v>
      </c>
      <c r="I297" s="5">
        <v>44621</v>
      </c>
      <c r="J297" s="6">
        <v>0</v>
      </c>
      <c r="K297" s="6">
        <v>0</v>
      </c>
      <c r="L297" s="6">
        <v>2.3E-2</v>
      </c>
      <c r="M297" s="6">
        <v>2.3E-2</v>
      </c>
      <c r="N297" s="6">
        <v>2.3E-2</v>
      </c>
      <c r="O297" s="6">
        <v>2.3E-2</v>
      </c>
      <c r="P297" s="6">
        <v>0</v>
      </c>
      <c r="Q297" s="4" t="s">
        <v>26</v>
      </c>
      <c r="R297" s="4">
        <v>0</v>
      </c>
      <c r="S297" s="4" t="s">
        <v>216</v>
      </c>
      <c r="T297" s="4" t="s">
        <v>437</v>
      </c>
      <c r="U297" s="4">
        <v>0</v>
      </c>
      <c r="V297" s="4">
        <v>15</v>
      </c>
      <c r="W297" s="4">
        <v>65</v>
      </c>
    </row>
    <row r="298" spans="1:23" ht="11.25" customHeight="1" x14ac:dyDescent="0.3">
      <c r="A298" s="4" t="s">
        <v>21</v>
      </c>
      <c r="B298" s="4" t="s">
        <v>39</v>
      </c>
      <c r="C298" s="4" t="s">
        <v>40</v>
      </c>
      <c r="D298" s="4" t="s">
        <v>38</v>
      </c>
      <c r="E298" s="4" t="s">
        <v>25</v>
      </c>
      <c r="F298" s="4" t="s">
        <v>25</v>
      </c>
      <c r="G298" s="4" t="s">
        <v>25</v>
      </c>
      <c r="H298" s="4" t="s">
        <v>34</v>
      </c>
      <c r="I298" s="5">
        <v>44652</v>
      </c>
      <c r="J298" s="6">
        <v>0</v>
      </c>
      <c r="K298" s="6">
        <v>0</v>
      </c>
      <c r="L298" s="6">
        <v>18.097000000000001</v>
      </c>
      <c r="M298" s="6">
        <v>18.097000000000001</v>
      </c>
      <c r="N298" s="6">
        <v>18.097000000000001</v>
      </c>
      <c r="O298" s="6">
        <v>18.097000000000001</v>
      </c>
      <c r="P298" s="6">
        <v>0</v>
      </c>
      <c r="Q298" s="4" t="s">
        <v>26</v>
      </c>
      <c r="R298" s="4">
        <v>0</v>
      </c>
      <c r="S298" s="4" t="s">
        <v>217</v>
      </c>
      <c r="T298" s="4" t="s">
        <v>438</v>
      </c>
      <c r="U298" s="4">
        <v>0</v>
      </c>
      <c r="V298" s="4">
        <v>15</v>
      </c>
      <c r="W298" s="4">
        <v>65</v>
      </c>
    </row>
    <row r="299" spans="1:23" ht="11.25" customHeight="1" x14ac:dyDescent="0.3">
      <c r="A299" s="4" t="s">
        <v>28</v>
      </c>
      <c r="B299" s="4" t="s">
        <v>39</v>
      </c>
      <c r="C299" s="4" t="s">
        <v>40</v>
      </c>
      <c r="D299" s="4" t="s">
        <v>38</v>
      </c>
      <c r="E299" s="4" t="s">
        <v>25</v>
      </c>
      <c r="F299" s="4" t="s">
        <v>25</v>
      </c>
      <c r="G299" s="4" t="s">
        <v>25</v>
      </c>
      <c r="H299" s="4" t="s">
        <v>34</v>
      </c>
      <c r="I299" s="5">
        <v>44652</v>
      </c>
      <c r="J299" s="6">
        <v>0</v>
      </c>
      <c r="K299" s="6">
        <v>0</v>
      </c>
      <c r="L299" s="6">
        <v>2.4E-2</v>
      </c>
      <c r="M299" s="6">
        <v>2.4E-2</v>
      </c>
      <c r="N299" s="6">
        <v>2.4E-2</v>
      </c>
      <c r="O299" s="6">
        <v>2.4E-2</v>
      </c>
      <c r="P299" s="6">
        <v>0</v>
      </c>
      <c r="Q299" s="4" t="s">
        <v>26</v>
      </c>
      <c r="R299" s="4">
        <v>0</v>
      </c>
      <c r="S299" s="4" t="s">
        <v>217</v>
      </c>
      <c r="T299" s="4" t="s">
        <v>438</v>
      </c>
      <c r="U299" s="4">
        <v>0</v>
      </c>
      <c r="V299" s="4">
        <v>15</v>
      </c>
      <c r="W299" s="4">
        <v>65</v>
      </c>
    </row>
    <row r="300" spans="1:23" ht="11.25" customHeight="1" x14ac:dyDescent="0.3">
      <c r="A300" s="4" t="s">
        <v>21</v>
      </c>
      <c r="B300" s="4" t="s">
        <v>39</v>
      </c>
      <c r="C300" s="4" t="s">
        <v>40</v>
      </c>
      <c r="D300" s="4" t="s">
        <v>38</v>
      </c>
      <c r="E300" s="4" t="s">
        <v>25</v>
      </c>
      <c r="F300" s="4" t="s">
        <v>25</v>
      </c>
      <c r="G300" s="4" t="s">
        <v>25</v>
      </c>
      <c r="H300" s="4" t="s">
        <v>34</v>
      </c>
      <c r="I300" s="5">
        <v>44682</v>
      </c>
      <c r="J300" s="6">
        <v>0</v>
      </c>
      <c r="K300" s="6">
        <v>0</v>
      </c>
      <c r="L300" s="6">
        <v>14.175000000000001</v>
      </c>
      <c r="M300" s="6">
        <v>14.175000000000001</v>
      </c>
      <c r="N300" s="6">
        <v>14.175000000000001</v>
      </c>
      <c r="O300" s="6">
        <v>14.175000000000001</v>
      </c>
      <c r="P300" s="6">
        <v>0</v>
      </c>
      <c r="Q300" s="4" t="s">
        <v>26</v>
      </c>
      <c r="R300" s="4">
        <v>0</v>
      </c>
      <c r="S300" s="4" t="s">
        <v>218</v>
      </c>
      <c r="T300" s="4" t="s">
        <v>439</v>
      </c>
      <c r="U300" s="4">
        <v>0</v>
      </c>
      <c r="V300" s="4">
        <v>15</v>
      </c>
      <c r="W300" s="4">
        <v>65</v>
      </c>
    </row>
    <row r="301" spans="1:23" ht="11.25" customHeight="1" x14ac:dyDescent="0.3">
      <c r="A301" s="4" t="s">
        <v>28</v>
      </c>
      <c r="B301" s="4" t="s">
        <v>39</v>
      </c>
      <c r="C301" s="4" t="s">
        <v>40</v>
      </c>
      <c r="D301" s="4" t="s">
        <v>38</v>
      </c>
      <c r="E301" s="4" t="s">
        <v>25</v>
      </c>
      <c r="F301" s="4" t="s">
        <v>25</v>
      </c>
      <c r="G301" s="4" t="s">
        <v>25</v>
      </c>
      <c r="H301" s="4" t="s">
        <v>34</v>
      </c>
      <c r="I301" s="5">
        <v>44682</v>
      </c>
      <c r="J301" s="6">
        <v>0</v>
      </c>
      <c r="K301" s="6">
        <v>0</v>
      </c>
      <c r="L301" s="6">
        <v>2.9000000000000001E-2</v>
      </c>
      <c r="M301" s="6">
        <v>2.9000000000000001E-2</v>
      </c>
      <c r="N301" s="6">
        <v>2.9000000000000001E-2</v>
      </c>
      <c r="O301" s="6">
        <v>2.9000000000000001E-2</v>
      </c>
      <c r="P301" s="6">
        <v>0</v>
      </c>
      <c r="Q301" s="4" t="s">
        <v>26</v>
      </c>
      <c r="R301" s="4">
        <v>0</v>
      </c>
      <c r="S301" s="4" t="s">
        <v>218</v>
      </c>
      <c r="T301" s="4" t="s">
        <v>439</v>
      </c>
      <c r="U301" s="4">
        <v>0</v>
      </c>
      <c r="V301" s="4">
        <v>15</v>
      </c>
      <c r="W301" s="4">
        <v>65</v>
      </c>
    </row>
    <row r="302" spans="1:23" ht="11.25" customHeight="1" x14ac:dyDescent="0.3">
      <c r="A302" s="4" t="s">
        <v>21</v>
      </c>
      <c r="B302" s="4" t="s">
        <v>39</v>
      </c>
      <c r="C302" s="4" t="s">
        <v>40</v>
      </c>
      <c r="D302" s="4" t="s">
        <v>38</v>
      </c>
      <c r="E302" s="4" t="s">
        <v>25</v>
      </c>
      <c r="F302" s="4" t="s">
        <v>25</v>
      </c>
      <c r="G302" s="4" t="s">
        <v>25</v>
      </c>
      <c r="H302" s="4" t="s">
        <v>34</v>
      </c>
      <c r="I302" s="5">
        <v>44713</v>
      </c>
      <c r="J302" s="6">
        <v>0</v>
      </c>
      <c r="K302" s="6">
        <v>0</v>
      </c>
      <c r="L302" s="6">
        <v>10.794</v>
      </c>
      <c r="M302" s="6">
        <v>10.794</v>
      </c>
      <c r="N302" s="6">
        <v>10.794</v>
      </c>
      <c r="O302" s="6">
        <v>10.794</v>
      </c>
      <c r="P302" s="6">
        <v>0</v>
      </c>
      <c r="Q302" s="4" t="s">
        <v>26</v>
      </c>
      <c r="R302" s="4">
        <v>0</v>
      </c>
      <c r="S302" s="4" t="s">
        <v>219</v>
      </c>
      <c r="T302" s="4" t="s">
        <v>440</v>
      </c>
      <c r="U302" s="4">
        <v>0</v>
      </c>
      <c r="V302" s="4">
        <v>15</v>
      </c>
      <c r="W302" s="4">
        <v>65</v>
      </c>
    </row>
    <row r="303" spans="1:23" ht="11.25" customHeight="1" x14ac:dyDescent="0.3">
      <c r="A303" s="4" t="s">
        <v>28</v>
      </c>
      <c r="B303" s="4" t="s">
        <v>39</v>
      </c>
      <c r="C303" s="4" t="s">
        <v>40</v>
      </c>
      <c r="D303" s="4" t="s">
        <v>38</v>
      </c>
      <c r="E303" s="4" t="s">
        <v>25</v>
      </c>
      <c r="F303" s="4" t="s">
        <v>25</v>
      </c>
      <c r="G303" s="4" t="s">
        <v>25</v>
      </c>
      <c r="H303" s="4" t="s">
        <v>34</v>
      </c>
      <c r="I303" s="5">
        <v>44713</v>
      </c>
      <c r="J303" s="6">
        <v>0</v>
      </c>
      <c r="K303" s="6">
        <v>0</v>
      </c>
      <c r="L303" s="6">
        <v>2.8000000000000001E-2</v>
      </c>
      <c r="M303" s="6">
        <v>2.8000000000000001E-2</v>
      </c>
      <c r="N303" s="6">
        <v>2.8000000000000001E-2</v>
      </c>
      <c r="O303" s="6">
        <v>2.8000000000000001E-2</v>
      </c>
      <c r="P303" s="6">
        <v>0</v>
      </c>
      <c r="Q303" s="4" t="s">
        <v>26</v>
      </c>
      <c r="R303" s="4">
        <v>0</v>
      </c>
      <c r="S303" s="4" t="s">
        <v>219</v>
      </c>
      <c r="T303" s="4" t="s">
        <v>440</v>
      </c>
      <c r="U303" s="4">
        <v>0</v>
      </c>
      <c r="V303" s="4">
        <v>15</v>
      </c>
      <c r="W303" s="4">
        <v>65</v>
      </c>
    </row>
    <row r="304" spans="1:23" ht="11.25" customHeight="1" x14ac:dyDescent="0.3">
      <c r="A304" s="4" t="s">
        <v>21</v>
      </c>
      <c r="B304" s="4" t="s">
        <v>39</v>
      </c>
      <c r="C304" s="4" t="s">
        <v>40</v>
      </c>
      <c r="D304" s="4" t="s">
        <v>38</v>
      </c>
      <c r="E304" s="4" t="s">
        <v>25</v>
      </c>
      <c r="F304" s="4" t="s">
        <v>25</v>
      </c>
      <c r="G304" s="4" t="s">
        <v>25</v>
      </c>
      <c r="H304" s="4" t="s">
        <v>34</v>
      </c>
      <c r="I304" s="5">
        <v>44743</v>
      </c>
      <c r="J304" s="6">
        <v>0</v>
      </c>
      <c r="K304" s="6">
        <v>0</v>
      </c>
      <c r="L304" s="6">
        <v>10.436999999999999</v>
      </c>
      <c r="M304" s="6">
        <v>10.436999999999999</v>
      </c>
      <c r="N304" s="6">
        <v>10.436999999999999</v>
      </c>
      <c r="O304" s="6">
        <v>10.436999999999999</v>
      </c>
      <c r="P304" s="6">
        <v>0</v>
      </c>
      <c r="Q304" s="4" t="s">
        <v>26</v>
      </c>
      <c r="R304" s="4">
        <v>0</v>
      </c>
      <c r="S304" s="4" t="s">
        <v>220</v>
      </c>
      <c r="T304" s="4" t="s">
        <v>441</v>
      </c>
      <c r="U304" s="4">
        <v>0</v>
      </c>
      <c r="V304" s="4">
        <v>15</v>
      </c>
      <c r="W304" s="4">
        <v>65</v>
      </c>
    </row>
    <row r="305" spans="1:23" ht="11.25" customHeight="1" x14ac:dyDescent="0.3">
      <c r="A305" s="4" t="s">
        <v>28</v>
      </c>
      <c r="B305" s="4" t="s">
        <v>39</v>
      </c>
      <c r="C305" s="4" t="s">
        <v>40</v>
      </c>
      <c r="D305" s="4" t="s">
        <v>38</v>
      </c>
      <c r="E305" s="4" t="s">
        <v>25</v>
      </c>
      <c r="F305" s="4" t="s">
        <v>25</v>
      </c>
      <c r="G305" s="4" t="s">
        <v>25</v>
      </c>
      <c r="H305" s="4" t="s">
        <v>34</v>
      </c>
      <c r="I305" s="5">
        <v>44743</v>
      </c>
      <c r="J305" s="6">
        <v>0</v>
      </c>
      <c r="K305" s="6">
        <v>0</v>
      </c>
      <c r="L305" s="6">
        <v>0.03</v>
      </c>
      <c r="M305" s="6">
        <v>0.03</v>
      </c>
      <c r="N305" s="6">
        <v>0.03</v>
      </c>
      <c r="O305" s="6">
        <v>0.03</v>
      </c>
      <c r="P305" s="6">
        <v>0</v>
      </c>
      <c r="Q305" s="4" t="s">
        <v>26</v>
      </c>
      <c r="R305" s="4">
        <v>0</v>
      </c>
      <c r="S305" s="4" t="s">
        <v>220</v>
      </c>
      <c r="T305" s="4" t="s">
        <v>441</v>
      </c>
      <c r="U305" s="4">
        <v>0</v>
      </c>
      <c r="V305" s="4">
        <v>15</v>
      </c>
      <c r="W305" s="4">
        <v>65</v>
      </c>
    </row>
    <row r="306" spans="1:23" ht="11.25" customHeight="1" x14ac:dyDescent="0.3">
      <c r="A306" s="4" t="s">
        <v>21</v>
      </c>
      <c r="B306" s="4" t="s">
        <v>39</v>
      </c>
      <c r="C306" s="4" t="s">
        <v>40</v>
      </c>
      <c r="D306" s="4" t="s">
        <v>38</v>
      </c>
      <c r="E306" s="4" t="s">
        <v>25</v>
      </c>
      <c r="F306" s="4" t="s">
        <v>25</v>
      </c>
      <c r="G306" s="4" t="s">
        <v>25</v>
      </c>
      <c r="H306" s="4" t="s">
        <v>34</v>
      </c>
      <c r="I306" s="5">
        <v>44774</v>
      </c>
      <c r="J306" s="6">
        <v>0</v>
      </c>
      <c r="K306" s="6">
        <v>0</v>
      </c>
      <c r="L306" s="6">
        <v>15.644</v>
      </c>
      <c r="M306" s="6">
        <v>15.644</v>
      </c>
      <c r="N306" s="6">
        <v>15.644</v>
      </c>
      <c r="O306" s="6">
        <v>15.644</v>
      </c>
      <c r="P306" s="6">
        <v>0</v>
      </c>
      <c r="Q306" s="4" t="s">
        <v>26</v>
      </c>
      <c r="R306" s="4">
        <v>0</v>
      </c>
      <c r="S306" s="4" t="s">
        <v>221</v>
      </c>
      <c r="T306" s="4" t="s">
        <v>442</v>
      </c>
      <c r="U306" s="4">
        <v>0</v>
      </c>
      <c r="V306" s="4">
        <v>15</v>
      </c>
      <c r="W306" s="4">
        <v>65</v>
      </c>
    </row>
    <row r="307" spans="1:23" ht="11.25" customHeight="1" x14ac:dyDescent="0.3">
      <c r="A307" s="4" t="s">
        <v>28</v>
      </c>
      <c r="B307" s="4" t="s">
        <v>39</v>
      </c>
      <c r="C307" s="4" t="s">
        <v>40</v>
      </c>
      <c r="D307" s="4" t="s">
        <v>38</v>
      </c>
      <c r="E307" s="4" t="s">
        <v>25</v>
      </c>
      <c r="F307" s="4" t="s">
        <v>25</v>
      </c>
      <c r="G307" s="4" t="s">
        <v>25</v>
      </c>
      <c r="H307" s="4" t="s">
        <v>34</v>
      </c>
      <c r="I307" s="5">
        <v>44774</v>
      </c>
      <c r="J307" s="6">
        <v>0</v>
      </c>
      <c r="K307" s="6">
        <v>0</v>
      </c>
      <c r="L307" s="6">
        <v>3.5000000000000003E-2</v>
      </c>
      <c r="M307" s="6">
        <v>3.5000000000000003E-2</v>
      </c>
      <c r="N307" s="6">
        <v>3.5000000000000003E-2</v>
      </c>
      <c r="O307" s="6">
        <v>3.5000000000000003E-2</v>
      </c>
      <c r="P307" s="6">
        <v>0</v>
      </c>
      <c r="Q307" s="4" t="s">
        <v>26</v>
      </c>
      <c r="R307" s="4">
        <v>0</v>
      </c>
      <c r="S307" s="4" t="s">
        <v>221</v>
      </c>
      <c r="T307" s="4" t="s">
        <v>442</v>
      </c>
      <c r="U307" s="4">
        <v>0</v>
      </c>
      <c r="V307" s="4">
        <v>15</v>
      </c>
      <c r="W307" s="4">
        <v>65</v>
      </c>
    </row>
    <row r="308" spans="1:23" ht="11.25" customHeight="1" x14ac:dyDescent="0.3">
      <c r="A308" s="4" t="s">
        <v>21</v>
      </c>
      <c r="B308" s="4" t="s">
        <v>39</v>
      </c>
      <c r="C308" s="4" t="s">
        <v>40</v>
      </c>
      <c r="D308" s="4" t="s">
        <v>38</v>
      </c>
      <c r="E308" s="4" t="s">
        <v>25</v>
      </c>
      <c r="F308" s="4" t="s">
        <v>25</v>
      </c>
      <c r="G308" s="4" t="s">
        <v>25</v>
      </c>
      <c r="H308" s="4" t="s">
        <v>34</v>
      </c>
      <c r="I308" s="5">
        <v>44805</v>
      </c>
      <c r="J308" s="6">
        <v>0</v>
      </c>
      <c r="K308" s="6">
        <v>0</v>
      </c>
      <c r="L308" s="6">
        <v>15.657</v>
      </c>
      <c r="M308" s="6">
        <v>15.657</v>
      </c>
      <c r="N308" s="6">
        <v>15.657</v>
      </c>
      <c r="O308" s="6">
        <v>15.657</v>
      </c>
      <c r="P308" s="6">
        <v>0</v>
      </c>
      <c r="Q308" s="4" t="s">
        <v>26</v>
      </c>
      <c r="R308" s="4">
        <v>0</v>
      </c>
      <c r="S308" s="4" t="s">
        <v>222</v>
      </c>
      <c r="T308" s="4" t="s">
        <v>443</v>
      </c>
      <c r="U308" s="4">
        <v>0</v>
      </c>
      <c r="V308" s="4">
        <v>15</v>
      </c>
      <c r="W308" s="4">
        <v>65</v>
      </c>
    </row>
    <row r="309" spans="1:23" ht="11.25" customHeight="1" x14ac:dyDescent="0.3">
      <c r="A309" s="4" t="s">
        <v>28</v>
      </c>
      <c r="B309" s="4" t="s">
        <v>39</v>
      </c>
      <c r="C309" s="4" t="s">
        <v>40</v>
      </c>
      <c r="D309" s="4" t="s">
        <v>38</v>
      </c>
      <c r="E309" s="4" t="s">
        <v>25</v>
      </c>
      <c r="F309" s="4" t="s">
        <v>25</v>
      </c>
      <c r="G309" s="4" t="s">
        <v>25</v>
      </c>
      <c r="H309" s="4" t="s">
        <v>34</v>
      </c>
      <c r="I309" s="5">
        <v>44805</v>
      </c>
      <c r="J309" s="6">
        <v>0</v>
      </c>
      <c r="K309" s="6">
        <v>0</v>
      </c>
      <c r="L309" s="6">
        <v>3.5999999999999997E-2</v>
      </c>
      <c r="M309" s="6">
        <v>3.5999999999999997E-2</v>
      </c>
      <c r="N309" s="6">
        <v>3.5999999999999997E-2</v>
      </c>
      <c r="O309" s="6">
        <v>3.5999999999999997E-2</v>
      </c>
      <c r="P309" s="6">
        <v>0</v>
      </c>
      <c r="Q309" s="4" t="s">
        <v>26</v>
      </c>
      <c r="R309" s="4">
        <v>0</v>
      </c>
      <c r="S309" s="4" t="s">
        <v>222</v>
      </c>
      <c r="T309" s="4" t="s">
        <v>443</v>
      </c>
      <c r="U309" s="4">
        <v>0</v>
      </c>
      <c r="V309" s="4">
        <v>15</v>
      </c>
      <c r="W309" s="4">
        <v>65</v>
      </c>
    </row>
    <row r="310" spans="1:23" ht="11.25" customHeight="1" x14ac:dyDescent="0.3">
      <c r="A310" s="4" t="s">
        <v>57</v>
      </c>
      <c r="B310" s="4" t="s">
        <v>39</v>
      </c>
      <c r="C310" s="4" t="s">
        <v>40</v>
      </c>
      <c r="D310" s="4" t="s">
        <v>38</v>
      </c>
      <c r="E310" s="4" t="s">
        <v>25</v>
      </c>
      <c r="F310" s="4" t="s">
        <v>25</v>
      </c>
      <c r="G310" s="4" t="s">
        <v>25</v>
      </c>
      <c r="H310" s="4" t="s">
        <v>34</v>
      </c>
      <c r="I310" s="5">
        <v>44835</v>
      </c>
      <c r="J310" s="6">
        <v>0</v>
      </c>
      <c r="K310" s="6">
        <v>0</v>
      </c>
      <c r="L310" s="6">
        <v>15.657</v>
      </c>
      <c r="M310" s="6">
        <v>15.657</v>
      </c>
      <c r="N310" s="6">
        <v>15.657</v>
      </c>
      <c r="O310" s="6">
        <v>15.657</v>
      </c>
      <c r="P310" s="6">
        <v>0</v>
      </c>
      <c r="Q310" s="4" t="s">
        <v>26</v>
      </c>
      <c r="R310" s="4">
        <v>0</v>
      </c>
      <c r="S310" s="4" t="s">
        <v>223</v>
      </c>
      <c r="T310" s="4" t="s">
        <v>444</v>
      </c>
      <c r="U310" s="4">
        <v>0</v>
      </c>
      <c r="V310" s="4">
        <v>15</v>
      </c>
      <c r="W310" s="4">
        <v>65</v>
      </c>
    </row>
    <row r="311" spans="1:23" ht="11.25" customHeight="1" x14ac:dyDescent="0.3">
      <c r="A311" s="4" t="s">
        <v>57</v>
      </c>
      <c r="B311" s="4" t="s">
        <v>39</v>
      </c>
      <c r="C311" s="4" t="s">
        <v>40</v>
      </c>
      <c r="D311" s="4" t="s">
        <v>38</v>
      </c>
      <c r="E311" s="4" t="s">
        <v>25</v>
      </c>
      <c r="F311" s="4" t="s">
        <v>25</v>
      </c>
      <c r="G311" s="4" t="s">
        <v>25</v>
      </c>
      <c r="H311" s="4" t="s">
        <v>34</v>
      </c>
      <c r="I311" s="5">
        <v>44835</v>
      </c>
      <c r="J311" s="6">
        <v>0</v>
      </c>
      <c r="K311" s="6">
        <v>0</v>
      </c>
      <c r="L311" s="6">
        <v>3.5999999999999997E-2</v>
      </c>
      <c r="M311" s="6">
        <v>3.5999999999999997E-2</v>
      </c>
      <c r="N311" s="6">
        <v>3.5999999999999997E-2</v>
      </c>
      <c r="O311" s="6">
        <v>3.5999999999999997E-2</v>
      </c>
      <c r="P311" s="6">
        <v>0</v>
      </c>
      <c r="Q311" s="4" t="s">
        <v>26</v>
      </c>
      <c r="R311" s="4">
        <v>0</v>
      </c>
      <c r="S311" s="4" t="s">
        <v>223</v>
      </c>
      <c r="T311" s="4" t="s">
        <v>444</v>
      </c>
      <c r="U311" s="4">
        <v>0</v>
      </c>
      <c r="V311" s="4">
        <v>15</v>
      </c>
      <c r="W311" s="4">
        <v>65</v>
      </c>
    </row>
    <row r="312" spans="1:23" ht="11.25" customHeight="1" x14ac:dyDescent="0.3">
      <c r="A312" s="4" t="s">
        <v>21</v>
      </c>
      <c r="B312" s="4" t="s">
        <v>39</v>
      </c>
      <c r="C312" s="4" t="s">
        <v>40</v>
      </c>
      <c r="D312" s="4" t="s">
        <v>46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44501</v>
      </c>
      <c r="J312" s="6">
        <v>0</v>
      </c>
      <c r="K312" s="6">
        <v>0</v>
      </c>
      <c r="L312" s="6">
        <v>44.543999999999997</v>
      </c>
      <c r="M312" s="6">
        <v>44.543999999999997</v>
      </c>
      <c r="N312" s="6">
        <v>44.543999999999997</v>
      </c>
      <c r="O312" s="6">
        <v>44.543999999999997</v>
      </c>
      <c r="P312" s="6">
        <v>0</v>
      </c>
      <c r="Q312" s="4" t="s">
        <v>26</v>
      </c>
      <c r="R312" s="4">
        <v>0</v>
      </c>
      <c r="S312" s="4" t="s">
        <v>188</v>
      </c>
      <c r="T312" s="4" t="s">
        <v>421</v>
      </c>
      <c r="U312" s="4">
        <v>0</v>
      </c>
      <c r="V312" s="4">
        <v>17</v>
      </c>
      <c r="W312" s="4">
        <v>66</v>
      </c>
    </row>
    <row r="313" spans="1:23" ht="11.25" customHeight="1" x14ac:dyDescent="0.3">
      <c r="A313" s="4" t="s">
        <v>28</v>
      </c>
      <c r="B313" s="4" t="s">
        <v>39</v>
      </c>
      <c r="C313" s="4" t="s">
        <v>40</v>
      </c>
      <c r="D313" s="4" t="s">
        <v>46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44501</v>
      </c>
      <c r="J313" s="6">
        <v>0</v>
      </c>
      <c r="K313" s="6">
        <v>0</v>
      </c>
      <c r="L313" s="6">
        <v>13.754</v>
      </c>
      <c r="M313" s="6">
        <v>13.754</v>
      </c>
      <c r="N313" s="6">
        <v>13.754</v>
      </c>
      <c r="O313" s="6">
        <v>13.754</v>
      </c>
      <c r="P313" s="6">
        <v>0</v>
      </c>
      <c r="Q313" s="4" t="s">
        <v>26</v>
      </c>
      <c r="R313" s="4">
        <v>0</v>
      </c>
      <c r="S313" s="4" t="s">
        <v>188</v>
      </c>
      <c r="T313" s="4" t="s">
        <v>421</v>
      </c>
      <c r="U313" s="4">
        <v>0</v>
      </c>
      <c r="V313" s="4">
        <v>17</v>
      </c>
      <c r="W313" s="4">
        <v>66</v>
      </c>
    </row>
    <row r="314" spans="1:23" ht="11.25" customHeight="1" x14ac:dyDescent="0.3">
      <c r="A314" s="4" t="s">
        <v>21</v>
      </c>
      <c r="B314" s="4" t="s">
        <v>39</v>
      </c>
      <c r="C314" s="4" t="s">
        <v>40</v>
      </c>
      <c r="D314" s="4" t="s">
        <v>46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44531</v>
      </c>
      <c r="J314" s="6">
        <v>0</v>
      </c>
      <c r="K314" s="6">
        <v>0</v>
      </c>
      <c r="L314" s="6">
        <v>38.204999999999998</v>
      </c>
      <c r="M314" s="6">
        <v>38.204999999999998</v>
      </c>
      <c r="N314" s="6">
        <v>38.204999999999998</v>
      </c>
      <c r="O314" s="6">
        <v>38.204999999999998</v>
      </c>
      <c r="P314" s="6">
        <v>0</v>
      </c>
      <c r="Q314" s="4" t="s">
        <v>26</v>
      </c>
      <c r="R314" s="4">
        <v>0</v>
      </c>
      <c r="S314" s="4" t="s">
        <v>189</v>
      </c>
      <c r="T314" s="4" t="s">
        <v>422</v>
      </c>
      <c r="U314" s="4">
        <v>0</v>
      </c>
      <c r="V314" s="4">
        <v>17</v>
      </c>
      <c r="W314" s="4">
        <v>66</v>
      </c>
    </row>
    <row r="315" spans="1:23" ht="11.25" customHeight="1" x14ac:dyDescent="0.3">
      <c r="A315" s="4" t="s">
        <v>28</v>
      </c>
      <c r="B315" s="4" t="s">
        <v>39</v>
      </c>
      <c r="C315" s="4" t="s">
        <v>40</v>
      </c>
      <c r="D315" s="4" t="s">
        <v>46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44531</v>
      </c>
      <c r="J315" s="6">
        <v>0</v>
      </c>
      <c r="K315" s="6">
        <v>0</v>
      </c>
      <c r="L315" s="6">
        <v>11.188000000000001</v>
      </c>
      <c r="M315" s="6">
        <v>11.188000000000001</v>
      </c>
      <c r="N315" s="6">
        <v>11.188000000000001</v>
      </c>
      <c r="O315" s="6">
        <v>11.188000000000001</v>
      </c>
      <c r="P315" s="6">
        <v>0</v>
      </c>
      <c r="Q315" s="4" t="s">
        <v>26</v>
      </c>
      <c r="R315" s="4">
        <v>0</v>
      </c>
      <c r="S315" s="4" t="s">
        <v>189</v>
      </c>
      <c r="T315" s="4" t="s">
        <v>422</v>
      </c>
      <c r="U315" s="4">
        <v>0</v>
      </c>
      <c r="V315" s="4">
        <v>17</v>
      </c>
      <c r="W315" s="4">
        <v>66</v>
      </c>
    </row>
    <row r="316" spans="1:23" ht="11.25" customHeight="1" x14ac:dyDescent="0.3">
      <c r="A316" s="4" t="s">
        <v>21</v>
      </c>
      <c r="B316" s="4" t="s">
        <v>39</v>
      </c>
      <c r="C316" s="4" t="s">
        <v>40</v>
      </c>
      <c r="D316" s="4" t="s">
        <v>46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44562</v>
      </c>
      <c r="J316" s="6">
        <v>0</v>
      </c>
      <c r="K316" s="6">
        <v>0</v>
      </c>
      <c r="L316" s="6">
        <v>34.058</v>
      </c>
      <c r="M316" s="6">
        <v>34.058</v>
      </c>
      <c r="N316" s="6">
        <v>34.058</v>
      </c>
      <c r="O316" s="6">
        <v>34.058</v>
      </c>
      <c r="P316" s="6">
        <v>0</v>
      </c>
      <c r="Q316" s="4" t="s">
        <v>26</v>
      </c>
      <c r="R316" s="4">
        <v>0</v>
      </c>
      <c r="S316" s="4" t="s">
        <v>190</v>
      </c>
      <c r="T316" s="4" t="s">
        <v>423</v>
      </c>
      <c r="U316" s="4">
        <v>0</v>
      </c>
      <c r="V316" s="4">
        <v>17</v>
      </c>
      <c r="W316" s="4">
        <v>66</v>
      </c>
    </row>
    <row r="317" spans="1:23" ht="11.25" customHeight="1" x14ac:dyDescent="0.3">
      <c r="A317" s="4" t="s">
        <v>28</v>
      </c>
      <c r="B317" s="4" t="s">
        <v>39</v>
      </c>
      <c r="C317" s="4" t="s">
        <v>40</v>
      </c>
      <c r="D317" s="4" t="s">
        <v>46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44562</v>
      </c>
      <c r="J317" s="6">
        <v>0</v>
      </c>
      <c r="K317" s="6">
        <v>0</v>
      </c>
      <c r="L317" s="6">
        <v>12.085000000000001</v>
      </c>
      <c r="M317" s="6">
        <v>12.085000000000001</v>
      </c>
      <c r="N317" s="6">
        <v>12.085000000000001</v>
      </c>
      <c r="O317" s="6">
        <v>12.085000000000001</v>
      </c>
      <c r="P317" s="6">
        <v>0</v>
      </c>
      <c r="Q317" s="4" t="s">
        <v>26</v>
      </c>
      <c r="R317" s="4">
        <v>0</v>
      </c>
      <c r="S317" s="4" t="s">
        <v>190</v>
      </c>
      <c r="T317" s="4" t="s">
        <v>423</v>
      </c>
      <c r="U317" s="4">
        <v>0</v>
      </c>
      <c r="V317" s="4">
        <v>17</v>
      </c>
      <c r="W317" s="4">
        <v>66</v>
      </c>
    </row>
    <row r="318" spans="1:23" ht="11.25" customHeight="1" x14ac:dyDescent="0.3">
      <c r="A318" s="4" t="s">
        <v>21</v>
      </c>
      <c r="B318" s="4" t="s">
        <v>39</v>
      </c>
      <c r="C318" s="4" t="s">
        <v>40</v>
      </c>
      <c r="D318" s="4" t="s">
        <v>46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44593</v>
      </c>
      <c r="J318" s="6">
        <v>0</v>
      </c>
      <c r="K318" s="6">
        <v>0</v>
      </c>
      <c r="L318" s="6">
        <v>38.064</v>
      </c>
      <c r="M318" s="6">
        <v>38.064</v>
      </c>
      <c r="N318" s="6">
        <v>38.064</v>
      </c>
      <c r="O318" s="6">
        <v>38.064</v>
      </c>
      <c r="P318" s="6">
        <v>0</v>
      </c>
      <c r="Q318" s="4" t="s">
        <v>26</v>
      </c>
      <c r="R318" s="4">
        <v>0</v>
      </c>
      <c r="S318" s="4" t="s">
        <v>191</v>
      </c>
      <c r="T318" s="4" t="s">
        <v>424</v>
      </c>
      <c r="U318" s="4">
        <v>0</v>
      </c>
      <c r="V318" s="4">
        <v>17</v>
      </c>
      <c r="W318" s="4">
        <v>66</v>
      </c>
    </row>
    <row r="319" spans="1:23" ht="11.25" customHeight="1" x14ac:dyDescent="0.3">
      <c r="A319" s="4" t="s">
        <v>28</v>
      </c>
      <c r="B319" s="4" t="s">
        <v>39</v>
      </c>
      <c r="C319" s="4" t="s">
        <v>40</v>
      </c>
      <c r="D319" s="4" t="s">
        <v>46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44593</v>
      </c>
      <c r="J319" s="6">
        <v>0</v>
      </c>
      <c r="K319" s="6">
        <v>0</v>
      </c>
      <c r="L319" s="6">
        <v>16.135999999999999</v>
      </c>
      <c r="M319" s="6">
        <v>16.135999999999999</v>
      </c>
      <c r="N319" s="6">
        <v>16.135999999999999</v>
      </c>
      <c r="O319" s="6">
        <v>16.135999999999999</v>
      </c>
      <c r="P319" s="6">
        <v>0</v>
      </c>
      <c r="Q319" s="4" t="s">
        <v>26</v>
      </c>
      <c r="R319" s="4">
        <v>0</v>
      </c>
      <c r="S319" s="4" t="s">
        <v>191</v>
      </c>
      <c r="T319" s="4" t="s">
        <v>424</v>
      </c>
      <c r="U319" s="4">
        <v>0</v>
      </c>
      <c r="V319" s="4">
        <v>17</v>
      </c>
      <c r="W319" s="4">
        <v>66</v>
      </c>
    </row>
    <row r="320" spans="1:23" ht="11.25" customHeight="1" x14ac:dyDescent="0.3">
      <c r="A320" s="4" t="s">
        <v>21</v>
      </c>
      <c r="B320" s="4" t="s">
        <v>39</v>
      </c>
      <c r="C320" s="4" t="s">
        <v>40</v>
      </c>
      <c r="D320" s="4" t="s">
        <v>46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44621</v>
      </c>
      <c r="J320" s="6">
        <v>0</v>
      </c>
      <c r="K320" s="6">
        <v>0</v>
      </c>
      <c r="L320" s="6">
        <v>49.121000000000002</v>
      </c>
      <c r="M320" s="6">
        <v>49.121000000000002</v>
      </c>
      <c r="N320" s="6">
        <v>49.121000000000002</v>
      </c>
      <c r="O320" s="6">
        <v>49.121000000000002</v>
      </c>
      <c r="P320" s="6">
        <v>0</v>
      </c>
      <c r="Q320" s="4" t="s">
        <v>26</v>
      </c>
      <c r="R320" s="4">
        <v>0</v>
      </c>
      <c r="S320" s="4" t="s">
        <v>192</v>
      </c>
      <c r="T320" s="4" t="s">
        <v>425</v>
      </c>
      <c r="U320" s="4">
        <v>0</v>
      </c>
      <c r="V320" s="4">
        <v>17</v>
      </c>
      <c r="W320" s="4">
        <v>66</v>
      </c>
    </row>
    <row r="321" spans="1:23" ht="11.25" customHeight="1" x14ac:dyDescent="0.3">
      <c r="A321" s="4" t="s">
        <v>28</v>
      </c>
      <c r="B321" s="4" t="s">
        <v>39</v>
      </c>
      <c r="C321" s="4" t="s">
        <v>40</v>
      </c>
      <c r="D321" s="4" t="s">
        <v>46</v>
      </c>
      <c r="E321" s="4" t="s">
        <v>25</v>
      </c>
      <c r="F321" s="4" t="s">
        <v>25</v>
      </c>
      <c r="G321" s="4" t="s">
        <v>25</v>
      </c>
      <c r="H321" s="4" t="s">
        <v>35</v>
      </c>
      <c r="I321" s="5">
        <v>44621</v>
      </c>
      <c r="J321" s="6">
        <v>0</v>
      </c>
      <c r="K321" s="6">
        <v>0</v>
      </c>
      <c r="L321" s="6">
        <v>37.816000000000003</v>
      </c>
      <c r="M321" s="6">
        <v>37.816000000000003</v>
      </c>
      <c r="N321" s="6">
        <v>37.816000000000003</v>
      </c>
      <c r="O321" s="6">
        <v>37.816000000000003</v>
      </c>
      <c r="P321" s="6">
        <v>0</v>
      </c>
      <c r="Q321" s="4" t="s">
        <v>26</v>
      </c>
      <c r="R321" s="4">
        <v>0</v>
      </c>
      <c r="S321" s="4" t="s">
        <v>192</v>
      </c>
      <c r="T321" s="4" t="s">
        <v>425</v>
      </c>
      <c r="U321" s="4">
        <v>0</v>
      </c>
      <c r="V321" s="4">
        <v>17</v>
      </c>
      <c r="W321" s="4">
        <v>66</v>
      </c>
    </row>
    <row r="322" spans="1:23" ht="11.25" customHeight="1" x14ac:dyDescent="0.3">
      <c r="A322" s="4" t="s">
        <v>21</v>
      </c>
      <c r="B322" s="4" t="s">
        <v>39</v>
      </c>
      <c r="C322" s="4" t="s">
        <v>40</v>
      </c>
      <c r="D322" s="4" t="s">
        <v>46</v>
      </c>
      <c r="E322" s="4" t="s">
        <v>25</v>
      </c>
      <c r="F322" s="4" t="s">
        <v>25</v>
      </c>
      <c r="G322" s="4" t="s">
        <v>25</v>
      </c>
      <c r="H322" s="4" t="s">
        <v>35</v>
      </c>
      <c r="I322" s="5">
        <v>44652</v>
      </c>
      <c r="J322" s="6">
        <v>0</v>
      </c>
      <c r="K322" s="6">
        <v>0</v>
      </c>
      <c r="L322" s="6">
        <v>49.987000000000002</v>
      </c>
      <c r="M322" s="6">
        <v>49.987000000000002</v>
      </c>
      <c r="N322" s="6">
        <v>49.987000000000002</v>
      </c>
      <c r="O322" s="6">
        <v>49.987000000000002</v>
      </c>
      <c r="P322" s="6">
        <v>0</v>
      </c>
      <c r="Q322" s="4" t="s">
        <v>26</v>
      </c>
      <c r="R322" s="4">
        <v>0</v>
      </c>
      <c r="S322" s="4" t="s">
        <v>193</v>
      </c>
      <c r="T322" s="4" t="s">
        <v>426</v>
      </c>
      <c r="U322" s="4">
        <v>0</v>
      </c>
      <c r="V322" s="4">
        <v>17</v>
      </c>
      <c r="W322" s="4">
        <v>66</v>
      </c>
    </row>
    <row r="323" spans="1:23" ht="11.25" customHeight="1" x14ac:dyDescent="0.3">
      <c r="A323" s="4" t="s">
        <v>28</v>
      </c>
      <c r="B323" s="4" t="s">
        <v>39</v>
      </c>
      <c r="C323" s="4" t="s">
        <v>40</v>
      </c>
      <c r="D323" s="4" t="s">
        <v>46</v>
      </c>
      <c r="E323" s="4" t="s">
        <v>25</v>
      </c>
      <c r="F323" s="4" t="s">
        <v>25</v>
      </c>
      <c r="G323" s="4" t="s">
        <v>25</v>
      </c>
      <c r="H323" s="4" t="s">
        <v>35</v>
      </c>
      <c r="I323" s="5">
        <v>44652</v>
      </c>
      <c r="J323" s="6">
        <v>0</v>
      </c>
      <c r="K323" s="6">
        <v>0</v>
      </c>
      <c r="L323" s="6">
        <v>40.042999999999999</v>
      </c>
      <c r="M323" s="6">
        <v>40.042999999999999</v>
      </c>
      <c r="N323" s="6">
        <v>40.042999999999999</v>
      </c>
      <c r="O323" s="6">
        <v>40.042999999999999</v>
      </c>
      <c r="P323" s="6">
        <v>0</v>
      </c>
      <c r="Q323" s="4" t="s">
        <v>26</v>
      </c>
      <c r="R323" s="4">
        <v>0</v>
      </c>
      <c r="S323" s="4" t="s">
        <v>193</v>
      </c>
      <c r="T323" s="4" t="s">
        <v>426</v>
      </c>
      <c r="U323" s="4">
        <v>0</v>
      </c>
      <c r="V323" s="4">
        <v>17</v>
      </c>
      <c r="W323" s="4">
        <v>66</v>
      </c>
    </row>
    <row r="324" spans="1:23" ht="11.25" customHeight="1" x14ac:dyDescent="0.3">
      <c r="A324" s="4" t="s">
        <v>21</v>
      </c>
      <c r="B324" s="4" t="s">
        <v>39</v>
      </c>
      <c r="C324" s="4" t="s">
        <v>40</v>
      </c>
      <c r="D324" s="4" t="s">
        <v>46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44682</v>
      </c>
      <c r="J324" s="6">
        <v>0</v>
      </c>
      <c r="K324" s="6">
        <v>0</v>
      </c>
      <c r="L324" s="6">
        <v>47.21</v>
      </c>
      <c r="M324" s="6">
        <v>47.21</v>
      </c>
      <c r="N324" s="6">
        <v>47.21</v>
      </c>
      <c r="O324" s="6">
        <v>47.21</v>
      </c>
      <c r="P324" s="6">
        <v>0</v>
      </c>
      <c r="Q324" s="4" t="s">
        <v>26</v>
      </c>
      <c r="R324" s="4">
        <v>0</v>
      </c>
      <c r="S324" s="4" t="s">
        <v>194</v>
      </c>
      <c r="T324" s="4" t="s">
        <v>427</v>
      </c>
      <c r="U324" s="4">
        <v>0</v>
      </c>
      <c r="V324" s="4">
        <v>17</v>
      </c>
      <c r="W324" s="4">
        <v>66</v>
      </c>
    </row>
    <row r="325" spans="1:23" ht="11.25" customHeight="1" x14ac:dyDescent="0.3">
      <c r="A325" s="4" t="s">
        <v>28</v>
      </c>
      <c r="B325" s="4" t="s">
        <v>39</v>
      </c>
      <c r="C325" s="4" t="s">
        <v>40</v>
      </c>
      <c r="D325" s="4" t="s">
        <v>46</v>
      </c>
      <c r="E325" s="4" t="s">
        <v>25</v>
      </c>
      <c r="F325" s="4" t="s">
        <v>25</v>
      </c>
      <c r="G325" s="4" t="s">
        <v>25</v>
      </c>
      <c r="H325" s="4" t="s">
        <v>35</v>
      </c>
      <c r="I325" s="5">
        <v>44682</v>
      </c>
      <c r="J325" s="6">
        <v>0</v>
      </c>
      <c r="K325" s="6">
        <v>0</v>
      </c>
      <c r="L325" s="6">
        <v>39.948999999999998</v>
      </c>
      <c r="M325" s="6">
        <v>39.948999999999998</v>
      </c>
      <c r="N325" s="6">
        <v>39.948999999999998</v>
      </c>
      <c r="O325" s="6">
        <v>39.948999999999998</v>
      </c>
      <c r="P325" s="6">
        <v>0</v>
      </c>
      <c r="Q325" s="4" t="s">
        <v>26</v>
      </c>
      <c r="R325" s="4">
        <v>0</v>
      </c>
      <c r="S325" s="4" t="s">
        <v>194</v>
      </c>
      <c r="T325" s="4" t="s">
        <v>427</v>
      </c>
      <c r="U325" s="4">
        <v>0</v>
      </c>
      <c r="V325" s="4">
        <v>17</v>
      </c>
      <c r="W325" s="4">
        <v>66</v>
      </c>
    </row>
    <row r="326" spans="1:23" ht="11.25" customHeight="1" x14ac:dyDescent="0.3">
      <c r="A326" s="4" t="s">
        <v>21</v>
      </c>
      <c r="B326" s="4" t="s">
        <v>39</v>
      </c>
      <c r="C326" s="4" t="s">
        <v>40</v>
      </c>
      <c r="D326" s="4" t="s">
        <v>46</v>
      </c>
      <c r="E326" s="4" t="s">
        <v>25</v>
      </c>
      <c r="F326" s="4" t="s">
        <v>25</v>
      </c>
      <c r="G326" s="4" t="s">
        <v>25</v>
      </c>
      <c r="H326" s="4" t="s">
        <v>35</v>
      </c>
      <c r="I326" s="5">
        <v>44713</v>
      </c>
      <c r="J326" s="6">
        <v>0</v>
      </c>
      <c r="K326" s="6">
        <v>0</v>
      </c>
      <c r="L326" s="6">
        <v>40.213000000000001</v>
      </c>
      <c r="M326" s="6">
        <v>40.213000000000001</v>
      </c>
      <c r="N326" s="6">
        <v>40.213000000000001</v>
      </c>
      <c r="O326" s="6">
        <v>40.213000000000001</v>
      </c>
      <c r="P326" s="6">
        <v>0</v>
      </c>
      <c r="Q326" s="4" t="s">
        <v>26</v>
      </c>
      <c r="R326" s="4">
        <v>0</v>
      </c>
      <c r="S326" s="4" t="s">
        <v>195</v>
      </c>
      <c r="T326" s="4" t="s">
        <v>428</v>
      </c>
      <c r="U326" s="4">
        <v>0</v>
      </c>
      <c r="V326" s="4">
        <v>17</v>
      </c>
      <c r="W326" s="4">
        <v>66</v>
      </c>
    </row>
    <row r="327" spans="1:23" ht="11.25" customHeight="1" x14ac:dyDescent="0.3">
      <c r="A327" s="4" t="s">
        <v>28</v>
      </c>
      <c r="B327" s="4" t="s">
        <v>39</v>
      </c>
      <c r="C327" s="4" t="s">
        <v>40</v>
      </c>
      <c r="D327" s="4" t="s">
        <v>46</v>
      </c>
      <c r="E327" s="4" t="s">
        <v>25</v>
      </c>
      <c r="F327" s="4" t="s">
        <v>25</v>
      </c>
      <c r="G327" s="4" t="s">
        <v>25</v>
      </c>
      <c r="H327" s="4" t="s">
        <v>35</v>
      </c>
      <c r="I327" s="5">
        <v>44713</v>
      </c>
      <c r="J327" s="6">
        <v>0</v>
      </c>
      <c r="K327" s="6">
        <v>0</v>
      </c>
      <c r="L327" s="6">
        <v>33.003</v>
      </c>
      <c r="M327" s="6">
        <v>33.003</v>
      </c>
      <c r="N327" s="6">
        <v>33.003</v>
      </c>
      <c r="O327" s="6">
        <v>33.003</v>
      </c>
      <c r="P327" s="6">
        <v>0</v>
      </c>
      <c r="Q327" s="4" t="s">
        <v>26</v>
      </c>
      <c r="R327" s="4">
        <v>0</v>
      </c>
      <c r="S327" s="4" t="s">
        <v>195</v>
      </c>
      <c r="T327" s="4" t="s">
        <v>428</v>
      </c>
      <c r="U327" s="4">
        <v>0</v>
      </c>
      <c r="V327" s="4">
        <v>17</v>
      </c>
      <c r="W327" s="4">
        <v>66</v>
      </c>
    </row>
    <row r="328" spans="1:23" ht="11.25" customHeight="1" x14ac:dyDescent="0.3">
      <c r="A328" s="4" t="s">
        <v>21</v>
      </c>
      <c r="B328" s="4" t="s">
        <v>39</v>
      </c>
      <c r="C328" s="4" t="s">
        <v>40</v>
      </c>
      <c r="D328" s="4" t="s">
        <v>46</v>
      </c>
      <c r="E328" s="4" t="s">
        <v>25</v>
      </c>
      <c r="F328" s="4" t="s">
        <v>25</v>
      </c>
      <c r="G328" s="4" t="s">
        <v>25</v>
      </c>
      <c r="H328" s="4" t="s">
        <v>35</v>
      </c>
      <c r="I328" s="5">
        <v>44743</v>
      </c>
      <c r="J328" s="6">
        <v>0</v>
      </c>
      <c r="K328" s="6">
        <v>0</v>
      </c>
      <c r="L328" s="6">
        <v>29.54</v>
      </c>
      <c r="M328" s="6">
        <v>29.54</v>
      </c>
      <c r="N328" s="6">
        <v>29.54</v>
      </c>
      <c r="O328" s="6">
        <v>29.54</v>
      </c>
      <c r="P328" s="6">
        <v>0</v>
      </c>
      <c r="Q328" s="4" t="s">
        <v>26</v>
      </c>
      <c r="R328" s="4">
        <v>0</v>
      </c>
      <c r="S328" s="4" t="s">
        <v>196</v>
      </c>
      <c r="T328" s="4" t="s">
        <v>429</v>
      </c>
      <c r="U328" s="4">
        <v>0</v>
      </c>
      <c r="V328" s="4">
        <v>17</v>
      </c>
      <c r="W328" s="4">
        <v>66</v>
      </c>
    </row>
    <row r="329" spans="1:23" ht="11.25" customHeight="1" x14ac:dyDescent="0.3">
      <c r="A329" s="4" t="s">
        <v>28</v>
      </c>
      <c r="B329" s="4" t="s">
        <v>39</v>
      </c>
      <c r="C329" s="4" t="s">
        <v>40</v>
      </c>
      <c r="D329" s="4" t="s">
        <v>46</v>
      </c>
      <c r="E329" s="4" t="s">
        <v>25</v>
      </c>
      <c r="F329" s="4" t="s">
        <v>25</v>
      </c>
      <c r="G329" s="4" t="s">
        <v>25</v>
      </c>
      <c r="H329" s="4" t="s">
        <v>35</v>
      </c>
      <c r="I329" s="5">
        <v>44743</v>
      </c>
      <c r="J329" s="6">
        <v>0</v>
      </c>
      <c r="K329" s="6">
        <v>0</v>
      </c>
      <c r="L329" s="6">
        <v>21.186</v>
      </c>
      <c r="M329" s="6">
        <v>21.186</v>
      </c>
      <c r="N329" s="6">
        <v>21.186</v>
      </c>
      <c r="O329" s="6">
        <v>21.186</v>
      </c>
      <c r="P329" s="6">
        <v>0</v>
      </c>
      <c r="Q329" s="4" t="s">
        <v>26</v>
      </c>
      <c r="R329" s="4">
        <v>0</v>
      </c>
      <c r="S329" s="4" t="s">
        <v>196</v>
      </c>
      <c r="T329" s="4" t="s">
        <v>429</v>
      </c>
      <c r="U329" s="4">
        <v>0</v>
      </c>
      <c r="V329" s="4">
        <v>17</v>
      </c>
      <c r="W329" s="4">
        <v>66</v>
      </c>
    </row>
    <row r="330" spans="1:23" ht="11.25" customHeight="1" x14ac:dyDescent="0.3">
      <c r="A330" s="4" t="s">
        <v>21</v>
      </c>
      <c r="B330" s="4" t="s">
        <v>39</v>
      </c>
      <c r="C330" s="4" t="s">
        <v>40</v>
      </c>
      <c r="D330" s="4" t="s">
        <v>46</v>
      </c>
      <c r="E330" s="4" t="s">
        <v>25</v>
      </c>
      <c r="F330" s="4" t="s">
        <v>25</v>
      </c>
      <c r="G330" s="4" t="s">
        <v>25</v>
      </c>
      <c r="H330" s="4" t="s">
        <v>35</v>
      </c>
      <c r="I330" s="5">
        <v>44774</v>
      </c>
      <c r="J330" s="6">
        <v>0</v>
      </c>
      <c r="K330" s="6">
        <v>0</v>
      </c>
      <c r="L330" s="6">
        <v>55.023000000000003</v>
      </c>
      <c r="M330" s="6">
        <v>55.023000000000003</v>
      </c>
      <c r="N330" s="6">
        <v>55.023000000000003</v>
      </c>
      <c r="O330" s="6">
        <v>55.023000000000003</v>
      </c>
      <c r="P330" s="6">
        <v>0</v>
      </c>
      <c r="Q330" s="4" t="s">
        <v>26</v>
      </c>
      <c r="R330" s="4">
        <v>0</v>
      </c>
      <c r="S330" s="4" t="s">
        <v>197</v>
      </c>
      <c r="T330" s="4" t="s">
        <v>430</v>
      </c>
      <c r="U330" s="4">
        <v>0</v>
      </c>
      <c r="V330" s="4">
        <v>17</v>
      </c>
      <c r="W330" s="4">
        <v>66</v>
      </c>
    </row>
    <row r="331" spans="1:23" ht="11.25" customHeight="1" x14ac:dyDescent="0.3">
      <c r="A331" s="4" t="s">
        <v>28</v>
      </c>
      <c r="B331" s="4" t="s">
        <v>39</v>
      </c>
      <c r="C331" s="4" t="s">
        <v>40</v>
      </c>
      <c r="D331" s="4" t="s">
        <v>46</v>
      </c>
      <c r="E331" s="4" t="s">
        <v>25</v>
      </c>
      <c r="F331" s="4" t="s">
        <v>25</v>
      </c>
      <c r="G331" s="4" t="s">
        <v>25</v>
      </c>
      <c r="H331" s="4" t="s">
        <v>35</v>
      </c>
      <c r="I331" s="5">
        <v>44774</v>
      </c>
      <c r="J331" s="6">
        <v>0</v>
      </c>
      <c r="K331" s="6">
        <v>0</v>
      </c>
      <c r="L331" s="6">
        <v>34.936999999999998</v>
      </c>
      <c r="M331" s="6">
        <v>34.936999999999998</v>
      </c>
      <c r="N331" s="6">
        <v>34.936999999999998</v>
      </c>
      <c r="O331" s="6">
        <v>34.936999999999998</v>
      </c>
      <c r="P331" s="6">
        <v>0</v>
      </c>
      <c r="Q331" s="4" t="s">
        <v>26</v>
      </c>
      <c r="R331" s="4">
        <v>0</v>
      </c>
      <c r="S331" s="4" t="s">
        <v>197</v>
      </c>
      <c r="T331" s="4" t="s">
        <v>430</v>
      </c>
      <c r="U331" s="4">
        <v>0</v>
      </c>
      <c r="V331" s="4">
        <v>17</v>
      </c>
      <c r="W331" s="4">
        <v>66</v>
      </c>
    </row>
    <row r="332" spans="1:23" ht="11.25" customHeight="1" x14ac:dyDescent="0.3">
      <c r="A332" s="4" t="s">
        <v>21</v>
      </c>
      <c r="B332" s="4" t="s">
        <v>39</v>
      </c>
      <c r="C332" s="4" t="s">
        <v>40</v>
      </c>
      <c r="D332" s="4" t="s">
        <v>46</v>
      </c>
      <c r="E332" s="4" t="s">
        <v>25</v>
      </c>
      <c r="F332" s="4" t="s">
        <v>25</v>
      </c>
      <c r="G332" s="4" t="s">
        <v>25</v>
      </c>
      <c r="H332" s="4" t="s">
        <v>35</v>
      </c>
      <c r="I332" s="5">
        <v>44805</v>
      </c>
      <c r="J332" s="6">
        <v>0</v>
      </c>
      <c r="K332" s="6">
        <v>0</v>
      </c>
      <c r="L332" s="6">
        <v>66.283000000000001</v>
      </c>
      <c r="M332" s="6">
        <v>66.283000000000001</v>
      </c>
      <c r="N332" s="6">
        <v>66.283000000000001</v>
      </c>
      <c r="O332" s="6">
        <v>66.283000000000001</v>
      </c>
      <c r="P332" s="6">
        <v>0</v>
      </c>
      <c r="Q332" s="4" t="s">
        <v>26</v>
      </c>
      <c r="R332" s="4">
        <v>0</v>
      </c>
      <c r="S332" s="4" t="s">
        <v>198</v>
      </c>
      <c r="T332" s="4" t="s">
        <v>431</v>
      </c>
      <c r="U332" s="4">
        <v>0</v>
      </c>
      <c r="V332" s="4">
        <v>17</v>
      </c>
      <c r="W332" s="4">
        <v>66</v>
      </c>
    </row>
    <row r="333" spans="1:23" ht="11.25" customHeight="1" x14ac:dyDescent="0.3">
      <c r="A333" s="4" t="s">
        <v>28</v>
      </c>
      <c r="B333" s="4" t="s">
        <v>39</v>
      </c>
      <c r="C333" s="4" t="s">
        <v>40</v>
      </c>
      <c r="D333" s="4" t="s">
        <v>46</v>
      </c>
      <c r="E333" s="4" t="s">
        <v>25</v>
      </c>
      <c r="F333" s="4" t="s">
        <v>25</v>
      </c>
      <c r="G333" s="4" t="s">
        <v>25</v>
      </c>
      <c r="H333" s="4" t="s">
        <v>35</v>
      </c>
      <c r="I333" s="5">
        <v>44805</v>
      </c>
      <c r="J333" s="6">
        <v>0</v>
      </c>
      <c r="K333" s="6">
        <v>0</v>
      </c>
      <c r="L333" s="6">
        <v>50.369</v>
      </c>
      <c r="M333" s="6">
        <v>50.369</v>
      </c>
      <c r="N333" s="6">
        <v>50.369</v>
      </c>
      <c r="O333" s="6">
        <v>50.369</v>
      </c>
      <c r="P333" s="6">
        <v>0</v>
      </c>
      <c r="Q333" s="4" t="s">
        <v>26</v>
      </c>
      <c r="R333" s="4">
        <v>0</v>
      </c>
      <c r="S333" s="4" t="s">
        <v>198</v>
      </c>
      <c r="T333" s="4" t="s">
        <v>431</v>
      </c>
      <c r="U333" s="4">
        <v>0</v>
      </c>
      <c r="V333" s="4">
        <v>17</v>
      </c>
      <c r="W333" s="4">
        <v>66</v>
      </c>
    </row>
    <row r="334" spans="1:23" ht="11.25" customHeight="1" x14ac:dyDescent="0.3">
      <c r="A334" s="4" t="s">
        <v>57</v>
      </c>
      <c r="B334" s="4" t="s">
        <v>39</v>
      </c>
      <c r="C334" s="4" t="s">
        <v>40</v>
      </c>
      <c r="D334" s="4" t="s">
        <v>46</v>
      </c>
      <c r="E334" s="4" t="s">
        <v>25</v>
      </c>
      <c r="F334" s="4" t="s">
        <v>25</v>
      </c>
      <c r="G334" s="4" t="s">
        <v>25</v>
      </c>
      <c r="H334" s="4" t="s">
        <v>35</v>
      </c>
      <c r="I334" s="5">
        <v>44835</v>
      </c>
      <c r="J334" s="6">
        <v>0</v>
      </c>
      <c r="K334" s="6">
        <v>0</v>
      </c>
      <c r="L334" s="6">
        <v>66.283000000000001</v>
      </c>
      <c r="M334" s="6">
        <v>66.283000000000001</v>
      </c>
      <c r="N334" s="6">
        <v>66.283000000000001</v>
      </c>
      <c r="O334" s="6">
        <v>66.283000000000001</v>
      </c>
      <c r="P334" s="6">
        <v>0</v>
      </c>
      <c r="Q334" s="4" t="s">
        <v>26</v>
      </c>
      <c r="R334" s="4">
        <v>0</v>
      </c>
      <c r="S334" s="4" t="s">
        <v>199</v>
      </c>
      <c r="T334" s="4" t="s">
        <v>432</v>
      </c>
      <c r="U334" s="4">
        <v>0</v>
      </c>
      <c r="V334" s="4">
        <v>17</v>
      </c>
      <c r="W334" s="4">
        <v>66</v>
      </c>
    </row>
    <row r="335" spans="1:23" ht="11.25" customHeight="1" x14ac:dyDescent="0.3">
      <c r="A335" s="4" t="s">
        <v>57</v>
      </c>
      <c r="B335" s="4" t="s">
        <v>39</v>
      </c>
      <c r="C335" s="4" t="s">
        <v>40</v>
      </c>
      <c r="D335" s="4" t="s">
        <v>46</v>
      </c>
      <c r="E335" s="4" t="s">
        <v>25</v>
      </c>
      <c r="F335" s="4" t="s">
        <v>25</v>
      </c>
      <c r="G335" s="4" t="s">
        <v>25</v>
      </c>
      <c r="H335" s="4" t="s">
        <v>35</v>
      </c>
      <c r="I335" s="5">
        <v>44835</v>
      </c>
      <c r="J335" s="6">
        <v>0</v>
      </c>
      <c r="K335" s="6">
        <v>0</v>
      </c>
      <c r="L335" s="6">
        <v>50.369</v>
      </c>
      <c r="M335" s="6">
        <v>50.369</v>
      </c>
      <c r="N335" s="6">
        <v>50.369</v>
      </c>
      <c r="O335" s="6">
        <v>50.369</v>
      </c>
      <c r="P335" s="6">
        <v>0</v>
      </c>
      <c r="Q335" s="4" t="s">
        <v>26</v>
      </c>
      <c r="R335" s="4">
        <v>0</v>
      </c>
      <c r="S335" s="4" t="s">
        <v>199</v>
      </c>
      <c r="T335" s="4" t="s">
        <v>432</v>
      </c>
      <c r="U335" s="4">
        <v>0</v>
      </c>
      <c r="V335" s="4">
        <v>17</v>
      </c>
      <c r="W335" s="4">
        <v>66</v>
      </c>
    </row>
    <row r="336" spans="1:23" ht="11.25" customHeight="1" x14ac:dyDescent="0.3">
      <c r="A336" s="4" t="s">
        <v>21</v>
      </c>
      <c r="B336" s="4" t="s">
        <v>39</v>
      </c>
      <c r="C336" s="4" t="s">
        <v>40</v>
      </c>
      <c r="D336" s="4" t="s">
        <v>46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44501</v>
      </c>
      <c r="J336" s="6">
        <v>395</v>
      </c>
      <c r="K336" s="6">
        <v>395</v>
      </c>
      <c r="L336" s="6">
        <v>0</v>
      </c>
      <c r="M336" s="6">
        <v>0</v>
      </c>
      <c r="N336" s="6">
        <v>0</v>
      </c>
      <c r="O336" s="6">
        <v>0</v>
      </c>
      <c r="P336" s="6">
        <v>7</v>
      </c>
      <c r="Q336" s="4" t="s">
        <v>26</v>
      </c>
      <c r="R336" s="4">
        <v>0</v>
      </c>
      <c r="S336" s="4" t="s">
        <v>200</v>
      </c>
      <c r="U336" s="4">
        <v>13</v>
      </c>
      <c r="V336" s="4">
        <v>0</v>
      </c>
      <c r="W336" s="4">
        <v>0</v>
      </c>
    </row>
    <row r="337" spans="1:23" ht="11.25" customHeight="1" x14ac:dyDescent="0.3">
      <c r="A337" s="4" t="s">
        <v>28</v>
      </c>
      <c r="B337" s="4" t="s">
        <v>39</v>
      </c>
      <c r="C337" s="4" t="s">
        <v>40</v>
      </c>
      <c r="D337" s="4" t="s">
        <v>46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44501</v>
      </c>
      <c r="J337" s="6">
        <v>320</v>
      </c>
      <c r="K337" s="6">
        <v>320</v>
      </c>
      <c r="L337" s="6">
        <v>0</v>
      </c>
      <c r="M337" s="6">
        <v>0</v>
      </c>
      <c r="N337" s="6">
        <v>0</v>
      </c>
      <c r="O337" s="6">
        <v>0</v>
      </c>
      <c r="P337" s="6">
        <v>2</v>
      </c>
      <c r="Q337" s="4" t="s">
        <v>26</v>
      </c>
      <c r="R337" s="4">
        <v>0</v>
      </c>
      <c r="S337" s="4" t="s">
        <v>200</v>
      </c>
      <c r="U337" s="4">
        <v>13</v>
      </c>
      <c r="V337" s="4">
        <v>0</v>
      </c>
      <c r="W337" s="4">
        <v>0</v>
      </c>
    </row>
    <row r="338" spans="1:23" ht="11.25" customHeight="1" x14ac:dyDescent="0.3">
      <c r="A338" s="4" t="s">
        <v>21</v>
      </c>
      <c r="B338" s="4" t="s">
        <v>39</v>
      </c>
      <c r="C338" s="4" t="s">
        <v>40</v>
      </c>
      <c r="D338" s="4" t="s">
        <v>46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44531</v>
      </c>
      <c r="J338" s="6">
        <v>392</v>
      </c>
      <c r="K338" s="6">
        <v>392</v>
      </c>
      <c r="L338" s="6">
        <v>0</v>
      </c>
      <c r="M338" s="6">
        <v>0</v>
      </c>
      <c r="N338" s="6">
        <v>0</v>
      </c>
      <c r="O338" s="6">
        <v>0</v>
      </c>
      <c r="P338" s="6">
        <v>7</v>
      </c>
      <c r="Q338" s="4" t="s">
        <v>26</v>
      </c>
      <c r="R338" s="4">
        <v>0</v>
      </c>
      <c r="S338" s="4" t="s">
        <v>201</v>
      </c>
      <c r="U338" s="4">
        <v>13</v>
      </c>
      <c r="V338" s="4">
        <v>0</v>
      </c>
      <c r="W338" s="4">
        <v>0</v>
      </c>
    </row>
    <row r="339" spans="1:23" ht="11.25" customHeight="1" x14ac:dyDescent="0.3">
      <c r="A339" s="4" t="s">
        <v>28</v>
      </c>
      <c r="B339" s="4" t="s">
        <v>39</v>
      </c>
      <c r="C339" s="4" t="s">
        <v>40</v>
      </c>
      <c r="D339" s="4" t="s">
        <v>46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44531</v>
      </c>
      <c r="J339" s="6">
        <v>320</v>
      </c>
      <c r="K339" s="6">
        <v>320</v>
      </c>
      <c r="L339" s="6">
        <v>0</v>
      </c>
      <c r="M339" s="6">
        <v>0</v>
      </c>
      <c r="N339" s="6">
        <v>0</v>
      </c>
      <c r="O339" s="6">
        <v>0</v>
      </c>
      <c r="P339" s="6">
        <v>2</v>
      </c>
      <c r="Q339" s="4" t="s">
        <v>26</v>
      </c>
      <c r="R339" s="4">
        <v>0</v>
      </c>
      <c r="S339" s="4" t="s">
        <v>201</v>
      </c>
      <c r="U339" s="4">
        <v>13</v>
      </c>
      <c r="V339" s="4">
        <v>0</v>
      </c>
      <c r="W339" s="4">
        <v>0</v>
      </c>
    </row>
    <row r="340" spans="1:23" ht="11.25" customHeight="1" x14ac:dyDescent="0.3">
      <c r="A340" s="4" t="s">
        <v>21</v>
      </c>
      <c r="B340" s="4" t="s">
        <v>39</v>
      </c>
      <c r="C340" s="4" t="s">
        <v>40</v>
      </c>
      <c r="D340" s="4" t="s">
        <v>46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44562</v>
      </c>
      <c r="J340" s="6">
        <v>391</v>
      </c>
      <c r="K340" s="6">
        <v>391</v>
      </c>
      <c r="L340" s="6">
        <v>0</v>
      </c>
      <c r="M340" s="6">
        <v>0</v>
      </c>
      <c r="N340" s="6">
        <v>0</v>
      </c>
      <c r="O340" s="6">
        <v>0</v>
      </c>
      <c r="P340" s="6">
        <v>7</v>
      </c>
      <c r="Q340" s="4" t="s">
        <v>26</v>
      </c>
      <c r="R340" s="4">
        <v>0</v>
      </c>
      <c r="S340" s="4" t="s">
        <v>202</v>
      </c>
      <c r="U340" s="4">
        <v>13</v>
      </c>
      <c r="V340" s="4">
        <v>0</v>
      </c>
      <c r="W340" s="4">
        <v>0</v>
      </c>
    </row>
    <row r="341" spans="1:23" ht="11.25" customHeight="1" x14ac:dyDescent="0.3">
      <c r="A341" s="4" t="s">
        <v>28</v>
      </c>
      <c r="B341" s="4" t="s">
        <v>39</v>
      </c>
      <c r="C341" s="4" t="s">
        <v>40</v>
      </c>
      <c r="D341" s="4" t="s">
        <v>46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44562</v>
      </c>
      <c r="J341" s="6">
        <v>320</v>
      </c>
      <c r="K341" s="6">
        <v>320</v>
      </c>
      <c r="L341" s="6">
        <v>0</v>
      </c>
      <c r="M341" s="6">
        <v>0</v>
      </c>
      <c r="N341" s="6">
        <v>0</v>
      </c>
      <c r="O341" s="6">
        <v>0</v>
      </c>
      <c r="P341" s="6">
        <v>2</v>
      </c>
      <c r="Q341" s="4" t="s">
        <v>26</v>
      </c>
      <c r="R341" s="4">
        <v>0</v>
      </c>
      <c r="S341" s="4" t="s">
        <v>202</v>
      </c>
      <c r="U341" s="4">
        <v>13</v>
      </c>
      <c r="V341" s="4">
        <v>0</v>
      </c>
      <c r="W341" s="4">
        <v>0</v>
      </c>
    </row>
    <row r="342" spans="1:23" ht="11.25" customHeight="1" x14ac:dyDescent="0.3">
      <c r="A342" s="4" t="s">
        <v>21</v>
      </c>
      <c r="B342" s="4" t="s">
        <v>39</v>
      </c>
      <c r="C342" s="4" t="s">
        <v>40</v>
      </c>
      <c r="D342" s="4" t="s">
        <v>46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44593</v>
      </c>
      <c r="J342" s="6">
        <v>390</v>
      </c>
      <c r="K342" s="6">
        <v>390</v>
      </c>
      <c r="L342" s="6">
        <v>0</v>
      </c>
      <c r="M342" s="6">
        <v>0</v>
      </c>
      <c r="N342" s="6">
        <v>0</v>
      </c>
      <c r="O342" s="6">
        <v>0</v>
      </c>
      <c r="P342" s="6">
        <v>7</v>
      </c>
      <c r="Q342" s="4" t="s">
        <v>26</v>
      </c>
      <c r="R342" s="4">
        <v>0</v>
      </c>
      <c r="S342" s="4" t="s">
        <v>203</v>
      </c>
      <c r="U342" s="4">
        <v>13</v>
      </c>
      <c r="V342" s="4">
        <v>0</v>
      </c>
      <c r="W342" s="4">
        <v>0</v>
      </c>
    </row>
    <row r="343" spans="1:23" ht="11.25" customHeight="1" x14ac:dyDescent="0.3">
      <c r="A343" s="4" t="s">
        <v>28</v>
      </c>
      <c r="B343" s="4" t="s">
        <v>39</v>
      </c>
      <c r="C343" s="4" t="s">
        <v>40</v>
      </c>
      <c r="D343" s="4" t="s">
        <v>46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44593</v>
      </c>
      <c r="J343" s="6">
        <v>320</v>
      </c>
      <c r="K343" s="6">
        <v>320</v>
      </c>
      <c r="L343" s="6">
        <v>0</v>
      </c>
      <c r="M343" s="6">
        <v>0</v>
      </c>
      <c r="N343" s="6">
        <v>0</v>
      </c>
      <c r="O343" s="6">
        <v>0</v>
      </c>
      <c r="P343" s="6">
        <v>2</v>
      </c>
      <c r="Q343" s="4" t="s">
        <v>26</v>
      </c>
      <c r="R343" s="4">
        <v>0</v>
      </c>
      <c r="S343" s="4" t="s">
        <v>203</v>
      </c>
      <c r="U343" s="4">
        <v>13</v>
      </c>
      <c r="V343" s="4">
        <v>0</v>
      </c>
      <c r="W343" s="4">
        <v>0</v>
      </c>
    </row>
    <row r="344" spans="1:23" ht="11.25" customHeight="1" x14ac:dyDescent="0.3">
      <c r="A344" s="4" t="s">
        <v>21</v>
      </c>
      <c r="B344" s="4" t="s">
        <v>39</v>
      </c>
      <c r="C344" s="4" t="s">
        <v>40</v>
      </c>
      <c r="D344" s="4" t="s">
        <v>46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44621</v>
      </c>
      <c r="J344" s="6">
        <v>392</v>
      </c>
      <c r="K344" s="6">
        <v>392</v>
      </c>
      <c r="L344" s="6">
        <v>0</v>
      </c>
      <c r="M344" s="6">
        <v>0</v>
      </c>
      <c r="N344" s="6">
        <v>0</v>
      </c>
      <c r="O344" s="6">
        <v>0</v>
      </c>
      <c r="P344" s="6">
        <v>7</v>
      </c>
      <c r="Q344" s="4" t="s">
        <v>26</v>
      </c>
      <c r="R344" s="4">
        <v>0</v>
      </c>
      <c r="S344" s="4" t="s">
        <v>204</v>
      </c>
      <c r="U344" s="4">
        <v>13</v>
      </c>
      <c r="V344" s="4">
        <v>0</v>
      </c>
      <c r="W344" s="4">
        <v>0</v>
      </c>
    </row>
    <row r="345" spans="1:23" ht="11.25" customHeight="1" x14ac:dyDescent="0.3">
      <c r="A345" s="4" t="s">
        <v>28</v>
      </c>
      <c r="B345" s="4" t="s">
        <v>39</v>
      </c>
      <c r="C345" s="4" t="s">
        <v>40</v>
      </c>
      <c r="D345" s="4" t="s">
        <v>46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44621</v>
      </c>
      <c r="J345" s="6">
        <v>320</v>
      </c>
      <c r="K345" s="6">
        <v>320</v>
      </c>
      <c r="L345" s="6">
        <v>0</v>
      </c>
      <c r="M345" s="6">
        <v>0</v>
      </c>
      <c r="N345" s="6">
        <v>0</v>
      </c>
      <c r="O345" s="6">
        <v>0</v>
      </c>
      <c r="P345" s="6">
        <v>2</v>
      </c>
      <c r="Q345" s="4" t="s">
        <v>26</v>
      </c>
      <c r="R345" s="4">
        <v>0</v>
      </c>
      <c r="S345" s="4" t="s">
        <v>204</v>
      </c>
      <c r="U345" s="4">
        <v>13</v>
      </c>
      <c r="V345" s="4">
        <v>0</v>
      </c>
      <c r="W345" s="4">
        <v>0</v>
      </c>
    </row>
    <row r="346" spans="1:23" ht="11.25" customHeight="1" x14ac:dyDescent="0.3">
      <c r="A346" s="4" t="s">
        <v>21</v>
      </c>
      <c r="B346" s="4" t="s">
        <v>39</v>
      </c>
      <c r="C346" s="4" t="s">
        <v>40</v>
      </c>
      <c r="D346" s="4" t="s">
        <v>46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44652</v>
      </c>
      <c r="J346" s="6">
        <v>415</v>
      </c>
      <c r="K346" s="6">
        <v>415</v>
      </c>
      <c r="L346" s="6">
        <v>0</v>
      </c>
      <c r="M346" s="6">
        <v>0</v>
      </c>
      <c r="N346" s="6">
        <v>0</v>
      </c>
      <c r="O346" s="6">
        <v>0</v>
      </c>
      <c r="P346" s="6">
        <v>8</v>
      </c>
      <c r="Q346" s="4" t="s">
        <v>26</v>
      </c>
      <c r="R346" s="4">
        <v>0</v>
      </c>
      <c r="S346" s="4" t="s">
        <v>205</v>
      </c>
      <c r="U346" s="4">
        <v>13</v>
      </c>
      <c r="V346" s="4">
        <v>0</v>
      </c>
      <c r="W346" s="4">
        <v>0</v>
      </c>
    </row>
    <row r="347" spans="1:23" ht="11.25" customHeight="1" x14ac:dyDescent="0.3">
      <c r="A347" s="4" t="s">
        <v>28</v>
      </c>
      <c r="B347" s="4" t="s">
        <v>39</v>
      </c>
      <c r="C347" s="4" t="s">
        <v>40</v>
      </c>
      <c r="D347" s="4" t="s">
        <v>46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44652</v>
      </c>
      <c r="J347" s="6">
        <v>320</v>
      </c>
      <c r="K347" s="6">
        <v>320</v>
      </c>
      <c r="L347" s="6">
        <v>0</v>
      </c>
      <c r="M347" s="6">
        <v>0</v>
      </c>
      <c r="N347" s="6">
        <v>0</v>
      </c>
      <c r="O347" s="6">
        <v>0</v>
      </c>
      <c r="P347" s="6">
        <v>2</v>
      </c>
      <c r="Q347" s="4" t="s">
        <v>26</v>
      </c>
      <c r="R347" s="4">
        <v>0</v>
      </c>
      <c r="S347" s="4" t="s">
        <v>205</v>
      </c>
      <c r="U347" s="4">
        <v>13</v>
      </c>
      <c r="V347" s="4">
        <v>0</v>
      </c>
      <c r="W347" s="4">
        <v>0</v>
      </c>
    </row>
    <row r="348" spans="1:23" ht="11.25" customHeight="1" x14ac:dyDescent="0.3">
      <c r="A348" s="4" t="s">
        <v>21</v>
      </c>
      <c r="B348" s="4" t="s">
        <v>39</v>
      </c>
      <c r="C348" s="4" t="s">
        <v>40</v>
      </c>
      <c r="D348" s="4" t="s">
        <v>46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44682</v>
      </c>
      <c r="J348" s="6">
        <v>456</v>
      </c>
      <c r="K348" s="6">
        <v>456</v>
      </c>
      <c r="L348" s="6">
        <v>0</v>
      </c>
      <c r="M348" s="6">
        <v>0</v>
      </c>
      <c r="N348" s="6">
        <v>0</v>
      </c>
      <c r="O348" s="6">
        <v>0</v>
      </c>
      <c r="P348" s="6">
        <v>9</v>
      </c>
      <c r="Q348" s="4" t="s">
        <v>26</v>
      </c>
      <c r="R348" s="4">
        <v>0</v>
      </c>
      <c r="S348" s="4" t="s">
        <v>206</v>
      </c>
      <c r="U348" s="4">
        <v>13</v>
      </c>
      <c r="V348" s="4">
        <v>0</v>
      </c>
      <c r="W348" s="4">
        <v>0</v>
      </c>
    </row>
    <row r="349" spans="1:23" ht="11.25" customHeight="1" x14ac:dyDescent="0.3">
      <c r="A349" s="4" t="s">
        <v>28</v>
      </c>
      <c r="B349" s="4" t="s">
        <v>39</v>
      </c>
      <c r="C349" s="4" t="s">
        <v>40</v>
      </c>
      <c r="D349" s="4" t="s">
        <v>46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44682</v>
      </c>
      <c r="J349" s="6">
        <v>320</v>
      </c>
      <c r="K349" s="6">
        <v>320</v>
      </c>
      <c r="L349" s="6">
        <v>0</v>
      </c>
      <c r="M349" s="6">
        <v>0</v>
      </c>
      <c r="N349" s="6">
        <v>0</v>
      </c>
      <c r="O349" s="6">
        <v>0</v>
      </c>
      <c r="P349" s="6">
        <v>2</v>
      </c>
      <c r="Q349" s="4" t="s">
        <v>26</v>
      </c>
      <c r="R349" s="4">
        <v>0</v>
      </c>
      <c r="S349" s="4" t="s">
        <v>206</v>
      </c>
      <c r="U349" s="4">
        <v>13</v>
      </c>
      <c r="V349" s="4">
        <v>0</v>
      </c>
      <c r="W349" s="4">
        <v>0</v>
      </c>
    </row>
    <row r="350" spans="1:23" ht="11.25" customHeight="1" x14ac:dyDescent="0.3">
      <c r="A350" s="4" t="s">
        <v>21</v>
      </c>
      <c r="B350" s="4" t="s">
        <v>39</v>
      </c>
      <c r="C350" s="4" t="s">
        <v>40</v>
      </c>
      <c r="D350" s="4" t="s">
        <v>46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44713</v>
      </c>
      <c r="J350" s="6">
        <v>441</v>
      </c>
      <c r="K350" s="6">
        <v>441</v>
      </c>
      <c r="L350" s="6">
        <v>0</v>
      </c>
      <c r="M350" s="6">
        <v>0</v>
      </c>
      <c r="N350" s="6">
        <v>0</v>
      </c>
      <c r="O350" s="6">
        <v>0</v>
      </c>
      <c r="P350" s="6">
        <v>9</v>
      </c>
      <c r="Q350" s="4" t="s">
        <v>26</v>
      </c>
      <c r="R350" s="4">
        <v>0</v>
      </c>
      <c r="S350" s="4" t="s">
        <v>207</v>
      </c>
      <c r="U350" s="4">
        <v>13</v>
      </c>
      <c r="V350" s="4">
        <v>0</v>
      </c>
      <c r="W350" s="4">
        <v>0</v>
      </c>
    </row>
    <row r="351" spans="1:23" ht="11.25" customHeight="1" x14ac:dyDescent="0.3">
      <c r="A351" s="4" t="s">
        <v>28</v>
      </c>
      <c r="B351" s="4" t="s">
        <v>39</v>
      </c>
      <c r="C351" s="4" t="s">
        <v>40</v>
      </c>
      <c r="D351" s="4" t="s">
        <v>46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44713</v>
      </c>
      <c r="J351" s="6">
        <v>320</v>
      </c>
      <c r="K351" s="6">
        <v>320</v>
      </c>
      <c r="L351" s="6">
        <v>0</v>
      </c>
      <c r="M351" s="6">
        <v>0</v>
      </c>
      <c r="N351" s="6">
        <v>0</v>
      </c>
      <c r="O351" s="6">
        <v>0</v>
      </c>
      <c r="P351" s="6">
        <v>2</v>
      </c>
      <c r="Q351" s="4" t="s">
        <v>26</v>
      </c>
      <c r="R351" s="4">
        <v>0</v>
      </c>
      <c r="S351" s="4" t="s">
        <v>207</v>
      </c>
      <c r="U351" s="4">
        <v>13</v>
      </c>
      <c r="V351" s="4">
        <v>0</v>
      </c>
      <c r="W351" s="4">
        <v>0</v>
      </c>
    </row>
    <row r="352" spans="1:23" ht="11.25" customHeight="1" x14ac:dyDescent="0.3">
      <c r="A352" s="4" t="s">
        <v>21</v>
      </c>
      <c r="B352" s="4" t="s">
        <v>39</v>
      </c>
      <c r="C352" s="4" t="s">
        <v>40</v>
      </c>
      <c r="D352" s="4" t="s">
        <v>46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44743</v>
      </c>
      <c r="J352" s="6">
        <v>552</v>
      </c>
      <c r="K352" s="6">
        <v>552</v>
      </c>
      <c r="L352" s="6">
        <v>0</v>
      </c>
      <c r="M352" s="6">
        <v>0</v>
      </c>
      <c r="N352" s="6">
        <v>0</v>
      </c>
      <c r="O352" s="6">
        <v>0</v>
      </c>
      <c r="P352" s="6">
        <v>9</v>
      </c>
      <c r="Q352" s="4" t="s">
        <v>26</v>
      </c>
      <c r="R352" s="4">
        <v>0</v>
      </c>
      <c r="S352" s="4" t="s">
        <v>208</v>
      </c>
      <c r="U352" s="4">
        <v>13</v>
      </c>
      <c r="V352" s="4">
        <v>0</v>
      </c>
      <c r="W352" s="4">
        <v>0</v>
      </c>
    </row>
    <row r="353" spans="1:23" ht="11.25" customHeight="1" x14ac:dyDescent="0.3">
      <c r="A353" s="4" t="s">
        <v>28</v>
      </c>
      <c r="B353" s="4" t="s">
        <v>39</v>
      </c>
      <c r="C353" s="4" t="s">
        <v>40</v>
      </c>
      <c r="D353" s="4" t="s">
        <v>46</v>
      </c>
      <c r="E353" s="4" t="s">
        <v>25</v>
      </c>
      <c r="F353" s="4" t="s">
        <v>25</v>
      </c>
      <c r="G353" s="4" t="s">
        <v>25</v>
      </c>
      <c r="H353" s="4" t="s">
        <v>25</v>
      </c>
      <c r="I353" s="5">
        <v>44743</v>
      </c>
      <c r="J353" s="6">
        <v>320</v>
      </c>
      <c r="K353" s="6">
        <v>320</v>
      </c>
      <c r="L353" s="6">
        <v>0</v>
      </c>
      <c r="M353" s="6">
        <v>0</v>
      </c>
      <c r="N353" s="6">
        <v>0</v>
      </c>
      <c r="O353" s="6">
        <v>0</v>
      </c>
      <c r="P353" s="6">
        <v>2</v>
      </c>
      <c r="Q353" s="4" t="s">
        <v>26</v>
      </c>
      <c r="R353" s="4">
        <v>0</v>
      </c>
      <c r="S353" s="4" t="s">
        <v>208</v>
      </c>
      <c r="U353" s="4">
        <v>13</v>
      </c>
      <c r="V353" s="4">
        <v>0</v>
      </c>
      <c r="W353" s="4">
        <v>0</v>
      </c>
    </row>
    <row r="354" spans="1:23" ht="11.25" customHeight="1" x14ac:dyDescent="0.3">
      <c r="A354" s="4" t="s">
        <v>21</v>
      </c>
      <c r="B354" s="4" t="s">
        <v>39</v>
      </c>
      <c r="C354" s="4" t="s">
        <v>40</v>
      </c>
      <c r="D354" s="4" t="s">
        <v>46</v>
      </c>
      <c r="E354" s="4" t="s">
        <v>25</v>
      </c>
      <c r="F354" s="4" t="s">
        <v>25</v>
      </c>
      <c r="G354" s="4" t="s">
        <v>25</v>
      </c>
      <c r="H354" s="4" t="s">
        <v>25</v>
      </c>
      <c r="I354" s="5">
        <v>44774</v>
      </c>
      <c r="J354" s="6">
        <v>583</v>
      </c>
      <c r="K354" s="6">
        <v>583</v>
      </c>
      <c r="L354" s="6">
        <v>0</v>
      </c>
      <c r="M354" s="6">
        <v>0</v>
      </c>
      <c r="N354" s="6">
        <v>0</v>
      </c>
      <c r="O354" s="6">
        <v>0</v>
      </c>
      <c r="P354" s="6">
        <v>9</v>
      </c>
      <c r="Q354" s="4" t="s">
        <v>26</v>
      </c>
      <c r="R354" s="4">
        <v>0</v>
      </c>
      <c r="S354" s="4" t="s">
        <v>209</v>
      </c>
      <c r="U354" s="4">
        <v>13</v>
      </c>
      <c r="V354" s="4">
        <v>0</v>
      </c>
      <c r="W354" s="4">
        <v>0</v>
      </c>
    </row>
    <row r="355" spans="1:23" ht="11.25" customHeight="1" x14ac:dyDescent="0.3">
      <c r="A355" s="4" t="s">
        <v>28</v>
      </c>
      <c r="B355" s="4" t="s">
        <v>39</v>
      </c>
      <c r="C355" s="4" t="s">
        <v>40</v>
      </c>
      <c r="D355" s="4" t="s">
        <v>46</v>
      </c>
      <c r="E355" s="4" t="s">
        <v>25</v>
      </c>
      <c r="F355" s="4" t="s">
        <v>25</v>
      </c>
      <c r="G355" s="4" t="s">
        <v>25</v>
      </c>
      <c r="H355" s="4" t="s">
        <v>25</v>
      </c>
      <c r="I355" s="5">
        <v>44774</v>
      </c>
      <c r="J355" s="6">
        <v>320</v>
      </c>
      <c r="K355" s="6">
        <v>320</v>
      </c>
      <c r="L355" s="6">
        <v>0</v>
      </c>
      <c r="M355" s="6">
        <v>0</v>
      </c>
      <c r="N355" s="6">
        <v>0</v>
      </c>
      <c r="O355" s="6">
        <v>0</v>
      </c>
      <c r="P355" s="6">
        <v>2</v>
      </c>
      <c r="Q355" s="4" t="s">
        <v>26</v>
      </c>
      <c r="R355" s="4">
        <v>0</v>
      </c>
      <c r="S355" s="4" t="s">
        <v>209</v>
      </c>
      <c r="U355" s="4">
        <v>13</v>
      </c>
      <c r="V355" s="4">
        <v>0</v>
      </c>
      <c r="W355" s="4">
        <v>0</v>
      </c>
    </row>
    <row r="356" spans="1:23" ht="11.25" customHeight="1" x14ac:dyDescent="0.3">
      <c r="A356" s="4" t="s">
        <v>21</v>
      </c>
      <c r="B356" s="4" t="s">
        <v>39</v>
      </c>
      <c r="C356" s="4" t="s">
        <v>40</v>
      </c>
      <c r="D356" s="4" t="s">
        <v>46</v>
      </c>
      <c r="E356" s="4" t="s">
        <v>25</v>
      </c>
      <c r="F356" s="4" t="s">
        <v>25</v>
      </c>
      <c r="G356" s="4" t="s">
        <v>25</v>
      </c>
      <c r="H356" s="4" t="s">
        <v>25</v>
      </c>
      <c r="I356" s="5">
        <v>44805</v>
      </c>
      <c r="J356" s="6">
        <v>613</v>
      </c>
      <c r="K356" s="6">
        <v>613</v>
      </c>
      <c r="L356" s="6">
        <v>0</v>
      </c>
      <c r="M356" s="6">
        <v>0</v>
      </c>
      <c r="N356" s="6">
        <v>0</v>
      </c>
      <c r="O356" s="6">
        <v>0</v>
      </c>
      <c r="P356" s="6">
        <v>9</v>
      </c>
      <c r="Q356" s="4" t="s">
        <v>26</v>
      </c>
      <c r="R356" s="4">
        <v>0</v>
      </c>
      <c r="S356" s="4" t="s">
        <v>210</v>
      </c>
      <c r="U356" s="4">
        <v>13</v>
      </c>
      <c r="V356" s="4">
        <v>0</v>
      </c>
      <c r="W356" s="4">
        <v>0</v>
      </c>
    </row>
    <row r="357" spans="1:23" ht="11.25" customHeight="1" x14ac:dyDescent="0.3">
      <c r="A357" s="4" t="s">
        <v>28</v>
      </c>
      <c r="B357" s="4" t="s">
        <v>39</v>
      </c>
      <c r="C357" s="4" t="s">
        <v>40</v>
      </c>
      <c r="D357" s="4" t="s">
        <v>46</v>
      </c>
      <c r="E357" s="4" t="s">
        <v>25</v>
      </c>
      <c r="F357" s="4" t="s">
        <v>25</v>
      </c>
      <c r="G357" s="4" t="s">
        <v>25</v>
      </c>
      <c r="H357" s="4" t="s">
        <v>25</v>
      </c>
      <c r="I357" s="5">
        <v>44805</v>
      </c>
      <c r="J357" s="6">
        <v>320</v>
      </c>
      <c r="K357" s="6">
        <v>320</v>
      </c>
      <c r="L357" s="6">
        <v>0</v>
      </c>
      <c r="M357" s="6">
        <v>0</v>
      </c>
      <c r="N357" s="6">
        <v>0</v>
      </c>
      <c r="O357" s="6">
        <v>0</v>
      </c>
      <c r="P357" s="6">
        <v>2</v>
      </c>
      <c r="Q357" s="4" t="s">
        <v>26</v>
      </c>
      <c r="R357" s="4">
        <v>0</v>
      </c>
      <c r="S357" s="4" t="s">
        <v>210</v>
      </c>
      <c r="U357" s="4">
        <v>13</v>
      </c>
      <c r="V357" s="4">
        <v>0</v>
      </c>
      <c r="W357" s="4">
        <v>0</v>
      </c>
    </row>
    <row r="358" spans="1:23" ht="11.25" customHeight="1" x14ac:dyDescent="0.3">
      <c r="A358" s="4" t="s">
        <v>57</v>
      </c>
      <c r="B358" s="4" t="s">
        <v>39</v>
      </c>
      <c r="C358" s="4" t="s">
        <v>40</v>
      </c>
      <c r="D358" s="4" t="s">
        <v>46</v>
      </c>
      <c r="E358" s="4" t="s">
        <v>25</v>
      </c>
      <c r="F358" s="4" t="s">
        <v>25</v>
      </c>
      <c r="G358" s="4" t="s">
        <v>25</v>
      </c>
      <c r="H358" s="4" t="s">
        <v>25</v>
      </c>
      <c r="I358" s="5">
        <v>44835</v>
      </c>
      <c r="J358" s="6">
        <v>613</v>
      </c>
      <c r="K358" s="6">
        <v>613</v>
      </c>
      <c r="L358" s="6">
        <v>0</v>
      </c>
      <c r="M358" s="6">
        <v>0</v>
      </c>
      <c r="N358" s="6">
        <v>0</v>
      </c>
      <c r="O358" s="6">
        <v>0</v>
      </c>
      <c r="P358" s="6">
        <v>9</v>
      </c>
      <c r="Q358" s="4" t="s">
        <v>26</v>
      </c>
      <c r="R358" s="4">
        <v>0</v>
      </c>
      <c r="S358" s="4" t="s">
        <v>211</v>
      </c>
      <c r="U358" s="4">
        <v>13</v>
      </c>
      <c r="V358" s="4">
        <v>0</v>
      </c>
      <c r="W358" s="4">
        <v>0</v>
      </c>
    </row>
    <row r="359" spans="1:23" ht="11.25" customHeight="1" x14ac:dyDescent="0.3">
      <c r="A359" s="4" t="s">
        <v>57</v>
      </c>
      <c r="B359" s="4" t="s">
        <v>39</v>
      </c>
      <c r="C359" s="4" t="s">
        <v>40</v>
      </c>
      <c r="D359" s="4" t="s">
        <v>46</v>
      </c>
      <c r="E359" s="4" t="s">
        <v>25</v>
      </c>
      <c r="F359" s="4" t="s">
        <v>25</v>
      </c>
      <c r="G359" s="4" t="s">
        <v>25</v>
      </c>
      <c r="H359" s="4" t="s">
        <v>25</v>
      </c>
      <c r="I359" s="5">
        <v>44835</v>
      </c>
      <c r="J359" s="6">
        <v>320</v>
      </c>
      <c r="K359" s="6">
        <v>320</v>
      </c>
      <c r="L359" s="6">
        <v>0</v>
      </c>
      <c r="M359" s="6">
        <v>0</v>
      </c>
      <c r="N359" s="6">
        <v>0</v>
      </c>
      <c r="O359" s="6">
        <v>0</v>
      </c>
      <c r="P359" s="6">
        <v>2</v>
      </c>
      <c r="Q359" s="4" t="s">
        <v>26</v>
      </c>
      <c r="R359" s="4">
        <v>0</v>
      </c>
      <c r="S359" s="4" t="s">
        <v>211</v>
      </c>
      <c r="U359" s="4">
        <v>13</v>
      </c>
      <c r="V359" s="4">
        <v>0</v>
      </c>
      <c r="W359" s="4">
        <v>0</v>
      </c>
    </row>
    <row r="360" spans="1:23" ht="11.25" customHeight="1" x14ac:dyDescent="0.3">
      <c r="A360" s="4" t="s">
        <v>21</v>
      </c>
      <c r="B360" s="4" t="s">
        <v>39</v>
      </c>
      <c r="C360" s="4" t="s">
        <v>40</v>
      </c>
      <c r="D360" s="4" t="s">
        <v>46</v>
      </c>
      <c r="E360" s="4" t="s">
        <v>25</v>
      </c>
      <c r="F360" s="4" t="s">
        <v>25</v>
      </c>
      <c r="G360" s="4" t="s">
        <v>25</v>
      </c>
      <c r="H360" s="4" t="s">
        <v>34</v>
      </c>
      <c r="I360" s="5">
        <v>44501</v>
      </c>
      <c r="J360" s="6">
        <v>0</v>
      </c>
      <c r="K360" s="6">
        <v>0</v>
      </c>
      <c r="L360" s="6">
        <v>3.5510000000000002</v>
      </c>
      <c r="M360" s="6">
        <v>3.5510000000000002</v>
      </c>
      <c r="N360" s="6">
        <v>3.5510000000000002</v>
      </c>
      <c r="O360" s="6">
        <v>3.5510000000000002</v>
      </c>
      <c r="P360" s="6">
        <v>0</v>
      </c>
      <c r="Q360" s="4" t="s">
        <v>26</v>
      </c>
      <c r="R360" s="4">
        <v>0</v>
      </c>
      <c r="S360" s="4" t="s">
        <v>212</v>
      </c>
      <c r="T360" s="4" t="s">
        <v>433</v>
      </c>
      <c r="U360" s="4">
        <v>0</v>
      </c>
      <c r="V360" s="4">
        <v>15</v>
      </c>
      <c r="W360" s="4">
        <v>65</v>
      </c>
    </row>
    <row r="361" spans="1:23" ht="11.25" customHeight="1" x14ac:dyDescent="0.3">
      <c r="A361" s="4" t="s">
        <v>28</v>
      </c>
      <c r="B361" s="4" t="s">
        <v>39</v>
      </c>
      <c r="C361" s="4" t="s">
        <v>40</v>
      </c>
      <c r="D361" s="4" t="s">
        <v>46</v>
      </c>
      <c r="E361" s="4" t="s">
        <v>25</v>
      </c>
      <c r="F361" s="4" t="s">
        <v>25</v>
      </c>
      <c r="G361" s="4" t="s">
        <v>25</v>
      </c>
      <c r="H361" s="4" t="s">
        <v>34</v>
      </c>
      <c r="I361" s="5">
        <v>44501</v>
      </c>
      <c r="J361" s="6">
        <v>0</v>
      </c>
      <c r="K361" s="6">
        <v>0</v>
      </c>
      <c r="L361" s="6">
        <v>3.101</v>
      </c>
      <c r="M361" s="6">
        <v>3.101</v>
      </c>
      <c r="N361" s="6">
        <v>3.101</v>
      </c>
      <c r="O361" s="6">
        <v>3.101</v>
      </c>
      <c r="P361" s="6">
        <v>0</v>
      </c>
      <c r="Q361" s="4" t="s">
        <v>26</v>
      </c>
      <c r="R361" s="4">
        <v>0</v>
      </c>
      <c r="S361" s="4" t="s">
        <v>212</v>
      </c>
      <c r="T361" s="4" t="s">
        <v>433</v>
      </c>
      <c r="U361" s="4">
        <v>0</v>
      </c>
      <c r="V361" s="4">
        <v>15</v>
      </c>
      <c r="W361" s="4">
        <v>65</v>
      </c>
    </row>
    <row r="362" spans="1:23" ht="11.25" customHeight="1" x14ac:dyDescent="0.3">
      <c r="A362" s="4" t="s">
        <v>21</v>
      </c>
      <c r="B362" s="4" t="s">
        <v>39</v>
      </c>
      <c r="C362" s="4" t="s">
        <v>40</v>
      </c>
      <c r="D362" s="4" t="s">
        <v>46</v>
      </c>
      <c r="E362" s="4" t="s">
        <v>25</v>
      </c>
      <c r="F362" s="4" t="s">
        <v>25</v>
      </c>
      <c r="G362" s="4" t="s">
        <v>25</v>
      </c>
      <c r="H362" s="4" t="s">
        <v>34</v>
      </c>
      <c r="I362" s="5">
        <v>44531</v>
      </c>
      <c r="J362" s="6">
        <v>0</v>
      </c>
      <c r="K362" s="6">
        <v>0</v>
      </c>
      <c r="L362" s="6">
        <v>4.2439999999999998</v>
      </c>
      <c r="M362" s="6">
        <v>4.2439999999999998</v>
      </c>
      <c r="N362" s="6">
        <v>4.2439999999999998</v>
      </c>
      <c r="O362" s="6">
        <v>4.2439999999999998</v>
      </c>
      <c r="P362" s="6">
        <v>0</v>
      </c>
      <c r="Q362" s="4" t="s">
        <v>26</v>
      </c>
      <c r="R362" s="4">
        <v>0</v>
      </c>
      <c r="S362" s="4" t="s">
        <v>213</v>
      </c>
      <c r="T362" s="4" t="s">
        <v>434</v>
      </c>
      <c r="U362" s="4">
        <v>0</v>
      </c>
      <c r="V362" s="4">
        <v>15</v>
      </c>
      <c r="W362" s="4">
        <v>65</v>
      </c>
    </row>
    <row r="363" spans="1:23" ht="11.25" customHeight="1" x14ac:dyDescent="0.3">
      <c r="A363" s="4" t="s">
        <v>28</v>
      </c>
      <c r="B363" s="4" t="s">
        <v>39</v>
      </c>
      <c r="C363" s="4" t="s">
        <v>40</v>
      </c>
      <c r="D363" s="4" t="s">
        <v>46</v>
      </c>
      <c r="E363" s="4" t="s">
        <v>25</v>
      </c>
      <c r="F363" s="4" t="s">
        <v>25</v>
      </c>
      <c r="G363" s="4" t="s">
        <v>25</v>
      </c>
      <c r="H363" s="4" t="s">
        <v>34</v>
      </c>
      <c r="I363" s="5">
        <v>44531</v>
      </c>
      <c r="J363" s="6">
        <v>0</v>
      </c>
      <c r="K363" s="6">
        <v>0</v>
      </c>
      <c r="L363" s="6">
        <v>3.1509999999999998</v>
      </c>
      <c r="M363" s="6">
        <v>3.1509999999999998</v>
      </c>
      <c r="N363" s="6">
        <v>3.1509999999999998</v>
      </c>
      <c r="O363" s="6">
        <v>3.1509999999999998</v>
      </c>
      <c r="P363" s="6">
        <v>0</v>
      </c>
      <c r="Q363" s="4" t="s">
        <v>26</v>
      </c>
      <c r="R363" s="4">
        <v>0</v>
      </c>
      <c r="S363" s="4" t="s">
        <v>213</v>
      </c>
      <c r="T363" s="4" t="s">
        <v>434</v>
      </c>
      <c r="U363" s="4">
        <v>0</v>
      </c>
      <c r="V363" s="4">
        <v>15</v>
      </c>
      <c r="W363" s="4">
        <v>65</v>
      </c>
    </row>
    <row r="364" spans="1:23" ht="11.25" customHeight="1" x14ac:dyDescent="0.3">
      <c r="A364" s="4" t="s">
        <v>21</v>
      </c>
      <c r="B364" s="4" t="s">
        <v>39</v>
      </c>
      <c r="C364" s="4" t="s">
        <v>40</v>
      </c>
      <c r="D364" s="4" t="s">
        <v>46</v>
      </c>
      <c r="E364" s="4" t="s">
        <v>25</v>
      </c>
      <c r="F364" s="4" t="s">
        <v>25</v>
      </c>
      <c r="G364" s="4" t="s">
        <v>25</v>
      </c>
      <c r="H364" s="4" t="s">
        <v>34</v>
      </c>
      <c r="I364" s="5">
        <v>44562</v>
      </c>
      <c r="J364" s="6">
        <v>0</v>
      </c>
      <c r="K364" s="6">
        <v>0</v>
      </c>
      <c r="L364" s="6">
        <v>2.9239999999999999</v>
      </c>
      <c r="M364" s="6">
        <v>2.9239999999999999</v>
      </c>
      <c r="N364" s="6">
        <v>2.9239999999999999</v>
      </c>
      <c r="O364" s="6">
        <v>2.9239999999999999</v>
      </c>
      <c r="P364" s="6">
        <v>0</v>
      </c>
      <c r="Q364" s="4" t="s">
        <v>26</v>
      </c>
      <c r="R364" s="4">
        <v>0</v>
      </c>
      <c r="S364" s="4" t="s">
        <v>214</v>
      </c>
      <c r="T364" s="4" t="s">
        <v>435</v>
      </c>
      <c r="U364" s="4">
        <v>0</v>
      </c>
      <c r="V364" s="4">
        <v>15</v>
      </c>
      <c r="W364" s="4">
        <v>65</v>
      </c>
    </row>
    <row r="365" spans="1:23" ht="11.25" customHeight="1" x14ac:dyDescent="0.3">
      <c r="A365" s="4" t="s">
        <v>28</v>
      </c>
      <c r="B365" s="4" t="s">
        <v>39</v>
      </c>
      <c r="C365" s="4" t="s">
        <v>40</v>
      </c>
      <c r="D365" s="4" t="s">
        <v>46</v>
      </c>
      <c r="E365" s="4" t="s">
        <v>25</v>
      </c>
      <c r="F365" s="4" t="s">
        <v>25</v>
      </c>
      <c r="G365" s="4" t="s">
        <v>25</v>
      </c>
      <c r="H365" s="4" t="s">
        <v>34</v>
      </c>
      <c r="I365" s="5">
        <v>44562</v>
      </c>
      <c r="J365" s="6">
        <v>0</v>
      </c>
      <c r="K365" s="6">
        <v>0</v>
      </c>
      <c r="L365" s="6">
        <v>2.6309999999999998</v>
      </c>
      <c r="M365" s="6">
        <v>2.6309999999999998</v>
      </c>
      <c r="N365" s="6">
        <v>2.6309999999999998</v>
      </c>
      <c r="O365" s="6">
        <v>2.6309999999999998</v>
      </c>
      <c r="P365" s="6">
        <v>0</v>
      </c>
      <c r="Q365" s="4" t="s">
        <v>26</v>
      </c>
      <c r="R365" s="4">
        <v>0</v>
      </c>
      <c r="S365" s="4" t="s">
        <v>214</v>
      </c>
      <c r="T365" s="4" t="s">
        <v>435</v>
      </c>
      <c r="U365" s="4">
        <v>0</v>
      </c>
      <c r="V365" s="4">
        <v>15</v>
      </c>
      <c r="W365" s="4">
        <v>65</v>
      </c>
    </row>
    <row r="366" spans="1:23" ht="11.25" customHeight="1" x14ac:dyDescent="0.3">
      <c r="A366" s="4" t="s">
        <v>21</v>
      </c>
      <c r="B366" s="4" t="s">
        <v>39</v>
      </c>
      <c r="C366" s="4" t="s">
        <v>40</v>
      </c>
      <c r="D366" s="4" t="s">
        <v>46</v>
      </c>
      <c r="E366" s="4" t="s">
        <v>25</v>
      </c>
      <c r="F366" s="4" t="s">
        <v>25</v>
      </c>
      <c r="G366" s="4" t="s">
        <v>25</v>
      </c>
      <c r="H366" s="4" t="s">
        <v>34</v>
      </c>
      <c r="I366" s="5">
        <v>44593</v>
      </c>
      <c r="J366" s="6">
        <v>0</v>
      </c>
      <c r="K366" s="6">
        <v>0</v>
      </c>
      <c r="L366" s="6">
        <v>3.3050000000000002</v>
      </c>
      <c r="M366" s="6">
        <v>3.3050000000000002</v>
      </c>
      <c r="N366" s="6">
        <v>3.3050000000000002</v>
      </c>
      <c r="O366" s="6">
        <v>3.3050000000000002</v>
      </c>
      <c r="P366" s="6">
        <v>0</v>
      </c>
      <c r="Q366" s="4" t="s">
        <v>26</v>
      </c>
      <c r="R366" s="4">
        <v>0</v>
      </c>
      <c r="S366" s="4" t="s">
        <v>215</v>
      </c>
      <c r="T366" s="4" t="s">
        <v>436</v>
      </c>
      <c r="U366" s="4">
        <v>0</v>
      </c>
      <c r="V366" s="4">
        <v>15</v>
      </c>
      <c r="W366" s="4">
        <v>65</v>
      </c>
    </row>
    <row r="367" spans="1:23" ht="11.25" customHeight="1" x14ac:dyDescent="0.3">
      <c r="A367" s="4" t="s">
        <v>28</v>
      </c>
      <c r="B367" s="4" t="s">
        <v>39</v>
      </c>
      <c r="C367" s="4" t="s">
        <v>40</v>
      </c>
      <c r="D367" s="4" t="s">
        <v>46</v>
      </c>
      <c r="E367" s="4" t="s">
        <v>25</v>
      </c>
      <c r="F367" s="4" t="s">
        <v>25</v>
      </c>
      <c r="G367" s="4" t="s">
        <v>25</v>
      </c>
      <c r="H367" s="4" t="s">
        <v>34</v>
      </c>
      <c r="I367" s="5">
        <v>44593</v>
      </c>
      <c r="J367" s="6">
        <v>0</v>
      </c>
      <c r="K367" s="6">
        <v>0</v>
      </c>
      <c r="L367" s="6">
        <v>2.9140000000000001</v>
      </c>
      <c r="M367" s="6">
        <v>2.9140000000000001</v>
      </c>
      <c r="N367" s="6">
        <v>2.9140000000000001</v>
      </c>
      <c r="O367" s="6">
        <v>2.9140000000000001</v>
      </c>
      <c r="P367" s="6">
        <v>0</v>
      </c>
      <c r="Q367" s="4" t="s">
        <v>26</v>
      </c>
      <c r="R367" s="4">
        <v>0</v>
      </c>
      <c r="S367" s="4" t="s">
        <v>215</v>
      </c>
      <c r="T367" s="4" t="s">
        <v>436</v>
      </c>
      <c r="U367" s="4">
        <v>0</v>
      </c>
      <c r="V367" s="4">
        <v>15</v>
      </c>
      <c r="W367" s="4">
        <v>65</v>
      </c>
    </row>
    <row r="368" spans="1:23" ht="11.25" customHeight="1" x14ac:dyDescent="0.3">
      <c r="A368" s="4" t="s">
        <v>21</v>
      </c>
      <c r="B368" s="4" t="s">
        <v>39</v>
      </c>
      <c r="C368" s="4" t="s">
        <v>40</v>
      </c>
      <c r="D368" s="4" t="s">
        <v>46</v>
      </c>
      <c r="E368" s="4" t="s">
        <v>25</v>
      </c>
      <c r="F368" s="4" t="s">
        <v>25</v>
      </c>
      <c r="G368" s="4" t="s">
        <v>25</v>
      </c>
      <c r="H368" s="4" t="s">
        <v>34</v>
      </c>
      <c r="I368" s="5">
        <v>44621</v>
      </c>
      <c r="J368" s="6">
        <v>0</v>
      </c>
      <c r="K368" s="6">
        <v>0</v>
      </c>
      <c r="L368" s="6">
        <v>3.7040000000000002</v>
      </c>
      <c r="M368" s="6">
        <v>3.7040000000000002</v>
      </c>
      <c r="N368" s="6">
        <v>3.7040000000000002</v>
      </c>
      <c r="O368" s="6">
        <v>3.7040000000000002</v>
      </c>
      <c r="P368" s="6">
        <v>0</v>
      </c>
      <c r="Q368" s="4" t="s">
        <v>26</v>
      </c>
      <c r="R368" s="4">
        <v>0</v>
      </c>
      <c r="S368" s="4" t="s">
        <v>216</v>
      </c>
      <c r="T368" s="4" t="s">
        <v>437</v>
      </c>
      <c r="U368" s="4">
        <v>0</v>
      </c>
      <c r="V368" s="4">
        <v>15</v>
      </c>
      <c r="W368" s="4">
        <v>65</v>
      </c>
    </row>
    <row r="369" spans="1:23" ht="11.25" customHeight="1" x14ac:dyDescent="0.3">
      <c r="A369" s="4" t="s">
        <v>28</v>
      </c>
      <c r="B369" s="4" t="s">
        <v>39</v>
      </c>
      <c r="C369" s="4" t="s">
        <v>40</v>
      </c>
      <c r="D369" s="4" t="s">
        <v>46</v>
      </c>
      <c r="E369" s="4" t="s">
        <v>25</v>
      </c>
      <c r="F369" s="4" t="s">
        <v>25</v>
      </c>
      <c r="G369" s="4" t="s">
        <v>25</v>
      </c>
      <c r="H369" s="4" t="s">
        <v>34</v>
      </c>
      <c r="I369" s="5">
        <v>44621</v>
      </c>
      <c r="J369" s="6">
        <v>0</v>
      </c>
      <c r="K369" s="6">
        <v>0</v>
      </c>
      <c r="L369" s="6">
        <v>6.8840000000000003</v>
      </c>
      <c r="M369" s="6">
        <v>6.8840000000000003</v>
      </c>
      <c r="N369" s="6">
        <v>6.8840000000000003</v>
      </c>
      <c r="O369" s="6">
        <v>6.8840000000000003</v>
      </c>
      <c r="P369" s="6">
        <v>0</v>
      </c>
      <c r="Q369" s="4" t="s">
        <v>26</v>
      </c>
      <c r="R369" s="4">
        <v>0</v>
      </c>
      <c r="S369" s="4" t="s">
        <v>216</v>
      </c>
      <c r="T369" s="4" t="s">
        <v>437</v>
      </c>
      <c r="U369" s="4">
        <v>0</v>
      </c>
      <c r="V369" s="4">
        <v>15</v>
      </c>
      <c r="W369" s="4">
        <v>65</v>
      </c>
    </row>
    <row r="370" spans="1:23" ht="11.25" customHeight="1" x14ac:dyDescent="0.3">
      <c r="A370" s="4" t="s">
        <v>21</v>
      </c>
      <c r="B370" s="4" t="s">
        <v>39</v>
      </c>
      <c r="C370" s="4" t="s">
        <v>40</v>
      </c>
      <c r="D370" s="4" t="s">
        <v>46</v>
      </c>
      <c r="E370" s="4" t="s">
        <v>25</v>
      </c>
      <c r="F370" s="4" t="s">
        <v>25</v>
      </c>
      <c r="G370" s="4" t="s">
        <v>25</v>
      </c>
      <c r="H370" s="4" t="s">
        <v>34</v>
      </c>
      <c r="I370" s="5">
        <v>44652</v>
      </c>
      <c r="J370" s="6">
        <v>0</v>
      </c>
      <c r="K370" s="6">
        <v>0</v>
      </c>
      <c r="L370" s="6">
        <v>3.448</v>
      </c>
      <c r="M370" s="6">
        <v>3.448</v>
      </c>
      <c r="N370" s="6">
        <v>3.448</v>
      </c>
      <c r="O370" s="6">
        <v>3.448</v>
      </c>
      <c r="P370" s="6">
        <v>0</v>
      </c>
      <c r="Q370" s="4" t="s">
        <v>26</v>
      </c>
      <c r="R370" s="4">
        <v>0</v>
      </c>
      <c r="S370" s="4" t="s">
        <v>217</v>
      </c>
      <c r="T370" s="4" t="s">
        <v>438</v>
      </c>
      <c r="U370" s="4">
        <v>0</v>
      </c>
      <c r="V370" s="4">
        <v>15</v>
      </c>
      <c r="W370" s="4">
        <v>65</v>
      </c>
    </row>
    <row r="371" spans="1:23" ht="11.25" customHeight="1" x14ac:dyDescent="0.3">
      <c r="A371" s="4" t="s">
        <v>28</v>
      </c>
      <c r="B371" s="4" t="s">
        <v>39</v>
      </c>
      <c r="C371" s="4" t="s">
        <v>40</v>
      </c>
      <c r="D371" s="4" t="s">
        <v>46</v>
      </c>
      <c r="E371" s="4" t="s">
        <v>25</v>
      </c>
      <c r="F371" s="4" t="s">
        <v>25</v>
      </c>
      <c r="G371" s="4" t="s">
        <v>25</v>
      </c>
      <c r="H371" s="4" t="s">
        <v>34</v>
      </c>
      <c r="I371" s="5">
        <v>44652</v>
      </c>
      <c r="J371" s="6">
        <v>0</v>
      </c>
      <c r="K371" s="6">
        <v>0</v>
      </c>
      <c r="L371" s="6">
        <v>6.7949999999999999</v>
      </c>
      <c r="M371" s="6">
        <v>6.7949999999999999</v>
      </c>
      <c r="N371" s="6">
        <v>6.7949999999999999</v>
      </c>
      <c r="O371" s="6">
        <v>6.7949999999999999</v>
      </c>
      <c r="P371" s="6">
        <v>0</v>
      </c>
      <c r="Q371" s="4" t="s">
        <v>26</v>
      </c>
      <c r="R371" s="4">
        <v>0</v>
      </c>
      <c r="S371" s="4" t="s">
        <v>217</v>
      </c>
      <c r="T371" s="4" t="s">
        <v>438</v>
      </c>
      <c r="U371" s="4">
        <v>0</v>
      </c>
      <c r="V371" s="4">
        <v>15</v>
      </c>
      <c r="W371" s="4">
        <v>65</v>
      </c>
    </row>
    <row r="372" spans="1:23" ht="11.25" customHeight="1" x14ac:dyDescent="0.3">
      <c r="A372" s="4" t="s">
        <v>21</v>
      </c>
      <c r="B372" s="4" t="s">
        <v>39</v>
      </c>
      <c r="C372" s="4" t="s">
        <v>40</v>
      </c>
      <c r="D372" s="4" t="s">
        <v>46</v>
      </c>
      <c r="E372" s="4" t="s">
        <v>25</v>
      </c>
      <c r="F372" s="4" t="s">
        <v>25</v>
      </c>
      <c r="G372" s="4" t="s">
        <v>25</v>
      </c>
      <c r="H372" s="4" t="s">
        <v>34</v>
      </c>
      <c r="I372" s="5">
        <v>44682</v>
      </c>
      <c r="J372" s="6">
        <v>0</v>
      </c>
      <c r="K372" s="6">
        <v>0</v>
      </c>
      <c r="L372" s="6">
        <v>3.4220000000000002</v>
      </c>
      <c r="M372" s="6">
        <v>3.4220000000000002</v>
      </c>
      <c r="N372" s="6">
        <v>3.4220000000000002</v>
      </c>
      <c r="O372" s="6">
        <v>3.4220000000000002</v>
      </c>
      <c r="P372" s="6">
        <v>0</v>
      </c>
      <c r="Q372" s="4" t="s">
        <v>26</v>
      </c>
      <c r="R372" s="4">
        <v>0</v>
      </c>
      <c r="S372" s="4" t="s">
        <v>218</v>
      </c>
      <c r="T372" s="4" t="s">
        <v>439</v>
      </c>
      <c r="U372" s="4">
        <v>0</v>
      </c>
      <c r="V372" s="4">
        <v>15</v>
      </c>
      <c r="W372" s="4">
        <v>65</v>
      </c>
    </row>
    <row r="373" spans="1:23" ht="11.25" customHeight="1" x14ac:dyDescent="0.3">
      <c r="A373" s="4" t="s">
        <v>28</v>
      </c>
      <c r="B373" s="4" t="s">
        <v>39</v>
      </c>
      <c r="C373" s="4" t="s">
        <v>40</v>
      </c>
      <c r="D373" s="4" t="s">
        <v>46</v>
      </c>
      <c r="E373" s="4" t="s">
        <v>25</v>
      </c>
      <c r="F373" s="4" t="s">
        <v>25</v>
      </c>
      <c r="G373" s="4" t="s">
        <v>25</v>
      </c>
      <c r="H373" s="4" t="s">
        <v>34</v>
      </c>
      <c r="I373" s="5">
        <v>44682</v>
      </c>
      <c r="J373" s="6">
        <v>0</v>
      </c>
      <c r="K373" s="6">
        <v>0</v>
      </c>
      <c r="L373" s="6">
        <v>7.2409999999999997</v>
      </c>
      <c r="M373" s="6">
        <v>7.2409999999999997</v>
      </c>
      <c r="N373" s="6">
        <v>7.2409999999999997</v>
      </c>
      <c r="O373" s="6">
        <v>7.2409999999999997</v>
      </c>
      <c r="P373" s="6">
        <v>0</v>
      </c>
      <c r="Q373" s="4" t="s">
        <v>26</v>
      </c>
      <c r="R373" s="4">
        <v>0</v>
      </c>
      <c r="S373" s="4" t="s">
        <v>218</v>
      </c>
      <c r="T373" s="4" t="s">
        <v>439</v>
      </c>
      <c r="U373" s="4">
        <v>0</v>
      </c>
      <c r="V373" s="4">
        <v>15</v>
      </c>
      <c r="W373" s="4">
        <v>65</v>
      </c>
    </row>
    <row r="374" spans="1:23" ht="11.25" customHeight="1" x14ac:dyDescent="0.3">
      <c r="A374" s="4" t="s">
        <v>21</v>
      </c>
      <c r="B374" s="4" t="s">
        <v>39</v>
      </c>
      <c r="C374" s="4" t="s">
        <v>40</v>
      </c>
      <c r="D374" s="4" t="s">
        <v>46</v>
      </c>
      <c r="E374" s="4" t="s">
        <v>25</v>
      </c>
      <c r="F374" s="4" t="s">
        <v>25</v>
      </c>
      <c r="G374" s="4" t="s">
        <v>25</v>
      </c>
      <c r="H374" s="4" t="s">
        <v>34</v>
      </c>
      <c r="I374" s="5">
        <v>44713</v>
      </c>
      <c r="J374" s="6">
        <v>0</v>
      </c>
      <c r="K374" s="6">
        <v>0</v>
      </c>
      <c r="L374" s="6">
        <v>3.3050000000000002</v>
      </c>
      <c r="M374" s="6">
        <v>3.3050000000000002</v>
      </c>
      <c r="N374" s="6">
        <v>3.3050000000000002</v>
      </c>
      <c r="O374" s="6">
        <v>3.3050000000000002</v>
      </c>
      <c r="P374" s="6">
        <v>0</v>
      </c>
      <c r="Q374" s="4" t="s">
        <v>26</v>
      </c>
      <c r="R374" s="4">
        <v>0</v>
      </c>
      <c r="S374" s="4" t="s">
        <v>219</v>
      </c>
      <c r="T374" s="4" t="s">
        <v>440</v>
      </c>
      <c r="U374" s="4">
        <v>0</v>
      </c>
      <c r="V374" s="4">
        <v>15</v>
      </c>
      <c r="W374" s="4">
        <v>65</v>
      </c>
    </row>
    <row r="375" spans="1:23" ht="11.25" customHeight="1" x14ac:dyDescent="0.3">
      <c r="A375" s="4" t="s">
        <v>28</v>
      </c>
      <c r="B375" s="4" t="s">
        <v>39</v>
      </c>
      <c r="C375" s="4" t="s">
        <v>40</v>
      </c>
      <c r="D375" s="4" t="s">
        <v>46</v>
      </c>
      <c r="E375" s="4" t="s">
        <v>25</v>
      </c>
      <c r="F375" s="4" t="s">
        <v>25</v>
      </c>
      <c r="G375" s="4" t="s">
        <v>25</v>
      </c>
      <c r="H375" s="4" t="s">
        <v>34</v>
      </c>
      <c r="I375" s="5">
        <v>44713</v>
      </c>
      <c r="J375" s="6">
        <v>0</v>
      </c>
      <c r="K375" s="6">
        <v>0</v>
      </c>
      <c r="L375" s="6">
        <v>6.1420000000000003</v>
      </c>
      <c r="M375" s="6">
        <v>6.1420000000000003</v>
      </c>
      <c r="N375" s="6">
        <v>6.1420000000000003</v>
      </c>
      <c r="O375" s="6">
        <v>6.1420000000000003</v>
      </c>
      <c r="P375" s="6">
        <v>0</v>
      </c>
      <c r="Q375" s="4" t="s">
        <v>26</v>
      </c>
      <c r="R375" s="4">
        <v>0</v>
      </c>
      <c r="S375" s="4" t="s">
        <v>219</v>
      </c>
      <c r="T375" s="4" t="s">
        <v>440</v>
      </c>
      <c r="U375" s="4">
        <v>0</v>
      </c>
      <c r="V375" s="4">
        <v>15</v>
      </c>
      <c r="W375" s="4">
        <v>65</v>
      </c>
    </row>
    <row r="376" spans="1:23" ht="11.25" customHeight="1" x14ac:dyDescent="0.3">
      <c r="A376" s="4" t="s">
        <v>21</v>
      </c>
      <c r="B376" s="4" t="s">
        <v>39</v>
      </c>
      <c r="C376" s="4" t="s">
        <v>40</v>
      </c>
      <c r="D376" s="4" t="s">
        <v>46</v>
      </c>
      <c r="E376" s="4" t="s">
        <v>25</v>
      </c>
      <c r="F376" s="4" t="s">
        <v>25</v>
      </c>
      <c r="G376" s="4" t="s">
        <v>25</v>
      </c>
      <c r="H376" s="4" t="s">
        <v>34</v>
      </c>
      <c r="I376" s="5">
        <v>44743</v>
      </c>
      <c r="J376" s="6">
        <v>0</v>
      </c>
      <c r="K376" s="6">
        <v>0</v>
      </c>
      <c r="L376" s="6">
        <v>2.6240000000000001</v>
      </c>
      <c r="M376" s="6">
        <v>2.6240000000000001</v>
      </c>
      <c r="N376" s="6">
        <v>2.6240000000000001</v>
      </c>
      <c r="O376" s="6">
        <v>2.6240000000000001</v>
      </c>
      <c r="P376" s="6">
        <v>0</v>
      </c>
      <c r="Q376" s="4" t="s">
        <v>26</v>
      </c>
      <c r="R376" s="4">
        <v>0</v>
      </c>
      <c r="S376" s="4" t="s">
        <v>220</v>
      </c>
      <c r="T376" s="4" t="s">
        <v>441</v>
      </c>
      <c r="U376" s="4">
        <v>0</v>
      </c>
      <c r="V376" s="4">
        <v>15</v>
      </c>
      <c r="W376" s="4">
        <v>65</v>
      </c>
    </row>
    <row r="377" spans="1:23" ht="11.25" customHeight="1" x14ac:dyDescent="0.3">
      <c r="A377" s="4" t="s">
        <v>28</v>
      </c>
      <c r="B377" s="4" t="s">
        <v>39</v>
      </c>
      <c r="C377" s="4" t="s">
        <v>40</v>
      </c>
      <c r="D377" s="4" t="s">
        <v>46</v>
      </c>
      <c r="E377" s="4" t="s">
        <v>25</v>
      </c>
      <c r="F377" s="4" t="s">
        <v>25</v>
      </c>
      <c r="G377" s="4" t="s">
        <v>25</v>
      </c>
      <c r="H377" s="4" t="s">
        <v>34</v>
      </c>
      <c r="I377" s="5">
        <v>44743</v>
      </c>
      <c r="J377" s="6">
        <v>0</v>
      </c>
      <c r="K377" s="6">
        <v>0</v>
      </c>
      <c r="L377" s="6">
        <v>3.996</v>
      </c>
      <c r="M377" s="6">
        <v>3.996</v>
      </c>
      <c r="N377" s="6">
        <v>3.996</v>
      </c>
      <c r="O377" s="6">
        <v>3.996</v>
      </c>
      <c r="P377" s="6">
        <v>0</v>
      </c>
      <c r="Q377" s="4" t="s">
        <v>26</v>
      </c>
      <c r="R377" s="4">
        <v>0</v>
      </c>
      <c r="S377" s="4" t="s">
        <v>220</v>
      </c>
      <c r="T377" s="4" t="s">
        <v>441</v>
      </c>
      <c r="U377" s="4">
        <v>0</v>
      </c>
      <c r="V377" s="4">
        <v>15</v>
      </c>
      <c r="W377" s="4">
        <v>65</v>
      </c>
    </row>
    <row r="378" spans="1:23" ht="11.25" customHeight="1" x14ac:dyDescent="0.3">
      <c r="A378" s="4" t="s">
        <v>21</v>
      </c>
      <c r="B378" s="4" t="s">
        <v>39</v>
      </c>
      <c r="C378" s="4" t="s">
        <v>40</v>
      </c>
      <c r="D378" s="4" t="s">
        <v>46</v>
      </c>
      <c r="E378" s="4" t="s">
        <v>25</v>
      </c>
      <c r="F378" s="4" t="s">
        <v>25</v>
      </c>
      <c r="G378" s="4" t="s">
        <v>25</v>
      </c>
      <c r="H378" s="4" t="s">
        <v>34</v>
      </c>
      <c r="I378" s="5">
        <v>44774</v>
      </c>
      <c r="J378" s="6">
        <v>0</v>
      </c>
      <c r="K378" s="6">
        <v>0</v>
      </c>
      <c r="L378" s="6">
        <v>4.0730000000000004</v>
      </c>
      <c r="M378" s="6">
        <v>4.0730000000000004</v>
      </c>
      <c r="N378" s="6">
        <v>4.0730000000000004</v>
      </c>
      <c r="O378" s="6">
        <v>4.0730000000000004</v>
      </c>
      <c r="P378" s="6">
        <v>0</v>
      </c>
      <c r="Q378" s="4" t="s">
        <v>26</v>
      </c>
      <c r="R378" s="4">
        <v>0</v>
      </c>
      <c r="S378" s="4" t="s">
        <v>221</v>
      </c>
      <c r="T378" s="4" t="s">
        <v>442</v>
      </c>
      <c r="U378" s="4">
        <v>0</v>
      </c>
      <c r="V378" s="4">
        <v>15</v>
      </c>
      <c r="W378" s="4">
        <v>65</v>
      </c>
    </row>
    <row r="379" spans="1:23" ht="11.25" customHeight="1" x14ac:dyDescent="0.3">
      <c r="A379" s="4" t="s">
        <v>28</v>
      </c>
      <c r="B379" s="4" t="s">
        <v>39</v>
      </c>
      <c r="C379" s="4" t="s">
        <v>40</v>
      </c>
      <c r="D379" s="4" t="s">
        <v>46</v>
      </c>
      <c r="E379" s="4" t="s">
        <v>25</v>
      </c>
      <c r="F379" s="4" t="s">
        <v>25</v>
      </c>
      <c r="G379" s="4" t="s">
        <v>25</v>
      </c>
      <c r="H379" s="4" t="s">
        <v>34</v>
      </c>
      <c r="I379" s="5">
        <v>44774</v>
      </c>
      <c r="J379" s="6">
        <v>0</v>
      </c>
      <c r="K379" s="6">
        <v>0</v>
      </c>
      <c r="L379" s="6">
        <v>6.8949999999999996</v>
      </c>
      <c r="M379" s="6">
        <v>6.8949999999999996</v>
      </c>
      <c r="N379" s="6">
        <v>6.8949999999999996</v>
      </c>
      <c r="O379" s="6">
        <v>6.8949999999999996</v>
      </c>
      <c r="P379" s="6">
        <v>0</v>
      </c>
      <c r="Q379" s="4" t="s">
        <v>26</v>
      </c>
      <c r="R379" s="4">
        <v>0</v>
      </c>
      <c r="S379" s="4" t="s">
        <v>221</v>
      </c>
      <c r="T379" s="4" t="s">
        <v>442</v>
      </c>
      <c r="U379" s="4">
        <v>0</v>
      </c>
      <c r="V379" s="4">
        <v>15</v>
      </c>
      <c r="W379" s="4">
        <v>65</v>
      </c>
    </row>
    <row r="380" spans="1:23" ht="11.25" customHeight="1" x14ac:dyDescent="0.3">
      <c r="A380" s="4" t="s">
        <v>21</v>
      </c>
      <c r="B380" s="4" t="s">
        <v>39</v>
      </c>
      <c r="C380" s="4" t="s">
        <v>40</v>
      </c>
      <c r="D380" s="4" t="s">
        <v>46</v>
      </c>
      <c r="E380" s="4" t="s">
        <v>25</v>
      </c>
      <c r="F380" s="4" t="s">
        <v>25</v>
      </c>
      <c r="G380" s="4" t="s">
        <v>25</v>
      </c>
      <c r="H380" s="4" t="s">
        <v>34</v>
      </c>
      <c r="I380" s="5">
        <v>44805</v>
      </c>
      <c r="J380" s="6">
        <v>0</v>
      </c>
      <c r="K380" s="6">
        <v>0</v>
      </c>
      <c r="L380" s="6">
        <v>4.0110000000000001</v>
      </c>
      <c r="M380" s="6">
        <v>4.0110000000000001</v>
      </c>
      <c r="N380" s="6">
        <v>4.0110000000000001</v>
      </c>
      <c r="O380" s="6">
        <v>4.0110000000000001</v>
      </c>
      <c r="P380" s="6">
        <v>0</v>
      </c>
      <c r="Q380" s="4" t="s">
        <v>26</v>
      </c>
      <c r="R380" s="4">
        <v>0</v>
      </c>
      <c r="S380" s="4" t="s">
        <v>222</v>
      </c>
      <c r="T380" s="4" t="s">
        <v>443</v>
      </c>
      <c r="U380" s="4">
        <v>0</v>
      </c>
      <c r="V380" s="4">
        <v>15</v>
      </c>
      <c r="W380" s="4">
        <v>65</v>
      </c>
    </row>
    <row r="381" spans="1:23" ht="11.25" customHeight="1" x14ac:dyDescent="0.3">
      <c r="A381" s="4" t="s">
        <v>28</v>
      </c>
      <c r="B381" s="4" t="s">
        <v>39</v>
      </c>
      <c r="C381" s="4" t="s">
        <v>40</v>
      </c>
      <c r="D381" s="4" t="s">
        <v>46</v>
      </c>
      <c r="E381" s="4" t="s">
        <v>25</v>
      </c>
      <c r="F381" s="4" t="s">
        <v>25</v>
      </c>
      <c r="G381" s="4" t="s">
        <v>25</v>
      </c>
      <c r="H381" s="4" t="s">
        <v>34</v>
      </c>
      <c r="I381" s="5">
        <v>44805</v>
      </c>
      <c r="J381" s="6">
        <v>0</v>
      </c>
      <c r="K381" s="6">
        <v>0</v>
      </c>
      <c r="L381" s="6">
        <v>8.4139999999999997</v>
      </c>
      <c r="M381" s="6">
        <v>8.4139999999999997</v>
      </c>
      <c r="N381" s="6">
        <v>8.4139999999999997</v>
      </c>
      <c r="O381" s="6">
        <v>8.4139999999999997</v>
      </c>
      <c r="P381" s="6">
        <v>0</v>
      </c>
      <c r="Q381" s="4" t="s">
        <v>26</v>
      </c>
      <c r="R381" s="4">
        <v>0</v>
      </c>
      <c r="S381" s="4" t="s">
        <v>222</v>
      </c>
      <c r="T381" s="4" t="s">
        <v>443</v>
      </c>
      <c r="U381" s="4">
        <v>0</v>
      </c>
      <c r="V381" s="4">
        <v>15</v>
      </c>
      <c r="W381" s="4">
        <v>65</v>
      </c>
    </row>
    <row r="382" spans="1:23" ht="11.25" customHeight="1" x14ac:dyDescent="0.3">
      <c r="A382" s="4" t="s">
        <v>57</v>
      </c>
      <c r="B382" s="4" t="s">
        <v>39</v>
      </c>
      <c r="C382" s="4" t="s">
        <v>40</v>
      </c>
      <c r="D382" s="4" t="s">
        <v>46</v>
      </c>
      <c r="E382" s="4" t="s">
        <v>25</v>
      </c>
      <c r="F382" s="4" t="s">
        <v>25</v>
      </c>
      <c r="G382" s="4" t="s">
        <v>25</v>
      </c>
      <c r="H382" s="4" t="s">
        <v>34</v>
      </c>
      <c r="I382" s="5">
        <v>44835</v>
      </c>
      <c r="J382" s="6">
        <v>0</v>
      </c>
      <c r="K382" s="6">
        <v>0</v>
      </c>
      <c r="L382" s="6">
        <v>4.0110000000000001</v>
      </c>
      <c r="M382" s="6">
        <v>4.0110000000000001</v>
      </c>
      <c r="N382" s="6">
        <v>4.0110000000000001</v>
      </c>
      <c r="O382" s="6">
        <v>4.0110000000000001</v>
      </c>
      <c r="P382" s="6">
        <v>0</v>
      </c>
      <c r="Q382" s="4" t="s">
        <v>26</v>
      </c>
      <c r="R382" s="4">
        <v>0</v>
      </c>
      <c r="S382" s="4" t="s">
        <v>223</v>
      </c>
      <c r="T382" s="4" t="s">
        <v>444</v>
      </c>
      <c r="U382" s="4">
        <v>0</v>
      </c>
      <c r="V382" s="4">
        <v>15</v>
      </c>
      <c r="W382" s="4">
        <v>65</v>
      </c>
    </row>
    <row r="383" spans="1:23" ht="11.25" customHeight="1" x14ac:dyDescent="0.3">
      <c r="A383" s="4" t="s">
        <v>57</v>
      </c>
      <c r="B383" s="4" t="s">
        <v>39</v>
      </c>
      <c r="C383" s="4" t="s">
        <v>40</v>
      </c>
      <c r="D383" s="4" t="s">
        <v>46</v>
      </c>
      <c r="E383" s="4" t="s">
        <v>25</v>
      </c>
      <c r="F383" s="4" t="s">
        <v>25</v>
      </c>
      <c r="G383" s="4" t="s">
        <v>25</v>
      </c>
      <c r="H383" s="4" t="s">
        <v>34</v>
      </c>
      <c r="I383" s="5">
        <v>44835</v>
      </c>
      <c r="J383" s="6">
        <v>0</v>
      </c>
      <c r="K383" s="6">
        <v>0</v>
      </c>
      <c r="L383" s="6">
        <v>8.4139999999999997</v>
      </c>
      <c r="M383" s="6">
        <v>8.4139999999999997</v>
      </c>
      <c r="N383" s="6">
        <v>8.4139999999999997</v>
      </c>
      <c r="O383" s="6">
        <v>8.4139999999999997</v>
      </c>
      <c r="P383" s="6">
        <v>0</v>
      </c>
      <c r="Q383" s="4" t="s">
        <v>26</v>
      </c>
      <c r="R383" s="4">
        <v>0</v>
      </c>
      <c r="S383" s="4" t="s">
        <v>223</v>
      </c>
      <c r="T383" s="4" t="s">
        <v>444</v>
      </c>
      <c r="U383" s="4">
        <v>0</v>
      </c>
      <c r="V383" s="4">
        <v>15</v>
      </c>
      <c r="W383" s="4">
        <v>65</v>
      </c>
    </row>
    <row r="384" spans="1:23" ht="11.25" customHeight="1" x14ac:dyDescent="0.3">
      <c r="A384" s="4" t="s">
        <v>21</v>
      </c>
      <c r="B384" s="4" t="s">
        <v>39</v>
      </c>
      <c r="C384" s="4" t="s">
        <v>40</v>
      </c>
      <c r="D384" s="4" t="s">
        <v>44</v>
      </c>
      <c r="E384" s="4" t="s">
        <v>53</v>
      </c>
      <c r="F384" s="4" t="s">
        <v>55</v>
      </c>
      <c r="G384" s="4" t="s">
        <v>25</v>
      </c>
      <c r="H384" s="4" t="s">
        <v>35</v>
      </c>
      <c r="I384" s="5">
        <v>44501</v>
      </c>
      <c r="J384" s="6">
        <v>0</v>
      </c>
      <c r="K384" s="6">
        <v>0</v>
      </c>
      <c r="L384" s="6">
        <v>10.618</v>
      </c>
      <c r="M384" s="6">
        <v>2.1236000000000002</v>
      </c>
      <c r="N384" s="6">
        <v>10.618</v>
      </c>
      <c r="O384" s="6">
        <v>2.1236000000000002</v>
      </c>
      <c r="P384" s="6">
        <v>0</v>
      </c>
      <c r="Q384" s="4" t="s">
        <v>26</v>
      </c>
      <c r="R384" s="4">
        <v>0</v>
      </c>
      <c r="S384" s="4" t="s">
        <v>188</v>
      </c>
      <c r="T384" s="4" t="s">
        <v>421</v>
      </c>
      <c r="U384" s="4">
        <v>0</v>
      </c>
      <c r="V384" s="4">
        <v>17</v>
      </c>
      <c r="W384" s="4">
        <v>66</v>
      </c>
    </row>
    <row r="385" spans="1:23" ht="11.25" customHeight="1" x14ac:dyDescent="0.3">
      <c r="A385" s="4" t="s">
        <v>21</v>
      </c>
      <c r="B385" s="4" t="s">
        <v>39</v>
      </c>
      <c r="C385" s="4" t="s">
        <v>40</v>
      </c>
      <c r="D385" s="4" t="s">
        <v>44</v>
      </c>
      <c r="E385" s="4" t="s">
        <v>53</v>
      </c>
      <c r="F385" s="4" t="s">
        <v>55</v>
      </c>
      <c r="G385" s="4" t="s">
        <v>25</v>
      </c>
      <c r="H385" s="4" t="s">
        <v>35</v>
      </c>
      <c r="I385" s="5">
        <v>44531</v>
      </c>
      <c r="J385" s="6">
        <v>0</v>
      </c>
      <c r="K385" s="6">
        <v>0</v>
      </c>
      <c r="L385" s="6">
        <v>1.8220000000000001</v>
      </c>
      <c r="M385" s="6">
        <v>0.3644</v>
      </c>
      <c r="N385" s="6">
        <v>1.8220000000000001</v>
      </c>
      <c r="O385" s="6">
        <v>0.3644</v>
      </c>
      <c r="P385" s="6">
        <v>0</v>
      </c>
      <c r="Q385" s="4" t="s">
        <v>26</v>
      </c>
      <c r="R385" s="4">
        <v>0</v>
      </c>
      <c r="S385" s="4" t="s">
        <v>189</v>
      </c>
      <c r="T385" s="4" t="s">
        <v>422</v>
      </c>
      <c r="U385" s="4">
        <v>0</v>
      </c>
      <c r="V385" s="4">
        <v>17</v>
      </c>
      <c r="W385" s="4">
        <v>66</v>
      </c>
    </row>
    <row r="386" spans="1:23" ht="11.25" customHeight="1" x14ac:dyDescent="0.3">
      <c r="A386" s="4" t="s">
        <v>21</v>
      </c>
      <c r="B386" s="4" t="s">
        <v>39</v>
      </c>
      <c r="C386" s="4" t="s">
        <v>40</v>
      </c>
      <c r="D386" s="4" t="s">
        <v>44</v>
      </c>
      <c r="E386" s="4" t="s">
        <v>53</v>
      </c>
      <c r="F386" s="4" t="s">
        <v>55</v>
      </c>
      <c r="G386" s="4" t="s">
        <v>25</v>
      </c>
      <c r="H386" s="4" t="s">
        <v>35</v>
      </c>
      <c r="I386" s="5">
        <v>44562</v>
      </c>
      <c r="J386" s="6">
        <v>0</v>
      </c>
      <c r="K386" s="6">
        <v>0</v>
      </c>
      <c r="L386" s="6">
        <v>10.122999999999999</v>
      </c>
      <c r="M386" s="6">
        <v>2.0246</v>
      </c>
      <c r="N386" s="6">
        <v>10.122999999999999</v>
      </c>
      <c r="O386" s="6">
        <v>2.0246</v>
      </c>
      <c r="P386" s="6">
        <v>0</v>
      </c>
      <c r="Q386" s="4" t="s">
        <v>26</v>
      </c>
      <c r="R386" s="4">
        <v>0</v>
      </c>
      <c r="S386" s="4" t="s">
        <v>190</v>
      </c>
      <c r="T386" s="4" t="s">
        <v>423</v>
      </c>
      <c r="U386" s="4">
        <v>0</v>
      </c>
      <c r="V386" s="4">
        <v>17</v>
      </c>
      <c r="W386" s="4">
        <v>66</v>
      </c>
    </row>
    <row r="387" spans="1:23" ht="11.25" customHeight="1" x14ac:dyDescent="0.3">
      <c r="A387" s="4" t="s">
        <v>21</v>
      </c>
      <c r="B387" s="4" t="s">
        <v>39</v>
      </c>
      <c r="C387" s="4" t="s">
        <v>40</v>
      </c>
      <c r="D387" s="4" t="s">
        <v>44</v>
      </c>
      <c r="E387" s="4" t="s">
        <v>53</v>
      </c>
      <c r="F387" s="4" t="s">
        <v>55</v>
      </c>
      <c r="G387" s="4" t="s">
        <v>25</v>
      </c>
      <c r="H387" s="4" t="s">
        <v>35</v>
      </c>
      <c r="I387" s="5">
        <v>44593</v>
      </c>
      <c r="J387" s="6">
        <v>0</v>
      </c>
      <c r="K387" s="6">
        <v>0</v>
      </c>
      <c r="L387" s="6">
        <v>2.15</v>
      </c>
      <c r="M387" s="6">
        <v>0.43</v>
      </c>
      <c r="N387" s="6">
        <v>2.15</v>
      </c>
      <c r="O387" s="6">
        <v>0.43</v>
      </c>
      <c r="P387" s="6">
        <v>0</v>
      </c>
      <c r="Q387" s="4" t="s">
        <v>26</v>
      </c>
      <c r="R387" s="4">
        <v>0</v>
      </c>
      <c r="S387" s="4" t="s">
        <v>191</v>
      </c>
      <c r="T387" s="4" t="s">
        <v>424</v>
      </c>
      <c r="U387" s="4">
        <v>0</v>
      </c>
      <c r="V387" s="4">
        <v>17</v>
      </c>
      <c r="W387" s="4">
        <v>66</v>
      </c>
    </row>
    <row r="388" spans="1:23" ht="11.25" customHeight="1" x14ac:dyDescent="0.3">
      <c r="A388" s="4" t="s">
        <v>21</v>
      </c>
      <c r="B388" s="4" t="s">
        <v>39</v>
      </c>
      <c r="C388" s="4" t="s">
        <v>40</v>
      </c>
      <c r="D388" s="4" t="s">
        <v>44</v>
      </c>
      <c r="E388" s="4" t="s">
        <v>53</v>
      </c>
      <c r="F388" s="4" t="s">
        <v>55</v>
      </c>
      <c r="G388" s="4" t="s">
        <v>25</v>
      </c>
      <c r="H388" s="4" t="s">
        <v>35</v>
      </c>
      <c r="I388" s="5">
        <v>44621</v>
      </c>
      <c r="J388" s="6">
        <v>0</v>
      </c>
      <c r="K388" s="6">
        <v>0</v>
      </c>
      <c r="L388" s="6">
        <v>31.052</v>
      </c>
      <c r="M388" s="6">
        <v>6.2103999999999999</v>
      </c>
      <c r="N388" s="6">
        <v>31.052</v>
      </c>
      <c r="O388" s="6">
        <v>6.2103999999999999</v>
      </c>
      <c r="P388" s="6">
        <v>0</v>
      </c>
      <c r="Q388" s="4" t="s">
        <v>26</v>
      </c>
      <c r="R388" s="4">
        <v>0</v>
      </c>
      <c r="S388" s="4" t="s">
        <v>192</v>
      </c>
      <c r="T388" s="4" t="s">
        <v>425</v>
      </c>
      <c r="U388" s="4">
        <v>0</v>
      </c>
      <c r="V388" s="4">
        <v>17</v>
      </c>
      <c r="W388" s="4">
        <v>66</v>
      </c>
    </row>
    <row r="389" spans="1:23" ht="11.25" customHeight="1" x14ac:dyDescent="0.3">
      <c r="A389" s="4" t="s">
        <v>21</v>
      </c>
      <c r="B389" s="4" t="s">
        <v>39</v>
      </c>
      <c r="C389" s="4" t="s">
        <v>40</v>
      </c>
      <c r="D389" s="4" t="s">
        <v>44</v>
      </c>
      <c r="E389" s="4" t="s">
        <v>53</v>
      </c>
      <c r="F389" s="4" t="s">
        <v>55</v>
      </c>
      <c r="G389" s="4" t="s">
        <v>25</v>
      </c>
      <c r="H389" s="4" t="s">
        <v>35</v>
      </c>
      <c r="I389" s="5">
        <v>44652</v>
      </c>
      <c r="J389" s="6">
        <v>0</v>
      </c>
      <c r="K389" s="6">
        <v>0</v>
      </c>
      <c r="L389" s="6">
        <v>147.99100000000001</v>
      </c>
      <c r="M389" s="6">
        <v>29.598199999999999</v>
      </c>
      <c r="N389" s="6">
        <v>147.99100000000001</v>
      </c>
      <c r="O389" s="6">
        <v>29.598199999999999</v>
      </c>
      <c r="P389" s="6">
        <v>0</v>
      </c>
      <c r="Q389" s="4" t="s">
        <v>26</v>
      </c>
      <c r="R389" s="4">
        <v>0</v>
      </c>
      <c r="S389" s="4" t="s">
        <v>193</v>
      </c>
      <c r="T389" s="4" t="s">
        <v>426</v>
      </c>
      <c r="U389" s="4">
        <v>0</v>
      </c>
      <c r="V389" s="4">
        <v>17</v>
      </c>
      <c r="W389" s="4">
        <v>66</v>
      </c>
    </row>
    <row r="390" spans="1:23" ht="11.25" customHeight="1" x14ac:dyDescent="0.3">
      <c r="A390" s="4" t="s">
        <v>21</v>
      </c>
      <c r="B390" s="4" t="s">
        <v>39</v>
      </c>
      <c r="C390" s="4" t="s">
        <v>40</v>
      </c>
      <c r="D390" s="4" t="s">
        <v>44</v>
      </c>
      <c r="E390" s="4" t="s">
        <v>53</v>
      </c>
      <c r="F390" s="4" t="s">
        <v>55</v>
      </c>
      <c r="G390" s="4" t="s">
        <v>25</v>
      </c>
      <c r="H390" s="4" t="s">
        <v>35</v>
      </c>
      <c r="I390" s="5">
        <v>44682</v>
      </c>
      <c r="J390" s="6">
        <v>0</v>
      </c>
      <c r="K390" s="6">
        <v>0</v>
      </c>
      <c r="L390" s="6">
        <v>181.78399999999999</v>
      </c>
      <c r="M390" s="6">
        <v>36.3568</v>
      </c>
      <c r="N390" s="6">
        <v>181.78399999999999</v>
      </c>
      <c r="O390" s="6">
        <v>36.3568</v>
      </c>
      <c r="P390" s="6">
        <v>0</v>
      </c>
      <c r="Q390" s="4" t="s">
        <v>26</v>
      </c>
      <c r="R390" s="4">
        <v>0</v>
      </c>
      <c r="S390" s="4" t="s">
        <v>194</v>
      </c>
      <c r="T390" s="4" t="s">
        <v>427</v>
      </c>
      <c r="U390" s="4">
        <v>0</v>
      </c>
      <c r="V390" s="4">
        <v>17</v>
      </c>
      <c r="W390" s="4">
        <v>66</v>
      </c>
    </row>
    <row r="391" spans="1:23" ht="11.25" customHeight="1" x14ac:dyDescent="0.3">
      <c r="A391" s="4" t="s">
        <v>21</v>
      </c>
      <c r="B391" s="4" t="s">
        <v>39</v>
      </c>
      <c r="C391" s="4" t="s">
        <v>40</v>
      </c>
      <c r="D391" s="4" t="s">
        <v>44</v>
      </c>
      <c r="E391" s="4" t="s">
        <v>53</v>
      </c>
      <c r="F391" s="4" t="s">
        <v>55</v>
      </c>
      <c r="G391" s="4" t="s">
        <v>25</v>
      </c>
      <c r="H391" s="4" t="s">
        <v>35</v>
      </c>
      <c r="I391" s="5">
        <v>44713</v>
      </c>
      <c r="J391" s="6">
        <v>0</v>
      </c>
      <c r="K391" s="6">
        <v>0</v>
      </c>
      <c r="L391" s="6">
        <v>131.59800000000001</v>
      </c>
      <c r="M391" s="6">
        <v>26.319600000000001</v>
      </c>
      <c r="N391" s="6">
        <v>131.59800000000001</v>
      </c>
      <c r="O391" s="6">
        <v>26.319600000000001</v>
      </c>
      <c r="P391" s="6">
        <v>0</v>
      </c>
      <c r="Q391" s="4" t="s">
        <v>26</v>
      </c>
      <c r="R391" s="4">
        <v>0</v>
      </c>
      <c r="S391" s="4" t="s">
        <v>195</v>
      </c>
      <c r="T391" s="4" t="s">
        <v>428</v>
      </c>
      <c r="U391" s="4">
        <v>0</v>
      </c>
      <c r="V391" s="4">
        <v>17</v>
      </c>
      <c r="W391" s="4">
        <v>66</v>
      </c>
    </row>
    <row r="392" spans="1:23" ht="11.25" customHeight="1" x14ac:dyDescent="0.3">
      <c r="A392" s="4" t="s">
        <v>21</v>
      </c>
      <c r="B392" s="4" t="s">
        <v>39</v>
      </c>
      <c r="C392" s="4" t="s">
        <v>40</v>
      </c>
      <c r="D392" s="4" t="s">
        <v>44</v>
      </c>
      <c r="E392" s="4" t="s">
        <v>53</v>
      </c>
      <c r="F392" s="4" t="s">
        <v>55</v>
      </c>
      <c r="G392" s="4" t="s">
        <v>25</v>
      </c>
      <c r="H392" s="4" t="s">
        <v>35</v>
      </c>
      <c r="I392" s="5">
        <v>44743</v>
      </c>
      <c r="J392" s="6">
        <v>0</v>
      </c>
      <c r="K392" s="6">
        <v>0</v>
      </c>
      <c r="L392" s="6">
        <v>146.72200000000001</v>
      </c>
      <c r="M392" s="6">
        <v>29.3444</v>
      </c>
      <c r="N392" s="6">
        <v>146.72200000000001</v>
      </c>
      <c r="O392" s="6">
        <v>29.3444</v>
      </c>
      <c r="P392" s="6">
        <v>0</v>
      </c>
      <c r="Q392" s="4" t="s">
        <v>26</v>
      </c>
      <c r="R392" s="4">
        <v>0</v>
      </c>
      <c r="S392" s="4" t="s">
        <v>196</v>
      </c>
      <c r="T392" s="4" t="s">
        <v>429</v>
      </c>
      <c r="U392" s="4">
        <v>0</v>
      </c>
      <c r="V392" s="4">
        <v>17</v>
      </c>
      <c r="W392" s="4">
        <v>66</v>
      </c>
    </row>
    <row r="393" spans="1:23" ht="11.25" customHeight="1" x14ac:dyDescent="0.3">
      <c r="A393" s="4" t="s">
        <v>21</v>
      </c>
      <c r="B393" s="4" t="s">
        <v>39</v>
      </c>
      <c r="C393" s="4" t="s">
        <v>40</v>
      </c>
      <c r="D393" s="4" t="s">
        <v>44</v>
      </c>
      <c r="E393" s="4" t="s">
        <v>53</v>
      </c>
      <c r="F393" s="4" t="s">
        <v>55</v>
      </c>
      <c r="G393" s="4" t="s">
        <v>25</v>
      </c>
      <c r="H393" s="4" t="s">
        <v>35</v>
      </c>
      <c r="I393" s="5">
        <v>44774</v>
      </c>
      <c r="J393" s="6">
        <v>0</v>
      </c>
      <c r="K393" s="6">
        <v>0</v>
      </c>
      <c r="L393" s="6">
        <v>147.726</v>
      </c>
      <c r="M393" s="6">
        <v>29.545200000000001</v>
      </c>
      <c r="N393" s="6">
        <v>147.726</v>
      </c>
      <c r="O393" s="6">
        <v>29.545200000000001</v>
      </c>
      <c r="P393" s="6">
        <v>0</v>
      </c>
      <c r="Q393" s="4" t="s">
        <v>26</v>
      </c>
      <c r="R393" s="4">
        <v>0</v>
      </c>
      <c r="S393" s="4" t="s">
        <v>197</v>
      </c>
      <c r="T393" s="4" t="s">
        <v>430</v>
      </c>
      <c r="U393" s="4">
        <v>0</v>
      </c>
      <c r="V393" s="4">
        <v>17</v>
      </c>
      <c r="W393" s="4">
        <v>66</v>
      </c>
    </row>
    <row r="394" spans="1:23" ht="11.25" customHeight="1" x14ac:dyDescent="0.3">
      <c r="A394" s="4" t="s">
        <v>21</v>
      </c>
      <c r="B394" s="4" t="s">
        <v>39</v>
      </c>
      <c r="C394" s="4" t="s">
        <v>40</v>
      </c>
      <c r="D394" s="4" t="s">
        <v>44</v>
      </c>
      <c r="E394" s="4" t="s">
        <v>53</v>
      </c>
      <c r="F394" s="4" t="s">
        <v>55</v>
      </c>
      <c r="G394" s="4" t="s">
        <v>25</v>
      </c>
      <c r="H394" s="4" t="s">
        <v>35</v>
      </c>
      <c r="I394" s="5">
        <v>44805</v>
      </c>
      <c r="J394" s="6">
        <v>0</v>
      </c>
      <c r="K394" s="6">
        <v>0</v>
      </c>
      <c r="L394" s="6">
        <v>132.041</v>
      </c>
      <c r="M394" s="6">
        <v>26.408200000000001</v>
      </c>
      <c r="N394" s="6">
        <v>132.041</v>
      </c>
      <c r="O394" s="6">
        <v>26.408200000000001</v>
      </c>
      <c r="P394" s="6">
        <v>0</v>
      </c>
      <c r="Q394" s="4" t="s">
        <v>26</v>
      </c>
      <c r="R394" s="4">
        <v>0</v>
      </c>
      <c r="S394" s="4" t="s">
        <v>198</v>
      </c>
      <c r="T394" s="4" t="s">
        <v>431</v>
      </c>
      <c r="U394" s="4">
        <v>0</v>
      </c>
      <c r="V394" s="4">
        <v>17</v>
      </c>
      <c r="W394" s="4">
        <v>66</v>
      </c>
    </row>
    <row r="395" spans="1:23" ht="11.25" customHeight="1" x14ac:dyDescent="0.3">
      <c r="A395" s="4" t="s">
        <v>57</v>
      </c>
      <c r="B395" s="4" t="s">
        <v>39</v>
      </c>
      <c r="C395" s="4" t="s">
        <v>40</v>
      </c>
      <c r="D395" s="4" t="s">
        <v>44</v>
      </c>
      <c r="E395" s="4" t="s">
        <v>53</v>
      </c>
      <c r="F395" s="4" t="s">
        <v>55</v>
      </c>
      <c r="G395" s="4" t="s">
        <v>25</v>
      </c>
      <c r="H395" s="4" t="s">
        <v>35</v>
      </c>
      <c r="I395" s="5">
        <v>44835</v>
      </c>
      <c r="J395" s="6">
        <v>0</v>
      </c>
      <c r="K395" s="6">
        <v>0</v>
      </c>
      <c r="L395" s="6">
        <v>132.041</v>
      </c>
      <c r="M395" s="6">
        <v>26.408200000000001</v>
      </c>
      <c r="N395" s="6">
        <v>132.041</v>
      </c>
      <c r="O395" s="6">
        <v>26.408200000000001</v>
      </c>
      <c r="P395" s="6">
        <v>0</v>
      </c>
      <c r="Q395" s="4" t="s">
        <v>26</v>
      </c>
      <c r="R395" s="4">
        <v>0</v>
      </c>
      <c r="S395" s="4" t="s">
        <v>199</v>
      </c>
      <c r="T395" s="4" t="s">
        <v>432</v>
      </c>
      <c r="U395" s="4">
        <v>0</v>
      </c>
      <c r="V395" s="4">
        <v>17</v>
      </c>
      <c r="W395" s="4">
        <v>66</v>
      </c>
    </row>
    <row r="396" spans="1:23" ht="11.25" customHeight="1" x14ac:dyDescent="0.3">
      <c r="A396" s="4" t="s">
        <v>21</v>
      </c>
      <c r="B396" s="4" t="s">
        <v>39</v>
      </c>
      <c r="C396" s="4" t="s">
        <v>40</v>
      </c>
      <c r="D396" s="4" t="s">
        <v>44</v>
      </c>
      <c r="E396" s="4" t="s">
        <v>53</v>
      </c>
      <c r="F396" s="4" t="s">
        <v>25</v>
      </c>
      <c r="G396" s="4" t="s">
        <v>25</v>
      </c>
      <c r="H396" s="4" t="s">
        <v>35</v>
      </c>
      <c r="I396" s="5">
        <v>44501</v>
      </c>
      <c r="J396" s="6">
        <v>0</v>
      </c>
      <c r="K396" s="6">
        <v>0</v>
      </c>
      <c r="L396" s="6">
        <v>4.008</v>
      </c>
      <c r="M396" s="6">
        <v>3.84768</v>
      </c>
      <c r="N396" s="6">
        <v>4.008</v>
      </c>
      <c r="O396" s="6">
        <v>3.84768</v>
      </c>
      <c r="P396" s="6">
        <v>0</v>
      </c>
      <c r="Q396" s="4" t="s">
        <v>26</v>
      </c>
      <c r="R396" s="4">
        <v>0</v>
      </c>
      <c r="S396" s="4" t="s">
        <v>188</v>
      </c>
      <c r="T396" s="4" t="s">
        <v>421</v>
      </c>
      <c r="U396" s="4">
        <v>0</v>
      </c>
      <c r="V396" s="4">
        <v>17</v>
      </c>
      <c r="W396" s="4">
        <v>66</v>
      </c>
    </row>
    <row r="397" spans="1:23" ht="11.25" customHeight="1" x14ac:dyDescent="0.3">
      <c r="A397" s="4" t="s">
        <v>21</v>
      </c>
      <c r="B397" s="4" t="s">
        <v>39</v>
      </c>
      <c r="C397" s="4" t="s">
        <v>40</v>
      </c>
      <c r="D397" s="4" t="s">
        <v>44</v>
      </c>
      <c r="E397" s="4" t="s">
        <v>53</v>
      </c>
      <c r="F397" s="4" t="s">
        <v>25</v>
      </c>
      <c r="G397" s="4" t="s">
        <v>25</v>
      </c>
      <c r="H397" s="4" t="s">
        <v>35</v>
      </c>
      <c r="I397" s="5">
        <v>44531</v>
      </c>
      <c r="J397" s="6">
        <v>0</v>
      </c>
      <c r="K397" s="6">
        <v>0</v>
      </c>
      <c r="L397" s="6">
        <v>3.5409999999999999</v>
      </c>
      <c r="M397" s="6">
        <v>3.3993600000000002</v>
      </c>
      <c r="N397" s="6">
        <v>3.5409999999999999</v>
      </c>
      <c r="O397" s="6">
        <v>3.3993600000000002</v>
      </c>
      <c r="P397" s="6">
        <v>0</v>
      </c>
      <c r="Q397" s="4" t="s">
        <v>26</v>
      </c>
      <c r="R397" s="4">
        <v>0</v>
      </c>
      <c r="S397" s="4" t="s">
        <v>189</v>
      </c>
      <c r="T397" s="4" t="s">
        <v>422</v>
      </c>
      <c r="U397" s="4">
        <v>0</v>
      </c>
      <c r="V397" s="4">
        <v>17</v>
      </c>
      <c r="W397" s="4">
        <v>66</v>
      </c>
    </row>
    <row r="398" spans="1:23" ht="11.25" customHeight="1" x14ac:dyDescent="0.3">
      <c r="A398" s="4" t="s">
        <v>21</v>
      </c>
      <c r="B398" s="4" t="s">
        <v>39</v>
      </c>
      <c r="C398" s="4" t="s">
        <v>40</v>
      </c>
      <c r="D398" s="4" t="s">
        <v>44</v>
      </c>
      <c r="E398" s="4" t="s">
        <v>53</v>
      </c>
      <c r="F398" s="4" t="s">
        <v>25</v>
      </c>
      <c r="G398" s="4" t="s">
        <v>25</v>
      </c>
      <c r="H398" s="4" t="s">
        <v>35</v>
      </c>
      <c r="I398" s="5">
        <v>44562</v>
      </c>
      <c r="J398" s="6">
        <v>0</v>
      </c>
      <c r="K398" s="6">
        <v>0</v>
      </c>
      <c r="L398" s="6">
        <v>5.49</v>
      </c>
      <c r="M398" s="6">
        <v>5.2704000000000004</v>
      </c>
      <c r="N398" s="6">
        <v>5.49</v>
      </c>
      <c r="O398" s="6">
        <v>5.2704000000000004</v>
      </c>
      <c r="P398" s="6">
        <v>0</v>
      </c>
      <c r="Q398" s="4" t="s">
        <v>26</v>
      </c>
      <c r="R398" s="4">
        <v>0</v>
      </c>
      <c r="S398" s="4" t="s">
        <v>190</v>
      </c>
      <c r="T398" s="4" t="s">
        <v>423</v>
      </c>
      <c r="U398" s="4">
        <v>0</v>
      </c>
      <c r="V398" s="4">
        <v>17</v>
      </c>
      <c r="W398" s="4">
        <v>66</v>
      </c>
    </row>
    <row r="399" spans="1:23" ht="11.25" customHeight="1" x14ac:dyDescent="0.3">
      <c r="A399" s="4" t="s">
        <v>21</v>
      </c>
      <c r="B399" s="4" t="s">
        <v>39</v>
      </c>
      <c r="C399" s="4" t="s">
        <v>40</v>
      </c>
      <c r="D399" s="4" t="s">
        <v>44</v>
      </c>
      <c r="E399" s="4" t="s">
        <v>53</v>
      </c>
      <c r="F399" s="4" t="s">
        <v>25</v>
      </c>
      <c r="G399" s="4" t="s">
        <v>25</v>
      </c>
      <c r="H399" s="4" t="s">
        <v>35</v>
      </c>
      <c r="I399" s="5">
        <v>44593</v>
      </c>
      <c r="J399" s="6">
        <v>0</v>
      </c>
      <c r="K399" s="6">
        <v>0</v>
      </c>
      <c r="L399" s="6">
        <v>2.6269999999999998</v>
      </c>
      <c r="M399" s="6">
        <v>2.5219200000000002</v>
      </c>
      <c r="N399" s="6">
        <v>2.6269999999999998</v>
      </c>
      <c r="O399" s="6">
        <v>2.5219200000000002</v>
      </c>
      <c r="P399" s="6">
        <v>0</v>
      </c>
      <c r="Q399" s="4" t="s">
        <v>26</v>
      </c>
      <c r="R399" s="4">
        <v>0</v>
      </c>
      <c r="S399" s="4" t="s">
        <v>191</v>
      </c>
      <c r="T399" s="4" t="s">
        <v>424</v>
      </c>
      <c r="U399" s="4">
        <v>0</v>
      </c>
      <c r="V399" s="4">
        <v>17</v>
      </c>
      <c r="W399" s="4">
        <v>66</v>
      </c>
    </row>
    <row r="400" spans="1:23" ht="11.25" customHeight="1" x14ac:dyDescent="0.3">
      <c r="A400" s="4" t="s">
        <v>21</v>
      </c>
      <c r="B400" s="4" t="s">
        <v>39</v>
      </c>
      <c r="C400" s="4" t="s">
        <v>40</v>
      </c>
      <c r="D400" s="4" t="s">
        <v>44</v>
      </c>
      <c r="E400" s="4" t="s">
        <v>53</v>
      </c>
      <c r="F400" s="4" t="s">
        <v>25</v>
      </c>
      <c r="G400" s="4" t="s">
        <v>25</v>
      </c>
      <c r="H400" s="4" t="s">
        <v>35</v>
      </c>
      <c r="I400" s="5">
        <v>44621</v>
      </c>
      <c r="J400" s="6">
        <v>0</v>
      </c>
      <c r="K400" s="6">
        <v>0</v>
      </c>
      <c r="L400" s="6">
        <v>8.43</v>
      </c>
      <c r="M400" s="6">
        <v>8.0928000000000004</v>
      </c>
      <c r="N400" s="6">
        <v>8.43</v>
      </c>
      <c r="O400" s="6">
        <v>8.0928000000000004</v>
      </c>
      <c r="P400" s="6">
        <v>0</v>
      </c>
      <c r="Q400" s="4" t="s">
        <v>26</v>
      </c>
      <c r="R400" s="4">
        <v>0</v>
      </c>
      <c r="S400" s="4" t="s">
        <v>192</v>
      </c>
      <c r="T400" s="4" t="s">
        <v>425</v>
      </c>
      <c r="U400" s="4">
        <v>0</v>
      </c>
      <c r="V400" s="4">
        <v>17</v>
      </c>
      <c r="W400" s="4">
        <v>66</v>
      </c>
    </row>
    <row r="401" spans="1:23" ht="11.25" customHeight="1" x14ac:dyDescent="0.3">
      <c r="A401" s="4" t="s">
        <v>21</v>
      </c>
      <c r="B401" s="4" t="s">
        <v>39</v>
      </c>
      <c r="C401" s="4" t="s">
        <v>40</v>
      </c>
      <c r="D401" s="4" t="s">
        <v>44</v>
      </c>
      <c r="E401" s="4" t="s">
        <v>53</v>
      </c>
      <c r="F401" s="4" t="s">
        <v>25</v>
      </c>
      <c r="G401" s="4" t="s">
        <v>25</v>
      </c>
      <c r="H401" s="4" t="s">
        <v>35</v>
      </c>
      <c r="I401" s="5">
        <v>44652</v>
      </c>
      <c r="J401" s="6">
        <v>0</v>
      </c>
      <c r="K401" s="6">
        <v>0</v>
      </c>
      <c r="L401" s="6">
        <v>96.036000000000001</v>
      </c>
      <c r="M401" s="6">
        <v>92.194559999999996</v>
      </c>
      <c r="N401" s="6">
        <v>96.036000000000001</v>
      </c>
      <c r="O401" s="6">
        <v>92.194559999999996</v>
      </c>
      <c r="P401" s="6">
        <v>0</v>
      </c>
      <c r="Q401" s="4" t="s">
        <v>26</v>
      </c>
      <c r="R401" s="4">
        <v>0</v>
      </c>
      <c r="S401" s="4" t="s">
        <v>193</v>
      </c>
      <c r="T401" s="4" t="s">
        <v>426</v>
      </c>
      <c r="U401" s="4">
        <v>0</v>
      </c>
      <c r="V401" s="4">
        <v>17</v>
      </c>
      <c r="W401" s="4">
        <v>66</v>
      </c>
    </row>
    <row r="402" spans="1:23" ht="11.25" customHeight="1" x14ac:dyDescent="0.3">
      <c r="A402" s="4" t="s">
        <v>21</v>
      </c>
      <c r="B402" s="4" t="s">
        <v>39</v>
      </c>
      <c r="C402" s="4" t="s">
        <v>40</v>
      </c>
      <c r="D402" s="4" t="s">
        <v>44</v>
      </c>
      <c r="E402" s="4" t="s">
        <v>53</v>
      </c>
      <c r="F402" s="4" t="s">
        <v>25</v>
      </c>
      <c r="G402" s="4" t="s">
        <v>25</v>
      </c>
      <c r="H402" s="4" t="s">
        <v>35</v>
      </c>
      <c r="I402" s="5">
        <v>44682</v>
      </c>
      <c r="J402" s="6">
        <v>0</v>
      </c>
      <c r="K402" s="6">
        <v>0</v>
      </c>
      <c r="L402" s="6">
        <v>114.723</v>
      </c>
      <c r="M402" s="6">
        <v>110.13408</v>
      </c>
      <c r="N402" s="6">
        <v>114.723</v>
      </c>
      <c r="O402" s="6">
        <v>110.13408</v>
      </c>
      <c r="P402" s="6">
        <v>0</v>
      </c>
      <c r="Q402" s="4" t="s">
        <v>26</v>
      </c>
      <c r="R402" s="4">
        <v>0</v>
      </c>
      <c r="S402" s="4" t="s">
        <v>194</v>
      </c>
      <c r="T402" s="4" t="s">
        <v>427</v>
      </c>
      <c r="U402" s="4">
        <v>0</v>
      </c>
      <c r="V402" s="4">
        <v>17</v>
      </c>
      <c r="W402" s="4">
        <v>66</v>
      </c>
    </row>
    <row r="403" spans="1:23" ht="11.25" customHeight="1" x14ac:dyDescent="0.3">
      <c r="A403" s="4" t="s">
        <v>21</v>
      </c>
      <c r="B403" s="4" t="s">
        <v>39</v>
      </c>
      <c r="C403" s="4" t="s">
        <v>40</v>
      </c>
      <c r="D403" s="4" t="s">
        <v>44</v>
      </c>
      <c r="E403" s="4" t="s">
        <v>53</v>
      </c>
      <c r="F403" s="4" t="s">
        <v>25</v>
      </c>
      <c r="G403" s="4" t="s">
        <v>25</v>
      </c>
      <c r="H403" s="4" t="s">
        <v>35</v>
      </c>
      <c r="I403" s="5">
        <v>44713</v>
      </c>
      <c r="J403" s="6">
        <v>0</v>
      </c>
      <c r="K403" s="6">
        <v>0</v>
      </c>
      <c r="L403" s="6">
        <v>99.3</v>
      </c>
      <c r="M403" s="6">
        <v>95.328000000000003</v>
      </c>
      <c r="N403" s="6">
        <v>99.3</v>
      </c>
      <c r="O403" s="6">
        <v>95.328000000000003</v>
      </c>
      <c r="P403" s="6">
        <v>0</v>
      </c>
      <c r="Q403" s="4" t="s">
        <v>26</v>
      </c>
      <c r="R403" s="4">
        <v>0</v>
      </c>
      <c r="S403" s="4" t="s">
        <v>195</v>
      </c>
      <c r="T403" s="4" t="s">
        <v>428</v>
      </c>
      <c r="U403" s="4">
        <v>0</v>
      </c>
      <c r="V403" s="4">
        <v>17</v>
      </c>
      <c r="W403" s="4">
        <v>66</v>
      </c>
    </row>
    <row r="404" spans="1:23" ht="11.25" customHeight="1" x14ac:dyDescent="0.3">
      <c r="A404" s="4" t="s">
        <v>21</v>
      </c>
      <c r="B404" s="4" t="s">
        <v>39</v>
      </c>
      <c r="C404" s="4" t="s">
        <v>40</v>
      </c>
      <c r="D404" s="4" t="s">
        <v>44</v>
      </c>
      <c r="E404" s="4" t="s">
        <v>53</v>
      </c>
      <c r="F404" s="4" t="s">
        <v>25</v>
      </c>
      <c r="G404" s="4" t="s">
        <v>25</v>
      </c>
      <c r="H404" s="4" t="s">
        <v>35</v>
      </c>
      <c r="I404" s="5">
        <v>44743</v>
      </c>
      <c r="J404" s="6">
        <v>0</v>
      </c>
      <c r="K404" s="6">
        <v>0</v>
      </c>
      <c r="L404" s="6">
        <v>126.755</v>
      </c>
      <c r="M404" s="6">
        <v>121.6848</v>
      </c>
      <c r="N404" s="6">
        <v>126.755</v>
      </c>
      <c r="O404" s="6">
        <v>121.6848</v>
      </c>
      <c r="P404" s="6">
        <v>0</v>
      </c>
      <c r="Q404" s="4" t="s">
        <v>26</v>
      </c>
      <c r="R404" s="4">
        <v>0</v>
      </c>
      <c r="S404" s="4" t="s">
        <v>196</v>
      </c>
      <c r="T404" s="4" t="s">
        <v>429</v>
      </c>
      <c r="U404" s="4">
        <v>0</v>
      </c>
      <c r="V404" s="4">
        <v>17</v>
      </c>
      <c r="W404" s="4">
        <v>66</v>
      </c>
    </row>
    <row r="405" spans="1:23" ht="11.25" customHeight="1" x14ac:dyDescent="0.3">
      <c r="A405" s="4" t="s">
        <v>21</v>
      </c>
      <c r="B405" s="4" t="s">
        <v>39</v>
      </c>
      <c r="C405" s="4" t="s">
        <v>40</v>
      </c>
      <c r="D405" s="4" t="s">
        <v>44</v>
      </c>
      <c r="E405" s="4" t="s">
        <v>53</v>
      </c>
      <c r="F405" s="4" t="s">
        <v>25</v>
      </c>
      <c r="G405" s="4" t="s">
        <v>25</v>
      </c>
      <c r="H405" s="4" t="s">
        <v>35</v>
      </c>
      <c r="I405" s="5">
        <v>44774</v>
      </c>
      <c r="J405" s="6">
        <v>0</v>
      </c>
      <c r="K405" s="6">
        <v>0</v>
      </c>
      <c r="L405" s="6">
        <v>106.91200000000001</v>
      </c>
      <c r="M405" s="6">
        <v>102.63552</v>
      </c>
      <c r="N405" s="6">
        <v>106.91200000000001</v>
      </c>
      <c r="O405" s="6">
        <v>102.63552</v>
      </c>
      <c r="P405" s="6">
        <v>0</v>
      </c>
      <c r="Q405" s="4" t="s">
        <v>26</v>
      </c>
      <c r="R405" s="4">
        <v>0</v>
      </c>
      <c r="S405" s="4" t="s">
        <v>197</v>
      </c>
      <c r="T405" s="4" t="s">
        <v>430</v>
      </c>
      <c r="U405" s="4">
        <v>0</v>
      </c>
      <c r="V405" s="4">
        <v>17</v>
      </c>
      <c r="W405" s="4">
        <v>66</v>
      </c>
    </row>
    <row r="406" spans="1:23" ht="11.25" customHeight="1" x14ac:dyDescent="0.3">
      <c r="A406" s="4" t="s">
        <v>21</v>
      </c>
      <c r="B406" s="4" t="s">
        <v>39</v>
      </c>
      <c r="C406" s="4" t="s">
        <v>40</v>
      </c>
      <c r="D406" s="4" t="s">
        <v>44</v>
      </c>
      <c r="E406" s="4" t="s">
        <v>53</v>
      </c>
      <c r="F406" s="4" t="s">
        <v>25</v>
      </c>
      <c r="G406" s="4" t="s">
        <v>25</v>
      </c>
      <c r="H406" s="4" t="s">
        <v>35</v>
      </c>
      <c r="I406" s="5">
        <v>44805</v>
      </c>
      <c r="J406" s="6">
        <v>0</v>
      </c>
      <c r="K406" s="6">
        <v>0</v>
      </c>
      <c r="L406" s="6">
        <v>116.173</v>
      </c>
      <c r="M406" s="6">
        <v>111.52607999999999</v>
      </c>
      <c r="N406" s="6">
        <v>116.173</v>
      </c>
      <c r="O406" s="6">
        <v>111.52607999999999</v>
      </c>
      <c r="P406" s="6">
        <v>0</v>
      </c>
      <c r="Q406" s="4" t="s">
        <v>26</v>
      </c>
      <c r="R406" s="4">
        <v>0</v>
      </c>
      <c r="S406" s="4" t="s">
        <v>198</v>
      </c>
      <c r="T406" s="4" t="s">
        <v>431</v>
      </c>
      <c r="U406" s="4">
        <v>0</v>
      </c>
      <c r="V406" s="4">
        <v>17</v>
      </c>
      <c r="W406" s="4">
        <v>66</v>
      </c>
    </row>
    <row r="407" spans="1:23" ht="11.25" customHeight="1" x14ac:dyDescent="0.3">
      <c r="A407" s="4" t="s">
        <v>57</v>
      </c>
      <c r="B407" s="4" t="s">
        <v>39</v>
      </c>
      <c r="C407" s="4" t="s">
        <v>40</v>
      </c>
      <c r="D407" s="4" t="s">
        <v>44</v>
      </c>
      <c r="E407" s="4" t="s">
        <v>53</v>
      </c>
      <c r="F407" s="4" t="s">
        <v>25</v>
      </c>
      <c r="G407" s="4" t="s">
        <v>25</v>
      </c>
      <c r="H407" s="4" t="s">
        <v>35</v>
      </c>
      <c r="I407" s="5">
        <v>44835</v>
      </c>
      <c r="J407" s="6">
        <v>0</v>
      </c>
      <c r="K407" s="6">
        <v>0</v>
      </c>
      <c r="L407" s="6">
        <v>116.173</v>
      </c>
      <c r="M407" s="6">
        <v>111.52607999999999</v>
      </c>
      <c r="N407" s="6">
        <v>116.173</v>
      </c>
      <c r="O407" s="6">
        <v>111.52607999999999</v>
      </c>
      <c r="P407" s="6">
        <v>0</v>
      </c>
      <c r="Q407" s="4" t="s">
        <v>26</v>
      </c>
      <c r="R407" s="4">
        <v>0</v>
      </c>
      <c r="S407" s="4" t="s">
        <v>199</v>
      </c>
      <c r="T407" s="4" t="s">
        <v>432</v>
      </c>
      <c r="U407" s="4">
        <v>0</v>
      </c>
      <c r="V407" s="4">
        <v>17</v>
      </c>
      <c r="W407" s="4">
        <v>66</v>
      </c>
    </row>
    <row r="408" spans="1:23" ht="11.25" customHeight="1" x14ac:dyDescent="0.3">
      <c r="A408" s="4" t="s">
        <v>21</v>
      </c>
      <c r="B408" s="4" t="s">
        <v>39</v>
      </c>
      <c r="C408" s="4" t="s">
        <v>40</v>
      </c>
      <c r="D408" s="4" t="s">
        <v>44</v>
      </c>
      <c r="E408" s="4" t="s">
        <v>53</v>
      </c>
      <c r="F408" s="4" t="s">
        <v>25</v>
      </c>
      <c r="G408" s="4" t="s">
        <v>25</v>
      </c>
      <c r="H408" s="4" t="s">
        <v>25</v>
      </c>
      <c r="I408" s="5">
        <v>44501</v>
      </c>
      <c r="J408" s="6">
        <v>508</v>
      </c>
      <c r="K408" s="6">
        <v>487.68</v>
      </c>
      <c r="L408" s="6">
        <v>0</v>
      </c>
      <c r="M408" s="6">
        <v>0</v>
      </c>
      <c r="N408" s="6">
        <v>0</v>
      </c>
      <c r="O408" s="6">
        <v>0</v>
      </c>
      <c r="P408" s="6">
        <v>14</v>
      </c>
      <c r="Q408" s="4" t="s">
        <v>26</v>
      </c>
      <c r="R408" s="4">
        <v>0</v>
      </c>
      <c r="S408" s="4" t="s">
        <v>200</v>
      </c>
      <c r="U408" s="4">
        <v>13</v>
      </c>
      <c r="V408" s="4">
        <v>0</v>
      </c>
      <c r="W408" s="4">
        <v>0</v>
      </c>
    </row>
    <row r="409" spans="1:23" ht="11.25" customHeight="1" x14ac:dyDescent="0.3">
      <c r="A409" s="4" t="s">
        <v>21</v>
      </c>
      <c r="B409" s="4" t="s">
        <v>39</v>
      </c>
      <c r="C409" s="4" t="s">
        <v>40</v>
      </c>
      <c r="D409" s="4" t="s">
        <v>44</v>
      </c>
      <c r="E409" s="4" t="s">
        <v>53</v>
      </c>
      <c r="F409" s="4" t="s">
        <v>25</v>
      </c>
      <c r="G409" s="4" t="s">
        <v>25</v>
      </c>
      <c r="H409" s="4" t="s">
        <v>25</v>
      </c>
      <c r="I409" s="5">
        <v>44531</v>
      </c>
      <c r="J409" s="6">
        <v>337</v>
      </c>
      <c r="K409" s="6">
        <v>323.52</v>
      </c>
      <c r="L409" s="6">
        <v>0</v>
      </c>
      <c r="M409" s="6">
        <v>0</v>
      </c>
      <c r="N409" s="6">
        <v>0</v>
      </c>
      <c r="O409" s="6">
        <v>0</v>
      </c>
      <c r="P409" s="6">
        <v>14</v>
      </c>
      <c r="Q409" s="4" t="s">
        <v>26</v>
      </c>
      <c r="R409" s="4">
        <v>0</v>
      </c>
      <c r="S409" s="4" t="s">
        <v>201</v>
      </c>
      <c r="U409" s="4">
        <v>13</v>
      </c>
      <c r="V409" s="4">
        <v>0</v>
      </c>
      <c r="W409" s="4">
        <v>0</v>
      </c>
    </row>
    <row r="410" spans="1:23" ht="11.25" customHeight="1" x14ac:dyDescent="0.3">
      <c r="A410" s="4" t="s">
        <v>21</v>
      </c>
      <c r="B410" s="4" t="s">
        <v>39</v>
      </c>
      <c r="C410" s="4" t="s">
        <v>40</v>
      </c>
      <c r="D410" s="4" t="s">
        <v>44</v>
      </c>
      <c r="E410" s="4" t="s">
        <v>53</v>
      </c>
      <c r="F410" s="4" t="s">
        <v>25</v>
      </c>
      <c r="G410" s="4" t="s">
        <v>25</v>
      </c>
      <c r="H410" s="4" t="s">
        <v>25</v>
      </c>
      <c r="I410" s="5">
        <v>44562</v>
      </c>
      <c r="J410" s="6">
        <v>440</v>
      </c>
      <c r="K410" s="6">
        <v>422.4</v>
      </c>
      <c r="L410" s="6">
        <v>0</v>
      </c>
      <c r="M410" s="6">
        <v>0</v>
      </c>
      <c r="N410" s="6">
        <v>0</v>
      </c>
      <c r="O410" s="6">
        <v>0</v>
      </c>
      <c r="P410" s="6">
        <v>8</v>
      </c>
      <c r="Q410" s="4" t="s">
        <v>26</v>
      </c>
      <c r="R410" s="4">
        <v>0</v>
      </c>
      <c r="S410" s="4" t="s">
        <v>202</v>
      </c>
      <c r="U410" s="4">
        <v>13</v>
      </c>
      <c r="V410" s="4">
        <v>0</v>
      </c>
      <c r="W410" s="4">
        <v>0</v>
      </c>
    </row>
    <row r="411" spans="1:23" ht="11.25" customHeight="1" x14ac:dyDescent="0.3">
      <c r="A411" s="4" t="s">
        <v>21</v>
      </c>
      <c r="B411" s="4" t="s">
        <v>39</v>
      </c>
      <c r="C411" s="4" t="s">
        <v>40</v>
      </c>
      <c r="D411" s="4" t="s">
        <v>44</v>
      </c>
      <c r="E411" s="4" t="s">
        <v>53</v>
      </c>
      <c r="F411" s="4" t="s">
        <v>25</v>
      </c>
      <c r="G411" s="4" t="s">
        <v>25</v>
      </c>
      <c r="H411" s="4" t="s">
        <v>25</v>
      </c>
      <c r="I411" s="5">
        <v>44593</v>
      </c>
      <c r="J411" s="6">
        <v>386</v>
      </c>
      <c r="K411" s="6">
        <v>370.56</v>
      </c>
      <c r="L411" s="6">
        <v>0</v>
      </c>
      <c r="M411" s="6">
        <v>0</v>
      </c>
      <c r="N411" s="6">
        <v>0</v>
      </c>
      <c r="O411" s="6">
        <v>0</v>
      </c>
      <c r="P411" s="6">
        <v>12</v>
      </c>
      <c r="Q411" s="4" t="s">
        <v>26</v>
      </c>
      <c r="R411" s="4">
        <v>0</v>
      </c>
      <c r="S411" s="4" t="s">
        <v>203</v>
      </c>
      <c r="U411" s="4">
        <v>13</v>
      </c>
      <c r="V411" s="4">
        <v>0</v>
      </c>
      <c r="W411" s="4">
        <v>0</v>
      </c>
    </row>
    <row r="412" spans="1:23" ht="11.25" customHeight="1" x14ac:dyDescent="0.3">
      <c r="A412" s="4" t="s">
        <v>21</v>
      </c>
      <c r="B412" s="4" t="s">
        <v>39</v>
      </c>
      <c r="C412" s="4" t="s">
        <v>40</v>
      </c>
      <c r="D412" s="4" t="s">
        <v>44</v>
      </c>
      <c r="E412" s="4" t="s">
        <v>53</v>
      </c>
      <c r="F412" s="4" t="s">
        <v>25</v>
      </c>
      <c r="G412" s="4" t="s">
        <v>25</v>
      </c>
      <c r="H412" s="4" t="s">
        <v>25</v>
      </c>
      <c r="I412" s="5">
        <v>44621</v>
      </c>
      <c r="J412" s="6">
        <v>1604</v>
      </c>
      <c r="K412" s="6">
        <v>1539.84</v>
      </c>
      <c r="L412" s="6">
        <v>0</v>
      </c>
      <c r="M412" s="6">
        <v>0</v>
      </c>
      <c r="N412" s="6">
        <v>0</v>
      </c>
      <c r="O412" s="6">
        <v>0</v>
      </c>
      <c r="P412" s="6">
        <v>12</v>
      </c>
      <c r="Q412" s="4" t="s">
        <v>26</v>
      </c>
      <c r="R412" s="4">
        <v>0</v>
      </c>
      <c r="S412" s="4" t="s">
        <v>204</v>
      </c>
      <c r="U412" s="4">
        <v>13</v>
      </c>
      <c r="V412" s="4">
        <v>0</v>
      </c>
      <c r="W412" s="4">
        <v>0</v>
      </c>
    </row>
    <row r="413" spans="1:23" ht="11.25" customHeight="1" x14ac:dyDescent="0.3">
      <c r="A413" s="4" t="s">
        <v>21</v>
      </c>
      <c r="B413" s="4" t="s">
        <v>39</v>
      </c>
      <c r="C413" s="4" t="s">
        <v>40</v>
      </c>
      <c r="D413" s="4" t="s">
        <v>44</v>
      </c>
      <c r="E413" s="4" t="s">
        <v>53</v>
      </c>
      <c r="F413" s="4" t="s">
        <v>25</v>
      </c>
      <c r="G413" s="4" t="s">
        <v>25</v>
      </c>
      <c r="H413" s="4" t="s">
        <v>25</v>
      </c>
      <c r="I413" s="5">
        <v>44652</v>
      </c>
      <c r="J413" s="6">
        <v>1482</v>
      </c>
      <c r="K413" s="6">
        <v>1422.72</v>
      </c>
      <c r="L413" s="6">
        <v>0</v>
      </c>
      <c r="M413" s="6">
        <v>0</v>
      </c>
      <c r="N413" s="6">
        <v>0</v>
      </c>
      <c r="O413" s="6">
        <v>0</v>
      </c>
      <c r="P413" s="6">
        <v>11</v>
      </c>
      <c r="Q413" s="4" t="s">
        <v>26</v>
      </c>
      <c r="R413" s="4">
        <v>0</v>
      </c>
      <c r="S413" s="4" t="s">
        <v>205</v>
      </c>
      <c r="U413" s="4">
        <v>13</v>
      </c>
      <c r="V413" s="4">
        <v>0</v>
      </c>
      <c r="W413" s="4">
        <v>0</v>
      </c>
    </row>
    <row r="414" spans="1:23" ht="11.25" customHeight="1" x14ac:dyDescent="0.3">
      <c r="A414" s="4" t="s">
        <v>21</v>
      </c>
      <c r="B414" s="4" t="s">
        <v>39</v>
      </c>
      <c r="C414" s="4" t="s">
        <v>40</v>
      </c>
      <c r="D414" s="4" t="s">
        <v>44</v>
      </c>
      <c r="E414" s="4" t="s">
        <v>53</v>
      </c>
      <c r="F414" s="4" t="s">
        <v>25</v>
      </c>
      <c r="G414" s="4" t="s">
        <v>25</v>
      </c>
      <c r="H414" s="4" t="s">
        <v>25</v>
      </c>
      <c r="I414" s="5">
        <v>44682</v>
      </c>
      <c r="J414" s="6">
        <v>1468</v>
      </c>
      <c r="K414" s="6">
        <v>1409.28</v>
      </c>
      <c r="L414" s="6">
        <v>0</v>
      </c>
      <c r="M414" s="6">
        <v>0</v>
      </c>
      <c r="N414" s="6">
        <v>0</v>
      </c>
      <c r="O414" s="6">
        <v>0</v>
      </c>
      <c r="P414" s="6">
        <v>11</v>
      </c>
      <c r="Q414" s="4" t="s">
        <v>26</v>
      </c>
      <c r="R414" s="4">
        <v>0</v>
      </c>
      <c r="S414" s="4" t="s">
        <v>206</v>
      </c>
      <c r="U414" s="4">
        <v>13</v>
      </c>
      <c r="V414" s="4">
        <v>0</v>
      </c>
      <c r="W414" s="4">
        <v>0</v>
      </c>
    </row>
    <row r="415" spans="1:23" ht="11.25" customHeight="1" x14ac:dyDescent="0.3">
      <c r="A415" s="4" t="s">
        <v>21</v>
      </c>
      <c r="B415" s="4" t="s">
        <v>39</v>
      </c>
      <c r="C415" s="4" t="s">
        <v>40</v>
      </c>
      <c r="D415" s="4" t="s">
        <v>44</v>
      </c>
      <c r="E415" s="4" t="s">
        <v>53</v>
      </c>
      <c r="F415" s="4" t="s">
        <v>25</v>
      </c>
      <c r="G415" s="4" t="s">
        <v>25</v>
      </c>
      <c r="H415" s="4" t="s">
        <v>25</v>
      </c>
      <c r="I415" s="5">
        <v>44713</v>
      </c>
      <c r="J415" s="6">
        <v>1577</v>
      </c>
      <c r="K415" s="6">
        <v>1513.92</v>
      </c>
      <c r="L415" s="6">
        <v>0</v>
      </c>
      <c r="M415" s="6">
        <v>0</v>
      </c>
      <c r="N415" s="6">
        <v>0</v>
      </c>
      <c r="O415" s="6">
        <v>0</v>
      </c>
      <c r="P415" s="6">
        <v>11</v>
      </c>
      <c r="Q415" s="4" t="s">
        <v>26</v>
      </c>
      <c r="R415" s="4">
        <v>0</v>
      </c>
      <c r="S415" s="4" t="s">
        <v>207</v>
      </c>
      <c r="U415" s="4">
        <v>13</v>
      </c>
      <c r="V415" s="4">
        <v>0</v>
      </c>
      <c r="W415" s="4">
        <v>0</v>
      </c>
    </row>
    <row r="416" spans="1:23" ht="11.25" customHeight="1" x14ac:dyDescent="0.3">
      <c r="A416" s="4" t="s">
        <v>21</v>
      </c>
      <c r="B416" s="4" t="s">
        <v>39</v>
      </c>
      <c r="C416" s="4" t="s">
        <v>40</v>
      </c>
      <c r="D416" s="4" t="s">
        <v>44</v>
      </c>
      <c r="E416" s="4" t="s">
        <v>53</v>
      </c>
      <c r="F416" s="4" t="s">
        <v>25</v>
      </c>
      <c r="G416" s="4" t="s">
        <v>25</v>
      </c>
      <c r="H416" s="4" t="s">
        <v>25</v>
      </c>
      <c r="I416" s="5">
        <v>44743</v>
      </c>
      <c r="J416" s="6">
        <v>1374</v>
      </c>
      <c r="K416" s="6">
        <v>1319.04</v>
      </c>
      <c r="L416" s="6">
        <v>0</v>
      </c>
      <c r="M416" s="6">
        <v>0</v>
      </c>
      <c r="N416" s="6">
        <v>0</v>
      </c>
      <c r="O416" s="6">
        <v>0</v>
      </c>
      <c r="P416" s="6">
        <v>10</v>
      </c>
      <c r="Q416" s="4" t="s">
        <v>26</v>
      </c>
      <c r="R416" s="4">
        <v>0</v>
      </c>
      <c r="S416" s="4" t="s">
        <v>208</v>
      </c>
      <c r="U416" s="4">
        <v>13</v>
      </c>
      <c r="V416" s="4">
        <v>0</v>
      </c>
      <c r="W416" s="4">
        <v>0</v>
      </c>
    </row>
    <row r="417" spans="1:23" ht="11.25" customHeight="1" x14ac:dyDescent="0.3">
      <c r="A417" s="4" t="s">
        <v>21</v>
      </c>
      <c r="B417" s="4" t="s">
        <v>39</v>
      </c>
      <c r="C417" s="4" t="s">
        <v>40</v>
      </c>
      <c r="D417" s="4" t="s">
        <v>44</v>
      </c>
      <c r="E417" s="4" t="s">
        <v>53</v>
      </c>
      <c r="F417" s="4" t="s">
        <v>25</v>
      </c>
      <c r="G417" s="4" t="s">
        <v>25</v>
      </c>
      <c r="H417" s="4" t="s">
        <v>25</v>
      </c>
      <c r="I417" s="5">
        <v>44774</v>
      </c>
      <c r="J417" s="6">
        <v>1789</v>
      </c>
      <c r="K417" s="6">
        <v>1717.44</v>
      </c>
      <c r="L417" s="6">
        <v>0</v>
      </c>
      <c r="M417" s="6">
        <v>0</v>
      </c>
      <c r="N417" s="6">
        <v>0</v>
      </c>
      <c r="O417" s="6">
        <v>0</v>
      </c>
      <c r="P417" s="6">
        <v>10</v>
      </c>
      <c r="Q417" s="4" t="s">
        <v>26</v>
      </c>
      <c r="R417" s="4">
        <v>0</v>
      </c>
      <c r="S417" s="4" t="s">
        <v>209</v>
      </c>
      <c r="U417" s="4">
        <v>13</v>
      </c>
      <c r="V417" s="4">
        <v>0</v>
      </c>
      <c r="W417" s="4">
        <v>0</v>
      </c>
    </row>
    <row r="418" spans="1:23" ht="11.25" customHeight="1" x14ac:dyDescent="0.3">
      <c r="A418" s="4" t="s">
        <v>21</v>
      </c>
      <c r="B418" s="4" t="s">
        <v>39</v>
      </c>
      <c r="C418" s="4" t="s">
        <v>40</v>
      </c>
      <c r="D418" s="4" t="s">
        <v>44</v>
      </c>
      <c r="E418" s="4" t="s">
        <v>53</v>
      </c>
      <c r="F418" s="4" t="s">
        <v>25</v>
      </c>
      <c r="G418" s="4" t="s">
        <v>25</v>
      </c>
      <c r="H418" s="4" t="s">
        <v>25</v>
      </c>
      <c r="I418" s="5">
        <v>44805</v>
      </c>
      <c r="J418" s="6">
        <v>969</v>
      </c>
      <c r="K418" s="6">
        <v>930.24</v>
      </c>
      <c r="L418" s="6">
        <v>0</v>
      </c>
      <c r="M418" s="6">
        <v>0</v>
      </c>
      <c r="N418" s="6">
        <v>0</v>
      </c>
      <c r="O418" s="6">
        <v>0</v>
      </c>
      <c r="P418" s="6">
        <v>10</v>
      </c>
      <c r="Q418" s="4" t="s">
        <v>26</v>
      </c>
      <c r="R418" s="4">
        <v>0</v>
      </c>
      <c r="S418" s="4" t="s">
        <v>210</v>
      </c>
      <c r="U418" s="4">
        <v>13</v>
      </c>
      <c r="V418" s="4">
        <v>0</v>
      </c>
      <c r="W418" s="4">
        <v>0</v>
      </c>
    </row>
    <row r="419" spans="1:23" ht="11.25" customHeight="1" x14ac:dyDescent="0.3">
      <c r="A419" s="4" t="s">
        <v>57</v>
      </c>
      <c r="B419" s="4" t="s">
        <v>39</v>
      </c>
      <c r="C419" s="4" t="s">
        <v>40</v>
      </c>
      <c r="D419" s="4" t="s">
        <v>44</v>
      </c>
      <c r="E419" s="4" t="s">
        <v>53</v>
      </c>
      <c r="F419" s="4" t="s">
        <v>25</v>
      </c>
      <c r="G419" s="4" t="s">
        <v>25</v>
      </c>
      <c r="H419" s="4" t="s">
        <v>25</v>
      </c>
      <c r="I419" s="5">
        <v>44835</v>
      </c>
      <c r="J419" s="6">
        <v>969</v>
      </c>
      <c r="K419" s="6">
        <v>930.24</v>
      </c>
      <c r="L419" s="6">
        <v>0</v>
      </c>
      <c r="M419" s="6">
        <v>0</v>
      </c>
      <c r="N419" s="6">
        <v>0</v>
      </c>
      <c r="O419" s="6">
        <v>0</v>
      </c>
      <c r="P419" s="6">
        <v>10</v>
      </c>
      <c r="Q419" s="4" t="s">
        <v>26</v>
      </c>
      <c r="R419" s="4">
        <v>0</v>
      </c>
      <c r="S419" s="4" t="s">
        <v>211</v>
      </c>
      <c r="U419" s="4">
        <v>13</v>
      </c>
      <c r="V419" s="4">
        <v>0</v>
      </c>
      <c r="W419" s="4">
        <v>0</v>
      </c>
    </row>
    <row r="420" spans="1:23" ht="11.25" customHeight="1" x14ac:dyDescent="0.3">
      <c r="A420" s="4" t="s">
        <v>21</v>
      </c>
      <c r="B420" s="4" t="s">
        <v>39</v>
      </c>
      <c r="C420" s="4" t="s">
        <v>40</v>
      </c>
      <c r="D420" s="4" t="s">
        <v>44</v>
      </c>
      <c r="E420" s="4" t="s">
        <v>53</v>
      </c>
      <c r="F420" s="4" t="s">
        <v>25</v>
      </c>
      <c r="G420" s="4" t="s">
        <v>25</v>
      </c>
      <c r="H420" s="4" t="s">
        <v>34</v>
      </c>
      <c r="I420" s="5">
        <v>44501</v>
      </c>
      <c r="J420" s="6">
        <v>0</v>
      </c>
      <c r="K420" s="6">
        <v>0</v>
      </c>
      <c r="L420" s="6">
        <v>0.48599999999999999</v>
      </c>
      <c r="M420" s="6">
        <v>0.46655999999999997</v>
      </c>
      <c r="N420" s="6">
        <v>0.48599999999999999</v>
      </c>
      <c r="O420" s="6">
        <v>0.46655999999999997</v>
      </c>
      <c r="P420" s="6">
        <v>0</v>
      </c>
      <c r="Q420" s="4" t="s">
        <v>26</v>
      </c>
      <c r="R420" s="4">
        <v>0</v>
      </c>
      <c r="S420" s="4" t="s">
        <v>212</v>
      </c>
      <c r="T420" s="4" t="s">
        <v>433</v>
      </c>
      <c r="U420" s="4">
        <v>0</v>
      </c>
      <c r="V420" s="4">
        <v>15</v>
      </c>
      <c r="W420" s="4">
        <v>65</v>
      </c>
    </row>
    <row r="421" spans="1:23" ht="11.25" customHeight="1" x14ac:dyDescent="0.3">
      <c r="A421" s="4" t="s">
        <v>21</v>
      </c>
      <c r="B421" s="4" t="s">
        <v>39</v>
      </c>
      <c r="C421" s="4" t="s">
        <v>40</v>
      </c>
      <c r="D421" s="4" t="s">
        <v>44</v>
      </c>
      <c r="E421" s="4" t="s">
        <v>53</v>
      </c>
      <c r="F421" s="4" t="s">
        <v>25</v>
      </c>
      <c r="G421" s="4" t="s">
        <v>25</v>
      </c>
      <c r="H421" s="4" t="s">
        <v>34</v>
      </c>
      <c r="I421" s="5">
        <v>44531</v>
      </c>
      <c r="J421" s="6">
        <v>0</v>
      </c>
      <c r="K421" s="6">
        <v>0</v>
      </c>
      <c r="L421" s="6">
        <v>0.51900000000000002</v>
      </c>
      <c r="M421" s="6">
        <v>0.49824000000000002</v>
      </c>
      <c r="N421" s="6">
        <v>0.51900000000000002</v>
      </c>
      <c r="O421" s="6">
        <v>0.49824000000000002</v>
      </c>
      <c r="P421" s="6">
        <v>0</v>
      </c>
      <c r="Q421" s="4" t="s">
        <v>26</v>
      </c>
      <c r="R421" s="4">
        <v>0</v>
      </c>
      <c r="S421" s="4" t="s">
        <v>213</v>
      </c>
      <c r="T421" s="4" t="s">
        <v>434</v>
      </c>
      <c r="U421" s="4">
        <v>0</v>
      </c>
      <c r="V421" s="4">
        <v>15</v>
      </c>
      <c r="W421" s="4">
        <v>65</v>
      </c>
    </row>
    <row r="422" spans="1:23" ht="11.25" customHeight="1" x14ac:dyDescent="0.3">
      <c r="A422" s="4" t="s">
        <v>21</v>
      </c>
      <c r="B422" s="4" t="s">
        <v>39</v>
      </c>
      <c r="C422" s="4" t="s">
        <v>40</v>
      </c>
      <c r="D422" s="4" t="s">
        <v>44</v>
      </c>
      <c r="E422" s="4" t="s">
        <v>53</v>
      </c>
      <c r="F422" s="4" t="s">
        <v>25</v>
      </c>
      <c r="G422" s="4" t="s">
        <v>25</v>
      </c>
      <c r="H422" s="4" t="s">
        <v>34</v>
      </c>
      <c r="I422" s="5">
        <v>44562</v>
      </c>
      <c r="J422" s="6">
        <v>0</v>
      </c>
      <c r="K422" s="6">
        <v>0</v>
      </c>
      <c r="L422" s="6">
        <v>0.33400000000000002</v>
      </c>
      <c r="M422" s="6">
        <v>0.32063999999999998</v>
      </c>
      <c r="N422" s="6">
        <v>0.33400000000000002</v>
      </c>
      <c r="O422" s="6">
        <v>0.32063999999999998</v>
      </c>
      <c r="P422" s="6">
        <v>0</v>
      </c>
      <c r="Q422" s="4" t="s">
        <v>26</v>
      </c>
      <c r="R422" s="4">
        <v>0</v>
      </c>
      <c r="S422" s="4" t="s">
        <v>214</v>
      </c>
      <c r="T422" s="4" t="s">
        <v>435</v>
      </c>
      <c r="U422" s="4">
        <v>0</v>
      </c>
      <c r="V422" s="4">
        <v>15</v>
      </c>
      <c r="W422" s="4">
        <v>65</v>
      </c>
    </row>
    <row r="423" spans="1:23" ht="11.25" customHeight="1" x14ac:dyDescent="0.3">
      <c r="A423" s="4" t="s">
        <v>21</v>
      </c>
      <c r="B423" s="4" t="s">
        <v>39</v>
      </c>
      <c r="C423" s="4" t="s">
        <v>40</v>
      </c>
      <c r="D423" s="4" t="s">
        <v>44</v>
      </c>
      <c r="E423" s="4" t="s">
        <v>53</v>
      </c>
      <c r="F423" s="4" t="s">
        <v>25</v>
      </c>
      <c r="G423" s="4" t="s">
        <v>25</v>
      </c>
      <c r="H423" s="4" t="s">
        <v>34</v>
      </c>
      <c r="I423" s="5">
        <v>44593</v>
      </c>
      <c r="J423" s="6">
        <v>0</v>
      </c>
      <c r="K423" s="6">
        <v>0</v>
      </c>
      <c r="L423" s="6">
        <v>0.372</v>
      </c>
      <c r="M423" s="6">
        <v>0.35711999999999999</v>
      </c>
      <c r="N423" s="6">
        <v>0.372</v>
      </c>
      <c r="O423" s="6">
        <v>0.35711999999999999</v>
      </c>
      <c r="P423" s="6">
        <v>0</v>
      </c>
      <c r="Q423" s="4" t="s">
        <v>26</v>
      </c>
      <c r="R423" s="4">
        <v>0</v>
      </c>
      <c r="S423" s="4" t="s">
        <v>215</v>
      </c>
      <c r="T423" s="4" t="s">
        <v>436</v>
      </c>
      <c r="U423" s="4">
        <v>0</v>
      </c>
      <c r="V423" s="4">
        <v>15</v>
      </c>
      <c r="W423" s="4">
        <v>65</v>
      </c>
    </row>
    <row r="424" spans="1:23" ht="11.25" customHeight="1" x14ac:dyDescent="0.3">
      <c r="A424" s="4" t="s">
        <v>21</v>
      </c>
      <c r="B424" s="4" t="s">
        <v>39</v>
      </c>
      <c r="C424" s="4" t="s">
        <v>40</v>
      </c>
      <c r="D424" s="4" t="s">
        <v>44</v>
      </c>
      <c r="E424" s="4" t="s">
        <v>53</v>
      </c>
      <c r="F424" s="4" t="s">
        <v>25</v>
      </c>
      <c r="G424" s="4" t="s">
        <v>25</v>
      </c>
      <c r="H424" s="4" t="s">
        <v>34</v>
      </c>
      <c r="I424" s="5">
        <v>44621</v>
      </c>
      <c r="J424" s="6">
        <v>0</v>
      </c>
      <c r="K424" s="6">
        <v>0</v>
      </c>
      <c r="L424" s="6">
        <v>0.71499999999999997</v>
      </c>
      <c r="M424" s="6">
        <v>0.68640000000000001</v>
      </c>
      <c r="N424" s="6">
        <v>0.71499999999999997</v>
      </c>
      <c r="O424" s="6">
        <v>0.68640000000000001</v>
      </c>
      <c r="P424" s="6">
        <v>0</v>
      </c>
      <c r="Q424" s="4" t="s">
        <v>26</v>
      </c>
      <c r="R424" s="4">
        <v>0</v>
      </c>
      <c r="S424" s="4" t="s">
        <v>216</v>
      </c>
      <c r="T424" s="4" t="s">
        <v>437</v>
      </c>
      <c r="U424" s="4">
        <v>0</v>
      </c>
      <c r="V424" s="4">
        <v>15</v>
      </c>
      <c r="W424" s="4">
        <v>65</v>
      </c>
    </row>
    <row r="425" spans="1:23" ht="11.25" customHeight="1" x14ac:dyDescent="0.3">
      <c r="A425" s="4" t="s">
        <v>21</v>
      </c>
      <c r="B425" s="4" t="s">
        <v>39</v>
      </c>
      <c r="C425" s="4" t="s">
        <v>40</v>
      </c>
      <c r="D425" s="4" t="s">
        <v>44</v>
      </c>
      <c r="E425" s="4" t="s">
        <v>53</v>
      </c>
      <c r="F425" s="4" t="s">
        <v>25</v>
      </c>
      <c r="G425" s="4" t="s">
        <v>25</v>
      </c>
      <c r="H425" s="4" t="s">
        <v>34</v>
      </c>
      <c r="I425" s="5">
        <v>44652</v>
      </c>
      <c r="J425" s="6">
        <v>0</v>
      </c>
      <c r="K425" s="6">
        <v>0</v>
      </c>
      <c r="L425" s="6">
        <v>0.79900000000000004</v>
      </c>
      <c r="M425" s="6">
        <v>0.76704000000000006</v>
      </c>
      <c r="N425" s="6">
        <v>0.79900000000000004</v>
      </c>
      <c r="O425" s="6">
        <v>0.76704000000000006</v>
      </c>
      <c r="P425" s="6">
        <v>0</v>
      </c>
      <c r="Q425" s="4" t="s">
        <v>26</v>
      </c>
      <c r="R425" s="4">
        <v>0</v>
      </c>
      <c r="S425" s="4" t="s">
        <v>217</v>
      </c>
      <c r="T425" s="4" t="s">
        <v>438</v>
      </c>
      <c r="U425" s="4">
        <v>0</v>
      </c>
      <c r="V425" s="4">
        <v>15</v>
      </c>
      <c r="W425" s="4">
        <v>65</v>
      </c>
    </row>
    <row r="426" spans="1:23" ht="11.25" customHeight="1" x14ac:dyDescent="0.3">
      <c r="A426" s="4" t="s">
        <v>21</v>
      </c>
      <c r="B426" s="4" t="s">
        <v>39</v>
      </c>
      <c r="C426" s="4" t="s">
        <v>40</v>
      </c>
      <c r="D426" s="4" t="s">
        <v>44</v>
      </c>
      <c r="E426" s="4" t="s">
        <v>53</v>
      </c>
      <c r="F426" s="4" t="s">
        <v>25</v>
      </c>
      <c r="G426" s="4" t="s">
        <v>25</v>
      </c>
      <c r="H426" s="4" t="s">
        <v>34</v>
      </c>
      <c r="I426" s="5">
        <v>44682</v>
      </c>
      <c r="J426" s="6">
        <v>0</v>
      </c>
      <c r="K426" s="6">
        <v>0</v>
      </c>
      <c r="L426" s="6">
        <v>0.68500000000000005</v>
      </c>
      <c r="M426" s="6">
        <v>0.65759999999999996</v>
      </c>
      <c r="N426" s="6">
        <v>0.68500000000000005</v>
      </c>
      <c r="O426" s="6">
        <v>0.65759999999999996</v>
      </c>
      <c r="P426" s="6">
        <v>0</v>
      </c>
      <c r="Q426" s="4" t="s">
        <v>26</v>
      </c>
      <c r="R426" s="4">
        <v>0</v>
      </c>
      <c r="S426" s="4" t="s">
        <v>218</v>
      </c>
      <c r="T426" s="4" t="s">
        <v>439</v>
      </c>
      <c r="U426" s="4">
        <v>0</v>
      </c>
      <c r="V426" s="4">
        <v>15</v>
      </c>
      <c r="W426" s="4">
        <v>65</v>
      </c>
    </row>
    <row r="427" spans="1:23" ht="11.25" customHeight="1" x14ac:dyDescent="0.3">
      <c r="A427" s="4" t="s">
        <v>21</v>
      </c>
      <c r="B427" s="4" t="s">
        <v>39</v>
      </c>
      <c r="C427" s="4" t="s">
        <v>40</v>
      </c>
      <c r="D427" s="4" t="s">
        <v>44</v>
      </c>
      <c r="E427" s="4" t="s">
        <v>53</v>
      </c>
      <c r="F427" s="4" t="s">
        <v>25</v>
      </c>
      <c r="G427" s="4" t="s">
        <v>25</v>
      </c>
      <c r="H427" s="4" t="s">
        <v>34</v>
      </c>
      <c r="I427" s="5">
        <v>44713</v>
      </c>
      <c r="J427" s="6">
        <v>0</v>
      </c>
      <c r="K427" s="6">
        <v>0</v>
      </c>
      <c r="L427" s="6">
        <v>1.2609999999999999</v>
      </c>
      <c r="M427" s="6">
        <v>1.2105600000000001</v>
      </c>
      <c r="N427" s="6">
        <v>1.2609999999999999</v>
      </c>
      <c r="O427" s="6">
        <v>1.2105600000000001</v>
      </c>
      <c r="P427" s="6">
        <v>0</v>
      </c>
      <c r="Q427" s="4" t="s">
        <v>26</v>
      </c>
      <c r="R427" s="4">
        <v>0</v>
      </c>
      <c r="S427" s="4" t="s">
        <v>219</v>
      </c>
      <c r="T427" s="4" t="s">
        <v>440</v>
      </c>
      <c r="U427" s="4">
        <v>0</v>
      </c>
      <c r="V427" s="4">
        <v>15</v>
      </c>
      <c r="W427" s="4">
        <v>65</v>
      </c>
    </row>
    <row r="428" spans="1:23" ht="11.25" customHeight="1" x14ac:dyDescent="0.3">
      <c r="A428" s="4" t="s">
        <v>21</v>
      </c>
      <c r="B428" s="4" t="s">
        <v>39</v>
      </c>
      <c r="C428" s="4" t="s">
        <v>40</v>
      </c>
      <c r="D428" s="4" t="s">
        <v>44</v>
      </c>
      <c r="E428" s="4" t="s">
        <v>53</v>
      </c>
      <c r="F428" s="4" t="s">
        <v>25</v>
      </c>
      <c r="G428" s="4" t="s">
        <v>25</v>
      </c>
      <c r="H428" s="4" t="s">
        <v>34</v>
      </c>
      <c r="I428" s="5">
        <v>44743</v>
      </c>
      <c r="J428" s="6">
        <v>0</v>
      </c>
      <c r="K428" s="6">
        <v>0</v>
      </c>
      <c r="L428" s="6">
        <v>1.0620000000000001</v>
      </c>
      <c r="M428" s="6">
        <v>1.01952</v>
      </c>
      <c r="N428" s="6">
        <v>1.0620000000000001</v>
      </c>
      <c r="O428" s="6">
        <v>1.01952</v>
      </c>
      <c r="P428" s="6">
        <v>0</v>
      </c>
      <c r="Q428" s="4" t="s">
        <v>26</v>
      </c>
      <c r="R428" s="4">
        <v>0</v>
      </c>
      <c r="S428" s="4" t="s">
        <v>220</v>
      </c>
      <c r="T428" s="4" t="s">
        <v>441</v>
      </c>
      <c r="U428" s="4">
        <v>0</v>
      </c>
      <c r="V428" s="4">
        <v>15</v>
      </c>
      <c r="W428" s="4">
        <v>65</v>
      </c>
    </row>
    <row r="429" spans="1:23" ht="11.25" customHeight="1" x14ac:dyDescent="0.3">
      <c r="A429" s="4" t="s">
        <v>21</v>
      </c>
      <c r="B429" s="4" t="s">
        <v>39</v>
      </c>
      <c r="C429" s="4" t="s">
        <v>40</v>
      </c>
      <c r="D429" s="4" t="s">
        <v>44</v>
      </c>
      <c r="E429" s="4" t="s">
        <v>53</v>
      </c>
      <c r="F429" s="4" t="s">
        <v>25</v>
      </c>
      <c r="G429" s="4" t="s">
        <v>25</v>
      </c>
      <c r="H429" s="4" t="s">
        <v>34</v>
      </c>
      <c r="I429" s="5">
        <v>44774</v>
      </c>
      <c r="J429" s="6">
        <v>0</v>
      </c>
      <c r="K429" s="6">
        <v>0</v>
      </c>
      <c r="L429" s="6">
        <v>0.80800000000000005</v>
      </c>
      <c r="M429" s="6">
        <v>0.77568000000000004</v>
      </c>
      <c r="N429" s="6">
        <v>0.80800000000000005</v>
      </c>
      <c r="O429" s="6">
        <v>0.77568000000000004</v>
      </c>
      <c r="P429" s="6">
        <v>0</v>
      </c>
      <c r="Q429" s="4" t="s">
        <v>26</v>
      </c>
      <c r="R429" s="4">
        <v>0</v>
      </c>
      <c r="S429" s="4" t="s">
        <v>221</v>
      </c>
      <c r="T429" s="4" t="s">
        <v>442</v>
      </c>
      <c r="U429" s="4">
        <v>0</v>
      </c>
      <c r="V429" s="4">
        <v>15</v>
      </c>
      <c r="W429" s="4">
        <v>65</v>
      </c>
    </row>
    <row r="430" spans="1:23" ht="11.25" customHeight="1" x14ac:dyDescent="0.3">
      <c r="A430" s="4" t="s">
        <v>21</v>
      </c>
      <c r="B430" s="4" t="s">
        <v>39</v>
      </c>
      <c r="C430" s="4" t="s">
        <v>40</v>
      </c>
      <c r="D430" s="4" t="s">
        <v>44</v>
      </c>
      <c r="E430" s="4" t="s">
        <v>53</v>
      </c>
      <c r="F430" s="4" t="s">
        <v>25</v>
      </c>
      <c r="G430" s="4" t="s">
        <v>25</v>
      </c>
      <c r="H430" s="4" t="s">
        <v>34</v>
      </c>
      <c r="I430" s="5">
        <v>44805</v>
      </c>
      <c r="J430" s="6">
        <v>0</v>
      </c>
      <c r="K430" s="6">
        <v>0</v>
      </c>
      <c r="L430" s="6">
        <v>0.72499999999999998</v>
      </c>
      <c r="M430" s="6">
        <v>0.69599999999999995</v>
      </c>
      <c r="N430" s="6">
        <v>0.72499999999999998</v>
      </c>
      <c r="O430" s="6">
        <v>0.69599999999999995</v>
      </c>
      <c r="P430" s="6">
        <v>0</v>
      </c>
      <c r="Q430" s="4" t="s">
        <v>26</v>
      </c>
      <c r="R430" s="4">
        <v>0</v>
      </c>
      <c r="S430" s="4" t="s">
        <v>222</v>
      </c>
      <c r="T430" s="4" t="s">
        <v>443</v>
      </c>
      <c r="U430" s="4">
        <v>0</v>
      </c>
      <c r="V430" s="4">
        <v>15</v>
      </c>
      <c r="W430" s="4">
        <v>65</v>
      </c>
    </row>
    <row r="431" spans="1:23" ht="11.25" customHeight="1" x14ac:dyDescent="0.3">
      <c r="A431" s="4" t="s">
        <v>57</v>
      </c>
      <c r="B431" s="4" t="s">
        <v>39</v>
      </c>
      <c r="C431" s="4" t="s">
        <v>40</v>
      </c>
      <c r="D431" s="4" t="s">
        <v>44</v>
      </c>
      <c r="E431" s="4" t="s">
        <v>53</v>
      </c>
      <c r="F431" s="4" t="s">
        <v>25</v>
      </c>
      <c r="G431" s="4" t="s">
        <v>25</v>
      </c>
      <c r="H431" s="4" t="s">
        <v>34</v>
      </c>
      <c r="I431" s="5">
        <v>44835</v>
      </c>
      <c r="J431" s="6">
        <v>0</v>
      </c>
      <c r="K431" s="6">
        <v>0</v>
      </c>
      <c r="L431" s="6">
        <v>0.72499999999999998</v>
      </c>
      <c r="M431" s="6">
        <v>0.69599999999999995</v>
      </c>
      <c r="N431" s="6">
        <v>0.72499999999999998</v>
      </c>
      <c r="O431" s="6">
        <v>0.69599999999999995</v>
      </c>
      <c r="P431" s="6">
        <v>0</v>
      </c>
      <c r="Q431" s="4" t="s">
        <v>26</v>
      </c>
      <c r="R431" s="4">
        <v>0</v>
      </c>
      <c r="S431" s="4" t="s">
        <v>223</v>
      </c>
      <c r="T431" s="4" t="s">
        <v>444</v>
      </c>
      <c r="U431" s="4">
        <v>0</v>
      </c>
      <c r="V431" s="4">
        <v>15</v>
      </c>
      <c r="W431" s="4">
        <v>65</v>
      </c>
    </row>
    <row r="432" spans="1:23" ht="11.25" customHeight="1" x14ac:dyDescent="0.3">
      <c r="A432" s="4" t="s">
        <v>21</v>
      </c>
      <c r="B432" s="4" t="s">
        <v>39</v>
      </c>
      <c r="C432" s="4" t="s">
        <v>40</v>
      </c>
      <c r="D432" s="4" t="s">
        <v>44</v>
      </c>
      <c r="E432" s="4" t="s">
        <v>56</v>
      </c>
      <c r="F432" s="4" t="s">
        <v>25</v>
      </c>
      <c r="G432" s="4" t="s">
        <v>25</v>
      </c>
      <c r="H432" s="4" t="s">
        <v>35</v>
      </c>
      <c r="I432" s="5">
        <v>44501</v>
      </c>
      <c r="J432" s="6">
        <v>0</v>
      </c>
      <c r="K432" s="6">
        <v>0</v>
      </c>
      <c r="L432" s="6">
        <v>0.39800000000000002</v>
      </c>
      <c r="M432" s="6">
        <v>0.38208000000000003</v>
      </c>
      <c r="N432" s="6">
        <v>0.39800000000000002</v>
      </c>
      <c r="O432" s="6">
        <v>0.38208000000000003</v>
      </c>
      <c r="P432" s="6">
        <v>0</v>
      </c>
      <c r="Q432" s="4" t="s">
        <v>26</v>
      </c>
      <c r="R432" s="4">
        <v>0</v>
      </c>
      <c r="S432" s="4" t="s">
        <v>188</v>
      </c>
      <c r="T432" s="4" t="s">
        <v>421</v>
      </c>
      <c r="U432" s="4">
        <v>0</v>
      </c>
      <c r="V432" s="4">
        <v>17</v>
      </c>
      <c r="W432" s="4">
        <v>66</v>
      </c>
    </row>
    <row r="433" spans="1:23" ht="11.25" customHeight="1" x14ac:dyDescent="0.3">
      <c r="A433" s="4" t="s">
        <v>21</v>
      </c>
      <c r="B433" s="4" t="s">
        <v>39</v>
      </c>
      <c r="C433" s="4" t="s">
        <v>40</v>
      </c>
      <c r="D433" s="4" t="s">
        <v>44</v>
      </c>
      <c r="E433" s="4" t="s">
        <v>56</v>
      </c>
      <c r="F433" s="4" t="s">
        <v>25</v>
      </c>
      <c r="G433" s="4" t="s">
        <v>25</v>
      </c>
      <c r="H433" s="4" t="s">
        <v>35</v>
      </c>
      <c r="I433" s="5">
        <v>44531</v>
      </c>
      <c r="J433" s="6">
        <v>0</v>
      </c>
      <c r="K433" s="6">
        <v>0</v>
      </c>
      <c r="L433" s="6">
        <v>0.41799999999999998</v>
      </c>
      <c r="M433" s="6">
        <v>0.40128000000000003</v>
      </c>
      <c r="N433" s="6">
        <v>0.41799999999999998</v>
      </c>
      <c r="O433" s="6">
        <v>0.40128000000000003</v>
      </c>
      <c r="P433" s="6">
        <v>0</v>
      </c>
      <c r="Q433" s="4" t="s">
        <v>26</v>
      </c>
      <c r="R433" s="4">
        <v>0</v>
      </c>
      <c r="S433" s="4" t="s">
        <v>189</v>
      </c>
      <c r="T433" s="4" t="s">
        <v>422</v>
      </c>
      <c r="U433" s="4">
        <v>0</v>
      </c>
      <c r="V433" s="4">
        <v>17</v>
      </c>
      <c r="W433" s="4">
        <v>66</v>
      </c>
    </row>
    <row r="434" spans="1:23" ht="11.25" customHeight="1" x14ac:dyDescent="0.3">
      <c r="A434" s="4" t="s">
        <v>21</v>
      </c>
      <c r="B434" s="4" t="s">
        <v>39</v>
      </c>
      <c r="C434" s="4" t="s">
        <v>40</v>
      </c>
      <c r="D434" s="4" t="s">
        <v>44</v>
      </c>
      <c r="E434" s="4" t="s">
        <v>56</v>
      </c>
      <c r="F434" s="4" t="s">
        <v>25</v>
      </c>
      <c r="G434" s="4" t="s">
        <v>25</v>
      </c>
      <c r="H434" s="4" t="s">
        <v>35</v>
      </c>
      <c r="I434" s="5">
        <v>44562</v>
      </c>
      <c r="J434" s="6">
        <v>0</v>
      </c>
      <c r="K434" s="6">
        <v>0</v>
      </c>
      <c r="L434" s="6">
        <v>0.42899999999999999</v>
      </c>
      <c r="M434" s="6">
        <v>0.41183999999999998</v>
      </c>
      <c r="N434" s="6">
        <v>0.42899999999999999</v>
      </c>
      <c r="O434" s="6">
        <v>0.41183999999999998</v>
      </c>
      <c r="P434" s="6">
        <v>0</v>
      </c>
      <c r="Q434" s="4" t="s">
        <v>26</v>
      </c>
      <c r="R434" s="4">
        <v>0</v>
      </c>
      <c r="S434" s="4" t="s">
        <v>190</v>
      </c>
      <c r="T434" s="4" t="s">
        <v>423</v>
      </c>
      <c r="U434" s="4">
        <v>0</v>
      </c>
      <c r="V434" s="4">
        <v>17</v>
      </c>
      <c r="W434" s="4">
        <v>66</v>
      </c>
    </row>
    <row r="435" spans="1:23" ht="11.25" customHeight="1" x14ac:dyDescent="0.3">
      <c r="A435" s="4" t="s">
        <v>21</v>
      </c>
      <c r="B435" s="4" t="s">
        <v>39</v>
      </c>
      <c r="C435" s="4" t="s">
        <v>40</v>
      </c>
      <c r="D435" s="4" t="s">
        <v>44</v>
      </c>
      <c r="E435" s="4" t="s">
        <v>56</v>
      </c>
      <c r="F435" s="4" t="s">
        <v>25</v>
      </c>
      <c r="G435" s="4" t="s">
        <v>25</v>
      </c>
      <c r="H435" s="4" t="s">
        <v>25</v>
      </c>
      <c r="I435" s="5">
        <v>44501</v>
      </c>
      <c r="J435" s="6">
        <v>1</v>
      </c>
      <c r="K435" s="6">
        <v>0.96</v>
      </c>
      <c r="L435" s="6">
        <v>0</v>
      </c>
      <c r="M435" s="6">
        <v>0</v>
      </c>
      <c r="N435" s="6">
        <v>0</v>
      </c>
      <c r="O435" s="6">
        <v>0</v>
      </c>
      <c r="P435" s="6">
        <v>2</v>
      </c>
      <c r="Q435" s="4" t="s">
        <v>26</v>
      </c>
      <c r="R435" s="4">
        <v>0</v>
      </c>
      <c r="S435" s="4" t="s">
        <v>200</v>
      </c>
      <c r="U435" s="4">
        <v>13</v>
      </c>
      <c r="V435" s="4">
        <v>0</v>
      </c>
      <c r="W435" s="4">
        <v>0</v>
      </c>
    </row>
    <row r="436" spans="1:23" ht="11.25" customHeight="1" x14ac:dyDescent="0.3">
      <c r="A436" s="4" t="s">
        <v>21</v>
      </c>
      <c r="B436" s="4" t="s">
        <v>39</v>
      </c>
      <c r="C436" s="4" t="s">
        <v>40</v>
      </c>
      <c r="D436" s="4" t="s">
        <v>44</v>
      </c>
      <c r="E436" s="4" t="s">
        <v>56</v>
      </c>
      <c r="F436" s="4" t="s">
        <v>25</v>
      </c>
      <c r="G436" s="4" t="s">
        <v>25</v>
      </c>
      <c r="H436" s="4" t="s">
        <v>25</v>
      </c>
      <c r="I436" s="5">
        <v>44531</v>
      </c>
      <c r="J436" s="6">
        <v>1</v>
      </c>
      <c r="K436" s="6">
        <v>0.96</v>
      </c>
      <c r="L436" s="6">
        <v>0</v>
      </c>
      <c r="M436" s="6">
        <v>0</v>
      </c>
      <c r="N436" s="6">
        <v>0</v>
      </c>
      <c r="O436" s="6">
        <v>0</v>
      </c>
      <c r="P436" s="6">
        <v>2</v>
      </c>
      <c r="Q436" s="4" t="s">
        <v>26</v>
      </c>
      <c r="R436" s="4">
        <v>0</v>
      </c>
      <c r="S436" s="4" t="s">
        <v>201</v>
      </c>
      <c r="U436" s="4">
        <v>13</v>
      </c>
      <c r="V436" s="4">
        <v>0</v>
      </c>
      <c r="W436" s="4">
        <v>0</v>
      </c>
    </row>
    <row r="437" spans="1:23" ht="11.25" customHeight="1" x14ac:dyDescent="0.3">
      <c r="A437" s="4" t="s">
        <v>21</v>
      </c>
      <c r="B437" s="4" t="s">
        <v>39</v>
      </c>
      <c r="C437" s="4" t="s">
        <v>40</v>
      </c>
      <c r="D437" s="4" t="s">
        <v>44</v>
      </c>
      <c r="E437" s="4" t="s">
        <v>56</v>
      </c>
      <c r="F437" s="4" t="s">
        <v>25</v>
      </c>
      <c r="G437" s="4" t="s">
        <v>25</v>
      </c>
      <c r="H437" s="4" t="s">
        <v>25</v>
      </c>
      <c r="I437" s="5">
        <v>44562</v>
      </c>
      <c r="J437" s="6">
        <v>1</v>
      </c>
      <c r="K437" s="6">
        <v>0.96</v>
      </c>
      <c r="L437" s="6">
        <v>0</v>
      </c>
      <c r="M437" s="6">
        <v>0</v>
      </c>
      <c r="N437" s="6">
        <v>0</v>
      </c>
      <c r="O437" s="6">
        <v>0</v>
      </c>
      <c r="P437" s="6">
        <v>2</v>
      </c>
      <c r="Q437" s="4" t="s">
        <v>26</v>
      </c>
      <c r="R437" s="4">
        <v>0</v>
      </c>
      <c r="S437" s="4" t="s">
        <v>202</v>
      </c>
      <c r="U437" s="4">
        <v>13</v>
      </c>
      <c r="V437" s="4">
        <v>0</v>
      </c>
      <c r="W437" s="4">
        <v>0</v>
      </c>
    </row>
    <row r="438" spans="1:23" ht="11.25" customHeight="1" x14ac:dyDescent="0.3">
      <c r="A438" s="4" t="s">
        <v>21</v>
      </c>
      <c r="B438" s="4" t="s">
        <v>39</v>
      </c>
      <c r="C438" s="4" t="s">
        <v>40</v>
      </c>
      <c r="D438" s="4" t="s">
        <v>44</v>
      </c>
      <c r="E438" s="4" t="s">
        <v>56</v>
      </c>
      <c r="F438" s="4" t="s">
        <v>25</v>
      </c>
      <c r="G438" s="4" t="s">
        <v>25</v>
      </c>
      <c r="H438" s="4" t="s">
        <v>34</v>
      </c>
      <c r="I438" s="5">
        <v>44501</v>
      </c>
      <c r="J438" s="6">
        <v>0</v>
      </c>
      <c r="K438" s="6">
        <v>0</v>
      </c>
      <c r="L438" s="6">
        <v>0.06</v>
      </c>
      <c r="M438" s="6">
        <v>5.7599999999999998E-2</v>
      </c>
      <c r="N438" s="6">
        <v>0.06</v>
      </c>
      <c r="O438" s="6">
        <v>5.7599999999999998E-2</v>
      </c>
      <c r="P438" s="6">
        <v>0</v>
      </c>
      <c r="Q438" s="4" t="s">
        <v>26</v>
      </c>
      <c r="R438" s="4">
        <v>0</v>
      </c>
      <c r="S438" s="4" t="s">
        <v>212</v>
      </c>
      <c r="T438" s="4" t="s">
        <v>433</v>
      </c>
      <c r="U438" s="4">
        <v>0</v>
      </c>
      <c r="V438" s="4">
        <v>15</v>
      </c>
      <c r="W438" s="4">
        <v>65</v>
      </c>
    </row>
    <row r="439" spans="1:23" ht="11.25" customHeight="1" x14ac:dyDescent="0.3">
      <c r="A439" s="4" t="s">
        <v>21</v>
      </c>
      <c r="B439" s="4" t="s">
        <v>39</v>
      </c>
      <c r="C439" s="4" t="s">
        <v>40</v>
      </c>
      <c r="D439" s="4" t="s">
        <v>44</v>
      </c>
      <c r="E439" s="4" t="s">
        <v>56</v>
      </c>
      <c r="F439" s="4" t="s">
        <v>25</v>
      </c>
      <c r="G439" s="4" t="s">
        <v>25</v>
      </c>
      <c r="H439" s="4" t="s">
        <v>34</v>
      </c>
      <c r="I439" s="5">
        <v>44531</v>
      </c>
      <c r="J439" s="6">
        <v>0</v>
      </c>
      <c r="K439" s="6">
        <v>0</v>
      </c>
      <c r="L439" s="6">
        <v>6.5000000000000002E-2</v>
      </c>
      <c r="M439" s="6">
        <v>6.2399999999999997E-2</v>
      </c>
      <c r="N439" s="6">
        <v>6.5000000000000002E-2</v>
      </c>
      <c r="O439" s="6">
        <v>6.2399999999999997E-2</v>
      </c>
      <c r="P439" s="6">
        <v>0</v>
      </c>
      <c r="Q439" s="4" t="s">
        <v>26</v>
      </c>
      <c r="R439" s="4">
        <v>0</v>
      </c>
      <c r="S439" s="4" t="s">
        <v>213</v>
      </c>
      <c r="T439" s="4" t="s">
        <v>434</v>
      </c>
      <c r="U439" s="4">
        <v>0</v>
      </c>
      <c r="V439" s="4">
        <v>15</v>
      </c>
      <c r="W439" s="4">
        <v>65</v>
      </c>
    </row>
    <row r="440" spans="1:23" ht="11.25" customHeight="1" x14ac:dyDescent="0.3">
      <c r="A440" s="4" t="s">
        <v>21</v>
      </c>
      <c r="B440" s="4" t="s">
        <v>39</v>
      </c>
      <c r="C440" s="4" t="s">
        <v>40</v>
      </c>
      <c r="D440" s="4" t="s">
        <v>44</v>
      </c>
      <c r="E440" s="4" t="s">
        <v>56</v>
      </c>
      <c r="F440" s="4" t="s">
        <v>25</v>
      </c>
      <c r="G440" s="4" t="s">
        <v>25</v>
      </c>
      <c r="H440" s="4" t="s">
        <v>34</v>
      </c>
      <c r="I440" s="5">
        <v>44562</v>
      </c>
      <c r="J440" s="6">
        <v>0</v>
      </c>
      <c r="K440" s="6">
        <v>0</v>
      </c>
      <c r="L440" s="6">
        <v>5.3999999999999999E-2</v>
      </c>
      <c r="M440" s="6">
        <v>5.1839999999999997E-2</v>
      </c>
      <c r="N440" s="6">
        <v>5.3999999999999999E-2</v>
      </c>
      <c r="O440" s="6">
        <v>5.1839999999999997E-2</v>
      </c>
      <c r="P440" s="6">
        <v>0</v>
      </c>
      <c r="Q440" s="4" t="s">
        <v>26</v>
      </c>
      <c r="R440" s="4">
        <v>0</v>
      </c>
      <c r="S440" s="4" t="s">
        <v>214</v>
      </c>
      <c r="T440" s="4" t="s">
        <v>435</v>
      </c>
      <c r="U440" s="4">
        <v>0</v>
      </c>
      <c r="V440" s="4">
        <v>15</v>
      </c>
      <c r="W440" s="4">
        <v>65</v>
      </c>
    </row>
    <row r="441" spans="1:23" ht="11.25" customHeight="1" x14ac:dyDescent="0.3">
      <c r="A441" s="4" t="s">
        <v>21</v>
      </c>
      <c r="B441" s="4" t="s">
        <v>39</v>
      </c>
      <c r="C441" s="4" t="s">
        <v>40</v>
      </c>
      <c r="D441" s="4" t="s">
        <v>44</v>
      </c>
      <c r="E441" s="4" t="s">
        <v>25</v>
      </c>
      <c r="F441" s="4" t="s">
        <v>25</v>
      </c>
      <c r="G441" s="4" t="s">
        <v>25</v>
      </c>
      <c r="H441" s="4" t="s">
        <v>35</v>
      </c>
      <c r="I441" s="5">
        <v>44743</v>
      </c>
      <c r="J441" s="6">
        <v>0</v>
      </c>
      <c r="K441" s="6">
        <v>0</v>
      </c>
      <c r="L441" s="6">
        <v>42.765999999999998</v>
      </c>
      <c r="M441" s="6">
        <v>41.05536</v>
      </c>
      <c r="N441" s="6">
        <v>42.765999999999998</v>
      </c>
      <c r="O441" s="6">
        <v>41.05536</v>
      </c>
      <c r="P441" s="6">
        <v>0</v>
      </c>
      <c r="Q441" s="4" t="s">
        <v>26</v>
      </c>
      <c r="R441" s="4">
        <v>0</v>
      </c>
      <c r="S441" s="4" t="s">
        <v>196</v>
      </c>
      <c r="T441" s="4" t="s">
        <v>429</v>
      </c>
      <c r="U441" s="4">
        <v>0</v>
      </c>
      <c r="V441" s="4">
        <v>17</v>
      </c>
      <c r="W441" s="4">
        <v>66</v>
      </c>
    </row>
    <row r="442" spans="1:23" ht="11.25" customHeight="1" x14ac:dyDescent="0.3">
      <c r="A442" s="4" t="s">
        <v>21</v>
      </c>
      <c r="B442" s="4" t="s">
        <v>39</v>
      </c>
      <c r="C442" s="4" t="s">
        <v>40</v>
      </c>
      <c r="D442" s="4" t="s">
        <v>44</v>
      </c>
      <c r="E442" s="4" t="s">
        <v>25</v>
      </c>
      <c r="F442" s="4" t="s">
        <v>25</v>
      </c>
      <c r="G442" s="4" t="s">
        <v>25</v>
      </c>
      <c r="H442" s="4" t="s">
        <v>35</v>
      </c>
      <c r="I442" s="5">
        <v>44774</v>
      </c>
      <c r="J442" s="6">
        <v>0</v>
      </c>
      <c r="K442" s="6">
        <v>0</v>
      </c>
      <c r="L442" s="6">
        <v>37.598999999999997</v>
      </c>
      <c r="M442" s="6">
        <v>36.095039999999997</v>
      </c>
      <c r="N442" s="6">
        <v>37.598999999999997</v>
      </c>
      <c r="O442" s="6">
        <v>36.095039999999997</v>
      </c>
      <c r="P442" s="6">
        <v>0</v>
      </c>
      <c r="Q442" s="4" t="s">
        <v>26</v>
      </c>
      <c r="R442" s="4">
        <v>0</v>
      </c>
      <c r="S442" s="4" t="s">
        <v>197</v>
      </c>
      <c r="T442" s="4" t="s">
        <v>430</v>
      </c>
      <c r="U442" s="4">
        <v>0</v>
      </c>
      <c r="V442" s="4">
        <v>17</v>
      </c>
      <c r="W442" s="4">
        <v>66</v>
      </c>
    </row>
    <row r="443" spans="1:23" ht="11.25" customHeight="1" x14ac:dyDescent="0.3">
      <c r="A443" s="4" t="s">
        <v>21</v>
      </c>
      <c r="B443" s="4" t="s">
        <v>39</v>
      </c>
      <c r="C443" s="4" t="s">
        <v>40</v>
      </c>
      <c r="D443" s="4" t="s">
        <v>44</v>
      </c>
      <c r="E443" s="4" t="s">
        <v>25</v>
      </c>
      <c r="F443" s="4" t="s">
        <v>25</v>
      </c>
      <c r="G443" s="4" t="s">
        <v>25</v>
      </c>
      <c r="H443" s="4" t="s">
        <v>35</v>
      </c>
      <c r="I443" s="5">
        <v>44805</v>
      </c>
      <c r="J443" s="6">
        <v>0</v>
      </c>
      <c r="K443" s="6">
        <v>0</v>
      </c>
      <c r="L443" s="6">
        <v>35.881999999999998</v>
      </c>
      <c r="M443" s="6">
        <v>34.446719999999999</v>
      </c>
      <c r="N443" s="6">
        <v>35.881999999999998</v>
      </c>
      <c r="O443" s="6">
        <v>34.446719999999999</v>
      </c>
      <c r="P443" s="6">
        <v>0</v>
      </c>
      <c r="Q443" s="4" t="s">
        <v>26</v>
      </c>
      <c r="R443" s="4">
        <v>0</v>
      </c>
      <c r="S443" s="4" t="s">
        <v>198</v>
      </c>
      <c r="T443" s="4" t="s">
        <v>431</v>
      </c>
      <c r="U443" s="4">
        <v>0</v>
      </c>
      <c r="V443" s="4">
        <v>17</v>
      </c>
      <c r="W443" s="4">
        <v>66</v>
      </c>
    </row>
    <row r="444" spans="1:23" ht="11.25" customHeight="1" x14ac:dyDescent="0.3">
      <c r="A444" s="4" t="s">
        <v>57</v>
      </c>
      <c r="B444" s="4" t="s">
        <v>39</v>
      </c>
      <c r="C444" s="4" t="s">
        <v>40</v>
      </c>
      <c r="D444" s="4" t="s">
        <v>44</v>
      </c>
      <c r="E444" s="4" t="s">
        <v>25</v>
      </c>
      <c r="F444" s="4" t="s">
        <v>25</v>
      </c>
      <c r="G444" s="4" t="s">
        <v>25</v>
      </c>
      <c r="H444" s="4" t="s">
        <v>35</v>
      </c>
      <c r="I444" s="5">
        <v>44835</v>
      </c>
      <c r="J444" s="6">
        <v>0</v>
      </c>
      <c r="K444" s="6">
        <v>0</v>
      </c>
      <c r="L444" s="6">
        <v>35.881999999999998</v>
      </c>
      <c r="M444" s="6">
        <v>34.446719999999999</v>
      </c>
      <c r="N444" s="6">
        <v>35.881999999999998</v>
      </c>
      <c r="O444" s="6">
        <v>34.446719999999999</v>
      </c>
      <c r="P444" s="6">
        <v>0</v>
      </c>
      <c r="Q444" s="4" t="s">
        <v>26</v>
      </c>
      <c r="R444" s="4">
        <v>0</v>
      </c>
      <c r="S444" s="4" t="s">
        <v>199</v>
      </c>
      <c r="T444" s="4" t="s">
        <v>432</v>
      </c>
      <c r="U444" s="4">
        <v>0</v>
      </c>
      <c r="V444" s="4">
        <v>17</v>
      </c>
      <c r="W444" s="4">
        <v>66</v>
      </c>
    </row>
    <row r="445" spans="1:23" ht="11.25" customHeight="1" x14ac:dyDescent="0.3">
      <c r="A445" s="4" t="s">
        <v>21</v>
      </c>
      <c r="B445" s="4" t="s">
        <v>39</v>
      </c>
      <c r="C445" s="4" t="s">
        <v>40</v>
      </c>
      <c r="D445" s="4" t="s">
        <v>44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44743</v>
      </c>
      <c r="J445" s="6">
        <v>149</v>
      </c>
      <c r="K445" s="6">
        <v>143.04</v>
      </c>
      <c r="L445" s="6">
        <v>0</v>
      </c>
      <c r="M445" s="6">
        <v>0</v>
      </c>
      <c r="N445" s="6">
        <v>0</v>
      </c>
      <c r="O445" s="6">
        <v>0</v>
      </c>
      <c r="P445" s="6">
        <v>1</v>
      </c>
      <c r="Q445" s="4" t="s">
        <v>26</v>
      </c>
      <c r="R445" s="4">
        <v>0</v>
      </c>
      <c r="S445" s="4" t="s">
        <v>208</v>
      </c>
      <c r="U445" s="4">
        <v>13</v>
      </c>
      <c r="V445" s="4">
        <v>0</v>
      </c>
      <c r="W445" s="4">
        <v>0</v>
      </c>
    </row>
    <row r="446" spans="1:23" ht="11.25" customHeight="1" x14ac:dyDescent="0.3">
      <c r="A446" s="4" t="s">
        <v>21</v>
      </c>
      <c r="B446" s="4" t="s">
        <v>39</v>
      </c>
      <c r="C446" s="4" t="s">
        <v>40</v>
      </c>
      <c r="D446" s="4" t="s">
        <v>44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44774</v>
      </c>
      <c r="J446" s="6">
        <v>149</v>
      </c>
      <c r="K446" s="6">
        <v>143.04</v>
      </c>
      <c r="L446" s="6">
        <v>0</v>
      </c>
      <c r="M446" s="6">
        <v>0</v>
      </c>
      <c r="N446" s="6">
        <v>0</v>
      </c>
      <c r="O446" s="6">
        <v>0</v>
      </c>
      <c r="P446" s="6">
        <v>1</v>
      </c>
      <c r="Q446" s="4" t="s">
        <v>26</v>
      </c>
      <c r="R446" s="4">
        <v>0</v>
      </c>
      <c r="S446" s="4" t="s">
        <v>209</v>
      </c>
      <c r="U446" s="4">
        <v>13</v>
      </c>
      <c r="V446" s="4">
        <v>0</v>
      </c>
      <c r="W446" s="4">
        <v>0</v>
      </c>
    </row>
    <row r="447" spans="1:23" ht="11.25" customHeight="1" x14ac:dyDescent="0.3">
      <c r="A447" s="4" t="s">
        <v>21</v>
      </c>
      <c r="B447" s="4" t="s">
        <v>39</v>
      </c>
      <c r="C447" s="4" t="s">
        <v>40</v>
      </c>
      <c r="D447" s="4" t="s">
        <v>44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44805</v>
      </c>
      <c r="J447" s="6">
        <v>149</v>
      </c>
      <c r="K447" s="6">
        <v>143.04</v>
      </c>
      <c r="L447" s="6">
        <v>0</v>
      </c>
      <c r="M447" s="6">
        <v>0</v>
      </c>
      <c r="N447" s="6">
        <v>0</v>
      </c>
      <c r="O447" s="6">
        <v>0</v>
      </c>
      <c r="P447" s="6">
        <v>1</v>
      </c>
      <c r="Q447" s="4" t="s">
        <v>26</v>
      </c>
      <c r="R447" s="4">
        <v>0</v>
      </c>
      <c r="S447" s="4" t="s">
        <v>210</v>
      </c>
      <c r="U447" s="4">
        <v>13</v>
      </c>
      <c r="V447" s="4">
        <v>0</v>
      </c>
      <c r="W447" s="4">
        <v>0</v>
      </c>
    </row>
    <row r="448" spans="1:23" ht="11.25" customHeight="1" x14ac:dyDescent="0.3">
      <c r="A448" s="4" t="s">
        <v>57</v>
      </c>
      <c r="B448" s="4" t="s">
        <v>39</v>
      </c>
      <c r="C448" s="4" t="s">
        <v>40</v>
      </c>
      <c r="D448" s="4" t="s">
        <v>44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44835</v>
      </c>
      <c r="J448" s="6">
        <v>149</v>
      </c>
      <c r="K448" s="6">
        <v>143.04</v>
      </c>
      <c r="L448" s="6">
        <v>0</v>
      </c>
      <c r="M448" s="6">
        <v>0</v>
      </c>
      <c r="N448" s="6">
        <v>0</v>
      </c>
      <c r="O448" s="6">
        <v>0</v>
      </c>
      <c r="P448" s="6">
        <v>1</v>
      </c>
      <c r="Q448" s="4" t="s">
        <v>26</v>
      </c>
      <c r="R448" s="4">
        <v>0</v>
      </c>
      <c r="S448" s="4" t="s">
        <v>211</v>
      </c>
      <c r="U448" s="4">
        <v>13</v>
      </c>
      <c r="V448" s="4">
        <v>0</v>
      </c>
      <c r="W448" s="4">
        <v>0</v>
      </c>
    </row>
    <row r="449" spans="1:23" ht="11.25" customHeight="1" x14ac:dyDescent="0.3">
      <c r="A449" s="4" t="s">
        <v>21</v>
      </c>
      <c r="B449" s="4" t="s">
        <v>39</v>
      </c>
      <c r="C449" s="4" t="s">
        <v>40</v>
      </c>
      <c r="D449" s="4" t="s">
        <v>44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44743</v>
      </c>
      <c r="J449" s="6">
        <v>0</v>
      </c>
      <c r="K449" s="6">
        <v>0</v>
      </c>
      <c r="L449" s="6">
        <v>4.8419999999999996</v>
      </c>
      <c r="M449" s="6">
        <v>4.64832</v>
      </c>
      <c r="N449" s="6">
        <v>4.8419999999999996</v>
      </c>
      <c r="O449" s="6">
        <v>4.64832</v>
      </c>
      <c r="P449" s="6">
        <v>0</v>
      </c>
      <c r="Q449" s="4" t="s">
        <v>26</v>
      </c>
      <c r="R449" s="4">
        <v>0</v>
      </c>
      <c r="S449" s="4" t="s">
        <v>220</v>
      </c>
      <c r="T449" s="4" t="s">
        <v>441</v>
      </c>
      <c r="U449" s="4">
        <v>0</v>
      </c>
      <c r="V449" s="4">
        <v>15</v>
      </c>
      <c r="W449" s="4">
        <v>65</v>
      </c>
    </row>
    <row r="450" spans="1:23" ht="11.25" customHeight="1" x14ac:dyDescent="0.3">
      <c r="A450" s="4" t="s">
        <v>21</v>
      </c>
      <c r="B450" s="4" t="s">
        <v>39</v>
      </c>
      <c r="C450" s="4" t="s">
        <v>40</v>
      </c>
      <c r="D450" s="4" t="s">
        <v>44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44774</v>
      </c>
      <c r="J450" s="6">
        <v>0</v>
      </c>
      <c r="K450" s="6">
        <v>0</v>
      </c>
      <c r="L450" s="6">
        <v>4.8959999999999999</v>
      </c>
      <c r="M450" s="6">
        <v>4.7001600000000003</v>
      </c>
      <c r="N450" s="6">
        <v>4.8959999999999999</v>
      </c>
      <c r="O450" s="6">
        <v>4.7001600000000003</v>
      </c>
      <c r="P450" s="6">
        <v>0</v>
      </c>
      <c r="Q450" s="4" t="s">
        <v>26</v>
      </c>
      <c r="R450" s="4">
        <v>0</v>
      </c>
      <c r="S450" s="4" t="s">
        <v>221</v>
      </c>
      <c r="T450" s="4" t="s">
        <v>442</v>
      </c>
      <c r="U450" s="4">
        <v>0</v>
      </c>
      <c r="V450" s="4">
        <v>15</v>
      </c>
      <c r="W450" s="4">
        <v>65</v>
      </c>
    </row>
    <row r="451" spans="1:23" ht="11.25" customHeight="1" x14ac:dyDescent="0.3">
      <c r="A451" s="4" t="s">
        <v>21</v>
      </c>
      <c r="B451" s="4" t="s">
        <v>39</v>
      </c>
      <c r="C451" s="4" t="s">
        <v>40</v>
      </c>
      <c r="D451" s="4" t="s">
        <v>44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44805</v>
      </c>
      <c r="J451" s="6">
        <v>0</v>
      </c>
      <c r="K451" s="6">
        <v>0</v>
      </c>
      <c r="L451" s="6">
        <v>4.335</v>
      </c>
      <c r="M451" s="6">
        <v>4.1616</v>
      </c>
      <c r="N451" s="6">
        <v>4.335</v>
      </c>
      <c r="O451" s="6">
        <v>4.1616</v>
      </c>
      <c r="P451" s="6">
        <v>0</v>
      </c>
      <c r="Q451" s="4" t="s">
        <v>26</v>
      </c>
      <c r="R451" s="4">
        <v>0</v>
      </c>
      <c r="S451" s="4" t="s">
        <v>222</v>
      </c>
      <c r="T451" s="4" t="s">
        <v>443</v>
      </c>
      <c r="U451" s="4">
        <v>0</v>
      </c>
      <c r="V451" s="4">
        <v>15</v>
      </c>
      <c r="W451" s="4">
        <v>65</v>
      </c>
    </row>
    <row r="452" spans="1:23" ht="11.25" customHeight="1" x14ac:dyDescent="0.3">
      <c r="A452" s="4" t="s">
        <v>57</v>
      </c>
      <c r="B452" s="4" t="s">
        <v>39</v>
      </c>
      <c r="C452" s="4" t="s">
        <v>40</v>
      </c>
      <c r="D452" s="4" t="s">
        <v>44</v>
      </c>
      <c r="E452" s="4" t="s">
        <v>25</v>
      </c>
      <c r="F452" s="4" t="s">
        <v>25</v>
      </c>
      <c r="G452" s="4" t="s">
        <v>25</v>
      </c>
      <c r="H452" s="4" t="s">
        <v>34</v>
      </c>
      <c r="I452" s="5">
        <v>44835</v>
      </c>
      <c r="J452" s="6">
        <v>0</v>
      </c>
      <c r="K452" s="6">
        <v>0</v>
      </c>
      <c r="L452" s="6">
        <v>4.335</v>
      </c>
      <c r="M452" s="6">
        <v>4.1616</v>
      </c>
      <c r="N452" s="6">
        <v>4.335</v>
      </c>
      <c r="O452" s="6">
        <v>4.1616</v>
      </c>
      <c r="P452" s="6">
        <v>0</v>
      </c>
      <c r="Q452" s="4" t="s">
        <v>26</v>
      </c>
      <c r="R452" s="4">
        <v>0</v>
      </c>
      <c r="S452" s="4" t="s">
        <v>223</v>
      </c>
      <c r="T452" s="4" t="s">
        <v>444</v>
      </c>
      <c r="U452" s="4">
        <v>0</v>
      </c>
      <c r="V452" s="4">
        <v>15</v>
      </c>
      <c r="W452" s="4">
        <v>65</v>
      </c>
    </row>
    <row r="453" spans="1:23" ht="11.25" customHeight="1" x14ac:dyDescent="0.3">
      <c r="A453" s="4" t="s">
        <v>21</v>
      </c>
      <c r="B453" s="4" t="s">
        <v>39</v>
      </c>
      <c r="C453" s="4" t="s">
        <v>40</v>
      </c>
      <c r="D453" s="4" t="s">
        <v>50</v>
      </c>
      <c r="E453" s="4" t="s">
        <v>51</v>
      </c>
      <c r="F453" s="4" t="s">
        <v>25</v>
      </c>
      <c r="G453" s="4" t="s">
        <v>25</v>
      </c>
      <c r="H453" s="4" t="s">
        <v>35</v>
      </c>
      <c r="I453" s="5">
        <v>44501</v>
      </c>
      <c r="J453" s="6">
        <v>0</v>
      </c>
      <c r="K453" s="6">
        <v>0</v>
      </c>
      <c r="L453" s="6">
        <v>4.2469999999999999</v>
      </c>
      <c r="M453" s="6">
        <v>3.9921799999999998</v>
      </c>
      <c r="N453" s="6">
        <v>4.2469999999999999</v>
      </c>
      <c r="O453" s="6">
        <v>3.9921799999999998</v>
      </c>
      <c r="P453" s="6">
        <v>0</v>
      </c>
      <c r="Q453" s="4" t="s">
        <v>26</v>
      </c>
      <c r="R453" s="4">
        <v>0</v>
      </c>
      <c r="S453" s="4" t="s">
        <v>188</v>
      </c>
      <c r="T453" s="4" t="s">
        <v>421</v>
      </c>
      <c r="U453" s="4">
        <v>0</v>
      </c>
      <c r="V453" s="4">
        <v>17</v>
      </c>
      <c r="W453" s="4">
        <v>66</v>
      </c>
    </row>
    <row r="454" spans="1:23" ht="11.25" customHeight="1" x14ac:dyDescent="0.3">
      <c r="A454" s="4" t="s">
        <v>21</v>
      </c>
      <c r="B454" s="4" t="s">
        <v>39</v>
      </c>
      <c r="C454" s="4" t="s">
        <v>40</v>
      </c>
      <c r="D454" s="4" t="s">
        <v>50</v>
      </c>
      <c r="E454" s="4" t="s">
        <v>51</v>
      </c>
      <c r="F454" s="4" t="s">
        <v>25</v>
      </c>
      <c r="G454" s="4" t="s">
        <v>25</v>
      </c>
      <c r="H454" s="4" t="s">
        <v>35</v>
      </c>
      <c r="I454" s="5">
        <v>44531</v>
      </c>
      <c r="J454" s="6">
        <v>0</v>
      </c>
      <c r="K454" s="6">
        <v>0</v>
      </c>
      <c r="L454" s="6">
        <v>4.4820000000000002</v>
      </c>
      <c r="M454" s="6">
        <v>4.2130799999999997</v>
      </c>
      <c r="N454" s="6">
        <v>4.4820000000000002</v>
      </c>
      <c r="O454" s="6">
        <v>4.2130799999999997</v>
      </c>
      <c r="P454" s="6">
        <v>0</v>
      </c>
      <c r="Q454" s="4" t="s">
        <v>26</v>
      </c>
      <c r="R454" s="4">
        <v>0</v>
      </c>
      <c r="S454" s="4" t="s">
        <v>189</v>
      </c>
      <c r="T454" s="4" t="s">
        <v>422</v>
      </c>
      <c r="U454" s="4">
        <v>0</v>
      </c>
      <c r="V454" s="4">
        <v>17</v>
      </c>
      <c r="W454" s="4">
        <v>66</v>
      </c>
    </row>
    <row r="455" spans="1:23" ht="11.25" customHeight="1" x14ac:dyDescent="0.3">
      <c r="A455" s="4" t="s">
        <v>21</v>
      </c>
      <c r="B455" s="4" t="s">
        <v>39</v>
      </c>
      <c r="C455" s="4" t="s">
        <v>40</v>
      </c>
      <c r="D455" s="4" t="s">
        <v>50</v>
      </c>
      <c r="E455" s="4" t="s">
        <v>51</v>
      </c>
      <c r="F455" s="4" t="s">
        <v>25</v>
      </c>
      <c r="G455" s="4" t="s">
        <v>25</v>
      </c>
      <c r="H455" s="4" t="s">
        <v>35</v>
      </c>
      <c r="I455" s="5">
        <v>44562</v>
      </c>
      <c r="J455" s="6">
        <v>0</v>
      </c>
      <c r="K455" s="6">
        <v>0</v>
      </c>
      <c r="L455" s="6">
        <v>4.8070000000000004</v>
      </c>
      <c r="M455" s="6">
        <v>4.51858</v>
      </c>
      <c r="N455" s="6">
        <v>4.8070000000000004</v>
      </c>
      <c r="O455" s="6">
        <v>4.51858</v>
      </c>
      <c r="P455" s="6">
        <v>0</v>
      </c>
      <c r="Q455" s="4" t="s">
        <v>26</v>
      </c>
      <c r="R455" s="4">
        <v>0</v>
      </c>
      <c r="S455" s="4" t="s">
        <v>190</v>
      </c>
      <c r="T455" s="4" t="s">
        <v>423</v>
      </c>
      <c r="U455" s="4">
        <v>0</v>
      </c>
      <c r="V455" s="4">
        <v>17</v>
      </c>
      <c r="W455" s="4">
        <v>66</v>
      </c>
    </row>
    <row r="456" spans="1:23" ht="11.25" customHeight="1" x14ac:dyDescent="0.3">
      <c r="A456" s="4" t="s">
        <v>21</v>
      </c>
      <c r="B456" s="4" t="s">
        <v>39</v>
      </c>
      <c r="C456" s="4" t="s">
        <v>40</v>
      </c>
      <c r="D456" s="4" t="s">
        <v>50</v>
      </c>
      <c r="E456" s="4" t="s">
        <v>51</v>
      </c>
      <c r="F456" s="4" t="s">
        <v>25</v>
      </c>
      <c r="G456" s="4" t="s">
        <v>25</v>
      </c>
      <c r="H456" s="4" t="s">
        <v>35</v>
      </c>
      <c r="I456" s="5">
        <v>44593</v>
      </c>
      <c r="J456" s="6">
        <v>0</v>
      </c>
      <c r="K456" s="6">
        <v>0</v>
      </c>
      <c r="L456" s="6">
        <v>4.109</v>
      </c>
      <c r="M456" s="6">
        <v>3.86246</v>
      </c>
      <c r="N456" s="6">
        <v>4.109</v>
      </c>
      <c r="O456" s="6">
        <v>3.86246</v>
      </c>
      <c r="P456" s="6">
        <v>0</v>
      </c>
      <c r="Q456" s="4" t="s">
        <v>26</v>
      </c>
      <c r="R456" s="4">
        <v>0</v>
      </c>
      <c r="S456" s="4" t="s">
        <v>191</v>
      </c>
      <c r="T456" s="4" t="s">
        <v>424</v>
      </c>
      <c r="U456" s="4">
        <v>0</v>
      </c>
      <c r="V456" s="4">
        <v>17</v>
      </c>
      <c r="W456" s="4">
        <v>66</v>
      </c>
    </row>
    <row r="457" spans="1:23" ht="11.25" customHeight="1" x14ac:dyDescent="0.3">
      <c r="A457" s="4" t="s">
        <v>21</v>
      </c>
      <c r="B457" s="4" t="s">
        <v>39</v>
      </c>
      <c r="C457" s="4" t="s">
        <v>40</v>
      </c>
      <c r="D457" s="4" t="s">
        <v>50</v>
      </c>
      <c r="E457" s="4" t="s">
        <v>51</v>
      </c>
      <c r="F457" s="4" t="s">
        <v>25</v>
      </c>
      <c r="G457" s="4" t="s">
        <v>25</v>
      </c>
      <c r="H457" s="4" t="s">
        <v>35</v>
      </c>
      <c r="I457" s="5">
        <v>44621</v>
      </c>
      <c r="J457" s="6">
        <v>0</v>
      </c>
      <c r="K457" s="6">
        <v>0</v>
      </c>
      <c r="L457" s="6">
        <v>4.4290000000000003</v>
      </c>
      <c r="M457" s="6">
        <v>4.1632600000000002</v>
      </c>
      <c r="N457" s="6">
        <v>4.4290000000000003</v>
      </c>
      <c r="O457" s="6">
        <v>4.1632600000000002</v>
      </c>
      <c r="P457" s="6">
        <v>0</v>
      </c>
      <c r="Q457" s="4" t="s">
        <v>26</v>
      </c>
      <c r="R457" s="4">
        <v>0</v>
      </c>
      <c r="S457" s="4" t="s">
        <v>192</v>
      </c>
      <c r="T457" s="4" t="s">
        <v>425</v>
      </c>
      <c r="U457" s="4">
        <v>0</v>
      </c>
      <c r="V457" s="4">
        <v>17</v>
      </c>
      <c r="W457" s="4">
        <v>66</v>
      </c>
    </row>
    <row r="458" spans="1:23" ht="11.25" customHeight="1" x14ac:dyDescent="0.3">
      <c r="A458" s="4" t="s">
        <v>21</v>
      </c>
      <c r="B458" s="4" t="s">
        <v>39</v>
      </c>
      <c r="C458" s="4" t="s">
        <v>40</v>
      </c>
      <c r="D458" s="4" t="s">
        <v>50</v>
      </c>
      <c r="E458" s="4" t="s">
        <v>51</v>
      </c>
      <c r="F458" s="4" t="s">
        <v>25</v>
      </c>
      <c r="G458" s="4" t="s">
        <v>25</v>
      </c>
      <c r="H458" s="4" t="s">
        <v>35</v>
      </c>
      <c r="I458" s="5">
        <v>44652</v>
      </c>
      <c r="J458" s="6">
        <v>0</v>
      </c>
      <c r="K458" s="6">
        <v>0</v>
      </c>
      <c r="L458" s="6">
        <v>4.5819999999999999</v>
      </c>
      <c r="M458" s="6">
        <v>4.30708</v>
      </c>
      <c r="N458" s="6">
        <v>4.5819999999999999</v>
      </c>
      <c r="O458" s="6">
        <v>4.30708</v>
      </c>
      <c r="P458" s="6">
        <v>0</v>
      </c>
      <c r="Q458" s="4" t="s">
        <v>26</v>
      </c>
      <c r="R458" s="4">
        <v>0</v>
      </c>
      <c r="S458" s="4" t="s">
        <v>193</v>
      </c>
      <c r="T458" s="4" t="s">
        <v>426</v>
      </c>
      <c r="U458" s="4">
        <v>0</v>
      </c>
      <c r="V458" s="4">
        <v>17</v>
      </c>
      <c r="W458" s="4">
        <v>66</v>
      </c>
    </row>
    <row r="459" spans="1:23" ht="11.25" customHeight="1" x14ac:dyDescent="0.3">
      <c r="A459" s="4" t="s">
        <v>21</v>
      </c>
      <c r="B459" s="4" t="s">
        <v>39</v>
      </c>
      <c r="C459" s="4" t="s">
        <v>40</v>
      </c>
      <c r="D459" s="4" t="s">
        <v>50</v>
      </c>
      <c r="E459" s="4" t="s">
        <v>51</v>
      </c>
      <c r="F459" s="4" t="s">
        <v>25</v>
      </c>
      <c r="G459" s="4" t="s">
        <v>25</v>
      </c>
      <c r="H459" s="4" t="s">
        <v>35</v>
      </c>
      <c r="I459" s="5">
        <v>44682</v>
      </c>
      <c r="J459" s="6">
        <v>0</v>
      </c>
      <c r="K459" s="6">
        <v>0</v>
      </c>
      <c r="L459" s="6">
        <v>4.84</v>
      </c>
      <c r="M459" s="6">
        <v>4.5495999999999999</v>
      </c>
      <c r="N459" s="6">
        <v>4.84</v>
      </c>
      <c r="O459" s="6">
        <v>4.5495999999999999</v>
      </c>
      <c r="P459" s="6">
        <v>0</v>
      </c>
      <c r="Q459" s="4" t="s">
        <v>26</v>
      </c>
      <c r="R459" s="4">
        <v>0</v>
      </c>
      <c r="S459" s="4" t="s">
        <v>194</v>
      </c>
      <c r="T459" s="4" t="s">
        <v>427</v>
      </c>
      <c r="U459" s="4">
        <v>0</v>
      </c>
      <c r="V459" s="4">
        <v>17</v>
      </c>
      <c r="W459" s="4">
        <v>66</v>
      </c>
    </row>
    <row r="460" spans="1:23" ht="11.25" customHeight="1" x14ac:dyDescent="0.3">
      <c r="A460" s="4" t="s">
        <v>21</v>
      </c>
      <c r="B460" s="4" t="s">
        <v>39</v>
      </c>
      <c r="C460" s="4" t="s">
        <v>40</v>
      </c>
      <c r="D460" s="4" t="s">
        <v>50</v>
      </c>
      <c r="E460" s="4" t="s">
        <v>51</v>
      </c>
      <c r="F460" s="4" t="s">
        <v>25</v>
      </c>
      <c r="G460" s="4" t="s">
        <v>25</v>
      </c>
      <c r="H460" s="4" t="s">
        <v>35</v>
      </c>
      <c r="I460" s="5">
        <v>44713</v>
      </c>
      <c r="J460" s="6">
        <v>0</v>
      </c>
      <c r="K460" s="6">
        <v>0</v>
      </c>
      <c r="L460" s="6">
        <v>4.8019999999999996</v>
      </c>
      <c r="M460" s="6">
        <v>4.5138800000000003</v>
      </c>
      <c r="N460" s="6">
        <v>4.8019999999999996</v>
      </c>
      <c r="O460" s="6">
        <v>4.5138800000000003</v>
      </c>
      <c r="P460" s="6">
        <v>0</v>
      </c>
      <c r="Q460" s="4" t="s">
        <v>26</v>
      </c>
      <c r="R460" s="4">
        <v>0</v>
      </c>
      <c r="S460" s="4" t="s">
        <v>195</v>
      </c>
      <c r="T460" s="4" t="s">
        <v>428</v>
      </c>
      <c r="U460" s="4">
        <v>0</v>
      </c>
      <c r="V460" s="4">
        <v>17</v>
      </c>
      <c r="W460" s="4">
        <v>66</v>
      </c>
    </row>
    <row r="461" spans="1:23" ht="11.25" customHeight="1" x14ac:dyDescent="0.3">
      <c r="A461" s="4" t="s">
        <v>21</v>
      </c>
      <c r="B461" s="4" t="s">
        <v>39</v>
      </c>
      <c r="C461" s="4" t="s">
        <v>40</v>
      </c>
      <c r="D461" s="4" t="s">
        <v>50</v>
      </c>
      <c r="E461" s="4" t="s">
        <v>51</v>
      </c>
      <c r="F461" s="4" t="s">
        <v>25</v>
      </c>
      <c r="G461" s="4" t="s">
        <v>25</v>
      </c>
      <c r="H461" s="4" t="s">
        <v>35</v>
      </c>
      <c r="I461" s="5">
        <v>44743</v>
      </c>
      <c r="J461" s="6">
        <v>0</v>
      </c>
      <c r="K461" s="6">
        <v>0</v>
      </c>
      <c r="L461" s="6">
        <v>5.4009999999999998</v>
      </c>
      <c r="M461" s="6">
        <v>5.0769399999999996</v>
      </c>
      <c r="N461" s="6">
        <v>5.4009999999999998</v>
      </c>
      <c r="O461" s="6">
        <v>5.0769399999999996</v>
      </c>
      <c r="P461" s="6">
        <v>0</v>
      </c>
      <c r="Q461" s="4" t="s">
        <v>26</v>
      </c>
      <c r="R461" s="4">
        <v>0</v>
      </c>
      <c r="S461" s="4" t="s">
        <v>196</v>
      </c>
      <c r="T461" s="4" t="s">
        <v>429</v>
      </c>
      <c r="U461" s="4">
        <v>0</v>
      </c>
      <c r="V461" s="4">
        <v>17</v>
      </c>
      <c r="W461" s="4">
        <v>66</v>
      </c>
    </row>
    <row r="462" spans="1:23" ht="11.25" customHeight="1" x14ac:dyDescent="0.3">
      <c r="A462" s="4" t="s">
        <v>21</v>
      </c>
      <c r="B462" s="4" t="s">
        <v>39</v>
      </c>
      <c r="C462" s="4" t="s">
        <v>40</v>
      </c>
      <c r="D462" s="4" t="s">
        <v>50</v>
      </c>
      <c r="E462" s="4" t="s">
        <v>51</v>
      </c>
      <c r="F462" s="4" t="s">
        <v>25</v>
      </c>
      <c r="G462" s="4" t="s">
        <v>25</v>
      </c>
      <c r="H462" s="4" t="s">
        <v>35</v>
      </c>
      <c r="I462" s="5">
        <v>44774</v>
      </c>
      <c r="J462" s="6">
        <v>0</v>
      </c>
      <c r="K462" s="6">
        <v>0</v>
      </c>
      <c r="L462" s="6">
        <v>5.5839999999999996</v>
      </c>
      <c r="M462" s="6">
        <v>5.2489600000000003</v>
      </c>
      <c r="N462" s="6">
        <v>5.5839999999999996</v>
      </c>
      <c r="O462" s="6">
        <v>5.2489600000000003</v>
      </c>
      <c r="P462" s="6">
        <v>0</v>
      </c>
      <c r="Q462" s="4" t="s">
        <v>26</v>
      </c>
      <c r="R462" s="4">
        <v>0</v>
      </c>
      <c r="S462" s="4" t="s">
        <v>197</v>
      </c>
      <c r="T462" s="4" t="s">
        <v>430</v>
      </c>
      <c r="U462" s="4">
        <v>0</v>
      </c>
      <c r="V462" s="4">
        <v>17</v>
      </c>
      <c r="W462" s="4">
        <v>66</v>
      </c>
    </row>
    <row r="463" spans="1:23" ht="11.25" customHeight="1" x14ac:dyDescent="0.3">
      <c r="A463" s="4" t="s">
        <v>21</v>
      </c>
      <c r="B463" s="4" t="s">
        <v>39</v>
      </c>
      <c r="C463" s="4" t="s">
        <v>40</v>
      </c>
      <c r="D463" s="4" t="s">
        <v>50</v>
      </c>
      <c r="E463" s="4" t="s">
        <v>51</v>
      </c>
      <c r="F463" s="4" t="s">
        <v>25</v>
      </c>
      <c r="G463" s="4" t="s">
        <v>25</v>
      </c>
      <c r="H463" s="4" t="s">
        <v>35</v>
      </c>
      <c r="I463" s="5">
        <v>44805</v>
      </c>
      <c r="J463" s="6">
        <v>0</v>
      </c>
      <c r="K463" s="6">
        <v>0</v>
      </c>
      <c r="L463" s="6">
        <v>5.4020000000000001</v>
      </c>
      <c r="M463" s="6">
        <v>5.0778800000000004</v>
      </c>
      <c r="N463" s="6">
        <v>5.4020000000000001</v>
      </c>
      <c r="O463" s="6">
        <v>5.0778800000000004</v>
      </c>
      <c r="P463" s="6">
        <v>0</v>
      </c>
      <c r="Q463" s="4" t="s">
        <v>26</v>
      </c>
      <c r="R463" s="4">
        <v>0</v>
      </c>
      <c r="S463" s="4" t="s">
        <v>198</v>
      </c>
      <c r="T463" s="4" t="s">
        <v>431</v>
      </c>
      <c r="U463" s="4">
        <v>0</v>
      </c>
      <c r="V463" s="4">
        <v>17</v>
      </c>
      <c r="W463" s="4">
        <v>66</v>
      </c>
    </row>
    <row r="464" spans="1:23" ht="11.25" customHeight="1" x14ac:dyDescent="0.3">
      <c r="A464" s="4" t="s">
        <v>57</v>
      </c>
      <c r="B464" s="4" t="s">
        <v>39</v>
      </c>
      <c r="C464" s="4" t="s">
        <v>40</v>
      </c>
      <c r="D464" s="4" t="s">
        <v>50</v>
      </c>
      <c r="E464" s="4" t="s">
        <v>51</v>
      </c>
      <c r="F464" s="4" t="s">
        <v>25</v>
      </c>
      <c r="G464" s="4" t="s">
        <v>25</v>
      </c>
      <c r="H464" s="4" t="s">
        <v>35</v>
      </c>
      <c r="I464" s="5">
        <v>44835</v>
      </c>
      <c r="J464" s="6">
        <v>0</v>
      </c>
      <c r="K464" s="6">
        <v>0</v>
      </c>
      <c r="L464" s="6">
        <v>5.4020000000000001</v>
      </c>
      <c r="M464" s="6">
        <v>5.0778800000000004</v>
      </c>
      <c r="N464" s="6">
        <v>5.4020000000000001</v>
      </c>
      <c r="O464" s="6">
        <v>5.0778800000000004</v>
      </c>
      <c r="P464" s="6">
        <v>0</v>
      </c>
      <c r="Q464" s="4" t="s">
        <v>26</v>
      </c>
      <c r="R464" s="4">
        <v>0</v>
      </c>
      <c r="S464" s="4" t="s">
        <v>199</v>
      </c>
      <c r="T464" s="4" t="s">
        <v>432</v>
      </c>
      <c r="U464" s="4">
        <v>0</v>
      </c>
      <c r="V464" s="4">
        <v>17</v>
      </c>
      <c r="W464" s="4">
        <v>66</v>
      </c>
    </row>
    <row r="465" spans="1:23" ht="11.25" customHeight="1" x14ac:dyDescent="0.3">
      <c r="A465" s="4" t="s">
        <v>21</v>
      </c>
      <c r="B465" s="4" t="s">
        <v>39</v>
      </c>
      <c r="C465" s="4" t="s">
        <v>40</v>
      </c>
      <c r="D465" s="4" t="s">
        <v>50</v>
      </c>
      <c r="E465" s="4" t="s">
        <v>51</v>
      </c>
      <c r="F465" s="4" t="s">
        <v>25</v>
      </c>
      <c r="G465" s="4" t="s">
        <v>25</v>
      </c>
      <c r="H465" s="4" t="s">
        <v>25</v>
      </c>
      <c r="I465" s="5">
        <v>44501</v>
      </c>
      <c r="J465" s="6">
        <v>30</v>
      </c>
      <c r="K465" s="6">
        <v>28.2</v>
      </c>
      <c r="L465" s="6">
        <v>0</v>
      </c>
      <c r="M465" s="6">
        <v>0</v>
      </c>
      <c r="N465" s="6">
        <v>0</v>
      </c>
      <c r="O465" s="6">
        <v>0</v>
      </c>
      <c r="P465" s="6">
        <v>1</v>
      </c>
      <c r="Q465" s="4" t="s">
        <v>26</v>
      </c>
      <c r="R465" s="4">
        <v>0</v>
      </c>
      <c r="S465" s="4" t="s">
        <v>200</v>
      </c>
      <c r="U465" s="4">
        <v>13</v>
      </c>
      <c r="V465" s="4">
        <v>0</v>
      </c>
      <c r="W465" s="4">
        <v>0</v>
      </c>
    </row>
    <row r="466" spans="1:23" ht="11.25" customHeight="1" x14ac:dyDescent="0.3">
      <c r="A466" s="4" t="s">
        <v>21</v>
      </c>
      <c r="B466" s="4" t="s">
        <v>39</v>
      </c>
      <c r="C466" s="4" t="s">
        <v>40</v>
      </c>
      <c r="D466" s="4" t="s">
        <v>50</v>
      </c>
      <c r="E466" s="4" t="s">
        <v>51</v>
      </c>
      <c r="F466" s="4" t="s">
        <v>25</v>
      </c>
      <c r="G466" s="4" t="s">
        <v>25</v>
      </c>
      <c r="H466" s="4" t="s">
        <v>25</v>
      </c>
      <c r="I466" s="5">
        <v>44531</v>
      </c>
      <c r="J466" s="6">
        <v>30</v>
      </c>
      <c r="K466" s="6">
        <v>28.2</v>
      </c>
      <c r="L466" s="6">
        <v>0</v>
      </c>
      <c r="M466" s="6">
        <v>0</v>
      </c>
      <c r="N466" s="6">
        <v>0</v>
      </c>
      <c r="O466" s="6">
        <v>0</v>
      </c>
      <c r="P466" s="6">
        <v>1</v>
      </c>
      <c r="Q466" s="4" t="s">
        <v>26</v>
      </c>
      <c r="R466" s="4">
        <v>0</v>
      </c>
      <c r="S466" s="4" t="s">
        <v>201</v>
      </c>
      <c r="U466" s="4">
        <v>13</v>
      </c>
      <c r="V466" s="4">
        <v>0</v>
      </c>
      <c r="W466" s="4">
        <v>0</v>
      </c>
    </row>
    <row r="467" spans="1:23" ht="11.25" customHeight="1" x14ac:dyDescent="0.3">
      <c r="A467" s="4" t="s">
        <v>21</v>
      </c>
      <c r="B467" s="4" t="s">
        <v>39</v>
      </c>
      <c r="C467" s="4" t="s">
        <v>40</v>
      </c>
      <c r="D467" s="4" t="s">
        <v>50</v>
      </c>
      <c r="E467" s="4" t="s">
        <v>51</v>
      </c>
      <c r="F467" s="4" t="s">
        <v>25</v>
      </c>
      <c r="G467" s="4" t="s">
        <v>25</v>
      </c>
      <c r="H467" s="4" t="s">
        <v>25</v>
      </c>
      <c r="I467" s="5">
        <v>44562</v>
      </c>
      <c r="J467" s="6">
        <v>30</v>
      </c>
      <c r="K467" s="6">
        <v>28.2</v>
      </c>
      <c r="L467" s="6">
        <v>0</v>
      </c>
      <c r="M467" s="6">
        <v>0</v>
      </c>
      <c r="N467" s="6">
        <v>0</v>
      </c>
      <c r="O467" s="6">
        <v>0</v>
      </c>
      <c r="P467" s="6">
        <v>1</v>
      </c>
      <c r="Q467" s="4" t="s">
        <v>26</v>
      </c>
      <c r="R467" s="4">
        <v>0</v>
      </c>
      <c r="S467" s="4" t="s">
        <v>202</v>
      </c>
      <c r="U467" s="4">
        <v>13</v>
      </c>
      <c r="V467" s="4">
        <v>0</v>
      </c>
      <c r="W467" s="4">
        <v>0</v>
      </c>
    </row>
    <row r="468" spans="1:23" ht="11.25" customHeight="1" x14ac:dyDescent="0.3">
      <c r="A468" s="4" t="s">
        <v>21</v>
      </c>
      <c r="B468" s="4" t="s">
        <v>39</v>
      </c>
      <c r="C468" s="4" t="s">
        <v>40</v>
      </c>
      <c r="D468" s="4" t="s">
        <v>50</v>
      </c>
      <c r="E468" s="4" t="s">
        <v>51</v>
      </c>
      <c r="F468" s="4" t="s">
        <v>25</v>
      </c>
      <c r="G468" s="4" t="s">
        <v>25</v>
      </c>
      <c r="H468" s="4" t="s">
        <v>25</v>
      </c>
      <c r="I468" s="5">
        <v>44593</v>
      </c>
      <c r="J468" s="6">
        <v>30</v>
      </c>
      <c r="K468" s="6">
        <v>28.2</v>
      </c>
      <c r="L468" s="6">
        <v>0</v>
      </c>
      <c r="M468" s="6">
        <v>0</v>
      </c>
      <c r="N468" s="6">
        <v>0</v>
      </c>
      <c r="O468" s="6">
        <v>0</v>
      </c>
      <c r="P468" s="6">
        <v>1</v>
      </c>
      <c r="Q468" s="4" t="s">
        <v>26</v>
      </c>
      <c r="R468" s="4">
        <v>0</v>
      </c>
      <c r="S468" s="4" t="s">
        <v>203</v>
      </c>
      <c r="U468" s="4">
        <v>13</v>
      </c>
      <c r="V468" s="4">
        <v>0</v>
      </c>
      <c r="W468" s="4">
        <v>0</v>
      </c>
    </row>
    <row r="469" spans="1:23" ht="11.25" customHeight="1" x14ac:dyDescent="0.3">
      <c r="A469" s="4" t="s">
        <v>21</v>
      </c>
      <c r="B469" s="4" t="s">
        <v>39</v>
      </c>
      <c r="C469" s="4" t="s">
        <v>40</v>
      </c>
      <c r="D469" s="4" t="s">
        <v>50</v>
      </c>
      <c r="E469" s="4" t="s">
        <v>51</v>
      </c>
      <c r="F469" s="4" t="s">
        <v>25</v>
      </c>
      <c r="G469" s="4" t="s">
        <v>25</v>
      </c>
      <c r="H469" s="4" t="s">
        <v>25</v>
      </c>
      <c r="I469" s="5">
        <v>44621</v>
      </c>
      <c r="J469" s="6">
        <v>30</v>
      </c>
      <c r="K469" s="6">
        <v>28.2</v>
      </c>
      <c r="L469" s="6">
        <v>0</v>
      </c>
      <c r="M469" s="6">
        <v>0</v>
      </c>
      <c r="N469" s="6">
        <v>0</v>
      </c>
      <c r="O469" s="6">
        <v>0</v>
      </c>
      <c r="P469" s="6">
        <v>1</v>
      </c>
      <c r="Q469" s="4" t="s">
        <v>26</v>
      </c>
      <c r="R469" s="4">
        <v>0</v>
      </c>
      <c r="S469" s="4" t="s">
        <v>204</v>
      </c>
      <c r="U469" s="4">
        <v>13</v>
      </c>
      <c r="V469" s="4">
        <v>0</v>
      </c>
      <c r="W469" s="4">
        <v>0</v>
      </c>
    </row>
    <row r="470" spans="1:23" ht="11.25" customHeight="1" x14ac:dyDescent="0.3">
      <c r="A470" s="4" t="s">
        <v>21</v>
      </c>
      <c r="B470" s="4" t="s">
        <v>39</v>
      </c>
      <c r="C470" s="4" t="s">
        <v>40</v>
      </c>
      <c r="D470" s="4" t="s">
        <v>50</v>
      </c>
      <c r="E470" s="4" t="s">
        <v>51</v>
      </c>
      <c r="F470" s="4" t="s">
        <v>25</v>
      </c>
      <c r="G470" s="4" t="s">
        <v>25</v>
      </c>
      <c r="H470" s="4" t="s">
        <v>25</v>
      </c>
      <c r="I470" s="5">
        <v>44652</v>
      </c>
      <c r="J470" s="6">
        <v>30</v>
      </c>
      <c r="K470" s="6">
        <v>28.2</v>
      </c>
      <c r="L470" s="6">
        <v>0</v>
      </c>
      <c r="M470" s="6">
        <v>0</v>
      </c>
      <c r="N470" s="6">
        <v>0</v>
      </c>
      <c r="O470" s="6">
        <v>0</v>
      </c>
      <c r="P470" s="6">
        <v>1</v>
      </c>
      <c r="Q470" s="4" t="s">
        <v>26</v>
      </c>
      <c r="R470" s="4">
        <v>0</v>
      </c>
      <c r="S470" s="4" t="s">
        <v>205</v>
      </c>
      <c r="U470" s="4">
        <v>13</v>
      </c>
      <c r="V470" s="4">
        <v>0</v>
      </c>
      <c r="W470" s="4">
        <v>0</v>
      </c>
    </row>
    <row r="471" spans="1:23" ht="11.25" customHeight="1" x14ac:dyDescent="0.3">
      <c r="A471" s="4" t="s">
        <v>21</v>
      </c>
      <c r="B471" s="4" t="s">
        <v>39</v>
      </c>
      <c r="C471" s="4" t="s">
        <v>40</v>
      </c>
      <c r="D471" s="4" t="s">
        <v>50</v>
      </c>
      <c r="E471" s="4" t="s">
        <v>51</v>
      </c>
      <c r="F471" s="4" t="s">
        <v>25</v>
      </c>
      <c r="G471" s="4" t="s">
        <v>25</v>
      </c>
      <c r="H471" s="4" t="s">
        <v>25</v>
      </c>
      <c r="I471" s="5">
        <v>44682</v>
      </c>
      <c r="J471" s="6">
        <v>30</v>
      </c>
      <c r="K471" s="6">
        <v>28.2</v>
      </c>
      <c r="L471" s="6">
        <v>0</v>
      </c>
      <c r="M471" s="6">
        <v>0</v>
      </c>
      <c r="N471" s="6">
        <v>0</v>
      </c>
      <c r="O471" s="6">
        <v>0</v>
      </c>
      <c r="P471" s="6">
        <v>1</v>
      </c>
      <c r="Q471" s="4" t="s">
        <v>26</v>
      </c>
      <c r="R471" s="4">
        <v>0</v>
      </c>
      <c r="S471" s="4" t="s">
        <v>206</v>
      </c>
      <c r="U471" s="4">
        <v>13</v>
      </c>
      <c r="V471" s="4">
        <v>0</v>
      </c>
      <c r="W471" s="4">
        <v>0</v>
      </c>
    </row>
    <row r="472" spans="1:23" ht="11.25" customHeight="1" x14ac:dyDescent="0.3">
      <c r="A472" s="4" t="s">
        <v>21</v>
      </c>
      <c r="B472" s="4" t="s">
        <v>39</v>
      </c>
      <c r="C472" s="4" t="s">
        <v>40</v>
      </c>
      <c r="D472" s="4" t="s">
        <v>50</v>
      </c>
      <c r="E472" s="4" t="s">
        <v>51</v>
      </c>
      <c r="F472" s="4" t="s">
        <v>25</v>
      </c>
      <c r="G472" s="4" t="s">
        <v>25</v>
      </c>
      <c r="H472" s="4" t="s">
        <v>25</v>
      </c>
      <c r="I472" s="5">
        <v>44713</v>
      </c>
      <c r="J472" s="6">
        <v>30</v>
      </c>
      <c r="K472" s="6">
        <v>28.2</v>
      </c>
      <c r="L472" s="6">
        <v>0</v>
      </c>
      <c r="M472" s="6">
        <v>0</v>
      </c>
      <c r="N472" s="6">
        <v>0</v>
      </c>
      <c r="O472" s="6">
        <v>0</v>
      </c>
      <c r="P472" s="6">
        <v>1</v>
      </c>
      <c r="Q472" s="4" t="s">
        <v>26</v>
      </c>
      <c r="R472" s="4">
        <v>0</v>
      </c>
      <c r="S472" s="4" t="s">
        <v>207</v>
      </c>
      <c r="U472" s="4">
        <v>13</v>
      </c>
      <c r="V472" s="4">
        <v>0</v>
      </c>
      <c r="W472" s="4">
        <v>0</v>
      </c>
    </row>
    <row r="473" spans="1:23" ht="11.25" customHeight="1" x14ac:dyDescent="0.3">
      <c r="A473" s="4" t="s">
        <v>21</v>
      </c>
      <c r="B473" s="4" t="s">
        <v>39</v>
      </c>
      <c r="C473" s="4" t="s">
        <v>40</v>
      </c>
      <c r="D473" s="4" t="s">
        <v>50</v>
      </c>
      <c r="E473" s="4" t="s">
        <v>51</v>
      </c>
      <c r="F473" s="4" t="s">
        <v>25</v>
      </c>
      <c r="G473" s="4" t="s">
        <v>25</v>
      </c>
      <c r="H473" s="4" t="s">
        <v>25</v>
      </c>
      <c r="I473" s="5">
        <v>44743</v>
      </c>
      <c r="J473" s="6">
        <v>30</v>
      </c>
      <c r="K473" s="6">
        <v>28.2</v>
      </c>
      <c r="L473" s="6">
        <v>0</v>
      </c>
      <c r="M473" s="6">
        <v>0</v>
      </c>
      <c r="N473" s="6">
        <v>0</v>
      </c>
      <c r="O473" s="6">
        <v>0</v>
      </c>
      <c r="P473" s="6">
        <v>1</v>
      </c>
      <c r="Q473" s="4" t="s">
        <v>26</v>
      </c>
      <c r="R473" s="4">
        <v>0</v>
      </c>
      <c r="S473" s="4" t="s">
        <v>208</v>
      </c>
      <c r="U473" s="4">
        <v>13</v>
      </c>
      <c r="V473" s="4">
        <v>0</v>
      </c>
      <c r="W473" s="4">
        <v>0</v>
      </c>
    </row>
    <row r="474" spans="1:23" ht="11.25" customHeight="1" x14ac:dyDescent="0.3">
      <c r="A474" s="4" t="s">
        <v>21</v>
      </c>
      <c r="B474" s="4" t="s">
        <v>39</v>
      </c>
      <c r="C474" s="4" t="s">
        <v>40</v>
      </c>
      <c r="D474" s="4" t="s">
        <v>50</v>
      </c>
      <c r="E474" s="4" t="s">
        <v>51</v>
      </c>
      <c r="F474" s="4" t="s">
        <v>25</v>
      </c>
      <c r="G474" s="4" t="s">
        <v>25</v>
      </c>
      <c r="H474" s="4" t="s">
        <v>25</v>
      </c>
      <c r="I474" s="5">
        <v>44774</v>
      </c>
      <c r="J474" s="6">
        <v>30</v>
      </c>
      <c r="K474" s="6">
        <v>28.2</v>
      </c>
      <c r="L474" s="6">
        <v>0</v>
      </c>
      <c r="M474" s="6">
        <v>0</v>
      </c>
      <c r="N474" s="6">
        <v>0</v>
      </c>
      <c r="O474" s="6">
        <v>0</v>
      </c>
      <c r="P474" s="6">
        <v>1</v>
      </c>
      <c r="Q474" s="4" t="s">
        <v>26</v>
      </c>
      <c r="R474" s="4">
        <v>0</v>
      </c>
      <c r="S474" s="4" t="s">
        <v>209</v>
      </c>
      <c r="U474" s="4">
        <v>13</v>
      </c>
      <c r="V474" s="4">
        <v>0</v>
      </c>
      <c r="W474" s="4">
        <v>0</v>
      </c>
    </row>
    <row r="475" spans="1:23" ht="11.25" customHeight="1" x14ac:dyDescent="0.3">
      <c r="A475" s="4" t="s">
        <v>21</v>
      </c>
      <c r="B475" s="4" t="s">
        <v>39</v>
      </c>
      <c r="C475" s="4" t="s">
        <v>40</v>
      </c>
      <c r="D475" s="4" t="s">
        <v>50</v>
      </c>
      <c r="E475" s="4" t="s">
        <v>51</v>
      </c>
      <c r="F475" s="4" t="s">
        <v>25</v>
      </c>
      <c r="G475" s="4" t="s">
        <v>25</v>
      </c>
      <c r="H475" s="4" t="s">
        <v>25</v>
      </c>
      <c r="I475" s="5">
        <v>44805</v>
      </c>
      <c r="J475" s="6">
        <v>30</v>
      </c>
      <c r="K475" s="6">
        <v>28.2</v>
      </c>
      <c r="L475" s="6">
        <v>0</v>
      </c>
      <c r="M475" s="6">
        <v>0</v>
      </c>
      <c r="N475" s="6">
        <v>0</v>
      </c>
      <c r="O475" s="6">
        <v>0</v>
      </c>
      <c r="P475" s="6">
        <v>1</v>
      </c>
      <c r="Q475" s="4" t="s">
        <v>26</v>
      </c>
      <c r="R475" s="4">
        <v>0</v>
      </c>
      <c r="S475" s="4" t="s">
        <v>210</v>
      </c>
      <c r="U475" s="4">
        <v>13</v>
      </c>
      <c r="V475" s="4">
        <v>0</v>
      </c>
      <c r="W475" s="4">
        <v>0</v>
      </c>
    </row>
    <row r="476" spans="1:23" ht="11.25" customHeight="1" x14ac:dyDescent="0.3">
      <c r="A476" s="4" t="s">
        <v>57</v>
      </c>
      <c r="B476" s="4" t="s">
        <v>39</v>
      </c>
      <c r="C476" s="4" t="s">
        <v>40</v>
      </c>
      <c r="D476" s="4" t="s">
        <v>50</v>
      </c>
      <c r="E476" s="4" t="s">
        <v>51</v>
      </c>
      <c r="F476" s="4" t="s">
        <v>25</v>
      </c>
      <c r="G476" s="4" t="s">
        <v>25</v>
      </c>
      <c r="H476" s="4" t="s">
        <v>25</v>
      </c>
      <c r="I476" s="5">
        <v>44835</v>
      </c>
      <c r="J476" s="6">
        <v>30</v>
      </c>
      <c r="K476" s="6">
        <v>28.2</v>
      </c>
      <c r="L476" s="6">
        <v>0</v>
      </c>
      <c r="M476" s="6">
        <v>0</v>
      </c>
      <c r="N476" s="6">
        <v>0</v>
      </c>
      <c r="O476" s="6">
        <v>0</v>
      </c>
      <c r="P476" s="6">
        <v>1</v>
      </c>
      <c r="Q476" s="4" t="s">
        <v>26</v>
      </c>
      <c r="R476" s="4">
        <v>0</v>
      </c>
      <c r="S476" s="4" t="s">
        <v>211</v>
      </c>
      <c r="U476" s="4">
        <v>13</v>
      </c>
      <c r="V476" s="4">
        <v>0</v>
      </c>
      <c r="W476" s="4">
        <v>0</v>
      </c>
    </row>
    <row r="477" spans="1:23" ht="11.25" customHeight="1" x14ac:dyDescent="0.3">
      <c r="A477" s="4" t="s">
        <v>21</v>
      </c>
      <c r="B477" s="4" t="s">
        <v>39</v>
      </c>
      <c r="C477" s="4" t="s">
        <v>40</v>
      </c>
      <c r="D477" s="4" t="s">
        <v>50</v>
      </c>
      <c r="E477" s="4" t="s">
        <v>51</v>
      </c>
      <c r="F477" s="4" t="s">
        <v>25</v>
      </c>
      <c r="G477" s="4" t="s">
        <v>25</v>
      </c>
      <c r="H477" s="4" t="s">
        <v>34</v>
      </c>
      <c r="I477" s="5">
        <v>44501</v>
      </c>
      <c r="J477" s="6">
        <v>0</v>
      </c>
      <c r="K477" s="6">
        <v>0</v>
      </c>
      <c r="L477" s="6">
        <v>0.53900000000000003</v>
      </c>
      <c r="M477" s="6">
        <v>0.50666</v>
      </c>
      <c r="N477" s="6">
        <v>0.53900000000000003</v>
      </c>
      <c r="O477" s="6">
        <v>0.50666</v>
      </c>
      <c r="P477" s="6">
        <v>0</v>
      </c>
      <c r="Q477" s="4" t="s">
        <v>26</v>
      </c>
      <c r="R477" s="4">
        <v>0</v>
      </c>
      <c r="S477" s="4" t="s">
        <v>212</v>
      </c>
      <c r="T477" s="4" t="s">
        <v>433</v>
      </c>
      <c r="U477" s="4">
        <v>0</v>
      </c>
      <c r="V477" s="4">
        <v>15</v>
      </c>
      <c r="W477" s="4">
        <v>65</v>
      </c>
    </row>
    <row r="478" spans="1:23" ht="11.25" customHeight="1" x14ac:dyDescent="0.3">
      <c r="A478" s="4" t="s">
        <v>21</v>
      </c>
      <c r="B478" s="4" t="s">
        <v>39</v>
      </c>
      <c r="C478" s="4" t="s">
        <v>40</v>
      </c>
      <c r="D478" s="4" t="s">
        <v>50</v>
      </c>
      <c r="E478" s="4" t="s">
        <v>51</v>
      </c>
      <c r="F478" s="4" t="s">
        <v>25</v>
      </c>
      <c r="G478" s="4" t="s">
        <v>25</v>
      </c>
      <c r="H478" s="4" t="s">
        <v>34</v>
      </c>
      <c r="I478" s="5">
        <v>44531</v>
      </c>
      <c r="J478" s="6">
        <v>0</v>
      </c>
      <c r="K478" s="6">
        <v>0</v>
      </c>
      <c r="L478" s="6">
        <v>0.64700000000000002</v>
      </c>
      <c r="M478" s="6">
        <v>0.60818000000000005</v>
      </c>
      <c r="N478" s="6">
        <v>0.64700000000000002</v>
      </c>
      <c r="O478" s="6">
        <v>0.60818000000000005</v>
      </c>
      <c r="P478" s="6">
        <v>0</v>
      </c>
      <c r="Q478" s="4" t="s">
        <v>26</v>
      </c>
      <c r="R478" s="4">
        <v>0</v>
      </c>
      <c r="S478" s="4" t="s">
        <v>213</v>
      </c>
      <c r="T478" s="4" t="s">
        <v>434</v>
      </c>
      <c r="U478" s="4">
        <v>0</v>
      </c>
      <c r="V478" s="4">
        <v>15</v>
      </c>
      <c r="W478" s="4">
        <v>65</v>
      </c>
    </row>
    <row r="479" spans="1:23" ht="11.25" customHeight="1" x14ac:dyDescent="0.3">
      <c r="A479" s="4" t="s">
        <v>21</v>
      </c>
      <c r="B479" s="4" t="s">
        <v>39</v>
      </c>
      <c r="C479" s="4" t="s">
        <v>40</v>
      </c>
      <c r="D479" s="4" t="s">
        <v>50</v>
      </c>
      <c r="E479" s="4" t="s">
        <v>51</v>
      </c>
      <c r="F479" s="4" t="s">
        <v>25</v>
      </c>
      <c r="G479" s="4" t="s">
        <v>25</v>
      </c>
      <c r="H479" s="4" t="s">
        <v>34</v>
      </c>
      <c r="I479" s="5">
        <v>44562</v>
      </c>
      <c r="J479" s="6">
        <v>0</v>
      </c>
      <c r="K479" s="6">
        <v>0</v>
      </c>
      <c r="L479" s="6">
        <v>0.64900000000000002</v>
      </c>
      <c r="M479" s="6">
        <v>0.61006000000000005</v>
      </c>
      <c r="N479" s="6">
        <v>0.64900000000000002</v>
      </c>
      <c r="O479" s="6">
        <v>0.61006000000000005</v>
      </c>
      <c r="P479" s="6">
        <v>0</v>
      </c>
      <c r="Q479" s="4" t="s">
        <v>26</v>
      </c>
      <c r="R479" s="4">
        <v>0</v>
      </c>
      <c r="S479" s="4" t="s">
        <v>214</v>
      </c>
      <c r="T479" s="4" t="s">
        <v>435</v>
      </c>
      <c r="U479" s="4">
        <v>0</v>
      </c>
      <c r="V479" s="4">
        <v>15</v>
      </c>
      <c r="W479" s="4">
        <v>65</v>
      </c>
    </row>
    <row r="480" spans="1:23" ht="11.25" customHeight="1" x14ac:dyDescent="0.3">
      <c r="A480" s="4" t="s">
        <v>21</v>
      </c>
      <c r="B480" s="4" t="s">
        <v>39</v>
      </c>
      <c r="C480" s="4" t="s">
        <v>40</v>
      </c>
      <c r="D480" s="4" t="s">
        <v>50</v>
      </c>
      <c r="E480" s="4" t="s">
        <v>51</v>
      </c>
      <c r="F480" s="4" t="s">
        <v>25</v>
      </c>
      <c r="G480" s="4" t="s">
        <v>25</v>
      </c>
      <c r="H480" s="4" t="s">
        <v>34</v>
      </c>
      <c r="I480" s="5">
        <v>44593</v>
      </c>
      <c r="J480" s="6">
        <v>0</v>
      </c>
      <c r="K480" s="6">
        <v>0</v>
      </c>
      <c r="L480" s="6">
        <v>0.57499999999999996</v>
      </c>
      <c r="M480" s="6">
        <v>0.54049999999999998</v>
      </c>
      <c r="N480" s="6">
        <v>0.57499999999999996</v>
      </c>
      <c r="O480" s="6">
        <v>0.54049999999999998</v>
      </c>
      <c r="P480" s="6">
        <v>0</v>
      </c>
      <c r="Q480" s="4" t="s">
        <v>26</v>
      </c>
      <c r="R480" s="4">
        <v>0</v>
      </c>
      <c r="S480" s="4" t="s">
        <v>215</v>
      </c>
      <c r="T480" s="4" t="s">
        <v>436</v>
      </c>
      <c r="U480" s="4">
        <v>0</v>
      </c>
      <c r="V480" s="4">
        <v>15</v>
      </c>
      <c r="W480" s="4">
        <v>65</v>
      </c>
    </row>
    <row r="481" spans="1:23" ht="11.25" customHeight="1" x14ac:dyDescent="0.3">
      <c r="A481" s="4" t="s">
        <v>21</v>
      </c>
      <c r="B481" s="4" t="s">
        <v>39</v>
      </c>
      <c r="C481" s="4" t="s">
        <v>40</v>
      </c>
      <c r="D481" s="4" t="s">
        <v>50</v>
      </c>
      <c r="E481" s="4" t="s">
        <v>51</v>
      </c>
      <c r="F481" s="4" t="s">
        <v>25</v>
      </c>
      <c r="G481" s="4" t="s">
        <v>25</v>
      </c>
      <c r="H481" s="4" t="s">
        <v>34</v>
      </c>
      <c r="I481" s="5">
        <v>44621</v>
      </c>
      <c r="J481" s="6">
        <v>0</v>
      </c>
      <c r="K481" s="6">
        <v>0</v>
      </c>
      <c r="L481" s="6">
        <v>0.61099999999999999</v>
      </c>
      <c r="M481" s="6">
        <v>0.57433999999999996</v>
      </c>
      <c r="N481" s="6">
        <v>0.61099999999999999</v>
      </c>
      <c r="O481" s="6">
        <v>0.57433999999999996</v>
      </c>
      <c r="P481" s="6">
        <v>0</v>
      </c>
      <c r="Q481" s="4" t="s">
        <v>26</v>
      </c>
      <c r="R481" s="4">
        <v>0</v>
      </c>
      <c r="S481" s="4" t="s">
        <v>216</v>
      </c>
      <c r="T481" s="4" t="s">
        <v>437</v>
      </c>
      <c r="U481" s="4">
        <v>0</v>
      </c>
      <c r="V481" s="4">
        <v>15</v>
      </c>
      <c r="W481" s="4">
        <v>65</v>
      </c>
    </row>
    <row r="482" spans="1:23" ht="11.25" customHeight="1" x14ac:dyDescent="0.3">
      <c r="A482" s="4" t="s">
        <v>21</v>
      </c>
      <c r="B482" s="4" t="s">
        <v>39</v>
      </c>
      <c r="C482" s="4" t="s">
        <v>40</v>
      </c>
      <c r="D482" s="4" t="s">
        <v>50</v>
      </c>
      <c r="E482" s="4" t="s">
        <v>51</v>
      </c>
      <c r="F482" s="4" t="s">
        <v>25</v>
      </c>
      <c r="G482" s="4" t="s">
        <v>25</v>
      </c>
      <c r="H482" s="4" t="s">
        <v>34</v>
      </c>
      <c r="I482" s="5">
        <v>44652</v>
      </c>
      <c r="J482" s="6">
        <v>0</v>
      </c>
      <c r="K482" s="6">
        <v>0</v>
      </c>
      <c r="L482" s="6">
        <v>0.56000000000000005</v>
      </c>
      <c r="M482" s="6">
        <v>0.52639999999999998</v>
      </c>
      <c r="N482" s="6">
        <v>0.56000000000000005</v>
      </c>
      <c r="O482" s="6">
        <v>0.52639999999999998</v>
      </c>
      <c r="P482" s="6">
        <v>0</v>
      </c>
      <c r="Q482" s="4" t="s">
        <v>26</v>
      </c>
      <c r="R482" s="4">
        <v>0</v>
      </c>
      <c r="S482" s="4" t="s">
        <v>217</v>
      </c>
      <c r="T482" s="4" t="s">
        <v>438</v>
      </c>
      <c r="U482" s="4">
        <v>0</v>
      </c>
      <c r="V482" s="4">
        <v>15</v>
      </c>
      <c r="W482" s="4">
        <v>65</v>
      </c>
    </row>
    <row r="483" spans="1:23" ht="11.25" customHeight="1" x14ac:dyDescent="0.3">
      <c r="A483" s="4" t="s">
        <v>21</v>
      </c>
      <c r="B483" s="4" t="s">
        <v>39</v>
      </c>
      <c r="C483" s="4" t="s">
        <v>40</v>
      </c>
      <c r="D483" s="4" t="s">
        <v>50</v>
      </c>
      <c r="E483" s="4" t="s">
        <v>51</v>
      </c>
      <c r="F483" s="4" t="s">
        <v>25</v>
      </c>
      <c r="G483" s="4" t="s">
        <v>25</v>
      </c>
      <c r="H483" s="4" t="s">
        <v>34</v>
      </c>
      <c r="I483" s="5">
        <v>44682</v>
      </c>
      <c r="J483" s="6">
        <v>0</v>
      </c>
      <c r="K483" s="6">
        <v>0</v>
      </c>
      <c r="L483" s="6">
        <v>0.69699999999999995</v>
      </c>
      <c r="M483" s="6">
        <v>0.65517999999999998</v>
      </c>
      <c r="N483" s="6">
        <v>0.69699999999999995</v>
      </c>
      <c r="O483" s="6">
        <v>0.65517999999999998</v>
      </c>
      <c r="P483" s="6">
        <v>0</v>
      </c>
      <c r="Q483" s="4" t="s">
        <v>26</v>
      </c>
      <c r="R483" s="4">
        <v>0</v>
      </c>
      <c r="S483" s="4" t="s">
        <v>218</v>
      </c>
      <c r="T483" s="4" t="s">
        <v>439</v>
      </c>
      <c r="U483" s="4">
        <v>0</v>
      </c>
      <c r="V483" s="4">
        <v>15</v>
      </c>
      <c r="W483" s="4">
        <v>65</v>
      </c>
    </row>
    <row r="484" spans="1:23" ht="11.25" customHeight="1" x14ac:dyDescent="0.3">
      <c r="A484" s="4" t="s">
        <v>21</v>
      </c>
      <c r="B484" s="4" t="s">
        <v>39</v>
      </c>
      <c r="C484" s="4" t="s">
        <v>40</v>
      </c>
      <c r="D484" s="4" t="s">
        <v>50</v>
      </c>
      <c r="E484" s="4" t="s">
        <v>51</v>
      </c>
      <c r="F484" s="4" t="s">
        <v>25</v>
      </c>
      <c r="G484" s="4" t="s">
        <v>25</v>
      </c>
      <c r="H484" s="4" t="s">
        <v>34</v>
      </c>
      <c r="I484" s="5">
        <v>44713</v>
      </c>
      <c r="J484" s="6">
        <v>0</v>
      </c>
      <c r="K484" s="6">
        <v>0</v>
      </c>
      <c r="L484" s="6">
        <v>0.65500000000000003</v>
      </c>
      <c r="M484" s="6">
        <v>0.61570000000000003</v>
      </c>
      <c r="N484" s="6">
        <v>0.65500000000000003</v>
      </c>
      <c r="O484" s="6">
        <v>0.61570000000000003</v>
      </c>
      <c r="P484" s="6">
        <v>0</v>
      </c>
      <c r="Q484" s="4" t="s">
        <v>26</v>
      </c>
      <c r="R484" s="4">
        <v>0</v>
      </c>
      <c r="S484" s="4" t="s">
        <v>219</v>
      </c>
      <c r="T484" s="4" t="s">
        <v>440</v>
      </c>
      <c r="U484" s="4">
        <v>0</v>
      </c>
      <c r="V484" s="4">
        <v>15</v>
      </c>
      <c r="W484" s="4">
        <v>65</v>
      </c>
    </row>
    <row r="485" spans="1:23" ht="11.25" customHeight="1" x14ac:dyDescent="0.3">
      <c r="A485" s="4" t="s">
        <v>21</v>
      </c>
      <c r="B485" s="4" t="s">
        <v>39</v>
      </c>
      <c r="C485" s="4" t="s">
        <v>40</v>
      </c>
      <c r="D485" s="4" t="s">
        <v>50</v>
      </c>
      <c r="E485" s="4" t="s">
        <v>51</v>
      </c>
      <c r="F485" s="4" t="s">
        <v>25</v>
      </c>
      <c r="G485" s="4" t="s">
        <v>25</v>
      </c>
      <c r="H485" s="4" t="s">
        <v>34</v>
      </c>
      <c r="I485" s="5">
        <v>44743</v>
      </c>
      <c r="J485" s="6">
        <v>0</v>
      </c>
      <c r="K485" s="6">
        <v>0</v>
      </c>
      <c r="L485" s="6">
        <v>0.76300000000000001</v>
      </c>
      <c r="M485" s="6">
        <v>0.71721999999999997</v>
      </c>
      <c r="N485" s="6">
        <v>0.76300000000000001</v>
      </c>
      <c r="O485" s="6">
        <v>0.71721999999999997</v>
      </c>
      <c r="P485" s="6">
        <v>0</v>
      </c>
      <c r="Q485" s="4" t="s">
        <v>26</v>
      </c>
      <c r="R485" s="4">
        <v>0</v>
      </c>
      <c r="S485" s="4" t="s">
        <v>220</v>
      </c>
      <c r="T485" s="4" t="s">
        <v>441</v>
      </c>
      <c r="U485" s="4">
        <v>0</v>
      </c>
      <c r="V485" s="4">
        <v>15</v>
      </c>
      <c r="W485" s="4">
        <v>65</v>
      </c>
    </row>
    <row r="486" spans="1:23" ht="11.25" customHeight="1" x14ac:dyDescent="0.3">
      <c r="A486" s="4" t="s">
        <v>21</v>
      </c>
      <c r="B486" s="4" t="s">
        <v>39</v>
      </c>
      <c r="C486" s="4" t="s">
        <v>40</v>
      </c>
      <c r="D486" s="4" t="s">
        <v>50</v>
      </c>
      <c r="E486" s="4" t="s">
        <v>51</v>
      </c>
      <c r="F486" s="4" t="s">
        <v>25</v>
      </c>
      <c r="G486" s="4" t="s">
        <v>25</v>
      </c>
      <c r="H486" s="4" t="s">
        <v>34</v>
      </c>
      <c r="I486" s="5">
        <v>44774</v>
      </c>
      <c r="J486" s="6">
        <v>0</v>
      </c>
      <c r="K486" s="6">
        <v>0</v>
      </c>
      <c r="L486" s="6">
        <v>0.83099999999999996</v>
      </c>
      <c r="M486" s="6">
        <v>0.78113999999999995</v>
      </c>
      <c r="N486" s="6">
        <v>0.83099999999999996</v>
      </c>
      <c r="O486" s="6">
        <v>0.78113999999999995</v>
      </c>
      <c r="P486" s="6">
        <v>0</v>
      </c>
      <c r="Q486" s="4" t="s">
        <v>26</v>
      </c>
      <c r="R486" s="4">
        <v>0</v>
      </c>
      <c r="S486" s="4" t="s">
        <v>221</v>
      </c>
      <c r="T486" s="4" t="s">
        <v>442</v>
      </c>
      <c r="U486" s="4">
        <v>0</v>
      </c>
      <c r="V486" s="4">
        <v>15</v>
      </c>
      <c r="W486" s="4">
        <v>65</v>
      </c>
    </row>
    <row r="487" spans="1:23" ht="11.25" customHeight="1" x14ac:dyDescent="0.3">
      <c r="A487" s="4" t="s">
        <v>21</v>
      </c>
      <c r="B487" s="4" t="s">
        <v>39</v>
      </c>
      <c r="C487" s="4" t="s">
        <v>40</v>
      </c>
      <c r="D487" s="4" t="s">
        <v>50</v>
      </c>
      <c r="E487" s="4" t="s">
        <v>51</v>
      </c>
      <c r="F487" s="4" t="s">
        <v>25</v>
      </c>
      <c r="G487" s="4" t="s">
        <v>25</v>
      </c>
      <c r="H487" s="4" t="s">
        <v>34</v>
      </c>
      <c r="I487" s="5">
        <v>44805</v>
      </c>
      <c r="J487" s="6">
        <v>0</v>
      </c>
      <c r="K487" s="6">
        <v>0</v>
      </c>
      <c r="L487" s="6">
        <v>0.748</v>
      </c>
      <c r="M487" s="6">
        <v>0.70311999999999997</v>
      </c>
      <c r="N487" s="6">
        <v>0.748</v>
      </c>
      <c r="O487" s="6">
        <v>0.70311999999999997</v>
      </c>
      <c r="P487" s="6">
        <v>0</v>
      </c>
      <c r="Q487" s="4" t="s">
        <v>26</v>
      </c>
      <c r="R487" s="4">
        <v>0</v>
      </c>
      <c r="S487" s="4" t="s">
        <v>222</v>
      </c>
      <c r="T487" s="4" t="s">
        <v>443</v>
      </c>
      <c r="U487" s="4">
        <v>0</v>
      </c>
      <c r="V487" s="4">
        <v>15</v>
      </c>
      <c r="W487" s="4">
        <v>65</v>
      </c>
    </row>
    <row r="488" spans="1:23" ht="11.25" customHeight="1" x14ac:dyDescent="0.3">
      <c r="A488" s="4" t="s">
        <v>57</v>
      </c>
      <c r="B488" s="4" t="s">
        <v>39</v>
      </c>
      <c r="C488" s="4" t="s">
        <v>40</v>
      </c>
      <c r="D488" s="4" t="s">
        <v>50</v>
      </c>
      <c r="E488" s="4" t="s">
        <v>51</v>
      </c>
      <c r="F488" s="4" t="s">
        <v>25</v>
      </c>
      <c r="G488" s="4" t="s">
        <v>25</v>
      </c>
      <c r="H488" s="4" t="s">
        <v>34</v>
      </c>
      <c r="I488" s="5">
        <v>44835</v>
      </c>
      <c r="J488" s="6">
        <v>0</v>
      </c>
      <c r="K488" s="6">
        <v>0</v>
      </c>
      <c r="L488" s="6">
        <v>0.748</v>
      </c>
      <c r="M488" s="6">
        <v>0.70311999999999997</v>
      </c>
      <c r="N488" s="6">
        <v>0.748</v>
      </c>
      <c r="O488" s="6">
        <v>0.70311999999999997</v>
      </c>
      <c r="P488" s="6">
        <v>0</v>
      </c>
      <c r="Q488" s="4" t="s">
        <v>26</v>
      </c>
      <c r="R488" s="4">
        <v>0</v>
      </c>
      <c r="S488" s="4" t="s">
        <v>223</v>
      </c>
      <c r="T488" s="4" t="s">
        <v>444</v>
      </c>
      <c r="U488" s="4">
        <v>0</v>
      </c>
      <c r="V488" s="4">
        <v>15</v>
      </c>
      <c r="W488" s="4">
        <v>65</v>
      </c>
    </row>
    <row r="489" spans="1:23" ht="11.25" customHeight="1" x14ac:dyDescent="0.3">
      <c r="A489" s="4" t="s">
        <v>21</v>
      </c>
      <c r="B489" s="4" t="s">
        <v>22</v>
      </c>
      <c r="C489" s="4" t="s">
        <v>33</v>
      </c>
      <c r="D489" s="4" t="s">
        <v>24</v>
      </c>
      <c r="E489" s="4" t="s">
        <v>24</v>
      </c>
      <c r="F489" s="4" t="s">
        <v>25</v>
      </c>
      <c r="G489" s="4" t="s">
        <v>25</v>
      </c>
      <c r="H489" s="4" t="s">
        <v>35</v>
      </c>
      <c r="I489" s="5">
        <v>44501</v>
      </c>
      <c r="J489" s="6">
        <v>0</v>
      </c>
      <c r="K489" s="6">
        <v>0</v>
      </c>
      <c r="L489" s="6">
        <v>5.0039999999999996</v>
      </c>
      <c r="M489" s="6">
        <v>5.0039999999999996</v>
      </c>
      <c r="N489" s="6">
        <v>5.0039999999999996</v>
      </c>
      <c r="O489" s="6">
        <v>5.0039999999999996</v>
      </c>
      <c r="P489" s="6">
        <v>0</v>
      </c>
      <c r="Q489" s="4" t="s">
        <v>26</v>
      </c>
      <c r="R489" s="4">
        <v>0</v>
      </c>
      <c r="S489" s="4" t="s">
        <v>224</v>
      </c>
      <c r="T489" s="4" t="s">
        <v>446</v>
      </c>
      <c r="U489" s="4">
        <v>0</v>
      </c>
      <c r="V489" s="4">
        <v>29</v>
      </c>
      <c r="W489" s="4">
        <v>70</v>
      </c>
    </row>
    <row r="490" spans="1:23" ht="11.25" customHeight="1" x14ac:dyDescent="0.3">
      <c r="A490" s="4" t="s">
        <v>21</v>
      </c>
      <c r="B490" s="4" t="s">
        <v>22</v>
      </c>
      <c r="C490" s="4" t="s">
        <v>33</v>
      </c>
      <c r="D490" s="4" t="s">
        <v>24</v>
      </c>
      <c r="E490" s="4" t="s">
        <v>24</v>
      </c>
      <c r="F490" s="4" t="s">
        <v>25</v>
      </c>
      <c r="G490" s="4" t="s">
        <v>25</v>
      </c>
      <c r="H490" s="4" t="s">
        <v>35</v>
      </c>
      <c r="I490" s="5">
        <v>44531</v>
      </c>
      <c r="J490" s="6">
        <v>0</v>
      </c>
      <c r="K490" s="6">
        <v>0</v>
      </c>
      <c r="L490" s="6">
        <v>5.3209999999999997</v>
      </c>
      <c r="M490" s="6">
        <v>5.3209999999999997</v>
      </c>
      <c r="N490" s="6">
        <v>5.3209999999999997</v>
      </c>
      <c r="O490" s="6">
        <v>5.3209999999999997</v>
      </c>
      <c r="P490" s="6">
        <v>0</v>
      </c>
      <c r="Q490" s="4" t="s">
        <v>26</v>
      </c>
      <c r="R490" s="4">
        <v>0</v>
      </c>
      <c r="S490" s="4" t="s">
        <v>225</v>
      </c>
      <c r="T490" s="4" t="s">
        <v>447</v>
      </c>
      <c r="U490" s="4">
        <v>0</v>
      </c>
      <c r="V490" s="4">
        <v>29</v>
      </c>
      <c r="W490" s="4">
        <v>70</v>
      </c>
    </row>
    <row r="491" spans="1:23" ht="11.25" customHeight="1" x14ac:dyDescent="0.3">
      <c r="A491" s="4" t="s">
        <v>21</v>
      </c>
      <c r="B491" s="4" t="s">
        <v>22</v>
      </c>
      <c r="C491" s="4" t="s">
        <v>33</v>
      </c>
      <c r="D491" s="4" t="s">
        <v>24</v>
      </c>
      <c r="E491" s="4" t="s">
        <v>24</v>
      </c>
      <c r="F491" s="4" t="s">
        <v>25</v>
      </c>
      <c r="G491" s="4" t="s">
        <v>25</v>
      </c>
      <c r="H491" s="4" t="s">
        <v>35</v>
      </c>
      <c r="I491" s="5">
        <v>44562</v>
      </c>
      <c r="J491" s="6">
        <v>0</v>
      </c>
      <c r="K491" s="6">
        <v>0</v>
      </c>
      <c r="L491" s="6">
        <v>5.5810000000000004</v>
      </c>
      <c r="M491" s="6">
        <v>5.5810000000000004</v>
      </c>
      <c r="N491" s="6">
        <v>5.5810000000000004</v>
      </c>
      <c r="O491" s="6">
        <v>5.5810000000000004</v>
      </c>
      <c r="P491" s="6">
        <v>0</v>
      </c>
      <c r="Q491" s="4" t="s">
        <v>26</v>
      </c>
      <c r="R491" s="4">
        <v>0</v>
      </c>
      <c r="S491" s="4" t="s">
        <v>226</v>
      </c>
      <c r="T491" s="4" t="s">
        <v>448</v>
      </c>
      <c r="U491" s="4">
        <v>0</v>
      </c>
      <c r="V491" s="4">
        <v>29</v>
      </c>
      <c r="W491" s="4">
        <v>70</v>
      </c>
    </row>
    <row r="492" spans="1:23" ht="11.25" customHeight="1" x14ac:dyDescent="0.3">
      <c r="A492" s="4" t="s">
        <v>21</v>
      </c>
      <c r="B492" s="4" t="s">
        <v>22</v>
      </c>
      <c r="C492" s="4" t="s">
        <v>33</v>
      </c>
      <c r="D492" s="4" t="s">
        <v>24</v>
      </c>
      <c r="E492" s="4" t="s">
        <v>24</v>
      </c>
      <c r="F492" s="4" t="s">
        <v>25</v>
      </c>
      <c r="G492" s="4" t="s">
        <v>25</v>
      </c>
      <c r="H492" s="4" t="s">
        <v>35</v>
      </c>
      <c r="I492" s="5">
        <v>44593</v>
      </c>
      <c r="J492" s="6">
        <v>0</v>
      </c>
      <c r="K492" s="6">
        <v>0</v>
      </c>
      <c r="L492" s="6">
        <v>5.8360000000000003</v>
      </c>
      <c r="M492" s="6">
        <v>5.8360000000000003</v>
      </c>
      <c r="N492" s="6">
        <v>5.8360000000000003</v>
      </c>
      <c r="O492" s="6">
        <v>5.8360000000000003</v>
      </c>
      <c r="P492" s="6">
        <v>0</v>
      </c>
      <c r="Q492" s="4" t="s">
        <v>26</v>
      </c>
      <c r="R492" s="4">
        <v>0</v>
      </c>
      <c r="S492" s="4" t="s">
        <v>227</v>
      </c>
      <c r="T492" s="4" t="s">
        <v>449</v>
      </c>
      <c r="U492" s="4">
        <v>0</v>
      </c>
      <c r="V492" s="4">
        <v>29</v>
      </c>
      <c r="W492" s="4">
        <v>70</v>
      </c>
    </row>
    <row r="493" spans="1:23" ht="11.25" customHeight="1" x14ac:dyDescent="0.3">
      <c r="A493" s="4" t="s">
        <v>21</v>
      </c>
      <c r="B493" s="4" t="s">
        <v>22</v>
      </c>
      <c r="C493" s="4" t="s">
        <v>33</v>
      </c>
      <c r="D493" s="4" t="s">
        <v>24</v>
      </c>
      <c r="E493" s="4" t="s">
        <v>24</v>
      </c>
      <c r="F493" s="4" t="s">
        <v>25</v>
      </c>
      <c r="G493" s="4" t="s">
        <v>25</v>
      </c>
      <c r="H493" s="4" t="s">
        <v>35</v>
      </c>
      <c r="I493" s="5">
        <v>44621</v>
      </c>
      <c r="J493" s="6">
        <v>0</v>
      </c>
      <c r="K493" s="6">
        <v>0</v>
      </c>
      <c r="L493" s="6">
        <v>4.88</v>
      </c>
      <c r="M493" s="6">
        <v>4.88</v>
      </c>
      <c r="N493" s="6">
        <v>4.88</v>
      </c>
      <c r="O493" s="6">
        <v>4.88</v>
      </c>
      <c r="P493" s="6">
        <v>0</v>
      </c>
      <c r="Q493" s="4" t="s">
        <v>26</v>
      </c>
      <c r="R493" s="4">
        <v>0</v>
      </c>
      <c r="S493" s="4" t="s">
        <v>228</v>
      </c>
      <c r="T493" s="4" t="s">
        <v>450</v>
      </c>
      <c r="U493" s="4">
        <v>0</v>
      </c>
      <c r="V493" s="4">
        <v>29</v>
      </c>
      <c r="W493" s="4">
        <v>70</v>
      </c>
    </row>
    <row r="494" spans="1:23" ht="11.25" customHeight="1" x14ac:dyDescent="0.3">
      <c r="A494" s="4" t="s">
        <v>21</v>
      </c>
      <c r="B494" s="4" t="s">
        <v>22</v>
      </c>
      <c r="C494" s="4" t="s">
        <v>33</v>
      </c>
      <c r="D494" s="4" t="s">
        <v>24</v>
      </c>
      <c r="E494" s="4" t="s">
        <v>24</v>
      </c>
      <c r="F494" s="4" t="s">
        <v>25</v>
      </c>
      <c r="G494" s="4" t="s">
        <v>25</v>
      </c>
      <c r="H494" s="4" t="s">
        <v>35</v>
      </c>
      <c r="I494" s="5">
        <v>44652</v>
      </c>
      <c r="J494" s="6">
        <v>0</v>
      </c>
      <c r="K494" s="6">
        <v>0</v>
      </c>
      <c r="L494" s="6">
        <v>5.3840000000000003</v>
      </c>
      <c r="M494" s="6">
        <v>5.3840000000000003</v>
      </c>
      <c r="N494" s="6">
        <v>5.3840000000000003</v>
      </c>
      <c r="O494" s="6">
        <v>5.3840000000000003</v>
      </c>
      <c r="P494" s="6">
        <v>0</v>
      </c>
      <c r="Q494" s="4" t="s">
        <v>26</v>
      </c>
      <c r="R494" s="4">
        <v>0</v>
      </c>
      <c r="S494" s="4" t="s">
        <v>229</v>
      </c>
      <c r="T494" s="4" t="s">
        <v>451</v>
      </c>
      <c r="U494" s="4">
        <v>0</v>
      </c>
      <c r="V494" s="4">
        <v>29</v>
      </c>
      <c r="W494" s="4">
        <v>70</v>
      </c>
    </row>
    <row r="495" spans="1:23" ht="11.25" customHeight="1" x14ac:dyDescent="0.3">
      <c r="A495" s="4" t="s">
        <v>21</v>
      </c>
      <c r="B495" s="4" t="s">
        <v>22</v>
      </c>
      <c r="C495" s="4" t="s">
        <v>33</v>
      </c>
      <c r="D495" s="4" t="s">
        <v>24</v>
      </c>
      <c r="E495" s="4" t="s">
        <v>24</v>
      </c>
      <c r="F495" s="4" t="s">
        <v>25</v>
      </c>
      <c r="G495" s="4" t="s">
        <v>25</v>
      </c>
      <c r="H495" s="4" t="s">
        <v>35</v>
      </c>
      <c r="I495" s="5">
        <v>44682</v>
      </c>
      <c r="J495" s="6">
        <v>0</v>
      </c>
      <c r="K495" s="6">
        <v>0</v>
      </c>
      <c r="L495" s="6">
        <v>3.298</v>
      </c>
      <c r="M495" s="6">
        <v>3.298</v>
      </c>
      <c r="N495" s="6">
        <v>3.298</v>
      </c>
      <c r="O495" s="6">
        <v>3.298</v>
      </c>
      <c r="P495" s="6">
        <v>0</v>
      </c>
      <c r="Q495" s="4" t="s">
        <v>26</v>
      </c>
      <c r="R495" s="4">
        <v>0</v>
      </c>
      <c r="S495" s="4" t="s">
        <v>230</v>
      </c>
      <c r="T495" s="4" t="s">
        <v>452</v>
      </c>
      <c r="U495" s="4">
        <v>0</v>
      </c>
      <c r="V495" s="4">
        <v>29</v>
      </c>
      <c r="W495" s="4">
        <v>70</v>
      </c>
    </row>
    <row r="496" spans="1:23" ht="11.25" customHeight="1" x14ac:dyDescent="0.3">
      <c r="A496" s="4" t="s">
        <v>21</v>
      </c>
      <c r="B496" s="4" t="s">
        <v>22</v>
      </c>
      <c r="C496" s="4" t="s">
        <v>33</v>
      </c>
      <c r="D496" s="4" t="s">
        <v>24</v>
      </c>
      <c r="E496" s="4" t="s">
        <v>24</v>
      </c>
      <c r="F496" s="4" t="s">
        <v>25</v>
      </c>
      <c r="G496" s="4" t="s">
        <v>25</v>
      </c>
      <c r="H496" s="4" t="s">
        <v>35</v>
      </c>
      <c r="I496" s="5">
        <v>44713</v>
      </c>
      <c r="J496" s="6">
        <v>0</v>
      </c>
      <c r="K496" s="6">
        <v>0</v>
      </c>
      <c r="L496" s="6">
        <v>2.508</v>
      </c>
      <c r="M496" s="6">
        <v>2.508</v>
      </c>
      <c r="N496" s="6">
        <v>2.508</v>
      </c>
      <c r="O496" s="6">
        <v>2.508</v>
      </c>
      <c r="P496" s="6">
        <v>0</v>
      </c>
      <c r="Q496" s="4" t="s">
        <v>26</v>
      </c>
      <c r="R496" s="4">
        <v>0</v>
      </c>
      <c r="S496" s="4" t="s">
        <v>231</v>
      </c>
      <c r="T496" s="4" t="s">
        <v>453</v>
      </c>
      <c r="U496" s="4">
        <v>0</v>
      </c>
      <c r="V496" s="4">
        <v>29</v>
      </c>
      <c r="W496" s="4">
        <v>70</v>
      </c>
    </row>
    <row r="497" spans="1:23" ht="11.25" customHeight="1" x14ac:dyDescent="0.3">
      <c r="A497" s="4" t="s">
        <v>21</v>
      </c>
      <c r="B497" s="4" t="s">
        <v>22</v>
      </c>
      <c r="C497" s="4" t="s">
        <v>33</v>
      </c>
      <c r="D497" s="4" t="s">
        <v>24</v>
      </c>
      <c r="E497" s="4" t="s">
        <v>24</v>
      </c>
      <c r="F497" s="4" t="s">
        <v>25</v>
      </c>
      <c r="G497" s="4" t="s">
        <v>25</v>
      </c>
      <c r="H497" s="4" t="s">
        <v>35</v>
      </c>
      <c r="I497" s="5">
        <v>44743</v>
      </c>
      <c r="J497" s="6">
        <v>0</v>
      </c>
      <c r="K497" s="6">
        <v>0</v>
      </c>
      <c r="L497" s="6">
        <v>2.6120000000000001</v>
      </c>
      <c r="M497" s="6">
        <v>2.6120000000000001</v>
      </c>
      <c r="N497" s="6">
        <v>2.6120000000000001</v>
      </c>
      <c r="O497" s="6">
        <v>2.6120000000000001</v>
      </c>
      <c r="P497" s="6">
        <v>0</v>
      </c>
      <c r="Q497" s="4" t="s">
        <v>26</v>
      </c>
      <c r="R497" s="4">
        <v>0</v>
      </c>
      <c r="S497" s="4" t="s">
        <v>232</v>
      </c>
      <c r="T497" s="4" t="s">
        <v>454</v>
      </c>
      <c r="U497" s="4">
        <v>0</v>
      </c>
      <c r="V497" s="4">
        <v>29</v>
      </c>
      <c r="W497" s="4">
        <v>70</v>
      </c>
    </row>
    <row r="498" spans="1:23" ht="11.25" customHeight="1" x14ac:dyDescent="0.3">
      <c r="A498" s="4" t="s">
        <v>21</v>
      </c>
      <c r="B498" s="4" t="s">
        <v>22</v>
      </c>
      <c r="C498" s="4" t="s">
        <v>33</v>
      </c>
      <c r="D498" s="4" t="s">
        <v>24</v>
      </c>
      <c r="E498" s="4" t="s">
        <v>24</v>
      </c>
      <c r="F498" s="4" t="s">
        <v>25</v>
      </c>
      <c r="G498" s="4" t="s">
        <v>25</v>
      </c>
      <c r="H498" s="4" t="s">
        <v>35</v>
      </c>
      <c r="I498" s="5">
        <v>44774</v>
      </c>
      <c r="J498" s="6">
        <v>0</v>
      </c>
      <c r="K498" s="6">
        <v>0</v>
      </c>
      <c r="L498" s="6">
        <v>2.7879999999999998</v>
      </c>
      <c r="M498" s="6">
        <v>2.7879999999999998</v>
      </c>
      <c r="N498" s="6">
        <v>2.7879999999999998</v>
      </c>
      <c r="O498" s="6">
        <v>2.7879999999999998</v>
      </c>
      <c r="P498" s="6">
        <v>0</v>
      </c>
      <c r="Q498" s="4" t="s">
        <v>26</v>
      </c>
      <c r="R498" s="4">
        <v>0</v>
      </c>
      <c r="S498" s="4" t="s">
        <v>233</v>
      </c>
      <c r="T498" s="4" t="s">
        <v>455</v>
      </c>
      <c r="U498" s="4">
        <v>0</v>
      </c>
      <c r="V498" s="4">
        <v>29</v>
      </c>
      <c r="W498" s="4">
        <v>70</v>
      </c>
    </row>
    <row r="499" spans="1:23" ht="11.25" customHeight="1" x14ac:dyDescent="0.3">
      <c r="A499" s="4" t="s">
        <v>21</v>
      </c>
      <c r="B499" s="4" t="s">
        <v>22</v>
      </c>
      <c r="C499" s="4" t="s">
        <v>33</v>
      </c>
      <c r="D499" s="4" t="s">
        <v>24</v>
      </c>
      <c r="E499" s="4" t="s">
        <v>24</v>
      </c>
      <c r="F499" s="4" t="s">
        <v>25</v>
      </c>
      <c r="G499" s="4" t="s">
        <v>25</v>
      </c>
      <c r="H499" s="4" t="s">
        <v>35</v>
      </c>
      <c r="I499" s="5">
        <v>44805</v>
      </c>
      <c r="J499" s="6">
        <v>0</v>
      </c>
      <c r="K499" s="6">
        <v>0</v>
      </c>
      <c r="L499" s="6">
        <v>2.456</v>
      </c>
      <c r="M499" s="6">
        <v>2.456</v>
      </c>
      <c r="N499" s="6">
        <v>2.456</v>
      </c>
      <c r="O499" s="6">
        <v>2.456</v>
      </c>
      <c r="P499" s="6">
        <v>0</v>
      </c>
      <c r="Q499" s="4" t="s">
        <v>26</v>
      </c>
      <c r="R499" s="4">
        <v>0</v>
      </c>
      <c r="S499" s="4" t="s">
        <v>234</v>
      </c>
      <c r="T499" s="4" t="s">
        <v>456</v>
      </c>
      <c r="U499" s="4">
        <v>0</v>
      </c>
      <c r="V499" s="4">
        <v>29</v>
      </c>
      <c r="W499" s="4">
        <v>70</v>
      </c>
    </row>
    <row r="500" spans="1:23" ht="11.25" customHeight="1" x14ac:dyDescent="0.3">
      <c r="A500" s="4" t="s">
        <v>57</v>
      </c>
      <c r="B500" s="4" t="s">
        <v>22</v>
      </c>
      <c r="C500" s="4" t="s">
        <v>33</v>
      </c>
      <c r="D500" s="4" t="s">
        <v>24</v>
      </c>
      <c r="E500" s="4" t="s">
        <v>24</v>
      </c>
      <c r="F500" s="4" t="s">
        <v>25</v>
      </c>
      <c r="G500" s="4" t="s">
        <v>25</v>
      </c>
      <c r="H500" s="4" t="s">
        <v>35</v>
      </c>
      <c r="I500" s="5">
        <v>44835</v>
      </c>
      <c r="J500" s="6">
        <v>0</v>
      </c>
      <c r="K500" s="6">
        <v>0</v>
      </c>
      <c r="L500" s="6">
        <v>2.456</v>
      </c>
      <c r="M500" s="6">
        <v>2.456</v>
      </c>
      <c r="N500" s="6">
        <v>2.456</v>
      </c>
      <c r="O500" s="6">
        <v>2.456</v>
      </c>
      <c r="P500" s="6">
        <v>0</v>
      </c>
      <c r="Q500" s="4" t="s">
        <v>26</v>
      </c>
      <c r="R500" s="4">
        <v>0</v>
      </c>
      <c r="S500" s="4" t="s">
        <v>235</v>
      </c>
      <c r="T500" s="4" t="s">
        <v>457</v>
      </c>
      <c r="U500" s="4">
        <v>0</v>
      </c>
      <c r="V500" s="4">
        <v>29</v>
      </c>
      <c r="W500" s="4">
        <v>70</v>
      </c>
    </row>
    <row r="501" spans="1:23" ht="11.25" customHeight="1" x14ac:dyDescent="0.3">
      <c r="A501" s="4" t="s">
        <v>21</v>
      </c>
      <c r="B501" s="4" t="s">
        <v>22</v>
      </c>
      <c r="C501" s="4" t="s">
        <v>33</v>
      </c>
      <c r="D501" s="4" t="s">
        <v>24</v>
      </c>
      <c r="E501" s="4" t="s">
        <v>24</v>
      </c>
      <c r="F501" s="4" t="s">
        <v>25</v>
      </c>
      <c r="G501" s="4" t="s">
        <v>25</v>
      </c>
      <c r="H501" s="4" t="s">
        <v>36</v>
      </c>
      <c r="I501" s="5">
        <v>44501</v>
      </c>
      <c r="J501" s="6">
        <v>0</v>
      </c>
      <c r="K501" s="6">
        <v>0</v>
      </c>
      <c r="L501" s="6">
        <v>0.34100000000000003</v>
      </c>
      <c r="M501" s="6">
        <v>0.34100000000000003</v>
      </c>
      <c r="N501" s="6">
        <v>0.34100000000000003</v>
      </c>
      <c r="O501" s="6">
        <v>0.34100000000000003</v>
      </c>
      <c r="P501" s="6">
        <v>0</v>
      </c>
      <c r="Q501" s="4" t="s">
        <v>26</v>
      </c>
      <c r="R501" s="4">
        <v>0</v>
      </c>
      <c r="S501" s="4" t="s">
        <v>236</v>
      </c>
      <c r="T501" s="4" t="s">
        <v>458</v>
      </c>
      <c r="U501" s="4">
        <v>0</v>
      </c>
      <c r="V501" s="4">
        <v>28</v>
      </c>
      <c r="W501" s="4">
        <v>69</v>
      </c>
    </row>
    <row r="502" spans="1:23" ht="11.25" customHeight="1" x14ac:dyDescent="0.3">
      <c r="A502" s="4" t="s">
        <v>21</v>
      </c>
      <c r="B502" s="4" t="s">
        <v>22</v>
      </c>
      <c r="C502" s="4" t="s">
        <v>33</v>
      </c>
      <c r="D502" s="4" t="s">
        <v>24</v>
      </c>
      <c r="E502" s="4" t="s">
        <v>24</v>
      </c>
      <c r="F502" s="4" t="s">
        <v>25</v>
      </c>
      <c r="G502" s="4" t="s">
        <v>25</v>
      </c>
      <c r="H502" s="4" t="s">
        <v>36</v>
      </c>
      <c r="I502" s="5">
        <v>44531</v>
      </c>
      <c r="J502" s="6">
        <v>0</v>
      </c>
      <c r="K502" s="6">
        <v>0</v>
      </c>
      <c r="L502" s="6">
        <v>0.36499999999999999</v>
      </c>
      <c r="M502" s="6">
        <v>0.36499999999999999</v>
      </c>
      <c r="N502" s="6">
        <v>0.36499999999999999</v>
      </c>
      <c r="O502" s="6">
        <v>0.36499999999999999</v>
      </c>
      <c r="P502" s="6">
        <v>0</v>
      </c>
      <c r="Q502" s="4" t="s">
        <v>26</v>
      </c>
      <c r="R502" s="4">
        <v>0</v>
      </c>
      <c r="S502" s="4" t="s">
        <v>237</v>
      </c>
      <c r="T502" s="4" t="s">
        <v>459</v>
      </c>
      <c r="U502" s="4">
        <v>0</v>
      </c>
      <c r="V502" s="4">
        <v>28</v>
      </c>
      <c r="W502" s="4">
        <v>69</v>
      </c>
    </row>
    <row r="503" spans="1:23" ht="11.25" customHeight="1" x14ac:dyDescent="0.3">
      <c r="A503" s="4" t="s">
        <v>21</v>
      </c>
      <c r="B503" s="4" t="s">
        <v>22</v>
      </c>
      <c r="C503" s="4" t="s">
        <v>33</v>
      </c>
      <c r="D503" s="4" t="s">
        <v>24</v>
      </c>
      <c r="E503" s="4" t="s">
        <v>24</v>
      </c>
      <c r="F503" s="4" t="s">
        <v>25</v>
      </c>
      <c r="G503" s="4" t="s">
        <v>25</v>
      </c>
      <c r="H503" s="4" t="s">
        <v>36</v>
      </c>
      <c r="I503" s="5">
        <v>44562</v>
      </c>
      <c r="J503" s="6">
        <v>0</v>
      </c>
      <c r="K503" s="6">
        <v>0</v>
      </c>
      <c r="L503" s="6">
        <v>0.373</v>
      </c>
      <c r="M503" s="6">
        <v>0.373</v>
      </c>
      <c r="N503" s="6">
        <v>0.373</v>
      </c>
      <c r="O503" s="6">
        <v>0.373</v>
      </c>
      <c r="P503" s="6">
        <v>0</v>
      </c>
      <c r="Q503" s="4" t="s">
        <v>26</v>
      </c>
      <c r="R503" s="4">
        <v>0</v>
      </c>
      <c r="S503" s="4" t="s">
        <v>238</v>
      </c>
      <c r="T503" s="4" t="s">
        <v>460</v>
      </c>
      <c r="U503" s="4">
        <v>0</v>
      </c>
      <c r="V503" s="4">
        <v>28</v>
      </c>
      <c r="W503" s="4">
        <v>69</v>
      </c>
    </row>
    <row r="504" spans="1:23" ht="11.25" customHeight="1" x14ac:dyDescent="0.3">
      <c r="A504" s="4" t="s">
        <v>21</v>
      </c>
      <c r="B504" s="4" t="s">
        <v>22</v>
      </c>
      <c r="C504" s="4" t="s">
        <v>33</v>
      </c>
      <c r="D504" s="4" t="s">
        <v>24</v>
      </c>
      <c r="E504" s="4" t="s">
        <v>24</v>
      </c>
      <c r="F504" s="4" t="s">
        <v>25</v>
      </c>
      <c r="G504" s="4" t="s">
        <v>25</v>
      </c>
      <c r="H504" s="4" t="s">
        <v>36</v>
      </c>
      <c r="I504" s="5">
        <v>44593</v>
      </c>
      <c r="J504" s="6">
        <v>0</v>
      </c>
      <c r="K504" s="6">
        <v>0</v>
      </c>
      <c r="L504" s="6">
        <v>0.38600000000000001</v>
      </c>
      <c r="M504" s="6">
        <v>0.38600000000000001</v>
      </c>
      <c r="N504" s="6">
        <v>0.38600000000000001</v>
      </c>
      <c r="O504" s="6">
        <v>0.38600000000000001</v>
      </c>
      <c r="P504" s="6">
        <v>0</v>
      </c>
      <c r="Q504" s="4" t="s">
        <v>26</v>
      </c>
      <c r="R504" s="4">
        <v>0</v>
      </c>
      <c r="S504" s="4" t="s">
        <v>239</v>
      </c>
      <c r="T504" s="4" t="s">
        <v>461</v>
      </c>
      <c r="U504" s="4">
        <v>0</v>
      </c>
      <c r="V504" s="4">
        <v>28</v>
      </c>
      <c r="W504" s="4">
        <v>69</v>
      </c>
    </row>
    <row r="505" spans="1:23" ht="11.25" customHeight="1" x14ac:dyDescent="0.3">
      <c r="A505" s="4" t="s">
        <v>21</v>
      </c>
      <c r="B505" s="4" t="s">
        <v>22</v>
      </c>
      <c r="C505" s="4" t="s">
        <v>33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36</v>
      </c>
      <c r="I505" s="5">
        <v>44621</v>
      </c>
      <c r="J505" s="6">
        <v>0</v>
      </c>
      <c r="K505" s="6">
        <v>0</v>
      </c>
      <c r="L505" s="6">
        <v>0.32900000000000001</v>
      </c>
      <c r="M505" s="6">
        <v>0.32900000000000001</v>
      </c>
      <c r="N505" s="6">
        <v>0.32900000000000001</v>
      </c>
      <c r="O505" s="6">
        <v>0.32900000000000001</v>
      </c>
      <c r="P505" s="6">
        <v>0</v>
      </c>
      <c r="Q505" s="4" t="s">
        <v>26</v>
      </c>
      <c r="R505" s="4">
        <v>0</v>
      </c>
      <c r="S505" s="4" t="s">
        <v>240</v>
      </c>
      <c r="T505" s="4" t="s">
        <v>462</v>
      </c>
      <c r="U505" s="4">
        <v>0</v>
      </c>
      <c r="V505" s="4">
        <v>28</v>
      </c>
      <c r="W505" s="4">
        <v>69</v>
      </c>
    </row>
    <row r="506" spans="1:23" ht="11.25" customHeight="1" x14ac:dyDescent="0.3">
      <c r="A506" s="4" t="s">
        <v>21</v>
      </c>
      <c r="B506" s="4" t="s">
        <v>22</v>
      </c>
      <c r="C506" s="4" t="s">
        <v>33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36</v>
      </c>
      <c r="I506" s="5">
        <v>44652</v>
      </c>
      <c r="J506" s="6">
        <v>0</v>
      </c>
      <c r="K506" s="6">
        <v>0</v>
      </c>
      <c r="L506" s="6">
        <v>0.38300000000000001</v>
      </c>
      <c r="M506" s="6">
        <v>0.38300000000000001</v>
      </c>
      <c r="N506" s="6">
        <v>0.38300000000000001</v>
      </c>
      <c r="O506" s="6">
        <v>0.38300000000000001</v>
      </c>
      <c r="P506" s="6">
        <v>0</v>
      </c>
      <c r="Q506" s="4" t="s">
        <v>26</v>
      </c>
      <c r="R506" s="4">
        <v>0</v>
      </c>
      <c r="S506" s="4" t="s">
        <v>241</v>
      </c>
      <c r="T506" s="4" t="s">
        <v>463</v>
      </c>
      <c r="U506" s="4">
        <v>0</v>
      </c>
      <c r="V506" s="4">
        <v>28</v>
      </c>
      <c r="W506" s="4">
        <v>69</v>
      </c>
    </row>
    <row r="507" spans="1:23" ht="11.25" customHeight="1" x14ac:dyDescent="0.3">
      <c r="A507" s="4" t="s">
        <v>21</v>
      </c>
      <c r="B507" s="4" t="s">
        <v>22</v>
      </c>
      <c r="C507" s="4" t="s">
        <v>33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36</v>
      </c>
      <c r="I507" s="5">
        <v>44682</v>
      </c>
      <c r="J507" s="6">
        <v>0</v>
      </c>
      <c r="K507" s="6">
        <v>0</v>
      </c>
      <c r="L507" s="6">
        <v>0.23699999999999999</v>
      </c>
      <c r="M507" s="6">
        <v>0.23699999999999999</v>
      </c>
      <c r="N507" s="6">
        <v>0.23699999999999999</v>
      </c>
      <c r="O507" s="6">
        <v>0.23699999999999999</v>
      </c>
      <c r="P507" s="6">
        <v>0</v>
      </c>
      <c r="Q507" s="4" t="s">
        <v>26</v>
      </c>
      <c r="R507" s="4">
        <v>0</v>
      </c>
      <c r="S507" s="4" t="s">
        <v>242</v>
      </c>
      <c r="T507" s="4" t="s">
        <v>464</v>
      </c>
      <c r="U507" s="4">
        <v>0</v>
      </c>
      <c r="V507" s="4">
        <v>28</v>
      </c>
      <c r="W507" s="4">
        <v>69</v>
      </c>
    </row>
    <row r="508" spans="1:23" ht="11.25" customHeight="1" x14ac:dyDescent="0.3">
      <c r="A508" s="4" t="s">
        <v>21</v>
      </c>
      <c r="B508" s="4" t="s">
        <v>22</v>
      </c>
      <c r="C508" s="4" t="s">
        <v>33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36</v>
      </c>
      <c r="I508" s="5">
        <v>44713</v>
      </c>
      <c r="J508" s="6">
        <v>0</v>
      </c>
      <c r="K508" s="6">
        <v>0</v>
      </c>
      <c r="L508" s="6">
        <v>0.216</v>
      </c>
      <c r="M508" s="6">
        <v>0.216</v>
      </c>
      <c r="N508" s="6">
        <v>0.216</v>
      </c>
      <c r="O508" s="6">
        <v>0.216</v>
      </c>
      <c r="P508" s="6">
        <v>0</v>
      </c>
      <c r="Q508" s="4" t="s">
        <v>26</v>
      </c>
      <c r="R508" s="4">
        <v>0</v>
      </c>
      <c r="S508" s="4" t="s">
        <v>243</v>
      </c>
      <c r="T508" s="4" t="s">
        <v>465</v>
      </c>
      <c r="U508" s="4">
        <v>0</v>
      </c>
      <c r="V508" s="4">
        <v>28</v>
      </c>
      <c r="W508" s="4">
        <v>69</v>
      </c>
    </row>
    <row r="509" spans="1:23" ht="11.25" customHeight="1" x14ac:dyDescent="0.3">
      <c r="A509" s="4" t="s">
        <v>21</v>
      </c>
      <c r="B509" s="4" t="s">
        <v>22</v>
      </c>
      <c r="C509" s="4" t="s">
        <v>33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36</v>
      </c>
      <c r="I509" s="5">
        <v>44743</v>
      </c>
      <c r="J509" s="6">
        <v>0</v>
      </c>
      <c r="K509" s="6">
        <v>0</v>
      </c>
      <c r="L509" s="6">
        <v>0.2</v>
      </c>
      <c r="M509" s="6">
        <v>0.2</v>
      </c>
      <c r="N509" s="6">
        <v>0.2</v>
      </c>
      <c r="O509" s="6">
        <v>0.2</v>
      </c>
      <c r="P509" s="6">
        <v>0</v>
      </c>
      <c r="Q509" s="4" t="s">
        <v>26</v>
      </c>
      <c r="R509" s="4">
        <v>0</v>
      </c>
      <c r="S509" s="4" t="s">
        <v>244</v>
      </c>
      <c r="T509" s="4" t="s">
        <v>466</v>
      </c>
      <c r="U509" s="4">
        <v>0</v>
      </c>
      <c r="V509" s="4">
        <v>28</v>
      </c>
      <c r="W509" s="4">
        <v>69</v>
      </c>
    </row>
    <row r="510" spans="1:23" ht="11.25" customHeight="1" x14ac:dyDescent="0.3">
      <c r="A510" s="4" t="s">
        <v>21</v>
      </c>
      <c r="B510" s="4" t="s">
        <v>22</v>
      </c>
      <c r="C510" s="4" t="s">
        <v>33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36</v>
      </c>
      <c r="I510" s="5">
        <v>44774</v>
      </c>
      <c r="J510" s="6">
        <v>0</v>
      </c>
      <c r="K510" s="6">
        <v>0</v>
      </c>
      <c r="L510" s="6">
        <v>0.21299999999999999</v>
      </c>
      <c r="M510" s="6">
        <v>0.21299999999999999</v>
      </c>
      <c r="N510" s="6">
        <v>0.21299999999999999</v>
      </c>
      <c r="O510" s="6">
        <v>0.21299999999999999</v>
      </c>
      <c r="P510" s="6">
        <v>0</v>
      </c>
      <c r="Q510" s="4" t="s">
        <v>26</v>
      </c>
      <c r="R510" s="4">
        <v>0</v>
      </c>
      <c r="S510" s="4" t="s">
        <v>245</v>
      </c>
      <c r="T510" s="4" t="s">
        <v>467</v>
      </c>
      <c r="U510" s="4">
        <v>0</v>
      </c>
      <c r="V510" s="4">
        <v>28</v>
      </c>
      <c r="W510" s="4">
        <v>69</v>
      </c>
    </row>
    <row r="511" spans="1:23" ht="11.25" customHeight="1" x14ac:dyDescent="0.3">
      <c r="A511" s="4" t="s">
        <v>21</v>
      </c>
      <c r="B511" s="4" t="s">
        <v>22</v>
      </c>
      <c r="C511" s="4" t="s">
        <v>33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36</v>
      </c>
      <c r="I511" s="5">
        <v>44805</v>
      </c>
      <c r="J511" s="6">
        <v>0</v>
      </c>
      <c r="K511" s="6">
        <v>0</v>
      </c>
      <c r="L511" s="6">
        <v>0.17599999999999999</v>
      </c>
      <c r="M511" s="6">
        <v>0.17599999999999999</v>
      </c>
      <c r="N511" s="6">
        <v>0.17599999999999999</v>
      </c>
      <c r="O511" s="6">
        <v>0.17599999999999999</v>
      </c>
      <c r="P511" s="6">
        <v>0</v>
      </c>
      <c r="Q511" s="4" t="s">
        <v>26</v>
      </c>
      <c r="R511" s="4">
        <v>0</v>
      </c>
      <c r="S511" s="4" t="s">
        <v>246</v>
      </c>
      <c r="T511" s="4" t="s">
        <v>468</v>
      </c>
      <c r="U511" s="4">
        <v>0</v>
      </c>
      <c r="V511" s="4">
        <v>28</v>
      </c>
      <c r="W511" s="4">
        <v>69</v>
      </c>
    </row>
    <row r="512" spans="1:23" ht="11.25" customHeight="1" x14ac:dyDescent="0.3">
      <c r="A512" s="4" t="s">
        <v>57</v>
      </c>
      <c r="B512" s="4" t="s">
        <v>22</v>
      </c>
      <c r="C512" s="4" t="s">
        <v>33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36</v>
      </c>
      <c r="I512" s="5">
        <v>44835</v>
      </c>
      <c r="J512" s="6">
        <v>0</v>
      </c>
      <c r="K512" s="6">
        <v>0</v>
      </c>
      <c r="L512" s="6">
        <v>0.17599999999999999</v>
      </c>
      <c r="M512" s="6">
        <v>0.17599999999999999</v>
      </c>
      <c r="N512" s="6">
        <v>0.17599999999999999</v>
      </c>
      <c r="O512" s="6">
        <v>0.17599999999999999</v>
      </c>
      <c r="P512" s="6">
        <v>0</v>
      </c>
      <c r="Q512" s="4" t="s">
        <v>26</v>
      </c>
      <c r="R512" s="4">
        <v>0</v>
      </c>
      <c r="S512" s="4" t="s">
        <v>247</v>
      </c>
      <c r="T512" s="4" t="s">
        <v>469</v>
      </c>
      <c r="U512" s="4">
        <v>0</v>
      </c>
      <c r="V512" s="4">
        <v>28</v>
      </c>
      <c r="W512" s="4">
        <v>69</v>
      </c>
    </row>
    <row r="513" spans="1:23" ht="11.25" customHeight="1" x14ac:dyDescent="0.3">
      <c r="A513" s="4" t="s">
        <v>21</v>
      </c>
      <c r="B513" s="4" t="s">
        <v>22</v>
      </c>
      <c r="C513" s="4" t="s">
        <v>33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34</v>
      </c>
      <c r="I513" s="5">
        <v>44501</v>
      </c>
      <c r="J513" s="6">
        <v>0</v>
      </c>
      <c r="K513" s="6">
        <v>0</v>
      </c>
      <c r="L513" s="6">
        <v>0.53500000000000003</v>
      </c>
      <c r="M513" s="6">
        <v>0.53500000000000003</v>
      </c>
      <c r="N513" s="6">
        <v>0.53500000000000003</v>
      </c>
      <c r="O513" s="6">
        <v>0.53500000000000003</v>
      </c>
      <c r="P513" s="6">
        <v>0</v>
      </c>
      <c r="Q513" s="4" t="s">
        <v>26</v>
      </c>
      <c r="R513" s="4">
        <v>0</v>
      </c>
      <c r="S513" s="4" t="s">
        <v>248</v>
      </c>
      <c r="T513" s="4" t="s">
        <v>470</v>
      </c>
      <c r="U513" s="4">
        <v>0</v>
      </c>
      <c r="V513" s="4">
        <v>27</v>
      </c>
      <c r="W513" s="4">
        <v>68</v>
      </c>
    </row>
    <row r="514" spans="1:23" ht="11.25" customHeight="1" x14ac:dyDescent="0.3">
      <c r="A514" s="4" t="s">
        <v>21</v>
      </c>
      <c r="B514" s="4" t="s">
        <v>22</v>
      </c>
      <c r="C514" s="4" t="s">
        <v>33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34</v>
      </c>
      <c r="I514" s="5">
        <v>44531</v>
      </c>
      <c r="J514" s="6">
        <v>0</v>
      </c>
      <c r="K514" s="6">
        <v>0</v>
      </c>
      <c r="L514" s="6">
        <v>0.55100000000000005</v>
      </c>
      <c r="M514" s="6">
        <v>0.55100000000000005</v>
      </c>
      <c r="N514" s="6">
        <v>0.55100000000000005</v>
      </c>
      <c r="O514" s="6">
        <v>0.55100000000000005</v>
      </c>
      <c r="P514" s="6">
        <v>0</v>
      </c>
      <c r="Q514" s="4" t="s">
        <v>26</v>
      </c>
      <c r="R514" s="4">
        <v>0</v>
      </c>
      <c r="S514" s="4" t="s">
        <v>249</v>
      </c>
      <c r="T514" s="4" t="s">
        <v>471</v>
      </c>
      <c r="U514" s="4">
        <v>0</v>
      </c>
      <c r="V514" s="4">
        <v>27</v>
      </c>
      <c r="W514" s="4">
        <v>68</v>
      </c>
    </row>
    <row r="515" spans="1:23" ht="11.25" customHeight="1" x14ac:dyDescent="0.3">
      <c r="A515" s="4" t="s">
        <v>21</v>
      </c>
      <c r="B515" s="4" t="s">
        <v>22</v>
      </c>
      <c r="C515" s="4" t="s">
        <v>33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34</v>
      </c>
      <c r="I515" s="5">
        <v>44562</v>
      </c>
      <c r="J515" s="6">
        <v>0</v>
      </c>
      <c r="K515" s="6">
        <v>0</v>
      </c>
      <c r="L515" s="6">
        <v>0.56399999999999995</v>
      </c>
      <c r="M515" s="6">
        <v>0.56399999999999995</v>
      </c>
      <c r="N515" s="6">
        <v>0.56399999999999995</v>
      </c>
      <c r="O515" s="6">
        <v>0.56399999999999995</v>
      </c>
      <c r="P515" s="6">
        <v>0</v>
      </c>
      <c r="Q515" s="4" t="s">
        <v>26</v>
      </c>
      <c r="R515" s="4">
        <v>0</v>
      </c>
      <c r="S515" s="4" t="s">
        <v>250</v>
      </c>
      <c r="T515" s="4" t="s">
        <v>472</v>
      </c>
      <c r="U515" s="4">
        <v>0</v>
      </c>
      <c r="V515" s="4">
        <v>27</v>
      </c>
      <c r="W515" s="4">
        <v>68</v>
      </c>
    </row>
    <row r="516" spans="1:23" ht="11.25" customHeight="1" x14ac:dyDescent="0.3">
      <c r="A516" s="4" t="s">
        <v>21</v>
      </c>
      <c r="B516" s="4" t="s">
        <v>22</v>
      </c>
      <c r="C516" s="4" t="s">
        <v>33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34</v>
      </c>
      <c r="I516" s="5">
        <v>44593</v>
      </c>
      <c r="J516" s="6">
        <v>0</v>
      </c>
      <c r="K516" s="6">
        <v>0</v>
      </c>
      <c r="L516" s="6">
        <v>0.57899999999999996</v>
      </c>
      <c r="M516" s="6">
        <v>0.57899999999999996</v>
      </c>
      <c r="N516" s="6">
        <v>0.57899999999999996</v>
      </c>
      <c r="O516" s="6">
        <v>0.57899999999999996</v>
      </c>
      <c r="P516" s="6">
        <v>0</v>
      </c>
      <c r="Q516" s="4" t="s">
        <v>26</v>
      </c>
      <c r="R516" s="4">
        <v>0</v>
      </c>
      <c r="S516" s="4" t="s">
        <v>251</v>
      </c>
      <c r="T516" s="4" t="s">
        <v>473</v>
      </c>
      <c r="U516" s="4">
        <v>0</v>
      </c>
      <c r="V516" s="4">
        <v>27</v>
      </c>
      <c r="W516" s="4">
        <v>68</v>
      </c>
    </row>
    <row r="517" spans="1:23" ht="11.25" customHeight="1" x14ac:dyDescent="0.3">
      <c r="A517" s="4" t="s">
        <v>21</v>
      </c>
      <c r="B517" s="4" t="s">
        <v>22</v>
      </c>
      <c r="C517" s="4" t="s">
        <v>33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34</v>
      </c>
      <c r="I517" s="5">
        <v>44621</v>
      </c>
      <c r="J517" s="6">
        <v>0</v>
      </c>
      <c r="K517" s="6">
        <v>0</v>
      </c>
      <c r="L517" s="6">
        <v>0.49299999999999999</v>
      </c>
      <c r="M517" s="6">
        <v>0.49299999999999999</v>
      </c>
      <c r="N517" s="6">
        <v>0.49299999999999999</v>
      </c>
      <c r="O517" s="6">
        <v>0.49299999999999999</v>
      </c>
      <c r="P517" s="6">
        <v>0</v>
      </c>
      <c r="Q517" s="4" t="s">
        <v>26</v>
      </c>
      <c r="R517" s="4">
        <v>0</v>
      </c>
      <c r="S517" s="4" t="s">
        <v>252</v>
      </c>
      <c r="T517" s="4" t="s">
        <v>474</v>
      </c>
      <c r="U517" s="4">
        <v>0</v>
      </c>
      <c r="V517" s="4">
        <v>27</v>
      </c>
      <c r="W517" s="4">
        <v>68</v>
      </c>
    </row>
    <row r="518" spans="1:23" ht="11.25" customHeight="1" x14ac:dyDescent="0.3">
      <c r="A518" s="4" t="s">
        <v>21</v>
      </c>
      <c r="B518" s="4" t="s">
        <v>22</v>
      </c>
      <c r="C518" s="4" t="s">
        <v>33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34</v>
      </c>
      <c r="I518" s="5">
        <v>44652</v>
      </c>
      <c r="J518" s="6">
        <v>0</v>
      </c>
      <c r="K518" s="6">
        <v>0</v>
      </c>
      <c r="L518" s="6">
        <v>0.57999999999999996</v>
      </c>
      <c r="M518" s="6">
        <v>0.57999999999999996</v>
      </c>
      <c r="N518" s="6">
        <v>0.57999999999999996</v>
      </c>
      <c r="O518" s="6">
        <v>0.57999999999999996</v>
      </c>
      <c r="P518" s="6">
        <v>0</v>
      </c>
      <c r="Q518" s="4" t="s">
        <v>26</v>
      </c>
      <c r="R518" s="4">
        <v>0</v>
      </c>
      <c r="S518" s="4" t="s">
        <v>253</v>
      </c>
      <c r="T518" s="4" t="s">
        <v>475</v>
      </c>
      <c r="U518" s="4">
        <v>0</v>
      </c>
      <c r="V518" s="4">
        <v>27</v>
      </c>
      <c r="W518" s="4">
        <v>68</v>
      </c>
    </row>
    <row r="519" spans="1:23" ht="11.25" customHeight="1" x14ac:dyDescent="0.3">
      <c r="A519" s="4" t="s">
        <v>21</v>
      </c>
      <c r="B519" s="4" t="s">
        <v>22</v>
      </c>
      <c r="C519" s="4" t="s">
        <v>33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34</v>
      </c>
      <c r="I519" s="5">
        <v>44682</v>
      </c>
      <c r="J519" s="6">
        <v>0</v>
      </c>
      <c r="K519" s="6">
        <v>0</v>
      </c>
      <c r="L519" s="6">
        <v>0.36099999999999999</v>
      </c>
      <c r="M519" s="6">
        <v>0.36099999999999999</v>
      </c>
      <c r="N519" s="6">
        <v>0.36099999999999999</v>
      </c>
      <c r="O519" s="6">
        <v>0.36099999999999999</v>
      </c>
      <c r="P519" s="6">
        <v>0</v>
      </c>
      <c r="Q519" s="4" t="s">
        <v>26</v>
      </c>
      <c r="R519" s="4">
        <v>0</v>
      </c>
      <c r="S519" s="4" t="s">
        <v>254</v>
      </c>
      <c r="T519" s="4" t="s">
        <v>476</v>
      </c>
      <c r="U519" s="4">
        <v>0</v>
      </c>
      <c r="V519" s="4">
        <v>27</v>
      </c>
      <c r="W519" s="4">
        <v>68</v>
      </c>
    </row>
    <row r="520" spans="1:23" ht="11.25" customHeight="1" x14ac:dyDescent="0.3">
      <c r="A520" s="4" t="s">
        <v>21</v>
      </c>
      <c r="B520" s="4" t="s">
        <v>22</v>
      </c>
      <c r="C520" s="4" t="s">
        <v>33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34</v>
      </c>
      <c r="I520" s="5">
        <v>44713</v>
      </c>
      <c r="J520" s="6">
        <v>0</v>
      </c>
      <c r="K520" s="6">
        <v>0</v>
      </c>
      <c r="L520" s="6">
        <v>0.32800000000000001</v>
      </c>
      <c r="M520" s="6">
        <v>0.32800000000000001</v>
      </c>
      <c r="N520" s="6">
        <v>0.32800000000000001</v>
      </c>
      <c r="O520" s="6">
        <v>0.32800000000000001</v>
      </c>
      <c r="P520" s="6">
        <v>0</v>
      </c>
      <c r="Q520" s="4" t="s">
        <v>26</v>
      </c>
      <c r="R520" s="4">
        <v>0</v>
      </c>
      <c r="S520" s="4" t="s">
        <v>255</v>
      </c>
      <c r="T520" s="4" t="s">
        <v>477</v>
      </c>
      <c r="U520" s="4">
        <v>0</v>
      </c>
      <c r="V520" s="4">
        <v>27</v>
      </c>
      <c r="W520" s="4">
        <v>68</v>
      </c>
    </row>
    <row r="521" spans="1:23" ht="11.25" customHeight="1" x14ac:dyDescent="0.3">
      <c r="A521" s="4" t="s">
        <v>21</v>
      </c>
      <c r="B521" s="4" t="s">
        <v>22</v>
      </c>
      <c r="C521" s="4" t="s">
        <v>33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34</v>
      </c>
      <c r="I521" s="5">
        <v>44743</v>
      </c>
      <c r="J521" s="6">
        <v>0</v>
      </c>
      <c r="K521" s="6">
        <v>0</v>
      </c>
      <c r="L521" s="6">
        <v>0.32200000000000001</v>
      </c>
      <c r="M521" s="6">
        <v>0.32200000000000001</v>
      </c>
      <c r="N521" s="6">
        <v>0.32200000000000001</v>
      </c>
      <c r="O521" s="6">
        <v>0.32200000000000001</v>
      </c>
      <c r="P521" s="6">
        <v>0</v>
      </c>
      <c r="Q521" s="4" t="s">
        <v>26</v>
      </c>
      <c r="R521" s="4">
        <v>0</v>
      </c>
      <c r="S521" s="4" t="s">
        <v>256</v>
      </c>
      <c r="T521" s="4" t="s">
        <v>478</v>
      </c>
      <c r="U521" s="4">
        <v>0</v>
      </c>
      <c r="V521" s="4">
        <v>27</v>
      </c>
      <c r="W521" s="4">
        <v>68</v>
      </c>
    </row>
    <row r="522" spans="1:23" ht="11.25" customHeight="1" x14ac:dyDescent="0.3">
      <c r="A522" s="4" t="s">
        <v>21</v>
      </c>
      <c r="B522" s="4" t="s">
        <v>22</v>
      </c>
      <c r="C522" s="4" t="s">
        <v>33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34</v>
      </c>
      <c r="I522" s="5">
        <v>44774</v>
      </c>
      <c r="J522" s="6">
        <v>0</v>
      </c>
      <c r="K522" s="6">
        <v>0</v>
      </c>
      <c r="L522" s="6">
        <v>0.33700000000000002</v>
      </c>
      <c r="M522" s="6">
        <v>0.33700000000000002</v>
      </c>
      <c r="N522" s="6">
        <v>0.33700000000000002</v>
      </c>
      <c r="O522" s="6">
        <v>0.33700000000000002</v>
      </c>
      <c r="P522" s="6">
        <v>0</v>
      </c>
      <c r="Q522" s="4" t="s">
        <v>26</v>
      </c>
      <c r="R522" s="4">
        <v>0</v>
      </c>
      <c r="S522" s="4" t="s">
        <v>257</v>
      </c>
      <c r="T522" s="4" t="s">
        <v>479</v>
      </c>
      <c r="U522" s="4">
        <v>0</v>
      </c>
      <c r="V522" s="4">
        <v>27</v>
      </c>
      <c r="W522" s="4">
        <v>68</v>
      </c>
    </row>
    <row r="523" spans="1:23" ht="11.25" customHeight="1" x14ac:dyDescent="0.3">
      <c r="A523" s="4" t="s">
        <v>21</v>
      </c>
      <c r="B523" s="4" t="s">
        <v>22</v>
      </c>
      <c r="C523" s="4" t="s">
        <v>33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34</v>
      </c>
      <c r="I523" s="5">
        <v>44805</v>
      </c>
      <c r="J523" s="6">
        <v>0</v>
      </c>
      <c r="K523" s="6">
        <v>0</v>
      </c>
      <c r="L523" s="6">
        <v>0.27500000000000002</v>
      </c>
      <c r="M523" s="6">
        <v>0.27500000000000002</v>
      </c>
      <c r="N523" s="6">
        <v>0.27500000000000002</v>
      </c>
      <c r="O523" s="6">
        <v>0.27500000000000002</v>
      </c>
      <c r="P523" s="6">
        <v>0</v>
      </c>
      <c r="Q523" s="4" t="s">
        <v>26</v>
      </c>
      <c r="R523" s="4">
        <v>0</v>
      </c>
      <c r="S523" s="4" t="s">
        <v>258</v>
      </c>
      <c r="T523" s="4" t="s">
        <v>480</v>
      </c>
      <c r="U523" s="4">
        <v>0</v>
      </c>
      <c r="V523" s="4">
        <v>27</v>
      </c>
      <c r="W523" s="4">
        <v>68</v>
      </c>
    </row>
    <row r="524" spans="1:23" ht="11.25" customHeight="1" x14ac:dyDescent="0.3">
      <c r="A524" s="4" t="s">
        <v>57</v>
      </c>
      <c r="B524" s="4" t="s">
        <v>22</v>
      </c>
      <c r="C524" s="4" t="s">
        <v>33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34</v>
      </c>
      <c r="I524" s="5">
        <v>44835</v>
      </c>
      <c r="J524" s="6">
        <v>0</v>
      </c>
      <c r="K524" s="6">
        <v>0</v>
      </c>
      <c r="L524" s="6">
        <v>0.27500000000000002</v>
      </c>
      <c r="M524" s="6">
        <v>0.27500000000000002</v>
      </c>
      <c r="N524" s="6">
        <v>0.27500000000000002</v>
      </c>
      <c r="O524" s="6">
        <v>0.27500000000000002</v>
      </c>
      <c r="P524" s="6">
        <v>0</v>
      </c>
      <c r="Q524" s="4" t="s">
        <v>26</v>
      </c>
      <c r="R524" s="4">
        <v>0</v>
      </c>
      <c r="S524" s="4" t="s">
        <v>259</v>
      </c>
      <c r="T524" s="4" t="s">
        <v>481</v>
      </c>
      <c r="U524" s="4">
        <v>0</v>
      </c>
      <c r="V524" s="4">
        <v>27</v>
      </c>
      <c r="W524" s="4">
        <v>68</v>
      </c>
    </row>
    <row r="525" spans="1:23" ht="11.25" customHeight="1" x14ac:dyDescent="0.3">
      <c r="A525" s="4" t="s">
        <v>21</v>
      </c>
      <c r="B525" s="4" t="s">
        <v>22</v>
      </c>
      <c r="C525" s="4" t="s">
        <v>23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25</v>
      </c>
      <c r="I525" s="5">
        <v>44501</v>
      </c>
      <c r="J525" s="6">
        <v>0</v>
      </c>
      <c r="K525" s="6">
        <v>0</v>
      </c>
      <c r="L525" s="6">
        <v>4079.2910000000002</v>
      </c>
      <c r="M525" s="6">
        <v>4079.2910000000002</v>
      </c>
      <c r="N525" s="6">
        <v>4079.2910000000002</v>
      </c>
      <c r="O525" s="6">
        <v>4079.2910000000002</v>
      </c>
      <c r="P525" s="6">
        <v>27228</v>
      </c>
      <c r="Q525" s="4" t="s">
        <v>26</v>
      </c>
      <c r="R525" s="4">
        <v>0</v>
      </c>
      <c r="S525" s="4" t="s">
        <v>260</v>
      </c>
      <c r="T525" s="4" t="s">
        <v>482</v>
      </c>
      <c r="U525" s="4">
        <v>0</v>
      </c>
      <c r="V525" s="4">
        <v>30</v>
      </c>
      <c r="W525" s="4">
        <v>71</v>
      </c>
    </row>
    <row r="526" spans="1:23" ht="11.25" customHeight="1" x14ac:dyDescent="0.3">
      <c r="A526" s="4" t="s">
        <v>27</v>
      </c>
      <c r="B526" s="4" t="s">
        <v>22</v>
      </c>
      <c r="C526" s="4" t="s">
        <v>23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25</v>
      </c>
      <c r="I526" s="5">
        <v>44501</v>
      </c>
      <c r="J526" s="6">
        <v>0</v>
      </c>
      <c r="K526" s="6">
        <v>0</v>
      </c>
      <c r="L526" s="6">
        <v>-0.3</v>
      </c>
      <c r="M526" s="6">
        <v>-0.3</v>
      </c>
      <c r="N526" s="6">
        <v>-0.3</v>
      </c>
      <c r="O526" s="6">
        <v>-0.3</v>
      </c>
      <c r="P526" s="6">
        <v>0</v>
      </c>
      <c r="Q526" s="4" t="s">
        <v>26</v>
      </c>
      <c r="R526" s="4">
        <v>0</v>
      </c>
      <c r="S526" s="4" t="s">
        <v>260</v>
      </c>
      <c r="T526" s="4" t="s">
        <v>482</v>
      </c>
      <c r="U526" s="4">
        <v>0</v>
      </c>
      <c r="V526" s="4">
        <v>30</v>
      </c>
      <c r="W526" s="4">
        <v>71</v>
      </c>
    </row>
    <row r="527" spans="1:23" ht="11.25" customHeight="1" x14ac:dyDescent="0.3">
      <c r="A527" s="4" t="s">
        <v>28</v>
      </c>
      <c r="B527" s="4" t="s">
        <v>22</v>
      </c>
      <c r="C527" s="4" t="s">
        <v>23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25</v>
      </c>
      <c r="I527" s="5">
        <v>44501</v>
      </c>
      <c r="J527" s="6">
        <v>0</v>
      </c>
      <c r="K527" s="6">
        <v>0</v>
      </c>
      <c r="L527" s="6">
        <v>63.996000000000002</v>
      </c>
      <c r="M527" s="6">
        <v>63.996000000000002</v>
      </c>
      <c r="N527" s="6">
        <v>63.996000000000002</v>
      </c>
      <c r="O527" s="6">
        <v>63.996000000000002</v>
      </c>
      <c r="P527" s="6">
        <v>411</v>
      </c>
      <c r="Q527" s="4" t="s">
        <v>26</v>
      </c>
      <c r="R527" s="4">
        <v>0</v>
      </c>
      <c r="S527" s="4" t="s">
        <v>260</v>
      </c>
      <c r="T527" s="4" t="s">
        <v>482</v>
      </c>
      <c r="U527" s="4">
        <v>0</v>
      </c>
      <c r="V527" s="4">
        <v>30</v>
      </c>
      <c r="W527" s="4">
        <v>71</v>
      </c>
    </row>
    <row r="528" spans="1:23" ht="11.25" customHeight="1" x14ac:dyDescent="0.3">
      <c r="A528" s="4" t="s">
        <v>21</v>
      </c>
      <c r="B528" s="4" t="s">
        <v>22</v>
      </c>
      <c r="C528" s="4" t="s">
        <v>23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25</v>
      </c>
      <c r="I528" s="5">
        <v>44531</v>
      </c>
      <c r="J528" s="6">
        <v>0</v>
      </c>
      <c r="K528" s="6">
        <v>0</v>
      </c>
      <c r="L528" s="6">
        <v>3895.5329999999999</v>
      </c>
      <c r="M528" s="6">
        <v>3895.5329999999999</v>
      </c>
      <c r="N528" s="6">
        <v>3895.5329999999999</v>
      </c>
      <c r="O528" s="6">
        <v>3895.5329999999999</v>
      </c>
      <c r="P528" s="6">
        <v>27118</v>
      </c>
      <c r="Q528" s="4" t="s">
        <v>26</v>
      </c>
      <c r="R528" s="4">
        <v>0</v>
      </c>
      <c r="S528" s="4" t="s">
        <v>261</v>
      </c>
      <c r="T528" s="4" t="s">
        <v>483</v>
      </c>
      <c r="U528" s="4">
        <v>0</v>
      </c>
      <c r="V528" s="4">
        <v>30</v>
      </c>
      <c r="W528" s="4">
        <v>71</v>
      </c>
    </row>
    <row r="529" spans="1:23" ht="11.25" customHeight="1" x14ac:dyDescent="0.3">
      <c r="A529" s="4" t="s">
        <v>28</v>
      </c>
      <c r="B529" s="4" t="s">
        <v>22</v>
      </c>
      <c r="C529" s="4" t="s">
        <v>23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25</v>
      </c>
      <c r="I529" s="5">
        <v>44531</v>
      </c>
      <c r="J529" s="6">
        <v>0</v>
      </c>
      <c r="K529" s="6">
        <v>0</v>
      </c>
      <c r="L529" s="6">
        <v>50.265000000000001</v>
      </c>
      <c r="M529" s="6">
        <v>50.265000000000001</v>
      </c>
      <c r="N529" s="6">
        <v>50.265000000000001</v>
      </c>
      <c r="O529" s="6">
        <v>50.265000000000001</v>
      </c>
      <c r="P529" s="6">
        <v>440</v>
      </c>
      <c r="Q529" s="4" t="s">
        <v>26</v>
      </c>
      <c r="R529" s="4">
        <v>0</v>
      </c>
      <c r="S529" s="4" t="s">
        <v>261</v>
      </c>
      <c r="T529" s="4" t="s">
        <v>483</v>
      </c>
      <c r="U529" s="4">
        <v>0</v>
      </c>
      <c r="V529" s="4">
        <v>30</v>
      </c>
      <c r="W529" s="4">
        <v>71</v>
      </c>
    </row>
    <row r="530" spans="1:23" ht="11.25" customHeight="1" x14ac:dyDescent="0.3">
      <c r="A530" s="4" t="s">
        <v>21</v>
      </c>
      <c r="B530" s="4" t="s">
        <v>22</v>
      </c>
      <c r="C530" s="4" t="s">
        <v>23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25</v>
      </c>
      <c r="I530" s="5">
        <v>44562</v>
      </c>
      <c r="J530" s="6">
        <v>0</v>
      </c>
      <c r="K530" s="6">
        <v>0</v>
      </c>
      <c r="L530" s="6">
        <v>3972.6260000000002</v>
      </c>
      <c r="M530" s="6">
        <v>3972.6260000000002</v>
      </c>
      <c r="N530" s="6">
        <v>3972.6260000000002</v>
      </c>
      <c r="O530" s="6">
        <v>3972.6260000000002</v>
      </c>
      <c r="P530" s="6">
        <v>27010</v>
      </c>
      <c r="Q530" s="4" t="s">
        <v>26</v>
      </c>
      <c r="R530" s="4">
        <v>0</v>
      </c>
      <c r="S530" s="4" t="s">
        <v>262</v>
      </c>
      <c r="T530" s="4" t="s">
        <v>484</v>
      </c>
      <c r="U530" s="4">
        <v>0</v>
      </c>
      <c r="V530" s="4">
        <v>30</v>
      </c>
      <c r="W530" s="4">
        <v>71</v>
      </c>
    </row>
    <row r="531" spans="1:23" ht="11.25" customHeight="1" x14ac:dyDescent="0.3">
      <c r="A531" s="4" t="s">
        <v>28</v>
      </c>
      <c r="B531" s="4" t="s">
        <v>22</v>
      </c>
      <c r="C531" s="4" t="s">
        <v>23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25</v>
      </c>
      <c r="I531" s="5">
        <v>44562</v>
      </c>
      <c r="J531" s="6">
        <v>0</v>
      </c>
      <c r="K531" s="6">
        <v>0</v>
      </c>
      <c r="L531" s="6">
        <v>56.207999999999998</v>
      </c>
      <c r="M531" s="6">
        <v>56.207999999999998</v>
      </c>
      <c r="N531" s="6">
        <v>56.207999999999998</v>
      </c>
      <c r="O531" s="6">
        <v>56.207999999999998</v>
      </c>
      <c r="P531" s="6">
        <v>466</v>
      </c>
      <c r="Q531" s="4" t="s">
        <v>26</v>
      </c>
      <c r="R531" s="4">
        <v>0</v>
      </c>
      <c r="S531" s="4" t="s">
        <v>262</v>
      </c>
      <c r="T531" s="4" t="s">
        <v>484</v>
      </c>
      <c r="U531" s="4">
        <v>0</v>
      </c>
      <c r="V531" s="4">
        <v>30</v>
      </c>
      <c r="W531" s="4">
        <v>71</v>
      </c>
    </row>
    <row r="532" spans="1:23" ht="11.25" customHeight="1" x14ac:dyDescent="0.3">
      <c r="A532" s="4" t="s">
        <v>21</v>
      </c>
      <c r="B532" s="4" t="s">
        <v>22</v>
      </c>
      <c r="C532" s="4" t="s">
        <v>23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25</v>
      </c>
      <c r="I532" s="5">
        <v>44593</v>
      </c>
      <c r="J532" s="6">
        <v>0</v>
      </c>
      <c r="K532" s="6">
        <v>0</v>
      </c>
      <c r="L532" s="6">
        <v>3941.299</v>
      </c>
      <c r="M532" s="6">
        <v>3941.299</v>
      </c>
      <c r="N532" s="6">
        <v>3941.299</v>
      </c>
      <c r="O532" s="6">
        <v>3941.299</v>
      </c>
      <c r="P532" s="6">
        <v>26925</v>
      </c>
      <c r="Q532" s="4" t="s">
        <v>26</v>
      </c>
      <c r="R532" s="4">
        <v>0</v>
      </c>
      <c r="S532" s="4" t="s">
        <v>263</v>
      </c>
      <c r="T532" s="4" t="s">
        <v>485</v>
      </c>
      <c r="U532" s="4">
        <v>0</v>
      </c>
      <c r="V532" s="4">
        <v>30</v>
      </c>
      <c r="W532" s="4">
        <v>71</v>
      </c>
    </row>
    <row r="533" spans="1:23" ht="11.25" customHeight="1" x14ac:dyDescent="0.3">
      <c r="A533" s="4" t="s">
        <v>28</v>
      </c>
      <c r="B533" s="4" t="s">
        <v>22</v>
      </c>
      <c r="C533" s="4" t="s">
        <v>23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25</v>
      </c>
      <c r="I533" s="5">
        <v>44593</v>
      </c>
      <c r="J533" s="6">
        <v>0</v>
      </c>
      <c r="K533" s="6">
        <v>0</v>
      </c>
      <c r="L533" s="6">
        <v>48.512</v>
      </c>
      <c r="M533" s="6">
        <v>48.512</v>
      </c>
      <c r="N533" s="6">
        <v>48.512</v>
      </c>
      <c r="O533" s="6">
        <v>48.512</v>
      </c>
      <c r="P533" s="6">
        <v>498</v>
      </c>
      <c r="Q533" s="4" t="s">
        <v>26</v>
      </c>
      <c r="R533" s="4">
        <v>0</v>
      </c>
      <c r="S533" s="4" t="s">
        <v>263</v>
      </c>
      <c r="T533" s="4" t="s">
        <v>485</v>
      </c>
      <c r="U533" s="4">
        <v>0</v>
      </c>
      <c r="V533" s="4">
        <v>30</v>
      </c>
      <c r="W533" s="4">
        <v>71</v>
      </c>
    </row>
    <row r="534" spans="1:23" ht="11.25" customHeight="1" x14ac:dyDescent="0.3">
      <c r="A534" s="4" t="s">
        <v>21</v>
      </c>
      <c r="B534" s="4" t="s">
        <v>22</v>
      </c>
      <c r="C534" s="4" t="s">
        <v>23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25</v>
      </c>
      <c r="I534" s="5">
        <v>44621</v>
      </c>
      <c r="J534" s="6">
        <v>0</v>
      </c>
      <c r="K534" s="6">
        <v>0</v>
      </c>
      <c r="L534" s="6">
        <v>3635.4769999999999</v>
      </c>
      <c r="M534" s="6">
        <v>3635.4769999999999</v>
      </c>
      <c r="N534" s="6">
        <v>3635.4769999999999</v>
      </c>
      <c r="O534" s="6">
        <v>3635.4769999999999</v>
      </c>
      <c r="P534" s="6">
        <v>26796</v>
      </c>
      <c r="Q534" s="4" t="s">
        <v>26</v>
      </c>
      <c r="R534" s="4">
        <v>0</v>
      </c>
      <c r="S534" s="4" t="s">
        <v>264</v>
      </c>
      <c r="T534" s="4" t="s">
        <v>486</v>
      </c>
      <c r="U534" s="4">
        <v>0</v>
      </c>
      <c r="V534" s="4">
        <v>30</v>
      </c>
      <c r="W534" s="4">
        <v>71</v>
      </c>
    </row>
    <row r="535" spans="1:23" ht="11.25" customHeight="1" x14ac:dyDescent="0.3">
      <c r="A535" s="4" t="s">
        <v>28</v>
      </c>
      <c r="B535" s="4" t="s">
        <v>22</v>
      </c>
      <c r="C535" s="4" t="s">
        <v>23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25</v>
      </c>
      <c r="I535" s="5">
        <v>44621</v>
      </c>
      <c r="J535" s="6">
        <v>0</v>
      </c>
      <c r="K535" s="6">
        <v>0</v>
      </c>
      <c r="L535" s="6">
        <v>47.52</v>
      </c>
      <c r="M535" s="6">
        <v>47.52</v>
      </c>
      <c r="N535" s="6">
        <v>47.52</v>
      </c>
      <c r="O535" s="6">
        <v>47.52</v>
      </c>
      <c r="P535" s="6">
        <v>539</v>
      </c>
      <c r="Q535" s="4" t="s">
        <v>26</v>
      </c>
      <c r="R535" s="4">
        <v>0</v>
      </c>
      <c r="S535" s="4" t="s">
        <v>264</v>
      </c>
      <c r="T535" s="4" t="s">
        <v>486</v>
      </c>
      <c r="U535" s="4">
        <v>0</v>
      </c>
      <c r="V535" s="4">
        <v>30</v>
      </c>
      <c r="W535" s="4">
        <v>71</v>
      </c>
    </row>
    <row r="536" spans="1:23" ht="11.25" customHeight="1" x14ac:dyDescent="0.3">
      <c r="A536" s="4" t="s">
        <v>21</v>
      </c>
      <c r="B536" s="4" t="s">
        <v>22</v>
      </c>
      <c r="C536" s="4" t="s">
        <v>23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25</v>
      </c>
      <c r="I536" s="5">
        <v>44652</v>
      </c>
      <c r="J536" s="6">
        <v>0</v>
      </c>
      <c r="K536" s="6">
        <v>0</v>
      </c>
      <c r="L536" s="6">
        <v>4193.3450000000003</v>
      </c>
      <c r="M536" s="6">
        <v>4193.3450000000003</v>
      </c>
      <c r="N536" s="6">
        <v>4193.3450000000003</v>
      </c>
      <c r="O536" s="6">
        <v>4193.3450000000003</v>
      </c>
      <c r="P536" s="6">
        <v>26454</v>
      </c>
      <c r="Q536" s="4" t="s">
        <v>26</v>
      </c>
      <c r="R536" s="4">
        <v>0</v>
      </c>
      <c r="S536" s="4" t="s">
        <v>265</v>
      </c>
      <c r="T536" s="4" t="s">
        <v>487</v>
      </c>
      <c r="U536" s="4">
        <v>0</v>
      </c>
      <c r="V536" s="4">
        <v>30</v>
      </c>
      <c r="W536" s="4">
        <v>71</v>
      </c>
    </row>
    <row r="537" spans="1:23" ht="11.25" customHeight="1" x14ac:dyDescent="0.3">
      <c r="A537" s="4" t="s">
        <v>28</v>
      </c>
      <c r="B537" s="4" t="s">
        <v>22</v>
      </c>
      <c r="C537" s="4" t="s">
        <v>23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25</v>
      </c>
      <c r="I537" s="5">
        <v>44652</v>
      </c>
      <c r="J537" s="6">
        <v>0</v>
      </c>
      <c r="K537" s="6">
        <v>0</v>
      </c>
      <c r="L537" s="6">
        <v>55.765000000000001</v>
      </c>
      <c r="M537" s="6">
        <v>55.765000000000001</v>
      </c>
      <c r="N537" s="6">
        <v>55.765000000000001</v>
      </c>
      <c r="O537" s="6">
        <v>55.765000000000001</v>
      </c>
      <c r="P537" s="6">
        <v>562</v>
      </c>
      <c r="Q537" s="4" t="s">
        <v>26</v>
      </c>
      <c r="R537" s="4">
        <v>0</v>
      </c>
      <c r="S537" s="4" t="s">
        <v>265</v>
      </c>
      <c r="T537" s="4" t="s">
        <v>487</v>
      </c>
      <c r="U537" s="4">
        <v>0</v>
      </c>
      <c r="V537" s="4">
        <v>30</v>
      </c>
      <c r="W537" s="4">
        <v>71</v>
      </c>
    </row>
    <row r="538" spans="1:23" ht="11.25" customHeight="1" x14ac:dyDescent="0.3">
      <c r="A538" s="4" t="s">
        <v>21</v>
      </c>
      <c r="B538" s="4" t="s">
        <v>22</v>
      </c>
      <c r="C538" s="4" t="s">
        <v>23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25</v>
      </c>
      <c r="I538" s="5">
        <v>44682</v>
      </c>
      <c r="J538" s="6">
        <v>0</v>
      </c>
      <c r="K538" s="6">
        <v>0</v>
      </c>
      <c r="L538" s="6">
        <v>3836.12</v>
      </c>
      <c r="M538" s="6">
        <v>3836.12</v>
      </c>
      <c r="N538" s="6">
        <v>3836.12</v>
      </c>
      <c r="O538" s="6">
        <v>3836.12</v>
      </c>
      <c r="P538" s="6">
        <v>26230</v>
      </c>
      <c r="Q538" s="4" t="s">
        <v>26</v>
      </c>
      <c r="R538" s="4">
        <v>0</v>
      </c>
      <c r="S538" s="4" t="s">
        <v>266</v>
      </c>
      <c r="T538" s="4" t="s">
        <v>488</v>
      </c>
      <c r="U538" s="4">
        <v>0</v>
      </c>
      <c r="V538" s="4">
        <v>30</v>
      </c>
      <c r="W538" s="4">
        <v>71</v>
      </c>
    </row>
    <row r="539" spans="1:23" ht="11.25" customHeight="1" x14ac:dyDescent="0.3">
      <c r="A539" s="4" t="s">
        <v>28</v>
      </c>
      <c r="B539" s="4" t="s">
        <v>22</v>
      </c>
      <c r="C539" s="4" t="s">
        <v>23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25</v>
      </c>
      <c r="I539" s="5">
        <v>44682</v>
      </c>
      <c r="J539" s="6">
        <v>0</v>
      </c>
      <c r="K539" s="6">
        <v>0</v>
      </c>
      <c r="L539" s="6">
        <v>61.878999999999998</v>
      </c>
      <c r="M539" s="6">
        <v>61.878999999999998</v>
      </c>
      <c r="N539" s="6">
        <v>61.878999999999998</v>
      </c>
      <c r="O539" s="6">
        <v>61.878999999999998</v>
      </c>
      <c r="P539" s="6">
        <v>585</v>
      </c>
      <c r="Q539" s="4" t="s">
        <v>26</v>
      </c>
      <c r="R539" s="4">
        <v>0</v>
      </c>
      <c r="S539" s="4" t="s">
        <v>266</v>
      </c>
      <c r="T539" s="4" t="s">
        <v>488</v>
      </c>
      <c r="U539" s="4">
        <v>0</v>
      </c>
      <c r="V539" s="4">
        <v>30</v>
      </c>
      <c r="W539" s="4">
        <v>71</v>
      </c>
    </row>
    <row r="540" spans="1:23" ht="11.25" customHeight="1" x14ac:dyDescent="0.3">
      <c r="A540" s="4" t="s">
        <v>21</v>
      </c>
      <c r="B540" s="4" t="s">
        <v>22</v>
      </c>
      <c r="C540" s="4" t="s">
        <v>23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25</v>
      </c>
      <c r="I540" s="5">
        <v>44713</v>
      </c>
      <c r="J540" s="6">
        <v>0</v>
      </c>
      <c r="K540" s="6">
        <v>0</v>
      </c>
      <c r="L540" s="6">
        <v>3379.7689999999998</v>
      </c>
      <c r="M540" s="6">
        <v>3379.7689999999998</v>
      </c>
      <c r="N540" s="6">
        <v>3379.7689999999998</v>
      </c>
      <c r="O540" s="6">
        <v>3379.7689999999998</v>
      </c>
      <c r="P540" s="6">
        <v>26346</v>
      </c>
      <c r="Q540" s="4" t="s">
        <v>26</v>
      </c>
      <c r="R540" s="4">
        <v>0</v>
      </c>
      <c r="S540" s="4" t="s">
        <v>267</v>
      </c>
      <c r="T540" s="4" t="s">
        <v>489</v>
      </c>
      <c r="U540" s="4">
        <v>0</v>
      </c>
      <c r="V540" s="4">
        <v>30</v>
      </c>
      <c r="W540" s="4">
        <v>71</v>
      </c>
    </row>
    <row r="541" spans="1:23" ht="11.25" customHeight="1" x14ac:dyDescent="0.3">
      <c r="A541" s="4" t="s">
        <v>27</v>
      </c>
      <c r="B541" s="4" t="s">
        <v>22</v>
      </c>
      <c r="C541" s="4" t="s">
        <v>23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25</v>
      </c>
      <c r="I541" s="5">
        <v>44713</v>
      </c>
      <c r="J541" s="6">
        <v>0</v>
      </c>
      <c r="K541" s="6">
        <v>0</v>
      </c>
      <c r="L541" s="6">
        <v>-9.4E-2</v>
      </c>
      <c r="M541" s="6">
        <v>-9.4E-2</v>
      </c>
      <c r="N541" s="6">
        <v>-9.4E-2</v>
      </c>
      <c r="O541" s="6">
        <v>-9.4E-2</v>
      </c>
      <c r="P541" s="6">
        <v>0</v>
      </c>
      <c r="Q541" s="4" t="s">
        <v>26</v>
      </c>
      <c r="R541" s="4">
        <v>0</v>
      </c>
      <c r="S541" s="4" t="s">
        <v>267</v>
      </c>
      <c r="T541" s="4" t="s">
        <v>489</v>
      </c>
      <c r="U541" s="4">
        <v>0</v>
      </c>
      <c r="V541" s="4">
        <v>30</v>
      </c>
      <c r="W541" s="4">
        <v>71</v>
      </c>
    </row>
    <row r="542" spans="1:23" ht="11.25" customHeight="1" x14ac:dyDescent="0.3">
      <c r="A542" s="4" t="s">
        <v>28</v>
      </c>
      <c r="B542" s="4" t="s">
        <v>22</v>
      </c>
      <c r="C542" s="4" t="s">
        <v>23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25</v>
      </c>
      <c r="I542" s="5">
        <v>44713</v>
      </c>
      <c r="J542" s="6">
        <v>0</v>
      </c>
      <c r="K542" s="6">
        <v>0</v>
      </c>
      <c r="L542" s="6">
        <v>57.09</v>
      </c>
      <c r="M542" s="6">
        <v>57.09</v>
      </c>
      <c r="N542" s="6">
        <v>57.09</v>
      </c>
      <c r="O542" s="6">
        <v>57.09</v>
      </c>
      <c r="P542" s="6">
        <v>639</v>
      </c>
      <c r="Q542" s="4" t="s">
        <v>26</v>
      </c>
      <c r="R542" s="4">
        <v>0</v>
      </c>
      <c r="S542" s="4" t="s">
        <v>267</v>
      </c>
      <c r="T542" s="4" t="s">
        <v>489</v>
      </c>
      <c r="U542" s="4">
        <v>0</v>
      </c>
      <c r="V542" s="4">
        <v>30</v>
      </c>
      <c r="W542" s="4">
        <v>71</v>
      </c>
    </row>
    <row r="543" spans="1:23" ht="11.25" customHeight="1" x14ac:dyDescent="0.3">
      <c r="A543" s="4" t="s">
        <v>21</v>
      </c>
      <c r="B543" s="4" t="s">
        <v>22</v>
      </c>
      <c r="C543" s="4" t="s">
        <v>23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25</v>
      </c>
      <c r="I543" s="5">
        <v>44743</v>
      </c>
      <c r="J543" s="6">
        <v>0</v>
      </c>
      <c r="K543" s="6">
        <v>0</v>
      </c>
      <c r="L543" s="6">
        <v>3550.944</v>
      </c>
      <c r="M543" s="6">
        <v>3550.944</v>
      </c>
      <c r="N543" s="6">
        <v>3550.944</v>
      </c>
      <c r="O543" s="6">
        <v>3550.944</v>
      </c>
      <c r="P543" s="6">
        <v>26408</v>
      </c>
      <c r="Q543" s="4" t="s">
        <v>26</v>
      </c>
      <c r="R543" s="4">
        <v>0</v>
      </c>
      <c r="S543" s="4" t="s">
        <v>268</v>
      </c>
      <c r="T543" s="4" t="s">
        <v>490</v>
      </c>
      <c r="U543" s="4">
        <v>0</v>
      </c>
      <c r="V543" s="4">
        <v>30</v>
      </c>
      <c r="W543" s="4">
        <v>71</v>
      </c>
    </row>
    <row r="544" spans="1:23" ht="11.25" customHeight="1" x14ac:dyDescent="0.3">
      <c r="A544" s="4" t="s">
        <v>28</v>
      </c>
      <c r="B544" s="4" t="s">
        <v>22</v>
      </c>
      <c r="C544" s="4" t="s">
        <v>23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25</v>
      </c>
      <c r="I544" s="5">
        <v>44743</v>
      </c>
      <c r="J544" s="6">
        <v>0</v>
      </c>
      <c r="K544" s="6">
        <v>0</v>
      </c>
      <c r="L544" s="6">
        <v>63.228000000000002</v>
      </c>
      <c r="M544" s="6">
        <v>63.228000000000002</v>
      </c>
      <c r="N544" s="6">
        <v>63.228000000000002</v>
      </c>
      <c r="O544" s="6">
        <v>63.228000000000002</v>
      </c>
      <c r="P544" s="6">
        <v>652</v>
      </c>
      <c r="Q544" s="4" t="s">
        <v>26</v>
      </c>
      <c r="R544" s="4">
        <v>0</v>
      </c>
      <c r="S544" s="4" t="s">
        <v>268</v>
      </c>
      <c r="T544" s="4" t="s">
        <v>490</v>
      </c>
      <c r="U544" s="4">
        <v>0</v>
      </c>
      <c r="V544" s="4">
        <v>30</v>
      </c>
      <c r="W544" s="4">
        <v>71</v>
      </c>
    </row>
    <row r="545" spans="1:23" ht="11.25" customHeight="1" x14ac:dyDescent="0.3">
      <c r="A545" s="4" t="s">
        <v>21</v>
      </c>
      <c r="B545" s="4" t="s">
        <v>22</v>
      </c>
      <c r="C545" s="4" t="s">
        <v>23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25</v>
      </c>
      <c r="I545" s="5">
        <v>44774</v>
      </c>
      <c r="J545" s="6">
        <v>0</v>
      </c>
      <c r="K545" s="6">
        <v>0</v>
      </c>
      <c r="L545" s="6">
        <v>3414.7530000000002</v>
      </c>
      <c r="M545" s="6">
        <v>3414.7530000000002</v>
      </c>
      <c r="N545" s="6">
        <v>3414.7530000000002</v>
      </c>
      <c r="O545" s="6">
        <v>3414.7530000000002</v>
      </c>
      <c r="P545" s="6">
        <v>26417</v>
      </c>
      <c r="Q545" s="4" t="s">
        <v>26</v>
      </c>
      <c r="R545" s="4">
        <v>0</v>
      </c>
      <c r="S545" s="4" t="s">
        <v>269</v>
      </c>
      <c r="T545" s="4" t="s">
        <v>491</v>
      </c>
      <c r="U545" s="4">
        <v>0</v>
      </c>
      <c r="V545" s="4">
        <v>30</v>
      </c>
      <c r="W545" s="4">
        <v>71</v>
      </c>
    </row>
    <row r="546" spans="1:23" ht="11.25" customHeight="1" x14ac:dyDescent="0.3">
      <c r="A546" s="4" t="s">
        <v>28</v>
      </c>
      <c r="B546" s="4" t="s">
        <v>22</v>
      </c>
      <c r="C546" s="4" t="s">
        <v>23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25</v>
      </c>
      <c r="I546" s="5">
        <v>44774</v>
      </c>
      <c r="J546" s="6">
        <v>0</v>
      </c>
      <c r="K546" s="6">
        <v>0</v>
      </c>
      <c r="L546" s="6">
        <v>63.838999999999999</v>
      </c>
      <c r="M546" s="6">
        <v>63.838999999999999</v>
      </c>
      <c r="N546" s="6">
        <v>63.838999999999999</v>
      </c>
      <c r="O546" s="6">
        <v>63.838999999999999</v>
      </c>
      <c r="P546" s="6">
        <v>697</v>
      </c>
      <c r="Q546" s="4" t="s">
        <v>26</v>
      </c>
      <c r="R546" s="4">
        <v>0</v>
      </c>
      <c r="S546" s="4" t="s">
        <v>269</v>
      </c>
      <c r="T546" s="4" t="s">
        <v>491</v>
      </c>
      <c r="U546" s="4">
        <v>0</v>
      </c>
      <c r="V546" s="4">
        <v>30</v>
      </c>
      <c r="W546" s="4">
        <v>71</v>
      </c>
    </row>
    <row r="547" spans="1:23" ht="11.25" customHeight="1" x14ac:dyDescent="0.3">
      <c r="A547" s="4" t="s">
        <v>21</v>
      </c>
      <c r="B547" s="4" t="s">
        <v>22</v>
      </c>
      <c r="C547" s="4" t="s">
        <v>23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25</v>
      </c>
      <c r="I547" s="5">
        <v>44805</v>
      </c>
      <c r="J547" s="6">
        <v>0</v>
      </c>
      <c r="K547" s="6">
        <v>0</v>
      </c>
      <c r="L547" s="6">
        <v>4069.8310000000001</v>
      </c>
      <c r="M547" s="6">
        <v>4069.8310000000001</v>
      </c>
      <c r="N547" s="6">
        <v>4069.8310000000001</v>
      </c>
      <c r="O547" s="6">
        <v>4069.8310000000001</v>
      </c>
      <c r="P547" s="6">
        <v>26434</v>
      </c>
      <c r="Q547" s="4" t="s">
        <v>26</v>
      </c>
      <c r="R547" s="4">
        <v>0</v>
      </c>
      <c r="S547" s="4" t="s">
        <v>270</v>
      </c>
      <c r="T547" s="4" t="s">
        <v>492</v>
      </c>
      <c r="U547" s="4">
        <v>0</v>
      </c>
      <c r="V547" s="4">
        <v>30</v>
      </c>
      <c r="W547" s="4">
        <v>71</v>
      </c>
    </row>
    <row r="548" spans="1:23" ht="11.25" customHeight="1" x14ac:dyDescent="0.3">
      <c r="A548" s="4" t="s">
        <v>28</v>
      </c>
      <c r="B548" s="4" t="s">
        <v>22</v>
      </c>
      <c r="C548" s="4" t="s">
        <v>23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25</v>
      </c>
      <c r="I548" s="5">
        <v>44805</v>
      </c>
      <c r="J548" s="6">
        <v>0</v>
      </c>
      <c r="K548" s="6">
        <v>0</v>
      </c>
      <c r="L548" s="6">
        <v>74.814999999999998</v>
      </c>
      <c r="M548" s="6">
        <v>74.814999999999998</v>
      </c>
      <c r="N548" s="6">
        <v>74.814999999999998</v>
      </c>
      <c r="O548" s="6">
        <v>74.814999999999998</v>
      </c>
      <c r="P548" s="6">
        <v>734</v>
      </c>
      <c r="Q548" s="4" t="s">
        <v>26</v>
      </c>
      <c r="R548" s="4">
        <v>0</v>
      </c>
      <c r="S548" s="4" t="s">
        <v>270</v>
      </c>
      <c r="T548" s="4" t="s">
        <v>492</v>
      </c>
      <c r="U548" s="4">
        <v>0</v>
      </c>
      <c r="V548" s="4">
        <v>30</v>
      </c>
      <c r="W548" s="4">
        <v>71</v>
      </c>
    </row>
    <row r="549" spans="1:23" ht="11.25" customHeight="1" x14ac:dyDescent="0.3">
      <c r="A549" s="4" t="s">
        <v>57</v>
      </c>
      <c r="B549" s="4" t="s">
        <v>22</v>
      </c>
      <c r="C549" s="4" t="s">
        <v>23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25</v>
      </c>
      <c r="I549" s="5">
        <v>44835</v>
      </c>
      <c r="J549" s="6">
        <v>0</v>
      </c>
      <c r="K549" s="6">
        <v>0</v>
      </c>
      <c r="L549" s="6">
        <v>4069.8310000000001</v>
      </c>
      <c r="M549" s="6">
        <v>4069.8310000000001</v>
      </c>
      <c r="N549" s="6">
        <v>4069.8310000000001</v>
      </c>
      <c r="O549" s="6">
        <v>4069.8310000000001</v>
      </c>
      <c r="P549" s="6">
        <v>26434</v>
      </c>
      <c r="Q549" s="4" t="s">
        <v>26</v>
      </c>
      <c r="R549" s="4">
        <v>0</v>
      </c>
      <c r="S549" s="4" t="s">
        <v>271</v>
      </c>
      <c r="T549" s="4" t="s">
        <v>493</v>
      </c>
      <c r="U549" s="4">
        <v>0</v>
      </c>
      <c r="V549" s="4">
        <v>30</v>
      </c>
      <c r="W549" s="4">
        <v>71</v>
      </c>
    </row>
    <row r="550" spans="1:23" ht="11.25" customHeight="1" x14ac:dyDescent="0.3">
      <c r="A550" s="4" t="s">
        <v>57</v>
      </c>
      <c r="B550" s="4" t="s">
        <v>22</v>
      </c>
      <c r="C550" s="4" t="s">
        <v>23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25</v>
      </c>
      <c r="I550" s="5">
        <v>44835</v>
      </c>
      <c r="J550" s="6">
        <v>0</v>
      </c>
      <c r="K550" s="6">
        <v>0</v>
      </c>
      <c r="L550" s="6">
        <v>74.814999999999998</v>
      </c>
      <c r="M550" s="6">
        <v>74.814999999999998</v>
      </c>
      <c r="N550" s="6">
        <v>74.814999999999998</v>
      </c>
      <c r="O550" s="6">
        <v>74.814999999999998</v>
      </c>
      <c r="P550" s="6">
        <v>734</v>
      </c>
      <c r="Q550" s="4" t="s">
        <v>26</v>
      </c>
      <c r="R550" s="4">
        <v>0</v>
      </c>
      <c r="S550" s="4" t="s">
        <v>271</v>
      </c>
      <c r="T550" s="4" t="s">
        <v>493</v>
      </c>
      <c r="U550" s="4">
        <v>0</v>
      </c>
      <c r="V550" s="4">
        <v>30</v>
      </c>
      <c r="W550" s="4">
        <v>71</v>
      </c>
    </row>
    <row r="551" spans="1:23" ht="11.25" customHeight="1" x14ac:dyDescent="0.3">
      <c r="A551" s="4" t="s">
        <v>21</v>
      </c>
      <c r="B551" s="4" t="s">
        <v>22</v>
      </c>
      <c r="C551" s="4" t="s">
        <v>23</v>
      </c>
      <c r="D551" s="4" t="s">
        <v>24</v>
      </c>
      <c r="E551" s="4" t="s">
        <v>29</v>
      </c>
      <c r="F551" s="4" t="s">
        <v>25</v>
      </c>
      <c r="G551" s="4" t="s">
        <v>25</v>
      </c>
      <c r="H551" s="4" t="s">
        <v>25</v>
      </c>
      <c r="I551" s="5">
        <v>44501</v>
      </c>
      <c r="J551" s="6">
        <v>0</v>
      </c>
      <c r="K551" s="6">
        <v>0</v>
      </c>
      <c r="L551" s="6">
        <v>74.97</v>
      </c>
      <c r="M551" s="6">
        <v>74.97</v>
      </c>
      <c r="N551" s="6">
        <v>74.97</v>
      </c>
      <c r="O551" s="6">
        <v>74.97</v>
      </c>
      <c r="P551" s="6">
        <v>78</v>
      </c>
      <c r="Q551" s="4" t="s">
        <v>26</v>
      </c>
      <c r="R551" s="4">
        <v>0</v>
      </c>
      <c r="S551" s="4" t="s">
        <v>272</v>
      </c>
      <c r="T551" s="4" t="s">
        <v>494</v>
      </c>
      <c r="U551" s="4">
        <v>0</v>
      </c>
      <c r="V551" s="4">
        <v>31</v>
      </c>
      <c r="W551" s="4">
        <v>72</v>
      </c>
    </row>
    <row r="552" spans="1:23" ht="11.25" customHeight="1" x14ac:dyDescent="0.3">
      <c r="A552" s="4" t="s">
        <v>21</v>
      </c>
      <c r="B552" s="4" t="s">
        <v>22</v>
      </c>
      <c r="C552" s="4" t="s">
        <v>23</v>
      </c>
      <c r="D552" s="4" t="s">
        <v>24</v>
      </c>
      <c r="E552" s="4" t="s">
        <v>29</v>
      </c>
      <c r="F552" s="4" t="s">
        <v>25</v>
      </c>
      <c r="G552" s="4" t="s">
        <v>25</v>
      </c>
      <c r="H552" s="4" t="s">
        <v>25</v>
      </c>
      <c r="I552" s="5">
        <v>44531</v>
      </c>
      <c r="J552" s="6">
        <v>0</v>
      </c>
      <c r="K552" s="6">
        <v>0</v>
      </c>
      <c r="L552" s="6">
        <v>78.33</v>
      </c>
      <c r="M552" s="6">
        <v>78.33</v>
      </c>
      <c r="N552" s="6">
        <v>78.33</v>
      </c>
      <c r="O552" s="6">
        <v>78.33</v>
      </c>
      <c r="P552" s="6">
        <v>100</v>
      </c>
      <c r="Q552" s="4" t="s">
        <v>26</v>
      </c>
      <c r="R552" s="4">
        <v>0</v>
      </c>
      <c r="S552" s="4" t="s">
        <v>273</v>
      </c>
      <c r="T552" s="4" t="s">
        <v>495</v>
      </c>
      <c r="U552" s="4">
        <v>0</v>
      </c>
      <c r="V552" s="4">
        <v>31</v>
      </c>
      <c r="W552" s="4">
        <v>72</v>
      </c>
    </row>
    <row r="553" spans="1:23" ht="11.25" customHeight="1" x14ac:dyDescent="0.3">
      <c r="A553" s="4" t="s">
        <v>21</v>
      </c>
      <c r="B553" s="4" t="s">
        <v>22</v>
      </c>
      <c r="C553" s="4" t="s">
        <v>23</v>
      </c>
      <c r="D553" s="4" t="s">
        <v>24</v>
      </c>
      <c r="E553" s="4" t="s">
        <v>29</v>
      </c>
      <c r="F553" s="4" t="s">
        <v>25</v>
      </c>
      <c r="G553" s="4" t="s">
        <v>25</v>
      </c>
      <c r="H553" s="4" t="s">
        <v>25</v>
      </c>
      <c r="I553" s="5">
        <v>44562</v>
      </c>
      <c r="J553" s="6">
        <v>0</v>
      </c>
      <c r="K553" s="6">
        <v>0</v>
      </c>
      <c r="L553" s="6">
        <v>80.010000000000005</v>
      </c>
      <c r="M553" s="6">
        <v>80.010000000000005</v>
      </c>
      <c r="N553" s="6">
        <v>80.010000000000005</v>
      </c>
      <c r="O553" s="6">
        <v>80.010000000000005</v>
      </c>
      <c r="P553" s="6">
        <v>88</v>
      </c>
      <c r="Q553" s="4" t="s">
        <v>26</v>
      </c>
      <c r="R553" s="4">
        <v>0</v>
      </c>
      <c r="S553" s="4" t="s">
        <v>274</v>
      </c>
      <c r="T553" s="4" t="s">
        <v>496</v>
      </c>
      <c r="U553" s="4">
        <v>0</v>
      </c>
      <c r="V553" s="4">
        <v>31</v>
      </c>
      <c r="W553" s="4">
        <v>72</v>
      </c>
    </row>
    <row r="554" spans="1:23" ht="11.25" customHeight="1" x14ac:dyDescent="0.3">
      <c r="A554" s="4" t="s">
        <v>21</v>
      </c>
      <c r="B554" s="4" t="s">
        <v>22</v>
      </c>
      <c r="C554" s="4" t="s">
        <v>23</v>
      </c>
      <c r="D554" s="4" t="s">
        <v>24</v>
      </c>
      <c r="E554" s="4" t="s">
        <v>29</v>
      </c>
      <c r="F554" s="4" t="s">
        <v>25</v>
      </c>
      <c r="G554" s="4" t="s">
        <v>25</v>
      </c>
      <c r="H554" s="4" t="s">
        <v>25</v>
      </c>
      <c r="I554" s="5">
        <v>44593</v>
      </c>
      <c r="J554" s="6">
        <v>0</v>
      </c>
      <c r="K554" s="6">
        <v>0</v>
      </c>
      <c r="L554" s="6">
        <v>82.56</v>
      </c>
      <c r="M554" s="6">
        <v>82.56</v>
      </c>
      <c r="N554" s="6">
        <v>82.56</v>
      </c>
      <c r="O554" s="6">
        <v>82.56</v>
      </c>
      <c r="P554" s="6">
        <v>88</v>
      </c>
      <c r="Q554" s="4" t="s">
        <v>26</v>
      </c>
      <c r="R554" s="4">
        <v>0</v>
      </c>
      <c r="S554" s="4" t="s">
        <v>275</v>
      </c>
      <c r="T554" s="4" t="s">
        <v>497</v>
      </c>
      <c r="U554" s="4">
        <v>0</v>
      </c>
      <c r="V554" s="4">
        <v>31</v>
      </c>
      <c r="W554" s="4">
        <v>72</v>
      </c>
    </row>
    <row r="555" spans="1:23" ht="11.25" customHeight="1" x14ac:dyDescent="0.3">
      <c r="A555" s="4" t="s">
        <v>21</v>
      </c>
      <c r="B555" s="4" t="s">
        <v>22</v>
      </c>
      <c r="C555" s="4" t="s">
        <v>23</v>
      </c>
      <c r="D555" s="4" t="s">
        <v>24</v>
      </c>
      <c r="E555" s="4" t="s">
        <v>29</v>
      </c>
      <c r="F555" s="4" t="s">
        <v>25</v>
      </c>
      <c r="G555" s="4" t="s">
        <v>25</v>
      </c>
      <c r="H555" s="4" t="s">
        <v>25</v>
      </c>
      <c r="I555" s="5">
        <v>44621</v>
      </c>
      <c r="J555" s="6">
        <v>0</v>
      </c>
      <c r="K555" s="6">
        <v>0</v>
      </c>
      <c r="L555" s="6">
        <v>86.88</v>
      </c>
      <c r="M555" s="6">
        <v>86.88</v>
      </c>
      <c r="N555" s="6">
        <v>86.88</v>
      </c>
      <c r="O555" s="6">
        <v>86.88</v>
      </c>
      <c r="P555" s="6">
        <v>95</v>
      </c>
      <c r="Q555" s="4" t="s">
        <v>26</v>
      </c>
      <c r="R555" s="4">
        <v>0</v>
      </c>
      <c r="S555" s="4" t="s">
        <v>276</v>
      </c>
      <c r="T555" s="4" t="s">
        <v>498</v>
      </c>
      <c r="U555" s="4">
        <v>0</v>
      </c>
      <c r="V555" s="4">
        <v>31</v>
      </c>
      <c r="W555" s="4">
        <v>72</v>
      </c>
    </row>
    <row r="556" spans="1:23" ht="11.25" customHeight="1" x14ac:dyDescent="0.3">
      <c r="A556" s="4" t="s">
        <v>21</v>
      </c>
      <c r="B556" s="4" t="s">
        <v>22</v>
      </c>
      <c r="C556" s="4" t="s">
        <v>23</v>
      </c>
      <c r="D556" s="4" t="s">
        <v>24</v>
      </c>
      <c r="E556" s="4" t="s">
        <v>29</v>
      </c>
      <c r="F556" s="4" t="s">
        <v>25</v>
      </c>
      <c r="G556" s="4" t="s">
        <v>25</v>
      </c>
      <c r="H556" s="4" t="s">
        <v>25</v>
      </c>
      <c r="I556" s="5">
        <v>44652</v>
      </c>
      <c r="J556" s="6">
        <v>0</v>
      </c>
      <c r="K556" s="6">
        <v>0</v>
      </c>
      <c r="L556" s="6">
        <v>97.29</v>
      </c>
      <c r="M556" s="6">
        <v>97.29</v>
      </c>
      <c r="N556" s="6">
        <v>97.29</v>
      </c>
      <c r="O556" s="6">
        <v>97.29</v>
      </c>
      <c r="P556" s="6">
        <v>89</v>
      </c>
      <c r="Q556" s="4" t="s">
        <v>26</v>
      </c>
      <c r="R556" s="4">
        <v>0</v>
      </c>
      <c r="S556" s="4" t="s">
        <v>277</v>
      </c>
      <c r="T556" s="4" t="s">
        <v>499</v>
      </c>
      <c r="U556" s="4">
        <v>0</v>
      </c>
      <c r="V556" s="4">
        <v>31</v>
      </c>
      <c r="W556" s="4">
        <v>72</v>
      </c>
    </row>
    <row r="557" spans="1:23" ht="11.25" customHeight="1" x14ac:dyDescent="0.3">
      <c r="A557" s="4" t="s">
        <v>21</v>
      </c>
      <c r="B557" s="4" t="s">
        <v>22</v>
      </c>
      <c r="C557" s="4" t="s">
        <v>23</v>
      </c>
      <c r="D557" s="4" t="s">
        <v>24</v>
      </c>
      <c r="E557" s="4" t="s">
        <v>29</v>
      </c>
      <c r="F557" s="4" t="s">
        <v>25</v>
      </c>
      <c r="G557" s="4" t="s">
        <v>25</v>
      </c>
      <c r="H557" s="4" t="s">
        <v>25</v>
      </c>
      <c r="I557" s="5">
        <v>44682</v>
      </c>
      <c r="J557" s="6">
        <v>0</v>
      </c>
      <c r="K557" s="6">
        <v>0</v>
      </c>
      <c r="L557" s="6">
        <v>105.64</v>
      </c>
      <c r="M557" s="6">
        <v>105.64</v>
      </c>
      <c r="N557" s="6">
        <v>105.64</v>
      </c>
      <c r="O557" s="6">
        <v>105.64</v>
      </c>
      <c r="P557" s="6">
        <v>104</v>
      </c>
      <c r="Q557" s="4" t="s">
        <v>26</v>
      </c>
      <c r="R557" s="4">
        <v>0</v>
      </c>
      <c r="S557" s="4" t="s">
        <v>278</v>
      </c>
      <c r="T557" s="4" t="s">
        <v>500</v>
      </c>
      <c r="U557" s="4">
        <v>0</v>
      </c>
      <c r="V557" s="4">
        <v>31</v>
      </c>
      <c r="W557" s="4">
        <v>72</v>
      </c>
    </row>
    <row r="558" spans="1:23" ht="11.25" customHeight="1" x14ac:dyDescent="0.3">
      <c r="A558" s="4" t="s">
        <v>21</v>
      </c>
      <c r="B558" s="4" t="s">
        <v>22</v>
      </c>
      <c r="C558" s="4" t="s">
        <v>23</v>
      </c>
      <c r="D558" s="4" t="s">
        <v>24</v>
      </c>
      <c r="E558" s="4" t="s">
        <v>29</v>
      </c>
      <c r="F558" s="4" t="s">
        <v>25</v>
      </c>
      <c r="G558" s="4" t="s">
        <v>25</v>
      </c>
      <c r="H558" s="4" t="s">
        <v>25</v>
      </c>
      <c r="I558" s="5">
        <v>44713</v>
      </c>
      <c r="J558" s="6">
        <v>0</v>
      </c>
      <c r="K558" s="6">
        <v>0</v>
      </c>
      <c r="L558" s="6">
        <v>101.1</v>
      </c>
      <c r="M558" s="6">
        <v>101.1</v>
      </c>
      <c r="N558" s="6">
        <v>101.1</v>
      </c>
      <c r="O558" s="6">
        <v>101.1</v>
      </c>
      <c r="P558" s="6">
        <v>100</v>
      </c>
      <c r="Q558" s="4" t="s">
        <v>26</v>
      </c>
      <c r="R558" s="4">
        <v>0</v>
      </c>
      <c r="S558" s="4" t="s">
        <v>279</v>
      </c>
      <c r="T558" s="4" t="s">
        <v>501</v>
      </c>
      <c r="U558" s="4">
        <v>0</v>
      </c>
      <c r="V558" s="4">
        <v>31</v>
      </c>
      <c r="W558" s="4">
        <v>72</v>
      </c>
    </row>
    <row r="559" spans="1:23" ht="11.25" customHeight="1" x14ac:dyDescent="0.3">
      <c r="A559" s="4" t="s">
        <v>21</v>
      </c>
      <c r="B559" s="4" t="s">
        <v>22</v>
      </c>
      <c r="C559" s="4" t="s">
        <v>23</v>
      </c>
      <c r="D559" s="4" t="s">
        <v>24</v>
      </c>
      <c r="E559" s="4" t="s">
        <v>29</v>
      </c>
      <c r="F559" s="4" t="s">
        <v>25</v>
      </c>
      <c r="G559" s="4" t="s">
        <v>25</v>
      </c>
      <c r="H559" s="4" t="s">
        <v>25</v>
      </c>
      <c r="I559" s="5">
        <v>44743</v>
      </c>
      <c r="J559" s="6">
        <v>0</v>
      </c>
      <c r="K559" s="6">
        <v>0</v>
      </c>
      <c r="L559" s="6">
        <v>101.28</v>
      </c>
      <c r="M559" s="6">
        <v>101.28</v>
      </c>
      <c r="N559" s="6">
        <v>101.28</v>
      </c>
      <c r="O559" s="6">
        <v>101.28</v>
      </c>
      <c r="P559" s="6">
        <v>97</v>
      </c>
      <c r="Q559" s="4" t="s">
        <v>26</v>
      </c>
      <c r="R559" s="4">
        <v>0</v>
      </c>
      <c r="S559" s="4" t="s">
        <v>280</v>
      </c>
      <c r="T559" s="4" t="s">
        <v>502</v>
      </c>
      <c r="U559" s="4">
        <v>0</v>
      </c>
      <c r="V559" s="4">
        <v>31</v>
      </c>
      <c r="W559" s="4">
        <v>72</v>
      </c>
    </row>
    <row r="560" spans="1:23" ht="11.25" customHeight="1" x14ac:dyDescent="0.3">
      <c r="A560" s="4" t="s">
        <v>28</v>
      </c>
      <c r="B560" s="4" t="s">
        <v>22</v>
      </c>
      <c r="C560" s="4" t="s">
        <v>23</v>
      </c>
      <c r="D560" s="4" t="s">
        <v>24</v>
      </c>
      <c r="E560" s="4" t="s">
        <v>29</v>
      </c>
      <c r="F560" s="4" t="s">
        <v>25</v>
      </c>
      <c r="G560" s="4" t="s">
        <v>25</v>
      </c>
      <c r="H560" s="4" t="s">
        <v>25</v>
      </c>
      <c r="I560" s="5">
        <v>44743</v>
      </c>
      <c r="J560" s="6">
        <v>0</v>
      </c>
      <c r="K560" s="6">
        <v>0</v>
      </c>
      <c r="L560" s="6">
        <v>0.03</v>
      </c>
      <c r="M560" s="6">
        <v>-6.7500000000000004E-2</v>
      </c>
      <c r="N560" s="6">
        <v>0.03</v>
      </c>
      <c r="O560" s="6">
        <v>-6.7500000000000004E-2</v>
      </c>
      <c r="P560" s="6">
        <v>0</v>
      </c>
      <c r="Q560" s="4" t="s">
        <v>26</v>
      </c>
      <c r="R560" s="4">
        <v>0</v>
      </c>
      <c r="S560" s="4" t="s">
        <v>280</v>
      </c>
      <c r="T560" s="4" t="s">
        <v>502</v>
      </c>
      <c r="U560" s="4">
        <v>0</v>
      </c>
      <c r="V560" s="4">
        <v>31</v>
      </c>
      <c r="W560" s="4">
        <v>72</v>
      </c>
    </row>
    <row r="561" spans="1:23" ht="11.25" customHeight="1" x14ac:dyDescent="0.3">
      <c r="A561" s="4" t="s">
        <v>21</v>
      </c>
      <c r="B561" s="4" t="s">
        <v>22</v>
      </c>
      <c r="C561" s="4" t="s">
        <v>23</v>
      </c>
      <c r="D561" s="4" t="s">
        <v>24</v>
      </c>
      <c r="E561" s="4" t="s">
        <v>29</v>
      </c>
      <c r="F561" s="4" t="s">
        <v>25</v>
      </c>
      <c r="G561" s="4" t="s">
        <v>25</v>
      </c>
      <c r="H561" s="4" t="s">
        <v>25</v>
      </c>
      <c r="I561" s="5">
        <v>44774</v>
      </c>
      <c r="J561" s="6">
        <v>0</v>
      </c>
      <c r="K561" s="6">
        <v>0</v>
      </c>
      <c r="L561" s="6">
        <v>100.56</v>
      </c>
      <c r="M561" s="6">
        <v>100.56</v>
      </c>
      <c r="N561" s="6">
        <v>100.56</v>
      </c>
      <c r="O561" s="6">
        <v>100.56</v>
      </c>
      <c r="P561" s="6">
        <v>114</v>
      </c>
      <c r="Q561" s="4" t="s">
        <v>26</v>
      </c>
      <c r="R561" s="4">
        <v>0</v>
      </c>
      <c r="S561" s="4" t="s">
        <v>281</v>
      </c>
      <c r="T561" s="4" t="s">
        <v>503</v>
      </c>
      <c r="U561" s="4">
        <v>0</v>
      </c>
      <c r="V561" s="4">
        <v>31</v>
      </c>
      <c r="W561" s="4">
        <v>72</v>
      </c>
    </row>
    <row r="562" spans="1:23" ht="11.25" customHeight="1" x14ac:dyDescent="0.3">
      <c r="A562" s="4" t="s">
        <v>21</v>
      </c>
      <c r="B562" s="4" t="s">
        <v>22</v>
      </c>
      <c r="C562" s="4" t="s">
        <v>23</v>
      </c>
      <c r="D562" s="4" t="s">
        <v>24</v>
      </c>
      <c r="E562" s="4" t="s">
        <v>29</v>
      </c>
      <c r="F562" s="4" t="s">
        <v>25</v>
      </c>
      <c r="G562" s="4" t="s">
        <v>25</v>
      </c>
      <c r="H562" s="4" t="s">
        <v>25</v>
      </c>
      <c r="I562" s="5">
        <v>44805</v>
      </c>
      <c r="J562" s="6">
        <v>0</v>
      </c>
      <c r="K562" s="6">
        <v>0</v>
      </c>
      <c r="L562" s="6">
        <v>100.8</v>
      </c>
      <c r="M562" s="6">
        <v>100.8</v>
      </c>
      <c r="N562" s="6">
        <v>100.8</v>
      </c>
      <c r="O562" s="6">
        <v>100.8</v>
      </c>
      <c r="P562" s="6">
        <v>89</v>
      </c>
      <c r="Q562" s="4" t="s">
        <v>26</v>
      </c>
      <c r="R562" s="4">
        <v>0</v>
      </c>
      <c r="S562" s="4" t="s">
        <v>282</v>
      </c>
      <c r="T562" s="4" t="s">
        <v>504</v>
      </c>
      <c r="U562" s="4">
        <v>0</v>
      </c>
      <c r="V562" s="4">
        <v>31</v>
      </c>
      <c r="W562" s="4">
        <v>72</v>
      </c>
    </row>
    <row r="563" spans="1:23" ht="11.25" customHeight="1" x14ac:dyDescent="0.3">
      <c r="A563" s="4" t="s">
        <v>28</v>
      </c>
      <c r="B563" s="4" t="s">
        <v>22</v>
      </c>
      <c r="C563" s="4" t="s">
        <v>23</v>
      </c>
      <c r="D563" s="4" t="s">
        <v>24</v>
      </c>
      <c r="E563" s="4" t="s">
        <v>29</v>
      </c>
      <c r="F563" s="4" t="s">
        <v>25</v>
      </c>
      <c r="G563" s="4" t="s">
        <v>25</v>
      </c>
      <c r="H563" s="4" t="s">
        <v>25</v>
      </c>
      <c r="I563" s="5">
        <v>44805</v>
      </c>
      <c r="J563" s="6">
        <v>0</v>
      </c>
      <c r="K563" s="6">
        <v>0</v>
      </c>
      <c r="L563" s="6">
        <v>0.03</v>
      </c>
      <c r="M563" s="6">
        <v>0.03</v>
      </c>
      <c r="N563" s="6">
        <v>0.03</v>
      </c>
      <c r="O563" s="6">
        <v>0.03</v>
      </c>
      <c r="P563" s="6">
        <v>0</v>
      </c>
      <c r="Q563" s="4" t="s">
        <v>26</v>
      </c>
      <c r="R563" s="4">
        <v>0</v>
      </c>
      <c r="S563" s="4" t="s">
        <v>282</v>
      </c>
      <c r="T563" s="4" t="s">
        <v>504</v>
      </c>
      <c r="U563" s="4">
        <v>0</v>
      </c>
      <c r="V563" s="4">
        <v>31</v>
      </c>
      <c r="W563" s="4">
        <v>72</v>
      </c>
    </row>
    <row r="564" spans="1:23" ht="11.25" customHeight="1" x14ac:dyDescent="0.3">
      <c r="A564" s="4" t="s">
        <v>57</v>
      </c>
      <c r="B564" s="4" t="s">
        <v>22</v>
      </c>
      <c r="C564" s="4" t="s">
        <v>23</v>
      </c>
      <c r="D564" s="4" t="s">
        <v>24</v>
      </c>
      <c r="E564" s="4" t="s">
        <v>29</v>
      </c>
      <c r="F564" s="4" t="s">
        <v>25</v>
      </c>
      <c r="G564" s="4" t="s">
        <v>25</v>
      </c>
      <c r="H564" s="4" t="s">
        <v>25</v>
      </c>
      <c r="I564" s="5">
        <v>44835</v>
      </c>
      <c r="J564" s="6">
        <v>0</v>
      </c>
      <c r="K564" s="6">
        <v>0</v>
      </c>
      <c r="L564" s="6">
        <v>100.8</v>
      </c>
      <c r="M564" s="6">
        <v>100.8</v>
      </c>
      <c r="N564" s="6">
        <v>100.8</v>
      </c>
      <c r="O564" s="6">
        <v>100.8</v>
      </c>
      <c r="P564" s="6">
        <v>89</v>
      </c>
      <c r="Q564" s="4" t="s">
        <v>26</v>
      </c>
      <c r="R564" s="4">
        <v>0</v>
      </c>
      <c r="S564" s="4" t="s">
        <v>283</v>
      </c>
      <c r="T564" s="4" t="s">
        <v>505</v>
      </c>
      <c r="U564" s="4">
        <v>0</v>
      </c>
      <c r="V564" s="4">
        <v>31</v>
      </c>
      <c r="W564" s="4">
        <v>72</v>
      </c>
    </row>
    <row r="565" spans="1:23" ht="11.25" customHeight="1" x14ac:dyDescent="0.3">
      <c r="A565" s="4" t="s">
        <v>57</v>
      </c>
      <c r="B565" s="4" t="s">
        <v>22</v>
      </c>
      <c r="C565" s="4" t="s">
        <v>23</v>
      </c>
      <c r="D565" s="4" t="s">
        <v>24</v>
      </c>
      <c r="E565" s="4" t="s">
        <v>29</v>
      </c>
      <c r="F565" s="4" t="s">
        <v>25</v>
      </c>
      <c r="G565" s="4" t="s">
        <v>25</v>
      </c>
      <c r="H565" s="4" t="s">
        <v>25</v>
      </c>
      <c r="I565" s="5">
        <v>44835</v>
      </c>
      <c r="J565" s="6">
        <v>0</v>
      </c>
      <c r="K565" s="6">
        <v>0</v>
      </c>
      <c r="L565" s="6">
        <v>0.03</v>
      </c>
      <c r="M565" s="6">
        <v>0.03</v>
      </c>
      <c r="N565" s="6">
        <v>0.03</v>
      </c>
      <c r="O565" s="6">
        <v>0.03</v>
      </c>
      <c r="P565" s="6">
        <v>0</v>
      </c>
      <c r="Q565" s="4" t="s">
        <v>26</v>
      </c>
      <c r="R565" s="4">
        <v>0</v>
      </c>
      <c r="S565" s="4" t="s">
        <v>283</v>
      </c>
      <c r="T565" s="4" t="s">
        <v>505</v>
      </c>
      <c r="U565" s="4">
        <v>0</v>
      </c>
      <c r="V565" s="4">
        <v>31</v>
      </c>
      <c r="W565" s="4">
        <v>72</v>
      </c>
    </row>
    <row r="566" spans="1:23" ht="11.25" customHeight="1" x14ac:dyDescent="0.3">
      <c r="A566" s="4" t="s">
        <v>21</v>
      </c>
      <c r="B566" s="4" t="s">
        <v>22</v>
      </c>
      <c r="C566" s="4" t="s">
        <v>23</v>
      </c>
      <c r="D566" s="4" t="s">
        <v>24</v>
      </c>
      <c r="E566" s="4" t="s">
        <v>30</v>
      </c>
      <c r="F566" s="4" t="s">
        <v>25</v>
      </c>
      <c r="G566" s="4" t="s">
        <v>25</v>
      </c>
      <c r="H566" s="4" t="s">
        <v>25</v>
      </c>
      <c r="I566" s="5">
        <v>44501</v>
      </c>
      <c r="J566" s="6">
        <v>0</v>
      </c>
      <c r="K566" s="6">
        <v>0</v>
      </c>
      <c r="L566" s="6">
        <v>153.358</v>
      </c>
      <c r="M566" s="6">
        <v>153.358</v>
      </c>
      <c r="N566" s="6">
        <v>153.358</v>
      </c>
      <c r="O566" s="6">
        <v>153.358</v>
      </c>
      <c r="P566" s="6">
        <v>651</v>
      </c>
      <c r="Q566" s="4" t="s">
        <v>26</v>
      </c>
      <c r="R566" s="4">
        <v>0</v>
      </c>
      <c r="S566" s="4" t="s">
        <v>284</v>
      </c>
      <c r="T566" s="4" t="s">
        <v>506</v>
      </c>
      <c r="U566" s="4">
        <v>0</v>
      </c>
      <c r="V566" s="4">
        <v>32</v>
      </c>
      <c r="W566" s="4">
        <v>73</v>
      </c>
    </row>
    <row r="567" spans="1:23" ht="11.25" customHeight="1" x14ac:dyDescent="0.3">
      <c r="A567" s="4" t="s">
        <v>21</v>
      </c>
      <c r="B567" s="4" t="s">
        <v>22</v>
      </c>
      <c r="C567" s="4" t="s">
        <v>23</v>
      </c>
      <c r="D567" s="4" t="s">
        <v>24</v>
      </c>
      <c r="E567" s="4" t="s">
        <v>30</v>
      </c>
      <c r="F567" s="4" t="s">
        <v>25</v>
      </c>
      <c r="G567" s="4" t="s">
        <v>25</v>
      </c>
      <c r="H567" s="4" t="s">
        <v>25</v>
      </c>
      <c r="I567" s="5">
        <v>44531</v>
      </c>
      <c r="J567" s="6">
        <v>0</v>
      </c>
      <c r="K567" s="6">
        <v>0</v>
      </c>
      <c r="L567" s="6">
        <v>158.65600000000001</v>
      </c>
      <c r="M567" s="6">
        <v>158.65600000000001</v>
      </c>
      <c r="N567" s="6">
        <v>158.65600000000001</v>
      </c>
      <c r="O567" s="6">
        <v>158.65600000000001</v>
      </c>
      <c r="P567" s="6">
        <v>681</v>
      </c>
      <c r="Q567" s="4" t="s">
        <v>26</v>
      </c>
      <c r="R567" s="4">
        <v>0</v>
      </c>
      <c r="S567" s="4" t="s">
        <v>285</v>
      </c>
      <c r="T567" s="4" t="s">
        <v>507</v>
      </c>
      <c r="U567" s="4">
        <v>0</v>
      </c>
      <c r="V567" s="4">
        <v>32</v>
      </c>
      <c r="W567" s="4">
        <v>73</v>
      </c>
    </row>
    <row r="568" spans="1:23" ht="11.25" customHeight="1" x14ac:dyDescent="0.3">
      <c r="A568" s="4" t="s">
        <v>21</v>
      </c>
      <c r="B568" s="4" t="s">
        <v>22</v>
      </c>
      <c r="C568" s="4" t="s">
        <v>23</v>
      </c>
      <c r="D568" s="4" t="s">
        <v>24</v>
      </c>
      <c r="E568" s="4" t="s">
        <v>30</v>
      </c>
      <c r="F568" s="4" t="s">
        <v>25</v>
      </c>
      <c r="G568" s="4" t="s">
        <v>25</v>
      </c>
      <c r="H568" s="4" t="s">
        <v>25</v>
      </c>
      <c r="I568" s="5">
        <v>44562</v>
      </c>
      <c r="J568" s="6">
        <v>0</v>
      </c>
      <c r="K568" s="6">
        <v>0</v>
      </c>
      <c r="L568" s="6">
        <v>164.26400000000001</v>
      </c>
      <c r="M568" s="6">
        <v>164.26400000000001</v>
      </c>
      <c r="N568" s="6">
        <v>164.26400000000001</v>
      </c>
      <c r="O568" s="6">
        <v>164.26400000000001</v>
      </c>
      <c r="P568" s="6">
        <v>674</v>
      </c>
      <c r="Q568" s="4" t="s">
        <v>26</v>
      </c>
      <c r="R568" s="4">
        <v>0</v>
      </c>
      <c r="S568" s="4" t="s">
        <v>286</v>
      </c>
      <c r="T568" s="4" t="s">
        <v>508</v>
      </c>
      <c r="U568" s="4">
        <v>0</v>
      </c>
      <c r="V568" s="4">
        <v>32</v>
      </c>
      <c r="W568" s="4">
        <v>73</v>
      </c>
    </row>
    <row r="569" spans="1:23" ht="11.25" customHeight="1" x14ac:dyDescent="0.3">
      <c r="A569" s="4" t="s">
        <v>21</v>
      </c>
      <c r="B569" s="4" t="s">
        <v>22</v>
      </c>
      <c r="C569" s="4" t="s">
        <v>23</v>
      </c>
      <c r="D569" s="4" t="s">
        <v>24</v>
      </c>
      <c r="E569" s="4" t="s">
        <v>30</v>
      </c>
      <c r="F569" s="4" t="s">
        <v>25</v>
      </c>
      <c r="G569" s="4" t="s">
        <v>25</v>
      </c>
      <c r="H569" s="4" t="s">
        <v>25</v>
      </c>
      <c r="I569" s="5">
        <v>44593</v>
      </c>
      <c r="J569" s="6">
        <v>0</v>
      </c>
      <c r="K569" s="6">
        <v>0</v>
      </c>
      <c r="L569" s="6">
        <v>168.87899999999999</v>
      </c>
      <c r="M569" s="6">
        <v>168.87899999999999</v>
      </c>
      <c r="N569" s="6">
        <v>168.87899999999999</v>
      </c>
      <c r="O569" s="6">
        <v>168.87899999999999</v>
      </c>
      <c r="P569" s="6">
        <v>701</v>
      </c>
      <c r="Q569" s="4" t="s">
        <v>26</v>
      </c>
      <c r="R569" s="4">
        <v>0</v>
      </c>
      <c r="S569" s="4" t="s">
        <v>287</v>
      </c>
      <c r="T569" s="4" t="s">
        <v>509</v>
      </c>
      <c r="U569" s="4">
        <v>0</v>
      </c>
      <c r="V569" s="4">
        <v>32</v>
      </c>
      <c r="W569" s="4">
        <v>73</v>
      </c>
    </row>
    <row r="570" spans="1:23" ht="11.25" customHeight="1" x14ac:dyDescent="0.3">
      <c r="A570" s="4" t="s">
        <v>21</v>
      </c>
      <c r="B570" s="4" t="s">
        <v>22</v>
      </c>
      <c r="C570" s="4" t="s">
        <v>23</v>
      </c>
      <c r="D570" s="4" t="s">
        <v>24</v>
      </c>
      <c r="E570" s="4" t="s">
        <v>30</v>
      </c>
      <c r="F570" s="4" t="s">
        <v>25</v>
      </c>
      <c r="G570" s="4" t="s">
        <v>25</v>
      </c>
      <c r="H570" s="4" t="s">
        <v>25</v>
      </c>
      <c r="I570" s="5">
        <v>44621</v>
      </c>
      <c r="J570" s="6">
        <v>0</v>
      </c>
      <c r="K570" s="6">
        <v>0</v>
      </c>
      <c r="L570" s="6">
        <v>173.79900000000001</v>
      </c>
      <c r="M570" s="6">
        <v>173.79900000000001</v>
      </c>
      <c r="N570" s="6">
        <v>173.79900000000001</v>
      </c>
      <c r="O570" s="6">
        <v>173.79900000000001</v>
      </c>
      <c r="P570" s="6">
        <v>871</v>
      </c>
      <c r="Q570" s="4" t="s">
        <v>26</v>
      </c>
      <c r="R570" s="4">
        <v>0</v>
      </c>
      <c r="S570" s="4" t="s">
        <v>288</v>
      </c>
      <c r="T570" s="4" t="s">
        <v>510</v>
      </c>
      <c r="U570" s="4">
        <v>0</v>
      </c>
      <c r="V570" s="4">
        <v>32</v>
      </c>
      <c r="W570" s="4">
        <v>73</v>
      </c>
    </row>
    <row r="571" spans="1:23" ht="11.25" customHeight="1" x14ac:dyDescent="0.3">
      <c r="A571" s="4" t="s">
        <v>21</v>
      </c>
      <c r="B571" s="4" t="s">
        <v>22</v>
      </c>
      <c r="C571" s="4" t="s">
        <v>23</v>
      </c>
      <c r="D571" s="4" t="s">
        <v>24</v>
      </c>
      <c r="E571" s="4" t="s">
        <v>30</v>
      </c>
      <c r="F571" s="4" t="s">
        <v>25</v>
      </c>
      <c r="G571" s="4" t="s">
        <v>25</v>
      </c>
      <c r="H571" s="4" t="s">
        <v>25</v>
      </c>
      <c r="I571" s="5">
        <v>44652</v>
      </c>
      <c r="J571" s="6">
        <v>0</v>
      </c>
      <c r="K571" s="6">
        <v>0</v>
      </c>
      <c r="L571" s="6">
        <v>202.85900000000001</v>
      </c>
      <c r="M571" s="6">
        <v>202.85900000000001</v>
      </c>
      <c r="N571" s="6">
        <v>202.85900000000001</v>
      </c>
      <c r="O571" s="6">
        <v>202.85900000000001</v>
      </c>
      <c r="P571" s="6">
        <v>739</v>
      </c>
      <c r="Q571" s="4" t="s">
        <v>26</v>
      </c>
      <c r="R571" s="4">
        <v>0</v>
      </c>
      <c r="S571" s="4" t="s">
        <v>289</v>
      </c>
      <c r="T571" s="4" t="s">
        <v>511</v>
      </c>
      <c r="U571" s="4">
        <v>0</v>
      </c>
      <c r="V571" s="4">
        <v>32</v>
      </c>
      <c r="W571" s="4">
        <v>73</v>
      </c>
    </row>
    <row r="572" spans="1:23" ht="11.25" customHeight="1" x14ac:dyDescent="0.3">
      <c r="A572" s="4" t="s">
        <v>21</v>
      </c>
      <c r="B572" s="4" t="s">
        <v>22</v>
      </c>
      <c r="C572" s="4" t="s">
        <v>23</v>
      </c>
      <c r="D572" s="4" t="s">
        <v>24</v>
      </c>
      <c r="E572" s="4" t="s">
        <v>30</v>
      </c>
      <c r="F572" s="4" t="s">
        <v>25</v>
      </c>
      <c r="G572" s="4" t="s">
        <v>25</v>
      </c>
      <c r="H572" s="4" t="s">
        <v>25</v>
      </c>
      <c r="I572" s="5">
        <v>44682</v>
      </c>
      <c r="J572" s="6">
        <v>0</v>
      </c>
      <c r="K572" s="6">
        <v>0</v>
      </c>
      <c r="L572" s="6">
        <v>215.45599999999999</v>
      </c>
      <c r="M572" s="6">
        <v>215.45599999999999</v>
      </c>
      <c r="N572" s="6">
        <v>215.45599999999999</v>
      </c>
      <c r="O572" s="6">
        <v>215.45599999999999</v>
      </c>
      <c r="P572" s="6">
        <v>953</v>
      </c>
      <c r="Q572" s="4" t="s">
        <v>26</v>
      </c>
      <c r="R572" s="4">
        <v>0</v>
      </c>
      <c r="S572" s="4" t="s">
        <v>290</v>
      </c>
      <c r="T572" s="4" t="s">
        <v>512</v>
      </c>
      <c r="U572" s="4">
        <v>0</v>
      </c>
      <c r="V572" s="4">
        <v>32</v>
      </c>
      <c r="W572" s="4">
        <v>73</v>
      </c>
    </row>
    <row r="573" spans="1:23" ht="11.25" customHeight="1" x14ac:dyDescent="0.3">
      <c r="A573" s="4" t="s">
        <v>21</v>
      </c>
      <c r="B573" s="4" t="s">
        <v>22</v>
      </c>
      <c r="C573" s="4" t="s">
        <v>23</v>
      </c>
      <c r="D573" s="4" t="s">
        <v>24</v>
      </c>
      <c r="E573" s="4" t="s">
        <v>30</v>
      </c>
      <c r="F573" s="4" t="s">
        <v>25</v>
      </c>
      <c r="G573" s="4" t="s">
        <v>25</v>
      </c>
      <c r="H573" s="4" t="s">
        <v>25</v>
      </c>
      <c r="I573" s="5">
        <v>44713</v>
      </c>
      <c r="J573" s="6">
        <v>0</v>
      </c>
      <c r="K573" s="6">
        <v>0</v>
      </c>
      <c r="L573" s="6">
        <v>200.75899999999999</v>
      </c>
      <c r="M573" s="6">
        <v>200.75899999999999</v>
      </c>
      <c r="N573" s="6">
        <v>200.75899999999999</v>
      </c>
      <c r="O573" s="6">
        <v>200.75899999999999</v>
      </c>
      <c r="P573" s="6">
        <v>1051</v>
      </c>
      <c r="Q573" s="4" t="s">
        <v>26</v>
      </c>
      <c r="R573" s="4">
        <v>0</v>
      </c>
      <c r="S573" s="4" t="s">
        <v>291</v>
      </c>
      <c r="T573" s="4" t="s">
        <v>513</v>
      </c>
      <c r="U573" s="4">
        <v>0</v>
      </c>
      <c r="V573" s="4">
        <v>32</v>
      </c>
      <c r="W573" s="4">
        <v>73</v>
      </c>
    </row>
    <row r="574" spans="1:23" ht="11.25" customHeight="1" x14ac:dyDescent="0.3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30</v>
      </c>
      <c r="F574" s="4" t="s">
        <v>25</v>
      </c>
      <c r="G574" s="4" t="s">
        <v>25</v>
      </c>
      <c r="H574" s="4" t="s">
        <v>25</v>
      </c>
      <c r="I574" s="5">
        <v>44743</v>
      </c>
      <c r="J574" s="6">
        <v>0</v>
      </c>
      <c r="K574" s="6">
        <v>0</v>
      </c>
      <c r="L574" s="6">
        <v>204.48699999999999</v>
      </c>
      <c r="M574" s="6">
        <v>204.48699999999999</v>
      </c>
      <c r="N574" s="6">
        <v>204.48699999999999</v>
      </c>
      <c r="O574" s="6">
        <v>204.48699999999999</v>
      </c>
      <c r="P574" s="6">
        <v>950</v>
      </c>
      <c r="Q574" s="4" t="s">
        <v>26</v>
      </c>
      <c r="R574" s="4">
        <v>0</v>
      </c>
      <c r="S574" s="4" t="s">
        <v>292</v>
      </c>
      <c r="T574" s="4" t="s">
        <v>514</v>
      </c>
      <c r="U574" s="4">
        <v>0</v>
      </c>
      <c r="V574" s="4">
        <v>32</v>
      </c>
      <c r="W574" s="4">
        <v>73</v>
      </c>
    </row>
    <row r="575" spans="1:23" ht="11.25" customHeight="1" x14ac:dyDescent="0.3">
      <c r="A575" s="4" t="s">
        <v>21</v>
      </c>
      <c r="B575" s="4" t="s">
        <v>22</v>
      </c>
      <c r="C575" s="4" t="s">
        <v>23</v>
      </c>
      <c r="D575" s="4" t="s">
        <v>24</v>
      </c>
      <c r="E575" s="4" t="s">
        <v>30</v>
      </c>
      <c r="F575" s="4" t="s">
        <v>25</v>
      </c>
      <c r="G575" s="4" t="s">
        <v>25</v>
      </c>
      <c r="H575" s="4" t="s">
        <v>25</v>
      </c>
      <c r="I575" s="5">
        <v>44774</v>
      </c>
      <c r="J575" s="6">
        <v>0</v>
      </c>
      <c r="K575" s="6">
        <v>0</v>
      </c>
      <c r="L575" s="6">
        <v>199.404</v>
      </c>
      <c r="M575" s="6">
        <v>199.404</v>
      </c>
      <c r="N575" s="6">
        <v>199.404</v>
      </c>
      <c r="O575" s="6">
        <v>199.404</v>
      </c>
      <c r="P575" s="6">
        <v>1039</v>
      </c>
      <c r="Q575" s="4" t="s">
        <v>26</v>
      </c>
      <c r="R575" s="4">
        <v>0</v>
      </c>
      <c r="S575" s="4" t="s">
        <v>293</v>
      </c>
      <c r="T575" s="4" t="s">
        <v>515</v>
      </c>
      <c r="U575" s="4">
        <v>0</v>
      </c>
      <c r="V575" s="4">
        <v>32</v>
      </c>
      <c r="W575" s="4">
        <v>73</v>
      </c>
    </row>
    <row r="576" spans="1:23" ht="11.25" customHeight="1" x14ac:dyDescent="0.3">
      <c r="A576" s="4" t="s">
        <v>21</v>
      </c>
      <c r="B576" s="4" t="s">
        <v>22</v>
      </c>
      <c r="C576" s="4" t="s">
        <v>23</v>
      </c>
      <c r="D576" s="4" t="s">
        <v>24</v>
      </c>
      <c r="E576" s="4" t="s">
        <v>30</v>
      </c>
      <c r="F576" s="4" t="s">
        <v>25</v>
      </c>
      <c r="G576" s="4" t="s">
        <v>25</v>
      </c>
      <c r="H576" s="4" t="s">
        <v>25</v>
      </c>
      <c r="I576" s="5">
        <v>44805</v>
      </c>
      <c r="J576" s="6">
        <v>0</v>
      </c>
      <c r="K576" s="6">
        <v>0</v>
      </c>
      <c r="L576" s="6">
        <v>210.48099999999999</v>
      </c>
      <c r="M576" s="6">
        <v>210.48099999999999</v>
      </c>
      <c r="N576" s="6">
        <v>210.48099999999999</v>
      </c>
      <c r="O576" s="6">
        <v>210.48099999999999</v>
      </c>
      <c r="P576" s="6">
        <v>753</v>
      </c>
      <c r="Q576" s="4" t="s">
        <v>26</v>
      </c>
      <c r="R576" s="4">
        <v>0</v>
      </c>
      <c r="S576" s="4" t="s">
        <v>294</v>
      </c>
      <c r="T576" s="4" t="s">
        <v>516</v>
      </c>
      <c r="U576" s="4">
        <v>0</v>
      </c>
      <c r="V576" s="4">
        <v>32</v>
      </c>
      <c r="W576" s="4">
        <v>73</v>
      </c>
    </row>
    <row r="577" spans="1:23" ht="11.25" customHeight="1" x14ac:dyDescent="0.3">
      <c r="A577" s="4" t="s">
        <v>28</v>
      </c>
      <c r="B577" s="4" t="s">
        <v>22</v>
      </c>
      <c r="C577" s="4" t="s">
        <v>23</v>
      </c>
      <c r="D577" s="4" t="s">
        <v>24</v>
      </c>
      <c r="E577" s="4" t="s">
        <v>30</v>
      </c>
      <c r="F577" s="4" t="s">
        <v>25</v>
      </c>
      <c r="G577" s="4" t="s">
        <v>25</v>
      </c>
      <c r="H577" s="4" t="s">
        <v>25</v>
      </c>
      <c r="I577" s="5">
        <v>44805</v>
      </c>
      <c r="J577" s="6">
        <v>0</v>
      </c>
      <c r="K577" s="6">
        <v>0</v>
      </c>
      <c r="L577" s="6">
        <v>7.0000000000000007E-2</v>
      </c>
      <c r="M577" s="6">
        <v>7.0000000000000007E-2</v>
      </c>
      <c r="N577" s="6">
        <v>7.0000000000000007E-2</v>
      </c>
      <c r="O577" s="6">
        <v>7.0000000000000007E-2</v>
      </c>
      <c r="P577" s="6">
        <v>0</v>
      </c>
      <c r="Q577" s="4" t="s">
        <v>26</v>
      </c>
      <c r="R577" s="4">
        <v>0</v>
      </c>
      <c r="S577" s="4" t="s">
        <v>294</v>
      </c>
      <c r="T577" s="4" t="s">
        <v>516</v>
      </c>
      <c r="U577" s="4">
        <v>0</v>
      </c>
      <c r="V577" s="4">
        <v>32</v>
      </c>
      <c r="W577" s="4">
        <v>73</v>
      </c>
    </row>
    <row r="578" spans="1:23" ht="11.25" customHeight="1" x14ac:dyDescent="0.3">
      <c r="A578" s="4" t="s">
        <v>57</v>
      </c>
      <c r="B578" s="4" t="s">
        <v>22</v>
      </c>
      <c r="C578" s="4" t="s">
        <v>23</v>
      </c>
      <c r="D578" s="4" t="s">
        <v>24</v>
      </c>
      <c r="E578" s="4" t="s">
        <v>30</v>
      </c>
      <c r="F578" s="4" t="s">
        <v>25</v>
      </c>
      <c r="G578" s="4" t="s">
        <v>25</v>
      </c>
      <c r="H578" s="4" t="s">
        <v>25</v>
      </c>
      <c r="I578" s="5">
        <v>44835</v>
      </c>
      <c r="J578" s="6">
        <v>0</v>
      </c>
      <c r="K578" s="6">
        <v>0</v>
      </c>
      <c r="L578" s="6">
        <v>210.48099999999999</v>
      </c>
      <c r="M578" s="6">
        <v>210.48099999999999</v>
      </c>
      <c r="N578" s="6">
        <v>210.48099999999999</v>
      </c>
      <c r="O578" s="6">
        <v>210.48099999999999</v>
      </c>
      <c r="P578" s="6">
        <v>753</v>
      </c>
      <c r="Q578" s="4" t="s">
        <v>26</v>
      </c>
      <c r="R578" s="4">
        <v>0</v>
      </c>
      <c r="S578" s="4" t="s">
        <v>295</v>
      </c>
      <c r="T578" s="4" t="s">
        <v>517</v>
      </c>
      <c r="U578" s="4">
        <v>0</v>
      </c>
      <c r="V578" s="4">
        <v>32</v>
      </c>
      <c r="W578" s="4">
        <v>73</v>
      </c>
    </row>
    <row r="579" spans="1:23" ht="11.25" customHeight="1" x14ac:dyDescent="0.3">
      <c r="A579" s="4" t="s">
        <v>57</v>
      </c>
      <c r="B579" s="4" t="s">
        <v>22</v>
      </c>
      <c r="C579" s="4" t="s">
        <v>23</v>
      </c>
      <c r="D579" s="4" t="s">
        <v>24</v>
      </c>
      <c r="E579" s="4" t="s">
        <v>30</v>
      </c>
      <c r="F579" s="4" t="s">
        <v>25</v>
      </c>
      <c r="G579" s="4" t="s">
        <v>25</v>
      </c>
      <c r="H579" s="4" t="s">
        <v>25</v>
      </c>
      <c r="I579" s="5">
        <v>44835</v>
      </c>
      <c r="J579" s="6">
        <v>0</v>
      </c>
      <c r="K579" s="6">
        <v>0</v>
      </c>
      <c r="L579" s="6">
        <v>7.0000000000000007E-2</v>
      </c>
      <c r="M579" s="6">
        <v>7.0000000000000007E-2</v>
      </c>
      <c r="N579" s="6">
        <v>7.0000000000000007E-2</v>
      </c>
      <c r="O579" s="6">
        <v>7.0000000000000007E-2</v>
      </c>
      <c r="P579" s="6">
        <v>0</v>
      </c>
      <c r="Q579" s="4" t="s">
        <v>26</v>
      </c>
      <c r="R579" s="4">
        <v>0</v>
      </c>
      <c r="S579" s="4" t="s">
        <v>295</v>
      </c>
      <c r="T579" s="4" t="s">
        <v>517</v>
      </c>
      <c r="U579" s="4">
        <v>0</v>
      </c>
      <c r="V579" s="4">
        <v>32</v>
      </c>
      <c r="W579" s="4">
        <v>73</v>
      </c>
    </row>
    <row r="580" spans="1:23" ht="11.25" customHeight="1" x14ac:dyDescent="0.3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31</v>
      </c>
      <c r="F580" s="4" t="s">
        <v>25</v>
      </c>
      <c r="G580" s="4" t="s">
        <v>25</v>
      </c>
      <c r="H580" s="4" t="s">
        <v>25</v>
      </c>
      <c r="I580" s="5">
        <v>44501</v>
      </c>
      <c r="J580" s="6">
        <v>0</v>
      </c>
      <c r="K580" s="6">
        <v>0</v>
      </c>
      <c r="L580" s="6">
        <v>109.375</v>
      </c>
      <c r="M580" s="6">
        <v>109.375</v>
      </c>
      <c r="N580" s="6">
        <v>109.375</v>
      </c>
      <c r="O580" s="6">
        <v>109.375</v>
      </c>
      <c r="P580" s="6">
        <v>1473</v>
      </c>
      <c r="Q580" s="4" t="s">
        <v>26</v>
      </c>
      <c r="R580" s="4">
        <v>0</v>
      </c>
      <c r="S580" s="4" t="s">
        <v>296</v>
      </c>
      <c r="T580" s="4" t="s">
        <v>518</v>
      </c>
      <c r="U580" s="4">
        <v>0</v>
      </c>
      <c r="V580" s="4">
        <v>33</v>
      </c>
      <c r="W580" s="4">
        <v>74</v>
      </c>
    </row>
    <row r="581" spans="1:23" ht="11.25" customHeight="1" x14ac:dyDescent="0.3">
      <c r="A581" s="4" t="s">
        <v>21</v>
      </c>
      <c r="B581" s="4" t="s">
        <v>22</v>
      </c>
      <c r="C581" s="4" t="s">
        <v>23</v>
      </c>
      <c r="D581" s="4" t="s">
        <v>24</v>
      </c>
      <c r="E581" s="4" t="s">
        <v>31</v>
      </c>
      <c r="F581" s="4" t="s">
        <v>25</v>
      </c>
      <c r="G581" s="4" t="s">
        <v>25</v>
      </c>
      <c r="H581" s="4" t="s">
        <v>25</v>
      </c>
      <c r="I581" s="5">
        <v>44531</v>
      </c>
      <c r="J581" s="6">
        <v>0</v>
      </c>
      <c r="K581" s="6">
        <v>0</v>
      </c>
      <c r="L581" s="6">
        <v>109.339</v>
      </c>
      <c r="M581" s="6">
        <v>109.339</v>
      </c>
      <c r="N581" s="6">
        <v>109.339</v>
      </c>
      <c r="O581" s="6">
        <v>109.339</v>
      </c>
      <c r="P581" s="6">
        <v>1550</v>
      </c>
      <c r="Q581" s="4" t="s">
        <v>26</v>
      </c>
      <c r="R581" s="4">
        <v>0</v>
      </c>
      <c r="S581" s="4" t="s">
        <v>297</v>
      </c>
      <c r="T581" s="4" t="s">
        <v>519</v>
      </c>
      <c r="U581" s="4">
        <v>0</v>
      </c>
      <c r="V581" s="4">
        <v>33</v>
      </c>
      <c r="W581" s="4">
        <v>74</v>
      </c>
    </row>
    <row r="582" spans="1:23" ht="11.25" customHeight="1" x14ac:dyDescent="0.3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31</v>
      </c>
      <c r="F582" s="4" t="s">
        <v>25</v>
      </c>
      <c r="G582" s="4" t="s">
        <v>25</v>
      </c>
      <c r="H582" s="4" t="s">
        <v>25</v>
      </c>
      <c r="I582" s="5">
        <v>44562</v>
      </c>
      <c r="J582" s="6">
        <v>0</v>
      </c>
      <c r="K582" s="6">
        <v>0</v>
      </c>
      <c r="L582" s="6">
        <v>118.824</v>
      </c>
      <c r="M582" s="6">
        <v>118.824</v>
      </c>
      <c r="N582" s="6">
        <v>118.824</v>
      </c>
      <c r="O582" s="6">
        <v>118.824</v>
      </c>
      <c r="P582" s="6">
        <v>1563</v>
      </c>
      <c r="Q582" s="4" t="s">
        <v>26</v>
      </c>
      <c r="R582" s="4">
        <v>0</v>
      </c>
      <c r="S582" s="4" t="s">
        <v>298</v>
      </c>
      <c r="T582" s="4" t="s">
        <v>520</v>
      </c>
      <c r="U582" s="4">
        <v>0</v>
      </c>
      <c r="V582" s="4">
        <v>33</v>
      </c>
      <c r="W582" s="4">
        <v>74</v>
      </c>
    </row>
    <row r="583" spans="1:23" ht="11.25" customHeight="1" x14ac:dyDescent="0.3">
      <c r="A583" s="4" t="s">
        <v>21</v>
      </c>
      <c r="B583" s="4" t="s">
        <v>22</v>
      </c>
      <c r="C583" s="4" t="s">
        <v>23</v>
      </c>
      <c r="D583" s="4" t="s">
        <v>24</v>
      </c>
      <c r="E583" s="4" t="s">
        <v>31</v>
      </c>
      <c r="F583" s="4" t="s">
        <v>25</v>
      </c>
      <c r="G583" s="4" t="s">
        <v>25</v>
      </c>
      <c r="H583" s="4" t="s">
        <v>25</v>
      </c>
      <c r="I583" s="5">
        <v>44593</v>
      </c>
      <c r="J583" s="6">
        <v>0</v>
      </c>
      <c r="K583" s="6">
        <v>0</v>
      </c>
      <c r="L583" s="6">
        <v>119.429</v>
      </c>
      <c r="M583" s="6">
        <v>119.429</v>
      </c>
      <c r="N583" s="6">
        <v>119.429</v>
      </c>
      <c r="O583" s="6">
        <v>119.429</v>
      </c>
      <c r="P583" s="6">
        <v>1643</v>
      </c>
      <c r="Q583" s="4" t="s">
        <v>26</v>
      </c>
      <c r="R583" s="4">
        <v>0</v>
      </c>
      <c r="S583" s="4" t="s">
        <v>299</v>
      </c>
      <c r="T583" s="4" t="s">
        <v>521</v>
      </c>
      <c r="U583" s="4">
        <v>0</v>
      </c>
      <c r="V583" s="4">
        <v>33</v>
      </c>
      <c r="W583" s="4">
        <v>74</v>
      </c>
    </row>
    <row r="584" spans="1:23" ht="11.25" customHeight="1" x14ac:dyDescent="0.3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31</v>
      </c>
      <c r="F584" s="4" t="s">
        <v>25</v>
      </c>
      <c r="G584" s="4" t="s">
        <v>25</v>
      </c>
      <c r="H584" s="4" t="s">
        <v>25</v>
      </c>
      <c r="I584" s="5">
        <v>44621</v>
      </c>
      <c r="J584" s="6">
        <v>0</v>
      </c>
      <c r="K584" s="6">
        <v>0</v>
      </c>
      <c r="L584" s="6">
        <v>109.42</v>
      </c>
      <c r="M584" s="6">
        <v>109.42</v>
      </c>
      <c r="N584" s="6">
        <v>109.42</v>
      </c>
      <c r="O584" s="6">
        <v>109.42</v>
      </c>
      <c r="P584" s="6">
        <v>1674</v>
      </c>
      <c r="Q584" s="4" t="s">
        <v>26</v>
      </c>
      <c r="R584" s="4">
        <v>0</v>
      </c>
      <c r="S584" s="4" t="s">
        <v>300</v>
      </c>
      <c r="T584" s="4" t="s">
        <v>522</v>
      </c>
      <c r="U584" s="4">
        <v>0</v>
      </c>
      <c r="V584" s="4">
        <v>33</v>
      </c>
      <c r="W584" s="4">
        <v>74</v>
      </c>
    </row>
    <row r="585" spans="1:23" ht="11.25" customHeight="1" x14ac:dyDescent="0.3">
      <c r="A585" s="4" t="s">
        <v>21</v>
      </c>
      <c r="B585" s="4" t="s">
        <v>22</v>
      </c>
      <c r="C585" s="4" t="s">
        <v>23</v>
      </c>
      <c r="D585" s="4" t="s">
        <v>24</v>
      </c>
      <c r="E585" s="4" t="s">
        <v>31</v>
      </c>
      <c r="F585" s="4" t="s">
        <v>25</v>
      </c>
      <c r="G585" s="4" t="s">
        <v>25</v>
      </c>
      <c r="H585" s="4" t="s">
        <v>25</v>
      </c>
      <c r="I585" s="5">
        <v>44652</v>
      </c>
      <c r="J585" s="6">
        <v>0</v>
      </c>
      <c r="K585" s="6">
        <v>0</v>
      </c>
      <c r="L585" s="6">
        <v>159.411</v>
      </c>
      <c r="M585" s="6">
        <v>159.411</v>
      </c>
      <c r="N585" s="6">
        <v>159.411</v>
      </c>
      <c r="O585" s="6">
        <v>159.411</v>
      </c>
      <c r="P585" s="6">
        <v>1893</v>
      </c>
      <c r="Q585" s="4" t="s">
        <v>26</v>
      </c>
      <c r="R585" s="4">
        <v>0</v>
      </c>
      <c r="S585" s="4" t="s">
        <v>301</v>
      </c>
      <c r="T585" s="4" t="s">
        <v>523</v>
      </c>
      <c r="U585" s="4">
        <v>0</v>
      </c>
      <c r="V585" s="4">
        <v>33</v>
      </c>
      <c r="W585" s="4">
        <v>74</v>
      </c>
    </row>
    <row r="586" spans="1:23" ht="11.25" customHeight="1" x14ac:dyDescent="0.3">
      <c r="A586" s="4" t="s">
        <v>21</v>
      </c>
      <c r="B586" s="4" t="s">
        <v>22</v>
      </c>
      <c r="C586" s="4" t="s">
        <v>23</v>
      </c>
      <c r="D586" s="4" t="s">
        <v>24</v>
      </c>
      <c r="E586" s="4" t="s">
        <v>31</v>
      </c>
      <c r="F586" s="4" t="s">
        <v>25</v>
      </c>
      <c r="G586" s="4" t="s">
        <v>25</v>
      </c>
      <c r="H586" s="4" t="s">
        <v>25</v>
      </c>
      <c r="I586" s="5">
        <v>44682</v>
      </c>
      <c r="J586" s="6">
        <v>0</v>
      </c>
      <c r="K586" s="6">
        <v>0</v>
      </c>
      <c r="L586" s="6">
        <v>151.39599999999999</v>
      </c>
      <c r="M586" s="6">
        <v>151.39599999999999</v>
      </c>
      <c r="N586" s="6">
        <v>151.39599999999999</v>
      </c>
      <c r="O586" s="6">
        <v>151.39599999999999</v>
      </c>
      <c r="P586" s="6">
        <v>2031</v>
      </c>
      <c r="Q586" s="4" t="s">
        <v>26</v>
      </c>
      <c r="R586" s="4">
        <v>0</v>
      </c>
      <c r="S586" s="4" t="s">
        <v>302</v>
      </c>
      <c r="T586" s="4" t="s">
        <v>524</v>
      </c>
      <c r="U586" s="4">
        <v>0</v>
      </c>
      <c r="V586" s="4">
        <v>33</v>
      </c>
      <c r="W586" s="4">
        <v>74</v>
      </c>
    </row>
    <row r="587" spans="1:23" ht="11.25" customHeight="1" x14ac:dyDescent="0.3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31</v>
      </c>
      <c r="F587" s="4" t="s">
        <v>25</v>
      </c>
      <c r="G587" s="4" t="s">
        <v>25</v>
      </c>
      <c r="H587" s="4" t="s">
        <v>25</v>
      </c>
      <c r="I587" s="5">
        <v>44713</v>
      </c>
      <c r="J587" s="6">
        <v>0</v>
      </c>
      <c r="K587" s="6">
        <v>0</v>
      </c>
      <c r="L587" s="6">
        <v>119.86199999999999</v>
      </c>
      <c r="M587" s="6">
        <v>119.86199999999999</v>
      </c>
      <c r="N587" s="6">
        <v>119.86199999999999</v>
      </c>
      <c r="O587" s="6">
        <v>119.86199999999999</v>
      </c>
      <c r="P587" s="6">
        <v>1966</v>
      </c>
      <c r="Q587" s="4" t="s">
        <v>26</v>
      </c>
      <c r="R587" s="4">
        <v>0</v>
      </c>
      <c r="S587" s="4" t="s">
        <v>303</v>
      </c>
      <c r="T587" s="4" t="s">
        <v>525</v>
      </c>
      <c r="U587" s="4">
        <v>0</v>
      </c>
      <c r="V587" s="4">
        <v>33</v>
      </c>
      <c r="W587" s="4">
        <v>74</v>
      </c>
    </row>
    <row r="588" spans="1:23" ht="11.25" customHeight="1" x14ac:dyDescent="0.3">
      <c r="A588" s="4" t="s">
        <v>21</v>
      </c>
      <c r="B588" s="4" t="s">
        <v>22</v>
      </c>
      <c r="C588" s="4" t="s">
        <v>23</v>
      </c>
      <c r="D588" s="4" t="s">
        <v>24</v>
      </c>
      <c r="E588" s="4" t="s">
        <v>31</v>
      </c>
      <c r="F588" s="4" t="s">
        <v>25</v>
      </c>
      <c r="G588" s="4" t="s">
        <v>25</v>
      </c>
      <c r="H588" s="4" t="s">
        <v>25</v>
      </c>
      <c r="I588" s="5">
        <v>44743</v>
      </c>
      <c r="J588" s="6">
        <v>0</v>
      </c>
      <c r="K588" s="6">
        <v>0</v>
      </c>
      <c r="L588" s="6">
        <v>138.29599999999999</v>
      </c>
      <c r="M588" s="6">
        <v>138.29599999999999</v>
      </c>
      <c r="N588" s="6">
        <v>138.29599999999999</v>
      </c>
      <c r="O588" s="6">
        <v>138.29599999999999</v>
      </c>
      <c r="P588" s="6">
        <v>1982</v>
      </c>
      <c r="Q588" s="4" t="s">
        <v>26</v>
      </c>
      <c r="R588" s="4">
        <v>0</v>
      </c>
      <c r="S588" s="4" t="s">
        <v>304</v>
      </c>
      <c r="T588" s="4" t="s">
        <v>526</v>
      </c>
      <c r="U588" s="4">
        <v>0</v>
      </c>
      <c r="V588" s="4">
        <v>33</v>
      </c>
      <c r="W588" s="4">
        <v>74</v>
      </c>
    </row>
    <row r="589" spans="1:23" ht="11.25" customHeight="1" x14ac:dyDescent="0.3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31</v>
      </c>
      <c r="F589" s="4" t="s">
        <v>25</v>
      </c>
      <c r="G589" s="4" t="s">
        <v>25</v>
      </c>
      <c r="H589" s="4" t="s">
        <v>25</v>
      </c>
      <c r="I589" s="5">
        <v>44774</v>
      </c>
      <c r="J589" s="6">
        <v>0</v>
      </c>
      <c r="K589" s="6">
        <v>0</v>
      </c>
      <c r="L589" s="6">
        <v>122.026</v>
      </c>
      <c r="M589" s="6">
        <v>122.026</v>
      </c>
      <c r="N589" s="6">
        <v>122.026</v>
      </c>
      <c r="O589" s="6">
        <v>122.026</v>
      </c>
      <c r="P589" s="6">
        <v>1935</v>
      </c>
      <c r="Q589" s="4" t="s">
        <v>26</v>
      </c>
      <c r="R589" s="4">
        <v>0</v>
      </c>
      <c r="S589" s="4" t="s">
        <v>305</v>
      </c>
      <c r="T589" s="4" t="s">
        <v>527</v>
      </c>
      <c r="U589" s="4">
        <v>0</v>
      </c>
      <c r="V589" s="4">
        <v>33</v>
      </c>
      <c r="W589" s="4">
        <v>74</v>
      </c>
    </row>
    <row r="590" spans="1:23" ht="11.25" customHeight="1" x14ac:dyDescent="0.3">
      <c r="A590" s="4" t="s">
        <v>21</v>
      </c>
      <c r="B590" s="4" t="s">
        <v>22</v>
      </c>
      <c r="C590" s="4" t="s">
        <v>23</v>
      </c>
      <c r="D590" s="4" t="s">
        <v>24</v>
      </c>
      <c r="E590" s="4" t="s">
        <v>31</v>
      </c>
      <c r="F590" s="4" t="s">
        <v>25</v>
      </c>
      <c r="G590" s="4" t="s">
        <v>25</v>
      </c>
      <c r="H590" s="4" t="s">
        <v>25</v>
      </c>
      <c r="I590" s="5">
        <v>44805</v>
      </c>
      <c r="J590" s="6">
        <v>0</v>
      </c>
      <c r="K590" s="6">
        <v>0</v>
      </c>
      <c r="L590" s="6">
        <v>166.53299999999999</v>
      </c>
      <c r="M590" s="6">
        <v>166.53299999999999</v>
      </c>
      <c r="N590" s="6">
        <v>166.53299999999999</v>
      </c>
      <c r="O590" s="6">
        <v>166.53299999999999</v>
      </c>
      <c r="P590" s="6">
        <v>1994</v>
      </c>
      <c r="Q590" s="4" t="s">
        <v>26</v>
      </c>
      <c r="R590" s="4">
        <v>0</v>
      </c>
      <c r="S590" s="4" t="s">
        <v>306</v>
      </c>
      <c r="T590" s="4" t="s">
        <v>528</v>
      </c>
      <c r="U590" s="4">
        <v>0</v>
      </c>
      <c r="V590" s="4">
        <v>33</v>
      </c>
      <c r="W590" s="4">
        <v>74</v>
      </c>
    </row>
    <row r="591" spans="1:23" ht="11.25" customHeight="1" x14ac:dyDescent="0.3">
      <c r="A591" s="4" t="s">
        <v>28</v>
      </c>
      <c r="B591" s="4" t="s">
        <v>22</v>
      </c>
      <c r="C591" s="4" t="s">
        <v>23</v>
      </c>
      <c r="D591" s="4" t="s">
        <v>24</v>
      </c>
      <c r="E591" s="4" t="s">
        <v>31</v>
      </c>
      <c r="F591" s="4" t="s">
        <v>25</v>
      </c>
      <c r="G591" s="4" t="s">
        <v>25</v>
      </c>
      <c r="H591" s="4" t="s">
        <v>25</v>
      </c>
      <c r="I591" s="5">
        <v>44805</v>
      </c>
      <c r="J591" s="6">
        <v>0</v>
      </c>
      <c r="K591" s="6">
        <v>0</v>
      </c>
      <c r="L591" s="6">
        <v>5.0000000000000001E-3</v>
      </c>
      <c r="M591" s="6">
        <v>5.0000000000000001E-3</v>
      </c>
      <c r="N591" s="6">
        <v>5.0000000000000001E-3</v>
      </c>
      <c r="O591" s="6">
        <v>5.0000000000000001E-3</v>
      </c>
      <c r="P591" s="6">
        <v>4</v>
      </c>
      <c r="Q591" s="4" t="s">
        <v>26</v>
      </c>
      <c r="R591" s="4">
        <v>0</v>
      </c>
      <c r="S591" s="4" t="s">
        <v>306</v>
      </c>
      <c r="T591" s="4" t="s">
        <v>528</v>
      </c>
      <c r="U591" s="4">
        <v>0</v>
      </c>
      <c r="V591" s="4">
        <v>33</v>
      </c>
      <c r="W591" s="4">
        <v>74</v>
      </c>
    </row>
    <row r="592" spans="1:23" ht="11.25" customHeight="1" x14ac:dyDescent="0.3">
      <c r="A592" s="4" t="s">
        <v>57</v>
      </c>
      <c r="B592" s="4" t="s">
        <v>22</v>
      </c>
      <c r="C592" s="4" t="s">
        <v>23</v>
      </c>
      <c r="D592" s="4" t="s">
        <v>24</v>
      </c>
      <c r="E592" s="4" t="s">
        <v>31</v>
      </c>
      <c r="F592" s="4" t="s">
        <v>25</v>
      </c>
      <c r="G592" s="4" t="s">
        <v>25</v>
      </c>
      <c r="H592" s="4" t="s">
        <v>25</v>
      </c>
      <c r="I592" s="5">
        <v>44835</v>
      </c>
      <c r="J592" s="6">
        <v>0</v>
      </c>
      <c r="K592" s="6">
        <v>0</v>
      </c>
      <c r="L592" s="6">
        <v>166.53299999999999</v>
      </c>
      <c r="M592" s="6">
        <v>166.53299999999999</v>
      </c>
      <c r="N592" s="6">
        <v>166.53299999999999</v>
      </c>
      <c r="O592" s="6">
        <v>166.53299999999999</v>
      </c>
      <c r="P592" s="6">
        <v>1994</v>
      </c>
      <c r="Q592" s="4" t="s">
        <v>26</v>
      </c>
      <c r="R592" s="4">
        <v>0</v>
      </c>
      <c r="S592" s="4" t="s">
        <v>307</v>
      </c>
      <c r="T592" s="4" t="s">
        <v>529</v>
      </c>
      <c r="U592" s="4">
        <v>0</v>
      </c>
      <c r="V592" s="4">
        <v>33</v>
      </c>
      <c r="W592" s="4">
        <v>74</v>
      </c>
    </row>
    <row r="593" spans="1:23" ht="11.25" customHeight="1" x14ac:dyDescent="0.3">
      <c r="A593" s="4" t="s">
        <v>57</v>
      </c>
      <c r="B593" s="4" t="s">
        <v>22</v>
      </c>
      <c r="C593" s="4" t="s">
        <v>23</v>
      </c>
      <c r="D593" s="4" t="s">
        <v>24</v>
      </c>
      <c r="E593" s="4" t="s">
        <v>31</v>
      </c>
      <c r="F593" s="4" t="s">
        <v>25</v>
      </c>
      <c r="G593" s="4" t="s">
        <v>25</v>
      </c>
      <c r="H593" s="4" t="s">
        <v>25</v>
      </c>
      <c r="I593" s="5">
        <v>44835</v>
      </c>
      <c r="J593" s="6">
        <v>0</v>
      </c>
      <c r="K593" s="6">
        <v>0</v>
      </c>
      <c r="L593" s="6">
        <v>5.0000000000000001E-3</v>
      </c>
      <c r="M593" s="6">
        <v>5.0000000000000001E-3</v>
      </c>
      <c r="N593" s="6">
        <v>5.0000000000000001E-3</v>
      </c>
      <c r="O593" s="6">
        <v>5.0000000000000001E-3</v>
      </c>
      <c r="P593" s="6">
        <v>4</v>
      </c>
      <c r="Q593" s="4" t="s">
        <v>26</v>
      </c>
      <c r="R593" s="4">
        <v>0</v>
      </c>
      <c r="S593" s="4" t="s">
        <v>307</v>
      </c>
      <c r="T593" s="4" t="s">
        <v>529</v>
      </c>
      <c r="U593" s="4">
        <v>0</v>
      </c>
      <c r="V593" s="4">
        <v>33</v>
      </c>
      <c r="W593" s="4">
        <v>74</v>
      </c>
    </row>
    <row r="594" spans="1:23" ht="11.25" customHeight="1" x14ac:dyDescent="0.3">
      <c r="A594" s="4" t="s">
        <v>21</v>
      </c>
      <c r="B594" s="4" t="s">
        <v>22</v>
      </c>
      <c r="C594" s="4" t="s">
        <v>23</v>
      </c>
      <c r="D594" s="4" t="s">
        <v>24</v>
      </c>
      <c r="E594" s="4" t="s">
        <v>32</v>
      </c>
      <c r="F594" s="4" t="s">
        <v>25</v>
      </c>
      <c r="G594" s="4" t="s">
        <v>25</v>
      </c>
      <c r="H594" s="4" t="s">
        <v>25</v>
      </c>
      <c r="I594" s="5">
        <v>44501</v>
      </c>
      <c r="J594" s="6">
        <v>0</v>
      </c>
      <c r="K594" s="6">
        <v>0</v>
      </c>
      <c r="L594" s="6">
        <v>18.216000000000001</v>
      </c>
      <c r="M594" s="6">
        <v>18.216000000000001</v>
      </c>
      <c r="N594" s="6">
        <v>18.216000000000001</v>
      </c>
      <c r="O594" s="6">
        <v>18.216000000000001</v>
      </c>
      <c r="P594" s="6">
        <v>297</v>
      </c>
      <c r="Q594" s="4" t="s">
        <v>26</v>
      </c>
      <c r="R594" s="4">
        <v>0</v>
      </c>
      <c r="S594" s="4" t="s">
        <v>308</v>
      </c>
      <c r="T594" s="4" t="s">
        <v>530</v>
      </c>
      <c r="U594" s="4">
        <v>0</v>
      </c>
      <c r="V594" s="4">
        <v>34</v>
      </c>
      <c r="W594" s="4">
        <v>75</v>
      </c>
    </row>
    <row r="595" spans="1:23" ht="11.25" customHeight="1" x14ac:dyDescent="0.3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32</v>
      </c>
      <c r="F595" s="4" t="s">
        <v>25</v>
      </c>
      <c r="G595" s="4" t="s">
        <v>25</v>
      </c>
      <c r="H595" s="4" t="s">
        <v>25</v>
      </c>
      <c r="I595" s="5">
        <v>44531</v>
      </c>
      <c r="J595" s="6">
        <v>0</v>
      </c>
      <c r="K595" s="6">
        <v>0</v>
      </c>
      <c r="L595" s="6">
        <v>17.201000000000001</v>
      </c>
      <c r="M595" s="6">
        <v>17.201000000000001</v>
      </c>
      <c r="N595" s="6">
        <v>17.201000000000001</v>
      </c>
      <c r="O595" s="6">
        <v>17.201000000000001</v>
      </c>
      <c r="P595" s="6">
        <v>280</v>
      </c>
      <c r="Q595" s="4" t="s">
        <v>26</v>
      </c>
      <c r="R595" s="4">
        <v>0</v>
      </c>
      <c r="S595" s="4" t="s">
        <v>309</v>
      </c>
      <c r="T595" s="4" t="s">
        <v>531</v>
      </c>
      <c r="U595" s="4">
        <v>0</v>
      </c>
      <c r="V595" s="4">
        <v>34</v>
      </c>
      <c r="W595" s="4">
        <v>75</v>
      </c>
    </row>
    <row r="596" spans="1:23" ht="11.25" customHeight="1" x14ac:dyDescent="0.3">
      <c r="A596" s="4" t="s">
        <v>21</v>
      </c>
      <c r="B596" s="4" t="s">
        <v>22</v>
      </c>
      <c r="C596" s="4" t="s">
        <v>23</v>
      </c>
      <c r="D596" s="4" t="s">
        <v>24</v>
      </c>
      <c r="E596" s="4" t="s">
        <v>32</v>
      </c>
      <c r="F596" s="4" t="s">
        <v>25</v>
      </c>
      <c r="G596" s="4" t="s">
        <v>25</v>
      </c>
      <c r="H596" s="4" t="s">
        <v>25</v>
      </c>
      <c r="I596" s="5">
        <v>44562</v>
      </c>
      <c r="J596" s="6">
        <v>0</v>
      </c>
      <c r="K596" s="6">
        <v>0</v>
      </c>
      <c r="L596" s="6">
        <v>19.754999999999999</v>
      </c>
      <c r="M596" s="6">
        <v>19.754999999999999</v>
      </c>
      <c r="N596" s="6">
        <v>19.754999999999999</v>
      </c>
      <c r="O596" s="6">
        <v>19.754999999999999</v>
      </c>
      <c r="P596" s="6">
        <v>342</v>
      </c>
      <c r="Q596" s="4" t="s">
        <v>26</v>
      </c>
      <c r="R596" s="4">
        <v>0</v>
      </c>
      <c r="S596" s="4" t="s">
        <v>310</v>
      </c>
      <c r="T596" s="4" t="s">
        <v>532</v>
      </c>
      <c r="U596" s="4">
        <v>0</v>
      </c>
      <c r="V596" s="4">
        <v>34</v>
      </c>
      <c r="W596" s="4">
        <v>75</v>
      </c>
    </row>
    <row r="597" spans="1:23" ht="11.25" customHeight="1" x14ac:dyDescent="0.3">
      <c r="A597" s="4" t="s">
        <v>21</v>
      </c>
      <c r="B597" s="4" t="s">
        <v>22</v>
      </c>
      <c r="C597" s="4" t="s">
        <v>23</v>
      </c>
      <c r="D597" s="4" t="s">
        <v>24</v>
      </c>
      <c r="E597" s="4" t="s">
        <v>32</v>
      </c>
      <c r="F597" s="4" t="s">
        <v>25</v>
      </c>
      <c r="G597" s="4" t="s">
        <v>25</v>
      </c>
      <c r="H597" s="4" t="s">
        <v>25</v>
      </c>
      <c r="I597" s="5">
        <v>44593</v>
      </c>
      <c r="J597" s="6">
        <v>0</v>
      </c>
      <c r="K597" s="6">
        <v>0</v>
      </c>
      <c r="L597" s="6">
        <v>20.62</v>
      </c>
      <c r="M597" s="6">
        <v>20.62</v>
      </c>
      <c r="N597" s="6">
        <v>20.62</v>
      </c>
      <c r="O597" s="6">
        <v>20.62</v>
      </c>
      <c r="P597" s="6">
        <v>320</v>
      </c>
      <c r="Q597" s="4" t="s">
        <v>26</v>
      </c>
      <c r="R597" s="4">
        <v>0</v>
      </c>
      <c r="S597" s="4" t="s">
        <v>311</v>
      </c>
      <c r="T597" s="4" t="s">
        <v>533</v>
      </c>
      <c r="U597" s="4">
        <v>0</v>
      </c>
      <c r="V597" s="4">
        <v>34</v>
      </c>
      <c r="W597" s="4">
        <v>75</v>
      </c>
    </row>
    <row r="598" spans="1:23" ht="11.25" customHeight="1" x14ac:dyDescent="0.3">
      <c r="A598" s="4" t="s">
        <v>21</v>
      </c>
      <c r="B598" s="4" t="s">
        <v>22</v>
      </c>
      <c r="C598" s="4" t="s">
        <v>23</v>
      </c>
      <c r="D598" s="4" t="s">
        <v>24</v>
      </c>
      <c r="E598" s="4" t="s">
        <v>32</v>
      </c>
      <c r="F598" s="4" t="s">
        <v>25</v>
      </c>
      <c r="G598" s="4" t="s">
        <v>25</v>
      </c>
      <c r="H598" s="4" t="s">
        <v>25</v>
      </c>
      <c r="I598" s="5">
        <v>44621</v>
      </c>
      <c r="J598" s="6">
        <v>0</v>
      </c>
      <c r="K598" s="6">
        <v>0</v>
      </c>
      <c r="L598" s="6">
        <v>15.47</v>
      </c>
      <c r="M598" s="6">
        <v>15.47</v>
      </c>
      <c r="N598" s="6">
        <v>15.47</v>
      </c>
      <c r="O598" s="6">
        <v>15.47</v>
      </c>
      <c r="P598" s="6">
        <v>256</v>
      </c>
      <c r="Q598" s="4" t="s">
        <v>26</v>
      </c>
      <c r="R598" s="4">
        <v>0</v>
      </c>
      <c r="S598" s="4" t="s">
        <v>312</v>
      </c>
      <c r="T598" s="4" t="s">
        <v>534</v>
      </c>
      <c r="U598" s="4">
        <v>0</v>
      </c>
      <c r="V598" s="4">
        <v>34</v>
      </c>
      <c r="W598" s="4">
        <v>75</v>
      </c>
    </row>
    <row r="599" spans="1:23" ht="11.25" customHeight="1" x14ac:dyDescent="0.3">
      <c r="A599" s="4" t="s">
        <v>21</v>
      </c>
      <c r="B599" s="4" t="s">
        <v>22</v>
      </c>
      <c r="C599" s="4" t="s">
        <v>23</v>
      </c>
      <c r="D599" s="4" t="s">
        <v>24</v>
      </c>
      <c r="E599" s="4" t="s">
        <v>32</v>
      </c>
      <c r="F599" s="4" t="s">
        <v>25</v>
      </c>
      <c r="G599" s="4" t="s">
        <v>25</v>
      </c>
      <c r="H599" s="4" t="s">
        <v>25</v>
      </c>
      <c r="I599" s="5">
        <v>44652</v>
      </c>
      <c r="J599" s="6">
        <v>0</v>
      </c>
      <c r="K599" s="6">
        <v>0</v>
      </c>
      <c r="L599" s="6">
        <v>38.283999999999999</v>
      </c>
      <c r="M599" s="6">
        <v>38.283999999999999</v>
      </c>
      <c r="N599" s="6">
        <v>38.283999999999999</v>
      </c>
      <c r="O599" s="6">
        <v>38.283999999999999</v>
      </c>
      <c r="P599" s="6">
        <v>522</v>
      </c>
      <c r="Q599" s="4" t="s">
        <v>26</v>
      </c>
      <c r="R599" s="4">
        <v>0</v>
      </c>
      <c r="S599" s="4" t="s">
        <v>313</v>
      </c>
      <c r="T599" s="4" t="s">
        <v>535</v>
      </c>
      <c r="U599" s="4">
        <v>0</v>
      </c>
      <c r="V599" s="4">
        <v>34</v>
      </c>
      <c r="W599" s="4">
        <v>75</v>
      </c>
    </row>
    <row r="600" spans="1:23" ht="11.25" customHeight="1" x14ac:dyDescent="0.3">
      <c r="A600" s="4" t="s">
        <v>21</v>
      </c>
      <c r="B600" s="4" t="s">
        <v>22</v>
      </c>
      <c r="C600" s="4" t="s">
        <v>23</v>
      </c>
      <c r="D600" s="4" t="s">
        <v>24</v>
      </c>
      <c r="E600" s="4" t="s">
        <v>32</v>
      </c>
      <c r="F600" s="4" t="s">
        <v>25</v>
      </c>
      <c r="G600" s="4" t="s">
        <v>25</v>
      </c>
      <c r="H600" s="4" t="s">
        <v>25</v>
      </c>
      <c r="I600" s="5">
        <v>44682</v>
      </c>
      <c r="J600" s="6">
        <v>0</v>
      </c>
      <c r="K600" s="6">
        <v>0</v>
      </c>
      <c r="L600" s="6">
        <v>30.593</v>
      </c>
      <c r="M600" s="6">
        <v>30.593</v>
      </c>
      <c r="N600" s="6">
        <v>30.593</v>
      </c>
      <c r="O600" s="6">
        <v>30.593</v>
      </c>
      <c r="P600" s="6">
        <v>432</v>
      </c>
      <c r="Q600" s="4" t="s">
        <v>26</v>
      </c>
      <c r="R600" s="4">
        <v>0</v>
      </c>
      <c r="S600" s="4" t="s">
        <v>314</v>
      </c>
      <c r="T600" s="4" t="s">
        <v>536</v>
      </c>
      <c r="U600" s="4">
        <v>0</v>
      </c>
      <c r="V600" s="4">
        <v>34</v>
      </c>
      <c r="W600" s="4">
        <v>75</v>
      </c>
    </row>
    <row r="601" spans="1:23" ht="11.25" customHeight="1" x14ac:dyDescent="0.3">
      <c r="A601" s="4" t="s">
        <v>21</v>
      </c>
      <c r="B601" s="4" t="s">
        <v>22</v>
      </c>
      <c r="C601" s="4" t="s">
        <v>23</v>
      </c>
      <c r="D601" s="4" t="s">
        <v>24</v>
      </c>
      <c r="E601" s="4" t="s">
        <v>32</v>
      </c>
      <c r="F601" s="4" t="s">
        <v>25</v>
      </c>
      <c r="G601" s="4" t="s">
        <v>25</v>
      </c>
      <c r="H601" s="4" t="s">
        <v>25</v>
      </c>
      <c r="I601" s="5">
        <v>44713</v>
      </c>
      <c r="J601" s="6">
        <v>0</v>
      </c>
      <c r="K601" s="6">
        <v>0</v>
      </c>
      <c r="L601" s="6">
        <v>15.170999999999999</v>
      </c>
      <c r="M601" s="6">
        <v>15.170999999999999</v>
      </c>
      <c r="N601" s="6">
        <v>15.170999999999999</v>
      </c>
      <c r="O601" s="6">
        <v>15.170999999999999</v>
      </c>
      <c r="P601" s="6">
        <v>253</v>
      </c>
      <c r="Q601" s="4" t="s">
        <v>26</v>
      </c>
      <c r="R601" s="4">
        <v>0</v>
      </c>
      <c r="S601" s="4" t="s">
        <v>315</v>
      </c>
      <c r="T601" s="4" t="s">
        <v>537</v>
      </c>
      <c r="U601" s="4">
        <v>0</v>
      </c>
      <c r="V601" s="4">
        <v>34</v>
      </c>
      <c r="W601" s="4">
        <v>75</v>
      </c>
    </row>
    <row r="602" spans="1:23" ht="11.25" customHeight="1" x14ac:dyDescent="0.3">
      <c r="A602" s="4" t="s">
        <v>21</v>
      </c>
      <c r="B602" s="4" t="s">
        <v>22</v>
      </c>
      <c r="C602" s="4" t="s">
        <v>23</v>
      </c>
      <c r="D602" s="4" t="s">
        <v>24</v>
      </c>
      <c r="E602" s="4" t="s">
        <v>32</v>
      </c>
      <c r="F602" s="4" t="s">
        <v>25</v>
      </c>
      <c r="G602" s="4" t="s">
        <v>25</v>
      </c>
      <c r="H602" s="4" t="s">
        <v>25</v>
      </c>
      <c r="I602" s="5">
        <v>44743</v>
      </c>
      <c r="J602" s="6">
        <v>0</v>
      </c>
      <c r="K602" s="6">
        <v>0</v>
      </c>
      <c r="L602" s="6">
        <v>20.350999999999999</v>
      </c>
      <c r="M602" s="6">
        <v>20.350999999999999</v>
      </c>
      <c r="N602" s="6">
        <v>20.350999999999999</v>
      </c>
      <c r="O602" s="6">
        <v>20.350999999999999</v>
      </c>
      <c r="P602" s="6">
        <v>347</v>
      </c>
      <c r="Q602" s="4" t="s">
        <v>26</v>
      </c>
      <c r="R602" s="4">
        <v>0</v>
      </c>
      <c r="S602" s="4" t="s">
        <v>316</v>
      </c>
      <c r="T602" s="4" t="s">
        <v>538</v>
      </c>
      <c r="U602" s="4">
        <v>0</v>
      </c>
      <c r="V602" s="4">
        <v>34</v>
      </c>
      <c r="W602" s="4">
        <v>75</v>
      </c>
    </row>
    <row r="603" spans="1:23" ht="11.25" customHeight="1" x14ac:dyDescent="0.3">
      <c r="A603" s="4" t="s">
        <v>21</v>
      </c>
      <c r="B603" s="4" t="s">
        <v>22</v>
      </c>
      <c r="C603" s="4" t="s">
        <v>23</v>
      </c>
      <c r="D603" s="4" t="s">
        <v>24</v>
      </c>
      <c r="E603" s="4" t="s">
        <v>32</v>
      </c>
      <c r="F603" s="4" t="s">
        <v>25</v>
      </c>
      <c r="G603" s="4" t="s">
        <v>25</v>
      </c>
      <c r="H603" s="4" t="s">
        <v>25</v>
      </c>
      <c r="I603" s="5">
        <v>44774</v>
      </c>
      <c r="J603" s="6">
        <v>0</v>
      </c>
      <c r="K603" s="6">
        <v>0</v>
      </c>
      <c r="L603" s="6">
        <v>15.516</v>
      </c>
      <c r="M603" s="6">
        <v>15.516</v>
      </c>
      <c r="N603" s="6">
        <v>15.516</v>
      </c>
      <c r="O603" s="6">
        <v>15.516</v>
      </c>
      <c r="P603" s="6">
        <v>264</v>
      </c>
      <c r="Q603" s="4" t="s">
        <v>26</v>
      </c>
      <c r="R603" s="4">
        <v>0</v>
      </c>
      <c r="S603" s="4" t="s">
        <v>317</v>
      </c>
      <c r="T603" s="4" t="s">
        <v>539</v>
      </c>
      <c r="U603" s="4">
        <v>0</v>
      </c>
      <c r="V603" s="4">
        <v>34</v>
      </c>
      <c r="W603" s="4">
        <v>75</v>
      </c>
    </row>
    <row r="604" spans="1:23" ht="11.25" customHeight="1" x14ac:dyDescent="0.3">
      <c r="A604" s="4" t="s">
        <v>21</v>
      </c>
      <c r="B604" s="4" t="s">
        <v>22</v>
      </c>
      <c r="C604" s="4" t="s">
        <v>23</v>
      </c>
      <c r="D604" s="4" t="s">
        <v>24</v>
      </c>
      <c r="E604" s="4" t="s">
        <v>32</v>
      </c>
      <c r="F604" s="4" t="s">
        <v>25</v>
      </c>
      <c r="G604" s="4" t="s">
        <v>25</v>
      </c>
      <c r="H604" s="4" t="s">
        <v>25</v>
      </c>
      <c r="I604" s="5">
        <v>44805</v>
      </c>
      <c r="J604" s="6">
        <v>0</v>
      </c>
      <c r="K604" s="6">
        <v>0</v>
      </c>
      <c r="L604" s="6">
        <v>36.475000000000001</v>
      </c>
      <c r="M604" s="6">
        <v>36.475000000000001</v>
      </c>
      <c r="N604" s="6">
        <v>36.475000000000001</v>
      </c>
      <c r="O604" s="6">
        <v>36.475000000000001</v>
      </c>
      <c r="P604" s="6">
        <v>524</v>
      </c>
      <c r="Q604" s="4" t="s">
        <v>26</v>
      </c>
      <c r="R604" s="4">
        <v>0</v>
      </c>
      <c r="S604" s="4" t="s">
        <v>318</v>
      </c>
      <c r="T604" s="4" t="s">
        <v>540</v>
      </c>
      <c r="U604" s="4">
        <v>0</v>
      </c>
      <c r="V604" s="4">
        <v>34</v>
      </c>
      <c r="W604" s="4">
        <v>75</v>
      </c>
    </row>
    <row r="605" spans="1:23" ht="11.25" customHeight="1" x14ac:dyDescent="0.3">
      <c r="A605" s="4" t="s">
        <v>57</v>
      </c>
      <c r="B605" s="4" t="s">
        <v>22</v>
      </c>
      <c r="C605" s="4" t="s">
        <v>23</v>
      </c>
      <c r="D605" s="4" t="s">
        <v>24</v>
      </c>
      <c r="E605" s="4" t="s">
        <v>32</v>
      </c>
      <c r="F605" s="4" t="s">
        <v>25</v>
      </c>
      <c r="G605" s="4" t="s">
        <v>25</v>
      </c>
      <c r="H605" s="4" t="s">
        <v>25</v>
      </c>
      <c r="I605" s="5">
        <v>44835</v>
      </c>
      <c r="J605" s="6">
        <v>0</v>
      </c>
      <c r="K605" s="6">
        <v>0</v>
      </c>
      <c r="L605" s="6">
        <v>36.475000000000001</v>
      </c>
      <c r="M605" s="6">
        <v>36.475000000000001</v>
      </c>
      <c r="N605" s="6">
        <v>36.475000000000001</v>
      </c>
      <c r="O605" s="6">
        <v>36.475000000000001</v>
      </c>
      <c r="P605" s="6">
        <v>524</v>
      </c>
      <c r="Q605" s="4" t="s">
        <v>26</v>
      </c>
      <c r="R605" s="4">
        <v>0</v>
      </c>
      <c r="S605" s="4" t="s">
        <v>319</v>
      </c>
      <c r="T605" s="4" t="s">
        <v>541</v>
      </c>
      <c r="U605" s="4">
        <v>0</v>
      </c>
      <c r="V605" s="4">
        <v>34</v>
      </c>
      <c r="W605" s="4">
        <v>75</v>
      </c>
    </row>
    <row r="606" spans="1:23" ht="11.25" customHeight="1" x14ac:dyDescent="0.3">
      <c r="A606" s="4" t="s">
        <v>21</v>
      </c>
      <c r="B606" s="4" t="s">
        <v>43</v>
      </c>
      <c r="C606" s="4" t="s">
        <v>23</v>
      </c>
      <c r="D606" s="4" t="s">
        <v>44</v>
      </c>
      <c r="E606" s="4" t="s">
        <v>53</v>
      </c>
      <c r="F606" s="4" t="s">
        <v>54</v>
      </c>
      <c r="G606" s="4" t="s">
        <v>25</v>
      </c>
      <c r="H606" s="4" t="s">
        <v>25</v>
      </c>
      <c r="I606" s="5">
        <v>44501</v>
      </c>
      <c r="J606" s="6">
        <v>0</v>
      </c>
      <c r="K606" s="6">
        <v>0</v>
      </c>
      <c r="L606" s="6">
        <v>20.692</v>
      </c>
      <c r="M606" s="6">
        <v>20.692</v>
      </c>
      <c r="N606" s="6">
        <v>20.692</v>
      </c>
      <c r="O606" s="6">
        <v>20.692</v>
      </c>
      <c r="P606" s="6">
        <v>0</v>
      </c>
      <c r="Q606" s="4" t="s">
        <v>26</v>
      </c>
      <c r="R606" s="4">
        <v>0</v>
      </c>
      <c r="S606" s="4" t="s">
        <v>320</v>
      </c>
      <c r="T606" s="4" t="s">
        <v>542</v>
      </c>
      <c r="U606" s="4">
        <v>0</v>
      </c>
      <c r="V606" s="4">
        <v>43</v>
      </c>
      <c r="W606" s="4">
        <v>84</v>
      </c>
    </row>
    <row r="607" spans="1:23" ht="11.25" customHeight="1" x14ac:dyDescent="0.3">
      <c r="A607" s="4" t="s">
        <v>21</v>
      </c>
      <c r="B607" s="4" t="s">
        <v>43</v>
      </c>
      <c r="C607" s="4" t="s">
        <v>23</v>
      </c>
      <c r="D607" s="4" t="s">
        <v>44</v>
      </c>
      <c r="E607" s="4" t="s">
        <v>53</v>
      </c>
      <c r="F607" s="4" t="s">
        <v>54</v>
      </c>
      <c r="G607" s="4" t="s">
        <v>25</v>
      </c>
      <c r="H607" s="4" t="s">
        <v>25</v>
      </c>
      <c r="I607" s="5">
        <v>44531</v>
      </c>
      <c r="J607" s="6">
        <v>0</v>
      </c>
      <c r="K607" s="6">
        <v>0</v>
      </c>
      <c r="L607" s="6">
        <v>6.3330000000000002</v>
      </c>
      <c r="M607" s="6">
        <v>6.3330000000000002</v>
      </c>
      <c r="N607" s="6">
        <v>6.3330000000000002</v>
      </c>
      <c r="O607" s="6">
        <v>6.3330000000000002</v>
      </c>
      <c r="P607" s="6">
        <v>0</v>
      </c>
      <c r="Q607" s="4" t="s">
        <v>26</v>
      </c>
      <c r="R607" s="4">
        <v>0</v>
      </c>
      <c r="S607" s="4" t="s">
        <v>321</v>
      </c>
      <c r="T607" s="4" t="s">
        <v>543</v>
      </c>
      <c r="U607" s="4">
        <v>0</v>
      </c>
      <c r="V607" s="4">
        <v>43</v>
      </c>
      <c r="W607" s="4">
        <v>84</v>
      </c>
    </row>
    <row r="608" spans="1:23" ht="11.25" customHeight="1" x14ac:dyDescent="0.3">
      <c r="A608" s="4" t="s">
        <v>21</v>
      </c>
      <c r="B608" s="4" t="s">
        <v>43</v>
      </c>
      <c r="C608" s="4" t="s">
        <v>23</v>
      </c>
      <c r="D608" s="4" t="s">
        <v>44</v>
      </c>
      <c r="E608" s="4" t="s">
        <v>53</v>
      </c>
      <c r="F608" s="4" t="s">
        <v>54</v>
      </c>
      <c r="G608" s="4" t="s">
        <v>25</v>
      </c>
      <c r="H608" s="4" t="s">
        <v>25</v>
      </c>
      <c r="I608" s="5">
        <v>44562</v>
      </c>
      <c r="J608" s="6">
        <v>0</v>
      </c>
      <c r="K608" s="6">
        <v>0</v>
      </c>
      <c r="L608" s="6">
        <v>3.2189999999999999</v>
      </c>
      <c r="M608" s="6">
        <v>3.2189999999999999</v>
      </c>
      <c r="N608" s="6">
        <v>3.2189999999999999</v>
      </c>
      <c r="O608" s="6">
        <v>3.2189999999999999</v>
      </c>
      <c r="P608" s="6">
        <v>0</v>
      </c>
      <c r="Q608" s="4" t="s">
        <v>26</v>
      </c>
      <c r="R608" s="4">
        <v>0</v>
      </c>
      <c r="S608" s="4" t="s">
        <v>322</v>
      </c>
      <c r="T608" s="4" t="s">
        <v>544</v>
      </c>
      <c r="U608" s="4">
        <v>0</v>
      </c>
      <c r="V608" s="4">
        <v>43</v>
      </c>
      <c r="W608" s="4">
        <v>84</v>
      </c>
    </row>
    <row r="609" spans="1:23" ht="11.25" customHeight="1" x14ac:dyDescent="0.3">
      <c r="A609" s="4" t="s">
        <v>21</v>
      </c>
      <c r="B609" s="4" t="s">
        <v>43</v>
      </c>
      <c r="C609" s="4" t="s">
        <v>23</v>
      </c>
      <c r="D609" s="4" t="s">
        <v>44</v>
      </c>
      <c r="E609" s="4" t="s">
        <v>53</v>
      </c>
      <c r="F609" s="4" t="s">
        <v>54</v>
      </c>
      <c r="G609" s="4" t="s">
        <v>25</v>
      </c>
      <c r="H609" s="4" t="s">
        <v>25</v>
      </c>
      <c r="I609" s="5">
        <v>44593</v>
      </c>
      <c r="J609" s="6">
        <v>0</v>
      </c>
      <c r="K609" s="6">
        <v>0</v>
      </c>
      <c r="L609" s="6">
        <v>7.2119999999999997</v>
      </c>
      <c r="M609" s="6">
        <v>7.2119999999999997</v>
      </c>
      <c r="N609" s="6">
        <v>7.2119999999999997</v>
      </c>
      <c r="O609" s="6">
        <v>7.2119999999999997</v>
      </c>
      <c r="P609" s="6">
        <v>0</v>
      </c>
      <c r="Q609" s="4" t="s">
        <v>26</v>
      </c>
      <c r="R609" s="4">
        <v>0</v>
      </c>
      <c r="S609" s="4" t="s">
        <v>323</v>
      </c>
      <c r="T609" s="4" t="s">
        <v>545</v>
      </c>
      <c r="U609" s="4">
        <v>0</v>
      </c>
      <c r="V609" s="4">
        <v>43</v>
      </c>
      <c r="W609" s="4">
        <v>84</v>
      </c>
    </row>
    <row r="610" spans="1:23" ht="11.25" customHeight="1" x14ac:dyDescent="0.3">
      <c r="A610" s="4" t="s">
        <v>21</v>
      </c>
      <c r="B610" s="4" t="s">
        <v>43</v>
      </c>
      <c r="C610" s="4" t="s">
        <v>23</v>
      </c>
      <c r="D610" s="4" t="s">
        <v>44</v>
      </c>
      <c r="E610" s="4" t="s">
        <v>53</v>
      </c>
      <c r="F610" s="4" t="s">
        <v>54</v>
      </c>
      <c r="G610" s="4" t="s">
        <v>25</v>
      </c>
      <c r="H610" s="4" t="s">
        <v>25</v>
      </c>
      <c r="I610" s="5">
        <v>44621</v>
      </c>
      <c r="J610" s="6">
        <v>0</v>
      </c>
      <c r="K610" s="6">
        <v>0</v>
      </c>
      <c r="L610" s="6">
        <v>16.541</v>
      </c>
      <c r="M610" s="6">
        <v>16.541</v>
      </c>
      <c r="N610" s="6">
        <v>16.541</v>
      </c>
      <c r="O610" s="6">
        <v>16.541</v>
      </c>
      <c r="P610" s="6">
        <v>0</v>
      </c>
      <c r="Q610" s="4" t="s">
        <v>26</v>
      </c>
      <c r="R610" s="4">
        <v>0</v>
      </c>
      <c r="S610" s="4" t="s">
        <v>324</v>
      </c>
      <c r="T610" s="4" t="s">
        <v>546</v>
      </c>
      <c r="U610" s="4">
        <v>0</v>
      </c>
      <c r="V610" s="4">
        <v>43</v>
      </c>
      <c r="W610" s="4">
        <v>84</v>
      </c>
    </row>
    <row r="611" spans="1:23" ht="11.25" customHeight="1" x14ac:dyDescent="0.3">
      <c r="A611" s="4" t="s">
        <v>21</v>
      </c>
      <c r="B611" s="4" t="s">
        <v>43</v>
      </c>
      <c r="C611" s="4" t="s">
        <v>23</v>
      </c>
      <c r="D611" s="4" t="s">
        <v>44</v>
      </c>
      <c r="E611" s="4" t="s">
        <v>53</v>
      </c>
      <c r="F611" s="4" t="s">
        <v>54</v>
      </c>
      <c r="G611" s="4" t="s">
        <v>25</v>
      </c>
      <c r="H611" s="4" t="s">
        <v>25</v>
      </c>
      <c r="I611" s="5">
        <v>44652</v>
      </c>
      <c r="J611" s="6">
        <v>0</v>
      </c>
      <c r="K611" s="6">
        <v>0</v>
      </c>
      <c r="L611" s="6">
        <v>78.981999999999999</v>
      </c>
      <c r="M611" s="6">
        <v>78.981999999999999</v>
      </c>
      <c r="N611" s="6">
        <v>78.981999999999999</v>
      </c>
      <c r="O611" s="6">
        <v>78.981999999999999</v>
      </c>
      <c r="P611" s="6">
        <v>0</v>
      </c>
      <c r="Q611" s="4" t="s">
        <v>26</v>
      </c>
      <c r="R611" s="4">
        <v>0</v>
      </c>
      <c r="S611" s="4" t="s">
        <v>325</v>
      </c>
      <c r="T611" s="4" t="s">
        <v>547</v>
      </c>
      <c r="U611" s="4">
        <v>0</v>
      </c>
      <c r="V611" s="4">
        <v>43</v>
      </c>
      <c r="W611" s="4">
        <v>84</v>
      </c>
    </row>
    <row r="612" spans="1:23" ht="11.25" customHeight="1" x14ac:dyDescent="0.3">
      <c r="A612" s="4" t="s">
        <v>21</v>
      </c>
      <c r="B612" s="4" t="s">
        <v>43</v>
      </c>
      <c r="C612" s="4" t="s">
        <v>23</v>
      </c>
      <c r="D612" s="4" t="s">
        <v>44</v>
      </c>
      <c r="E612" s="4" t="s">
        <v>53</v>
      </c>
      <c r="F612" s="4" t="s">
        <v>54</v>
      </c>
      <c r="G612" s="4" t="s">
        <v>25</v>
      </c>
      <c r="H612" s="4" t="s">
        <v>25</v>
      </c>
      <c r="I612" s="5">
        <v>44682</v>
      </c>
      <c r="J612" s="6">
        <v>0</v>
      </c>
      <c r="K612" s="6">
        <v>0</v>
      </c>
      <c r="L612" s="6">
        <v>107.337</v>
      </c>
      <c r="M612" s="6">
        <v>107.337</v>
      </c>
      <c r="N612" s="6">
        <v>107.337</v>
      </c>
      <c r="O612" s="6">
        <v>107.337</v>
      </c>
      <c r="P612" s="6">
        <v>0</v>
      </c>
      <c r="Q612" s="4" t="s">
        <v>26</v>
      </c>
      <c r="R612" s="4">
        <v>0</v>
      </c>
      <c r="S612" s="4" t="s">
        <v>326</v>
      </c>
      <c r="T612" s="4" t="s">
        <v>548</v>
      </c>
      <c r="U612" s="4">
        <v>0</v>
      </c>
      <c r="V612" s="4">
        <v>43</v>
      </c>
      <c r="W612" s="4">
        <v>84</v>
      </c>
    </row>
    <row r="613" spans="1:23" ht="11.25" customHeight="1" x14ac:dyDescent="0.3">
      <c r="A613" s="4" t="s">
        <v>21</v>
      </c>
      <c r="B613" s="4" t="s">
        <v>43</v>
      </c>
      <c r="C613" s="4" t="s">
        <v>23</v>
      </c>
      <c r="D613" s="4" t="s">
        <v>44</v>
      </c>
      <c r="E613" s="4" t="s">
        <v>53</v>
      </c>
      <c r="F613" s="4" t="s">
        <v>54</v>
      </c>
      <c r="G613" s="4" t="s">
        <v>25</v>
      </c>
      <c r="H613" s="4" t="s">
        <v>25</v>
      </c>
      <c r="I613" s="5">
        <v>44713</v>
      </c>
      <c r="J613" s="6">
        <v>0</v>
      </c>
      <c r="K613" s="6">
        <v>0</v>
      </c>
      <c r="L613" s="6">
        <v>101.113</v>
      </c>
      <c r="M613" s="6">
        <v>101.113</v>
      </c>
      <c r="N613" s="6">
        <v>101.113</v>
      </c>
      <c r="O613" s="6">
        <v>101.113</v>
      </c>
      <c r="P613" s="6">
        <v>0</v>
      </c>
      <c r="Q613" s="4" t="s">
        <v>26</v>
      </c>
      <c r="R613" s="4">
        <v>0</v>
      </c>
      <c r="S613" s="4" t="s">
        <v>327</v>
      </c>
      <c r="T613" s="4" t="s">
        <v>549</v>
      </c>
      <c r="U613" s="4">
        <v>0</v>
      </c>
      <c r="V613" s="4">
        <v>43</v>
      </c>
      <c r="W613" s="4">
        <v>84</v>
      </c>
    </row>
    <row r="614" spans="1:23" ht="11.25" customHeight="1" x14ac:dyDescent="0.3">
      <c r="A614" s="4" t="s">
        <v>21</v>
      </c>
      <c r="B614" s="4" t="s">
        <v>43</v>
      </c>
      <c r="C614" s="4" t="s">
        <v>23</v>
      </c>
      <c r="D614" s="4" t="s">
        <v>44</v>
      </c>
      <c r="E614" s="4" t="s">
        <v>53</v>
      </c>
      <c r="F614" s="4" t="s">
        <v>54</v>
      </c>
      <c r="G614" s="4" t="s">
        <v>25</v>
      </c>
      <c r="H614" s="4" t="s">
        <v>25</v>
      </c>
      <c r="I614" s="5">
        <v>44743</v>
      </c>
      <c r="J614" s="6">
        <v>0</v>
      </c>
      <c r="K614" s="6">
        <v>0</v>
      </c>
      <c r="L614" s="6">
        <v>103.361</v>
      </c>
      <c r="M614" s="6">
        <v>103.361</v>
      </c>
      <c r="N614" s="6">
        <v>103.361</v>
      </c>
      <c r="O614" s="6">
        <v>103.361</v>
      </c>
      <c r="P614" s="6">
        <v>0</v>
      </c>
      <c r="Q614" s="4" t="s">
        <v>26</v>
      </c>
      <c r="R614" s="4">
        <v>0</v>
      </c>
      <c r="S614" s="4" t="s">
        <v>328</v>
      </c>
      <c r="T614" s="4" t="s">
        <v>550</v>
      </c>
      <c r="U614" s="4">
        <v>0</v>
      </c>
      <c r="V614" s="4">
        <v>43</v>
      </c>
      <c r="W614" s="4">
        <v>84</v>
      </c>
    </row>
    <row r="615" spans="1:23" ht="11.25" customHeight="1" x14ac:dyDescent="0.3">
      <c r="A615" s="4" t="s">
        <v>21</v>
      </c>
      <c r="B615" s="4" t="s">
        <v>43</v>
      </c>
      <c r="C615" s="4" t="s">
        <v>23</v>
      </c>
      <c r="D615" s="4" t="s">
        <v>44</v>
      </c>
      <c r="E615" s="4" t="s">
        <v>53</v>
      </c>
      <c r="F615" s="4" t="s">
        <v>54</v>
      </c>
      <c r="G615" s="4" t="s">
        <v>25</v>
      </c>
      <c r="H615" s="4" t="s">
        <v>25</v>
      </c>
      <c r="I615" s="5">
        <v>44774</v>
      </c>
      <c r="J615" s="6">
        <v>0</v>
      </c>
      <c r="K615" s="6">
        <v>0</v>
      </c>
      <c r="L615" s="6">
        <v>103.392</v>
      </c>
      <c r="M615" s="6">
        <v>103.392</v>
      </c>
      <c r="N615" s="6">
        <v>103.392</v>
      </c>
      <c r="O615" s="6">
        <v>103.392</v>
      </c>
      <c r="P615" s="6">
        <v>0</v>
      </c>
      <c r="Q615" s="4" t="s">
        <v>26</v>
      </c>
      <c r="R615" s="4">
        <v>0</v>
      </c>
      <c r="S615" s="4" t="s">
        <v>329</v>
      </c>
      <c r="T615" s="4" t="s">
        <v>551</v>
      </c>
      <c r="U615" s="4">
        <v>0</v>
      </c>
      <c r="V615" s="4">
        <v>43</v>
      </c>
      <c r="W615" s="4">
        <v>84</v>
      </c>
    </row>
    <row r="616" spans="1:23" ht="11.25" customHeight="1" x14ac:dyDescent="0.3">
      <c r="A616" s="4" t="s">
        <v>28</v>
      </c>
      <c r="B616" s="4" t="s">
        <v>43</v>
      </c>
      <c r="C616" s="4" t="s">
        <v>23</v>
      </c>
      <c r="D616" s="4" t="s">
        <v>44</v>
      </c>
      <c r="E616" s="4" t="s">
        <v>53</v>
      </c>
      <c r="F616" s="4" t="s">
        <v>54</v>
      </c>
      <c r="G616" s="4" t="s">
        <v>25</v>
      </c>
      <c r="H616" s="4" t="s">
        <v>25</v>
      </c>
      <c r="I616" s="5">
        <v>44774</v>
      </c>
      <c r="J616" s="6">
        <v>0</v>
      </c>
      <c r="K616" s="6">
        <v>0</v>
      </c>
      <c r="L616" s="6">
        <v>27.16</v>
      </c>
      <c r="M616" s="6">
        <v>27.16</v>
      </c>
      <c r="N616" s="6">
        <v>27.16</v>
      </c>
      <c r="O616" s="6">
        <v>27.16</v>
      </c>
      <c r="P616" s="6">
        <v>0</v>
      </c>
      <c r="Q616" s="4" t="s">
        <v>26</v>
      </c>
      <c r="R616" s="4">
        <v>0</v>
      </c>
      <c r="S616" s="4" t="s">
        <v>329</v>
      </c>
      <c r="T616" s="4" t="s">
        <v>551</v>
      </c>
      <c r="U616" s="4">
        <v>0</v>
      </c>
      <c r="V616" s="4">
        <v>43</v>
      </c>
      <c r="W616" s="4">
        <v>84</v>
      </c>
    </row>
    <row r="617" spans="1:23" ht="11.25" customHeight="1" x14ac:dyDescent="0.3">
      <c r="A617" s="4" t="s">
        <v>21</v>
      </c>
      <c r="B617" s="4" t="s">
        <v>43</v>
      </c>
      <c r="C617" s="4" t="s">
        <v>23</v>
      </c>
      <c r="D617" s="4" t="s">
        <v>44</v>
      </c>
      <c r="E617" s="4" t="s">
        <v>53</v>
      </c>
      <c r="F617" s="4" t="s">
        <v>54</v>
      </c>
      <c r="G617" s="4" t="s">
        <v>25</v>
      </c>
      <c r="H617" s="4" t="s">
        <v>25</v>
      </c>
      <c r="I617" s="5">
        <v>44805</v>
      </c>
      <c r="J617" s="6">
        <v>0</v>
      </c>
      <c r="K617" s="6">
        <v>0</v>
      </c>
      <c r="L617" s="6">
        <v>130.322</v>
      </c>
      <c r="M617" s="6">
        <v>130.322</v>
      </c>
      <c r="N617" s="6">
        <v>130.322</v>
      </c>
      <c r="O617" s="6">
        <v>130.322</v>
      </c>
      <c r="P617" s="6">
        <v>0</v>
      </c>
      <c r="Q617" s="4" t="s">
        <v>26</v>
      </c>
      <c r="R617" s="4">
        <v>0</v>
      </c>
      <c r="S617" s="4" t="s">
        <v>330</v>
      </c>
      <c r="T617" s="4" t="s">
        <v>552</v>
      </c>
      <c r="U617" s="4">
        <v>0</v>
      </c>
      <c r="V617" s="4">
        <v>43</v>
      </c>
      <c r="W617" s="4">
        <v>84</v>
      </c>
    </row>
    <row r="618" spans="1:23" ht="11.25" customHeight="1" x14ac:dyDescent="0.3">
      <c r="A618" s="4" t="s">
        <v>28</v>
      </c>
      <c r="B618" s="4" t="s">
        <v>43</v>
      </c>
      <c r="C618" s="4" t="s">
        <v>23</v>
      </c>
      <c r="D618" s="4" t="s">
        <v>44</v>
      </c>
      <c r="E618" s="4" t="s">
        <v>53</v>
      </c>
      <c r="F618" s="4" t="s">
        <v>54</v>
      </c>
      <c r="G618" s="4" t="s">
        <v>25</v>
      </c>
      <c r="H618" s="4" t="s">
        <v>25</v>
      </c>
      <c r="I618" s="5">
        <v>44805</v>
      </c>
      <c r="J618" s="6">
        <v>0</v>
      </c>
      <c r="K618" s="6">
        <v>0</v>
      </c>
      <c r="L618" s="6">
        <v>7.8</v>
      </c>
      <c r="M618" s="6">
        <v>7.8</v>
      </c>
      <c r="N618" s="6">
        <v>7.8</v>
      </c>
      <c r="O618" s="6">
        <v>7.8</v>
      </c>
      <c r="P618" s="6">
        <v>0</v>
      </c>
      <c r="Q618" s="4" t="s">
        <v>26</v>
      </c>
      <c r="R618" s="4">
        <v>0</v>
      </c>
      <c r="S618" s="4" t="s">
        <v>330</v>
      </c>
      <c r="T618" s="4" t="s">
        <v>552</v>
      </c>
      <c r="U618" s="4">
        <v>0</v>
      </c>
      <c r="V618" s="4">
        <v>43</v>
      </c>
      <c r="W618" s="4">
        <v>84</v>
      </c>
    </row>
    <row r="619" spans="1:23" ht="11.25" customHeight="1" x14ac:dyDescent="0.3">
      <c r="A619" s="4" t="s">
        <v>57</v>
      </c>
      <c r="B619" s="4" t="s">
        <v>43</v>
      </c>
      <c r="C619" s="4" t="s">
        <v>23</v>
      </c>
      <c r="D619" s="4" t="s">
        <v>44</v>
      </c>
      <c r="E619" s="4" t="s">
        <v>53</v>
      </c>
      <c r="F619" s="4" t="s">
        <v>54</v>
      </c>
      <c r="G619" s="4" t="s">
        <v>25</v>
      </c>
      <c r="H619" s="4" t="s">
        <v>25</v>
      </c>
      <c r="I619" s="5">
        <v>44835</v>
      </c>
      <c r="J619" s="6">
        <v>0</v>
      </c>
      <c r="K619" s="6">
        <v>0</v>
      </c>
      <c r="L619" s="6">
        <v>130.322</v>
      </c>
      <c r="M619" s="6">
        <v>130.322</v>
      </c>
      <c r="N619" s="6">
        <v>130.322</v>
      </c>
      <c r="O619" s="6">
        <v>130.322</v>
      </c>
      <c r="P619" s="6">
        <v>0</v>
      </c>
      <c r="Q619" s="4" t="s">
        <v>26</v>
      </c>
      <c r="R619" s="4">
        <v>0</v>
      </c>
      <c r="S619" s="4" t="s">
        <v>331</v>
      </c>
      <c r="T619" s="4" t="s">
        <v>553</v>
      </c>
      <c r="U619" s="4">
        <v>0</v>
      </c>
      <c r="V619" s="4">
        <v>43</v>
      </c>
      <c r="W619" s="4">
        <v>84</v>
      </c>
    </row>
    <row r="620" spans="1:23" ht="11.25" customHeight="1" x14ac:dyDescent="0.3">
      <c r="A620" s="4" t="s">
        <v>57</v>
      </c>
      <c r="B620" s="4" t="s">
        <v>43</v>
      </c>
      <c r="C620" s="4" t="s">
        <v>23</v>
      </c>
      <c r="D620" s="4" t="s">
        <v>44</v>
      </c>
      <c r="E620" s="4" t="s">
        <v>53</v>
      </c>
      <c r="F620" s="4" t="s">
        <v>54</v>
      </c>
      <c r="G620" s="4" t="s">
        <v>25</v>
      </c>
      <c r="H620" s="4" t="s">
        <v>25</v>
      </c>
      <c r="I620" s="5">
        <v>44835</v>
      </c>
      <c r="J620" s="6">
        <v>0</v>
      </c>
      <c r="K620" s="6">
        <v>0</v>
      </c>
      <c r="L620" s="6">
        <v>7.8</v>
      </c>
      <c r="M620" s="6">
        <v>7.8</v>
      </c>
      <c r="N620" s="6">
        <v>7.8</v>
      </c>
      <c r="O620" s="6">
        <v>7.8</v>
      </c>
      <c r="P620" s="6">
        <v>0</v>
      </c>
      <c r="Q620" s="4" t="s">
        <v>26</v>
      </c>
      <c r="R620" s="4">
        <v>0</v>
      </c>
      <c r="S620" s="4" t="s">
        <v>331</v>
      </c>
      <c r="T620" s="4" t="s">
        <v>553</v>
      </c>
      <c r="U620" s="4">
        <v>0</v>
      </c>
      <c r="V620" s="4">
        <v>43</v>
      </c>
      <c r="W620" s="4">
        <v>84</v>
      </c>
    </row>
    <row r="621" spans="1:23" ht="11.25" customHeight="1" x14ac:dyDescent="0.3">
      <c r="A621" s="4" t="s">
        <v>21</v>
      </c>
      <c r="B621" s="4" t="s">
        <v>43</v>
      </c>
      <c r="C621" s="4" t="s">
        <v>23</v>
      </c>
      <c r="D621" s="4" t="s">
        <v>44</v>
      </c>
      <c r="E621" s="4" t="s">
        <v>53</v>
      </c>
      <c r="F621" s="4" t="s">
        <v>55</v>
      </c>
      <c r="G621" s="4" t="s">
        <v>25</v>
      </c>
      <c r="H621" s="4" t="s">
        <v>25</v>
      </c>
      <c r="I621" s="5">
        <v>44501</v>
      </c>
      <c r="J621" s="6">
        <v>0</v>
      </c>
      <c r="K621" s="6">
        <v>0</v>
      </c>
      <c r="L621" s="6">
        <v>17.97</v>
      </c>
      <c r="M621" s="6">
        <v>5.9301000000000004</v>
      </c>
      <c r="N621" s="6">
        <v>17.97</v>
      </c>
      <c r="O621" s="6">
        <v>5.9301000000000004</v>
      </c>
      <c r="P621" s="6">
        <v>0</v>
      </c>
      <c r="Q621" s="4" t="s">
        <v>26</v>
      </c>
      <c r="R621" s="4">
        <v>0</v>
      </c>
      <c r="S621" s="4" t="s">
        <v>320</v>
      </c>
      <c r="T621" s="4" t="s">
        <v>542</v>
      </c>
      <c r="U621" s="4">
        <v>0</v>
      </c>
      <c r="V621" s="4">
        <v>43</v>
      </c>
      <c r="W621" s="4">
        <v>84</v>
      </c>
    </row>
    <row r="622" spans="1:23" ht="11.25" customHeight="1" x14ac:dyDescent="0.3">
      <c r="A622" s="4" t="s">
        <v>21</v>
      </c>
      <c r="B622" s="4" t="s">
        <v>43</v>
      </c>
      <c r="C622" s="4" t="s">
        <v>23</v>
      </c>
      <c r="D622" s="4" t="s">
        <v>44</v>
      </c>
      <c r="E622" s="4" t="s">
        <v>53</v>
      </c>
      <c r="F622" s="4" t="s">
        <v>55</v>
      </c>
      <c r="G622" s="4" t="s">
        <v>25</v>
      </c>
      <c r="H622" s="4" t="s">
        <v>25</v>
      </c>
      <c r="I622" s="5">
        <v>44531</v>
      </c>
      <c r="J622" s="6">
        <v>0</v>
      </c>
      <c r="K622" s="6">
        <v>0</v>
      </c>
      <c r="L622" s="6">
        <v>6.3819999999999997</v>
      </c>
      <c r="M622" s="6">
        <v>2.1060599999999998</v>
      </c>
      <c r="N622" s="6">
        <v>6.3819999999999997</v>
      </c>
      <c r="O622" s="6">
        <v>2.1060599999999998</v>
      </c>
      <c r="P622" s="6">
        <v>0</v>
      </c>
      <c r="Q622" s="4" t="s">
        <v>26</v>
      </c>
      <c r="R622" s="4">
        <v>0</v>
      </c>
      <c r="S622" s="4" t="s">
        <v>321</v>
      </c>
      <c r="T622" s="4" t="s">
        <v>543</v>
      </c>
      <c r="U622" s="4">
        <v>0</v>
      </c>
      <c r="V622" s="4">
        <v>43</v>
      </c>
      <c r="W622" s="4">
        <v>84</v>
      </c>
    </row>
    <row r="623" spans="1:23" ht="11.25" customHeight="1" x14ac:dyDescent="0.3">
      <c r="A623" s="4" t="s">
        <v>21</v>
      </c>
      <c r="B623" s="4" t="s">
        <v>43</v>
      </c>
      <c r="C623" s="4" t="s">
        <v>23</v>
      </c>
      <c r="D623" s="4" t="s">
        <v>44</v>
      </c>
      <c r="E623" s="4" t="s">
        <v>53</v>
      </c>
      <c r="F623" s="4" t="s">
        <v>55</v>
      </c>
      <c r="G623" s="4" t="s">
        <v>25</v>
      </c>
      <c r="H623" s="4" t="s">
        <v>25</v>
      </c>
      <c r="I623" s="5">
        <v>44562</v>
      </c>
      <c r="J623" s="6">
        <v>0</v>
      </c>
      <c r="K623" s="6">
        <v>0</v>
      </c>
      <c r="L623" s="6">
        <v>0.55400000000000005</v>
      </c>
      <c r="M623" s="6">
        <v>0.18282000000000001</v>
      </c>
      <c r="N623" s="6">
        <v>0.55400000000000005</v>
      </c>
      <c r="O623" s="6">
        <v>0.18282000000000001</v>
      </c>
      <c r="P623" s="6">
        <v>0</v>
      </c>
      <c r="Q623" s="4" t="s">
        <v>26</v>
      </c>
      <c r="R623" s="4">
        <v>0</v>
      </c>
      <c r="S623" s="4" t="s">
        <v>322</v>
      </c>
      <c r="T623" s="4" t="s">
        <v>544</v>
      </c>
      <c r="U623" s="4">
        <v>0</v>
      </c>
      <c r="V623" s="4">
        <v>43</v>
      </c>
      <c r="W623" s="4">
        <v>84</v>
      </c>
    </row>
    <row r="624" spans="1:23" ht="11.25" customHeight="1" x14ac:dyDescent="0.3">
      <c r="A624" s="4" t="s">
        <v>21</v>
      </c>
      <c r="B624" s="4" t="s">
        <v>43</v>
      </c>
      <c r="C624" s="4" t="s">
        <v>23</v>
      </c>
      <c r="D624" s="4" t="s">
        <v>44</v>
      </c>
      <c r="E624" s="4" t="s">
        <v>53</v>
      </c>
      <c r="F624" s="4" t="s">
        <v>55</v>
      </c>
      <c r="G624" s="4" t="s">
        <v>25</v>
      </c>
      <c r="H624" s="4" t="s">
        <v>25</v>
      </c>
      <c r="I624" s="5">
        <v>44593</v>
      </c>
      <c r="J624" s="6">
        <v>0</v>
      </c>
      <c r="K624" s="6">
        <v>0</v>
      </c>
      <c r="L624" s="6">
        <v>5.9119999999999999</v>
      </c>
      <c r="M624" s="6">
        <v>1.95096</v>
      </c>
      <c r="N624" s="6">
        <v>5.9119999999999999</v>
      </c>
      <c r="O624" s="6">
        <v>1.95096</v>
      </c>
      <c r="P624" s="6">
        <v>0</v>
      </c>
      <c r="Q624" s="4" t="s">
        <v>26</v>
      </c>
      <c r="R624" s="4">
        <v>0</v>
      </c>
      <c r="S624" s="4" t="s">
        <v>323</v>
      </c>
      <c r="T624" s="4" t="s">
        <v>545</v>
      </c>
      <c r="U624" s="4">
        <v>0</v>
      </c>
      <c r="V624" s="4">
        <v>43</v>
      </c>
      <c r="W624" s="4">
        <v>84</v>
      </c>
    </row>
    <row r="625" spans="1:23" ht="11.25" customHeight="1" x14ac:dyDescent="0.3">
      <c r="A625" s="4" t="s">
        <v>21</v>
      </c>
      <c r="B625" s="4" t="s">
        <v>43</v>
      </c>
      <c r="C625" s="4" t="s">
        <v>23</v>
      </c>
      <c r="D625" s="4" t="s">
        <v>44</v>
      </c>
      <c r="E625" s="4" t="s">
        <v>53</v>
      </c>
      <c r="F625" s="4" t="s">
        <v>55</v>
      </c>
      <c r="G625" s="4" t="s">
        <v>25</v>
      </c>
      <c r="H625" s="4" t="s">
        <v>25</v>
      </c>
      <c r="I625" s="5">
        <v>44621</v>
      </c>
      <c r="J625" s="6">
        <v>0</v>
      </c>
      <c r="K625" s="6">
        <v>0</v>
      </c>
      <c r="L625" s="6">
        <v>11.507999999999999</v>
      </c>
      <c r="M625" s="6">
        <v>3.7976399999999999</v>
      </c>
      <c r="N625" s="6">
        <v>11.507999999999999</v>
      </c>
      <c r="O625" s="6">
        <v>3.7976399999999999</v>
      </c>
      <c r="P625" s="6">
        <v>0</v>
      </c>
      <c r="Q625" s="4" t="s">
        <v>26</v>
      </c>
      <c r="R625" s="4">
        <v>0</v>
      </c>
      <c r="S625" s="4" t="s">
        <v>324</v>
      </c>
      <c r="T625" s="4" t="s">
        <v>546</v>
      </c>
      <c r="U625" s="4">
        <v>0</v>
      </c>
      <c r="V625" s="4">
        <v>43</v>
      </c>
      <c r="W625" s="4">
        <v>84</v>
      </c>
    </row>
    <row r="626" spans="1:23" ht="11.25" customHeight="1" x14ac:dyDescent="0.3">
      <c r="A626" s="4" t="s">
        <v>21</v>
      </c>
      <c r="B626" s="4" t="s">
        <v>43</v>
      </c>
      <c r="C626" s="4" t="s">
        <v>23</v>
      </c>
      <c r="D626" s="4" t="s">
        <v>44</v>
      </c>
      <c r="E626" s="4" t="s">
        <v>53</v>
      </c>
      <c r="F626" s="4" t="s">
        <v>55</v>
      </c>
      <c r="G626" s="4" t="s">
        <v>25</v>
      </c>
      <c r="H626" s="4" t="s">
        <v>25</v>
      </c>
      <c r="I626" s="5">
        <v>44652</v>
      </c>
      <c r="J626" s="6">
        <v>0</v>
      </c>
      <c r="K626" s="6">
        <v>0</v>
      </c>
      <c r="L626" s="6">
        <v>83.4</v>
      </c>
      <c r="M626" s="6">
        <v>27.521999999999998</v>
      </c>
      <c r="N626" s="6">
        <v>83.4</v>
      </c>
      <c r="O626" s="6">
        <v>27.521999999999998</v>
      </c>
      <c r="P626" s="6">
        <v>0</v>
      </c>
      <c r="Q626" s="4" t="s">
        <v>26</v>
      </c>
      <c r="R626" s="4">
        <v>0</v>
      </c>
      <c r="S626" s="4" t="s">
        <v>325</v>
      </c>
      <c r="T626" s="4" t="s">
        <v>547</v>
      </c>
      <c r="U626" s="4">
        <v>0</v>
      </c>
      <c r="V626" s="4">
        <v>43</v>
      </c>
      <c r="W626" s="4">
        <v>84</v>
      </c>
    </row>
    <row r="627" spans="1:23" ht="11.25" customHeight="1" x14ac:dyDescent="0.3">
      <c r="A627" s="4" t="s">
        <v>21</v>
      </c>
      <c r="B627" s="4" t="s">
        <v>43</v>
      </c>
      <c r="C627" s="4" t="s">
        <v>23</v>
      </c>
      <c r="D627" s="4" t="s">
        <v>44</v>
      </c>
      <c r="E627" s="4" t="s">
        <v>53</v>
      </c>
      <c r="F627" s="4" t="s">
        <v>55</v>
      </c>
      <c r="G627" s="4" t="s">
        <v>25</v>
      </c>
      <c r="H627" s="4" t="s">
        <v>25</v>
      </c>
      <c r="I627" s="5">
        <v>44682</v>
      </c>
      <c r="J627" s="6">
        <v>0</v>
      </c>
      <c r="K627" s="6">
        <v>0</v>
      </c>
      <c r="L627" s="6">
        <v>105.05800000000001</v>
      </c>
      <c r="M627" s="6">
        <v>34.669139999999999</v>
      </c>
      <c r="N627" s="6">
        <v>105.05800000000001</v>
      </c>
      <c r="O627" s="6">
        <v>34.669139999999999</v>
      </c>
      <c r="P627" s="6">
        <v>0</v>
      </c>
      <c r="Q627" s="4" t="s">
        <v>26</v>
      </c>
      <c r="R627" s="4">
        <v>0</v>
      </c>
      <c r="S627" s="4" t="s">
        <v>326</v>
      </c>
      <c r="T627" s="4" t="s">
        <v>548</v>
      </c>
      <c r="U627" s="4">
        <v>0</v>
      </c>
      <c r="V627" s="4">
        <v>43</v>
      </c>
      <c r="W627" s="4">
        <v>84</v>
      </c>
    </row>
    <row r="628" spans="1:23" ht="11.25" customHeight="1" x14ac:dyDescent="0.3">
      <c r="A628" s="4" t="s">
        <v>21</v>
      </c>
      <c r="B628" s="4" t="s">
        <v>43</v>
      </c>
      <c r="C628" s="4" t="s">
        <v>23</v>
      </c>
      <c r="D628" s="4" t="s">
        <v>44</v>
      </c>
      <c r="E628" s="4" t="s">
        <v>53</v>
      </c>
      <c r="F628" s="4" t="s">
        <v>55</v>
      </c>
      <c r="G628" s="4" t="s">
        <v>25</v>
      </c>
      <c r="H628" s="4" t="s">
        <v>25</v>
      </c>
      <c r="I628" s="5">
        <v>44713</v>
      </c>
      <c r="J628" s="6">
        <v>0</v>
      </c>
      <c r="K628" s="6">
        <v>0</v>
      </c>
      <c r="L628" s="6">
        <v>106.611</v>
      </c>
      <c r="M628" s="6">
        <v>35.181629999999998</v>
      </c>
      <c r="N628" s="6">
        <v>106.611</v>
      </c>
      <c r="O628" s="6">
        <v>35.181629999999998</v>
      </c>
      <c r="P628" s="6">
        <v>0</v>
      </c>
      <c r="Q628" s="4" t="s">
        <v>26</v>
      </c>
      <c r="R628" s="4">
        <v>0</v>
      </c>
      <c r="S628" s="4" t="s">
        <v>327</v>
      </c>
      <c r="T628" s="4" t="s">
        <v>549</v>
      </c>
      <c r="U628" s="4">
        <v>0</v>
      </c>
      <c r="V628" s="4">
        <v>43</v>
      </c>
      <c r="W628" s="4">
        <v>84</v>
      </c>
    </row>
    <row r="629" spans="1:23" ht="11.25" customHeight="1" x14ac:dyDescent="0.3">
      <c r="A629" s="4" t="s">
        <v>21</v>
      </c>
      <c r="B629" s="4" t="s">
        <v>43</v>
      </c>
      <c r="C629" s="4" t="s">
        <v>23</v>
      </c>
      <c r="D629" s="4" t="s">
        <v>44</v>
      </c>
      <c r="E629" s="4" t="s">
        <v>53</v>
      </c>
      <c r="F629" s="4" t="s">
        <v>55</v>
      </c>
      <c r="G629" s="4" t="s">
        <v>25</v>
      </c>
      <c r="H629" s="4" t="s">
        <v>25</v>
      </c>
      <c r="I629" s="5">
        <v>44743</v>
      </c>
      <c r="J629" s="6">
        <v>0</v>
      </c>
      <c r="K629" s="6">
        <v>0</v>
      </c>
      <c r="L629" s="6">
        <v>115.55500000000001</v>
      </c>
      <c r="M629" s="6">
        <v>38.133150000000001</v>
      </c>
      <c r="N629" s="6">
        <v>115.55500000000001</v>
      </c>
      <c r="O629" s="6">
        <v>38.133150000000001</v>
      </c>
      <c r="P629" s="6">
        <v>0</v>
      </c>
      <c r="Q629" s="4" t="s">
        <v>26</v>
      </c>
      <c r="R629" s="4">
        <v>0</v>
      </c>
      <c r="S629" s="4" t="s">
        <v>328</v>
      </c>
      <c r="T629" s="4" t="s">
        <v>550</v>
      </c>
      <c r="U629" s="4">
        <v>0</v>
      </c>
      <c r="V629" s="4">
        <v>43</v>
      </c>
      <c r="W629" s="4">
        <v>84</v>
      </c>
    </row>
    <row r="630" spans="1:23" ht="11.25" customHeight="1" x14ac:dyDescent="0.3">
      <c r="A630" s="4" t="s">
        <v>21</v>
      </c>
      <c r="B630" s="4" t="s">
        <v>43</v>
      </c>
      <c r="C630" s="4" t="s">
        <v>23</v>
      </c>
      <c r="D630" s="4" t="s">
        <v>44</v>
      </c>
      <c r="E630" s="4" t="s">
        <v>53</v>
      </c>
      <c r="F630" s="4" t="s">
        <v>55</v>
      </c>
      <c r="G630" s="4" t="s">
        <v>25</v>
      </c>
      <c r="H630" s="4" t="s">
        <v>25</v>
      </c>
      <c r="I630" s="5">
        <v>44774</v>
      </c>
      <c r="J630" s="6">
        <v>0</v>
      </c>
      <c r="K630" s="6">
        <v>0</v>
      </c>
      <c r="L630" s="6">
        <v>97.406000000000006</v>
      </c>
      <c r="M630" s="6">
        <v>32.143979999999999</v>
      </c>
      <c r="N630" s="6">
        <v>97.406000000000006</v>
      </c>
      <c r="O630" s="6">
        <v>32.143979999999999</v>
      </c>
      <c r="P630" s="6">
        <v>0</v>
      </c>
      <c r="Q630" s="4" t="s">
        <v>26</v>
      </c>
      <c r="R630" s="4">
        <v>0</v>
      </c>
      <c r="S630" s="4" t="s">
        <v>329</v>
      </c>
      <c r="T630" s="4" t="s">
        <v>551</v>
      </c>
      <c r="U630" s="4">
        <v>0</v>
      </c>
      <c r="V630" s="4">
        <v>43</v>
      </c>
      <c r="W630" s="4">
        <v>84</v>
      </c>
    </row>
    <row r="631" spans="1:23" ht="11.25" customHeight="1" x14ac:dyDescent="0.3">
      <c r="A631" s="4" t="s">
        <v>28</v>
      </c>
      <c r="B631" s="4" t="s">
        <v>43</v>
      </c>
      <c r="C631" s="4" t="s">
        <v>23</v>
      </c>
      <c r="D631" s="4" t="s">
        <v>44</v>
      </c>
      <c r="E631" s="4" t="s">
        <v>53</v>
      </c>
      <c r="F631" s="4" t="s">
        <v>55</v>
      </c>
      <c r="G631" s="4" t="s">
        <v>25</v>
      </c>
      <c r="H631" s="4" t="s">
        <v>25</v>
      </c>
      <c r="I631" s="5">
        <v>44774</v>
      </c>
      <c r="J631" s="6">
        <v>0</v>
      </c>
      <c r="K631" s="6">
        <v>0</v>
      </c>
      <c r="L631" s="6">
        <v>18.099</v>
      </c>
      <c r="M631" s="6">
        <v>5.9726699999999999</v>
      </c>
      <c r="N631" s="6">
        <v>18.099</v>
      </c>
      <c r="O631" s="6">
        <v>5.9726699999999999</v>
      </c>
      <c r="P631" s="6">
        <v>0</v>
      </c>
      <c r="Q631" s="4" t="s">
        <v>26</v>
      </c>
      <c r="R631" s="4">
        <v>0</v>
      </c>
      <c r="S631" s="4" t="s">
        <v>329</v>
      </c>
      <c r="T631" s="4" t="s">
        <v>551</v>
      </c>
      <c r="U631" s="4">
        <v>0</v>
      </c>
      <c r="V631" s="4">
        <v>43</v>
      </c>
      <c r="W631" s="4">
        <v>84</v>
      </c>
    </row>
    <row r="632" spans="1:23" ht="11.25" customHeight="1" x14ac:dyDescent="0.3">
      <c r="A632" s="4" t="s">
        <v>21</v>
      </c>
      <c r="B632" s="4" t="s">
        <v>43</v>
      </c>
      <c r="C632" s="4" t="s">
        <v>23</v>
      </c>
      <c r="D632" s="4" t="s">
        <v>44</v>
      </c>
      <c r="E632" s="4" t="s">
        <v>53</v>
      </c>
      <c r="F632" s="4" t="s">
        <v>55</v>
      </c>
      <c r="G632" s="4" t="s">
        <v>25</v>
      </c>
      <c r="H632" s="4" t="s">
        <v>25</v>
      </c>
      <c r="I632" s="5">
        <v>44805</v>
      </c>
      <c r="J632" s="6">
        <v>0</v>
      </c>
      <c r="K632" s="6">
        <v>0</v>
      </c>
      <c r="L632" s="6">
        <v>116.042</v>
      </c>
      <c r="M632" s="6">
        <v>38.293860000000002</v>
      </c>
      <c r="N632" s="6">
        <v>116.042</v>
      </c>
      <c r="O632" s="6">
        <v>38.293860000000002</v>
      </c>
      <c r="P632" s="6">
        <v>0</v>
      </c>
      <c r="Q632" s="4" t="s">
        <v>26</v>
      </c>
      <c r="R632" s="4">
        <v>0</v>
      </c>
      <c r="S632" s="4" t="s">
        <v>330</v>
      </c>
      <c r="T632" s="4" t="s">
        <v>552</v>
      </c>
      <c r="U632" s="4">
        <v>0</v>
      </c>
      <c r="V632" s="4">
        <v>43</v>
      </c>
      <c r="W632" s="4">
        <v>84</v>
      </c>
    </row>
    <row r="633" spans="1:23" ht="11.25" customHeight="1" x14ac:dyDescent="0.3">
      <c r="A633" s="4" t="s">
        <v>28</v>
      </c>
      <c r="B633" s="4" t="s">
        <v>43</v>
      </c>
      <c r="C633" s="4" t="s">
        <v>23</v>
      </c>
      <c r="D633" s="4" t="s">
        <v>44</v>
      </c>
      <c r="E633" s="4" t="s">
        <v>53</v>
      </c>
      <c r="F633" s="4" t="s">
        <v>55</v>
      </c>
      <c r="G633" s="4" t="s">
        <v>25</v>
      </c>
      <c r="H633" s="4" t="s">
        <v>25</v>
      </c>
      <c r="I633" s="5">
        <v>44805</v>
      </c>
      <c r="J633" s="6">
        <v>0</v>
      </c>
      <c r="K633" s="6">
        <v>0</v>
      </c>
      <c r="L633" s="6">
        <v>16.12</v>
      </c>
      <c r="M633" s="6">
        <v>5.3196000000000003</v>
      </c>
      <c r="N633" s="6">
        <v>16.12</v>
      </c>
      <c r="O633" s="6">
        <v>5.3196000000000003</v>
      </c>
      <c r="P633" s="6">
        <v>0</v>
      </c>
      <c r="Q633" s="4" t="s">
        <v>26</v>
      </c>
      <c r="R633" s="4">
        <v>0</v>
      </c>
      <c r="S633" s="4" t="s">
        <v>330</v>
      </c>
      <c r="T633" s="4" t="s">
        <v>552</v>
      </c>
      <c r="U633" s="4">
        <v>0</v>
      </c>
      <c r="V633" s="4">
        <v>43</v>
      </c>
      <c r="W633" s="4">
        <v>84</v>
      </c>
    </row>
    <row r="634" spans="1:23" ht="11.25" customHeight="1" x14ac:dyDescent="0.3">
      <c r="A634" s="4" t="s">
        <v>57</v>
      </c>
      <c r="B634" s="4" t="s">
        <v>43</v>
      </c>
      <c r="C634" s="4" t="s">
        <v>23</v>
      </c>
      <c r="D634" s="4" t="s">
        <v>44</v>
      </c>
      <c r="E634" s="4" t="s">
        <v>53</v>
      </c>
      <c r="F634" s="4" t="s">
        <v>55</v>
      </c>
      <c r="G634" s="4" t="s">
        <v>25</v>
      </c>
      <c r="H634" s="4" t="s">
        <v>25</v>
      </c>
      <c r="I634" s="5">
        <v>44835</v>
      </c>
      <c r="J634" s="6">
        <v>0</v>
      </c>
      <c r="K634" s="6">
        <v>0</v>
      </c>
      <c r="L634" s="6">
        <v>116.042</v>
      </c>
      <c r="M634" s="6">
        <v>38.293860000000002</v>
      </c>
      <c r="N634" s="6">
        <v>116.042</v>
      </c>
      <c r="O634" s="6">
        <v>38.293860000000002</v>
      </c>
      <c r="P634" s="6">
        <v>0</v>
      </c>
      <c r="Q634" s="4" t="s">
        <v>26</v>
      </c>
      <c r="R634" s="4">
        <v>0</v>
      </c>
      <c r="S634" s="4" t="s">
        <v>331</v>
      </c>
      <c r="T634" s="4" t="s">
        <v>553</v>
      </c>
      <c r="U634" s="4">
        <v>0</v>
      </c>
      <c r="V634" s="4">
        <v>43</v>
      </c>
      <c r="W634" s="4">
        <v>84</v>
      </c>
    </row>
    <row r="635" spans="1:23" ht="11.25" customHeight="1" x14ac:dyDescent="0.3">
      <c r="A635" s="4" t="s">
        <v>57</v>
      </c>
      <c r="B635" s="4" t="s">
        <v>43</v>
      </c>
      <c r="C635" s="4" t="s">
        <v>23</v>
      </c>
      <c r="D635" s="4" t="s">
        <v>44</v>
      </c>
      <c r="E635" s="4" t="s">
        <v>53</v>
      </c>
      <c r="F635" s="4" t="s">
        <v>55</v>
      </c>
      <c r="G635" s="4" t="s">
        <v>25</v>
      </c>
      <c r="H635" s="4" t="s">
        <v>25</v>
      </c>
      <c r="I635" s="5">
        <v>44835</v>
      </c>
      <c r="J635" s="6">
        <v>0</v>
      </c>
      <c r="K635" s="6">
        <v>0</v>
      </c>
      <c r="L635" s="6">
        <v>16.12</v>
      </c>
      <c r="M635" s="6">
        <v>5.3196000000000003</v>
      </c>
      <c r="N635" s="6">
        <v>16.12</v>
      </c>
      <c r="O635" s="6">
        <v>5.3196000000000003</v>
      </c>
      <c r="P635" s="6">
        <v>0</v>
      </c>
      <c r="Q635" s="4" t="s">
        <v>26</v>
      </c>
      <c r="R635" s="4">
        <v>0</v>
      </c>
      <c r="S635" s="4" t="s">
        <v>331</v>
      </c>
      <c r="T635" s="4" t="s">
        <v>553</v>
      </c>
      <c r="U635" s="4">
        <v>0</v>
      </c>
      <c r="V635" s="4">
        <v>43</v>
      </c>
      <c r="W635" s="4">
        <v>84</v>
      </c>
    </row>
    <row r="636" spans="1:23" ht="11.25" customHeight="1" x14ac:dyDescent="0.3">
      <c r="A636" s="4" t="s">
        <v>21</v>
      </c>
      <c r="B636" s="4" t="s">
        <v>43</v>
      </c>
      <c r="C636" s="4" t="s">
        <v>23</v>
      </c>
      <c r="D636" s="4" t="s">
        <v>44</v>
      </c>
      <c r="E636" s="4" t="s">
        <v>56</v>
      </c>
      <c r="F636" s="4" t="s">
        <v>54</v>
      </c>
      <c r="G636" s="4" t="s">
        <v>25</v>
      </c>
      <c r="H636" s="4" t="s">
        <v>25</v>
      </c>
      <c r="I636" s="5">
        <v>44501</v>
      </c>
      <c r="J636" s="6">
        <v>0</v>
      </c>
      <c r="K636" s="6">
        <v>0</v>
      </c>
      <c r="L636" s="6">
        <v>8.7739999999999991</v>
      </c>
      <c r="M636" s="6">
        <v>8.7739999999999991</v>
      </c>
      <c r="N636" s="6">
        <v>8.7739999999999991</v>
      </c>
      <c r="O636" s="6">
        <v>8.7739999999999991</v>
      </c>
      <c r="P636" s="6">
        <v>0</v>
      </c>
      <c r="Q636" s="4" t="s">
        <v>26</v>
      </c>
      <c r="R636" s="4">
        <v>0</v>
      </c>
      <c r="S636" s="4" t="s">
        <v>320</v>
      </c>
      <c r="T636" s="4" t="s">
        <v>542</v>
      </c>
      <c r="U636" s="4">
        <v>0</v>
      </c>
      <c r="V636" s="4">
        <v>43</v>
      </c>
      <c r="W636" s="4">
        <v>84</v>
      </c>
    </row>
    <row r="637" spans="1:23" ht="11.25" customHeight="1" x14ac:dyDescent="0.3">
      <c r="A637" s="4" t="s">
        <v>28</v>
      </c>
      <c r="B637" s="4" t="s">
        <v>43</v>
      </c>
      <c r="C637" s="4" t="s">
        <v>23</v>
      </c>
      <c r="D637" s="4" t="s">
        <v>44</v>
      </c>
      <c r="E637" s="4" t="s">
        <v>56</v>
      </c>
      <c r="F637" s="4" t="s">
        <v>54</v>
      </c>
      <c r="G637" s="4" t="s">
        <v>25</v>
      </c>
      <c r="H637" s="4" t="s">
        <v>25</v>
      </c>
      <c r="I637" s="5">
        <v>44501</v>
      </c>
      <c r="J637" s="6">
        <v>0</v>
      </c>
      <c r="K637" s="6">
        <v>0</v>
      </c>
      <c r="L637" s="6">
        <v>0.38200000000000001</v>
      </c>
      <c r="M637" s="6">
        <v>0.38200000000000001</v>
      </c>
      <c r="N637" s="6">
        <v>0.38200000000000001</v>
      </c>
      <c r="O637" s="6">
        <v>0.38200000000000001</v>
      </c>
      <c r="P637" s="6">
        <v>0</v>
      </c>
      <c r="Q637" s="4" t="s">
        <v>26</v>
      </c>
      <c r="R637" s="4">
        <v>0</v>
      </c>
      <c r="S637" s="4" t="s">
        <v>320</v>
      </c>
      <c r="T637" s="4" t="s">
        <v>542</v>
      </c>
      <c r="U637" s="4">
        <v>0</v>
      </c>
      <c r="V637" s="4">
        <v>43</v>
      </c>
      <c r="W637" s="4">
        <v>84</v>
      </c>
    </row>
    <row r="638" spans="1:23" ht="11.25" customHeight="1" x14ac:dyDescent="0.3">
      <c r="A638" s="4" t="s">
        <v>21</v>
      </c>
      <c r="B638" s="4" t="s">
        <v>43</v>
      </c>
      <c r="C638" s="4" t="s">
        <v>23</v>
      </c>
      <c r="D638" s="4" t="s">
        <v>44</v>
      </c>
      <c r="E638" s="4" t="s">
        <v>56</v>
      </c>
      <c r="F638" s="4" t="s">
        <v>54</v>
      </c>
      <c r="G638" s="4" t="s">
        <v>25</v>
      </c>
      <c r="H638" s="4" t="s">
        <v>25</v>
      </c>
      <c r="I638" s="5">
        <v>44531</v>
      </c>
      <c r="J638" s="6">
        <v>0</v>
      </c>
      <c r="K638" s="6">
        <v>0</v>
      </c>
      <c r="L638" s="6">
        <v>7.7729999999999997</v>
      </c>
      <c r="M638" s="6">
        <v>7.7729999999999997</v>
      </c>
      <c r="N638" s="6">
        <v>7.7729999999999997</v>
      </c>
      <c r="O638" s="6">
        <v>7.7729999999999997</v>
      </c>
      <c r="P638" s="6">
        <v>0</v>
      </c>
      <c r="Q638" s="4" t="s">
        <v>26</v>
      </c>
      <c r="R638" s="4">
        <v>0</v>
      </c>
      <c r="S638" s="4" t="s">
        <v>321</v>
      </c>
      <c r="T638" s="4" t="s">
        <v>543</v>
      </c>
      <c r="U638" s="4">
        <v>0</v>
      </c>
      <c r="V638" s="4">
        <v>43</v>
      </c>
      <c r="W638" s="4">
        <v>84</v>
      </c>
    </row>
    <row r="639" spans="1:23" ht="11.25" customHeight="1" x14ac:dyDescent="0.3">
      <c r="A639" s="4" t="s">
        <v>28</v>
      </c>
      <c r="B639" s="4" t="s">
        <v>43</v>
      </c>
      <c r="C639" s="4" t="s">
        <v>23</v>
      </c>
      <c r="D639" s="4" t="s">
        <v>44</v>
      </c>
      <c r="E639" s="4" t="s">
        <v>56</v>
      </c>
      <c r="F639" s="4" t="s">
        <v>54</v>
      </c>
      <c r="G639" s="4" t="s">
        <v>25</v>
      </c>
      <c r="H639" s="4" t="s">
        <v>25</v>
      </c>
      <c r="I639" s="5">
        <v>44531</v>
      </c>
      <c r="J639" s="6">
        <v>0</v>
      </c>
      <c r="K639" s="6">
        <v>0</v>
      </c>
      <c r="L639" s="6">
        <v>0.65700000000000003</v>
      </c>
      <c r="M639" s="6">
        <v>0.65700000000000003</v>
      </c>
      <c r="N639" s="6">
        <v>0.65700000000000003</v>
      </c>
      <c r="O639" s="6">
        <v>0.65700000000000003</v>
      </c>
      <c r="P639" s="6">
        <v>0</v>
      </c>
      <c r="Q639" s="4" t="s">
        <v>26</v>
      </c>
      <c r="R639" s="4">
        <v>0</v>
      </c>
      <c r="S639" s="4" t="s">
        <v>321</v>
      </c>
      <c r="T639" s="4" t="s">
        <v>543</v>
      </c>
      <c r="U639" s="4">
        <v>0</v>
      </c>
      <c r="V639" s="4">
        <v>43</v>
      </c>
      <c r="W639" s="4">
        <v>84</v>
      </c>
    </row>
    <row r="640" spans="1:23" ht="11.25" customHeight="1" x14ac:dyDescent="0.3">
      <c r="A640" s="4" t="s">
        <v>21</v>
      </c>
      <c r="B640" s="4" t="s">
        <v>43</v>
      </c>
      <c r="C640" s="4" t="s">
        <v>23</v>
      </c>
      <c r="D640" s="4" t="s">
        <v>44</v>
      </c>
      <c r="E640" s="4" t="s">
        <v>56</v>
      </c>
      <c r="F640" s="4" t="s">
        <v>54</v>
      </c>
      <c r="G640" s="4" t="s">
        <v>25</v>
      </c>
      <c r="H640" s="4" t="s">
        <v>25</v>
      </c>
      <c r="I640" s="5">
        <v>44562</v>
      </c>
      <c r="J640" s="6">
        <v>0</v>
      </c>
      <c r="K640" s="6">
        <v>0</v>
      </c>
      <c r="L640" s="6">
        <v>8.7479999999999993</v>
      </c>
      <c r="M640" s="6">
        <v>8.7479999999999993</v>
      </c>
      <c r="N640" s="6">
        <v>8.7479999999999993</v>
      </c>
      <c r="O640" s="6">
        <v>8.7479999999999993</v>
      </c>
      <c r="P640" s="6">
        <v>0</v>
      </c>
      <c r="Q640" s="4" t="s">
        <v>26</v>
      </c>
      <c r="R640" s="4">
        <v>0</v>
      </c>
      <c r="S640" s="4" t="s">
        <v>322</v>
      </c>
      <c r="T640" s="4" t="s">
        <v>544</v>
      </c>
      <c r="U640" s="4">
        <v>0</v>
      </c>
      <c r="V640" s="4">
        <v>43</v>
      </c>
      <c r="W640" s="4">
        <v>84</v>
      </c>
    </row>
    <row r="641" spans="1:23" ht="11.25" customHeight="1" x14ac:dyDescent="0.3">
      <c r="A641" s="4" t="s">
        <v>28</v>
      </c>
      <c r="B641" s="4" t="s">
        <v>43</v>
      </c>
      <c r="C641" s="4" t="s">
        <v>23</v>
      </c>
      <c r="D641" s="4" t="s">
        <v>44</v>
      </c>
      <c r="E641" s="4" t="s">
        <v>56</v>
      </c>
      <c r="F641" s="4" t="s">
        <v>54</v>
      </c>
      <c r="G641" s="4" t="s">
        <v>25</v>
      </c>
      <c r="H641" s="4" t="s">
        <v>25</v>
      </c>
      <c r="I641" s="5">
        <v>44562</v>
      </c>
      <c r="J641" s="6">
        <v>0</v>
      </c>
      <c r="K641" s="6">
        <v>0</v>
      </c>
      <c r="L641" s="6">
        <v>0.95899999999999996</v>
      </c>
      <c r="M641" s="6">
        <v>0.95899999999999996</v>
      </c>
      <c r="N641" s="6">
        <v>0.95899999999999996</v>
      </c>
      <c r="O641" s="6">
        <v>0.95899999999999996</v>
      </c>
      <c r="P641" s="6">
        <v>0</v>
      </c>
      <c r="Q641" s="4" t="s">
        <v>26</v>
      </c>
      <c r="R641" s="4">
        <v>0</v>
      </c>
      <c r="S641" s="4" t="s">
        <v>322</v>
      </c>
      <c r="T641" s="4" t="s">
        <v>544</v>
      </c>
      <c r="U641" s="4">
        <v>0</v>
      </c>
      <c r="V641" s="4">
        <v>43</v>
      </c>
      <c r="W641" s="4">
        <v>84</v>
      </c>
    </row>
    <row r="642" spans="1:23" ht="11.25" customHeight="1" x14ac:dyDescent="0.3">
      <c r="A642" s="4" t="s">
        <v>21</v>
      </c>
      <c r="B642" s="4" t="s">
        <v>43</v>
      </c>
      <c r="C642" s="4" t="s">
        <v>23</v>
      </c>
      <c r="D642" s="4" t="s">
        <v>44</v>
      </c>
      <c r="E642" s="4" t="s">
        <v>56</v>
      </c>
      <c r="F642" s="4" t="s">
        <v>54</v>
      </c>
      <c r="G642" s="4" t="s">
        <v>25</v>
      </c>
      <c r="H642" s="4" t="s">
        <v>25</v>
      </c>
      <c r="I642" s="5">
        <v>44593</v>
      </c>
      <c r="J642" s="6">
        <v>0</v>
      </c>
      <c r="K642" s="6">
        <v>0</v>
      </c>
      <c r="L642" s="6">
        <v>9.0630000000000006</v>
      </c>
      <c r="M642" s="6">
        <v>9.0630000000000006</v>
      </c>
      <c r="N642" s="6">
        <v>9.0630000000000006</v>
      </c>
      <c r="O642" s="6">
        <v>9.0630000000000006</v>
      </c>
      <c r="P642" s="6">
        <v>0</v>
      </c>
      <c r="Q642" s="4" t="s">
        <v>26</v>
      </c>
      <c r="R642" s="4">
        <v>0</v>
      </c>
      <c r="S642" s="4" t="s">
        <v>323</v>
      </c>
      <c r="T642" s="4" t="s">
        <v>545</v>
      </c>
      <c r="U642" s="4">
        <v>0</v>
      </c>
      <c r="V642" s="4">
        <v>43</v>
      </c>
      <c r="W642" s="4">
        <v>84</v>
      </c>
    </row>
    <row r="643" spans="1:23" ht="11.25" customHeight="1" x14ac:dyDescent="0.3">
      <c r="A643" s="4" t="s">
        <v>28</v>
      </c>
      <c r="B643" s="4" t="s">
        <v>43</v>
      </c>
      <c r="C643" s="4" t="s">
        <v>23</v>
      </c>
      <c r="D643" s="4" t="s">
        <v>44</v>
      </c>
      <c r="E643" s="4" t="s">
        <v>56</v>
      </c>
      <c r="F643" s="4" t="s">
        <v>54</v>
      </c>
      <c r="G643" s="4" t="s">
        <v>25</v>
      </c>
      <c r="H643" s="4" t="s">
        <v>25</v>
      </c>
      <c r="I643" s="5">
        <v>44593</v>
      </c>
      <c r="J643" s="6">
        <v>0</v>
      </c>
      <c r="K643" s="6">
        <v>0</v>
      </c>
      <c r="L643" s="6">
        <v>0.318</v>
      </c>
      <c r="M643" s="6">
        <v>0.318</v>
      </c>
      <c r="N643" s="6">
        <v>0.318</v>
      </c>
      <c r="O643" s="6">
        <v>0.318</v>
      </c>
      <c r="P643" s="6">
        <v>0</v>
      </c>
      <c r="Q643" s="4" t="s">
        <v>26</v>
      </c>
      <c r="R643" s="4">
        <v>0</v>
      </c>
      <c r="S643" s="4" t="s">
        <v>323</v>
      </c>
      <c r="T643" s="4" t="s">
        <v>545</v>
      </c>
      <c r="U643" s="4">
        <v>0</v>
      </c>
      <c r="V643" s="4">
        <v>43</v>
      </c>
      <c r="W643" s="4">
        <v>84</v>
      </c>
    </row>
    <row r="644" spans="1:23" ht="11.25" customHeight="1" x14ac:dyDescent="0.3">
      <c r="A644" s="4" t="s">
        <v>21</v>
      </c>
      <c r="B644" s="4" t="s">
        <v>43</v>
      </c>
      <c r="C644" s="4" t="s">
        <v>23</v>
      </c>
      <c r="D644" s="4" t="s">
        <v>44</v>
      </c>
      <c r="E644" s="4" t="s">
        <v>56</v>
      </c>
      <c r="F644" s="4" t="s">
        <v>54</v>
      </c>
      <c r="G644" s="4" t="s">
        <v>25</v>
      </c>
      <c r="H644" s="4" t="s">
        <v>25</v>
      </c>
      <c r="I644" s="5">
        <v>44621</v>
      </c>
      <c r="J644" s="6">
        <v>0</v>
      </c>
      <c r="K644" s="6">
        <v>0</v>
      </c>
      <c r="L644" s="6">
        <v>8.8219999999999992</v>
      </c>
      <c r="M644" s="6">
        <v>8.8219999999999992</v>
      </c>
      <c r="N644" s="6">
        <v>8.8219999999999992</v>
      </c>
      <c r="O644" s="6">
        <v>8.8219999999999992</v>
      </c>
      <c r="P644" s="6">
        <v>0</v>
      </c>
      <c r="Q644" s="4" t="s">
        <v>26</v>
      </c>
      <c r="R644" s="4">
        <v>0</v>
      </c>
      <c r="S644" s="4" t="s">
        <v>324</v>
      </c>
      <c r="T644" s="4" t="s">
        <v>546</v>
      </c>
      <c r="U644" s="4">
        <v>0</v>
      </c>
      <c r="V644" s="4">
        <v>43</v>
      </c>
      <c r="W644" s="4">
        <v>84</v>
      </c>
    </row>
    <row r="645" spans="1:23" ht="11.25" customHeight="1" x14ac:dyDescent="0.3">
      <c r="A645" s="4" t="s">
        <v>28</v>
      </c>
      <c r="B645" s="4" t="s">
        <v>43</v>
      </c>
      <c r="C645" s="4" t="s">
        <v>23</v>
      </c>
      <c r="D645" s="4" t="s">
        <v>44</v>
      </c>
      <c r="E645" s="4" t="s">
        <v>56</v>
      </c>
      <c r="F645" s="4" t="s">
        <v>54</v>
      </c>
      <c r="G645" s="4" t="s">
        <v>25</v>
      </c>
      <c r="H645" s="4" t="s">
        <v>25</v>
      </c>
      <c r="I645" s="5">
        <v>44621</v>
      </c>
      <c r="J645" s="6">
        <v>0</v>
      </c>
      <c r="K645" s="6">
        <v>0</v>
      </c>
      <c r="L645" s="6">
        <v>0.71099999999999997</v>
      </c>
      <c r="M645" s="6">
        <v>0.71099999999999997</v>
      </c>
      <c r="N645" s="6">
        <v>0.71099999999999997</v>
      </c>
      <c r="O645" s="6">
        <v>0.71099999999999997</v>
      </c>
      <c r="P645" s="6">
        <v>0</v>
      </c>
      <c r="Q645" s="4" t="s">
        <v>26</v>
      </c>
      <c r="R645" s="4">
        <v>0</v>
      </c>
      <c r="S645" s="4" t="s">
        <v>324</v>
      </c>
      <c r="T645" s="4" t="s">
        <v>546</v>
      </c>
      <c r="U645" s="4">
        <v>0</v>
      </c>
      <c r="V645" s="4">
        <v>43</v>
      </c>
      <c r="W645" s="4">
        <v>84</v>
      </c>
    </row>
    <row r="646" spans="1:23" ht="11.25" customHeight="1" x14ac:dyDescent="0.3">
      <c r="A646" s="4" t="s">
        <v>21</v>
      </c>
      <c r="B646" s="4" t="s">
        <v>43</v>
      </c>
      <c r="C646" s="4" t="s">
        <v>23</v>
      </c>
      <c r="D646" s="4" t="s">
        <v>44</v>
      </c>
      <c r="E646" s="4" t="s">
        <v>56</v>
      </c>
      <c r="F646" s="4" t="s">
        <v>54</v>
      </c>
      <c r="G646" s="4" t="s">
        <v>25</v>
      </c>
      <c r="H646" s="4" t="s">
        <v>25</v>
      </c>
      <c r="I646" s="5">
        <v>44652</v>
      </c>
      <c r="J646" s="6">
        <v>0</v>
      </c>
      <c r="K646" s="6">
        <v>0</v>
      </c>
      <c r="L646" s="6">
        <v>17.407</v>
      </c>
      <c r="M646" s="6">
        <v>17.407</v>
      </c>
      <c r="N646" s="6">
        <v>17.407</v>
      </c>
      <c r="O646" s="6">
        <v>17.407</v>
      </c>
      <c r="P646" s="6">
        <v>0</v>
      </c>
      <c r="Q646" s="4" t="s">
        <v>26</v>
      </c>
      <c r="R646" s="4">
        <v>0</v>
      </c>
      <c r="S646" s="4" t="s">
        <v>325</v>
      </c>
      <c r="T646" s="4" t="s">
        <v>547</v>
      </c>
      <c r="U646" s="4">
        <v>0</v>
      </c>
      <c r="V646" s="4">
        <v>43</v>
      </c>
      <c r="W646" s="4">
        <v>84</v>
      </c>
    </row>
    <row r="647" spans="1:23" ht="11.25" customHeight="1" x14ac:dyDescent="0.3">
      <c r="A647" s="4" t="s">
        <v>28</v>
      </c>
      <c r="B647" s="4" t="s">
        <v>43</v>
      </c>
      <c r="C647" s="4" t="s">
        <v>23</v>
      </c>
      <c r="D647" s="4" t="s">
        <v>44</v>
      </c>
      <c r="E647" s="4" t="s">
        <v>56</v>
      </c>
      <c r="F647" s="4" t="s">
        <v>54</v>
      </c>
      <c r="G647" s="4" t="s">
        <v>25</v>
      </c>
      <c r="H647" s="4" t="s">
        <v>25</v>
      </c>
      <c r="I647" s="5">
        <v>44652</v>
      </c>
      <c r="J647" s="6">
        <v>0</v>
      </c>
      <c r="K647" s="6">
        <v>0</v>
      </c>
      <c r="L647" s="6">
        <v>0.83199999999999996</v>
      </c>
      <c r="M647" s="6">
        <v>0.83199999999999996</v>
      </c>
      <c r="N647" s="6">
        <v>0.83199999999999996</v>
      </c>
      <c r="O647" s="6">
        <v>0.83199999999999996</v>
      </c>
      <c r="P647" s="6">
        <v>0</v>
      </c>
      <c r="Q647" s="4" t="s">
        <v>26</v>
      </c>
      <c r="R647" s="4">
        <v>0</v>
      </c>
      <c r="S647" s="4" t="s">
        <v>325</v>
      </c>
      <c r="T647" s="4" t="s">
        <v>547</v>
      </c>
      <c r="U647" s="4">
        <v>0</v>
      </c>
      <c r="V647" s="4">
        <v>43</v>
      </c>
      <c r="W647" s="4">
        <v>84</v>
      </c>
    </row>
    <row r="648" spans="1:23" ht="11.25" customHeight="1" x14ac:dyDescent="0.3">
      <c r="A648" s="4" t="s">
        <v>21</v>
      </c>
      <c r="B648" s="4" t="s">
        <v>43</v>
      </c>
      <c r="C648" s="4" t="s">
        <v>23</v>
      </c>
      <c r="D648" s="4" t="s">
        <v>44</v>
      </c>
      <c r="E648" s="4" t="s">
        <v>56</v>
      </c>
      <c r="F648" s="4" t="s">
        <v>54</v>
      </c>
      <c r="G648" s="4" t="s">
        <v>25</v>
      </c>
      <c r="H648" s="4" t="s">
        <v>25</v>
      </c>
      <c r="I648" s="5">
        <v>44682</v>
      </c>
      <c r="J648" s="6">
        <v>0</v>
      </c>
      <c r="K648" s="6">
        <v>0</v>
      </c>
      <c r="L648" s="6">
        <v>9.9469999999999992</v>
      </c>
      <c r="M648" s="6">
        <v>9.9469999999999992</v>
      </c>
      <c r="N648" s="6">
        <v>9.9469999999999992</v>
      </c>
      <c r="O648" s="6">
        <v>9.9469999999999992</v>
      </c>
      <c r="P648" s="6">
        <v>0</v>
      </c>
      <c r="Q648" s="4" t="s">
        <v>26</v>
      </c>
      <c r="R648" s="4">
        <v>0</v>
      </c>
      <c r="S648" s="4" t="s">
        <v>326</v>
      </c>
      <c r="T648" s="4" t="s">
        <v>548</v>
      </c>
      <c r="U648" s="4">
        <v>0</v>
      </c>
      <c r="V648" s="4">
        <v>43</v>
      </c>
      <c r="W648" s="4">
        <v>84</v>
      </c>
    </row>
    <row r="649" spans="1:23" ht="11.25" customHeight="1" x14ac:dyDescent="0.3">
      <c r="A649" s="4" t="s">
        <v>28</v>
      </c>
      <c r="B649" s="4" t="s">
        <v>43</v>
      </c>
      <c r="C649" s="4" t="s">
        <v>23</v>
      </c>
      <c r="D649" s="4" t="s">
        <v>44</v>
      </c>
      <c r="E649" s="4" t="s">
        <v>56</v>
      </c>
      <c r="F649" s="4" t="s">
        <v>54</v>
      </c>
      <c r="G649" s="4" t="s">
        <v>25</v>
      </c>
      <c r="H649" s="4" t="s">
        <v>25</v>
      </c>
      <c r="I649" s="5">
        <v>44682</v>
      </c>
      <c r="J649" s="6">
        <v>0</v>
      </c>
      <c r="K649" s="6">
        <v>0</v>
      </c>
      <c r="L649" s="6">
        <v>4.1079999999999997</v>
      </c>
      <c r="M649" s="6">
        <v>4.1079999999999997</v>
      </c>
      <c r="N649" s="6">
        <v>4.1079999999999997</v>
      </c>
      <c r="O649" s="6">
        <v>4.1079999999999997</v>
      </c>
      <c r="P649" s="6">
        <v>0</v>
      </c>
      <c r="Q649" s="4" t="s">
        <v>26</v>
      </c>
      <c r="R649" s="4">
        <v>0</v>
      </c>
      <c r="S649" s="4" t="s">
        <v>326</v>
      </c>
      <c r="T649" s="4" t="s">
        <v>548</v>
      </c>
      <c r="U649" s="4">
        <v>0</v>
      </c>
      <c r="V649" s="4">
        <v>43</v>
      </c>
      <c r="W649" s="4">
        <v>84</v>
      </c>
    </row>
    <row r="650" spans="1:23" ht="11.25" customHeight="1" x14ac:dyDescent="0.3">
      <c r="A650" s="4" t="s">
        <v>21</v>
      </c>
      <c r="B650" s="4" t="s">
        <v>43</v>
      </c>
      <c r="C650" s="4" t="s">
        <v>23</v>
      </c>
      <c r="D650" s="4" t="s">
        <v>44</v>
      </c>
      <c r="E650" s="4" t="s">
        <v>56</v>
      </c>
      <c r="F650" s="4" t="s">
        <v>54</v>
      </c>
      <c r="G650" s="4" t="s">
        <v>25</v>
      </c>
      <c r="H650" s="4" t="s">
        <v>25</v>
      </c>
      <c r="I650" s="5">
        <v>44713</v>
      </c>
      <c r="J650" s="6">
        <v>0</v>
      </c>
      <c r="K650" s="6">
        <v>0</v>
      </c>
      <c r="L650" s="6">
        <v>9.6579999999999995</v>
      </c>
      <c r="M650" s="6">
        <v>9.6579999999999995</v>
      </c>
      <c r="N650" s="6">
        <v>9.6579999999999995</v>
      </c>
      <c r="O650" s="6">
        <v>9.6579999999999995</v>
      </c>
      <c r="P650" s="6">
        <v>0</v>
      </c>
      <c r="Q650" s="4" t="s">
        <v>26</v>
      </c>
      <c r="R650" s="4">
        <v>0</v>
      </c>
      <c r="S650" s="4" t="s">
        <v>327</v>
      </c>
      <c r="T650" s="4" t="s">
        <v>549</v>
      </c>
      <c r="U650" s="4">
        <v>0</v>
      </c>
      <c r="V650" s="4">
        <v>43</v>
      </c>
      <c r="W650" s="4">
        <v>84</v>
      </c>
    </row>
    <row r="651" spans="1:23" ht="11.25" customHeight="1" x14ac:dyDescent="0.3">
      <c r="A651" s="4" t="s">
        <v>28</v>
      </c>
      <c r="B651" s="4" t="s">
        <v>43</v>
      </c>
      <c r="C651" s="4" t="s">
        <v>23</v>
      </c>
      <c r="D651" s="4" t="s">
        <v>44</v>
      </c>
      <c r="E651" s="4" t="s">
        <v>56</v>
      </c>
      <c r="F651" s="4" t="s">
        <v>54</v>
      </c>
      <c r="G651" s="4" t="s">
        <v>25</v>
      </c>
      <c r="H651" s="4" t="s">
        <v>25</v>
      </c>
      <c r="I651" s="5">
        <v>44713</v>
      </c>
      <c r="J651" s="6">
        <v>0</v>
      </c>
      <c r="K651" s="6">
        <v>0</v>
      </c>
      <c r="L651" s="6">
        <v>1.2729999999999999</v>
      </c>
      <c r="M651" s="6">
        <v>1.2729999999999999</v>
      </c>
      <c r="N651" s="6">
        <v>1.2729999999999999</v>
      </c>
      <c r="O651" s="6">
        <v>1.2729999999999999</v>
      </c>
      <c r="P651" s="6">
        <v>0</v>
      </c>
      <c r="Q651" s="4" t="s">
        <v>26</v>
      </c>
      <c r="R651" s="4">
        <v>0</v>
      </c>
      <c r="S651" s="4" t="s">
        <v>327</v>
      </c>
      <c r="T651" s="4" t="s">
        <v>549</v>
      </c>
      <c r="U651" s="4">
        <v>0</v>
      </c>
      <c r="V651" s="4">
        <v>43</v>
      </c>
      <c r="W651" s="4">
        <v>84</v>
      </c>
    </row>
    <row r="652" spans="1:23" ht="11.25" customHeight="1" x14ac:dyDescent="0.3">
      <c r="A652" s="4" t="s">
        <v>21</v>
      </c>
      <c r="B652" s="4" t="s">
        <v>43</v>
      </c>
      <c r="C652" s="4" t="s">
        <v>23</v>
      </c>
      <c r="D652" s="4" t="s">
        <v>44</v>
      </c>
      <c r="E652" s="4" t="s">
        <v>56</v>
      </c>
      <c r="F652" s="4" t="s">
        <v>54</v>
      </c>
      <c r="G652" s="4" t="s">
        <v>25</v>
      </c>
      <c r="H652" s="4" t="s">
        <v>25</v>
      </c>
      <c r="I652" s="5">
        <v>44743</v>
      </c>
      <c r="J652" s="6">
        <v>0</v>
      </c>
      <c r="K652" s="6">
        <v>0</v>
      </c>
      <c r="L652" s="6">
        <v>12.952</v>
      </c>
      <c r="M652" s="6">
        <v>12.952</v>
      </c>
      <c r="N652" s="6">
        <v>12.952</v>
      </c>
      <c r="O652" s="6">
        <v>12.952</v>
      </c>
      <c r="P652" s="6">
        <v>0</v>
      </c>
      <c r="Q652" s="4" t="s">
        <v>26</v>
      </c>
      <c r="R652" s="4">
        <v>0</v>
      </c>
      <c r="S652" s="4" t="s">
        <v>328</v>
      </c>
      <c r="T652" s="4" t="s">
        <v>550</v>
      </c>
      <c r="U652" s="4">
        <v>0</v>
      </c>
      <c r="V652" s="4">
        <v>43</v>
      </c>
      <c r="W652" s="4">
        <v>84</v>
      </c>
    </row>
    <row r="653" spans="1:23" ht="11.25" customHeight="1" x14ac:dyDescent="0.3">
      <c r="A653" s="4" t="s">
        <v>28</v>
      </c>
      <c r="B653" s="4" t="s">
        <v>43</v>
      </c>
      <c r="C653" s="4" t="s">
        <v>23</v>
      </c>
      <c r="D653" s="4" t="s">
        <v>44</v>
      </c>
      <c r="E653" s="4" t="s">
        <v>56</v>
      </c>
      <c r="F653" s="4" t="s">
        <v>54</v>
      </c>
      <c r="G653" s="4" t="s">
        <v>25</v>
      </c>
      <c r="H653" s="4" t="s">
        <v>25</v>
      </c>
      <c r="I653" s="5">
        <v>44743</v>
      </c>
      <c r="J653" s="6">
        <v>0</v>
      </c>
      <c r="K653" s="6">
        <v>0</v>
      </c>
      <c r="L653" s="6">
        <v>0.16300000000000001</v>
      </c>
      <c r="M653" s="6">
        <v>0.16300000000000001</v>
      </c>
      <c r="N653" s="6">
        <v>0.16300000000000001</v>
      </c>
      <c r="O653" s="6">
        <v>0.16300000000000001</v>
      </c>
      <c r="P653" s="6">
        <v>0</v>
      </c>
      <c r="Q653" s="4" t="s">
        <v>26</v>
      </c>
      <c r="R653" s="4">
        <v>0</v>
      </c>
      <c r="S653" s="4" t="s">
        <v>328</v>
      </c>
      <c r="T653" s="4" t="s">
        <v>550</v>
      </c>
      <c r="U653" s="4">
        <v>0</v>
      </c>
      <c r="V653" s="4">
        <v>43</v>
      </c>
      <c r="W653" s="4">
        <v>84</v>
      </c>
    </row>
    <row r="654" spans="1:23" ht="11.25" customHeight="1" x14ac:dyDescent="0.3">
      <c r="A654" s="4" t="s">
        <v>21</v>
      </c>
      <c r="B654" s="4" t="s">
        <v>43</v>
      </c>
      <c r="C654" s="4" t="s">
        <v>23</v>
      </c>
      <c r="D654" s="4" t="s">
        <v>44</v>
      </c>
      <c r="E654" s="4" t="s">
        <v>56</v>
      </c>
      <c r="F654" s="4" t="s">
        <v>54</v>
      </c>
      <c r="G654" s="4" t="s">
        <v>25</v>
      </c>
      <c r="H654" s="4" t="s">
        <v>25</v>
      </c>
      <c r="I654" s="5">
        <v>44774</v>
      </c>
      <c r="J654" s="6">
        <v>0</v>
      </c>
      <c r="K654" s="6">
        <v>0</v>
      </c>
      <c r="L654" s="6">
        <v>8.8119999999999994</v>
      </c>
      <c r="M654" s="6">
        <v>8.8119999999999994</v>
      </c>
      <c r="N654" s="6">
        <v>8.8119999999999994</v>
      </c>
      <c r="O654" s="6">
        <v>8.8119999999999994</v>
      </c>
      <c r="P654" s="6">
        <v>0</v>
      </c>
      <c r="Q654" s="4" t="s">
        <v>26</v>
      </c>
      <c r="R654" s="4">
        <v>0</v>
      </c>
      <c r="S654" s="4" t="s">
        <v>329</v>
      </c>
      <c r="T654" s="4" t="s">
        <v>551</v>
      </c>
      <c r="U654" s="4">
        <v>0</v>
      </c>
      <c r="V654" s="4">
        <v>43</v>
      </c>
      <c r="W654" s="4">
        <v>84</v>
      </c>
    </row>
    <row r="655" spans="1:23" ht="11.25" customHeight="1" x14ac:dyDescent="0.3">
      <c r="A655" s="4" t="s">
        <v>28</v>
      </c>
      <c r="B655" s="4" t="s">
        <v>43</v>
      </c>
      <c r="C655" s="4" t="s">
        <v>23</v>
      </c>
      <c r="D655" s="4" t="s">
        <v>44</v>
      </c>
      <c r="E655" s="4" t="s">
        <v>56</v>
      </c>
      <c r="F655" s="4" t="s">
        <v>54</v>
      </c>
      <c r="G655" s="4" t="s">
        <v>25</v>
      </c>
      <c r="H655" s="4" t="s">
        <v>25</v>
      </c>
      <c r="I655" s="5">
        <v>44774</v>
      </c>
      <c r="J655" s="6">
        <v>0</v>
      </c>
      <c r="K655" s="6">
        <v>0</v>
      </c>
      <c r="L655" s="6">
        <v>2.0569999999999999</v>
      </c>
      <c r="M655" s="6">
        <v>2.0569999999999999</v>
      </c>
      <c r="N655" s="6">
        <v>2.0569999999999999</v>
      </c>
      <c r="O655" s="6">
        <v>2.0569999999999999</v>
      </c>
      <c r="P655" s="6">
        <v>0</v>
      </c>
      <c r="Q655" s="4" t="s">
        <v>26</v>
      </c>
      <c r="R655" s="4">
        <v>0</v>
      </c>
      <c r="S655" s="4" t="s">
        <v>329</v>
      </c>
      <c r="T655" s="4" t="s">
        <v>551</v>
      </c>
      <c r="U655" s="4">
        <v>0</v>
      </c>
      <c r="V655" s="4">
        <v>43</v>
      </c>
      <c r="W655" s="4">
        <v>84</v>
      </c>
    </row>
    <row r="656" spans="1:23" ht="11.25" customHeight="1" x14ac:dyDescent="0.3">
      <c r="A656" s="4" t="s">
        <v>21</v>
      </c>
      <c r="B656" s="4" t="s">
        <v>43</v>
      </c>
      <c r="C656" s="4" t="s">
        <v>23</v>
      </c>
      <c r="D656" s="4" t="s">
        <v>44</v>
      </c>
      <c r="E656" s="4" t="s">
        <v>56</v>
      </c>
      <c r="F656" s="4" t="s">
        <v>54</v>
      </c>
      <c r="G656" s="4" t="s">
        <v>25</v>
      </c>
      <c r="H656" s="4" t="s">
        <v>25</v>
      </c>
      <c r="I656" s="5">
        <v>44805</v>
      </c>
      <c r="J656" s="6">
        <v>0</v>
      </c>
      <c r="K656" s="6">
        <v>0</v>
      </c>
      <c r="L656" s="6">
        <v>10.707000000000001</v>
      </c>
      <c r="M656" s="6">
        <v>10.707000000000001</v>
      </c>
      <c r="N656" s="6">
        <v>10.707000000000001</v>
      </c>
      <c r="O656" s="6">
        <v>10.707000000000001</v>
      </c>
      <c r="P656" s="6">
        <v>0</v>
      </c>
      <c r="Q656" s="4" t="s">
        <v>26</v>
      </c>
      <c r="R656" s="4">
        <v>0</v>
      </c>
      <c r="S656" s="4" t="s">
        <v>330</v>
      </c>
      <c r="T656" s="4" t="s">
        <v>552</v>
      </c>
      <c r="U656" s="4">
        <v>0</v>
      </c>
      <c r="V656" s="4">
        <v>43</v>
      </c>
      <c r="W656" s="4">
        <v>84</v>
      </c>
    </row>
    <row r="657" spans="1:23" ht="11.25" customHeight="1" x14ac:dyDescent="0.3">
      <c r="A657" s="4" t="s">
        <v>28</v>
      </c>
      <c r="B657" s="4" t="s">
        <v>43</v>
      </c>
      <c r="C657" s="4" t="s">
        <v>23</v>
      </c>
      <c r="D657" s="4" t="s">
        <v>44</v>
      </c>
      <c r="E657" s="4" t="s">
        <v>56</v>
      </c>
      <c r="F657" s="4" t="s">
        <v>54</v>
      </c>
      <c r="G657" s="4" t="s">
        <v>25</v>
      </c>
      <c r="H657" s="4" t="s">
        <v>25</v>
      </c>
      <c r="I657" s="5">
        <v>44805</v>
      </c>
      <c r="J657" s="6">
        <v>0</v>
      </c>
      <c r="K657" s="6">
        <v>0</v>
      </c>
      <c r="L657" s="6">
        <v>6.9749999999999996</v>
      </c>
      <c r="M657" s="6">
        <v>6.9749999999999996</v>
      </c>
      <c r="N657" s="6">
        <v>6.9749999999999996</v>
      </c>
      <c r="O657" s="6">
        <v>6.9749999999999996</v>
      </c>
      <c r="P657" s="6">
        <v>0</v>
      </c>
      <c r="Q657" s="4" t="s">
        <v>26</v>
      </c>
      <c r="R657" s="4">
        <v>0</v>
      </c>
      <c r="S657" s="4" t="s">
        <v>330</v>
      </c>
      <c r="T657" s="4" t="s">
        <v>552</v>
      </c>
      <c r="U657" s="4">
        <v>0</v>
      </c>
      <c r="V657" s="4">
        <v>43</v>
      </c>
      <c r="W657" s="4">
        <v>84</v>
      </c>
    </row>
    <row r="658" spans="1:23" ht="11.25" customHeight="1" x14ac:dyDescent="0.3">
      <c r="A658" s="4" t="s">
        <v>57</v>
      </c>
      <c r="B658" s="4" t="s">
        <v>43</v>
      </c>
      <c r="C658" s="4" t="s">
        <v>23</v>
      </c>
      <c r="D658" s="4" t="s">
        <v>44</v>
      </c>
      <c r="E658" s="4" t="s">
        <v>56</v>
      </c>
      <c r="F658" s="4" t="s">
        <v>54</v>
      </c>
      <c r="G658" s="4" t="s">
        <v>25</v>
      </c>
      <c r="H658" s="4" t="s">
        <v>25</v>
      </c>
      <c r="I658" s="5">
        <v>44835</v>
      </c>
      <c r="J658" s="6">
        <v>0</v>
      </c>
      <c r="K658" s="6">
        <v>0</v>
      </c>
      <c r="L658" s="6">
        <v>10.707000000000001</v>
      </c>
      <c r="M658" s="6">
        <v>10.707000000000001</v>
      </c>
      <c r="N658" s="6">
        <v>10.707000000000001</v>
      </c>
      <c r="O658" s="6">
        <v>10.707000000000001</v>
      </c>
      <c r="P658" s="6">
        <v>0</v>
      </c>
      <c r="Q658" s="4" t="s">
        <v>26</v>
      </c>
      <c r="R658" s="4">
        <v>0</v>
      </c>
      <c r="S658" s="4" t="s">
        <v>331</v>
      </c>
      <c r="T658" s="4" t="s">
        <v>553</v>
      </c>
      <c r="U658" s="4">
        <v>0</v>
      </c>
      <c r="V658" s="4">
        <v>43</v>
      </c>
      <c r="W658" s="4">
        <v>84</v>
      </c>
    </row>
    <row r="659" spans="1:23" ht="11.25" customHeight="1" x14ac:dyDescent="0.3">
      <c r="A659" s="4" t="s">
        <v>57</v>
      </c>
      <c r="B659" s="4" t="s">
        <v>43</v>
      </c>
      <c r="C659" s="4" t="s">
        <v>23</v>
      </c>
      <c r="D659" s="4" t="s">
        <v>44</v>
      </c>
      <c r="E659" s="4" t="s">
        <v>56</v>
      </c>
      <c r="F659" s="4" t="s">
        <v>54</v>
      </c>
      <c r="G659" s="4" t="s">
        <v>25</v>
      </c>
      <c r="H659" s="4" t="s">
        <v>25</v>
      </c>
      <c r="I659" s="5">
        <v>44835</v>
      </c>
      <c r="J659" s="6">
        <v>0</v>
      </c>
      <c r="K659" s="6">
        <v>0</v>
      </c>
      <c r="L659" s="6">
        <v>6.9749999999999996</v>
      </c>
      <c r="M659" s="6">
        <v>6.9749999999999996</v>
      </c>
      <c r="N659" s="6">
        <v>6.9749999999999996</v>
      </c>
      <c r="O659" s="6">
        <v>6.9749999999999996</v>
      </c>
      <c r="P659" s="6">
        <v>0</v>
      </c>
      <c r="Q659" s="4" t="s">
        <v>26</v>
      </c>
      <c r="R659" s="4">
        <v>0</v>
      </c>
      <c r="S659" s="4" t="s">
        <v>331</v>
      </c>
      <c r="T659" s="4" t="s">
        <v>553</v>
      </c>
      <c r="U659" s="4">
        <v>0</v>
      </c>
      <c r="V659" s="4">
        <v>43</v>
      </c>
      <c r="W659" s="4">
        <v>84</v>
      </c>
    </row>
    <row r="660" spans="1:23" ht="11.25" customHeight="1" x14ac:dyDescent="0.3">
      <c r="A660" s="4" t="s">
        <v>21</v>
      </c>
      <c r="B660" s="4" t="s">
        <v>43</v>
      </c>
      <c r="C660" s="4" t="s">
        <v>23</v>
      </c>
      <c r="D660" s="4" t="s">
        <v>44</v>
      </c>
      <c r="E660" s="4" t="s">
        <v>56</v>
      </c>
      <c r="F660" s="4" t="s">
        <v>55</v>
      </c>
      <c r="G660" s="4" t="s">
        <v>25</v>
      </c>
      <c r="H660" s="4" t="s">
        <v>25</v>
      </c>
      <c r="I660" s="5">
        <v>44501</v>
      </c>
      <c r="J660" s="6">
        <v>0</v>
      </c>
      <c r="K660" s="6">
        <v>0</v>
      </c>
      <c r="L660" s="6">
        <v>16.626000000000001</v>
      </c>
      <c r="M660" s="6">
        <v>5.48658</v>
      </c>
      <c r="N660" s="6">
        <v>16.626000000000001</v>
      </c>
      <c r="O660" s="6">
        <v>5.48658</v>
      </c>
      <c r="P660" s="6">
        <v>0</v>
      </c>
      <c r="Q660" s="4" t="s">
        <v>26</v>
      </c>
      <c r="R660" s="4">
        <v>0</v>
      </c>
      <c r="S660" s="4" t="s">
        <v>320</v>
      </c>
      <c r="T660" s="4" t="s">
        <v>542</v>
      </c>
      <c r="U660" s="4">
        <v>0</v>
      </c>
      <c r="V660" s="4">
        <v>43</v>
      </c>
      <c r="W660" s="4">
        <v>84</v>
      </c>
    </row>
    <row r="661" spans="1:23" ht="11.25" customHeight="1" x14ac:dyDescent="0.3">
      <c r="A661" s="4" t="s">
        <v>28</v>
      </c>
      <c r="B661" s="4" t="s">
        <v>43</v>
      </c>
      <c r="C661" s="4" t="s">
        <v>23</v>
      </c>
      <c r="D661" s="4" t="s">
        <v>44</v>
      </c>
      <c r="E661" s="4" t="s">
        <v>56</v>
      </c>
      <c r="F661" s="4" t="s">
        <v>55</v>
      </c>
      <c r="G661" s="4" t="s">
        <v>25</v>
      </c>
      <c r="H661" s="4" t="s">
        <v>25</v>
      </c>
      <c r="I661" s="5">
        <v>44501</v>
      </c>
      <c r="J661" s="6">
        <v>0</v>
      </c>
      <c r="K661" s="6">
        <v>0</v>
      </c>
      <c r="L661" s="6">
        <v>2.2549999999999999</v>
      </c>
      <c r="M661" s="6">
        <v>2.2549999999999999</v>
      </c>
      <c r="N661" s="6">
        <v>2.2549999999999999</v>
      </c>
      <c r="O661" s="6">
        <v>2.2549999999999999</v>
      </c>
      <c r="P661" s="6">
        <v>0</v>
      </c>
      <c r="Q661" s="4" t="s">
        <v>26</v>
      </c>
      <c r="R661" s="4">
        <v>0</v>
      </c>
      <c r="S661" s="4" t="s">
        <v>320</v>
      </c>
      <c r="T661" s="4" t="s">
        <v>542</v>
      </c>
      <c r="U661" s="4">
        <v>0</v>
      </c>
      <c r="V661" s="4">
        <v>43</v>
      </c>
      <c r="W661" s="4">
        <v>84</v>
      </c>
    </row>
    <row r="662" spans="1:23" ht="11.25" customHeight="1" x14ac:dyDescent="0.3">
      <c r="A662" s="4" t="s">
        <v>21</v>
      </c>
      <c r="B662" s="4" t="s">
        <v>43</v>
      </c>
      <c r="C662" s="4" t="s">
        <v>23</v>
      </c>
      <c r="D662" s="4" t="s">
        <v>44</v>
      </c>
      <c r="E662" s="4" t="s">
        <v>56</v>
      </c>
      <c r="F662" s="4" t="s">
        <v>55</v>
      </c>
      <c r="G662" s="4" t="s">
        <v>25</v>
      </c>
      <c r="H662" s="4" t="s">
        <v>25</v>
      </c>
      <c r="I662" s="5">
        <v>44531</v>
      </c>
      <c r="J662" s="6">
        <v>0</v>
      </c>
      <c r="K662" s="6">
        <v>0</v>
      </c>
      <c r="L662" s="6">
        <v>19.251999999999999</v>
      </c>
      <c r="M662" s="6">
        <v>6.3531599999999999</v>
      </c>
      <c r="N662" s="6">
        <v>19.251999999999999</v>
      </c>
      <c r="O662" s="6">
        <v>6.3531599999999999</v>
      </c>
      <c r="P662" s="6">
        <v>0</v>
      </c>
      <c r="Q662" s="4" t="s">
        <v>26</v>
      </c>
      <c r="R662" s="4">
        <v>0</v>
      </c>
      <c r="S662" s="4" t="s">
        <v>321</v>
      </c>
      <c r="T662" s="4" t="s">
        <v>543</v>
      </c>
      <c r="U662" s="4">
        <v>0</v>
      </c>
      <c r="V662" s="4">
        <v>43</v>
      </c>
      <c r="W662" s="4">
        <v>84</v>
      </c>
    </row>
    <row r="663" spans="1:23" ht="11.25" customHeight="1" x14ac:dyDescent="0.3">
      <c r="A663" s="4" t="s">
        <v>28</v>
      </c>
      <c r="B663" s="4" t="s">
        <v>43</v>
      </c>
      <c r="C663" s="4" t="s">
        <v>23</v>
      </c>
      <c r="D663" s="4" t="s">
        <v>44</v>
      </c>
      <c r="E663" s="4" t="s">
        <v>56</v>
      </c>
      <c r="F663" s="4" t="s">
        <v>55</v>
      </c>
      <c r="G663" s="4" t="s">
        <v>25</v>
      </c>
      <c r="H663" s="4" t="s">
        <v>25</v>
      </c>
      <c r="I663" s="5">
        <v>44531</v>
      </c>
      <c r="J663" s="6">
        <v>0</v>
      </c>
      <c r="K663" s="6">
        <v>0</v>
      </c>
      <c r="L663" s="6">
        <v>2.0499999999999998</v>
      </c>
      <c r="M663" s="6">
        <v>0.67649999999999999</v>
      </c>
      <c r="N663" s="6">
        <v>2.0499999999999998</v>
      </c>
      <c r="O663" s="6">
        <v>0.67649999999999999</v>
      </c>
      <c r="P663" s="6">
        <v>0</v>
      </c>
      <c r="Q663" s="4" t="s">
        <v>26</v>
      </c>
      <c r="R663" s="4">
        <v>0</v>
      </c>
      <c r="S663" s="4" t="s">
        <v>321</v>
      </c>
      <c r="T663" s="4" t="s">
        <v>543</v>
      </c>
      <c r="U663" s="4">
        <v>0</v>
      </c>
      <c r="V663" s="4">
        <v>43</v>
      </c>
      <c r="W663" s="4">
        <v>84</v>
      </c>
    </row>
    <row r="664" spans="1:23" ht="11.25" customHeight="1" x14ac:dyDescent="0.3">
      <c r="A664" s="4" t="s">
        <v>21</v>
      </c>
      <c r="B664" s="4" t="s">
        <v>43</v>
      </c>
      <c r="C664" s="4" t="s">
        <v>23</v>
      </c>
      <c r="D664" s="4" t="s">
        <v>44</v>
      </c>
      <c r="E664" s="4" t="s">
        <v>56</v>
      </c>
      <c r="F664" s="4" t="s">
        <v>55</v>
      </c>
      <c r="G664" s="4" t="s">
        <v>25</v>
      </c>
      <c r="H664" s="4" t="s">
        <v>25</v>
      </c>
      <c r="I664" s="5">
        <v>44562</v>
      </c>
      <c r="J664" s="6">
        <v>0</v>
      </c>
      <c r="K664" s="6">
        <v>0</v>
      </c>
      <c r="L664" s="6">
        <v>18.866</v>
      </c>
      <c r="M664" s="6">
        <v>6.2257800000000003</v>
      </c>
      <c r="N664" s="6">
        <v>18.866</v>
      </c>
      <c r="O664" s="6">
        <v>6.2257800000000003</v>
      </c>
      <c r="P664" s="6">
        <v>0</v>
      </c>
      <c r="Q664" s="4" t="s">
        <v>26</v>
      </c>
      <c r="R664" s="4">
        <v>0</v>
      </c>
      <c r="S664" s="4" t="s">
        <v>322</v>
      </c>
      <c r="T664" s="4" t="s">
        <v>544</v>
      </c>
      <c r="U664" s="4">
        <v>0</v>
      </c>
      <c r="V664" s="4">
        <v>43</v>
      </c>
      <c r="W664" s="4">
        <v>84</v>
      </c>
    </row>
    <row r="665" spans="1:23" ht="11.25" customHeight="1" x14ac:dyDescent="0.3">
      <c r="A665" s="4" t="s">
        <v>28</v>
      </c>
      <c r="B665" s="4" t="s">
        <v>43</v>
      </c>
      <c r="C665" s="4" t="s">
        <v>23</v>
      </c>
      <c r="D665" s="4" t="s">
        <v>44</v>
      </c>
      <c r="E665" s="4" t="s">
        <v>56</v>
      </c>
      <c r="F665" s="4" t="s">
        <v>55</v>
      </c>
      <c r="G665" s="4" t="s">
        <v>25</v>
      </c>
      <c r="H665" s="4" t="s">
        <v>25</v>
      </c>
      <c r="I665" s="5">
        <v>44562</v>
      </c>
      <c r="J665" s="6">
        <v>0</v>
      </c>
      <c r="K665" s="6">
        <v>0</v>
      </c>
      <c r="L665" s="6">
        <v>2.2549999999999999</v>
      </c>
      <c r="M665" s="6">
        <v>0.74414999999999998</v>
      </c>
      <c r="N665" s="6">
        <v>2.2549999999999999</v>
      </c>
      <c r="O665" s="6">
        <v>0.74414999999999998</v>
      </c>
      <c r="P665" s="6">
        <v>0</v>
      </c>
      <c r="Q665" s="4" t="s">
        <v>26</v>
      </c>
      <c r="R665" s="4">
        <v>0</v>
      </c>
      <c r="S665" s="4" t="s">
        <v>322</v>
      </c>
      <c r="T665" s="4" t="s">
        <v>544</v>
      </c>
      <c r="U665" s="4">
        <v>0</v>
      </c>
      <c r="V665" s="4">
        <v>43</v>
      </c>
      <c r="W665" s="4">
        <v>84</v>
      </c>
    </row>
    <row r="666" spans="1:23" ht="11.25" customHeight="1" x14ac:dyDescent="0.3">
      <c r="A666" s="4" t="s">
        <v>21</v>
      </c>
      <c r="B666" s="4" t="s">
        <v>43</v>
      </c>
      <c r="C666" s="4" t="s">
        <v>23</v>
      </c>
      <c r="D666" s="4" t="s">
        <v>44</v>
      </c>
      <c r="E666" s="4" t="s">
        <v>56</v>
      </c>
      <c r="F666" s="4" t="s">
        <v>55</v>
      </c>
      <c r="G666" s="4" t="s">
        <v>25</v>
      </c>
      <c r="H666" s="4" t="s">
        <v>25</v>
      </c>
      <c r="I666" s="5">
        <v>44593</v>
      </c>
      <c r="J666" s="6">
        <v>0</v>
      </c>
      <c r="K666" s="6">
        <v>0</v>
      </c>
      <c r="L666" s="6">
        <v>17.338000000000001</v>
      </c>
      <c r="M666" s="6">
        <v>5.7215400000000001</v>
      </c>
      <c r="N666" s="6">
        <v>17.338000000000001</v>
      </c>
      <c r="O666" s="6">
        <v>5.7215400000000001</v>
      </c>
      <c r="P666" s="6">
        <v>0</v>
      </c>
      <c r="Q666" s="4" t="s">
        <v>26</v>
      </c>
      <c r="R666" s="4">
        <v>0</v>
      </c>
      <c r="S666" s="4" t="s">
        <v>323</v>
      </c>
      <c r="T666" s="4" t="s">
        <v>545</v>
      </c>
      <c r="U666" s="4">
        <v>0</v>
      </c>
      <c r="V666" s="4">
        <v>43</v>
      </c>
      <c r="W666" s="4">
        <v>84</v>
      </c>
    </row>
    <row r="667" spans="1:23" ht="11.25" customHeight="1" x14ac:dyDescent="0.3">
      <c r="A667" s="4" t="s">
        <v>28</v>
      </c>
      <c r="B667" s="4" t="s">
        <v>43</v>
      </c>
      <c r="C667" s="4" t="s">
        <v>23</v>
      </c>
      <c r="D667" s="4" t="s">
        <v>44</v>
      </c>
      <c r="E667" s="4" t="s">
        <v>56</v>
      </c>
      <c r="F667" s="4" t="s">
        <v>55</v>
      </c>
      <c r="G667" s="4" t="s">
        <v>25</v>
      </c>
      <c r="H667" s="4" t="s">
        <v>25</v>
      </c>
      <c r="I667" s="5">
        <v>44593</v>
      </c>
      <c r="J667" s="6">
        <v>0</v>
      </c>
      <c r="K667" s="6">
        <v>0</v>
      </c>
      <c r="L667" s="6">
        <v>1.968</v>
      </c>
      <c r="M667" s="6">
        <v>0.64944000000000002</v>
      </c>
      <c r="N667" s="6">
        <v>1.968</v>
      </c>
      <c r="O667" s="6">
        <v>0.64944000000000002</v>
      </c>
      <c r="P667" s="6">
        <v>0</v>
      </c>
      <c r="Q667" s="4" t="s">
        <v>26</v>
      </c>
      <c r="R667" s="4">
        <v>0</v>
      </c>
      <c r="S667" s="4" t="s">
        <v>323</v>
      </c>
      <c r="T667" s="4" t="s">
        <v>545</v>
      </c>
      <c r="U667" s="4">
        <v>0</v>
      </c>
      <c r="V667" s="4">
        <v>43</v>
      </c>
      <c r="W667" s="4">
        <v>84</v>
      </c>
    </row>
    <row r="668" spans="1:23" ht="11.25" customHeight="1" x14ac:dyDescent="0.3">
      <c r="A668" s="4" t="s">
        <v>21</v>
      </c>
      <c r="B668" s="4" t="s">
        <v>43</v>
      </c>
      <c r="C668" s="4" t="s">
        <v>23</v>
      </c>
      <c r="D668" s="4" t="s">
        <v>44</v>
      </c>
      <c r="E668" s="4" t="s">
        <v>56</v>
      </c>
      <c r="F668" s="4" t="s">
        <v>55</v>
      </c>
      <c r="G668" s="4" t="s">
        <v>25</v>
      </c>
      <c r="H668" s="4" t="s">
        <v>25</v>
      </c>
      <c r="I668" s="5">
        <v>44621</v>
      </c>
      <c r="J668" s="6">
        <v>0</v>
      </c>
      <c r="K668" s="6">
        <v>0</v>
      </c>
      <c r="L668" s="6">
        <v>17.251999999999999</v>
      </c>
      <c r="M668" s="6">
        <v>5.6931599999999998</v>
      </c>
      <c r="N668" s="6">
        <v>17.251999999999999</v>
      </c>
      <c r="O668" s="6">
        <v>5.6931599999999998</v>
      </c>
      <c r="P668" s="6">
        <v>0</v>
      </c>
      <c r="Q668" s="4" t="s">
        <v>26</v>
      </c>
      <c r="R668" s="4">
        <v>0</v>
      </c>
      <c r="S668" s="4" t="s">
        <v>324</v>
      </c>
      <c r="T668" s="4" t="s">
        <v>546</v>
      </c>
      <c r="U668" s="4">
        <v>0</v>
      </c>
      <c r="V668" s="4">
        <v>43</v>
      </c>
      <c r="W668" s="4">
        <v>84</v>
      </c>
    </row>
    <row r="669" spans="1:23" ht="11.25" customHeight="1" x14ac:dyDescent="0.3">
      <c r="A669" s="4" t="s">
        <v>28</v>
      </c>
      <c r="B669" s="4" t="s">
        <v>43</v>
      </c>
      <c r="C669" s="4" t="s">
        <v>23</v>
      </c>
      <c r="D669" s="4" t="s">
        <v>44</v>
      </c>
      <c r="E669" s="4" t="s">
        <v>56</v>
      </c>
      <c r="F669" s="4" t="s">
        <v>55</v>
      </c>
      <c r="G669" s="4" t="s">
        <v>25</v>
      </c>
      <c r="H669" s="4" t="s">
        <v>25</v>
      </c>
      <c r="I669" s="5">
        <v>44621</v>
      </c>
      <c r="J669" s="6">
        <v>0</v>
      </c>
      <c r="K669" s="6">
        <v>0</v>
      </c>
      <c r="L669" s="6">
        <v>1.64</v>
      </c>
      <c r="M669" s="6">
        <v>0.54120000000000001</v>
      </c>
      <c r="N669" s="6">
        <v>1.64</v>
      </c>
      <c r="O669" s="6">
        <v>0.54120000000000001</v>
      </c>
      <c r="P669" s="6">
        <v>0</v>
      </c>
      <c r="Q669" s="4" t="s">
        <v>26</v>
      </c>
      <c r="R669" s="4">
        <v>0</v>
      </c>
      <c r="S669" s="4" t="s">
        <v>324</v>
      </c>
      <c r="T669" s="4" t="s">
        <v>546</v>
      </c>
      <c r="U669" s="4">
        <v>0</v>
      </c>
      <c r="V669" s="4">
        <v>43</v>
      </c>
      <c r="W669" s="4">
        <v>84</v>
      </c>
    </row>
    <row r="670" spans="1:23" ht="11.25" customHeight="1" x14ac:dyDescent="0.3">
      <c r="A670" s="4" t="s">
        <v>21</v>
      </c>
      <c r="B670" s="4" t="s">
        <v>43</v>
      </c>
      <c r="C670" s="4" t="s">
        <v>23</v>
      </c>
      <c r="D670" s="4" t="s">
        <v>44</v>
      </c>
      <c r="E670" s="4" t="s">
        <v>56</v>
      </c>
      <c r="F670" s="4" t="s">
        <v>55</v>
      </c>
      <c r="G670" s="4" t="s">
        <v>25</v>
      </c>
      <c r="H670" s="4" t="s">
        <v>25</v>
      </c>
      <c r="I670" s="5">
        <v>44652</v>
      </c>
      <c r="J670" s="6">
        <v>0</v>
      </c>
      <c r="K670" s="6">
        <v>0</v>
      </c>
      <c r="L670" s="6">
        <v>18.675999999999998</v>
      </c>
      <c r="M670" s="6">
        <v>6.1630799999999999</v>
      </c>
      <c r="N670" s="6">
        <v>18.675999999999998</v>
      </c>
      <c r="O670" s="6">
        <v>6.1630799999999999</v>
      </c>
      <c r="P670" s="6">
        <v>0</v>
      </c>
      <c r="Q670" s="4" t="s">
        <v>26</v>
      </c>
      <c r="R670" s="4">
        <v>0</v>
      </c>
      <c r="S670" s="4" t="s">
        <v>325</v>
      </c>
      <c r="T670" s="4" t="s">
        <v>547</v>
      </c>
      <c r="U670" s="4">
        <v>0</v>
      </c>
      <c r="V670" s="4">
        <v>43</v>
      </c>
      <c r="W670" s="4">
        <v>84</v>
      </c>
    </row>
    <row r="671" spans="1:23" ht="11.25" customHeight="1" x14ac:dyDescent="0.3">
      <c r="A671" s="4" t="s">
        <v>28</v>
      </c>
      <c r="B671" s="4" t="s">
        <v>43</v>
      </c>
      <c r="C671" s="4" t="s">
        <v>23</v>
      </c>
      <c r="D671" s="4" t="s">
        <v>44</v>
      </c>
      <c r="E671" s="4" t="s">
        <v>56</v>
      </c>
      <c r="F671" s="4" t="s">
        <v>55</v>
      </c>
      <c r="G671" s="4" t="s">
        <v>25</v>
      </c>
      <c r="H671" s="4" t="s">
        <v>25</v>
      </c>
      <c r="I671" s="5">
        <v>44652</v>
      </c>
      <c r="J671" s="6">
        <v>0</v>
      </c>
      <c r="K671" s="6">
        <v>0</v>
      </c>
      <c r="L671" s="6">
        <v>2.0499999999999998</v>
      </c>
      <c r="M671" s="6">
        <v>0.67649999999999999</v>
      </c>
      <c r="N671" s="6">
        <v>2.0499999999999998</v>
      </c>
      <c r="O671" s="6">
        <v>0.67649999999999999</v>
      </c>
      <c r="P671" s="6">
        <v>0</v>
      </c>
      <c r="Q671" s="4" t="s">
        <v>26</v>
      </c>
      <c r="R671" s="4">
        <v>0</v>
      </c>
      <c r="S671" s="4" t="s">
        <v>325</v>
      </c>
      <c r="T671" s="4" t="s">
        <v>547</v>
      </c>
      <c r="U671" s="4">
        <v>0</v>
      </c>
      <c r="V671" s="4">
        <v>43</v>
      </c>
      <c r="W671" s="4">
        <v>84</v>
      </c>
    </row>
    <row r="672" spans="1:23" ht="11.25" customHeight="1" x14ac:dyDescent="0.3">
      <c r="A672" s="4" t="s">
        <v>21</v>
      </c>
      <c r="B672" s="4" t="s">
        <v>43</v>
      </c>
      <c r="C672" s="4" t="s">
        <v>23</v>
      </c>
      <c r="D672" s="4" t="s">
        <v>44</v>
      </c>
      <c r="E672" s="4" t="s">
        <v>56</v>
      </c>
      <c r="F672" s="4" t="s">
        <v>55</v>
      </c>
      <c r="G672" s="4" t="s">
        <v>25</v>
      </c>
      <c r="H672" s="4" t="s">
        <v>25</v>
      </c>
      <c r="I672" s="5">
        <v>44682</v>
      </c>
      <c r="J672" s="6">
        <v>0</v>
      </c>
      <c r="K672" s="6">
        <v>0</v>
      </c>
      <c r="L672" s="6">
        <v>17.824999999999999</v>
      </c>
      <c r="M672" s="6">
        <v>5.88225</v>
      </c>
      <c r="N672" s="6">
        <v>17.824999999999999</v>
      </c>
      <c r="O672" s="6">
        <v>5.88225</v>
      </c>
      <c r="P672" s="6">
        <v>0</v>
      </c>
      <c r="Q672" s="4" t="s">
        <v>26</v>
      </c>
      <c r="R672" s="4">
        <v>0</v>
      </c>
      <c r="S672" s="4" t="s">
        <v>326</v>
      </c>
      <c r="T672" s="4" t="s">
        <v>548</v>
      </c>
      <c r="U672" s="4">
        <v>0</v>
      </c>
      <c r="V672" s="4">
        <v>43</v>
      </c>
      <c r="W672" s="4">
        <v>84</v>
      </c>
    </row>
    <row r="673" spans="1:23" ht="11.25" customHeight="1" x14ac:dyDescent="0.3">
      <c r="A673" s="4" t="s">
        <v>28</v>
      </c>
      <c r="B673" s="4" t="s">
        <v>43</v>
      </c>
      <c r="C673" s="4" t="s">
        <v>23</v>
      </c>
      <c r="D673" s="4" t="s">
        <v>44</v>
      </c>
      <c r="E673" s="4" t="s">
        <v>56</v>
      </c>
      <c r="F673" s="4" t="s">
        <v>55</v>
      </c>
      <c r="G673" s="4" t="s">
        <v>25</v>
      </c>
      <c r="H673" s="4" t="s">
        <v>25</v>
      </c>
      <c r="I673" s="5">
        <v>44682</v>
      </c>
      <c r="J673" s="6">
        <v>0</v>
      </c>
      <c r="K673" s="6">
        <v>0</v>
      </c>
      <c r="L673" s="6">
        <v>2.7469999999999999</v>
      </c>
      <c r="M673" s="6">
        <v>0.90651000000000004</v>
      </c>
      <c r="N673" s="6">
        <v>2.7469999999999999</v>
      </c>
      <c r="O673" s="6">
        <v>0.90651000000000004</v>
      </c>
      <c r="P673" s="6">
        <v>0</v>
      </c>
      <c r="Q673" s="4" t="s">
        <v>26</v>
      </c>
      <c r="R673" s="4">
        <v>0</v>
      </c>
      <c r="S673" s="4" t="s">
        <v>326</v>
      </c>
      <c r="T673" s="4" t="s">
        <v>548</v>
      </c>
      <c r="U673" s="4">
        <v>0</v>
      </c>
      <c r="V673" s="4">
        <v>43</v>
      </c>
      <c r="W673" s="4">
        <v>84</v>
      </c>
    </row>
    <row r="674" spans="1:23" ht="11.25" customHeight="1" x14ac:dyDescent="0.3">
      <c r="A674" s="4" t="s">
        <v>21</v>
      </c>
      <c r="B674" s="4" t="s">
        <v>43</v>
      </c>
      <c r="C674" s="4" t="s">
        <v>23</v>
      </c>
      <c r="D674" s="4" t="s">
        <v>44</v>
      </c>
      <c r="E674" s="4" t="s">
        <v>56</v>
      </c>
      <c r="F674" s="4" t="s">
        <v>55</v>
      </c>
      <c r="G674" s="4" t="s">
        <v>25</v>
      </c>
      <c r="H674" s="4" t="s">
        <v>25</v>
      </c>
      <c r="I674" s="5">
        <v>44713</v>
      </c>
      <c r="J674" s="6">
        <v>0</v>
      </c>
      <c r="K674" s="6">
        <v>0</v>
      </c>
      <c r="L674" s="6">
        <v>16.347999999999999</v>
      </c>
      <c r="M674" s="6">
        <v>5.3948400000000003</v>
      </c>
      <c r="N674" s="6">
        <v>16.347999999999999</v>
      </c>
      <c r="O674" s="6">
        <v>5.3948400000000003</v>
      </c>
      <c r="P674" s="6">
        <v>0</v>
      </c>
      <c r="Q674" s="4" t="s">
        <v>26</v>
      </c>
      <c r="R674" s="4">
        <v>0</v>
      </c>
      <c r="S674" s="4" t="s">
        <v>327</v>
      </c>
      <c r="T674" s="4" t="s">
        <v>549</v>
      </c>
      <c r="U674" s="4">
        <v>0</v>
      </c>
      <c r="V674" s="4">
        <v>43</v>
      </c>
      <c r="W674" s="4">
        <v>84</v>
      </c>
    </row>
    <row r="675" spans="1:23" ht="11.25" customHeight="1" x14ac:dyDescent="0.3">
      <c r="A675" s="4" t="s">
        <v>28</v>
      </c>
      <c r="B675" s="4" t="s">
        <v>43</v>
      </c>
      <c r="C675" s="4" t="s">
        <v>23</v>
      </c>
      <c r="D675" s="4" t="s">
        <v>44</v>
      </c>
      <c r="E675" s="4" t="s">
        <v>56</v>
      </c>
      <c r="F675" s="4" t="s">
        <v>55</v>
      </c>
      <c r="G675" s="4" t="s">
        <v>25</v>
      </c>
      <c r="H675" s="4" t="s">
        <v>25</v>
      </c>
      <c r="I675" s="5">
        <v>44713</v>
      </c>
      <c r="J675" s="6">
        <v>0</v>
      </c>
      <c r="K675" s="6">
        <v>0</v>
      </c>
      <c r="L675" s="6">
        <v>2.0910000000000002</v>
      </c>
      <c r="M675" s="6">
        <v>0.69003000000000003</v>
      </c>
      <c r="N675" s="6">
        <v>2.0910000000000002</v>
      </c>
      <c r="O675" s="6">
        <v>0.69003000000000003</v>
      </c>
      <c r="P675" s="6">
        <v>0</v>
      </c>
      <c r="Q675" s="4" t="s">
        <v>26</v>
      </c>
      <c r="R675" s="4">
        <v>0</v>
      </c>
      <c r="S675" s="4" t="s">
        <v>327</v>
      </c>
      <c r="T675" s="4" t="s">
        <v>549</v>
      </c>
      <c r="U675" s="4">
        <v>0</v>
      </c>
      <c r="V675" s="4">
        <v>43</v>
      </c>
      <c r="W675" s="4">
        <v>84</v>
      </c>
    </row>
    <row r="676" spans="1:23" ht="11.25" customHeight="1" x14ac:dyDescent="0.3">
      <c r="A676" s="4" t="s">
        <v>21</v>
      </c>
      <c r="B676" s="4" t="s">
        <v>43</v>
      </c>
      <c r="C676" s="4" t="s">
        <v>23</v>
      </c>
      <c r="D676" s="4" t="s">
        <v>44</v>
      </c>
      <c r="E676" s="4" t="s">
        <v>56</v>
      </c>
      <c r="F676" s="4" t="s">
        <v>55</v>
      </c>
      <c r="G676" s="4" t="s">
        <v>25</v>
      </c>
      <c r="H676" s="4" t="s">
        <v>25</v>
      </c>
      <c r="I676" s="5">
        <v>44743</v>
      </c>
      <c r="J676" s="6">
        <v>0</v>
      </c>
      <c r="K676" s="6">
        <v>0</v>
      </c>
      <c r="L676" s="6">
        <v>17.5</v>
      </c>
      <c r="M676" s="6">
        <v>5.7750000000000004</v>
      </c>
      <c r="N676" s="6">
        <v>17.5</v>
      </c>
      <c r="O676" s="6">
        <v>5.7750000000000004</v>
      </c>
      <c r="P676" s="6">
        <v>0</v>
      </c>
      <c r="Q676" s="4" t="s">
        <v>26</v>
      </c>
      <c r="R676" s="4">
        <v>0</v>
      </c>
      <c r="S676" s="4" t="s">
        <v>328</v>
      </c>
      <c r="T676" s="4" t="s">
        <v>550</v>
      </c>
      <c r="U676" s="4">
        <v>0</v>
      </c>
      <c r="V676" s="4">
        <v>43</v>
      </c>
      <c r="W676" s="4">
        <v>84</v>
      </c>
    </row>
    <row r="677" spans="1:23" ht="11.25" customHeight="1" x14ac:dyDescent="0.3">
      <c r="A677" s="4" t="s">
        <v>28</v>
      </c>
      <c r="B677" s="4" t="s">
        <v>43</v>
      </c>
      <c r="C677" s="4" t="s">
        <v>23</v>
      </c>
      <c r="D677" s="4" t="s">
        <v>44</v>
      </c>
      <c r="E677" s="4" t="s">
        <v>56</v>
      </c>
      <c r="F677" s="4" t="s">
        <v>55</v>
      </c>
      <c r="G677" s="4" t="s">
        <v>25</v>
      </c>
      <c r="H677" s="4" t="s">
        <v>25</v>
      </c>
      <c r="I677" s="5">
        <v>44743</v>
      </c>
      <c r="J677" s="6">
        <v>0</v>
      </c>
      <c r="K677" s="6">
        <v>0</v>
      </c>
      <c r="L677" s="6">
        <v>0.877</v>
      </c>
      <c r="M677" s="6">
        <v>0.28941</v>
      </c>
      <c r="N677" s="6">
        <v>0.877</v>
      </c>
      <c r="O677" s="6">
        <v>0.28941</v>
      </c>
      <c r="P677" s="6">
        <v>0</v>
      </c>
      <c r="Q677" s="4" t="s">
        <v>26</v>
      </c>
      <c r="R677" s="4">
        <v>0</v>
      </c>
      <c r="S677" s="4" t="s">
        <v>328</v>
      </c>
      <c r="T677" s="4" t="s">
        <v>550</v>
      </c>
      <c r="U677" s="4">
        <v>0</v>
      </c>
      <c r="V677" s="4">
        <v>43</v>
      </c>
      <c r="W677" s="4">
        <v>84</v>
      </c>
    </row>
    <row r="678" spans="1:23" ht="11.25" customHeight="1" x14ac:dyDescent="0.3">
      <c r="A678" s="4" t="s">
        <v>21</v>
      </c>
      <c r="B678" s="4" t="s">
        <v>43</v>
      </c>
      <c r="C678" s="4" t="s">
        <v>23</v>
      </c>
      <c r="D678" s="4" t="s">
        <v>44</v>
      </c>
      <c r="E678" s="4" t="s">
        <v>56</v>
      </c>
      <c r="F678" s="4" t="s">
        <v>55</v>
      </c>
      <c r="G678" s="4" t="s">
        <v>25</v>
      </c>
      <c r="H678" s="4" t="s">
        <v>25</v>
      </c>
      <c r="I678" s="5">
        <v>44774</v>
      </c>
      <c r="J678" s="6">
        <v>0</v>
      </c>
      <c r="K678" s="6">
        <v>0</v>
      </c>
      <c r="L678" s="6">
        <v>12.945</v>
      </c>
      <c r="M678" s="6">
        <v>4.2718499999999997</v>
      </c>
      <c r="N678" s="6">
        <v>12.945</v>
      </c>
      <c r="O678" s="6">
        <v>4.2718499999999997</v>
      </c>
      <c r="P678" s="6">
        <v>0</v>
      </c>
      <c r="Q678" s="4" t="s">
        <v>26</v>
      </c>
      <c r="R678" s="4">
        <v>0</v>
      </c>
      <c r="S678" s="4" t="s">
        <v>329</v>
      </c>
      <c r="T678" s="4" t="s">
        <v>551</v>
      </c>
      <c r="U678" s="4">
        <v>0</v>
      </c>
      <c r="V678" s="4">
        <v>43</v>
      </c>
      <c r="W678" s="4">
        <v>84</v>
      </c>
    </row>
    <row r="679" spans="1:23" ht="11.25" customHeight="1" x14ac:dyDescent="0.3">
      <c r="A679" s="4" t="s">
        <v>28</v>
      </c>
      <c r="B679" s="4" t="s">
        <v>43</v>
      </c>
      <c r="C679" s="4" t="s">
        <v>23</v>
      </c>
      <c r="D679" s="4" t="s">
        <v>44</v>
      </c>
      <c r="E679" s="4" t="s">
        <v>56</v>
      </c>
      <c r="F679" s="4" t="s">
        <v>55</v>
      </c>
      <c r="G679" s="4" t="s">
        <v>25</v>
      </c>
      <c r="H679" s="4" t="s">
        <v>25</v>
      </c>
      <c r="I679" s="5">
        <v>44774</v>
      </c>
      <c r="J679" s="6">
        <v>0</v>
      </c>
      <c r="K679" s="6">
        <v>0</v>
      </c>
      <c r="L679" s="6">
        <v>1.337</v>
      </c>
      <c r="M679" s="6">
        <v>0.44120999999999999</v>
      </c>
      <c r="N679" s="6">
        <v>1.337</v>
      </c>
      <c r="O679" s="6">
        <v>0.44120999999999999</v>
      </c>
      <c r="P679" s="6">
        <v>0</v>
      </c>
      <c r="Q679" s="4" t="s">
        <v>26</v>
      </c>
      <c r="R679" s="4">
        <v>0</v>
      </c>
      <c r="S679" s="4" t="s">
        <v>329</v>
      </c>
      <c r="T679" s="4" t="s">
        <v>551</v>
      </c>
      <c r="U679" s="4">
        <v>0</v>
      </c>
      <c r="V679" s="4">
        <v>43</v>
      </c>
      <c r="W679" s="4">
        <v>84</v>
      </c>
    </row>
    <row r="680" spans="1:23" ht="11.25" customHeight="1" x14ac:dyDescent="0.3">
      <c r="A680" s="4" t="s">
        <v>21</v>
      </c>
      <c r="B680" s="4" t="s">
        <v>43</v>
      </c>
      <c r="C680" s="4" t="s">
        <v>23</v>
      </c>
      <c r="D680" s="4" t="s">
        <v>44</v>
      </c>
      <c r="E680" s="4" t="s">
        <v>56</v>
      </c>
      <c r="F680" s="4" t="s">
        <v>55</v>
      </c>
      <c r="G680" s="4" t="s">
        <v>25</v>
      </c>
      <c r="H680" s="4" t="s">
        <v>25</v>
      </c>
      <c r="I680" s="5">
        <v>44805</v>
      </c>
      <c r="J680" s="6">
        <v>0</v>
      </c>
      <c r="K680" s="6">
        <v>0</v>
      </c>
      <c r="L680" s="6">
        <v>14.973000000000001</v>
      </c>
      <c r="M680" s="6">
        <v>4.94109</v>
      </c>
      <c r="N680" s="6">
        <v>14.973000000000001</v>
      </c>
      <c r="O680" s="6">
        <v>4.94109</v>
      </c>
      <c r="P680" s="6">
        <v>0</v>
      </c>
      <c r="Q680" s="4" t="s">
        <v>26</v>
      </c>
      <c r="R680" s="4">
        <v>0</v>
      </c>
      <c r="S680" s="4" t="s">
        <v>330</v>
      </c>
      <c r="T680" s="4" t="s">
        <v>552</v>
      </c>
      <c r="U680" s="4">
        <v>0</v>
      </c>
      <c r="V680" s="4">
        <v>43</v>
      </c>
      <c r="W680" s="4">
        <v>84</v>
      </c>
    </row>
    <row r="681" spans="1:23" ht="11.25" customHeight="1" x14ac:dyDescent="0.3">
      <c r="A681" s="4" t="s">
        <v>28</v>
      </c>
      <c r="B681" s="4" t="s">
        <v>43</v>
      </c>
      <c r="C681" s="4" t="s">
        <v>23</v>
      </c>
      <c r="D681" s="4" t="s">
        <v>44</v>
      </c>
      <c r="E681" s="4" t="s">
        <v>56</v>
      </c>
      <c r="F681" s="4" t="s">
        <v>55</v>
      </c>
      <c r="G681" s="4" t="s">
        <v>25</v>
      </c>
      <c r="H681" s="4" t="s">
        <v>25</v>
      </c>
      <c r="I681" s="5">
        <v>44805</v>
      </c>
      <c r="J681" s="6">
        <v>0</v>
      </c>
      <c r="K681" s="6">
        <v>0</v>
      </c>
      <c r="L681" s="6">
        <v>0.85499999999999998</v>
      </c>
      <c r="M681" s="6">
        <v>0.28215000000000001</v>
      </c>
      <c r="N681" s="6">
        <v>0.85499999999999998</v>
      </c>
      <c r="O681" s="6">
        <v>0.28215000000000001</v>
      </c>
      <c r="P681" s="6">
        <v>0</v>
      </c>
      <c r="Q681" s="4" t="s">
        <v>26</v>
      </c>
      <c r="R681" s="4">
        <v>0</v>
      </c>
      <c r="S681" s="4" t="s">
        <v>330</v>
      </c>
      <c r="T681" s="4" t="s">
        <v>552</v>
      </c>
      <c r="U681" s="4">
        <v>0</v>
      </c>
      <c r="V681" s="4">
        <v>43</v>
      </c>
      <c r="W681" s="4">
        <v>84</v>
      </c>
    </row>
    <row r="682" spans="1:23" ht="11.25" customHeight="1" x14ac:dyDescent="0.3">
      <c r="A682" s="4" t="s">
        <v>57</v>
      </c>
      <c r="B682" s="4" t="s">
        <v>43</v>
      </c>
      <c r="C682" s="4" t="s">
        <v>23</v>
      </c>
      <c r="D682" s="4" t="s">
        <v>44</v>
      </c>
      <c r="E682" s="4" t="s">
        <v>56</v>
      </c>
      <c r="F682" s="4" t="s">
        <v>55</v>
      </c>
      <c r="G682" s="4" t="s">
        <v>25</v>
      </c>
      <c r="H682" s="4" t="s">
        <v>25</v>
      </c>
      <c r="I682" s="5">
        <v>44835</v>
      </c>
      <c r="J682" s="6">
        <v>0</v>
      </c>
      <c r="K682" s="6">
        <v>0</v>
      </c>
      <c r="L682" s="6">
        <v>14.973000000000001</v>
      </c>
      <c r="M682" s="6">
        <v>4.94109</v>
      </c>
      <c r="N682" s="6">
        <v>14.973000000000001</v>
      </c>
      <c r="O682" s="6">
        <v>4.94109</v>
      </c>
      <c r="P682" s="6">
        <v>0</v>
      </c>
      <c r="Q682" s="4" t="s">
        <v>26</v>
      </c>
      <c r="R682" s="4">
        <v>0</v>
      </c>
      <c r="S682" s="4" t="s">
        <v>331</v>
      </c>
      <c r="T682" s="4" t="s">
        <v>553</v>
      </c>
      <c r="U682" s="4">
        <v>0</v>
      </c>
      <c r="V682" s="4">
        <v>43</v>
      </c>
      <c r="W682" s="4">
        <v>84</v>
      </c>
    </row>
    <row r="683" spans="1:23" ht="11.25" customHeight="1" x14ac:dyDescent="0.3">
      <c r="A683" s="4" t="s">
        <v>57</v>
      </c>
      <c r="B683" s="4" t="s">
        <v>43</v>
      </c>
      <c r="C683" s="4" t="s">
        <v>23</v>
      </c>
      <c r="D683" s="4" t="s">
        <v>44</v>
      </c>
      <c r="E683" s="4" t="s">
        <v>56</v>
      </c>
      <c r="F683" s="4" t="s">
        <v>55</v>
      </c>
      <c r="G683" s="4" t="s">
        <v>25</v>
      </c>
      <c r="H683" s="4" t="s">
        <v>25</v>
      </c>
      <c r="I683" s="5">
        <v>44835</v>
      </c>
      <c r="J683" s="6">
        <v>0</v>
      </c>
      <c r="K683" s="6">
        <v>0</v>
      </c>
      <c r="L683" s="6">
        <v>0.85499999999999998</v>
      </c>
      <c r="M683" s="6">
        <v>0.28215000000000001</v>
      </c>
      <c r="N683" s="6">
        <v>0.85499999999999998</v>
      </c>
      <c r="O683" s="6">
        <v>0.28215000000000001</v>
      </c>
      <c r="P683" s="6">
        <v>0</v>
      </c>
      <c r="Q683" s="4" t="s">
        <v>26</v>
      </c>
      <c r="R683" s="4">
        <v>0</v>
      </c>
      <c r="S683" s="4" t="s">
        <v>331</v>
      </c>
      <c r="T683" s="4" t="s">
        <v>553</v>
      </c>
      <c r="U683" s="4">
        <v>0</v>
      </c>
      <c r="V683" s="4">
        <v>43</v>
      </c>
      <c r="W683" s="4">
        <v>84</v>
      </c>
    </row>
    <row r="684" spans="1:23" ht="11.25" customHeight="1" x14ac:dyDescent="0.3">
      <c r="A684" s="4" t="s">
        <v>21</v>
      </c>
      <c r="B684" s="4" t="s">
        <v>43</v>
      </c>
      <c r="C684" s="4" t="s">
        <v>23</v>
      </c>
      <c r="D684" s="4" t="s">
        <v>44</v>
      </c>
      <c r="E684" s="4" t="s">
        <v>25</v>
      </c>
      <c r="F684" s="4" t="s">
        <v>25</v>
      </c>
      <c r="G684" s="4" t="s">
        <v>25</v>
      </c>
      <c r="H684" s="4" t="s">
        <v>25</v>
      </c>
      <c r="I684" s="5">
        <v>44501</v>
      </c>
      <c r="J684" s="6">
        <v>0</v>
      </c>
      <c r="K684" s="6">
        <v>0</v>
      </c>
      <c r="L684" s="6">
        <v>1381.0450000000001</v>
      </c>
      <c r="M684" s="6">
        <v>1381.0450000000001</v>
      </c>
      <c r="N684" s="6">
        <v>1381.0450000000001</v>
      </c>
      <c r="O684" s="6">
        <v>1381.0450000000001</v>
      </c>
      <c r="P684" s="6">
        <v>4522</v>
      </c>
      <c r="Q684" s="4" t="s">
        <v>26</v>
      </c>
      <c r="R684" s="4">
        <v>0</v>
      </c>
      <c r="S684" s="4" t="s">
        <v>320</v>
      </c>
      <c r="T684" s="4" t="s">
        <v>542</v>
      </c>
      <c r="U684" s="4">
        <v>0</v>
      </c>
      <c r="V684" s="4">
        <v>43</v>
      </c>
      <c r="W684" s="4">
        <v>84</v>
      </c>
    </row>
    <row r="685" spans="1:23" ht="11.25" customHeight="1" x14ac:dyDescent="0.3">
      <c r="A685" s="4" t="s">
        <v>28</v>
      </c>
      <c r="B685" s="4" t="s">
        <v>43</v>
      </c>
      <c r="C685" s="4" t="s">
        <v>23</v>
      </c>
      <c r="D685" s="4" t="s">
        <v>44</v>
      </c>
      <c r="E685" s="4" t="s">
        <v>25</v>
      </c>
      <c r="F685" s="4" t="s">
        <v>25</v>
      </c>
      <c r="G685" s="4" t="s">
        <v>25</v>
      </c>
      <c r="H685" s="4" t="s">
        <v>25</v>
      </c>
      <c r="I685" s="5">
        <v>44501</v>
      </c>
      <c r="J685" s="6">
        <v>0</v>
      </c>
      <c r="K685" s="6">
        <v>0</v>
      </c>
      <c r="L685" s="6">
        <v>11.712</v>
      </c>
      <c r="M685" s="6">
        <v>11.712</v>
      </c>
      <c r="N685" s="6">
        <v>11.712</v>
      </c>
      <c r="O685" s="6">
        <v>11.712</v>
      </c>
      <c r="P685" s="6">
        <v>61</v>
      </c>
      <c r="Q685" s="4" t="s">
        <v>26</v>
      </c>
      <c r="R685" s="4">
        <v>0</v>
      </c>
      <c r="S685" s="4" t="s">
        <v>320</v>
      </c>
      <c r="T685" s="4" t="s">
        <v>542</v>
      </c>
      <c r="U685" s="4">
        <v>0</v>
      </c>
      <c r="V685" s="4">
        <v>43</v>
      </c>
      <c r="W685" s="4">
        <v>84</v>
      </c>
    </row>
    <row r="686" spans="1:23" ht="11.25" customHeight="1" x14ac:dyDescent="0.3">
      <c r="A686" s="4" t="s">
        <v>21</v>
      </c>
      <c r="B686" s="4" t="s">
        <v>43</v>
      </c>
      <c r="C686" s="4" t="s">
        <v>23</v>
      </c>
      <c r="D686" s="4" t="s">
        <v>44</v>
      </c>
      <c r="E686" s="4" t="s">
        <v>25</v>
      </c>
      <c r="F686" s="4" t="s">
        <v>25</v>
      </c>
      <c r="G686" s="4" t="s">
        <v>25</v>
      </c>
      <c r="H686" s="4" t="s">
        <v>25</v>
      </c>
      <c r="I686" s="5">
        <v>44531</v>
      </c>
      <c r="J686" s="6">
        <v>0</v>
      </c>
      <c r="K686" s="6">
        <v>0</v>
      </c>
      <c r="L686" s="6">
        <v>1271.596</v>
      </c>
      <c r="M686" s="6">
        <v>1271.596</v>
      </c>
      <c r="N686" s="6">
        <v>1271.596</v>
      </c>
      <c r="O686" s="6">
        <v>1271.596</v>
      </c>
      <c r="P686" s="6">
        <v>4519</v>
      </c>
      <c r="Q686" s="4" t="s">
        <v>26</v>
      </c>
      <c r="R686" s="4">
        <v>0</v>
      </c>
      <c r="S686" s="4" t="s">
        <v>321</v>
      </c>
      <c r="T686" s="4" t="s">
        <v>543</v>
      </c>
      <c r="U686" s="4">
        <v>0</v>
      </c>
      <c r="V686" s="4">
        <v>43</v>
      </c>
      <c r="W686" s="4">
        <v>84</v>
      </c>
    </row>
    <row r="687" spans="1:23" ht="11.25" customHeight="1" x14ac:dyDescent="0.3">
      <c r="A687" s="4" t="s">
        <v>28</v>
      </c>
      <c r="B687" s="4" t="s">
        <v>43</v>
      </c>
      <c r="C687" s="4" t="s">
        <v>23</v>
      </c>
      <c r="D687" s="4" t="s">
        <v>44</v>
      </c>
      <c r="E687" s="4" t="s">
        <v>25</v>
      </c>
      <c r="F687" s="4" t="s">
        <v>25</v>
      </c>
      <c r="G687" s="4" t="s">
        <v>25</v>
      </c>
      <c r="H687" s="4" t="s">
        <v>25</v>
      </c>
      <c r="I687" s="5">
        <v>44531</v>
      </c>
      <c r="J687" s="6">
        <v>0</v>
      </c>
      <c r="K687" s="6">
        <v>0</v>
      </c>
      <c r="L687" s="6">
        <v>12.464</v>
      </c>
      <c r="M687" s="6">
        <v>12.464</v>
      </c>
      <c r="N687" s="6">
        <v>12.464</v>
      </c>
      <c r="O687" s="6">
        <v>12.464</v>
      </c>
      <c r="P687" s="6">
        <v>66</v>
      </c>
      <c r="Q687" s="4" t="s">
        <v>26</v>
      </c>
      <c r="R687" s="4">
        <v>0</v>
      </c>
      <c r="S687" s="4" t="s">
        <v>321</v>
      </c>
      <c r="T687" s="4" t="s">
        <v>543</v>
      </c>
      <c r="U687" s="4">
        <v>0</v>
      </c>
      <c r="V687" s="4">
        <v>43</v>
      </c>
      <c r="W687" s="4">
        <v>84</v>
      </c>
    </row>
    <row r="688" spans="1:23" ht="11.25" customHeight="1" x14ac:dyDescent="0.3">
      <c r="A688" s="4" t="s">
        <v>21</v>
      </c>
      <c r="B688" s="4" t="s">
        <v>43</v>
      </c>
      <c r="C688" s="4" t="s">
        <v>23</v>
      </c>
      <c r="D688" s="4" t="s">
        <v>44</v>
      </c>
      <c r="E688" s="4" t="s">
        <v>25</v>
      </c>
      <c r="F688" s="4" t="s">
        <v>25</v>
      </c>
      <c r="G688" s="4" t="s">
        <v>25</v>
      </c>
      <c r="H688" s="4" t="s">
        <v>25</v>
      </c>
      <c r="I688" s="5">
        <v>44562</v>
      </c>
      <c r="J688" s="6">
        <v>0</v>
      </c>
      <c r="K688" s="6">
        <v>0</v>
      </c>
      <c r="L688" s="6">
        <v>1167.3910000000001</v>
      </c>
      <c r="M688" s="6">
        <v>1167.3910000000001</v>
      </c>
      <c r="N688" s="6">
        <v>1167.3910000000001</v>
      </c>
      <c r="O688" s="6">
        <v>1167.3910000000001</v>
      </c>
      <c r="P688" s="6">
        <v>4510</v>
      </c>
      <c r="Q688" s="4" t="s">
        <v>26</v>
      </c>
      <c r="R688" s="4">
        <v>0</v>
      </c>
      <c r="S688" s="4" t="s">
        <v>322</v>
      </c>
      <c r="T688" s="4" t="s">
        <v>544</v>
      </c>
      <c r="U688" s="4">
        <v>0</v>
      </c>
      <c r="V688" s="4">
        <v>43</v>
      </c>
      <c r="W688" s="4">
        <v>84</v>
      </c>
    </row>
    <row r="689" spans="1:23" ht="11.25" customHeight="1" x14ac:dyDescent="0.3">
      <c r="A689" s="4" t="s">
        <v>28</v>
      </c>
      <c r="B689" s="4" t="s">
        <v>43</v>
      </c>
      <c r="C689" s="4" t="s">
        <v>23</v>
      </c>
      <c r="D689" s="4" t="s">
        <v>44</v>
      </c>
      <c r="E689" s="4" t="s">
        <v>25</v>
      </c>
      <c r="F689" s="4" t="s">
        <v>25</v>
      </c>
      <c r="G689" s="4" t="s">
        <v>25</v>
      </c>
      <c r="H689" s="4" t="s">
        <v>25</v>
      </c>
      <c r="I689" s="5">
        <v>44562</v>
      </c>
      <c r="J689" s="6">
        <v>0</v>
      </c>
      <c r="K689" s="6">
        <v>0</v>
      </c>
      <c r="L689" s="6">
        <v>17.41</v>
      </c>
      <c r="M689" s="6">
        <v>17.41</v>
      </c>
      <c r="N689" s="6">
        <v>17.41</v>
      </c>
      <c r="O689" s="6">
        <v>17.41</v>
      </c>
      <c r="P689" s="6">
        <v>70</v>
      </c>
      <c r="Q689" s="4" t="s">
        <v>26</v>
      </c>
      <c r="R689" s="4">
        <v>0</v>
      </c>
      <c r="S689" s="4" t="s">
        <v>322</v>
      </c>
      <c r="T689" s="4" t="s">
        <v>544</v>
      </c>
      <c r="U689" s="4">
        <v>0</v>
      </c>
      <c r="V689" s="4">
        <v>43</v>
      </c>
      <c r="W689" s="4">
        <v>84</v>
      </c>
    </row>
    <row r="690" spans="1:23" ht="11.25" customHeight="1" x14ac:dyDescent="0.3">
      <c r="A690" s="4" t="s">
        <v>21</v>
      </c>
      <c r="B690" s="4" t="s">
        <v>43</v>
      </c>
      <c r="C690" s="4" t="s">
        <v>23</v>
      </c>
      <c r="D690" s="4" t="s">
        <v>44</v>
      </c>
      <c r="E690" s="4" t="s">
        <v>25</v>
      </c>
      <c r="F690" s="4" t="s">
        <v>25</v>
      </c>
      <c r="G690" s="4" t="s">
        <v>25</v>
      </c>
      <c r="H690" s="4" t="s">
        <v>25</v>
      </c>
      <c r="I690" s="5">
        <v>44593</v>
      </c>
      <c r="J690" s="6">
        <v>0</v>
      </c>
      <c r="K690" s="6">
        <v>0</v>
      </c>
      <c r="L690" s="6">
        <v>1228.2760000000001</v>
      </c>
      <c r="M690" s="6">
        <v>1228.2760000000001</v>
      </c>
      <c r="N690" s="6">
        <v>1228.2760000000001</v>
      </c>
      <c r="O690" s="6">
        <v>1228.2760000000001</v>
      </c>
      <c r="P690" s="6">
        <v>4501</v>
      </c>
      <c r="Q690" s="4" t="s">
        <v>26</v>
      </c>
      <c r="R690" s="4">
        <v>0</v>
      </c>
      <c r="S690" s="4" t="s">
        <v>323</v>
      </c>
      <c r="T690" s="4" t="s">
        <v>545</v>
      </c>
      <c r="U690" s="4">
        <v>0</v>
      </c>
      <c r="V690" s="4">
        <v>43</v>
      </c>
      <c r="W690" s="4">
        <v>84</v>
      </c>
    </row>
    <row r="691" spans="1:23" ht="11.25" customHeight="1" x14ac:dyDescent="0.3">
      <c r="A691" s="4" t="s">
        <v>28</v>
      </c>
      <c r="B691" s="4" t="s">
        <v>43</v>
      </c>
      <c r="C691" s="4" t="s">
        <v>23</v>
      </c>
      <c r="D691" s="4" t="s">
        <v>44</v>
      </c>
      <c r="E691" s="4" t="s">
        <v>25</v>
      </c>
      <c r="F691" s="4" t="s">
        <v>25</v>
      </c>
      <c r="G691" s="4" t="s">
        <v>25</v>
      </c>
      <c r="H691" s="4" t="s">
        <v>25</v>
      </c>
      <c r="I691" s="5">
        <v>44593</v>
      </c>
      <c r="J691" s="6">
        <v>0</v>
      </c>
      <c r="K691" s="6">
        <v>0</v>
      </c>
      <c r="L691" s="6">
        <v>12.071999999999999</v>
      </c>
      <c r="M691" s="6">
        <v>12.071999999999999</v>
      </c>
      <c r="N691" s="6">
        <v>12.071999999999999</v>
      </c>
      <c r="O691" s="6">
        <v>12.071999999999999</v>
      </c>
      <c r="P691" s="6">
        <v>72</v>
      </c>
      <c r="Q691" s="4" t="s">
        <v>26</v>
      </c>
      <c r="R691" s="4">
        <v>0</v>
      </c>
      <c r="S691" s="4" t="s">
        <v>323</v>
      </c>
      <c r="T691" s="4" t="s">
        <v>545</v>
      </c>
      <c r="U691" s="4">
        <v>0</v>
      </c>
      <c r="V691" s="4">
        <v>43</v>
      </c>
      <c r="W691" s="4">
        <v>84</v>
      </c>
    </row>
    <row r="692" spans="1:23" ht="11.25" customHeight="1" x14ac:dyDescent="0.3">
      <c r="A692" s="4" t="s">
        <v>21</v>
      </c>
      <c r="B692" s="4" t="s">
        <v>43</v>
      </c>
      <c r="C692" s="4" t="s">
        <v>23</v>
      </c>
      <c r="D692" s="4" t="s">
        <v>44</v>
      </c>
      <c r="E692" s="4" t="s">
        <v>25</v>
      </c>
      <c r="F692" s="4" t="s">
        <v>25</v>
      </c>
      <c r="G692" s="4" t="s">
        <v>25</v>
      </c>
      <c r="H692" s="4" t="s">
        <v>25</v>
      </c>
      <c r="I692" s="5">
        <v>44621</v>
      </c>
      <c r="J692" s="6">
        <v>0</v>
      </c>
      <c r="K692" s="6">
        <v>0</v>
      </c>
      <c r="L692" s="6">
        <v>1114.348</v>
      </c>
      <c r="M692" s="6">
        <v>1114.348</v>
      </c>
      <c r="N692" s="6">
        <v>1114.348</v>
      </c>
      <c r="O692" s="6">
        <v>1114.348</v>
      </c>
      <c r="P692" s="6">
        <v>4482</v>
      </c>
      <c r="Q692" s="4" t="s">
        <v>26</v>
      </c>
      <c r="R692" s="4">
        <v>0</v>
      </c>
      <c r="S692" s="4" t="s">
        <v>324</v>
      </c>
      <c r="T692" s="4" t="s">
        <v>546</v>
      </c>
      <c r="U692" s="4">
        <v>0</v>
      </c>
      <c r="V692" s="4">
        <v>43</v>
      </c>
      <c r="W692" s="4">
        <v>84</v>
      </c>
    </row>
    <row r="693" spans="1:23" ht="11.25" customHeight="1" x14ac:dyDescent="0.3">
      <c r="A693" s="4" t="s">
        <v>28</v>
      </c>
      <c r="B693" s="4" t="s">
        <v>43</v>
      </c>
      <c r="C693" s="4" t="s">
        <v>23</v>
      </c>
      <c r="D693" s="4" t="s">
        <v>44</v>
      </c>
      <c r="E693" s="4" t="s">
        <v>25</v>
      </c>
      <c r="F693" s="4" t="s">
        <v>25</v>
      </c>
      <c r="G693" s="4" t="s">
        <v>25</v>
      </c>
      <c r="H693" s="4" t="s">
        <v>25</v>
      </c>
      <c r="I693" s="5">
        <v>44621</v>
      </c>
      <c r="J693" s="6">
        <v>0</v>
      </c>
      <c r="K693" s="6">
        <v>0</v>
      </c>
      <c r="L693" s="6">
        <v>11.337</v>
      </c>
      <c r="M693" s="6">
        <v>11.337</v>
      </c>
      <c r="N693" s="6">
        <v>11.337</v>
      </c>
      <c r="O693" s="6">
        <v>11.337</v>
      </c>
      <c r="P693" s="6">
        <v>82</v>
      </c>
      <c r="Q693" s="4" t="s">
        <v>26</v>
      </c>
      <c r="R693" s="4">
        <v>0</v>
      </c>
      <c r="S693" s="4" t="s">
        <v>324</v>
      </c>
      <c r="T693" s="4" t="s">
        <v>546</v>
      </c>
      <c r="U693" s="4">
        <v>0</v>
      </c>
      <c r="V693" s="4">
        <v>43</v>
      </c>
      <c r="W693" s="4">
        <v>84</v>
      </c>
    </row>
    <row r="694" spans="1:23" ht="11.25" customHeight="1" x14ac:dyDescent="0.3">
      <c r="A694" s="4" t="s">
        <v>21</v>
      </c>
      <c r="B694" s="4" t="s">
        <v>43</v>
      </c>
      <c r="C694" s="4" t="s">
        <v>23</v>
      </c>
      <c r="D694" s="4" t="s">
        <v>44</v>
      </c>
      <c r="E694" s="4" t="s">
        <v>25</v>
      </c>
      <c r="F694" s="4" t="s">
        <v>25</v>
      </c>
      <c r="G694" s="4" t="s">
        <v>25</v>
      </c>
      <c r="H694" s="4" t="s">
        <v>25</v>
      </c>
      <c r="I694" s="5">
        <v>44652</v>
      </c>
      <c r="J694" s="6">
        <v>0</v>
      </c>
      <c r="K694" s="6">
        <v>0</v>
      </c>
      <c r="L694" s="6">
        <v>1176.8989999999999</v>
      </c>
      <c r="M694" s="6">
        <v>1176.8989999999999</v>
      </c>
      <c r="N694" s="6">
        <v>1176.8989999999999</v>
      </c>
      <c r="O694" s="6">
        <v>1176.8989999999999</v>
      </c>
      <c r="P694" s="6">
        <v>4469</v>
      </c>
      <c r="Q694" s="4" t="s">
        <v>26</v>
      </c>
      <c r="R694" s="4">
        <v>0</v>
      </c>
      <c r="S694" s="4" t="s">
        <v>325</v>
      </c>
      <c r="T694" s="4" t="s">
        <v>547</v>
      </c>
      <c r="U694" s="4">
        <v>0</v>
      </c>
      <c r="V694" s="4">
        <v>43</v>
      </c>
      <c r="W694" s="4">
        <v>84</v>
      </c>
    </row>
    <row r="695" spans="1:23" ht="11.25" customHeight="1" x14ac:dyDescent="0.3">
      <c r="A695" s="4" t="s">
        <v>28</v>
      </c>
      <c r="B695" s="4" t="s">
        <v>43</v>
      </c>
      <c r="C695" s="4" t="s">
        <v>23</v>
      </c>
      <c r="D695" s="4" t="s">
        <v>44</v>
      </c>
      <c r="E695" s="4" t="s">
        <v>25</v>
      </c>
      <c r="F695" s="4" t="s">
        <v>25</v>
      </c>
      <c r="G695" s="4" t="s">
        <v>25</v>
      </c>
      <c r="H695" s="4" t="s">
        <v>25</v>
      </c>
      <c r="I695" s="5">
        <v>44652</v>
      </c>
      <c r="J695" s="6">
        <v>0</v>
      </c>
      <c r="K695" s="6">
        <v>0</v>
      </c>
      <c r="L695" s="6">
        <v>27.274000000000001</v>
      </c>
      <c r="M695" s="6">
        <v>27.274000000000001</v>
      </c>
      <c r="N695" s="6">
        <v>27.274000000000001</v>
      </c>
      <c r="O695" s="6">
        <v>27.274000000000001</v>
      </c>
      <c r="P695" s="6">
        <v>91</v>
      </c>
      <c r="Q695" s="4" t="s">
        <v>26</v>
      </c>
      <c r="R695" s="4">
        <v>0</v>
      </c>
      <c r="S695" s="4" t="s">
        <v>325</v>
      </c>
      <c r="T695" s="4" t="s">
        <v>547</v>
      </c>
      <c r="U695" s="4">
        <v>0</v>
      </c>
      <c r="V695" s="4">
        <v>43</v>
      </c>
      <c r="W695" s="4">
        <v>84</v>
      </c>
    </row>
    <row r="696" spans="1:23" ht="11.25" customHeight="1" x14ac:dyDescent="0.3">
      <c r="A696" s="4" t="s">
        <v>21</v>
      </c>
      <c r="B696" s="4" t="s">
        <v>43</v>
      </c>
      <c r="C696" s="4" t="s">
        <v>23</v>
      </c>
      <c r="D696" s="4" t="s">
        <v>44</v>
      </c>
      <c r="E696" s="4" t="s">
        <v>25</v>
      </c>
      <c r="F696" s="4" t="s">
        <v>25</v>
      </c>
      <c r="G696" s="4" t="s">
        <v>25</v>
      </c>
      <c r="H696" s="4" t="s">
        <v>25</v>
      </c>
      <c r="I696" s="5">
        <v>44682</v>
      </c>
      <c r="J696" s="6">
        <v>0</v>
      </c>
      <c r="K696" s="6">
        <v>0</v>
      </c>
      <c r="L696" s="6">
        <v>1273.9549999999999</v>
      </c>
      <c r="M696" s="6">
        <v>1273.9549999999999</v>
      </c>
      <c r="N696" s="6">
        <v>1273.9549999999999</v>
      </c>
      <c r="O696" s="6">
        <v>1273.9549999999999</v>
      </c>
      <c r="P696" s="6">
        <v>4481</v>
      </c>
      <c r="Q696" s="4" t="s">
        <v>26</v>
      </c>
      <c r="R696" s="4">
        <v>0</v>
      </c>
      <c r="S696" s="4" t="s">
        <v>326</v>
      </c>
      <c r="T696" s="4" t="s">
        <v>548</v>
      </c>
      <c r="U696" s="4">
        <v>0</v>
      </c>
      <c r="V696" s="4">
        <v>43</v>
      </c>
      <c r="W696" s="4">
        <v>84</v>
      </c>
    </row>
    <row r="697" spans="1:23" ht="11.25" customHeight="1" x14ac:dyDescent="0.3">
      <c r="A697" s="4" t="s">
        <v>28</v>
      </c>
      <c r="B697" s="4" t="s">
        <v>43</v>
      </c>
      <c r="C697" s="4" t="s">
        <v>23</v>
      </c>
      <c r="D697" s="4" t="s">
        <v>44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44682</v>
      </c>
      <c r="J697" s="6">
        <v>0</v>
      </c>
      <c r="K697" s="6">
        <v>0</v>
      </c>
      <c r="L697" s="6">
        <v>24.559000000000001</v>
      </c>
      <c r="M697" s="6">
        <v>24.559000000000001</v>
      </c>
      <c r="N697" s="6">
        <v>24.559000000000001</v>
      </c>
      <c r="O697" s="6">
        <v>24.559000000000001</v>
      </c>
      <c r="P697" s="6">
        <v>100</v>
      </c>
      <c r="Q697" s="4" t="s">
        <v>26</v>
      </c>
      <c r="R697" s="4">
        <v>0</v>
      </c>
      <c r="S697" s="4" t="s">
        <v>326</v>
      </c>
      <c r="T697" s="4" t="s">
        <v>548</v>
      </c>
      <c r="U697" s="4">
        <v>0</v>
      </c>
      <c r="V697" s="4">
        <v>43</v>
      </c>
      <c r="W697" s="4">
        <v>84</v>
      </c>
    </row>
    <row r="698" spans="1:23" ht="11.25" customHeight="1" x14ac:dyDescent="0.3">
      <c r="A698" s="4" t="s">
        <v>21</v>
      </c>
      <c r="B698" s="4" t="s">
        <v>43</v>
      </c>
      <c r="C698" s="4" t="s">
        <v>23</v>
      </c>
      <c r="D698" s="4" t="s">
        <v>44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44713</v>
      </c>
      <c r="J698" s="6">
        <v>0</v>
      </c>
      <c r="K698" s="6">
        <v>0</v>
      </c>
      <c r="L698" s="6">
        <v>1163.0940000000001</v>
      </c>
      <c r="M698" s="6">
        <v>1163.0940000000001</v>
      </c>
      <c r="N698" s="6">
        <v>1163.0940000000001</v>
      </c>
      <c r="O698" s="6">
        <v>1163.0940000000001</v>
      </c>
      <c r="P698" s="6">
        <v>4476</v>
      </c>
      <c r="Q698" s="4" t="s">
        <v>26</v>
      </c>
      <c r="R698" s="4">
        <v>0</v>
      </c>
      <c r="S698" s="4" t="s">
        <v>327</v>
      </c>
      <c r="T698" s="4" t="s">
        <v>549</v>
      </c>
      <c r="U698" s="4">
        <v>0</v>
      </c>
      <c r="V698" s="4">
        <v>43</v>
      </c>
      <c r="W698" s="4">
        <v>84</v>
      </c>
    </row>
    <row r="699" spans="1:23" ht="11.25" customHeight="1" x14ac:dyDescent="0.3">
      <c r="A699" s="4" t="s">
        <v>28</v>
      </c>
      <c r="B699" s="4" t="s">
        <v>43</v>
      </c>
      <c r="C699" s="4" t="s">
        <v>23</v>
      </c>
      <c r="D699" s="4" t="s">
        <v>44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44713</v>
      </c>
      <c r="J699" s="6">
        <v>0</v>
      </c>
      <c r="K699" s="6">
        <v>0</v>
      </c>
      <c r="L699" s="6">
        <v>23.04</v>
      </c>
      <c r="M699" s="6">
        <v>23.04</v>
      </c>
      <c r="N699" s="6">
        <v>23.04</v>
      </c>
      <c r="O699" s="6">
        <v>23.04</v>
      </c>
      <c r="P699" s="6">
        <v>105</v>
      </c>
      <c r="Q699" s="4" t="s">
        <v>26</v>
      </c>
      <c r="R699" s="4">
        <v>0</v>
      </c>
      <c r="S699" s="4" t="s">
        <v>327</v>
      </c>
      <c r="T699" s="4" t="s">
        <v>549</v>
      </c>
      <c r="U699" s="4">
        <v>0</v>
      </c>
      <c r="V699" s="4">
        <v>43</v>
      </c>
      <c r="W699" s="4">
        <v>84</v>
      </c>
    </row>
    <row r="700" spans="1:23" ht="11.25" customHeight="1" x14ac:dyDescent="0.3">
      <c r="A700" s="4" t="s">
        <v>21</v>
      </c>
      <c r="B700" s="4" t="s">
        <v>43</v>
      </c>
      <c r="C700" s="4" t="s">
        <v>23</v>
      </c>
      <c r="D700" s="4" t="s">
        <v>44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44743</v>
      </c>
      <c r="J700" s="6">
        <v>0</v>
      </c>
      <c r="K700" s="6">
        <v>0</v>
      </c>
      <c r="L700" s="6">
        <v>1133.1010000000001</v>
      </c>
      <c r="M700" s="6">
        <v>1133.1010000000001</v>
      </c>
      <c r="N700" s="6">
        <v>1133.1010000000001</v>
      </c>
      <c r="O700" s="6">
        <v>1133.1010000000001</v>
      </c>
      <c r="P700" s="6">
        <v>4468</v>
      </c>
      <c r="Q700" s="4" t="s">
        <v>26</v>
      </c>
      <c r="R700" s="4">
        <v>0</v>
      </c>
      <c r="S700" s="4" t="s">
        <v>328</v>
      </c>
      <c r="T700" s="4" t="s">
        <v>550</v>
      </c>
      <c r="U700" s="4">
        <v>0</v>
      </c>
      <c r="V700" s="4">
        <v>43</v>
      </c>
      <c r="W700" s="4">
        <v>84</v>
      </c>
    </row>
    <row r="701" spans="1:23" ht="11.25" customHeight="1" x14ac:dyDescent="0.3">
      <c r="A701" s="4" t="s">
        <v>28</v>
      </c>
      <c r="B701" s="4" t="s">
        <v>43</v>
      </c>
      <c r="C701" s="4" t="s">
        <v>23</v>
      </c>
      <c r="D701" s="4" t="s">
        <v>44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44743</v>
      </c>
      <c r="J701" s="6">
        <v>0</v>
      </c>
      <c r="K701" s="6">
        <v>0</v>
      </c>
      <c r="L701" s="6">
        <v>25.085000000000001</v>
      </c>
      <c r="M701" s="6">
        <v>25.085000000000001</v>
      </c>
      <c r="N701" s="6">
        <v>25.085000000000001</v>
      </c>
      <c r="O701" s="6">
        <v>25.085000000000001</v>
      </c>
      <c r="P701" s="6">
        <v>109</v>
      </c>
      <c r="Q701" s="4" t="s">
        <v>26</v>
      </c>
      <c r="R701" s="4">
        <v>0</v>
      </c>
      <c r="S701" s="4" t="s">
        <v>328</v>
      </c>
      <c r="T701" s="4" t="s">
        <v>550</v>
      </c>
      <c r="U701" s="4">
        <v>0</v>
      </c>
      <c r="V701" s="4">
        <v>43</v>
      </c>
      <c r="W701" s="4">
        <v>84</v>
      </c>
    </row>
    <row r="702" spans="1:23" ht="11.25" customHeight="1" x14ac:dyDescent="0.3">
      <c r="A702" s="4" t="s">
        <v>21</v>
      </c>
      <c r="B702" s="4" t="s">
        <v>43</v>
      </c>
      <c r="C702" s="4" t="s">
        <v>23</v>
      </c>
      <c r="D702" s="4" t="s">
        <v>44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44774</v>
      </c>
      <c r="J702" s="6">
        <v>0</v>
      </c>
      <c r="K702" s="6">
        <v>0</v>
      </c>
      <c r="L702" s="6">
        <v>1323.0640000000001</v>
      </c>
      <c r="M702" s="6">
        <v>1323.0640000000001</v>
      </c>
      <c r="N702" s="6">
        <v>1323.0640000000001</v>
      </c>
      <c r="O702" s="6">
        <v>1323.0640000000001</v>
      </c>
      <c r="P702" s="6">
        <v>4459</v>
      </c>
      <c r="Q702" s="4" t="s">
        <v>26</v>
      </c>
      <c r="R702" s="4">
        <v>0</v>
      </c>
      <c r="S702" s="4" t="s">
        <v>329</v>
      </c>
      <c r="T702" s="4" t="s">
        <v>551</v>
      </c>
      <c r="U702" s="4">
        <v>0</v>
      </c>
      <c r="V702" s="4">
        <v>43</v>
      </c>
      <c r="W702" s="4">
        <v>84</v>
      </c>
    </row>
    <row r="703" spans="1:23" ht="11.25" customHeight="1" x14ac:dyDescent="0.3">
      <c r="A703" s="4" t="s">
        <v>28</v>
      </c>
      <c r="B703" s="4" t="s">
        <v>43</v>
      </c>
      <c r="C703" s="4" t="s">
        <v>23</v>
      </c>
      <c r="D703" s="4" t="s">
        <v>44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44774</v>
      </c>
      <c r="J703" s="6">
        <v>0</v>
      </c>
      <c r="K703" s="6">
        <v>0</v>
      </c>
      <c r="L703" s="6">
        <v>24.838999999999999</v>
      </c>
      <c r="M703" s="6">
        <v>24.838999999999999</v>
      </c>
      <c r="N703" s="6">
        <v>24.838999999999999</v>
      </c>
      <c r="O703" s="6">
        <v>24.838999999999999</v>
      </c>
      <c r="P703" s="6">
        <v>117</v>
      </c>
      <c r="Q703" s="4" t="s">
        <v>26</v>
      </c>
      <c r="R703" s="4">
        <v>0</v>
      </c>
      <c r="S703" s="4" t="s">
        <v>329</v>
      </c>
      <c r="T703" s="4" t="s">
        <v>551</v>
      </c>
      <c r="U703" s="4">
        <v>0</v>
      </c>
      <c r="V703" s="4">
        <v>43</v>
      </c>
      <c r="W703" s="4">
        <v>84</v>
      </c>
    </row>
    <row r="704" spans="1:23" ht="11.25" customHeight="1" x14ac:dyDescent="0.3">
      <c r="A704" s="4" t="s">
        <v>21</v>
      </c>
      <c r="B704" s="4" t="s">
        <v>43</v>
      </c>
      <c r="C704" s="4" t="s">
        <v>23</v>
      </c>
      <c r="D704" s="4" t="s">
        <v>44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44805</v>
      </c>
      <c r="J704" s="6">
        <v>0</v>
      </c>
      <c r="K704" s="6">
        <v>0</v>
      </c>
      <c r="L704" s="6">
        <v>1539.942</v>
      </c>
      <c r="M704" s="6">
        <v>1539.942</v>
      </c>
      <c r="N704" s="6">
        <v>1539.942</v>
      </c>
      <c r="O704" s="6">
        <v>1539.942</v>
      </c>
      <c r="P704" s="6">
        <v>4452</v>
      </c>
      <c r="Q704" s="4" t="s">
        <v>26</v>
      </c>
      <c r="R704" s="4">
        <v>0</v>
      </c>
      <c r="S704" s="4" t="s">
        <v>330</v>
      </c>
      <c r="T704" s="4" t="s">
        <v>552</v>
      </c>
      <c r="U704" s="4">
        <v>0</v>
      </c>
      <c r="V704" s="4">
        <v>43</v>
      </c>
      <c r="W704" s="4">
        <v>84</v>
      </c>
    </row>
    <row r="705" spans="1:23" ht="11.25" customHeight="1" x14ac:dyDescent="0.3">
      <c r="A705" s="4" t="s">
        <v>28</v>
      </c>
      <c r="B705" s="4" t="s">
        <v>43</v>
      </c>
      <c r="C705" s="4" t="s">
        <v>23</v>
      </c>
      <c r="D705" s="4" t="s">
        <v>44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44805</v>
      </c>
      <c r="J705" s="6">
        <v>0</v>
      </c>
      <c r="K705" s="6">
        <v>0</v>
      </c>
      <c r="L705" s="6">
        <v>27.417000000000002</v>
      </c>
      <c r="M705" s="6">
        <v>27.417000000000002</v>
      </c>
      <c r="N705" s="6">
        <v>27.417000000000002</v>
      </c>
      <c r="O705" s="6">
        <v>27.417000000000002</v>
      </c>
      <c r="P705" s="6">
        <v>125</v>
      </c>
      <c r="Q705" s="4" t="s">
        <v>26</v>
      </c>
      <c r="R705" s="4">
        <v>0</v>
      </c>
      <c r="S705" s="4" t="s">
        <v>330</v>
      </c>
      <c r="T705" s="4" t="s">
        <v>552</v>
      </c>
      <c r="U705" s="4">
        <v>0</v>
      </c>
      <c r="V705" s="4">
        <v>43</v>
      </c>
      <c r="W705" s="4">
        <v>84</v>
      </c>
    </row>
    <row r="706" spans="1:23" ht="11.25" customHeight="1" x14ac:dyDescent="0.3">
      <c r="A706" s="4" t="s">
        <v>57</v>
      </c>
      <c r="B706" s="4" t="s">
        <v>43</v>
      </c>
      <c r="C706" s="4" t="s">
        <v>23</v>
      </c>
      <c r="D706" s="4" t="s">
        <v>44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44835</v>
      </c>
      <c r="J706" s="6">
        <v>0</v>
      </c>
      <c r="K706" s="6">
        <v>0</v>
      </c>
      <c r="L706" s="6">
        <v>1539.942</v>
      </c>
      <c r="M706" s="6">
        <v>1539.942</v>
      </c>
      <c r="N706" s="6">
        <v>1539.942</v>
      </c>
      <c r="O706" s="6">
        <v>1539.942</v>
      </c>
      <c r="P706" s="6">
        <v>4452</v>
      </c>
      <c r="Q706" s="4" t="s">
        <v>26</v>
      </c>
      <c r="R706" s="4">
        <v>0</v>
      </c>
      <c r="S706" s="4" t="s">
        <v>331</v>
      </c>
      <c r="T706" s="4" t="s">
        <v>553</v>
      </c>
      <c r="U706" s="4">
        <v>0</v>
      </c>
      <c r="V706" s="4">
        <v>43</v>
      </c>
      <c r="W706" s="4">
        <v>84</v>
      </c>
    </row>
    <row r="707" spans="1:23" ht="11.25" customHeight="1" x14ac:dyDescent="0.3">
      <c r="A707" s="4" t="s">
        <v>57</v>
      </c>
      <c r="B707" s="4" t="s">
        <v>43</v>
      </c>
      <c r="C707" s="4" t="s">
        <v>23</v>
      </c>
      <c r="D707" s="4" t="s">
        <v>44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44835</v>
      </c>
      <c r="J707" s="6">
        <v>0</v>
      </c>
      <c r="K707" s="6">
        <v>0</v>
      </c>
      <c r="L707" s="6">
        <v>27.417000000000002</v>
      </c>
      <c r="M707" s="6">
        <v>27.417000000000002</v>
      </c>
      <c r="N707" s="6">
        <v>27.417000000000002</v>
      </c>
      <c r="O707" s="6">
        <v>27.417000000000002</v>
      </c>
      <c r="P707" s="6">
        <v>125</v>
      </c>
      <c r="Q707" s="4" t="s">
        <v>26</v>
      </c>
      <c r="R707" s="4">
        <v>0</v>
      </c>
      <c r="S707" s="4" t="s">
        <v>331</v>
      </c>
      <c r="T707" s="4" t="s">
        <v>553</v>
      </c>
      <c r="U707" s="4">
        <v>0</v>
      </c>
      <c r="V707" s="4">
        <v>43</v>
      </c>
      <c r="W707" s="4">
        <v>84</v>
      </c>
    </row>
    <row r="708" spans="1:23" ht="11.25" customHeight="1" x14ac:dyDescent="0.3">
      <c r="A708" s="4" t="s">
        <v>21</v>
      </c>
      <c r="B708" s="4" t="s">
        <v>37</v>
      </c>
      <c r="C708" s="4" t="s">
        <v>33</v>
      </c>
      <c r="D708" s="4" t="s">
        <v>41</v>
      </c>
      <c r="E708" s="4" t="s">
        <v>25</v>
      </c>
      <c r="F708" s="4" t="s">
        <v>25</v>
      </c>
      <c r="G708" s="4" t="s">
        <v>25</v>
      </c>
      <c r="H708" s="4" t="s">
        <v>35</v>
      </c>
      <c r="I708" s="5">
        <v>44501</v>
      </c>
      <c r="J708" s="6">
        <v>0</v>
      </c>
      <c r="K708" s="6">
        <v>0</v>
      </c>
      <c r="L708" s="6">
        <v>7.7889999999999997</v>
      </c>
      <c r="M708" s="6">
        <v>7.7889999999999997</v>
      </c>
      <c r="N708" s="6">
        <v>7.7889999999999997</v>
      </c>
      <c r="O708" s="6">
        <v>7.7889999999999997</v>
      </c>
      <c r="P708" s="6">
        <v>0</v>
      </c>
      <c r="Q708" s="4" t="s">
        <v>26</v>
      </c>
      <c r="R708" s="4">
        <v>0</v>
      </c>
      <c r="S708" s="4" t="s">
        <v>332</v>
      </c>
      <c r="T708" s="4" t="s">
        <v>554</v>
      </c>
      <c r="U708" s="4">
        <v>0</v>
      </c>
      <c r="V708" s="4">
        <v>57</v>
      </c>
      <c r="W708" s="4">
        <v>98</v>
      </c>
    </row>
    <row r="709" spans="1:23" ht="11.25" customHeight="1" x14ac:dyDescent="0.3">
      <c r="A709" s="4" t="s">
        <v>21</v>
      </c>
      <c r="B709" s="4" t="s">
        <v>37</v>
      </c>
      <c r="C709" s="4" t="s">
        <v>33</v>
      </c>
      <c r="D709" s="4" t="s">
        <v>41</v>
      </c>
      <c r="E709" s="4" t="s">
        <v>25</v>
      </c>
      <c r="F709" s="4" t="s">
        <v>25</v>
      </c>
      <c r="G709" s="4" t="s">
        <v>25</v>
      </c>
      <c r="H709" s="4" t="s">
        <v>35</v>
      </c>
      <c r="I709" s="5">
        <v>44531</v>
      </c>
      <c r="J709" s="6">
        <v>0</v>
      </c>
      <c r="K709" s="6">
        <v>0</v>
      </c>
      <c r="L709" s="6">
        <v>6.8789999999999996</v>
      </c>
      <c r="M709" s="6">
        <v>6.8789999999999996</v>
      </c>
      <c r="N709" s="6">
        <v>6.8789999999999996</v>
      </c>
      <c r="O709" s="6">
        <v>6.8789999999999996</v>
      </c>
      <c r="P709" s="6">
        <v>0</v>
      </c>
      <c r="Q709" s="4" t="s">
        <v>26</v>
      </c>
      <c r="R709" s="4">
        <v>0</v>
      </c>
      <c r="S709" s="4" t="s">
        <v>333</v>
      </c>
      <c r="T709" s="4" t="s">
        <v>555</v>
      </c>
      <c r="U709" s="4">
        <v>0</v>
      </c>
      <c r="V709" s="4">
        <v>57</v>
      </c>
      <c r="W709" s="4">
        <v>98</v>
      </c>
    </row>
    <row r="710" spans="1:23" ht="11.25" customHeight="1" x14ac:dyDescent="0.3">
      <c r="A710" s="4" t="s">
        <v>21</v>
      </c>
      <c r="B710" s="4" t="s">
        <v>37</v>
      </c>
      <c r="C710" s="4" t="s">
        <v>33</v>
      </c>
      <c r="D710" s="4" t="s">
        <v>41</v>
      </c>
      <c r="E710" s="4" t="s">
        <v>25</v>
      </c>
      <c r="F710" s="4" t="s">
        <v>25</v>
      </c>
      <c r="G710" s="4" t="s">
        <v>25</v>
      </c>
      <c r="H710" s="4" t="s">
        <v>35</v>
      </c>
      <c r="I710" s="5">
        <v>44562</v>
      </c>
      <c r="J710" s="6">
        <v>0</v>
      </c>
      <c r="K710" s="6">
        <v>0</v>
      </c>
      <c r="L710" s="6">
        <v>7.7439999999999998</v>
      </c>
      <c r="M710" s="6">
        <v>7.7439999999999998</v>
      </c>
      <c r="N710" s="6">
        <v>7.7439999999999998</v>
      </c>
      <c r="O710" s="6">
        <v>7.7439999999999998</v>
      </c>
      <c r="P710" s="6">
        <v>0</v>
      </c>
      <c r="Q710" s="4" t="s">
        <v>26</v>
      </c>
      <c r="R710" s="4">
        <v>0</v>
      </c>
      <c r="S710" s="4" t="s">
        <v>334</v>
      </c>
      <c r="T710" s="4" t="s">
        <v>556</v>
      </c>
      <c r="U710" s="4">
        <v>0</v>
      </c>
      <c r="V710" s="4">
        <v>57</v>
      </c>
      <c r="W710" s="4">
        <v>98</v>
      </c>
    </row>
    <row r="711" spans="1:23" ht="11.25" customHeight="1" x14ac:dyDescent="0.3">
      <c r="A711" s="4" t="s">
        <v>21</v>
      </c>
      <c r="B711" s="4" t="s">
        <v>37</v>
      </c>
      <c r="C711" s="4" t="s">
        <v>33</v>
      </c>
      <c r="D711" s="4" t="s">
        <v>41</v>
      </c>
      <c r="E711" s="4" t="s">
        <v>25</v>
      </c>
      <c r="F711" s="4" t="s">
        <v>25</v>
      </c>
      <c r="G711" s="4" t="s">
        <v>25</v>
      </c>
      <c r="H711" s="4" t="s">
        <v>35</v>
      </c>
      <c r="I711" s="5">
        <v>44593</v>
      </c>
      <c r="J711" s="6">
        <v>0</v>
      </c>
      <c r="K711" s="6">
        <v>0</v>
      </c>
      <c r="L711" s="6">
        <v>7.1369999999999996</v>
      </c>
      <c r="M711" s="6">
        <v>7.1369999999999996</v>
      </c>
      <c r="N711" s="6">
        <v>7.1369999999999996</v>
      </c>
      <c r="O711" s="6">
        <v>7.1369999999999996</v>
      </c>
      <c r="P711" s="6">
        <v>0</v>
      </c>
      <c r="Q711" s="4" t="s">
        <v>26</v>
      </c>
      <c r="R711" s="4">
        <v>0</v>
      </c>
      <c r="S711" s="4" t="s">
        <v>335</v>
      </c>
      <c r="T711" s="4" t="s">
        <v>557</v>
      </c>
      <c r="U711" s="4">
        <v>0</v>
      </c>
      <c r="V711" s="4">
        <v>57</v>
      </c>
      <c r="W711" s="4">
        <v>98</v>
      </c>
    </row>
    <row r="712" spans="1:23" ht="11.25" customHeight="1" x14ac:dyDescent="0.3">
      <c r="A712" s="4" t="s">
        <v>21</v>
      </c>
      <c r="B712" s="4" t="s">
        <v>37</v>
      </c>
      <c r="C712" s="4" t="s">
        <v>33</v>
      </c>
      <c r="D712" s="4" t="s">
        <v>41</v>
      </c>
      <c r="E712" s="4" t="s">
        <v>25</v>
      </c>
      <c r="F712" s="4" t="s">
        <v>25</v>
      </c>
      <c r="G712" s="4" t="s">
        <v>25</v>
      </c>
      <c r="H712" s="4" t="s">
        <v>35</v>
      </c>
      <c r="I712" s="5">
        <v>44621</v>
      </c>
      <c r="J712" s="6">
        <v>0</v>
      </c>
      <c r="K712" s="6">
        <v>0</v>
      </c>
      <c r="L712" s="6">
        <v>6.2789999999999999</v>
      </c>
      <c r="M712" s="6">
        <v>6.2789999999999999</v>
      </c>
      <c r="N712" s="6">
        <v>6.2789999999999999</v>
      </c>
      <c r="O712" s="6">
        <v>6.2789999999999999</v>
      </c>
      <c r="P712" s="6">
        <v>0</v>
      </c>
      <c r="Q712" s="4" t="s">
        <v>26</v>
      </c>
      <c r="R712" s="4">
        <v>0</v>
      </c>
      <c r="S712" s="4" t="s">
        <v>336</v>
      </c>
      <c r="T712" s="4" t="s">
        <v>558</v>
      </c>
      <c r="U712" s="4">
        <v>0</v>
      </c>
      <c r="V712" s="4">
        <v>57</v>
      </c>
      <c r="W712" s="4">
        <v>98</v>
      </c>
    </row>
    <row r="713" spans="1:23" ht="11.25" customHeight="1" x14ac:dyDescent="0.3">
      <c r="A713" s="4" t="s">
        <v>21</v>
      </c>
      <c r="B713" s="4" t="s">
        <v>37</v>
      </c>
      <c r="C713" s="4" t="s">
        <v>33</v>
      </c>
      <c r="D713" s="4" t="s">
        <v>41</v>
      </c>
      <c r="E713" s="4" t="s">
        <v>25</v>
      </c>
      <c r="F713" s="4" t="s">
        <v>25</v>
      </c>
      <c r="G713" s="4" t="s">
        <v>25</v>
      </c>
      <c r="H713" s="4" t="s">
        <v>35</v>
      </c>
      <c r="I713" s="5">
        <v>44652</v>
      </c>
      <c r="J713" s="6">
        <v>0</v>
      </c>
      <c r="K713" s="6">
        <v>0</v>
      </c>
      <c r="L713" s="6">
        <v>7.7119999999999997</v>
      </c>
      <c r="M713" s="6">
        <v>7.7119999999999997</v>
      </c>
      <c r="N713" s="6">
        <v>7.7119999999999997</v>
      </c>
      <c r="O713" s="6">
        <v>7.7119999999999997</v>
      </c>
      <c r="P713" s="6">
        <v>0</v>
      </c>
      <c r="Q713" s="4" t="s">
        <v>26</v>
      </c>
      <c r="R713" s="4">
        <v>0</v>
      </c>
      <c r="S713" s="4" t="s">
        <v>337</v>
      </c>
      <c r="T713" s="4" t="s">
        <v>559</v>
      </c>
      <c r="U713" s="4">
        <v>0</v>
      </c>
      <c r="V713" s="4">
        <v>57</v>
      </c>
      <c r="W713" s="4">
        <v>98</v>
      </c>
    </row>
    <row r="714" spans="1:23" ht="11.25" customHeight="1" x14ac:dyDescent="0.3">
      <c r="A714" s="4" t="s">
        <v>21</v>
      </c>
      <c r="B714" s="4" t="s">
        <v>37</v>
      </c>
      <c r="C714" s="4" t="s">
        <v>33</v>
      </c>
      <c r="D714" s="4" t="s">
        <v>41</v>
      </c>
      <c r="E714" s="4" t="s">
        <v>25</v>
      </c>
      <c r="F714" s="4" t="s">
        <v>25</v>
      </c>
      <c r="G714" s="4" t="s">
        <v>25</v>
      </c>
      <c r="H714" s="4" t="s">
        <v>35</v>
      </c>
      <c r="I714" s="5">
        <v>44682</v>
      </c>
      <c r="J714" s="6">
        <v>0</v>
      </c>
      <c r="K714" s="6">
        <v>0</v>
      </c>
      <c r="L714" s="6">
        <v>8.8460000000000001</v>
      </c>
      <c r="M714" s="6">
        <v>8.8460000000000001</v>
      </c>
      <c r="N714" s="6">
        <v>8.8460000000000001</v>
      </c>
      <c r="O714" s="6">
        <v>8.8460000000000001</v>
      </c>
      <c r="P714" s="6">
        <v>0</v>
      </c>
      <c r="Q714" s="4" t="s">
        <v>26</v>
      </c>
      <c r="R714" s="4">
        <v>0</v>
      </c>
      <c r="S714" s="4" t="s">
        <v>338</v>
      </c>
      <c r="T714" s="4" t="s">
        <v>560</v>
      </c>
      <c r="U714" s="4">
        <v>0</v>
      </c>
      <c r="V714" s="4">
        <v>57</v>
      </c>
      <c r="W714" s="4">
        <v>98</v>
      </c>
    </row>
    <row r="715" spans="1:23" ht="11.25" customHeight="1" x14ac:dyDescent="0.3">
      <c r="A715" s="4" t="s">
        <v>21</v>
      </c>
      <c r="B715" s="4" t="s">
        <v>37</v>
      </c>
      <c r="C715" s="4" t="s">
        <v>33</v>
      </c>
      <c r="D715" s="4" t="s">
        <v>41</v>
      </c>
      <c r="E715" s="4" t="s">
        <v>25</v>
      </c>
      <c r="F715" s="4" t="s">
        <v>25</v>
      </c>
      <c r="G715" s="4" t="s">
        <v>25</v>
      </c>
      <c r="H715" s="4" t="s">
        <v>35</v>
      </c>
      <c r="I715" s="5">
        <v>44713</v>
      </c>
      <c r="J715" s="6">
        <v>0</v>
      </c>
      <c r="K715" s="6">
        <v>0</v>
      </c>
      <c r="L715" s="6">
        <v>5.734</v>
      </c>
      <c r="M715" s="6">
        <v>5.734</v>
      </c>
      <c r="N715" s="6">
        <v>5.734</v>
      </c>
      <c r="O715" s="6">
        <v>5.734</v>
      </c>
      <c r="P715" s="6">
        <v>0</v>
      </c>
      <c r="Q715" s="4" t="s">
        <v>26</v>
      </c>
      <c r="R715" s="4">
        <v>0</v>
      </c>
      <c r="S715" s="4" t="s">
        <v>339</v>
      </c>
      <c r="T715" s="4" t="s">
        <v>561</v>
      </c>
      <c r="U715" s="4">
        <v>0</v>
      </c>
      <c r="V715" s="4">
        <v>57</v>
      </c>
      <c r="W715" s="4">
        <v>98</v>
      </c>
    </row>
    <row r="716" spans="1:23" ht="11.25" customHeight="1" x14ac:dyDescent="0.3">
      <c r="A716" s="4" t="s">
        <v>28</v>
      </c>
      <c r="B716" s="4" t="s">
        <v>37</v>
      </c>
      <c r="C716" s="4" t="s">
        <v>33</v>
      </c>
      <c r="D716" s="4" t="s">
        <v>41</v>
      </c>
      <c r="E716" s="4" t="s">
        <v>25</v>
      </c>
      <c r="F716" s="4" t="s">
        <v>25</v>
      </c>
      <c r="G716" s="4" t="s">
        <v>25</v>
      </c>
      <c r="H716" s="4" t="s">
        <v>35</v>
      </c>
      <c r="I716" s="5">
        <v>44713</v>
      </c>
      <c r="J716" s="6">
        <v>0</v>
      </c>
      <c r="K716" s="6">
        <v>0</v>
      </c>
      <c r="L716" s="6">
        <v>0.309</v>
      </c>
      <c r="M716" s="6">
        <v>0.309</v>
      </c>
      <c r="N716" s="6">
        <v>0.309</v>
      </c>
      <c r="O716" s="6">
        <v>0.309</v>
      </c>
      <c r="P716" s="6">
        <v>0</v>
      </c>
      <c r="Q716" s="4" t="s">
        <v>26</v>
      </c>
      <c r="R716" s="4">
        <v>0</v>
      </c>
      <c r="S716" s="4" t="s">
        <v>339</v>
      </c>
      <c r="T716" s="4" t="s">
        <v>561</v>
      </c>
      <c r="U716" s="4">
        <v>0</v>
      </c>
      <c r="V716" s="4">
        <v>57</v>
      </c>
      <c r="W716" s="4">
        <v>98</v>
      </c>
    </row>
    <row r="717" spans="1:23" ht="11.25" customHeight="1" x14ac:dyDescent="0.3">
      <c r="A717" s="4" t="s">
        <v>21</v>
      </c>
      <c r="B717" s="4" t="s">
        <v>37</v>
      </c>
      <c r="C717" s="4" t="s">
        <v>33</v>
      </c>
      <c r="D717" s="4" t="s">
        <v>41</v>
      </c>
      <c r="E717" s="4" t="s">
        <v>25</v>
      </c>
      <c r="F717" s="4" t="s">
        <v>25</v>
      </c>
      <c r="G717" s="4" t="s">
        <v>25</v>
      </c>
      <c r="H717" s="4" t="s">
        <v>35</v>
      </c>
      <c r="I717" s="5">
        <v>44743</v>
      </c>
      <c r="J717" s="6">
        <v>0</v>
      </c>
      <c r="K717" s="6">
        <v>0</v>
      </c>
      <c r="L717" s="6">
        <v>6.3289999999999997</v>
      </c>
      <c r="M717" s="6">
        <v>6.3289999999999997</v>
      </c>
      <c r="N717" s="6">
        <v>6.3289999999999997</v>
      </c>
      <c r="O717" s="6">
        <v>6.3289999999999997</v>
      </c>
      <c r="P717" s="6">
        <v>0</v>
      </c>
      <c r="Q717" s="4" t="s">
        <v>26</v>
      </c>
      <c r="R717" s="4">
        <v>0</v>
      </c>
      <c r="S717" s="4" t="s">
        <v>340</v>
      </c>
      <c r="T717" s="4" t="s">
        <v>562</v>
      </c>
      <c r="U717" s="4">
        <v>0</v>
      </c>
      <c r="V717" s="4">
        <v>57</v>
      </c>
      <c r="W717" s="4">
        <v>98</v>
      </c>
    </row>
    <row r="718" spans="1:23" ht="11.25" customHeight="1" x14ac:dyDescent="0.3">
      <c r="A718" s="4" t="s">
        <v>21</v>
      </c>
      <c r="B718" s="4" t="s">
        <v>37</v>
      </c>
      <c r="C718" s="4" t="s">
        <v>33</v>
      </c>
      <c r="D718" s="4" t="s">
        <v>41</v>
      </c>
      <c r="E718" s="4" t="s">
        <v>25</v>
      </c>
      <c r="F718" s="4" t="s">
        <v>25</v>
      </c>
      <c r="G718" s="4" t="s">
        <v>25</v>
      </c>
      <c r="H718" s="4" t="s">
        <v>35</v>
      </c>
      <c r="I718" s="5">
        <v>44774</v>
      </c>
      <c r="J718" s="6">
        <v>0</v>
      </c>
      <c r="K718" s="6">
        <v>0</v>
      </c>
      <c r="L718" s="6">
        <v>5.601</v>
      </c>
      <c r="M718" s="6">
        <v>5.601</v>
      </c>
      <c r="N718" s="6">
        <v>5.601</v>
      </c>
      <c r="O718" s="6">
        <v>5.601</v>
      </c>
      <c r="P718" s="6">
        <v>0</v>
      </c>
      <c r="Q718" s="4" t="s">
        <v>26</v>
      </c>
      <c r="R718" s="4">
        <v>0</v>
      </c>
      <c r="S718" s="4" t="s">
        <v>341</v>
      </c>
      <c r="T718" s="4" t="s">
        <v>563</v>
      </c>
      <c r="U718" s="4">
        <v>0</v>
      </c>
      <c r="V718" s="4">
        <v>57</v>
      </c>
      <c r="W718" s="4">
        <v>98</v>
      </c>
    </row>
    <row r="719" spans="1:23" ht="11.25" customHeight="1" x14ac:dyDescent="0.3">
      <c r="A719" s="4" t="s">
        <v>21</v>
      </c>
      <c r="B719" s="4" t="s">
        <v>37</v>
      </c>
      <c r="C719" s="4" t="s">
        <v>33</v>
      </c>
      <c r="D719" s="4" t="s">
        <v>41</v>
      </c>
      <c r="E719" s="4" t="s">
        <v>25</v>
      </c>
      <c r="F719" s="4" t="s">
        <v>25</v>
      </c>
      <c r="G719" s="4" t="s">
        <v>25</v>
      </c>
      <c r="H719" s="4" t="s">
        <v>35</v>
      </c>
      <c r="I719" s="5">
        <v>44805</v>
      </c>
      <c r="J719" s="6">
        <v>0</v>
      </c>
      <c r="K719" s="6">
        <v>0</v>
      </c>
      <c r="L719" s="6">
        <v>6.96</v>
      </c>
      <c r="M719" s="6">
        <v>6.96</v>
      </c>
      <c r="N719" s="6">
        <v>6.96</v>
      </c>
      <c r="O719" s="6">
        <v>6.96</v>
      </c>
      <c r="P719" s="6">
        <v>0</v>
      </c>
      <c r="Q719" s="4" t="s">
        <v>26</v>
      </c>
      <c r="R719" s="4">
        <v>0</v>
      </c>
      <c r="S719" s="4" t="s">
        <v>342</v>
      </c>
      <c r="T719" s="4" t="s">
        <v>564</v>
      </c>
      <c r="U719" s="4">
        <v>0</v>
      </c>
      <c r="V719" s="4">
        <v>57</v>
      </c>
      <c r="W719" s="4">
        <v>98</v>
      </c>
    </row>
    <row r="720" spans="1:23" ht="11.25" customHeight="1" x14ac:dyDescent="0.3">
      <c r="A720" s="4" t="s">
        <v>57</v>
      </c>
      <c r="B720" s="4" t="s">
        <v>37</v>
      </c>
      <c r="C720" s="4" t="s">
        <v>33</v>
      </c>
      <c r="D720" s="4" t="s">
        <v>41</v>
      </c>
      <c r="E720" s="4" t="s">
        <v>25</v>
      </c>
      <c r="F720" s="4" t="s">
        <v>25</v>
      </c>
      <c r="G720" s="4" t="s">
        <v>25</v>
      </c>
      <c r="H720" s="4" t="s">
        <v>35</v>
      </c>
      <c r="I720" s="5">
        <v>44835</v>
      </c>
      <c r="J720" s="6">
        <v>0</v>
      </c>
      <c r="K720" s="6">
        <v>0</v>
      </c>
      <c r="L720" s="6">
        <v>6.96</v>
      </c>
      <c r="M720" s="6">
        <v>6.96</v>
      </c>
      <c r="N720" s="6">
        <v>6.96</v>
      </c>
      <c r="O720" s="6">
        <v>6.96</v>
      </c>
      <c r="P720" s="6">
        <v>0</v>
      </c>
      <c r="Q720" s="4" t="s">
        <v>26</v>
      </c>
      <c r="R720" s="4">
        <v>0</v>
      </c>
      <c r="S720" s="4" t="s">
        <v>343</v>
      </c>
      <c r="T720" s="4" t="s">
        <v>565</v>
      </c>
      <c r="U720" s="4">
        <v>0</v>
      </c>
      <c r="V720" s="4">
        <v>57</v>
      </c>
      <c r="W720" s="4">
        <v>98</v>
      </c>
    </row>
    <row r="721" spans="1:23" ht="11.25" customHeight="1" x14ac:dyDescent="0.3">
      <c r="A721" s="4" t="s">
        <v>21</v>
      </c>
      <c r="B721" s="4" t="s">
        <v>37</v>
      </c>
      <c r="C721" s="4" t="s">
        <v>33</v>
      </c>
      <c r="D721" s="4" t="s">
        <v>41</v>
      </c>
      <c r="E721" s="4" t="s">
        <v>25</v>
      </c>
      <c r="F721" s="4" t="s">
        <v>25</v>
      </c>
      <c r="G721" s="4" t="s">
        <v>25</v>
      </c>
      <c r="H721" s="4" t="s">
        <v>36</v>
      </c>
      <c r="I721" s="5">
        <v>44501</v>
      </c>
      <c r="J721" s="6">
        <v>0</v>
      </c>
      <c r="K721" s="6">
        <v>0</v>
      </c>
      <c r="L721" s="6">
        <v>0.53500000000000003</v>
      </c>
      <c r="M721" s="6">
        <v>0.53500000000000003</v>
      </c>
      <c r="N721" s="6">
        <v>0.53500000000000003</v>
      </c>
      <c r="O721" s="6">
        <v>0.53500000000000003</v>
      </c>
      <c r="P721" s="6">
        <v>0</v>
      </c>
      <c r="Q721" s="4" t="s">
        <v>26</v>
      </c>
      <c r="R721" s="4">
        <v>0</v>
      </c>
      <c r="S721" s="4" t="s">
        <v>344</v>
      </c>
      <c r="T721" s="4" t="s">
        <v>566</v>
      </c>
      <c r="U721" s="4">
        <v>0</v>
      </c>
      <c r="V721" s="4">
        <v>56</v>
      </c>
      <c r="W721" s="4">
        <v>97</v>
      </c>
    </row>
    <row r="722" spans="1:23" ht="11.25" customHeight="1" x14ac:dyDescent="0.3">
      <c r="A722" s="4" t="s">
        <v>21</v>
      </c>
      <c r="B722" s="4" t="s">
        <v>37</v>
      </c>
      <c r="C722" s="4" t="s">
        <v>33</v>
      </c>
      <c r="D722" s="4" t="s">
        <v>41</v>
      </c>
      <c r="E722" s="4" t="s">
        <v>25</v>
      </c>
      <c r="F722" s="4" t="s">
        <v>25</v>
      </c>
      <c r="G722" s="4" t="s">
        <v>25</v>
      </c>
      <c r="H722" s="4" t="s">
        <v>36</v>
      </c>
      <c r="I722" s="5">
        <v>44531</v>
      </c>
      <c r="J722" s="6">
        <v>0</v>
      </c>
      <c r="K722" s="6">
        <v>0</v>
      </c>
      <c r="L722" s="6">
        <v>0.47199999999999998</v>
      </c>
      <c r="M722" s="6">
        <v>0.47199999999999998</v>
      </c>
      <c r="N722" s="6">
        <v>0.47199999999999998</v>
      </c>
      <c r="O722" s="6">
        <v>0.47199999999999998</v>
      </c>
      <c r="P722" s="6">
        <v>0</v>
      </c>
      <c r="Q722" s="4" t="s">
        <v>26</v>
      </c>
      <c r="R722" s="4">
        <v>0</v>
      </c>
      <c r="S722" s="4" t="s">
        <v>345</v>
      </c>
      <c r="T722" s="4" t="s">
        <v>567</v>
      </c>
      <c r="U722" s="4">
        <v>0</v>
      </c>
      <c r="V722" s="4">
        <v>56</v>
      </c>
      <c r="W722" s="4">
        <v>97</v>
      </c>
    </row>
    <row r="723" spans="1:23" ht="11.25" customHeight="1" x14ac:dyDescent="0.3">
      <c r="A723" s="4" t="s">
        <v>21</v>
      </c>
      <c r="B723" s="4" t="s">
        <v>37</v>
      </c>
      <c r="C723" s="4" t="s">
        <v>33</v>
      </c>
      <c r="D723" s="4" t="s">
        <v>41</v>
      </c>
      <c r="E723" s="4" t="s">
        <v>25</v>
      </c>
      <c r="F723" s="4" t="s">
        <v>25</v>
      </c>
      <c r="G723" s="4" t="s">
        <v>25</v>
      </c>
      <c r="H723" s="4" t="s">
        <v>36</v>
      </c>
      <c r="I723" s="5">
        <v>44562</v>
      </c>
      <c r="J723" s="6">
        <v>0</v>
      </c>
      <c r="K723" s="6">
        <v>0</v>
      </c>
      <c r="L723" s="6">
        <v>0.58599999999999997</v>
      </c>
      <c r="M723" s="6">
        <v>0.58599999999999997</v>
      </c>
      <c r="N723" s="6">
        <v>0.58599999999999997</v>
      </c>
      <c r="O723" s="6">
        <v>0.58599999999999997</v>
      </c>
      <c r="P723" s="6">
        <v>0</v>
      </c>
      <c r="Q723" s="4" t="s">
        <v>26</v>
      </c>
      <c r="R723" s="4">
        <v>0</v>
      </c>
      <c r="S723" s="4" t="s">
        <v>346</v>
      </c>
      <c r="T723" s="4" t="s">
        <v>568</v>
      </c>
      <c r="U723" s="4">
        <v>0</v>
      </c>
      <c r="V723" s="4">
        <v>56</v>
      </c>
      <c r="W723" s="4">
        <v>97</v>
      </c>
    </row>
    <row r="724" spans="1:23" ht="11.25" customHeight="1" x14ac:dyDescent="0.3">
      <c r="A724" s="4" t="s">
        <v>21</v>
      </c>
      <c r="B724" s="4" t="s">
        <v>37</v>
      </c>
      <c r="C724" s="4" t="s">
        <v>33</v>
      </c>
      <c r="D724" s="4" t="s">
        <v>41</v>
      </c>
      <c r="E724" s="4" t="s">
        <v>25</v>
      </c>
      <c r="F724" s="4" t="s">
        <v>25</v>
      </c>
      <c r="G724" s="4" t="s">
        <v>25</v>
      </c>
      <c r="H724" s="4" t="s">
        <v>36</v>
      </c>
      <c r="I724" s="5">
        <v>44593</v>
      </c>
      <c r="J724" s="6">
        <v>0</v>
      </c>
      <c r="K724" s="6">
        <v>0</v>
      </c>
      <c r="L724" s="6">
        <v>0.57399999999999995</v>
      </c>
      <c r="M724" s="6">
        <v>0.57399999999999995</v>
      </c>
      <c r="N724" s="6">
        <v>0.57399999999999995</v>
      </c>
      <c r="O724" s="6">
        <v>0.57399999999999995</v>
      </c>
      <c r="P724" s="6">
        <v>0</v>
      </c>
      <c r="Q724" s="4" t="s">
        <v>26</v>
      </c>
      <c r="R724" s="4">
        <v>0</v>
      </c>
      <c r="S724" s="4" t="s">
        <v>347</v>
      </c>
      <c r="T724" s="4" t="s">
        <v>569</v>
      </c>
      <c r="U724" s="4">
        <v>0</v>
      </c>
      <c r="V724" s="4">
        <v>56</v>
      </c>
      <c r="W724" s="4">
        <v>97</v>
      </c>
    </row>
    <row r="725" spans="1:23" ht="11.25" customHeight="1" x14ac:dyDescent="0.3">
      <c r="A725" s="4" t="s">
        <v>21</v>
      </c>
      <c r="B725" s="4" t="s">
        <v>37</v>
      </c>
      <c r="C725" s="4" t="s">
        <v>33</v>
      </c>
      <c r="D725" s="4" t="s">
        <v>41</v>
      </c>
      <c r="E725" s="4" t="s">
        <v>25</v>
      </c>
      <c r="F725" s="4" t="s">
        <v>25</v>
      </c>
      <c r="G725" s="4" t="s">
        <v>25</v>
      </c>
      <c r="H725" s="4" t="s">
        <v>36</v>
      </c>
      <c r="I725" s="5">
        <v>44621</v>
      </c>
      <c r="J725" s="6">
        <v>0</v>
      </c>
      <c r="K725" s="6">
        <v>0</v>
      </c>
      <c r="L725" s="6">
        <v>0.436</v>
      </c>
      <c r="M725" s="6">
        <v>0.436</v>
      </c>
      <c r="N725" s="6">
        <v>0.436</v>
      </c>
      <c r="O725" s="6">
        <v>0.436</v>
      </c>
      <c r="P725" s="6">
        <v>0</v>
      </c>
      <c r="Q725" s="4" t="s">
        <v>26</v>
      </c>
      <c r="R725" s="4">
        <v>0</v>
      </c>
      <c r="S725" s="4" t="s">
        <v>348</v>
      </c>
      <c r="T725" s="4" t="s">
        <v>570</v>
      </c>
      <c r="U725" s="4">
        <v>0</v>
      </c>
      <c r="V725" s="4">
        <v>56</v>
      </c>
      <c r="W725" s="4">
        <v>97</v>
      </c>
    </row>
    <row r="726" spans="1:23" ht="11.25" customHeight="1" x14ac:dyDescent="0.3">
      <c r="A726" s="4" t="s">
        <v>21</v>
      </c>
      <c r="B726" s="4" t="s">
        <v>37</v>
      </c>
      <c r="C726" s="4" t="s">
        <v>33</v>
      </c>
      <c r="D726" s="4" t="s">
        <v>41</v>
      </c>
      <c r="E726" s="4" t="s">
        <v>25</v>
      </c>
      <c r="F726" s="4" t="s">
        <v>25</v>
      </c>
      <c r="G726" s="4" t="s">
        <v>25</v>
      </c>
      <c r="H726" s="4" t="s">
        <v>36</v>
      </c>
      <c r="I726" s="5">
        <v>44652</v>
      </c>
      <c r="J726" s="6">
        <v>0</v>
      </c>
      <c r="K726" s="6">
        <v>0</v>
      </c>
      <c r="L726" s="6">
        <v>0.61299999999999999</v>
      </c>
      <c r="M726" s="6">
        <v>0.61299999999999999</v>
      </c>
      <c r="N726" s="6">
        <v>0.61299999999999999</v>
      </c>
      <c r="O726" s="6">
        <v>0.61299999999999999</v>
      </c>
      <c r="P726" s="6">
        <v>0</v>
      </c>
      <c r="Q726" s="4" t="s">
        <v>26</v>
      </c>
      <c r="R726" s="4">
        <v>0</v>
      </c>
      <c r="S726" s="4" t="s">
        <v>349</v>
      </c>
      <c r="T726" s="4" t="s">
        <v>571</v>
      </c>
      <c r="U726" s="4">
        <v>0</v>
      </c>
      <c r="V726" s="4">
        <v>56</v>
      </c>
      <c r="W726" s="4">
        <v>97</v>
      </c>
    </row>
    <row r="727" spans="1:23" ht="11.25" customHeight="1" x14ac:dyDescent="0.3">
      <c r="A727" s="4" t="s">
        <v>21</v>
      </c>
      <c r="B727" s="4" t="s">
        <v>37</v>
      </c>
      <c r="C727" s="4" t="s">
        <v>33</v>
      </c>
      <c r="D727" s="4" t="s">
        <v>41</v>
      </c>
      <c r="E727" s="4" t="s">
        <v>25</v>
      </c>
      <c r="F727" s="4" t="s">
        <v>25</v>
      </c>
      <c r="G727" s="4" t="s">
        <v>25</v>
      </c>
      <c r="H727" s="4" t="s">
        <v>36</v>
      </c>
      <c r="I727" s="5">
        <v>44682</v>
      </c>
      <c r="J727" s="6">
        <v>0</v>
      </c>
      <c r="K727" s="6">
        <v>0</v>
      </c>
      <c r="L727" s="6">
        <v>0.56599999999999995</v>
      </c>
      <c r="M727" s="6">
        <v>0.56599999999999995</v>
      </c>
      <c r="N727" s="6">
        <v>0.56599999999999995</v>
      </c>
      <c r="O727" s="6">
        <v>0.56599999999999995</v>
      </c>
      <c r="P727" s="6">
        <v>0</v>
      </c>
      <c r="Q727" s="4" t="s">
        <v>26</v>
      </c>
      <c r="R727" s="4">
        <v>0</v>
      </c>
      <c r="S727" s="4" t="s">
        <v>350</v>
      </c>
      <c r="T727" s="4" t="s">
        <v>572</v>
      </c>
      <c r="U727" s="4">
        <v>0</v>
      </c>
      <c r="V727" s="4">
        <v>56</v>
      </c>
      <c r="W727" s="4">
        <v>97</v>
      </c>
    </row>
    <row r="728" spans="1:23" ht="11.25" customHeight="1" x14ac:dyDescent="0.3">
      <c r="A728" s="4" t="s">
        <v>21</v>
      </c>
      <c r="B728" s="4" t="s">
        <v>37</v>
      </c>
      <c r="C728" s="4" t="s">
        <v>33</v>
      </c>
      <c r="D728" s="4" t="s">
        <v>41</v>
      </c>
      <c r="E728" s="4" t="s">
        <v>25</v>
      </c>
      <c r="F728" s="4" t="s">
        <v>25</v>
      </c>
      <c r="G728" s="4" t="s">
        <v>25</v>
      </c>
      <c r="H728" s="4" t="s">
        <v>36</v>
      </c>
      <c r="I728" s="5">
        <v>44713</v>
      </c>
      <c r="J728" s="6">
        <v>0</v>
      </c>
      <c r="K728" s="6">
        <v>0</v>
      </c>
      <c r="L728" s="6">
        <v>0.42499999999999999</v>
      </c>
      <c r="M728" s="6">
        <v>0.42499999999999999</v>
      </c>
      <c r="N728" s="6">
        <v>0.42499999999999999</v>
      </c>
      <c r="O728" s="6">
        <v>0.42499999999999999</v>
      </c>
      <c r="P728" s="6">
        <v>0</v>
      </c>
      <c r="Q728" s="4" t="s">
        <v>26</v>
      </c>
      <c r="R728" s="4">
        <v>0</v>
      </c>
      <c r="S728" s="4" t="s">
        <v>351</v>
      </c>
      <c r="T728" s="4" t="s">
        <v>573</v>
      </c>
      <c r="U728" s="4">
        <v>0</v>
      </c>
      <c r="V728" s="4">
        <v>56</v>
      </c>
      <c r="W728" s="4">
        <v>97</v>
      </c>
    </row>
    <row r="729" spans="1:23" ht="11.25" customHeight="1" x14ac:dyDescent="0.3">
      <c r="A729" s="4" t="s">
        <v>28</v>
      </c>
      <c r="B729" s="4" t="s">
        <v>37</v>
      </c>
      <c r="C729" s="4" t="s">
        <v>33</v>
      </c>
      <c r="D729" s="4" t="s">
        <v>41</v>
      </c>
      <c r="E729" s="4" t="s">
        <v>25</v>
      </c>
      <c r="F729" s="4" t="s">
        <v>25</v>
      </c>
      <c r="G729" s="4" t="s">
        <v>25</v>
      </c>
      <c r="H729" s="4" t="s">
        <v>36</v>
      </c>
      <c r="I729" s="5">
        <v>44713</v>
      </c>
      <c r="J729" s="6">
        <v>0</v>
      </c>
      <c r="K729" s="6">
        <v>0</v>
      </c>
      <c r="L729" s="6">
        <v>0.05</v>
      </c>
      <c r="M729" s="6">
        <v>0.05</v>
      </c>
      <c r="N729" s="6">
        <v>0.05</v>
      </c>
      <c r="O729" s="6">
        <v>0.05</v>
      </c>
      <c r="P729" s="6">
        <v>0</v>
      </c>
      <c r="Q729" s="4" t="s">
        <v>26</v>
      </c>
      <c r="R729" s="4">
        <v>0</v>
      </c>
      <c r="S729" s="4" t="s">
        <v>351</v>
      </c>
      <c r="T729" s="4" t="s">
        <v>573</v>
      </c>
      <c r="U729" s="4">
        <v>0</v>
      </c>
      <c r="V729" s="4">
        <v>56</v>
      </c>
      <c r="W729" s="4">
        <v>97</v>
      </c>
    </row>
    <row r="730" spans="1:23" ht="11.25" customHeight="1" x14ac:dyDescent="0.3">
      <c r="A730" s="4" t="s">
        <v>21</v>
      </c>
      <c r="B730" s="4" t="s">
        <v>37</v>
      </c>
      <c r="C730" s="4" t="s">
        <v>33</v>
      </c>
      <c r="D730" s="4" t="s">
        <v>41</v>
      </c>
      <c r="E730" s="4" t="s">
        <v>25</v>
      </c>
      <c r="F730" s="4" t="s">
        <v>25</v>
      </c>
      <c r="G730" s="4" t="s">
        <v>25</v>
      </c>
      <c r="H730" s="4" t="s">
        <v>36</v>
      </c>
      <c r="I730" s="5">
        <v>44743</v>
      </c>
      <c r="J730" s="6">
        <v>0</v>
      </c>
      <c r="K730" s="6">
        <v>0</v>
      </c>
      <c r="L730" s="6">
        <v>0.41899999999999998</v>
      </c>
      <c r="M730" s="6">
        <v>0.41899999999999998</v>
      </c>
      <c r="N730" s="6">
        <v>0.41899999999999998</v>
      </c>
      <c r="O730" s="6">
        <v>0.41899999999999998</v>
      </c>
      <c r="P730" s="6">
        <v>0</v>
      </c>
      <c r="Q730" s="4" t="s">
        <v>26</v>
      </c>
      <c r="R730" s="4">
        <v>0</v>
      </c>
      <c r="S730" s="4" t="s">
        <v>352</v>
      </c>
      <c r="T730" s="4" t="s">
        <v>574</v>
      </c>
      <c r="U730" s="4">
        <v>0</v>
      </c>
      <c r="V730" s="4">
        <v>56</v>
      </c>
      <c r="W730" s="4">
        <v>97</v>
      </c>
    </row>
    <row r="731" spans="1:23" ht="11.25" customHeight="1" x14ac:dyDescent="0.3">
      <c r="A731" s="4" t="s">
        <v>28</v>
      </c>
      <c r="B731" s="4" t="s">
        <v>37</v>
      </c>
      <c r="C731" s="4" t="s">
        <v>33</v>
      </c>
      <c r="D731" s="4" t="s">
        <v>41</v>
      </c>
      <c r="E731" s="4" t="s">
        <v>25</v>
      </c>
      <c r="F731" s="4" t="s">
        <v>25</v>
      </c>
      <c r="G731" s="4" t="s">
        <v>25</v>
      </c>
      <c r="H731" s="4" t="s">
        <v>36</v>
      </c>
      <c r="I731" s="5">
        <v>44743</v>
      </c>
      <c r="J731" s="6">
        <v>0</v>
      </c>
      <c r="K731" s="6">
        <v>0</v>
      </c>
      <c r="L731" s="6">
        <v>4.7E-2</v>
      </c>
      <c r="M731" s="6">
        <v>4.7E-2</v>
      </c>
      <c r="N731" s="6">
        <v>4.7E-2</v>
      </c>
      <c r="O731" s="6">
        <v>4.7E-2</v>
      </c>
      <c r="P731" s="6">
        <v>0</v>
      </c>
      <c r="Q731" s="4" t="s">
        <v>26</v>
      </c>
      <c r="R731" s="4">
        <v>0</v>
      </c>
      <c r="S731" s="4" t="s">
        <v>352</v>
      </c>
      <c r="T731" s="4" t="s">
        <v>574</v>
      </c>
      <c r="U731" s="4">
        <v>0</v>
      </c>
      <c r="V731" s="4">
        <v>56</v>
      </c>
      <c r="W731" s="4">
        <v>97</v>
      </c>
    </row>
    <row r="732" spans="1:23" ht="11.25" customHeight="1" x14ac:dyDescent="0.3">
      <c r="A732" s="4" t="s">
        <v>21</v>
      </c>
      <c r="B732" s="4" t="s">
        <v>37</v>
      </c>
      <c r="C732" s="4" t="s">
        <v>33</v>
      </c>
      <c r="D732" s="4" t="s">
        <v>41</v>
      </c>
      <c r="E732" s="4" t="s">
        <v>25</v>
      </c>
      <c r="F732" s="4" t="s">
        <v>25</v>
      </c>
      <c r="G732" s="4" t="s">
        <v>25</v>
      </c>
      <c r="H732" s="4" t="s">
        <v>36</v>
      </c>
      <c r="I732" s="5">
        <v>44774</v>
      </c>
      <c r="J732" s="6">
        <v>0</v>
      </c>
      <c r="K732" s="6">
        <v>0</v>
      </c>
      <c r="L732" s="6">
        <v>0.39400000000000002</v>
      </c>
      <c r="M732" s="6">
        <v>0.39400000000000002</v>
      </c>
      <c r="N732" s="6">
        <v>0.39400000000000002</v>
      </c>
      <c r="O732" s="6">
        <v>0.39400000000000002</v>
      </c>
      <c r="P732" s="6">
        <v>0</v>
      </c>
      <c r="Q732" s="4" t="s">
        <v>26</v>
      </c>
      <c r="R732" s="4">
        <v>0</v>
      </c>
      <c r="S732" s="4" t="s">
        <v>353</v>
      </c>
      <c r="T732" s="4" t="s">
        <v>575</v>
      </c>
      <c r="U732" s="4">
        <v>0</v>
      </c>
      <c r="V732" s="4">
        <v>56</v>
      </c>
      <c r="W732" s="4">
        <v>97</v>
      </c>
    </row>
    <row r="733" spans="1:23" ht="11.25" customHeight="1" x14ac:dyDescent="0.3">
      <c r="A733" s="4" t="s">
        <v>21</v>
      </c>
      <c r="B733" s="4" t="s">
        <v>37</v>
      </c>
      <c r="C733" s="4" t="s">
        <v>33</v>
      </c>
      <c r="D733" s="4" t="s">
        <v>41</v>
      </c>
      <c r="E733" s="4" t="s">
        <v>25</v>
      </c>
      <c r="F733" s="4" t="s">
        <v>25</v>
      </c>
      <c r="G733" s="4" t="s">
        <v>25</v>
      </c>
      <c r="H733" s="4" t="s">
        <v>36</v>
      </c>
      <c r="I733" s="5">
        <v>44805</v>
      </c>
      <c r="J733" s="6">
        <v>0</v>
      </c>
      <c r="K733" s="6">
        <v>0</v>
      </c>
      <c r="L733" s="6">
        <v>0.496</v>
      </c>
      <c r="M733" s="6">
        <v>0.496</v>
      </c>
      <c r="N733" s="6">
        <v>0.496</v>
      </c>
      <c r="O733" s="6">
        <v>0.496</v>
      </c>
      <c r="P733" s="6">
        <v>0</v>
      </c>
      <c r="Q733" s="4" t="s">
        <v>26</v>
      </c>
      <c r="R733" s="4">
        <v>0</v>
      </c>
      <c r="S733" s="4" t="s">
        <v>354</v>
      </c>
      <c r="T733" s="4" t="s">
        <v>576</v>
      </c>
      <c r="U733" s="4">
        <v>0</v>
      </c>
      <c r="V733" s="4">
        <v>56</v>
      </c>
      <c r="W733" s="4">
        <v>97</v>
      </c>
    </row>
    <row r="734" spans="1:23" ht="11.25" customHeight="1" x14ac:dyDescent="0.3">
      <c r="A734" s="4" t="s">
        <v>57</v>
      </c>
      <c r="B734" s="4" t="s">
        <v>37</v>
      </c>
      <c r="C734" s="4" t="s">
        <v>33</v>
      </c>
      <c r="D734" s="4" t="s">
        <v>41</v>
      </c>
      <c r="E734" s="4" t="s">
        <v>25</v>
      </c>
      <c r="F734" s="4" t="s">
        <v>25</v>
      </c>
      <c r="G734" s="4" t="s">
        <v>25</v>
      </c>
      <c r="H734" s="4" t="s">
        <v>36</v>
      </c>
      <c r="I734" s="5">
        <v>44835</v>
      </c>
      <c r="J734" s="6">
        <v>0</v>
      </c>
      <c r="K734" s="6">
        <v>0</v>
      </c>
      <c r="L734" s="6">
        <v>0.496</v>
      </c>
      <c r="M734" s="6">
        <v>0.496</v>
      </c>
      <c r="N734" s="6">
        <v>0.496</v>
      </c>
      <c r="O734" s="6">
        <v>0.496</v>
      </c>
      <c r="P734" s="6">
        <v>0</v>
      </c>
      <c r="Q734" s="4" t="s">
        <v>26</v>
      </c>
      <c r="R734" s="4">
        <v>0</v>
      </c>
      <c r="S734" s="4" t="s">
        <v>355</v>
      </c>
      <c r="T734" s="4" t="s">
        <v>577</v>
      </c>
      <c r="U734" s="4">
        <v>0</v>
      </c>
      <c r="V734" s="4">
        <v>56</v>
      </c>
      <c r="W734" s="4">
        <v>97</v>
      </c>
    </row>
    <row r="735" spans="1:23" ht="11.25" customHeight="1" x14ac:dyDescent="0.3">
      <c r="A735" s="4" t="s">
        <v>21</v>
      </c>
      <c r="B735" s="4" t="s">
        <v>37</v>
      </c>
      <c r="C735" s="4" t="s">
        <v>33</v>
      </c>
      <c r="D735" s="4" t="s">
        <v>41</v>
      </c>
      <c r="E735" s="4" t="s">
        <v>25</v>
      </c>
      <c r="F735" s="4" t="s">
        <v>25</v>
      </c>
      <c r="G735" s="4" t="s">
        <v>25</v>
      </c>
      <c r="H735" s="4" t="s">
        <v>34</v>
      </c>
      <c r="I735" s="5">
        <v>44501</v>
      </c>
      <c r="J735" s="6">
        <v>0</v>
      </c>
      <c r="K735" s="6">
        <v>0</v>
      </c>
      <c r="L735" s="6">
        <v>0.64600000000000002</v>
      </c>
      <c r="M735" s="6">
        <v>0.64600000000000002</v>
      </c>
      <c r="N735" s="6">
        <v>0.64600000000000002</v>
      </c>
      <c r="O735" s="6">
        <v>0.64600000000000002</v>
      </c>
      <c r="P735" s="6">
        <v>0</v>
      </c>
      <c r="Q735" s="4" t="s">
        <v>26</v>
      </c>
      <c r="R735" s="4">
        <v>0</v>
      </c>
      <c r="S735" s="4" t="s">
        <v>356</v>
      </c>
      <c r="T735" s="4" t="s">
        <v>578</v>
      </c>
      <c r="U735" s="4">
        <v>0</v>
      </c>
      <c r="V735" s="4">
        <v>55</v>
      </c>
      <c r="W735" s="4">
        <v>96</v>
      </c>
    </row>
    <row r="736" spans="1:23" ht="11.25" customHeight="1" x14ac:dyDescent="0.3">
      <c r="A736" s="4" t="s">
        <v>21</v>
      </c>
      <c r="B736" s="4" t="s">
        <v>37</v>
      </c>
      <c r="C736" s="4" t="s">
        <v>33</v>
      </c>
      <c r="D736" s="4" t="s">
        <v>41</v>
      </c>
      <c r="E736" s="4" t="s">
        <v>25</v>
      </c>
      <c r="F736" s="4" t="s">
        <v>25</v>
      </c>
      <c r="G736" s="4" t="s">
        <v>25</v>
      </c>
      <c r="H736" s="4" t="s">
        <v>34</v>
      </c>
      <c r="I736" s="5">
        <v>44531</v>
      </c>
      <c r="J736" s="6">
        <v>0</v>
      </c>
      <c r="K736" s="6">
        <v>0</v>
      </c>
      <c r="L736" s="6">
        <v>0.60799999999999998</v>
      </c>
      <c r="M736" s="6">
        <v>0.60799999999999998</v>
      </c>
      <c r="N736" s="6">
        <v>0.60799999999999998</v>
      </c>
      <c r="O736" s="6">
        <v>0.60799999999999998</v>
      </c>
      <c r="P736" s="6">
        <v>0</v>
      </c>
      <c r="Q736" s="4" t="s">
        <v>26</v>
      </c>
      <c r="R736" s="4">
        <v>0</v>
      </c>
      <c r="S736" s="4" t="s">
        <v>357</v>
      </c>
      <c r="T736" s="4" t="s">
        <v>579</v>
      </c>
      <c r="U736" s="4">
        <v>0</v>
      </c>
      <c r="V736" s="4">
        <v>55</v>
      </c>
      <c r="W736" s="4">
        <v>96</v>
      </c>
    </row>
    <row r="737" spans="1:23" ht="11.25" customHeight="1" x14ac:dyDescent="0.3">
      <c r="A737" s="4" t="s">
        <v>21</v>
      </c>
      <c r="B737" s="4" t="s">
        <v>37</v>
      </c>
      <c r="C737" s="4" t="s">
        <v>33</v>
      </c>
      <c r="D737" s="4" t="s">
        <v>41</v>
      </c>
      <c r="E737" s="4" t="s">
        <v>25</v>
      </c>
      <c r="F737" s="4" t="s">
        <v>25</v>
      </c>
      <c r="G737" s="4" t="s">
        <v>25</v>
      </c>
      <c r="H737" s="4" t="s">
        <v>34</v>
      </c>
      <c r="I737" s="5">
        <v>44562</v>
      </c>
      <c r="J737" s="6">
        <v>0</v>
      </c>
      <c r="K737" s="6">
        <v>0</v>
      </c>
      <c r="L737" s="6">
        <v>0.73899999999999999</v>
      </c>
      <c r="M737" s="6">
        <v>0.73899999999999999</v>
      </c>
      <c r="N737" s="6">
        <v>0.73899999999999999</v>
      </c>
      <c r="O737" s="6">
        <v>0.73899999999999999</v>
      </c>
      <c r="P737" s="6">
        <v>0</v>
      </c>
      <c r="Q737" s="4" t="s">
        <v>26</v>
      </c>
      <c r="R737" s="4">
        <v>0</v>
      </c>
      <c r="S737" s="4" t="s">
        <v>358</v>
      </c>
      <c r="T737" s="4" t="s">
        <v>580</v>
      </c>
      <c r="U737" s="4">
        <v>0</v>
      </c>
      <c r="V737" s="4">
        <v>55</v>
      </c>
      <c r="W737" s="4">
        <v>96</v>
      </c>
    </row>
    <row r="738" spans="1:23" ht="11.25" customHeight="1" x14ac:dyDescent="0.3">
      <c r="A738" s="4" t="s">
        <v>21</v>
      </c>
      <c r="B738" s="4" t="s">
        <v>37</v>
      </c>
      <c r="C738" s="4" t="s">
        <v>33</v>
      </c>
      <c r="D738" s="4" t="s">
        <v>41</v>
      </c>
      <c r="E738" s="4" t="s">
        <v>25</v>
      </c>
      <c r="F738" s="4" t="s">
        <v>25</v>
      </c>
      <c r="G738" s="4" t="s">
        <v>25</v>
      </c>
      <c r="H738" s="4" t="s">
        <v>34</v>
      </c>
      <c r="I738" s="5">
        <v>44593</v>
      </c>
      <c r="J738" s="6">
        <v>0</v>
      </c>
      <c r="K738" s="6">
        <v>0</v>
      </c>
      <c r="L738" s="6">
        <v>0.72</v>
      </c>
      <c r="M738" s="6">
        <v>0.72</v>
      </c>
      <c r="N738" s="6">
        <v>0.72</v>
      </c>
      <c r="O738" s="6">
        <v>0.72</v>
      </c>
      <c r="P738" s="6">
        <v>0</v>
      </c>
      <c r="Q738" s="4" t="s">
        <v>26</v>
      </c>
      <c r="R738" s="4">
        <v>0</v>
      </c>
      <c r="S738" s="4" t="s">
        <v>359</v>
      </c>
      <c r="T738" s="4" t="s">
        <v>581</v>
      </c>
      <c r="U738" s="4">
        <v>0</v>
      </c>
      <c r="V738" s="4">
        <v>55</v>
      </c>
      <c r="W738" s="4">
        <v>96</v>
      </c>
    </row>
    <row r="739" spans="1:23" ht="11.25" customHeight="1" x14ac:dyDescent="0.3">
      <c r="A739" s="4" t="s">
        <v>21</v>
      </c>
      <c r="B739" s="4" t="s">
        <v>37</v>
      </c>
      <c r="C739" s="4" t="s">
        <v>33</v>
      </c>
      <c r="D739" s="4" t="s">
        <v>41</v>
      </c>
      <c r="E739" s="4" t="s">
        <v>25</v>
      </c>
      <c r="F739" s="4" t="s">
        <v>25</v>
      </c>
      <c r="G739" s="4" t="s">
        <v>25</v>
      </c>
      <c r="H739" s="4" t="s">
        <v>34</v>
      </c>
      <c r="I739" s="5">
        <v>44621</v>
      </c>
      <c r="J739" s="6">
        <v>0</v>
      </c>
      <c r="K739" s="6">
        <v>0</v>
      </c>
      <c r="L739" s="6">
        <v>0.59799999999999998</v>
      </c>
      <c r="M739" s="6">
        <v>0.59799999999999998</v>
      </c>
      <c r="N739" s="6">
        <v>0.59799999999999998</v>
      </c>
      <c r="O739" s="6">
        <v>0.59799999999999998</v>
      </c>
      <c r="P739" s="6">
        <v>0</v>
      </c>
      <c r="Q739" s="4" t="s">
        <v>26</v>
      </c>
      <c r="R739" s="4">
        <v>0</v>
      </c>
      <c r="S739" s="4" t="s">
        <v>360</v>
      </c>
      <c r="T739" s="4" t="s">
        <v>582</v>
      </c>
      <c r="U739" s="4">
        <v>0</v>
      </c>
      <c r="V739" s="4">
        <v>55</v>
      </c>
      <c r="W739" s="4">
        <v>96</v>
      </c>
    </row>
    <row r="740" spans="1:23" ht="11.25" customHeight="1" x14ac:dyDescent="0.3">
      <c r="A740" s="4" t="s">
        <v>21</v>
      </c>
      <c r="B740" s="4" t="s">
        <v>37</v>
      </c>
      <c r="C740" s="4" t="s">
        <v>33</v>
      </c>
      <c r="D740" s="4" t="s">
        <v>41</v>
      </c>
      <c r="E740" s="4" t="s">
        <v>25</v>
      </c>
      <c r="F740" s="4" t="s">
        <v>25</v>
      </c>
      <c r="G740" s="4" t="s">
        <v>25</v>
      </c>
      <c r="H740" s="4" t="s">
        <v>34</v>
      </c>
      <c r="I740" s="5">
        <v>44652</v>
      </c>
      <c r="J740" s="6">
        <v>0</v>
      </c>
      <c r="K740" s="6">
        <v>0</v>
      </c>
      <c r="L740" s="6">
        <v>0.82699999999999996</v>
      </c>
      <c r="M740" s="6">
        <v>0.82699999999999996</v>
      </c>
      <c r="N740" s="6">
        <v>0.82699999999999996</v>
      </c>
      <c r="O740" s="6">
        <v>0.82699999999999996</v>
      </c>
      <c r="P740" s="6">
        <v>0</v>
      </c>
      <c r="Q740" s="4" t="s">
        <v>26</v>
      </c>
      <c r="R740" s="4">
        <v>0</v>
      </c>
      <c r="S740" s="4" t="s">
        <v>361</v>
      </c>
      <c r="T740" s="4" t="s">
        <v>583</v>
      </c>
      <c r="U740" s="4">
        <v>0</v>
      </c>
      <c r="V740" s="4">
        <v>55</v>
      </c>
      <c r="W740" s="4">
        <v>96</v>
      </c>
    </row>
    <row r="741" spans="1:23" ht="11.25" customHeight="1" x14ac:dyDescent="0.3">
      <c r="A741" s="4" t="s">
        <v>21</v>
      </c>
      <c r="B741" s="4" t="s">
        <v>37</v>
      </c>
      <c r="C741" s="4" t="s">
        <v>33</v>
      </c>
      <c r="D741" s="4" t="s">
        <v>41</v>
      </c>
      <c r="E741" s="4" t="s">
        <v>25</v>
      </c>
      <c r="F741" s="4" t="s">
        <v>25</v>
      </c>
      <c r="G741" s="4" t="s">
        <v>25</v>
      </c>
      <c r="H741" s="4" t="s">
        <v>34</v>
      </c>
      <c r="I741" s="5">
        <v>44682</v>
      </c>
      <c r="J741" s="6">
        <v>0</v>
      </c>
      <c r="K741" s="6">
        <v>0</v>
      </c>
      <c r="L741" s="6">
        <v>0.752</v>
      </c>
      <c r="M741" s="6">
        <v>0.752</v>
      </c>
      <c r="N741" s="6">
        <v>0.752</v>
      </c>
      <c r="O741" s="6">
        <v>0.752</v>
      </c>
      <c r="P741" s="6">
        <v>0</v>
      </c>
      <c r="Q741" s="4" t="s">
        <v>26</v>
      </c>
      <c r="R741" s="4">
        <v>0</v>
      </c>
      <c r="S741" s="4" t="s">
        <v>362</v>
      </c>
      <c r="T741" s="4" t="s">
        <v>584</v>
      </c>
      <c r="U741" s="4">
        <v>0</v>
      </c>
      <c r="V741" s="4">
        <v>55</v>
      </c>
      <c r="W741" s="4">
        <v>96</v>
      </c>
    </row>
    <row r="742" spans="1:23" ht="11.25" customHeight="1" x14ac:dyDescent="0.3">
      <c r="A742" s="4" t="s">
        <v>21</v>
      </c>
      <c r="B742" s="4" t="s">
        <v>37</v>
      </c>
      <c r="C742" s="4" t="s">
        <v>33</v>
      </c>
      <c r="D742" s="4" t="s">
        <v>41</v>
      </c>
      <c r="E742" s="4" t="s">
        <v>25</v>
      </c>
      <c r="F742" s="4" t="s">
        <v>25</v>
      </c>
      <c r="G742" s="4" t="s">
        <v>25</v>
      </c>
      <c r="H742" s="4" t="s">
        <v>34</v>
      </c>
      <c r="I742" s="5">
        <v>44713</v>
      </c>
      <c r="J742" s="6">
        <v>0</v>
      </c>
      <c r="K742" s="6">
        <v>0</v>
      </c>
      <c r="L742" s="6">
        <v>0.59899999999999998</v>
      </c>
      <c r="M742" s="6">
        <v>0.59899999999999998</v>
      </c>
      <c r="N742" s="6">
        <v>0.59899999999999998</v>
      </c>
      <c r="O742" s="6">
        <v>0.59899999999999998</v>
      </c>
      <c r="P742" s="6">
        <v>0</v>
      </c>
      <c r="Q742" s="4" t="s">
        <v>26</v>
      </c>
      <c r="R742" s="4">
        <v>0</v>
      </c>
      <c r="S742" s="4" t="s">
        <v>363</v>
      </c>
      <c r="T742" s="4" t="s">
        <v>585</v>
      </c>
      <c r="U742" s="4">
        <v>0</v>
      </c>
      <c r="V742" s="4">
        <v>55</v>
      </c>
      <c r="W742" s="4">
        <v>96</v>
      </c>
    </row>
    <row r="743" spans="1:23" ht="11.25" customHeight="1" x14ac:dyDescent="0.3">
      <c r="A743" s="4" t="s">
        <v>28</v>
      </c>
      <c r="B743" s="4" t="s">
        <v>37</v>
      </c>
      <c r="C743" s="4" t="s">
        <v>33</v>
      </c>
      <c r="D743" s="4" t="s">
        <v>41</v>
      </c>
      <c r="E743" s="4" t="s">
        <v>25</v>
      </c>
      <c r="F743" s="4" t="s">
        <v>25</v>
      </c>
      <c r="G743" s="4" t="s">
        <v>25</v>
      </c>
      <c r="H743" s="4" t="s">
        <v>34</v>
      </c>
      <c r="I743" s="5">
        <v>44713</v>
      </c>
      <c r="J743" s="6">
        <v>0</v>
      </c>
      <c r="K743" s="6">
        <v>0</v>
      </c>
      <c r="L743" s="6">
        <v>6.4000000000000001E-2</v>
      </c>
      <c r="M743" s="6">
        <v>6.4000000000000001E-2</v>
      </c>
      <c r="N743" s="6">
        <v>6.4000000000000001E-2</v>
      </c>
      <c r="O743" s="6">
        <v>6.4000000000000001E-2</v>
      </c>
      <c r="P743" s="6">
        <v>0</v>
      </c>
      <c r="Q743" s="4" t="s">
        <v>26</v>
      </c>
      <c r="R743" s="4">
        <v>0</v>
      </c>
      <c r="S743" s="4" t="s">
        <v>363</v>
      </c>
      <c r="T743" s="4" t="s">
        <v>585</v>
      </c>
      <c r="U743" s="4">
        <v>0</v>
      </c>
      <c r="V743" s="4">
        <v>55</v>
      </c>
      <c r="W743" s="4">
        <v>96</v>
      </c>
    </row>
    <row r="744" spans="1:23" ht="11.25" customHeight="1" x14ac:dyDescent="0.3">
      <c r="A744" s="4" t="s">
        <v>21</v>
      </c>
      <c r="B744" s="4" t="s">
        <v>37</v>
      </c>
      <c r="C744" s="4" t="s">
        <v>33</v>
      </c>
      <c r="D744" s="4" t="s">
        <v>41</v>
      </c>
      <c r="E744" s="4" t="s">
        <v>25</v>
      </c>
      <c r="F744" s="4" t="s">
        <v>25</v>
      </c>
      <c r="G744" s="4" t="s">
        <v>25</v>
      </c>
      <c r="H744" s="4" t="s">
        <v>34</v>
      </c>
      <c r="I744" s="5">
        <v>44743</v>
      </c>
      <c r="J744" s="6">
        <v>0</v>
      </c>
      <c r="K744" s="6">
        <v>0</v>
      </c>
      <c r="L744" s="6">
        <v>0.56699999999999995</v>
      </c>
      <c r="M744" s="6">
        <v>0.56699999999999995</v>
      </c>
      <c r="N744" s="6">
        <v>0.56699999999999995</v>
      </c>
      <c r="O744" s="6">
        <v>0.56699999999999995</v>
      </c>
      <c r="P744" s="6">
        <v>0</v>
      </c>
      <c r="Q744" s="4" t="s">
        <v>26</v>
      </c>
      <c r="R744" s="4">
        <v>0</v>
      </c>
      <c r="S744" s="4" t="s">
        <v>364</v>
      </c>
      <c r="T744" s="4" t="s">
        <v>586</v>
      </c>
      <c r="U744" s="4">
        <v>0</v>
      </c>
      <c r="V744" s="4">
        <v>55</v>
      </c>
      <c r="W744" s="4">
        <v>96</v>
      </c>
    </row>
    <row r="745" spans="1:23" ht="11.25" customHeight="1" x14ac:dyDescent="0.3">
      <c r="A745" s="4" t="s">
        <v>28</v>
      </c>
      <c r="B745" s="4" t="s">
        <v>37</v>
      </c>
      <c r="C745" s="4" t="s">
        <v>33</v>
      </c>
      <c r="D745" s="4" t="s">
        <v>41</v>
      </c>
      <c r="E745" s="4" t="s">
        <v>25</v>
      </c>
      <c r="F745" s="4" t="s">
        <v>25</v>
      </c>
      <c r="G745" s="4" t="s">
        <v>25</v>
      </c>
      <c r="H745" s="4" t="s">
        <v>34</v>
      </c>
      <c r="I745" s="5">
        <v>44743</v>
      </c>
      <c r="J745" s="6">
        <v>0</v>
      </c>
      <c r="K745" s="6">
        <v>0</v>
      </c>
      <c r="L745" s="6">
        <v>3.2000000000000001E-2</v>
      </c>
      <c r="M745" s="6">
        <v>3.2000000000000001E-2</v>
      </c>
      <c r="N745" s="6">
        <v>3.2000000000000001E-2</v>
      </c>
      <c r="O745" s="6">
        <v>3.2000000000000001E-2</v>
      </c>
      <c r="P745" s="6">
        <v>0</v>
      </c>
      <c r="Q745" s="4" t="s">
        <v>26</v>
      </c>
      <c r="R745" s="4">
        <v>0</v>
      </c>
      <c r="S745" s="4" t="s">
        <v>364</v>
      </c>
      <c r="T745" s="4" t="s">
        <v>586</v>
      </c>
      <c r="U745" s="4">
        <v>0</v>
      </c>
      <c r="V745" s="4">
        <v>55</v>
      </c>
      <c r="W745" s="4">
        <v>96</v>
      </c>
    </row>
    <row r="746" spans="1:23" ht="11.25" customHeight="1" x14ac:dyDescent="0.3">
      <c r="A746" s="4" t="s">
        <v>21</v>
      </c>
      <c r="B746" s="4" t="s">
        <v>37</v>
      </c>
      <c r="C746" s="4" t="s">
        <v>33</v>
      </c>
      <c r="D746" s="4" t="s">
        <v>41</v>
      </c>
      <c r="E746" s="4" t="s">
        <v>25</v>
      </c>
      <c r="F746" s="4" t="s">
        <v>25</v>
      </c>
      <c r="G746" s="4" t="s">
        <v>25</v>
      </c>
      <c r="H746" s="4" t="s">
        <v>34</v>
      </c>
      <c r="I746" s="5">
        <v>44774</v>
      </c>
      <c r="J746" s="6">
        <v>0</v>
      </c>
      <c r="K746" s="6">
        <v>0</v>
      </c>
      <c r="L746" s="6">
        <v>0.52400000000000002</v>
      </c>
      <c r="M746" s="6">
        <v>0.52400000000000002</v>
      </c>
      <c r="N746" s="6">
        <v>0.52400000000000002</v>
      </c>
      <c r="O746" s="6">
        <v>0.52400000000000002</v>
      </c>
      <c r="P746" s="6">
        <v>0</v>
      </c>
      <c r="Q746" s="4" t="s">
        <v>26</v>
      </c>
      <c r="R746" s="4">
        <v>0</v>
      </c>
      <c r="S746" s="4" t="s">
        <v>365</v>
      </c>
      <c r="T746" s="4" t="s">
        <v>587</v>
      </c>
      <c r="U746" s="4">
        <v>0</v>
      </c>
      <c r="V746" s="4">
        <v>55</v>
      </c>
      <c r="W746" s="4">
        <v>96</v>
      </c>
    </row>
    <row r="747" spans="1:23" ht="11.25" customHeight="1" x14ac:dyDescent="0.3">
      <c r="A747" s="4" t="s">
        <v>21</v>
      </c>
      <c r="B747" s="4" t="s">
        <v>37</v>
      </c>
      <c r="C747" s="4" t="s">
        <v>33</v>
      </c>
      <c r="D747" s="4" t="s">
        <v>41</v>
      </c>
      <c r="E747" s="4" t="s">
        <v>25</v>
      </c>
      <c r="F747" s="4" t="s">
        <v>25</v>
      </c>
      <c r="G747" s="4" t="s">
        <v>25</v>
      </c>
      <c r="H747" s="4" t="s">
        <v>34</v>
      </c>
      <c r="I747" s="5">
        <v>44805</v>
      </c>
      <c r="J747" s="6">
        <v>0</v>
      </c>
      <c r="K747" s="6">
        <v>0</v>
      </c>
      <c r="L747" s="6">
        <v>0.65200000000000002</v>
      </c>
      <c r="M747" s="6">
        <v>0.65200000000000002</v>
      </c>
      <c r="N747" s="6">
        <v>0.65200000000000002</v>
      </c>
      <c r="O747" s="6">
        <v>0.65200000000000002</v>
      </c>
      <c r="P747" s="6">
        <v>0</v>
      </c>
      <c r="Q747" s="4" t="s">
        <v>26</v>
      </c>
      <c r="R747" s="4">
        <v>0</v>
      </c>
      <c r="S747" s="4" t="s">
        <v>366</v>
      </c>
      <c r="T747" s="4" t="s">
        <v>588</v>
      </c>
      <c r="U747" s="4">
        <v>0</v>
      </c>
      <c r="V747" s="4">
        <v>55</v>
      </c>
      <c r="W747" s="4">
        <v>96</v>
      </c>
    </row>
    <row r="748" spans="1:23" ht="11.25" customHeight="1" x14ac:dyDescent="0.3">
      <c r="A748" s="4" t="s">
        <v>57</v>
      </c>
      <c r="B748" s="4" t="s">
        <v>37</v>
      </c>
      <c r="C748" s="4" t="s">
        <v>33</v>
      </c>
      <c r="D748" s="4" t="s">
        <v>41</v>
      </c>
      <c r="E748" s="4" t="s">
        <v>25</v>
      </c>
      <c r="F748" s="4" t="s">
        <v>25</v>
      </c>
      <c r="G748" s="4" t="s">
        <v>25</v>
      </c>
      <c r="H748" s="4" t="s">
        <v>34</v>
      </c>
      <c r="I748" s="5">
        <v>44835</v>
      </c>
      <c r="J748" s="6">
        <v>0</v>
      </c>
      <c r="K748" s="6">
        <v>0</v>
      </c>
      <c r="L748" s="6">
        <v>0.65200000000000002</v>
      </c>
      <c r="M748" s="6">
        <v>0.65200000000000002</v>
      </c>
      <c r="N748" s="6">
        <v>0.65200000000000002</v>
      </c>
      <c r="O748" s="6">
        <v>0.65200000000000002</v>
      </c>
      <c r="P748" s="6">
        <v>0</v>
      </c>
      <c r="Q748" s="4" t="s">
        <v>26</v>
      </c>
      <c r="R748" s="4">
        <v>0</v>
      </c>
      <c r="S748" s="4" t="s">
        <v>367</v>
      </c>
      <c r="T748" s="4" t="s">
        <v>589</v>
      </c>
      <c r="U748" s="4">
        <v>0</v>
      </c>
      <c r="V748" s="4">
        <v>55</v>
      </c>
      <c r="W748" s="4">
        <v>96</v>
      </c>
    </row>
    <row r="749" spans="1:23" ht="11.25" customHeight="1" x14ac:dyDescent="0.3">
      <c r="A749" s="4" t="s">
        <v>21</v>
      </c>
      <c r="B749" s="4" t="s">
        <v>37</v>
      </c>
      <c r="C749" s="4" t="s">
        <v>33</v>
      </c>
      <c r="D749" s="4" t="s">
        <v>46</v>
      </c>
      <c r="E749" s="4" t="s">
        <v>25</v>
      </c>
      <c r="F749" s="4" t="s">
        <v>25</v>
      </c>
      <c r="G749" s="4" t="s">
        <v>25</v>
      </c>
      <c r="H749" s="4" t="s">
        <v>35</v>
      </c>
      <c r="I749" s="5">
        <v>44501</v>
      </c>
      <c r="J749" s="6">
        <v>0</v>
      </c>
      <c r="K749" s="6">
        <v>0</v>
      </c>
      <c r="L749" s="6">
        <v>6.8019999999999996</v>
      </c>
      <c r="M749" s="6">
        <v>6.8019999999999996</v>
      </c>
      <c r="N749" s="6">
        <v>6.8019999999999996</v>
      </c>
      <c r="O749" s="6">
        <v>6.8019999999999996</v>
      </c>
      <c r="P749" s="6">
        <v>0</v>
      </c>
      <c r="Q749" s="4" t="s">
        <v>26</v>
      </c>
      <c r="R749" s="4">
        <v>0</v>
      </c>
      <c r="S749" s="4" t="s">
        <v>332</v>
      </c>
      <c r="T749" s="4" t="s">
        <v>554</v>
      </c>
      <c r="U749" s="4">
        <v>0</v>
      </c>
      <c r="V749" s="4">
        <v>57</v>
      </c>
      <c r="W749" s="4">
        <v>98</v>
      </c>
    </row>
    <row r="750" spans="1:23" ht="11.25" customHeight="1" x14ac:dyDescent="0.3">
      <c r="A750" s="4" t="s">
        <v>21</v>
      </c>
      <c r="B750" s="4" t="s">
        <v>37</v>
      </c>
      <c r="C750" s="4" t="s">
        <v>33</v>
      </c>
      <c r="D750" s="4" t="s">
        <v>46</v>
      </c>
      <c r="E750" s="4" t="s">
        <v>25</v>
      </c>
      <c r="F750" s="4" t="s">
        <v>25</v>
      </c>
      <c r="G750" s="4" t="s">
        <v>25</v>
      </c>
      <c r="H750" s="4" t="s">
        <v>35</v>
      </c>
      <c r="I750" s="5">
        <v>44531</v>
      </c>
      <c r="J750" s="6">
        <v>0</v>
      </c>
      <c r="K750" s="6">
        <v>0</v>
      </c>
      <c r="L750" s="6">
        <v>6.032</v>
      </c>
      <c r="M750" s="6">
        <v>6.032</v>
      </c>
      <c r="N750" s="6">
        <v>6.032</v>
      </c>
      <c r="O750" s="6">
        <v>6.032</v>
      </c>
      <c r="P750" s="6">
        <v>0</v>
      </c>
      <c r="Q750" s="4" t="s">
        <v>26</v>
      </c>
      <c r="R750" s="4">
        <v>0</v>
      </c>
      <c r="S750" s="4" t="s">
        <v>333</v>
      </c>
      <c r="T750" s="4" t="s">
        <v>555</v>
      </c>
      <c r="U750" s="4">
        <v>0</v>
      </c>
      <c r="V750" s="4">
        <v>57</v>
      </c>
      <c r="W750" s="4">
        <v>98</v>
      </c>
    </row>
    <row r="751" spans="1:23" ht="11.25" customHeight="1" x14ac:dyDescent="0.3">
      <c r="A751" s="4" t="s">
        <v>21</v>
      </c>
      <c r="B751" s="4" t="s">
        <v>37</v>
      </c>
      <c r="C751" s="4" t="s">
        <v>33</v>
      </c>
      <c r="D751" s="4" t="s">
        <v>46</v>
      </c>
      <c r="E751" s="4" t="s">
        <v>25</v>
      </c>
      <c r="F751" s="4" t="s">
        <v>25</v>
      </c>
      <c r="G751" s="4" t="s">
        <v>25</v>
      </c>
      <c r="H751" s="4" t="s">
        <v>35</v>
      </c>
      <c r="I751" s="5">
        <v>44562</v>
      </c>
      <c r="J751" s="6">
        <v>0</v>
      </c>
      <c r="K751" s="6">
        <v>0</v>
      </c>
      <c r="L751" s="6">
        <v>6.2839999999999998</v>
      </c>
      <c r="M751" s="6">
        <v>6.2839999999999998</v>
      </c>
      <c r="N751" s="6">
        <v>6.2839999999999998</v>
      </c>
      <c r="O751" s="6">
        <v>6.2839999999999998</v>
      </c>
      <c r="P751" s="6">
        <v>0</v>
      </c>
      <c r="Q751" s="4" t="s">
        <v>26</v>
      </c>
      <c r="R751" s="4">
        <v>0</v>
      </c>
      <c r="S751" s="4" t="s">
        <v>334</v>
      </c>
      <c r="T751" s="4" t="s">
        <v>556</v>
      </c>
      <c r="U751" s="4">
        <v>0</v>
      </c>
      <c r="V751" s="4">
        <v>57</v>
      </c>
      <c r="W751" s="4">
        <v>98</v>
      </c>
    </row>
    <row r="752" spans="1:23" ht="11.25" customHeight="1" x14ac:dyDescent="0.3">
      <c r="A752" s="4" t="s">
        <v>21</v>
      </c>
      <c r="B752" s="4" t="s">
        <v>37</v>
      </c>
      <c r="C752" s="4" t="s">
        <v>33</v>
      </c>
      <c r="D752" s="4" t="s">
        <v>46</v>
      </c>
      <c r="E752" s="4" t="s">
        <v>25</v>
      </c>
      <c r="F752" s="4" t="s">
        <v>25</v>
      </c>
      <c r="G752" s="4" t="s">
        <v>25</v>
      </c>
      <c r="H752" s="4" t="s">
        <v>35</v>
      </c>
      <c r="I752" s="5">
        <v>44593</v>
      </c>
      <c r="J752" s="6">
        <v>0</v>
      </c>
      <c r="K752" s="6">
        <v>0</v>
      </c>
      <c r="L752" s="6">
        <v>5.7450000000000001</v>
      </c>
      <c r="M752" s="6">
        <v>5.7450000000000001</v>
      </c>
      <c r="N752" s="6">
        <v>5.7450000000000001</v>
      </c>
      <c r="O752" s="6">
        <v>5.7450000000000001</v>
      </c>
      <c r="P752" s="6">
        <v>0</v>
      </c>
      <c r="Q752" s="4" t="s">
        <v>26</v>
      </c>
      <c r="R752" s="4">
        <v>0</v>
      </c>
      <c r="S752" s="4" t="s">
        <v>335</v>
      </c>
      <c r="T752" s="4" t="s">
        <v>557</v>
      </c>
      <c r="U752" s="4">
        <v>0</v>
      </c>
      <c r="V752" s="4">
        <v>57</v>
      </c>
      <c r="W752" s="4">
        <v>98</v>
      </c>
    </row>
    <row r="753" spans="1:23" ht="11.25" customHeight="1" x14ac:dyDescent="0.3">
      <c r="A753" s="4" t="s">
        <v>21</v>
      </c>
      <c r="B753" s="4" t="s">
        <v>37</v>
      </c>
      <c r="C753" s="4" t="s">
        <v>33</v>
      </c>
      <c r="D753" s="4" t="s">
        <v>46</v>
      </c>
      <c r="E753" s="4" t="s">
        <v>25</v>
      </c>
      <c r="F753" s="4" t="s">
        <v>25</v>
      </c>
      <c r="G753" s="4" t="s">
        <v>25</v>
      </c>
      <c r="H753" s="4" t="s">
        <v>35</v>
      </c>
      <c r="I753" s="5">
        <v>44621</v>
      </c>
      <c r="J753" s="6">
        <v>0</v>
      </c>
      <c r="K753" s="6">
        <v>0</v>
      </c>
      <c r="L753" s="6">
        <v>4.883</v>
      </c>
      <c r="M753" s="6">
        <v>4.883</v>
      </c>
      <c r="N753" s="6">
        <v>4.883</v>
      </c>
      <c r="O753" s="6">
        <v>4.883</v>
      </c>
      <c r="P753" s="6">
        <v>0</v>
      </c>
      <c r="Q753" s="4" t="s">
        <v>26</v>
      </c>
      <c r="R753" s="4">
        <v>0</v>
      </c>
      <c r="S753" s="4" t="s">
        <v>336</v>
      </c>
      <c r="T753" s="4" t="s">
        <v>558</v>
      </c>
      <c r="U753" s="4">
        <v>0</v>
      </c>
      <c r="V753" s="4">
        <v>57</v>
      </c>
      <c r="W753" s="4">
        <v>98</v>
      </c>
    </row>
    <row r="754" spans="1:23" ht="11.25" customHeight="1" x14ac:dyDescent="0.3">
      <c r="A754" s="4" t="s">
        <v>21</v>
      </c>
      <c r="B754" s="4" t="s">
        <v>37</v>
      </c>
      <c r="C754" s="4" t="s">
        <v>33</v>
      </c>
      <c r="D754" s="4" t="s">
        <v>46</v>
      </c>
      <c r="E754" s="4" t="s">
        <v>25</v>
      </c>
      <c r="F754" s="4" t="s">
        <v>25</v>
      </c>
      <c r="G754" s="4" t="s">
        <v>25</v>
      </c>
      <c r="H754" s="4" t="s">
        <v>35</v>
      </c>
      <c r="I754" s="5">
        <v>44652</v>
      </c>
      <c r="J754" s="6">
        <v>0</v>
      </c>
      <c r="K754" s="6">
        <v>0</v>
      </c>
      <c r="L754" s="6">
        <v>6.9420000000000002</v>
      </c>
      <c r="M754" s="6">
        <v>6.9420000000000002</v>
      </c>
      <c r="N754" s="6">
        <v>6.9420000000000002</v>
      </c>
      <c r="O754" s="6">
        <v>6.9420000000000002</v>
      </c>
      <c r="P754" s="6">
        <v>0</v>
      </c>
      <c r="Q754" s="4" t="s">
        <v>26</v>
      </c>
      <c r="R754" s="4">
        <v>0</v>
      </c>
      <c r="S754" s="4" t="s">
        <v>337</v>
      </c>
      <c r="T754" s="4" t="s">
        <v>559</v>
      </c>
      <c r="U754" s="4">
        <v>0</v>
      </c>
      <c r="V754" s="4">
        <v>57</v>
      </c>
      <c r="W754" s="4">
        <v>98</v>
      </c>
    </row>
    <row r="755" spans="1:23" ht="11.25" customHeight="1" x14ac:dyDescent="0.3">
      <c r="A755" s="4" t="s">
        <v>21</v>
      </c>
      <c r="B755" s="4" t="s">
        <v>37</v>
      </c>
      <c r="C755" s="4" t="s">
        <v>33</v>
      </c>
      <c r="D755" s="4" t="s">
        <v>46</v>
      </c>
      <c r="E755" s="4" t="s">
        <v>25</v>
      </c>
      <c r="F755" s="4" t="s">
        <v>25</v>
      </c>
      <c r="G755" s="4" t="s">
        <v>25</v>
      </c>
      <c r="H755" s="4" t="s">
        <v>35</v>
      </c>
      <c r="I755" s="5">
        <v>44682</v>
      </c>
      <c r="J755" s="6">
        <v>0</v>
      </c>
      <c r="K755" s="6">
        <v>0</v>
      </c>
      <c r="L755" s="6">
        <v>6.66</v>
      </c>
      <c r="M755" s="6">
        <v>6.66</v>
      </c>
      <c r="N755" s="6">
        <v>6.66</v>
      </c>
      <c r="O755" s="6">
        <v>6.66</v>
      </c>
      <c r="P755" s="6">
        <v>0</v>
      </c>
      <c r="Q755" s="4" t="s">
        <v>26</v>
      </c>
      <c r="R755" s="4">
        <v>0</v>
      </c>
      <c r="S755" s="4" t="s">
        <v>338</v>
      </c>
      <c r="T755" s="4" t="s">
        <v>560</v>
      </c>
      <c r="U755" s="4">
        <v>0</v>
      </c>
      <c r="V755" s="4">
        <v>57</v>
      </c>
      <c r="W755" s="4">
        <v>98</v>
      </c>
    </row>
    <row r="756" spans="1:23" ht="11.25" customHeight="1" x14ac:dyDescent="0.3">
      <c r="A756" s="4" t="s">
        <v>21</v>
      </c>
      <c r="B756" s="4" t="s">
        <v>37</v>
      </c>
      <c r="C756" s="4" t="s">
        <v>33</v>
      </c>
      <c r="D756" s="4" t="s">
        <v>46</v>
      </c>
      <c r="E756" s="4" t="s">
        <v>25</v>
      </c>
      <c r="F756" s="4" t="s">
        <v>25</v>
      </c>
      <c r="G756" s="4" t="s">
        <v>25</v>
      </c>
      <c r="H756" s="4" t="s">
        <v>35</v>
      </c>
      <c r="I756" s="5">
        <v>44713</v>
      </c>
      <c r="J756" s="6">
        <v>0</v>
      </c>
      <c r="K756" s="6">
        <v>0</v>
      </c>
      <c r="L756" s="6">
        <v>4.3639999999999999</v>
      </c>
      <c r="M756" s="6">
        <v>4.3639999999999999</v>
      </c>
      <c r="N756" s="6">
        <v>4.3639999999999999</v>
      </c>
      <c r="O756" s="6">
        <v>4.3639999999999999</v>
      </c>
      <c r="P756" s="6">
        <v>0</v>
      </c>
      <c r="Q756" s="4" t="s">
        <v>26</v>
      </c>
      <c r="R756" s="4">
        <v>0</v>
      </c>
      <c r="S756" s="4" t="s">
        <v>339</v>
      </c>
      <c r="T756" s="4" t="s">
        <v>561</v>
      </c>
      <c r="U756" s="4">
        <v>0</v>
      </c>
      <c r="V756" s="4">
        <v>57</v>
      </c>
      <c r="W756" s="4">
        <v>98</v>
      </c>
    </row>
    <row r="757" spans="1:23" ht="11.25" customHeight="1" x14ac:dyDescent="0.3">
      <c r="A757" s="4" t="s">
        <v>21</v>
      </c>
      <c r="B757" s="4" t="s">
        <v>37</v>
      </c>
      <c r="C757" s="4" t="s">
        <v>33</v>
      </c>
      <c r="D757" s="4" t="s">
        <v>46</v>
      </c>
      <c r="E757" s="4" t="s">
        <v>25</v>
      </c>
      <c r="F757" s="4" t="s">
        <v>25</v>
      </c>
      <c r="G757" s="4" t="s">
        <v>25</v>
      </c>
      <c r="H757" s="4" t="s">
        <v>35</v>
      </c>
      <c r="I757" s="5">
        <v>44743</v>
      </c>
      <c r="J757" s="6">
        <v>0</v>
      </c>
      <c r="K757" s="6">
        <v>0</v>
      </c>
      <c r="L757" s="6">
        <v>4.2699999999999996</v>
      </c>
      <c r="M757" s="6">
        <v>4.2699999999999996</v>
      </c>
      <c r="N757" s="6">
        <v>4.2699999999999996</v>
      </c>
      <c r="O757" s="6">
        <v>4.2699999999999996</v>
      </c>
      <c r="P757" s="6">
        <v>0</v>
      </c>
      <c r="Q757" s="4" t="s">
        <v>26</v>
      </c>
      <c r="R757" s="4">
        <v>0</v>
      </c>
      <c r="S757" s="4" t="s">
        <v>340</v>
      </c>
      <c r="T757" s="4" t="s">
        <v>562</v>
      </c>
      <c r="U757" s="4">
        <v>0</v>
      </c>
      <c r="V757" s="4">
        <v>57</v>
      </c>
      <c r="W757" s="4">
        <v>98</v>
      </c>
    </row>
    <row r="758" spans="1:23" ht="11.25" customHeight="1" x14ac:dyDescent="0.3">
      <c r="A758" s="4" t="s">
        <v>21</v>
      </c>
      <c r="B758" s="4" t="s">
        <v>37</v>
      </c>
      <c r="C758" s="4" t="s">
        <v>33</v>
      </c>
      <c r="D758" s="4" t="s">
        <v>46</v>
      </c>
      <c r="E758" s="4" t="s">
        <v>25</v>
      </c>
      <c r="F758" s="4" t="s">
        <v>25</v>
      </c>
      <c r="G758" s="4" t="s">
        <v>25</v>
      </c>
      <c r="H758" s="4" t="s">
        <v>35</v>
      </c>
      <c r="I758" s="5">
        <v>44774</v>
      </c>
      <c r="J758" s="6">
        <v>0</v>
      </c>
      <c r="K758" s="6">
        <v>0</v>
      </c>
      <c r="L758" s="6">
        <v>3.8069999999999999</v>
      </c>
      <c r="M758" s="6">
        <v>3.8069999999999999</v>
      </c>
      <c r="N758" s="6">
        <v>3.8069999999999999</v>
      </c>
      <c r="O758" s="6">
        <v>3.8069999999999999</v>
      </c>
      <c r="P758" s="6">
        <v>0</v>
      </c>
      <c r="Q758" s="4" t="s">
        <v>26</v>
      </c>
      <c r="R758" s="4">
        <v>0</v>
      </c>
      <c r="S758" s="4" t="s">
        <v>341</v>
      </c>
      <c r="T758" s="4" t="s">
        <v>563</v>
      </c>
      <c r="U758" s="4">
        <v>0</v>
      </c>
      <c r="V758" s="4">
        <v>57</v>
      </c>
      <c r="W758" s="4">
        <v>98</v>
      </c>
    </row>
    <row r="759" spans="1:23" ht="11.25" customHeight="1" x14ac:dyDescent="0.3">
      <c r="A759" s="4" t="s">
        <v>21</v>
      </c>
      <c r="B759" s="4" t="s">
        <v>37</v>
      </c>
      <c r="C759" s="4" t="s">
        <v>33</v>
      </c>
      <c r="D759" s="4" t="s">
        <v>46</v>
      </c>
      <c r="E759" s="4" t="s">
        <v>25</v>
      </c>
      <c r="F759" s="4" t="s">
        <v>25</v>
      </c>
      <c r="G759" s="4" t="s">
        <v>25</v>
      </c>
      <c r="H759" s="4" t="s">
        <v>35</v>
      </c>
      <c r="I759" s="5">
        <v>44805</v>
      </c>
      <c r="J759" s="6">
        <v>0</v>
      </c>
      <c r="K759" s="6">
        <v>0</v>
      </c>
      <c r="L759" s="6">
        <v>5.13</v>
      </c>
      <c r="M759" s="6">
        <v>5.13</v>
      </c>
      <c r="N759" s="6">
        <v>5.13</v>
      </c>
      <c r="O759" s="6">
        <v>5.13</v>
      </c>
      <c r="P759" s="6">
        <v>0</v>
      </c>
      <c r="Q759" s="4" t="s">
        <v>26</v>
      </c>
      <c r="R759" s="4">
        <v>0</v>
      </c>
      <c r="S759" s="4" t="s">
        <v>342</v>
      </c>
      <c r="T759" s="4" t="s">
        <v>564</v>
      </c>
      <c r="U759" s="4">
        <v>0</v>
      </c>
      <c r="V759" s="4">
        <v>57</v>
      </c>
      <c r="W759" s="4">
        <v>98</v>
      </c>
    </row>
    <row r="760" spans="1:23" ht="11.25" customHeight="1" x14ac:dyDescent="0.3">
      <c r="A760" s="4" t="s">
        <v>57</v>
      </c>
      <c r="B760" s="4" t="s">
        <v>37</v>
      </c>
      <c r="C760" s="4" t="s">
        <v>33</v>
      </c>
      <c r="D760" s="4" t="s">
        <v>46</v>
      </c>
      <c r="E760" s="4" t="s">
        <v>25</v>
      </c>
      <c r="F760" s="4" t="s">
        <v>25</v>
      </c>
      <c r="G760" s="4" t="s">
        <v>25</v>
      </c>
      <c r="H760" s="4" t="s">
        <v>35</v>
      </c>
      <c r="I760" s="5">
        <v>44835</v>
      </c>
      <c r="J760" s="6">
        <v>0</v>
      </c>
      <c r="K760" s="6">
        <v>0</v>
      </c>
      <c r="L760" s="6">
        <v>5.13</v>
      </c>
      <c r="M760" s="6">
        <v>5.13</v>
      </c>
      <c r="N760" s="6">
        <v>5.13</v>
      </c>
      <c r="O760" s="6">
        <v>5.13</v>
      </c>
      <c r="P760" s="6">
        <v>0</v>
      </c>
      <c r="Q760" s="4" t="s">
        <v>26</v>
      </c>
      <c r="R760" s="4">
        <v>0</v>
      </c>
      <c r="S760" s="4" t="s">
        <v>343</v>
      </c>
      <c r="T760" s="4" t="s">
        <v>565</v>
      </c>
      <c r="U760" s="4">
        <v>0</v>
      </c>
      <c r="V760" s="4">
        <v>57</v>
      </c>
      <c r="W760" s="4">
        <v>98</v>
      </c>
    </row>
    <row r="761" spans="1:23" ht="11.25" customHeight="1" x14ac:dyDescent="0.3">
      <c r="A761" s="4" t="s">
        <v>21</v>
      </c>
      <c r="B761" s="4" t="s">
        <v>37</v>
      </c>
      <c r="C761" s="4" t="s">
        <v>33</v>
      </c>
      <c r="D761" s="4" t="s">
        <v>46</v>
      </c>
      <c r="E761" s="4" t="s">
        <v>25</v>
      </c>
      <c r="F761" s="4" t="s">
        <v>25</v>
      </c>
      <c r="G761" s="4" t="s">
        <v>25</v>
      </c>
      <c r="H761" s="4" t="s">
        <v>36</v>
      </c>
      <c r="I761" s="5">
        <v>44501</v>
      </c>
      <c r="J761" s="6">
        <v>0</v>
      </c>
      <c r="K761" s="6">
        <v>0</v>
      </c>
      <c r="L761" s="6">
        <v>0.36099999999999999</v>
      </c>
      <c r="M761" s="6">
        <v>0.36099999999999999</v>
      </c>
      <c r="N761" s="6">
        <v>0.36099999999999999</v>
      </c>
      <c r="O761" s="6">
        <v>0.36099999999999999</v>
      </c>
      <c r="P761" s="6">
        <v>0</v>
      </c>
      <c r="Q761" s="4" t="s">
        <v>26</v>
      </c>
      <c r="R761" s="4">
        <v>0</v>
      </c>
      <c r="S761" s="4" t="s">
        <v>344</v>
      </c>
      <c r="T761" s="4" t="s">
        <v>566</v>
      </c>
      <c r="U761" s="4">
        <v>0</v>
      </c>
      <c r="V761" s="4">
        <v>56</v>
      </c>
      <c r="W761" s="4">
        <v>97</v>
      </c>
    </row>
    <row r="762" spans="1:23" ht="11.25" customHeight="1" x14ac:dyDescent="0.3">
      <c r="A762" s="4" t="s">
        <v>21</v>
      </c>
      <c r="B762" s="4" t="s">
        <v>37</v>
      </c>
      <c r="C762" s="4" t="s">
        <v>33</v>
      </c>
      <c r="D762" s="4" t="s">
        <v>46</v>
      </c>
      <c r="E762" s="4" t="s">
        <v>25</v>
      </c>
      <c r="F762" s="4" t="s">
        <v>25</v>
      </c>
      <c r="G762" s="4" t="s">
        <v>25</v>
      </c>
      <c r="H762" s="4" t="s">
        <v>36</v>
      </c>
      <c r="I762" s="5">
        <v>44531</v>
      </c>
      <c r="J762" s="6">
        <v>0</v>
      </c>
      <c r="K762" s="6">
        <v>0</v>
      </c>
      <c r="L762" s="6">
        <v>0.29699999999999999</v>
      </c>
      <c r="M762" s="6">
        <v>0.29699999999999999</v>
      </c>
      <c r="N762" s="6">
        <v>0.29699999999999999</v>
      </c>
      <c r="O762" s="6">
        <v>0.29699999999999999</v>
      </c>
      <c r="P762" s="6">
        <v>0</v>
      </c>
      <c r="Q762" s="4" t="s">
        <v>26</v>
      </c>
      <c r="R762" s="4">
        <v>0</v>
      </c>
      <c r="S762" s="4" t="s">
        <v>345</v>
      </c>
      <c r="T762" s="4" t="s">
        <v>567</v>
      </c>
      <c r="U762" s="4">
        <v>0</v>
      </c>
      <c r="V762" s="4">
        <v>56</v>
      </c>
      <c r="W762" s="4">
        <v>97</v>
      </c>
    </row>
    <row r="763" spans="1:23" ht="11.25" customHeight="1" x14ac:dyDescent="0.3">
      <c r="A763" s="4" t="s">
        <v>21</v>
      </c>
      <c r="B763" s="4" t="s">
        <v>37</v>
      </c>
      <c r="C763" s="4" t="s">
        <v>33</v>
      </c>
      <c r="D763" s="4" t="s">
        <v>46</v>
      </c>
      <c r="E763" s="4" t="s">
        <v>25</v>
      </c>
      <c r="F763" s="4" t="s">
        <v>25</v>
      </c>
      <c r="G763" s="4" t="s">
        <v>25</v>
      </c>
      <c r="H763" s="4" t="s">
        <v>36</v>
      </c>
      <c r="I763" s="5">
        <v>44562</v>
      </c>
      <c r="J763" s="6">
        <v>0</v>
      </c>
      <c r="K763" s="6">
        <v>0</v>
      </c>
      <c r="L763" s="6">
        <v>0.316</v>
      </c>
      <c r="M763" s="6">
        <v>0.316</v>
      </c>
      <c r="N763" s="6">
        <v>0.316</v>
      </c>
      <c r="O763" s="6">
        <v>0.316</v>
      </c>
      <c r="P763" s="6">
        <v>0</v>
      </c>
      <c r="Q763" s="4" t="s">
        <v>26</v>
      </c>
      <c r="R763" s="4">
        <v>0</v>
      </c>
      <c r="S763" s="4" t="s">
        <v>346</v>
      </c>
      <c r="T763" s="4" t="s">
        <v>568</v>
      </c>
      <c r="U763" s="4">
        <v>0</v>
      </c>
      <c r="V763" s="4">
        <v>56</v>
      </c>
      <c r="W763" s="4">
        <v>97</v>
      </c>
    </row>
    <row r="764" spans="1:23" ht="11.25" customHeight="1" x14ac:dyDescent="0.3">
      <c r="A764" s="4" t="s">
        <v>21</v>
      </c>
      <c r="B764" s="4" t="s">
        <v>37</v>
      </c>
      <c r="C764" s="4" t="s">
        <v>33</v>
      </c>
      <c r="D764" s="4" t="s">
        <v>46</v>
      </c>
      <c r="E764" s="4" t="s">
        <v>25</v>
      </c>
      <c r="F764" s="4" t="s">
        <v>25</v>
      </c>
      <c r="G764" s="4" t="s">
        <v>25</v>
      </c>
      <c r="H764" s="4" t="s">
        <v>36</v>
      </c>
      <c r="I764" s="5">
        <v>44593</v>
      </c>
      <c r="J764" s="6">
        <v>0</v>
      </c>
      <c r="K764" s="6">
        <v>0</v>
      </c>
      <c r="L764" s="6">
        <v>0.31900000000000001</v>
      </c>
      <c r="M764" s="6">
        <v>0.31900000000000001</v>
      </c>
      <c r="N764" s="6">
        <v>0.31900000000000001</v>
      </c>
      <c r="O764" s="6">
        <v>0.31900000000000001</v>
      </c>
      <c r="P764" s="6">
        <v>0</v>
      </c>
      <c r="Q764" s="4" t="s">
        <v>26</v>
      </c>
      <c r="R764" s="4">
        <v>0</v>
      </c>
      <c r="S764" s="4" t="s">
        <v>347</v>
      </c>
      <c r="T764" s="4" t="s">
        <v>569</v>
      </c>
      <c r="U764" s="4">
        <v>0</v>
      </c>
      <c r="V764" s="4">
        <v>56</v>
      </c>
      <c r="W764" s="4">
        <v>97</v>
      </c>
    </row>
    <row r="765" spans="1:23" ht="11.25" customHeight="1" x14ac:dyDescent="0.3">
      <c r="A765" s="4" t="s">
        <v>21</v>
      </c>
      <c r="B765" s="4" t="s">
        <v>37</v>
      </c>
      <c r="C765" s="4" t="s">
        <v>33</v>
      </c>
      <c r="D765" s="4" t="s">
        <v>46</v>
      </c>
      <c r="E765" s="4" t="s">
        <v>25</v>
      </c>
      <c r="F765" s="4" t="s">
        <v>25</v>
      </c>
      <c r="G765" s="4" t="s">
        <v>25</v>
      </c>
      <c r="H765" s="4" t="s">
        <v>36</v>
      </c>
      <c r="I765" s="5">
        <v>44621</v>
      </c>
      <c r="J765" s="6">
        <v>0</v>
      </c>
      <c r="K765" s="6">
        <v>0</v>
      </c>
      <c r="L765" s="6">
        <v>0.27800000000000002</v>
      </c>
      <c r="M765" s="6">
        <v>0.27800000000000002</v>
      </c>
      <c r="N765" s="6">
        <v>0.27800000000000002</v>
      </c>
      <c r="O765" s="6">
        <v>0.27800000000000002</v>
      </c>
      <c r="P765" s="6">
        <v>0</v>
      </c>
      <c r="Q765" s="4" t="s">
        <v>26</v>
      </c>
      <c r="R765" s="4">
        <v>0</v>
      </c>
      <c r="S765" s="4" t="s">
        <v>348</v>
      </c>
      <c r="T765" s="4" t="s">
        <v>570</v>
      </c>
      <c r="U765" s="4">
        <v>0</v>
      </c>
      <c r="V765" s="4">
        <v>56</v>
      </c>
      <c r="W765" s="4">
        <v>97</v>
      </c>
    </row>
    <row r="766" spans="1:23" ht="11.25" customHeight="1" x14ac:dyDescent="0.3">
      <c r="A766" s="4" t="s">
        <v>21</v>
      </c>
      <c r="B766" s="4" t="s">
        <v>37</v>
      </c>
      <c r="C766" s="4" t="s">
        <v>33</v>
      </c>
      <c r="D766" s="4" t="s">
        <v>46</v>
      </c>
      <c r="E766" s="4" t="s">
        <v>25</v>
      </c>
      <c r="F766" s="4" t="s">
        <v>25</v>
      </c>
      <c r="G766" s="4" t="s">
        <v>25</v>
      </c>
      <c r="H766" s="4" t="s">
        <v>36</v>
      </c>
      <c r="I766" s="5">
        <v>44652</v>
      </c>
      <c r="J766" s="6">
        <v>0</v>
      </c>
      <c r="K766" s="6">
        <v>0</v>
      </c>
      <c r="L766" s="6">
        <v>0.377</v>
      </c>
      <c r="M766" s="6">
        <v>0.377</v>
      </c>
      <c r="N766" s="6">
        <v>0.377</v>
      </c>
      <c r="O766" s="6">
        <v>0.377</v>
      </c>
      <c r="P766" s="6">
        <v>0</v>
      </c>
      <c r="Q766" s="4" t="s">
        <v>26</v>
      </c>
      <c r="R766" s="4">
        <v>0</v>
      </c>
      <c r="S766" s="4" t="s">
        <v>349</v>
      </c>
      <c r="T766" s="4" t="s">
        <v>571</v>
      </c>
      <c r="U766" s="4">
        <v>0</v>
      </c>
      <c r="V766" s="4">
        <v>56</v>
      </c>
      <c r="W766" s="4">
        <v>97</v>
      </c>
    </row>
    <row r="767" spans="1:23" ht="11.25" customHeight="1" x14ac:dyDescent="0.3">
      <c r="A767" s="4" t="s">
        <v>21</v>
      </c>
      <c r="B767" s="4" t="s">
        <v>37</v>
      </c>
      <c r="C767" s="4" t="s">
        <v>33</v>
      </c>
      <c r="D767" s="4" t="s">
        <v>46</v>
      </c>
      <c r="E767" s="4" t="s">
        <v>25</v>
      </c>
      <c r="F767" s="4" t="s">
        <v>25</v>
      </c>
      <c r="G767" s="4" t="s">
        <v>25</v>
      </c>
      <c r="H767" s="4" t="s">
        <v>36</v>
      </c>
      <c r="I767" s="5">
        <v>44682</v>
      </c>
      <c r="J767" s="6">
        <v>0</v>
      </c>
      <c r="K767" s="6">
        <v>0</v>
      </c>
      <c r="L767" s="6">
        <v>0.307</v>
      </c>
      <c r="M767" s="6">
        <v>0.307</v>
      </c>
      <c r="N767" s="6">
        <v>0.307</v>
      </c>
      <c r="O767" s="6">
        <v>0.307</v>
      </c>
      <c r="P767" s="6">
        <v>0</v>
      </c>
      <c r="Q767" s="4" t="s">
        <v>26</v>
      </c>
      <c r="R767" s="4">
        <v>0</v>
      </c>
      <c r="S767" s="4" t="s">
        <v>350</v>
      </c>
      <c r="T767" s="4" t="s">
        <v>572</v>
      </c>
      <c r="U767" s="4">
        <v>0</v>
      </c>
      <c r="V767" s="4">
        <v>56</v>
      </c>
      <c r="W767" s="4">
        <v>97</v>
      </c>
    </row>
    <row r="768" spans="1:23" ht="11.25" customHeight="1" x14ac:dyDescent="0.3">
      <c r="A768" s="4" t="s">
        <v>21</v>
      </c>
      <c r="B768" s="4" t="s">
        <v>37</v>
      </c>
      <c r="C768" s="4" t="s">
        <v>33</v>
      </c>
      <c r="D768" s="4" t="s">
        <v>46</v>
      </c>
      <c r="E768" s="4" t="s">
        <v>25</v>
      </c>
      <c r="F768" s="4" t="s">
        <v>25</v>
      </c>
      <c r="G768" s="4" t="s">
        <v>25</v>
      </c>
      <c r="H768" s="4" t="s">
        <v>36</v>
      </c>
      <c r="I768" s="5">
        <v>44713</v>
      </c>
      <c r="J768" s="6">
        <v>0</v>
      </c>
      <c r="K768" s="6">
        <v>0</v>
      </c>
      <c r="L768" s="6">
        <v>0.23899999999999999</v>
      </c>
      <c r="M768" s="6">
        <v>0.23899999999999999</v>
      </c>
      <c r="N768" s="6">
        <v>0.23899999999999999</v>
      </c>
      <c r="O768" s="6">
        <v>0.23899999999999999</v>
      </c>
      <c r="P768" s="6">
        <v>0</v>
      </c>
      <c r="Q768" s="4" t="s">
        <v>26</v>
      </c>
      <c r="R768" s="4">
        <v>0</v>
      </c>
      <c r="S768" s="4" t="s">
        <v>351</v>
      </c>
      <c r="T768" s="4" t="s">
        <v>573</v>
      </c>
      <c r="U768" s="4">
        <v>0</v>
      </c>
      <c r="V768" s="4">
        <v>56</v>
      </c>
      <c r="W768" s="4">
        <v>97</v>
      </c>
    </row>
    <row r="769" spans="1:23" ht="11.25" customHeight="1" x14ac:dyDescent="0.3">
      <c r="A769" s="4" t="s">
        <v>21</v>
      </c>
      <c r="B769" s="4" t="s">
        <v>37</v>
      </c>
      <c r="C769" s="4" t="s">
        <v>33</v>
      </c>
      <c r="D769" s="4" t="s">
        <v>46</v>
      </c>
      <c r="E769" s="4" t="s">
        <v>25</v>
      </c>
      <c r="F769" s="4" t="s">
        <v>25</v>
      </c>
      <c r="G769" s="4" t="s">
        <v>25</v>
      </c>
      <c r="H769" s="4" t="s">
        <v>36</v>
      </c>
      <c r="I769" s="5">
        <v>44743</v>
      </c>
      <c r="J769" s="6">
        <v>0</v>
      </c>
      <c r="K769" s="6">
        <v>0</v>
      </c>
      <c r="L769" s="6">
        <v>0.26900000000000002</v>
      </c>
      <c r="M769" s="6">
        <v>0.26900000000000002</v>
      </c>
      <c r="N769" s="6">
        <v>0.26900000000000002</v>
      </c>
      <c r="O769" s="6">
        <v>0.26900000000000002</v>
      </c>
      <c r="P769" s="6">
        <v>0</v>
      </c>
      <c r="Q769" s="4" t="s">
        <v>26</v>
      </c>
      <c r="R769" s="4">
        <v>0</v>
      </c>
      <c r="S769" s="4" t="s">
        <v>352</v>
      </c>
      <c r="T769" s="4" t="s">
        <v>574</v>
      </c>
      <c r="U769" s="4">
        <v>0</v>
      </c>
      <c r="V769" s="4">
        <v>56</v>
      </c>
      <c r="W769" s="4">
        <v>97</v>
      </c>
    </row>
    <row r="770" spans="1:23" ht="11.25" customHeight="1" x14ac:dyDescent="0.3">
      <c r="A770" s="4" t="s">
        <v>21</v>
      </c>
      <c r="B770" s="4" t="s">
        <v>37</v>
      </c>
      <c r="C770" s="4" t="s">
        <v>33</v>
      </c>
      <c r="D770" s="4" t="s">
        <v>46</v>
      </c>
      <c r="E770" s="4" t="s">
        <v>25</v>
      </c>
      <c r="F770" s="4" t="s">
        <v>25</v>
      </c>
      <c r="G770" s="4" t="s">
        <v>25</v>
      </c>
      <c r="H770" s="4" t="s">
        <v>36</v>
      </c>
      <c r="I770" s="5">
        <v>44774</v>
      </c>
      <c r="J770" s="6">
        <v>0</v>
      </c>
      <c r="K770" s="6">
        <v>0</v>
      </c>
      <c r="L770" s="6">
        <v>0.26500000000000001</v>
      </c>
      <c r="M770" s="6">
        <v>0.26500000000000001</v>
      </c>
      <c r="N770" s="6">
        <v>0.26500000000000001</v>
      </c>
      <c r="O770" s="6">
        <v>0.26500000000000001</v>
      </c>
      <c r="P770" s="6">
        <v>0</v>
      </c>
      <c r="Q770" s="4" t="s">
        <v>26</v>
      </c>
      <c r="R770" s="4">
        <v>0</v>
      </c>
      <c r="S770" s="4" t="s">
        <v>353</v>
      </c>
      <c r="T770" s="4" t="s">
        <v>575</v>
      </c>
      <c r="U770" s="4">
        <v>0</v>
      </c>
      <c r="V770" s="4">
        <v>56</v>
      </c>
      <c r="W770" s="4">
        <v>97</v>
      </c>
    </row>
    <row r="771" spans="1:23" ht="11.25" customHeight="1" x14ac:dyDescent="0.3">
      <c r="A771" s="4" t="s">
        <v>21</v>
      </c>
      <c r="B771" s="4" t="s">
        <v>37</v>
      </c>
      <c r="C771" s="4" t="s">
        <v>33</v>
      </c>
      <c r="D771" s="4" t="s">
        <v>46</v>
      </c>
      <c r="E771" s="4" t="s">
        <v>25</v>
      </c>
      <c r="F771" s="4" t="s">
        <v>25</v>
      </c>
      <c r="G771" s="4" t="s">
        <v>25</v>
      </c>
      <c r="H771" s="4" t="s">
        <v>36</v>
      </c>
      <c r="I771" s="5">
        <v>44805</v>
      </c>
      <c r="J771" s="6">
        <v>0</v>
      </c>
      <c r="K771" s="6">
        <v>0</v>
      </c>
      <c r="L771" s="6">
        <v>0.27700000000000002</v>
      </c>
      <c r="M771" s="6">
        <v>0.27700000000000002</v>
      </c>
      <c r="N771" s="6">
        <v>0.27700000000000002</v>
      </c>
      <c r="O771" s="6">
        <v>0.27700000000000002</v>
      </c>
      <c r="P771" s="6">
        <v>0</v>
      </c>
      <c r="Q771" s="4" t="s">
        <v>26</v>
      </c>
      <c r="R771" s="4">
        <v>0</v>
      </c>
      <c r="S771" s="4" t="s">
        <v>354</v>
      </c>
      <c r="T771" s="4" t="s">
        <v>576</v>
      </c>
      <c r="U771" s="4">
        <v>0</v>
      </c>
      <c r="V771" s="4">
        <v>56</v>
      </c>
      <c r="W771" s="4">
        <v>97</v>
      </c>
    </row>
    <row r="772" spans="1:23" ht="11.25" customHeight="1" x14ac:dyDescent="0.3">
      <c r="A772" s="4" t="s">
        <v>57</v>
      </c>
      <c r="B772" s="4" t="s">
        <v>37</v>
      </c>
      <c r="C772" s="4" t="s">
        <v>33</v>
      </c>
      <c r="D772" s="4" t="s">
        <v>46</v>
      </c>
      <c r="E772" s="4" t="s">
        <v>25</v>
      </c>
      <c r="F772" s="4" t="s">
        <v>25</v>
      </c>
      <c r="G772" s="4" t="s">
        <v>25</v>
      </c>
      <c r="H772" s="4" t="s">
        <v>36</v>
      </c>
      <c r="I772" s="5">
        <v>44835</v>
      </c>
      <c r="J772" s="6">
        <v>0</v>
      </c>
      <c r="K772" s="6">
        <v>0</v>
      </c>
      <c r="L772" s="6">
        <v>0.27700000000000002</v>
      </c>
      <c r="M772" s="6">
        <v>0.27700000000000002</v>
      </c>
      <c r="N772" s="6">
        <v>0.27700000000000002</v>
      </c>
      <c r="O772" s="6">
        <v>0.27700000000000002</v>
      </c>
      <c r="P772" s="6">
        <v>0</v>
      </c>
      <c r="Q772" s="4" t="s">
        <v>26</v>
      </c>
      <c r="R772" s="4">
        <v>0</v>
      </c>
      <c r="S772" s="4" t="s">
        <v>355</v>
      </c>
      <c r="T772" s="4" t="s">
        <v>577</v>
      </c>
      <c r="U772" s="4">
        <v>0</v>
      </c>
      <c r="V772" s="4">
        <v>56</v>
      </c>
      <c r="W772" s="4">
        <v>97</v>
      </c>
    </row>
    <row r="773" spans="1:23" ht="11.25" customHeight="1" x14ac:dyDescent="0.3">
      <c r="A773" s="4" t="s">
        <v>21</v>
      </c>
      <c r="B773" s="4" t="s">
        <v>37</v>
      </c>
      <c r="C773" s="4" t="s">
        <v>33</v>
      </c>
      <c r="D773" s="4" t="s">
        <v>46</v>
      </c>
      <c r="E773" s="4" t="s">
        <v>25</v>
      </c>
      <c r="F773" s="4" t="s">
        <v>25</v>
      </c>
      <c r="G773" s="4" t="s">
        <v>25</v>
      </c>
      <c r="H773" s="4" t="s">
        <v>34</v>
      </c>
      <c r="I773" s="5">
        <v>44501</v>
      </c>
      <c r="J773" s="6">
        <v>0</v>
      </c>
      <c r="K773" s="6">
        <v>0</v>
      </c>
      <c r="L773" s="6">
        <v>0.21099999999999999</v>
      </c>
      <c r="M773" s="6">
        <v>0.21099999999999999</v>
      </c>
      <c r="N773" s="6">
        <v>0.21099999999999999</v>
      </c>
      <c r="O773" s="6">
        <v>0.21099999999999999</v>
      </c>
      <c r="P773" s="6">
        <v>0</v>
      </c>
      <c r="Q773" s="4" t="s">
        <v>26</v>
      </c>
      <c r="R773" s="4">
        <v>0</v>
      </c>
      <c r="S773" s="4" t="s">
        <v>356</v>
      </c>
      <c r="T773" s="4" t="s">
        <v>578</v>
      </c>
      <c r="U773" s="4">
        <v>0</v>
      </c>
      <c r="V773" s="4">
        <v>55</v>
      </c>
      <c r="W773" s="4">
        <v>96</v>
      </c>
    </row>
    <row r="774" spans="1:23" ht="11.25" customHeight="1" x14ac:dyDescent="0.3">
      <c r="A774" s="4" t="s">
        <v>21</v>
      </c>
      <c r="B774" s="4" t="s">
        <v>37</v>
      </c>
      <c r="C774" s="4" t="s">
        <v>33</v>
      </c>
      <c r="D774" s="4" t="s">
        <v>46</v>
      </c>
      <c r="E774" s="4" t="s">
        <v>25</v>
      </c>
      <c r="F774" s="4" t="s">
        <v>25</v>
      </c>
      <c r="G774" s="4" t="s">
        <v>25</v>
      </c>
      <c r="H774" s="4" t="s">
        <v>34</v>
      </c>
      <c r="I774" s="5">
        <v>44531</v>
      </c>
      <c r="J774" s="6">
        <v>0</v>
      </c>
      <c r="K774" s="6">
        <v>0</v>
      </c>
      <c r="L774" s="6">
        <v>0.2</v>
      </c>
      <c r="M774" s="6">
        <v>0.2</v>
      </c>
      <c r="N774" s="6">
        <v>0.2</v>
      </c>
      <c r="O774" s="6">
        <v>0.2</v>
      </c>
      <c r="P774" s="6">
        <v>0</v>
      </c>
      <c r="Q774" s="4" t="s">
        <v>26</v>
      </c>
      <c r="R774" s="4">
        <v>0</v>
      </c>
      <c r="S774" s="4" t="s">
        <v>357</v>
      </c>
      <c r="T774" s="4" t="s">
        <v>579</v>
      </c>
      <c r="U774" s="4">
        <v>0</v>
      </c>
      <c r="V774" s="4">
        <v>55</v>
      </c>
      <c r="W774" s="4">
        <v>96</v>
      </c>
    </row>
    <row r="775" spans="1:23" ht="11.25" customHeight="1" x14ac:dyDescent="0.3">
      <c r="A775" s="4" t="s">
        <v>21</v>
      </c>
      <c r="B775" s="4" t="s">
        <v>37</v>
      </c>
      <c r="C775" s="4" t="s">
        <v>33</v>
      </c>
      <c r="D775" s="4" t="s">
        <v>46</v>
      </c>
      <c r="E775" s="4" t="s">
        <v>25</v>
      </c>
      <c r="F775" s="4" t="s">
        <v>25</v>
      </c>
      <c r="G775" s="4" t="s">
        <v>25</v>
      </c>
      <c r="H775" s="4" t="s">
        <v>34</v>
      </c>
      <c r="I775" s="5">
        <v>44562</v>
      </c>
      <c r="J775" s="6">
        <v>0</v>
      </c>
      <c r="K775" s="6">
        <v>0</v>
      </c>
      <c r="L775" s="6">
        <v>0.21299999999999999</v>
      </c>
      <c r="M775" s="6">
        <v>0.21299999999999999</v>
      </c>
      <c r="N775" s="6">
        <v>0.21299999999999999</v>
      </c>
      <c r="O775" s="6">
        <v>0.21299999999999999</v>
      </c>
      <c r="P775" s="6">
        <v>0</v>
      </c>
      <c r="Q775" s="4" t="s">
        <v>26</v>
      </c>
      <c r="R775" s="4">
        <v>0</v>
      </c>
      <c r="S775" s="4" t="s">
        <v>358</v>
      </c>
      <c r="T775" s="4" t="s">
        <v>580</v>
      </c>
      <c r="U775" s="4">
        <v>0</v>
      </c>
      <c r="V775" s="4">
        <v>55</v>
      </c>
      <c r="W775" s="4">
        <v>96</v>
      </c>
    </row>
    <row r="776" spans="1:23" ht="11.25" customHeight="1" x14ac:dyDescent="0.3">
      <c r="A776" s="4" t="s">
        <v>21</v>
      </c>
      <c r="B776" s="4" t="s">
        <v>37</v>
      </c>
      <c r="C776" s="4" t="s">
        <v>33</v>
      </c>
      <c r="D776" s="4" t="s">
        <v>46</v>
      </c>
      <c r="E776" s="4" t="s">
        <v>25</v>
      </c>
      <c r="F776" s="4" t="s">
        <v>25</v>
      </c>
      <c r="G776" s="4" t="s">
        <v>25</v>
      </c>
      <c r="H776" s="4" t="s">
        <v>34</v>
      </c>
      <c r="I776" s="5">
        <v>44593</v>
      </c>
      <c r="J776" s="6">
        <v>0</v>
      </c>
      <c r="K776" s="6">
        <v>0</v>
      </c>
      <c r="L776" s="6">
        <v>0.28000000000000003</v>
      </c>
      <c r="M776" s="6">
        <v>0.28000000000000003</v>
      </c>
      <c r="N776" s="6">
        <v>0.28000000000000003</v>
      </c>
      <c r="O776" s="6">
        <v>0.28000000000000003</v>
      </c>
      <c r="P776" s="6">
        <v>0</v>
      </c>
      <c r="Q776" s="4" t="s">
        <v>26</v>
      </c>
      <c r="R776" s="4">
        <v>0</v>
      </c>
      <c r="S776" s="4" t="s">
        <v>359</v>
      </c>
      <c r="T776" s="4" t="s">
        <v>581</v>
      </c>
      <c r="U776" s="4">
        <v>0</v>
      </c>
      <c r="V776" s="4">
        <v>55</v>
      </c>
      <c r="W776" s="4">
        <v>96</v>
      </c>
    </row>
    <row r="777" spans="1:23" ht="11.25" customHeight="1" x14ac:dyDescent="0.3">
      <c r="A777" s="4" t="s">
        <v>21</v>
      </c>
      <c r="B777" s="4" t="s">
        <v>37</v>
      </c>
      <c r="C777" s="4" t="s">
        <v>33</v>
      </c>
      <c r="D777" s="4" t="s">
        <v>46</v>
      </c>
      <c r="E777" s="4" t="s">
        <v>25</v>
      </c>
      <c r="F777" s="4" t="s">
        <v>25</v>
      </c>
      <c r="G777" s="4" t="s">
        <v>25</v>
      </c>
      <c r="H777" s="4" t="s">
        <v>34</v>
      </c>
      <c r="I777" s="5">
        <v>44621</v>
      </c>
      <c r="J777" s="6">
        <v>0</v>
      </c>
      <c r="K777" s="6">
        <v>0</v>
      </c>
      <c r="L777" s="6">
        <v>0.17699999999999999</v>
      </c>
      <c r="M777" s="6">
        <v>0.17699999999999999</v>
      </c>
      <c r="N777" s="6">
        <v>0.17699999999999999</v>
      </c>
      <c r="O777" s="6">
        <v>0.17699999999999999</v>
      </c>
      <c r="P777" s="6">
        <v>0</v>
      </c>
      <c r="Q777" s="4" t="s">
        <v>26</v>
      </c>
      <c r="R777" s="4">
        <v>0</v>
      </c>
      <c r="S777" s="4" t="s">
        <v>360</v>
      </c>
      <c r="T777" s="4" t="s">
        <v>582</v>
      </c>
      <c r="U777" s="4">
        <v>0</v>
      </c>
      <c r="V777" s="4">
        <v>55</v>
      </c>
      <c r="W777" s="4">
        <v>96</v>
      </c>
    </row>
    <row r="778" spans="1:23" ht="11.25" customHeight="1" x14ac:dyDescent="0.3">
      <c r="A778" s="4" t="s">
        <v>21</v>
      </c>
      <c r="B778" s="4" t="s">
        <v>37</v>
      </c>
      <c r="C778" s="4" t="s">
        <v>33</v>
      </c>
      <c r="D778" s="4" t="s">
        <v>46</v>
      </c>
      <c r="E778" s="4" t="s">
        <v>25</v>
      </c>
      <c r="F778" s="4" t="s">
        <v>25</v>
      </c>
      <c r="G778" s="4" t="s">
        <v>25</v>
      </c>
      <c r="H778" s="4" t="s">
        <v>34</v>
      </c>
      <c r="I778" s="5">
        <v>44652</v>
      </c>
      <c r="J778" s="6">
        <v>0</v>
      </c>
      <c r="K778" s="6">
        <v>0</v>
      </c>
      <c r="L778" s="6">
        <v>0.20599999999999999</v>
      </c>
      <c r="M778" s="6">
        <v>0.20599999999999999</v>
      </c>
      <c r="N778" s="6">
        <v>0.20599999999999999</v>
      </c>
      <c r="O778" s="6">
        <v>0.20599999999999999</v>
      </c>
      <c r="P778" s="6">
        <v>0</v>
      </c>
      <c r="Q778" s="4" t="s">
        <v>26</v>
      </c>
      <c r="R778" s="4">
        <v>0</v>
      </c>
      <c r="S778" s="4" t="s">
        <v>361</v>
      </c>
      <c r="T778" s="4" t="s">
        <v>583</v>
      </c>
      <c r="U778" s="4">
        <v>0</v>
      </c>
      <c r="V778" s="4">
        <v>55</v>
      </c>
      <c r="W778" s="4">
        <v>96</v>
      </c>
    </row>
    <row r="779" spans="1:23" ht="11.25" customHeight="1" x14ac:dyDescent="0.3">
      <c r="A779" s="4" t="s">
        <v>21</v>
      </c>
      <c r="B779" s="4" t="s">
        <v>37</v>
      </c>
      <c r="C779" s="4" t="s">
        <v>33</v>
      </c>
      <c r="D779" s="4" t="s">
        <v>46</v>
      </c>
      <c r="E779" s="4" t="s">
        <v>25</v>
      </c>
      <c r="F779" s="4" t="s">
        <v>25</v>
      </c>
      <c r="G779" s="4" t="s">
        <v>25</v>
      </c>
      <c r="H779" s="4" t="s">
        <v>34</v>
      </c>
      <c r="I779" s="5">
        <v>44682</v>
      </c>
      <c r="J779" s="6">
        <v>0</v>
      </c>
      <c r="K779" s="6">
        <v>0</v>
      </c>
      <c r="L779" s="6">
        <v>0.19600000000000001</v>
      </c>
      <c r="M779" s="6">
        <v>0.19600000000000001</v>
      </c>
      <c r="N779" s="6">
        <v>0.19600000000000001</v>
      </c>
      <c r="O779" s="6">
        <v>0.19600000000000001</v>
      </c>
      <c r="P779" s="6">
        <v>0</v>
      </c>
      <c r="Q779" s="4" t="s">
        <v>26</v>
      </c>
      <c r="R779" s="4">
        <v>0</v>
      </c>
      <c r="S779" s="4" t="s">
        <v>362</v>
      </c>
      <c r="T779" s="4" t="s">
        <v>584</v>
      </c>
      <c r="U779" s="4">
        <v>0</v>
      </c>
      <c r="V779" s="4">
        <v>55</v>
      </c>
      <c r="W779" s="4">
        <v>96</v>
      </c>
    </row>
    <row r="780" spans="1:23" ht="11.25" customHeight="1" x14ac:dyDescent="0.3">
      <c r="A780" s="4" t="s">
        <v>21</v>
      </c>
      <c r="B780" s="4" t="s">
        <v>37</v>
      </c>
      <c r="C780" s="4" t="s">
        <v>33</v>
      </c>
      <c r="D780" s="4" t="s">
        <v>46</v>
      </c>
      <c r="E780" s="4" t="s">
        <v>25</v>
      </c>
      <c r="F780" s="4" t="s">
        <v>25</v>
      </c>
      <c r="G780" s="4" t="s">
        <v>25</v>
      </c>
      <c r="H780" s="4" t="s">
        <v>34</v>
      </c>
      <c r="I780" s="5">
        <v>44713</v>
      </c>
      <c r="J780" s="6">
        <v>0</v>
      </c>
      <c r="K780" s="6">
        <v>0</v>
      </c>
      <c r="L780" s="6">
        <v>0.183</v>
      </c>
      <c r="M780" s="6">
        <v>0.183</v>
      </c>
      <c r="N780" s="6">
        <v>0.183</v>
      </c>
      <c r="O780" s="6">
        <v>0.183</v>
      </c>
      <c r="P780" s="6">
        <v>0</v>
      </c>
      <c r="Q780" s="4" t="s">
        <v>26</v>
      </c>
      <c r="R780" s="4">
        <v>0</v>
      </c>
      <c r="S780" s="4" t="s">
        <v>363</v>
      </c>
      <c r="T780" s="4" t="s">
        <v>585</v>
      </c>
      <c r="U780" s="4">
        <v>0</v>
      </c>
      <c r="V780" s="4">
        <v>55</v>
      </c>
      <c r="W780" s="4">
        <v>96</v>
      </c>
    </row>
    <row r="781" spans="1:23" ht="11.25" customHeight="1" x14ac:dyDescent="0.3">
      <c r="A781" s="4" t="s">
        <v>21</v>
      </c>
      <c r="B781" s="4" t="s">
        <v>37</v>
      </c>
      <c r="C781" s="4" t="s">
        <v>33</v>
      </c>
      <c r="D781" s="4" t="s">
        <v>46</v>
      </c>
      <c r="E781" s="4" t="s">
        <v>25</v>
      </c>
      <c r="F781" s="4" t="s">
        <v>25</v>
      </c>
      <c r="G781" s="4" t="s">
        <v>25</v>
      </c>
      <c r="H781" s="4" t="s">
        <v>34</v>
      </c>
      <c r="I781" s="5">
        <v>44743</v>
      </c>
      <c r="J781" s="6">
        <v>0</v>
      </c>
      <c r="K781" s="6">
        <v>0</v>
      </c>
      <c r="L781" s="6">
        <v>0.19500000000000001</v>
      </c>
      <c r="M781" s="6">
        <v>0.19500000000000001</v>
      </c>
      <c r="N781" s="6">
        <v>0.19500000000000001</v>
      </c>
      <c r="O781" s="6">
        <v>0.19500000000000001</v>
      </c>
      <c r="P781" s="6">
        <v>0</v>
      </c>
      <c r="Q781" s="4" t="s">
        <v>26</v>
      </c>
      <c r="R781" s="4">
        <v>0</v>
      </c>
      <c r="S781" s="4" t="s">
        <v>364</v>
      </c>
      <c r="T781" s="4" t="s">
        <v>586</v>
      </c>
      <c r="U781" s="4">
        <v>0</v>
      </c>
      <c r="V781" s="4">
        <v>55</v>
      </c>
      <c r="W781" s="4">
        <v>96</v>
      </c>
    </row>
    <row r="782" spans="1:23" ht="11.25" customHeight="1" x14ac:dyDescent="0.3">
      <c r="A782" s="4" t="s">
        <v>21</v>
      </c>
      <c r="B782" s="4" t="s">
        <v>37</v>
      </c>
      <c r="C782" s="4" t="s">
        <v>33</v>
      </c>
      <c r="D782" s="4" t="s">
        <v>46</v>
      </c>
      <c r="E782" s="4" t="s">
        <v>25</v>
      </c>
      <c r="F782" s="4" t="s">
        <v>25</v>
      </c>
      <c r="G782" s="4" t="s">
        <v>25</v>
      </c>
      <c r="H782" s="4" t="s">
        <v>34</v>
      </c>
      <c r="I782" s="5">
        <v>44774</v>
      </c>
      <c r="J782" s="6">
        <v>0</v>
      </c>
      <c r="K782" s="6">
        <v>0</v>
      </c>
      <c r="L782" s="6">
        <v>0.223</v>
      </c>
      <c r="M782" s="6">
        <v>0.223</v>
      </c>
      <c r="N782" s="6">
        <v>0.223</v>
      </c>
      <c r="O782" s="6">
        <v>0.223</v>
      </c>
      <c r="P782" s="6">
        <v>0</v>
      </c>
      <c r="Q782" s="4" t="s">
        <v>26</v>
      </c>
      <c r="R782" s="4">
        <v>0</v>
      </c>
      <c r="S782" s="4" t="s">
        <v>365</v>
      </c>
      <c r="T782" s="4" t="s">
        <v>587</v>
      </c>
      <c r="U782" s="4">
        <v>0</v>
      </c>
      <c r="V782" s="4">
        <v>55</v>
      </c>
      <c r="W782" s="4">
        <v>96</v>
      </c>
    </row>
    <row r="783" spans="1:23" ht="11.25" customHeight="1" x14ac:dyDescent="0.3">
      <c r="A783" s="4" t="s">
        <v>21</v>
      </c>
      <c r="B783" s="4" t="s">
        <v>37</v>
      </c>
      <c r="C783" s="4" t="s">
        <v>33</v>
      </c>
      <c r="D783" s="4" t="s">
        <v>46</v>
      </c>
      <c r="E783" s="4" t="s">
        <v>25</v>
      </c>
      <c r="F783" s="4" t="s">
        <v>25</v>
      </c>
      <c r="G783" s="4" t="s">
        <v>25</v>
      </c>
      <c r="H783" s="4" t="s">
        <v>34</v>
      </c>
      <c r="I783" s="5">
        <v>44805</v>
      </c>
      <c r="J783" s="6">
        <v>0</v>
      </c>
      <c r="K783" s="6">
        <v>0</v>
      </c>
      <c r="L783" s="6">
        <v>0.20200000000000001</v>
      </c>
      <c r="M783" s="6">
        <v>0.20200000000000001</v>
      </c>
      <c r="N783" s="6">
        <v>0.20200000000000001</v>
      </c>
      <c r="O783" s="6">
        <v>0.20200000000000001</v>
      </c>
      <c r="P783" s="6">
        <v>0</v>
      </c>
      <c r="Q783" s="4" t="s">
        <v>26</v>
      </c>
      <c r="R783" s="4">
        <v>0</v>
      </c>
      <c r="S783" s="4" t="s">
        <v>366</v>
      </c>
      <c r="T783" s="4" t="s">
        <v>588</v>
      </c>
      <c r="U783" s="4">
        <v>0</v>
      </c>
      <c r="V783" s="4">
        <v>55</v>
      </c>
      <c r="W783" s="4">
        <v>96</v>
      </c>
    </row>
    <row r="784" spans="1:23" ht="11.25" customHeight="1" x14ac:dyDescent="0.3">
      <c r="A784" s="4" t="s">
        <v>57</v>
      </c>
      <c r="B784" s="4" t="s">
        <v>37</v>
      </c>
      <c r="C784" s="4" t="s">
        <v>33</v>
      </c>
      <c r="D784" s="4" t="s">
        <v>46</v>
      </c>
      <c r="E784" s="4" t="s">
        <v>25</v>
      </c>
      <c r="F784" s="4" t="s">
        <v>25</v>
      </c>
      <c r="G784" s="4" t="s">
        <v>25</v>
      </c>
      <c r="H784" s="4" t="s">
        <v>34</v>
      </c>
      <c r="I784" s="5">
        <v>44835</v>
      </c>
      <c r="J784" s="6">
        <v>0</v>
      </c>
      <c r="K784" s="6">
        <v>0</v>
      </c>
      <c r="L784" s="6">
        <v>0.20200000000000001</v>
      </c>
      <c r="M784" s="6">
        <v>0.20200000000000001</v>
      </c>
      <c r="N784" s="6">
        <v>0.20200000000000001</v>
      </c>
      <c r="O784" s="6">
        <v>0.20200000000000001</v>
      </c>
      <c r="P784" s="6">
        <v>0</v>
      </c>
      <c r="Q784" s="4" t="s">
        <v>26</v>
      </c>
      <c r="R784" s="4">
        <v>0</v>
      </c>
      <c r="S784" s="4" t="s">
        <v>367</v>
      </c>
      <c r="T784" s="4" t="s">
        <v>589</v>
      </c>
      <c r="U784" s="4">
        <v>0</v>
      </c>
      <c r="V784" s="4">
        <v>55</v>
      </c>
      <c r="W784" s="4">
        <v>96</v>
      </c>
    </row>
    <row r="785" spans="1:23" ht="11.25" customHeight="1" x14ac:dyDescent="0.3">
      <c r="A785" s="4" t="s">
        <v>21</v>
      </c>
      <c r="B785" s="4" t="s">
        <v>37</v>
      </c>
      <c r="C785" s="4" t="s">
        <v>23</v>
      </c>
      <c r="D785" s="4" t="s">
        <v>41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44501</v>
      </c>
      <c r="J785" s="6">
        <v>0</v>
      </c>
      <c r="K785" s="6">
        <v>0</v>
      </c>
      <c r="L785" s="6">
        <v>1412.8710000000001</v>
      </c>
      <c r="M785" s="6">
        <v>1412.8710000000001</v>
      </c>
      <c r="N785" s="6">
        <v>1412.8710000000001</v>
      </c>
      <c r="O785" s="6">
        <v>1412.8710000000001</v>
      </c>
      <c r="P785" s="6">
        <v>3152</v>
      </c>
      <c r="Q785" s="4" t="s">
        <v>26</v>
      </c>
      <c r="R785" s="4">
        <v>0</v>
      </c>
      <c r="S785" s="4" t="s">
        <v>368</v>
      </c>
      <c r="T785" s="4" t="s">
        <v>590</v>
      </c>
      <c r="U785" s="4">
        <v>0</v>
      </c>
      <c r="V785" s="4">
        <v>58</v>
      </c>
      <c r="W785" s="4">
        <v>99</v>
      </c>
    </row>
    <row r="786" spans="1:23" ht="11.25" customHeight="1" x14ac:dyDescent="0.3">
      <c r="A786" s="4" t="s">
        <v>28</v>
      </c>
      <c r="B786" s="4" t="s">
        <v>37</v>
      </c>
      <c r="C786" s="4" t="s">
        <v>23</v>
      </c>
      <c r="D786" s="4" t="s">
        <v>41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44501</v>
      </c>
      <c r="J786" s="6">
        <v>0</v>
      </c>
      <c r="K786" s="6">
        <v>0</v>
      </c>
      <c r="L786" s="6">
        <v>127.961</v>
      </c>
      <c r="M786" s="6">
        <v>127.961</v>
      </c>
      <c r="N786" s="6">
        <v>127.961</v>
      </c>
      <c r="O786" s="6">
        <v>127.961</v>
      </c>
      <c r="P786" s="6">
        <v>172</v>
      </c>
      <c r="Q786" s="4" t="s">
        <v>26</v>
      </c>
      <c r="R786" s="4">
        <v>0</v>
      </c>
      <c r="S786" s="4" t="s">
        <v>368</v>
      </c>
      <c r="T786" s="4" t="s">
        <v>590</v>
      </c>
      <c r="U786" s="4">
        <v>0</v>
      </c>
      <c r="V786" s="4">
        <v>58</v>
      </c>
      <c r="W786" s="4">
        <v>99</v>
      </c>
    </row>
    <row r="787" spans="1:23" ht="11.25" customHeight="1" x14ac:dyDescent="0.3">
      <c r="A787" s="4" t="s">
        <v>21</v>
      </c>
      <c r="B787" s="4" t="s">
        <v>37</v>
      </c>
      <c r="C787" s="4" t="s">
        <v>23</v>
      </c>
      <c r="D787" s="4" t="s">
        <v>41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44531</v>
      </c>
      <c r="J787" s="6">
        <v>0</v>
      </c>
      <c r="K787" s="6">
        <v>0</v>
      </c>
      <c r="L787" s="6">
        <v>1341.183</v>
      </c>
      <c r="M787" s="6">
        <v>1341.183</v>
      </c>
      <c r="N787" s="6">
        <v>1341.183</v>
      </c>
      <c r="O787" s="6">
        <v>1341.183</v>
      </c>
      <c r="P787" s="6">
        <v>3157</v>
      </c>
      <c r="Q787" s="4" t="s">
        <v>26</v>
      </c>
      <c r="R787" s="4">
        <v>0</v>
      </c>
      <c r="S787" s="4" t="s">
        <v>369</v>
      </c>
      <c r="T787" s="4" t="s">
        <v>591</v>
      </c>
      <c r="U787" s="4">
        <v>0</v>
      </c>
      <c r="V787" s="4">
        <v>58</v>
      </c>
      <c r="W787" s="4">
        <v>99</v>
      </c>
    </row>
    <row r="788" spans="1:23" ht="11.25" customHeight="1" x14ac:dyDescent="0.3">
      <c r="A788" s="4" t="s">
        <v>28</v>
      </c>
      <c r="B788" s="4" t="s">
        <v>37</v>
      </c>
      <c r="C788" s="4" t="s">
        <v>23</v>
      </c>
      <c r="D788" s="4" t="s">
        <v>41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44531</v>
      </c>
      <c r="J788" s="6">
        <v>0</v>
      </c>
      <c r="K788" s="6">
        <v>0</v>
      </c>
      <c r="L788" s="6">
        <v>135.56899999999999</v>
      </c>
      <c r="M788" s="6">
        <v>135.56899999999999</v>
      </c>
      <c r="N788" s="6">
        <v>135.56899999999999</v>
      </c>
      <c r="O788" s="6">
        <v>135.56899999999999</v>
      </c>
      <c r="P788" s="6">
        <v>178</v>
      </c>
      <c r="Q788" s="4" t="s">
        <v>26</v>
      </c>
      <c r="R788" s="4">
        <v>0</v>
      </c>
      <c r="S788" s="4" t="s">
        <v>369</v>
      </c>
      <c r="T788" s="4" t="s">
        <v>591</v>
      </c>
      <c r="U788" s="4">
        <v>0</v>
      </c>
      <c r="V788" s="4">
        <v>58</v>
      </c>
      <c r="W788" s="4">
        <v>99</v>
      </c>
    </row>
    <row r="789" spans="1:23" ht="11.25" customHeight="1" x14ac:dyDescent="0.3">
      <c r="A789" s="4" t="s">
        <v>21</v>
      </c>
      <c r="B789" s="4" t="s">
        <v>37</v>
      </c>
      <c r="C789" s="4" t="s">
        <v>23</v>
      </c>
      <c r="D789" s="4" t="s">
        <v>41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44562</v>
      </c>
      <c r="J789" s="6">
        <v>0</v>
      </c>
      <c r="K789" s="6">
        <v>0</v>
      </c>
      <c r="L789" s="6">
        <v>1364.8309999999999</v>
      </c>
      <c r="M789" s="6">
        <v>1364.8309999999999</v>
      </c>
      <c r="N789" s="6">
        <v>1364.8309999999999</v>
      </c>
      <c r="O789" s="6">
        <v>1364.8309999999999</v>
      </c>
      <c r="P789" s="6">
        <v>3143</v>
      </c>
      <c r="Q789" s="4" t="s">
        <v>26</v>
      </c>
      <c r="R789" s="4">
        <v>0</v>
      </c>
      <c r="S789" s="4" t="s">
        <v>370</v>
      </c>
      <c r="T789" s="4" t="s">
        <v>592</v>
      </c>
      <c r="U789" s="4">
        <v>0</v>
      </c>
      <c r="V789" s="4">
        <v>58</v>
      </c>
      <c r="W789" s="4">
        <v>99</v>
      </c>
    </row>
    <row r="790" spans="1:23" ht="11.25" customHeight="1" x14ac:dyDescent="0.3">
      <c r="A790" s="4" t="s">
        <v>28</v>
      </c>
      <c r="B790" s="4" t="s">
        <v>37</v>
      </c>
      <c r="C790" s="4" t="s">
        <v>23</v>
      </c>
      <c r="D790" s="4" t="s">
        <v>41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44562</v>
      </c>
      <c r="J790" s="6">
        <v>0</v>
      </c>
      <c r="K790" s="6">
        <v>0</v>
      </c>
      <c r="L790" s="6">
        <v>143.53</v>
      </c>
      <c r="M790" s="6">
        <v>143.53</v>
      </c>
      <c r="N790" s="6">
        <v>143.53</v>
      </c>
      <c r="O790" s="6">
        <v>143.53</v>
      </c>
      <c r="P790" s="6">
        <v>190</v>
      </c>
      <c r="Q790" s="4" t="s">
        <v>26</v>
      </c>
      <c r="R790" s="4">
        <v>0</v>
      </c>
      <c r="S790" s="4" t="s">
        <v>370</v>
      </c>
      <c r="T790" s="4" t="s">
        <v>592</v>
      </c>
      <c r="U790" s="4">
        <v>0</v>
      </c>
      <c r="V790" s="4">
        <v>58</v>
      </c>
      <c r="W790" s="4">
        <v>99</v>
      </c>
    </row>
    <row r="791" spans="1:23" ht="11.25" customHeight="1" x14ac:dyDescent="0.3">
      <c r="A791" s="4" t="s">
        <v>21</v>
      </c>
      <c r="B791" s="4" t="s">
        <v>37</v>
      </c>
      <c r="C791" s="4" t="s">
        <v>23</v>
      </c>
      <c r="D791" s="4" t="s">
        <v>41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44593</v>
      </c>
      <c r="J791" s="6">
        <v>0</v>
      </c>
      <c r="K791" s="6">
        <v>0</v>
      </c>
      <c r="L791" s="6">
        <v>1338.837</v>
      </c>
      <c r="M791" s="6">
        <v>1338.837</v>
      </c>
      <c r="N791" s="6">
        <v>1338.837</v>
      </c>
      <c r="O791" s="6">
        <v>1338.837</v>
      </c>
      <c r="P791" s="6">
        <v>3126</v>
      </c>
      <c r="Q791" s="4" t="s">
        <v>26</v>
      </c>
      <c r="R791" s="4">
        <v>0</v>
      </c>
      <c r="S791" s="4" t="s">
        <v>371</v>
      </c>
      <c r="T791" s="4" t="s">
        <v>593</v>
      </c>
      <c r="U791" s="4">
        <v>0</v>
      </c>
      <c r="V791" s="4">
        <v>58</v>
      </c>
      <c r="W791" s="4">
        <v>99</v>
      </c>
    </row>
    <row r="792" spans="1:23" ht="11.25" customHeight="1" x14ac:dyDescent="0.3">
      <c r="A792" s="4" t="s">
        <v>28</v>
      </c>
      <c r="B792" s="4" t="s">
        <v>37</v>
      </c>
      <c r="C792" s="4" t="s">
        <v>23</v>
      </c>
      <c r="D792" s="4" t="s">
        <v>41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44593</v>
      </c>
      <c r="J792" s="6">
        <v>0</v>
      </c>
      <c r="K792" s="6">
        <v>0</v>
      </c>
      <c r="L792" s="6">
        <v>117.672</v>
      </c>
      <c r="M792" s="6">
        <v>117.672</v>
      </c>
      <c r="N792" s="6">
        <v>117.672</v>
      </c>
      <c r="O792" s="6">
        <v>117.672</v>
      </c>
      <c r="P792" s="6">
        <v>206</v>
      </c>
      <c r="Q792" s="4" t="s">
        <v>26</v>
      </c>
      <c r="R792" s="4">
        <v>0</v>
      </c>
      <c r="S792" s="4" t="s">
        <v>371</v>
      </c>
      <c r="T792" s="4" t="s">
        <v>593</v>
      </c>
      <c r="U792" s="4">
        <v>0</v>
      </c>
      <c r="V792" s="4">
        <v>58</v>
      </c>
      <c r="W792" s="4">
        <v>99</v>
      </c>
    </row>
    <row r="793" spans="1:23" ht="11.25" customHeight="1" x14ac:dyDescent="0.3">
      <c r="A793" s="4" t="s">
        <v>21</v>
      </c>
      <c r="B793" s="4" t="s">
        <v>37</v>
      </c>
      <c r="C793" s="4" t="s">
        <v>23</v>
      </c>
      <c r="D793" s="4" t="s">
        <v>41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44621</v>
      </c>
      <c r="J793" s="6">
        <v>0</v>
      </c>
      <c r="K793" s="6">
        <v>0</v>
      </c>
      <c r="L793" s="6">
        <v>1231.1179999999999</v>
      </c>
      <c r="M793" s="6">
        <v>1231.1179999999999</v>
      </c>
      <c r="N793" s="6">
        <v>1231.1179999999999</v>
      </c>
      <c r="O793" s="6">
        <v>1231.1179999999999</v>
      </c>
      <c r="P793" s="6">
        <v>3135</v>
      </c>
      <c r="Q793" s="4" t="s">
        <v>26</v>
      </c>
      <c r="R793" s="4">
        <v>0</v>
      </c>
      <c r="S793" s="4" t="s">
        <v>372</v>
      </c>
      <c r="T793" s="4" t="s">
        <v>594</v>
      </c>
      <c r="U793" s="4">
        <v>0</v>
      </c>
      <c r="V793" s="4">
        <v>58</v>
      </c>
      <c r="W793" s="4">
        <v>99</v>
      </c>
    </row>
    <row r="794" spans="1:23" ht="11.25" customHeight="1" x14ac:dyDescent="0.3">
      <c r="A794" s="4" t="s">
        <v>28</v>
      </c>
      <c r="B794" s="4" t="s">
        <v>37</v>
      </c>
      <c r="C794" s="4" t="s">
        <v>23</v>
      </c>
      <c r="D794" s="4" t="s">
        <v>41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44621</v>
      </c>
      <c r="J794" s="6">
        <v>0</v>
      </c>
      <c r="K794" s="6">
        <v>0</v>
      </c>
      <c r="L794" s="6">
        <v>114.151</v>
      </c>
      <c r="M794" s="6">
        <v>114.151</v>
      </c>
      <c r="N794" s="6">
        <v>114.151</v>
      </c>
      <c r="O794" s="6">
        <v>114.151</v>
      </c>
      <c r="P794" s="6">
        <v>213</v>
      </c>
      <c r="Q794" s="4" t="s">
        <v>26</v>
      </c>
      <c r="R794" s="4">
        <v>0</v>
      </c>
      <c r="S794" s="4" t="s">
        <v>372</v>
      </c>
      <c r="T794" s="4" t="s">
        <v>594</v>
      </c>
      <c r="U794" s="4">
        <v>0</v>
      </c>
      <c r="V794" s="4">
        <v>58</v>
      </c>
      <c r="W794" s="4">
        <v>99</v>
      </c>
    </row>
    <row r="795" spans="1:23" ht="11.25" customHeight="1" x14ac:dyDescent="0.3">
      <c r="A795" s="4" t="s">
        <v>21</v>
      </c>
      <c r="B795" s="4" t="s">
        <v>37</v>
      </c>
      <c r="C795" s="4" t="s">
        <v>23</v>
      </c>
      <c r="D795" s="4" t="s">
        <v>41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44652</v>
      </c>
      <c r="J795" s="6">
        <v>0</v>
      </c>
      <c r="K795" s="6">
        <v>0</v>
      </c>
      <c r="L795" s="6">
        <v>1489.4559999999999</v>
      </c>
      <c r="M795" s="6">
        <v>1489.4559999999999</v>
      </c>
      <c r="N795" s="6">
        <v>1489.4559999999999</v>
      </c>
      <c r="O795" s="6">
        <v>1489.4559999999999</v>
      </c>
      <c r="P795" s="6">
        <v>3121</v>
      </c>
      <c r="Q795" s="4" t="s">
        <v>26</v>
      </c>
      <c r="R795" s="4">
        <v>0</v>
      </c>
      <c r="S795" s="4" t="s">
        <v>373</v>
      </c>
      <c r="T795" s="4" t="s">
        <v>595</v>
      </c>
      <c r="U795" s="4">
        <v>0</v>
      </c>
      <c r="V795" s="4">
        <v>58</v>
      </c>
      <c r="W795" s="4">
        <v>99</v>
      </c>
    </row>
    <row r="796" spans="1:23" ht="11.25" customHeight="1" x14ac:dyDescent="0.3">
      <c r="A796" s="4" t="s">
        <v>28</v>
      </c>
      <c r="B796" s="4" t="s">
        <v>37</v>
      </c>
      <c r="C796" s="4" t="s">
        <v>23</v>
      </c>
      <c r="D796" s="4" t="s">
        <v>41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44652</v>
      </c>
      <c r="J796" s="6">
        <v>0</v>
      </c>
      <c r="K796" s="6">
        <v>0</v>
      </c>
      <c r="L796" s="6">
        <v>126.386</v>
      </c>
      <c r="M796" s="6">
        <v>126.386</v>
      </c>
      <c r="N796" s="6">
        <v>126.386</v>
      </c>
      <c r="O796" s="6">
        <v>126.386</v>
      </c>
      <c r="P796" s="6">
        <v>230</v>
      </c>
      <c r="Q796" s="4" t="s">
        <v>26</v>
      </c>
      <c r="R796" s="4">
        <v>0</v>
      </c>
      <c r="S796" s="4" t="s">
        <v>373</v>
      </c>
      <c r="T796" s="4" t="s">
        <v>595</v>
      </c>
      <c r="U796" s="4">
        <v>0</v>
      </c>
      <c r="V796" s="4">
        <v>58</v>
      </c>
      <c r="W796" s="4">
        <v>99</v>
      </c>
    </row>
    <row r="797" spans="1:23" ht="11.25" customHeight="1" x14ac:dyDescent="0.3">
      <c r="A797" s="4" t="s">
        <v>21</v>
      </c>
      <c r="B797" s="4" t="s">
        <v>37</v>
      </c>
      <c r="C797" s="4" t="s">
        <v>23</v>
      </c>
      <c r="D797" s="4" t="s">
        <v>41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44682</v>
      </c>
      <c r="J797" s="6">
        <v>0</v>
      </c>
      <c r="K797" s="6">
        <v>0</v>
      </c>
      <c r="L797" s="6">
        <v>1390.402</v>
      </c>
      <c r="M797" s="6">
        <v>1390.402</v>
      </c>
      <c r="N797" s="6">
        <v>1390.402</v>
      </c>
      <c r="O797" s="6">
        <v>1390.402</v>
      </c>
      <c r="P797" s="6">
        <v>3120</v>
      </c>
      <c r="Q797" s="4" t="s">
        <v>26</v>
      </c>
      <c r="R797" s="4">
        <v>0</v>
      </c>
      <c r="S797" s="4" t="s">
        <v>374</v>
      </c>
      <c r="T797" s="4" t="s">
        <v>596</v>
      </c>
      <c r="U797" s="4">
        <v>0</v>
      </c>
      <c r="V797" s="4">
        <v>58</v>
      </c>
      <c r="W797" s="4">
        <v>99</v>
      </c>
    </row>
    <row r="798" spans="1:23" ht="11.25" customHeight="1" x14ac:dyDescent="0.3">
      <c r="A798" s="4" t="s">
        <v>28</v>
      </c>
      <c r="B798" s="4" t="s">
        <v>37</v>
      </c>
      <c r="C798" s="4" t="s">
        <v>23</v>
      </c>
      <c r="D798" s="4" t="s">
        <v>41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44682</v>
      </c>
      <c r="J798" s="6">
        <v>0</v>
      </c>
      <c r="K798" s="6">
        <v>0</v>
      </c>
      <c r="L798" s="6">
        <v>144.86600000000001</v>
      </c>
      <c r="M798" s="6">
        <v>144.86600000000001</v>
      </c>
      <c r="N798" s="6">
        <v>144.86600000000001</v>
      </c>
      <c r="O798" s="6">
        <v>144.86600000000001</v>
      </c>
      <c r="P798" s="6">
        <v>233</v>
      </c>
      <c r="Q798" s="4" t="s">
        <v>26</v>
      </c>
      <c r="R798" s="4">
        <v>0</v>
      </c>
      <c r="S798" s="4" t="s">
        <v>374</v>
      </c>
      <c r="T798" s="4" t="s">
        <v>596</v>
      </c>
      <c r="U798" s="4">
        <v>0</v>
      </c>
      <c r="V798" s="4">
        <v>58</v>
      </c>
      <c r="W798" s="4">
        <v>99</v>
      </c>
    </row>
    <row r="799" spans="1:23" ht="11.25" customHeight="1" x14ac:dyDescent="0.3">
      <c r="A799" s="4" t="s">
        <v>21</v>
      </c>
      <c r="B799" s="4" t="s">
        <v>37</v>
      </c>
      <c r="C799" s="4" t="s">
        <v>23</v>
      </c>
      <c r="D799" s="4" t="s">
        <v>41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44713</v>
      </c>
      <c r="J799" s="6">
        <v>0</v>
      </c>
      <c r="K799" s="6">
        <v>0</v>
      </c>
      <c r="L799" s="6">
        <v>1191.5650000000001</v>
      </c>
      <c r="M799" s="6">
        <v>1191.5650000000001</v>
      </c>
      <c r="N799" s="6">
        <v>1191.5650000000001</v>
      </c>
      <c r="O799" s="6">
        <v>1191.5650000000001</v>
      </c>
      <c r="P799" s="6">
        <v>3116</v>
      </c>
      <c r="Q799" s="4" t="s">
        <v>26</v>
      </c>
      <c r="R799" s="4">
        <v>0</v>
      </c>
      <c r="S799" s="4" t="s">
        <v>375</v>
      </c>
      <c r="T799" s="4" t="s">
        <v>597</v>
      </c>
      <c r="U799" s="4">
        <v>0</v>
      </c>
      <c r="V799" s="4">
        <v>58</v>
      </c>
      <c r="W799" s="4">
        <v>99</v>
      </c>
    </row>
    <row r="800" spans="1:23" ht="11.25" customHeight="1" x14ac:dyDescent="0.3">
      <c r="A800" s="4" t="s">
        <v>28</v>
      </c>
      <c r="B800" s="4" t="s">
        <v>37</v>
      </c>
      <c r="C800" s="4" t="s">
        <v>23</v>
      </c>
      <c r="D800" s="4" t="s">
        <v>41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44713</v>
      </c>
      <c r="J800" s="6">
        <v>0</v>
      </c>
      <c r="K800" s="6">
        <v>0</v>
      </c>
      <c r="L800" s="6">
        <v>123.622</v>
      </c>
      <c r="M800" s="6">
        <v>123.622</v>
      </c>
      <c r="N800" s="6">
        <v>123.622</v>
      </c>
      <c r="O800" s="6">
        <v>123.622</v>
      </c>
      <c r="P800" s="6">
        <v>236</v>
      </c>
      <c r="Q800" s="4" t="s">
        <v>26</v>
      </c>
      <c r="R800" s="4">
        <v>0</v>
      </c>
      <c r="S800" s="4" t="s">
        <v>375</v>
      </c>
      <c r="T800" s="4" t="s">
        <v>597</v>
      </c>
      <c r="U800" s="4">
        <v>0</v>
      </c>
      <c r="V800" s="4">
        <v>58</v>
      </c>
      <c r="W800" s="4">
        <v>99</v>
      </c>
    </row>
    <row r="801" spans="1:23" ht="11.25" customHeight="1" x14ac:dyDescent="0.3">
      <c r="A801" s="4" t="s">
        <v>21</v>
      </c>
      <c r="B801" s="4" t="s">
        <v>37</v>
      </c>
      <c r="C801" s="4" t="s">
        <v>23</v>
      </c>
      <c r="D801" s="4" t="s">
        <v>41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44743</v>
      </c>
      <c r="J801" s="6">
        <v>0</v>
      </c>
      <c r="K801" s="6">
        <v>0</v>
      </c>
      <c r="L801" s="6">
        <v>1218.107</v>
      </c>
      <c r="M801" s="6">
        <v>1218.107</v>
      </c>
      <c r="N801" s="6">
        <v>1218.107</v>
      </c>
      <c r="O801" s="6">
        <v>1218.107</v>
      </c>
      <c r="P801" s="6">
        <v>3101</v>
      </c>
      <c r="Q801" s="4" t="s">
        <v>26</v>
      </c>
      <c r="R801" s="4">
        <v>0</v>
      </c>
      <c r="S801" s="4" t="s">
        <v>376</v>
      </c>
      <c r="T801" s="4" t="s">
        <v>598</v>
      </c>
      <c r="U801" s="4">
        <v>0</v>
      </c>
      <c r="V801" s="4">
        <v>58</v>
      </c>
      <c r="W801" s="4">
        <v>99</v>
      </c>
    </row>
    <row r="802" spans="1:23" ht="11.25" customHeight="1" x14ac:dyDescent="0.3">
      <c r="A802" s="4" t="s">
        <v>28</v>
      </c>
      <c r="B802" s="4" t="s">
        <v>37</v>
      </c>
      <c r="C802" s="4" t="s">
        <v>23</v>
      </c>
      <c r="D802" s="4" t="s">
        <v>41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44743</v>
      </c>
      <c r="J802" s="6">
        <v>0</v>
      </c>
      <c r="K802" s="6">
        <v>0</v>
      </c>
      <c r="L802" s="6">
        <v>133.83799999999999</v>
      </c>
      <c r="M802" s="6">
        <v>133.83799999999999</v>
      </c>
      <c r="N802" s="6">
        <v>133.83799999999999</v>
      </c>
      <c r="O802" s="6">
        <v>133.83799999999999</v>
      </c>
      <c r="P802" s="6">
        <v>257</v>
      </c>
      <c r="Q802" s="4" t="s">
        <v>26</v>
      </c>
      <c r="R802" s="4">
        <v>0</v>
      </c>
      <c r="S802" s="4" t="s">
        <v>376</v>
      </c>
      <c r="T802" s="4" t="s">
        <v>598</v>
      </c>
      <c r="U802" s="4">
        <v>0</v>
      </c>
      <c r="V802" s="4">
        <v>58</v>
      </c>
      <c r="W802" s="4">
        <v>99</v>
      </c>
    </row>
    <row r="803" spans="1:23" ht="11.25" customHeight="1" x14ac:dyDescent="0.3">
      <c r="A803" s="4" t="s">
        <v>21</v>
      </c>
      <c r="B803" s="4" t="s">
        <v>37</v>
      </c>
      <c r="C803" s="4" t="s">
        <v>23</v>
      </c>
      <c r="D803" s="4" t="s">
        <v>41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44774</v>
      </c>
      <c r="J803" s="6">
        <v>0</v>
      </c>
      <c r="K803" s="6">
        <v>0</v>
      </c>
      <c r="L803" s="6">
        <v>1135.0899999999999</v>
      </c>
      <c r="M803" s="6">
        <v>1135.0899999999999</v>
      </c>
      <c r="N803" s="6">
        <v>1135.0899999999999</v>
      </c>
      <c r="O803" s="6">
        <v>1135.0899999999999</v>
      </c>
      <c r="P803" s="6">
        <v>3087</v>
      </c>
      <c r="Q803" s="4" t="s">
        <v>26</v>
      </c>
      <c r="R803" s="4">
        <v>0</v>
      </c>
      <c r="S803" s="4" t="s">
        <v>377</v>
      </c>
      <c r="T803" s="4" t="s">
        <v>599</v>
      </c>
      <c r="U803" s="4">
        <v>0</v>
      </c>
      <c r="V803" s="4">
        <v>58</v>
      </c>
      <c r="W803" s="4">
        <v>99</v>
      </c>
    </row>
    <row r="804" spans="1:23" ht="11.25" customHeight="1" x14ac:dyDescent="0.3">
      <c r="A804" s="4" t="s">
        <v>28</v>
      </c>
      <c r="B804" s="4" t="s">
        <v>37</v>
      </c>
      <c r="C804" s="4" t="s">
        <v>23</v>
      </c>
      <c r="D804" s="4" t="s">
        <v>41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44774</v>
      </c>
      <c r="J804" s="6">
        <v>0</v>
      </c>
      <c r="K804" s="6">
        <v>0</v>
      </c>
      <c r="L804" s="6">
        <v>116.259</v>
      </c>
      <c r="M804" s="6">
        <v>116.259</v>
      </c>
      <c r="N804" s="6">
        <v>116.259</v>
      </c>
      <c r="O804" s="6">
        <v>116.259</v>
      </c>
      <c r="P804" s="6">
        <v>265</v>
      </c>
      <c r="Q804" s="4" t="s">
        <v>26</v>
      </c>
      <c r="R804" s="4">
        <v>0</v>
      </c>
      <c r="S804" s="4" t="s">
        <v>377</v>
      </c>
      <c r="T804" s="4" t="s">
        <v>599</v>
      </c>
      <c r="U804" s="4">
        <v>0</v>
      </c>
      <c r="V804" s="4">
        <v>58</v>
      </c>
      <c r="W804" s="4">
        <v>99</v>
      </c>
    </row>
    <row r="805" spans="1:23" ht="11.25" customHeight="1" x14ac:dyDescent="0.3">
      <c r="A805" s="4" t="s">
        <v>21</v>
      </c>
      <c r="B805" s="4" t="s">
        <v>37</v>
      </c>
      <c r="C805" s="4" t="s">
        <v>23</v>
      </c>
      <c r="D805" s="4" t="s">
        <v>41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44805</v>
      </c>
      <c r="J805" s="6">
        <v>0</v>
      </c>
      <c r="K805" s="6">
        <v>0</v>
      </c>
      <c r="L805" s="6">
        <v>1354.8879999999999</v>
      </c>
      <c r="M805" s="6">
        <v>1354.8879999999999</v>
      </c>
      <c r="N805" s="6">
        <v>1354.8879999999999</v>
      </c>
      <c r="O805" s="6">
        <v>1354.8879999999999</v>
      </c>
      <c r="P805" s="6">
        <v>3096</v>
      </c>
      <c r="Q805" s="4" t="s">
        <v>26</v>
      </c>
      <c r="R805" s="4">
        <v>0</v>
      </c>
      <c r="S805" s="4" t="s">
        <v>378</v>
      </c>
      <c r="T805" s="4" t="s">
        <v>600</v>
      </c>
      <c r="U805" s="4">
        <v>0</v>
      </c>
      <c r="V805" s="4">
        <v>58</v>
      </c>
      <c r="W805" s="4">
        <v>99</v>
      </c>
    </row>
    <row r="806" spans="1:23" ht="11.25" customHeight="1" x14ac:dyDescent="0.3">
      <c r="A806" s="4" t="s">
        <v>28</v>
      </c>
      <c r="B806" s="4" t="s">
        <v>37</v>
      </c>
      <c r="C806" s="4" t="s">
        <v>23</v>
      </c>
      <c r="D806" s="4" t="s">
        <v>41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44805</v>
      </c>
      <c r="J806" s="6">
        <v>0</v>
      </c>
      <c r="K806" s="6">
        <v>0</v>
      </c>
      <c r="L806" s="6">
        <v>130.71199999999999</v>
      </c>
      <c r="M806" s="6">
        <v>130.71199999999999</v>
      </c>
      <c r="N806" s="6">
        <v>130.71199999999999</v>
      </c>
      <c r="O806" s="6">
        <v>130.71199999999999</v>
      </c>
      <c r="P806" s="6">
        <v>273</v>
      </c>
      <c r="Q806" s="4" t="s">
        <v>26</v>
      </c>
      <c r="R806" s="4">
        <v>0</v>
      </c>
      <c r="S806" s="4" t="s">
        <v>378</v>
      </c>
      <c r="T806" s="4" t="s">
        <v>600</v>
      </c>
      <c r="U806" s="4">
        <v>0</v>
      </c>
      <c r="V806" s="4">
        <v>58</v>
      </c>
      <c r="W806" s="4">
        <v>99</v>
      </c>
    </row>
    <row r="807" spans="1:23" ht="11.25" customHeight="1" x14ac:dyDescent="0.3">
      <c r="A807" s="4" t="s">
        <v>57</v>
      </c>
      <c r="B807" s="4" t="s">
        <v>37</v>
      </c>
      <c r="C807" s="4" t="s">
        <v>23</v>
      </c>
      <c r="D807" s="4" t="s">
        <v>41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44835</v>
      </c>
      <c r="J807" s="6">
        <v>0</v>
      </c>
      <c r="K807" s="6">
        <v>0</v>
      </c>
      <c r="L807" s="6">
        <v>1354.8879999999999</v>
      </c>
      <c r="M807" s="6">
        <v>1354.8879999999999</v>
      </c>
      <c r="N807" s="6">
        <v>1354.8879999999999</v>
      </c>
      <c r="O807" s="6">
        <v>1354.8879999999999</v>
      </c>
      <c r="P807" s="6">
        <v>3096</v>
      </c>
      <c r="Q807" s="4" t="s">
        <v>26</v>
      </c>
      <c r="R807" s="4">
        <v>0</v>
      </c>
      <c r="S807" s="4" t="s">
        <v>379</v>
      </c>
      <c r="T807" s="4" t="s">
        <v>601</v>
      </c>
      <c r="U807" s="4">
        <v>0</v>
      </c>
      <c r="V807" s="4">
        <v>58</v>
      </c>
      <c r="W807" s="4">
        <v>99</v>
      </c>
    </row>
    <row r="808" spans="1:23" ht="11.25" customHeight="1" x14ac:dyDescent="0.3">
      <c r="A808" s="4" t="s">
        <v>57</v>
      </c>
      <c r="B808" s="4" t="s">
        <v>37</v>
      </c>
      <c r="C808" s="4" t="s">
        <v>23</v>
      </c>
      <c r="D808" s="4" t="s">
        <v>41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44835</v>
      </c>
      <c r="J808" s="6">
        <v>0</v>
      </c>
      <c r="K808" s="6">
        <v>0</v>
      </c>
      <c r="L808" s="6">
        <v>130.71199999999999</v>
      </c>
      <c r="M808" s="6">
        <v>130.71199999999999</v>
      </c>
      <c r="N808" s="6">
        <v>130.71199999999999</v>
      </c>
      <c r="O808" s="6">
        <v>130.71199999999999</v>
      </c>
      <c r="P808" s="6">
        <v>273</v>
      </c>
      <c r="Q808" s="4" t="s">
        <v>26</v>
      </c>
      <c r="R808" s="4">
        <v>0</v>
      </c>
      <c r="S808" s="4" t="s">
        <v>379</v>
      </c>
      <c r="T808" s="4" t="s">
        <v>601</v>
      </c>
      <c r="U808" s="4">
        <v>0</v>
      </c>
      <c r="V808" s="4">
        <v>58</v>
      </c>
      <c r="W808" s="4">
        <v>99</v>
      </c>
    </row>
    <row r="809" spans="1:23" ht="11.25" customHeight="1" x14ac:dyDescent="0.3">
      <c r="A809" s="4" t="s">
        <v>21</v>
      </c>
      <c r="B809" s="4" t="s">
        <v>37</v>
      </c>
      <c r="C809" s="4" t="s">
        <v>23</v>
      </c>
      <c r="D809" s="4" t="s">
        <v>52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44501</v>
      </c>
      <c r="J809" s="6">
        <v>0</v>
      </c>
      <c r="K809" s="6">
        <v>0</v>
      </c>
      <c r="L809" s="6">
        <v>15.702999999999999</v>
      </c>
      <c r="M809" s="6">
        <v>15.702999999999999</v>
      </c>
      <c r="N809" s="6">
        <v>15.702999999999999</v>
      </c>
      <c r="O809" s="6">
        <v>15.702999999999999</v>
      </c>
      <c r="P809" s="6">
        <v>11</v>
      </c>
      <c r="Q809" s="4" t="s">
        <v>26</v>
      </c>
      <c r="R809" s="4">
        <v>0</v>
      </c>
      <c r="S809" s="4" t="s">
        <v>368</v>
      </c>
      <c r="T809" s="4" t="s">
        <v>590</v>
      </c>
      <c r="U809" s="4">
        <v>0</v>
      </c>
      <c r="V809" s="4">
        <v>58</v>
      </c>
      <c r="W809" s="4">
        <v>99</v>
      </c>
    </row>
    <row r="810" spans="1:23" ht="11.25" customHeight="1" x14ac:dyDescent="0.3">
      <c r="A810" s="4" t="s">
        <v>21</v>
      </c>
      <c r="B810" s="4" t="s">
        <v>37</v>
      </c>
      <c r="C810" s="4" t="s">
        <v>23</v>
      </c>
      <c r="D810" s="4" t="s">
        <v>52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44531</v>
      </c>
      <c r="J810" s="6">
        <v>0</v>
      </c>
      <c r="K810" s="6">
        <v>0</v>
      </c>
      <c r="L810" s="6">
        <v>15.512</v>
      </c>
      <c r="M810" s="6">
        <v>15.512</v>
      </c>
      <c r="N810" s="6">
        <v>15.512</v>
      </c>
      <c r="O810" s="6">
        <v>15.512</v>
      </c>
      <c r="P810" s="6">
        <v>11</v>
      </c>
      <c r="Q810" s="4" t="s">
        <v>26</v>
      </c>
      <c r="R810" s="4">
        <v>0</v>
      </c>
      <c r="S810" s="4" t="s">
        <v>369</v>
      </c>
      <c r="T810" s="4" t="s">
        <v>591</v>
      </c>
      <c r="U810" s="4">
        <v>0</v>
      </c>
      <c r="V810" s="4">
        <v>58</v>
      </c>
      <c r="W810" s="4">
        <v>99</v>
      </c>
    </row>
    <row r="811" spans="1:23" ht="11.25" customHeight="1" x14ac:dyDescent="0.3">
      <c r="A811" s="4" t="s">
        <v>21</v>
      </c>
      <c r="B811" s="4" t="s">
        <v>37</v>
      </c>
      <c r="C811" s="4" t="s">
        <v>23</v>
      </c>
      <c r="D811" s="4" t="s">
        <v>52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44562</v>
      </c>
      <c r="J811" s="6">
        <v>0</v>
      </c>
      <c r="K811" s="6">
        <v>0</v>
      </c>
      <c r="L811" s="6">
        <v>13.901</v>
      </c>
      <c r="M811" s="6">
        <v>13.901</v>
      </c>
      <c r="N811" s="6">
        <v>13.901</v>
      </c>
      <c r="O811" s="6">
        <v>13.901</v>
      </c>
      <c r="P811" s="6">
        <v>11</v>
      </c>
      <c r="Q811" s="4" t="s">
        <v>26</v>
      </c>
      <c r="R811" s="4">
        <v>0</v>
      </c>
      <c r="S811" s="4" t="s">
        <v>370</v>
      </c>
      <c r="T811" s="4" t="s">
        <v>592</v>
      </c>
      <c r="U811" s="4">
        <v>0</v>
      </c>
      <c r="V811" s="4">
        <v>58</v>
      </c>
      <c r="W811" s="4">
        <v>99</v>
      </c>
    </row>
    <row r="812" spans="1:23" ht="11.25" customHeight="1" x14ac:dyDescent="0.3">
      <c r="A812" s="4" t="s">
        <v>21</v>
      </c>
      <c r="B812" s="4" t="s">
        <v>37</v>
      </c>
      <c r="C812" s="4" t="s">
        <v>23</v>
      </c>
      <c r="D812" s="4" t="s">
        <v>52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44593</v>
      </c>
      <c r="J812" s="6">
        <v>0</v>
      </c>
      <c r="K812" s="6">
        <v>0</v>
      </c>
      <c r="L812" s="6">
        <v>15.327999999999999</v>
      </c>
      <c r="M812" s="6">
        <v>15.327999999999999</v>
      </c>
      <c r="N812" s="6">
        <v>15.327999999999999</v>
      </c>
      <c r="O812" s="6">
        <v>15.327999999999999</v>
      </c>
      <c r="P812" s="6">
        <v>11</v>
      </c>
      <c r="Q812" s="4" t="s">
        <v>26</v>
      </c>
      <c r="R812" s="4">
        <v>0</v>
      </c>
      <c r="S812" s="4" t="s">
        <v>371</v>
      </c>
      <c r="T812" s="4" t="s">
        <v>593</v>
      </c>
      <c r="U812" s="4">
        <v>0</v>
      </c>
      <c r="V812" s="4">
        <v>58</v>
      </c>
      <c r="W812" s="4">
        <v>99</v>
      </c>
    </row>
    <row r="813" spans="1:23" ht="11.25" customHeight="1" x14ac:dyDescent="0.3">
      <c r="A813" s="4" t="s">
        <v>21</v>
      </c>
      <c r="B813" s="4" t="s">
        <v>37</v>
      </c>
      <c r="C813" s="4" t="s">
        <v>23</v>
      </c>
      <c r="D813" s="4" t="s">
        <v>52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44621</v>
      </c>
      <c r="J813" s="6">
        <v>0</v>
      </c>
      <c r="K813" s="6">
        <v>0</v>
      </c>
      <c r="L813" s="6">
        <v>14.196999999999999</v>
      </c>
      <c r="M813" s="6">
        <v>14.196999999999999</v>
      </c>
      <c r="N813" s="6">
        <v>14.196999999999999</v>
      </c>
      <c r="O813" s="6">
        <v>14.196999999999999</v>
      </c>
      <c r="P813" s="6">
        <v>11</v>
      </c>
      <c r="Q813" s="4" t="s">
        <v>26</v>
      </c>
      <c r="R813" s="4">
        <v>0</v>
      </c>
      <c r="S813" s="4" t="s">
        <v>372</v>
      </c>
      <c r="T813" s="4" t="s">
        <v>594</v>
      </c>
      <c r="U813" s="4">
        <v>0</v>
      </c>
      <c r="V813" s="4">
        <v>58</v>
      </c>
      <c r="W813" s="4">
        <v>99</v>
      </c>
    </row>
    <row r="814" spans="1:23" ht="11.25" customHeight="1" x14ac:dyDescent="0.3">
      <c r="A814" s="4" t="s">
        <v>21</v>
      </c>
      <c r="B814" s="4" t="s">
        <v>37</v>
      </c>
      <c r="C814" s="4" t="s">
        <v>23</v>
      </c>
      <c r="D814" s="4" t="s">
        <v>52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44652</v>
      </c>
      <c r="J814" s="6">
        <v>0</v>
      </c>
      <c r="K814" s="6">
        <v>0</v>
      </c>
      <c r="L814" s="6">
        <v>17.297000000000001</v>
      </c>
      <c r="M814" s="6">
        <v>17.297000000000001</v>
      </c>
      <c r="N814" s="6">
        <v>17.297000000000001</v>
      </c>
      <c r="O814" s="6">
        <v>17.297000000000001</v>
      </c>
      <c r="P814" s="6">
        <v>11</v>
      </c>
      <c r="Q814" s="4" t="s">
        <v>26</v>
      </c>
      <c r="R814" s="4">
        <v>0</v>
      </c>
      <c r="S814" s="4" t="s">
        <v>373</v>
      </c>
      <c r="T814" s="4" t="s">
        <v>595</v>
      </c>
      <c r="U814" s="4">
        <v>0</v>
      </c>
      <c r="V814" s="4">
        <v>58</v>
      </c>
      <c r="W814" s="4">
        <v>99</v>
      </c>
    </row>
    <row r="815" spans="1:23" ht="11.25" customHeight="1" x14ac:dyDescent="0.3">
      <c r="A815" s="4" t="s">
        <v>21</v>
      </c>
      <c r="B815" s="4" t="s">
        <v>37</v>
      </c>
      <c r="C815" s="4" t="s">
        <v>23</v>
      </c>
      <c r="D815" s="4" t="s">
        <v>52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44682</v>
      </c>
      <c r="J815" s="6">
        <v>0</v>
      </c>
      <c r="K815" s="6">
        <v>0</v>
      </c>
      <c r="L815" s="6">
        <v>15.887</v>
      </c>
      <c r="M815" s="6">
        <v>15.887</v>
      </c>
      <c r="N815" s="6">
        <v>15.887</v>
      </c>
      <c r="O815" s="6">
        <v>15.887</v>
      </c>
      <c r="P815" s="6">
        <v>11</v>
      </c>
      <c r="Q815" s="4" t="s">
        <v>26</v>
      </c>
      <c r="R815" s="4">
        <v>0</v>
      </c>
      <c r="S815" s="4" t="s">
        <v>374</v>
      </c>
      <c r="T815" s="4" t="s">
        <v>596</v>
      </c>
      <c r="U815" s="4">
        <v>0</v>
      </c>
      <c r="V815" s="4">
        <v>58</v>
      </c>
      <c r="W815" s="4">
        <v>99</v>
      </c>
    </row>
    <row r="816" spans="1:23" ht="11.25" customHeight="1" x14ac:dyDescent="0.3">
      <c r="A816" s="4" t="s">
        <v>21</v>
      </c>
      <c r="B816" s="4" t="s">
        <v>37</v>
      </c>
      <c r="C816" s="4" t="s">
        <v>23</v>
      </c>
      <c r="D816" s="4" t="s">
        <v>52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44713</v>
      </c>
      <c r="J816" s="6">
        <v>0</v>
      </c>
      <c r="K816" s="6">
        <v>0</v>
      </c>
      <c r="L816" s="6">
        <v>12.807</v>
      </c>
      <c r="M816" s="6">
        <v>12.807</v>
      </c>
      <c r="N816" s="6">
        <v>12.807</v>
      </c>
      <c r="O816" s="6">
        <v>12.807</v>
      </c>
      <c r="P816" s="6">
        <v>11</v>
      </c>
      <c r="Q816" s="4" t="s">
        <v>26</v>
      </c>
      <c r="R816" s="4">
        <v>0</v>
      </c>
      <c r="S816" s="4" t="s">
        <v>375</v>
      </c>
      <c r="T816" s="4" t="s">
        <v>597</v>
      </c>
      <c r="U816" s="4">
        <v>0</v>
      </c>
      <c r="V816" s="4">
        <v>58</v>
      </c>
      <c r="W816" s="4">
        <v>99</v>
      </c>
    </row>
    <row r="817" spans="1:23" ht="11.25" customHeight="1" x14ac:dyDescent="0.3">
      <c r="A817" s="4" t="s">
        <v>21</v>
      </c>
      <c r="B817" s="4" t="s">
        <v>37</v>
      </c>
      <c r="C817" s="4" t="s">
        <v>23</v>
      </c>
      <c r="D817" s="4" t="s">
        <v>52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44743</v>
      </c>
      <c r="J817" s="6">
        <v>0</v>
      </c>
      <c r="K817" s="6">
        <v>0</v>
      </c>
      <c r="L817" s="6">
        <v>13.413</v>
      </c>
      <c r="M817" s="6">
        <v>13.413</v>
      </c>
      <c r="N817" s="6">
        <v>13.413</v>
      </c>
      <c r="O817" s="6">
        <v>13.413</v>
      </c>
      <c r="P817" s="6">
        <v>11</v>
      </c>
      <c r="Q817" s="4" t="s">
        <v>26</v>
      </c>
      <c r="R817" s="4">
        <v>0</v>
      </c>
      <c r="S817" s="4" t="s">
        <v>376</v>
      </c>
      <c r="T817" s="4" t="s">
        <v>598</v>
      </c>
      <c r="U817" s="4">
        <v>0</v>
      </c>
      <c r="V817" s="4">
        <v>58</v>
      </c>
      <c r="W817" s="4">
        <v>99</v>
      </c>
    </row>
    <row r="818" spans="1:23" ht="11.25" customHeight="1" x14ac:dyDescent="0.3">
      <c r="A818" s="4" t="s">
        <v>21</v>
      </c>
      <c r="B818" s="4" t="s">
        <v>37</v>
      </c>
      <c r="C818" s="4" t="s">
        <v>23</v>
      </c>
      <c r="D818" s="4" t="s">
        <v>52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44774</v>
      </c>
      <c r="J818" s="6">
        <v>0</v>
      </c>
      <c r="K818" s="6">
        <v>0</v>
      </c>
      <c r="L818" s="6">
        <v>12.808</v>
      </c>
      <c r="M818" s="6">
        <v>12.808</v>
      </c>
      <c r="N818" s="6">
        <v>12.808</v>
      </c>
      <c r="O818" s="6">
        <v>12.808</v>
      </c>
      <c r="P818" s="6">
        <v>11</v>
      </c>
      <c r="Q818" s="4" t="s">
        <v>26</v>
      </c>
      <c r="R818" s="4">
        <v>0</v>
      </c>
      <c r="S818" s="4" t="s">
        <v>377</v>
      </c>
      <c r="T818" s="4" t="s">
        <v>599</v>
      </c>
      <c r="U818" s="4">
        <v>0</v>
      </c>
      <c r="V818" s="4">
        <v>58</v>
      </c>
      <c r="W818" s="4">
        <v>99</v>
      </c>
    </row>
    <row r="819" spans="1:23" ht="11.25" customHeight="1" x14ac:dyDescent="0.3">
      <c r="A819" s="4" t="s">
        <v>21</v>
      </c>
      <c r="B819" s="4" t="s">
        <v>37</v>
      </c>
      <c r="C819" s="4" t="s">
        <v>23</v>
      </c>
      <c r="D819" s="4" t="s">
        <v>52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44805</v>
      </c>
      <c r="J819" s="6">
        <v>0</v>
      </c>
      <c r="K819" s="6">
        <v>0</v>
      </c>
      <c r="L819" s="6">
        <v>16.094999999999999</v>
      </c>
      <c r="M819" s="6">
        <v>16.094999999999999</v>
      </c>
      <c r="N819" s="6">
        <v>16.094999999999999</v>
      </c>
      <c r="O819" s="6">
        <v>16.094999999999999</v>
      </c>
      <c r="P819" s="6">
        <v>11</v>
      </c>
      <c r="Q819" s="4" t="s">
        <v>26</v>
      </c>
      <c r="R819" s="4">
        <v>0</v>
      </c>
      <c r="S819" s="4" t="s">
        <v>378</v>
      </c>
      <c r="T819" s="4" t="s">
        <v>600</v>
      </c>
      <c r="U819" s="4">
        <v>0</v>
      </c>
      <c r="V819" s="4">
        <v>58</v>
      </c>
      <c r="W819" s="4">
        <v>99</v>
      </c>
    </row>
    <row r="820" spans="1:23" ht="11.25" customHeight="1" x14ac:dyDescent="0.3">
      <c r="A820" s="4" t="s">
        <v>57</v>
      </c>
      <c r="B820" s="4" t="s">
        <v>37</v>
      </c>
      <c r="C820" s="4" t="s">
        <v>23</v>
      </c>
      <c r="D820" s="4" t="s">
        <v>52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44835</v>
      </c>
      <c r="J820" s="6">
        <v>0</v>
      </c>
      <c r="K820" s="6">
        <v>0</v>
      </c>
      <c r="L820" s="6">
        <v>16.094999999999999</v>
      </c>
      <c r="M820" s="6">
        <v>16.094999999999999</v>
      </c>
      <c r="N820" s="6">
        <v>16.094999999999999</v>
      </c>
      <c r="O820" s="6">
        <v>16.094999999999999</v>
      </c>
      <c r="P820" s="6">
        <v>11</v>
      </c>
      <c r="Q820" s="4" t="s">
        <v>26</v>
      </c>
      <c r="R820" s="4">
        <v>0</v>
      </c>
      <c r="S820" s="4" t="s">
        <v>379</v>
      </c>
      <c r="T820" s="4" t="s">
        <v>601</v>
      </c>
      <c r="U820" s="4">
        <v>0</v>
      </c>
      <c r="V820" s="4">
        <v>58</v>
      </c>
      <c r="W820" s="4">
        <v>99</v>
      </c>
    </row>
    <row r="821" spans="1:23" ht="11.25" customHeight="1" x14ac:dyDescent="0.3">
      <c r="A821" s="4" t="s">
        <v>21</v>
      </c>
      <c r="B821" s="4" t="s">
        <v>37</v>
      </c>
      <c r="C821" s="4" t="s">
        <v>23</v>
      </c>
      <c r="D821" s="4" t="s">
        <v>38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44501</v>
      </c>
      <c r="J821" s="6">
        <v>0</v>
      </c>
      <c r="K821" s="6">
        <v>0</v>
      </c>
      <c r="L821" s="6">
        <v>48.664999999999999</v>
      </c>
      <c r="M821" s="6">
        <v>48.664999999999999</v>
      </c>
      <c r="N821" s="6">
        <v>48.664999999999999</v>
      </c>
      <c r="O821" s="6">
        <v>48.664999999999999</v>
      </c>
      <c r="P821" s="6">
        <v>44</v>
      </c>
      <c r="Q821" s="4" t="s">
        <v>26</v>
      </c>
      <c r="R821" s="4">
        <v>0</v>
      </c>
      <c r="S821" s="4" t="s">
        <v>368</v>
      </c>
      <c r="T821" s="4" t="s">
        <v>590</v>
      </c>
      <c r="U821" s="4">
        <v>0</v>
      </c>
      <c r="V821" s="4">
        <v>58</v>
      </c>
      <c r="W821" s="4">
        <v>99</v>
      </c>
    </row>
    <row r="822" spans="1:23" ht="11.25" customHeight="1" x14ac:dyDescent="0.3">
      <c r="A822" s="4" t="s">
        <v>28</v>
      </c>
      <c r="B822" s="4" t="s">
        <v>37</v>
      </c>
      <c r="C822" s="4" t="s">
        <v>23</v>
      </c>
      <c r="D822" s="4" t="s">
        <v>38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44501</v>
      </c>
      <c r="J822" s="6">
        <v>0</v>
      </c>
      <c r="K822" s="6">
        <v>0</v>
      </c>
      <c r="L822" s="6">
        <v>1.589</v>
      </c>
      <c r="M822" s="6">
        <v>1.589</v>
      </c>
      <c r="N822" s="6">
        <v>1.589</v>
      </c>
      <c r="O822" s="6">
        <v>1.589</v>
      </c>
      <c r="P822" s="6">
        <v>3</v>
      </c>
      <c r="Q822" s="4" t="s">
        <v>26</v>
      </c>
      <c r="R822" s="4">
        <v>0</v>
      </c>
      <c r="S822" s="4" t="s">
        <v>368</v>
      </c>
      <c r="T822" s="4" t="s">
        <v>590</v>
      </c>
      <c r="U822" s="4">
        <v>0</v>
      </c>
      <c r="V822" s="4">
        <v>58</v>
      </c>
      <c r="W822" s="4">
        <v>99</v>
      </c>
    </row>
    <row r="823" spans="1:23" ht="11.25" customHeight="1" x14ac:dyDescent="0.3">
      <c r="A823" s="4" t="s">
        <v>21</v>
      </c>
      <c r="B823" s="4" t="s">
        <v>37</v>
      </c>
      <c r="C823" s="4" t="s">
        <v>23</v>
      </c>
      <c r="D823" s="4" t="s">
        <v>38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44531</v>
      </c>
      <c r="J823" s="6">
        <v>0</v>
      </c>
      <c r="K823" s="6">
        <v>0</v>
      </c>
      <c r="L823" s="6">
        <v>43.027999999999999</v>
      </c>
      <c r="M823" s="6">
        <v>43.027999999999999</v>
      </c>
      <c r="N823" s="6">
        <v>43.027999999999999</v>
      </c>
      <c r="O823" s="6">
        <v>43.027999999999999</v>
      </c>
      <c r="P823" s="6">
        <v>44</v>
      </c>
      <c r="Q823" s="4" t="s">
        <v>26</v>
      </c>
      <c r="R823" s="4">
        <v>0</v>
      </c>
      <c r="S823" s="4" t="s">
        <v>369</v>
      </c>
      <c r="T823" s="4" t="s">
        <v>591</v>
      </c>
      <c r="U823" s="4">
        <v>0</v>
      </c>
      <c r="V823" s="4">
        <v>58</v>
      </c>
      <c r="W823" s="4">
        <v>99</v>
      </c>
    </row>
    <row r="824" spans="1:23" ht="11.25" customHeight="1" x14ac:dyDescent="0.3">
      <c r="A824" s="4" t="s">
        <v>28</v>
      </c>
      <c r="B824" s="4" t="s">
        <v>37</v>
      </c>
      <c r="C824" s="4" t="s">
        <v>23</v>
      </c>
      <c r="D824" s="4" t="s">
        <v>38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44531</v>
      </c>
      <c r="J824" s="6">
        <v>0</v>
      </c>
      <c r="K824" s="6">
        <v>0</v>
      </c>
      <c r="L824" s="6">
        <v>1.998</v>
      </c>
      <c r="M824" s="6">
        <v>1.998</v>
      </c>
      <c r="N824" s="6">
        <v>1.998</v>
      </c>
      <c r="O824" s="6">
        <v>1.998</v>
      </c>
      <c r="P824" s="6">
        <v>3</v>
      </c>
      <c r="Q824" s="4" t="s">
        <v>26</v>
      </c>
      <c r="R824" s="4">
        <v>0</v>
      </c>
      <c r="S824" s="4" t="s">
        <v>369</v>
      </c>
      <c r="T824" s="4" t="s">
        <v>591</v>
      </c>
      <c r="U824" s="4">
        <v>0</v>
      </c>
      <c r="V824" s="4">
        <v>58</v>
      </c>
      <c r="W824" s="4">
        <v>99</v>
      </c>
    </row>
    <row r="825" spans="1:23" ht="11.25" customHeight="1" x14ac:dyDescent="0.3">
      <c r="A825" s="4" t="s">
        <v>21</v>
      </c>
      <c r="B825" s="4" t="s">
        <v>37</v>
      </c>
      <c r="C825" s="4" t="s">
        <v>23</v>
      </c>
      <c r="D825" s="4" t="s">
        <v>38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44562</v>
      </c>
      <c r="J825" s="6">
        <v>0</v>
      </c>
      <c r="K825" s="6">
        <v>0</v>
      </c>
      <c r="L825" s="6">
        <v>44.354999999999997</v>
      </c>
      <c r="M825" s="6">
        <v>44.354999999999997</v>
      </c>
      <c r="N825" s="6">
        <v>44.354999999999997</v>
      </c>
      <c r="O825" s="6">
        <v>44.354999999999997</v>
      </c>
      <c r="P825" s="6">
        <v>44</v>
      </c>
      <c r="Q825" s="4" t="s">
        <v>26</v>
      </c>
      <c r="R825" s="4">
        <v>0</v>
      </c>
      <c r="S825" s="4" t="s">
        <v>370</v>
      </c>
      <c r="T825" s="4" t="s">
        <v>592</v>
      </c>
      <c r="U825" s="4">
        <v>0</v>
      </c>
      <c r="V825" s="4">
        <v>58</v>
      </c>
      <c r="W825" s="4">
        <v>99</v>
      </c>
    </row>
    <row r="826" spans="1:23" ht="11.25" customHeight="1" x14ac:dyDescent="0.3">
      <c r="A826" s="4" t="s">
        <v>28</v>
      </c>
      <c r="B826" s="4" t="s">
        <v>37</v>
      </c>
      <c r="C826" s="4" t="s">
        <v>23</v>
      </c>
      <c r="D826" s="4" t="s">
        <v>38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44562</v>
      </c>
      <c r="J826" s="6">
        <v>0</v>
      </c>
      <c r="K826" s="6">
        <v>0</v>
      </c>
      <c r="L826" s="6">
        <v>1.978</v>
      </c>
      <c r="M826" s="6">
        <v>1.978</v>
      </c>
      <c r="N826" s="6">
        <v>1.978</v>
      </c>
      <c r="O826" s="6">
        <v>1.978</v>
      </c>
      <c r="P826" s="6">
        <v>3</v>
      </c>
      <c r="Q826" s="4" t="s">
        <v>26</v>
      </c>
      <c r="R826" s="4">
        <v>0</v>
      </c>
      <c r="S826" s="4" t="s">
        <v>370</v>
      </c>
      <c r="T826" s="4" t="s">
        <v>592</v>
      </c>
      <c r="U826" s="4">
        <v>0</v>
      </c>
      <c r="V826" s="4">
        <v>58</v>
      </c>
      <c r="W826" s="4">
        <v>99</v>
      </c>
    </row>
    <row r="827" spans="1:23" ht="11.25" customHeight="1" x14ac:dyDescent="0.3">
      <c r="A827" s="4" t="s">
        <v>21</v>
      </c>
      <c r="B827" s="4" t="s">
        <v>37</v>
      </c>
      <c r="C827" s="4" t="s">
        <v>23</v>
      </c>
      <c r="D827" s="4" t="s">
        <v>38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44593</v>
      </c>
      <c r="J827" s="6">
        <v>0</v>
      </c>
      <c r="K827" s="6">
        <v>0</v>
      </c>
      <c r="L827" s="6">
        <v>44.408000000000001</v>
      </c>
      <c r="M827" s="6">
        <v>44.408000000000001</v>
      </c>
      <c r="N827" s="6">
        <v>44.408000000000001</v>
      </c>
      <c r="O827" s="6">
        <v>44.408000000000001</v>
      </c>
      <c r="P827" s="6">
        <v>42</v>
      </c>
      <c r="Q827" s="4" t="s">
        <v>26</v>
      </c>
      <c r="R827" s="4">
        <v>0</v>
      </c>
      <c r="S827" s="4" t="s">
        <v>371</v>
      </c>
      <c r="T827" s="4" t="s">
        <v>593</v>
      </c>
      <c r="U827" s="4">
        <v>0</v>
      </c>
      <c r="V827" s="4">
        <v>58</v>
      </c>
      <c r="W827" s="4">
        <v>99</v>
      </c>
    </row>
    <row r="828" spans="1:23" ht="11.25" customHeight="1" x14ac:dyDescent="0.3">
      <c r="A828" s="4" t="s">
        <v>28</v>
      </c>
      <c r="B828" s="4" t="s">
        <v>37</v>
      </c>
      <c r="C828" s="4" t="s">
        <v>23</v>
      </c>
      <c r="D828" s="4" t="s">
        <v>38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44593</v>
      </c>
      <c r="J828" s="6">
        <v>0</v>
      </c>
      <c r="K828" s="6">
        <v>0</v>
      </c>
      <c r="L828" s="6">
        <v>0.71199999999999997</v>
      </c>
      <c r="M828" s="6">
        <v>0.71199999999999997</v>
      </c>
      <c r="N828" s="6">
        <v>0.71199999999999997</v>
      </c>
      <c r="O828" s="6">
        <v>0.71199999999999997</v>
      </c>
      <c r="P828" s="6">
        <v>3</v>
      </c>
      <c r="Q828" s="4" t="s">
        <v>26</v>
      </c>
      <c r="R828" s="4">
        <v>0</v>
      </c>
      <c r="S828" s="4" t="s">
        <v>371</v>
      </c>
      <c r="T828" s="4" t="s">
        <v>593</v>
      </c>
      <c r="U828" s="4">
        <v>0</v>
      </c>
      <c r="V828" s="4">
        <v>58</v>
      </c>
      <c r="W828" s="4">
        <v>99</v>
      </c>
    </row>
    <row r="829" spans="1:23" ht="11.25" customHeight="1" x14ac:dyDescent="0.3">
      <c r="A829" s="4" t="s">
        <v>21</v>
      </c>
      <c r="B829" s="4" t="s">
        <v>37</v>
      </c>
      <c r="C829" s="4" t="s">
        <v>23</v>
      </c>
      <c r="D829" s="4" t="s">
        <v>38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44621</v>
      </c>
      <c r="J829" s="6">
        <v>0</v>
      </c>
      <c r="K829" s="6">
        <v>0</v>
      </c>
      <c r="L829" s="6">
        <v>43.771000000000001</v>
      </c>
      <c r="M829" s="6">
        <v>43.771000000000001</v>
      </c>
      <c r="N829" s="6">
        <v>43.771000000000001</v>
      </c>
      <c r="O829" s="6">
        <v>43.771000000000001</v>
      </c>
      <c r="P829" s="6">
        <v>42</v>
      </c>
      <c r="Q829" s="4" t="s">
        <v>26</v>
      </c>
      <c r="R829" s="4">
        <v>0</v>
      </c>
      <c r="S829" s="4" t="s">
        <v>372</v>
      </c>
      <c r="T829" s="4" t="s">
        <v>594</v>
      </c>
      <c r="U829" s="4">
        <v>0</v>
      </c>
      <c r="V829" s="4">
        <v>58</v>
      </c>
      <c r="W829" s="4">
        <v>99</v>
      </c>
    </row>
    <row r="830" spans="1:23" ht="11.25" customHeight="1" x14ac:dyDescent="0.3">
      <c r="A830" s="4" t="s">
        <v>28</v>
      </c>
      <c r="B830" s="4" t="s">
        <v>37</v>
      </c>
      <c r="C830" s="4" t="s">
        <v>23</v>
      </c>
      <c r="D830" s="4" t="s">
        <v>38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44621</v>
      </c>
      <c r="J830" s="6">
        <v>0</v>
      </c>
      <c r="K830" s="6">
        <v>0</v>
      </c>
      <c r="L830" s="6">
        <v>0.6</v>
      </c>
      <c r="M830" s="6">
        <v>0.6</v>
      </c>
      <c r="N830" s="6">
        <v>0.6</v>
      </c>
      <c r="O830" s="6">
        <v>0.6</v>
      </c>
      <c r="P830" s="6">
        <v>3</v>
      </c>
      <c r="Q830" s="4" t="s">
        <v>26</v>
      </c>
      <c r="R830" s="4">
        <v>0</v>
      </c>
      <c r="S830" s="4" t="s">
        <v>372</v>
      </c>
      <c r="T830" s="4" t="s">
        <v>594</v>
      </c>
      <c r="U830" s="4">
        <v>0</v>
      </c>
      <c r="V830" s="4">
        <v>58</v>
      </c>
      <c r="W830" s="4">
        <v>99</v>
      </c>
    </row>
    <row r="831" spans="1:23" ht="11.25" customHeight="1" x14ac:dyDescent="0.3">
      <c r="A831" s="4" t="s">
        <v>21</v>
      </c>
      <c r="B831" s="4" t="s">
        <v>37</v>
      </c>
      <c r="C831" s="4" t="s">
        <v>23</v>
      </c>
      <c r="D831" s="4" t="s">
        <v>38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44652</v>
      </c>
      <c r="J831" s="6">
        <v>0</v>
      </c>
      <c r="K831" s="6">
        <v>0</v>
      </c>
      <c r="L831" s="6">
        <v>47.892000000000003</v>
      </c>
      <c r="M831" s="6">
        <v>47.892000000000003</v>
      </c>
      <c r="N831" s="6">
        <v>47.892000000000003</v>
      </c>
      <c r="O831" s="6">
        <v>47.892000000000003</v>
      </c>
      <c r="P831" s="6">
        <v>42</v>
      </c>
      <c r="Q831" s="4" t="s">
        <v>26</v>
      </c>
      <c r="R831" s="4">
        <v>0</v>
      </c>
      <c r="S831" s="4" t="s">
        <v>373</v>
      </c>
      <c r="T831" s="4" t="s">
        <v>595</v>
      </c>
      <c r="U831" s="4">
        <v>0</v>
      </c>
      <c r="V831" s="4">
        <v>58</v>
      </c>
      <c r="W831" s="4">
        <v>99</v>
      </c>
    </row>
    <row r="832" spans="1:23" ht="11.25" customHeight="1" x14ac:dyDescent="0.3">
      <c r="A832" s="4" t="s">
        <v>28</v>
      </c>
      <c r="B832" s="4" t="s">
        <v>37</v>
      </c>
      <c r="C832" s="4" t="s">
        <v>23</v>
      </c>
      <c r="D832" s="4" t="s">
        <v>38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44652</v>
      </c>
      <c r="J832" s="6">
        <v>0</v>
      </c>
      <c r="K832" s="6">
        <v>0</v>
      </c>
      <c r="L832" s="6">
        <v>0.47399999999999998</v>
      </c>
      <c r="M832" s="6">
        <v>0.47399999999999998</v>
      </c>
      <c r="N832" s="6">
        <v>0.47399999999999998</v>
      </c>
      <c r="O832" s="6">
        <v>0.47399999999999998</v>
      </c>
      <c r="P832" s="6">
        <v>3</v>
      </c>
      <c r="Q832" s="4" t="s">
        <v>26</v>
      </c>
      <c r="R832" s="4">
        <v>0</v>
      </c>
      <c r="S832" s="4" t="s">
        <v>373</v>
      </c>
      <c r="T832" s="4" t="s">
        <v>595</v>
      </c>
      <c r="U832" s="4">
        <v>0</v>
      </c>
      <c r="V832" s="4">
        <v>58</v>
      </c>
      <c r="W832" s="4">
        <v>99</v>
      </c>
    </row>
    <row r="833" spans="1:23" ht="11.25" customHeight="1" x14ac:dyDescent="0.3">
      <c r="A833" s="4" t="s">
        <v>21</v>
      </c>
      <c r="B833" s="4" t="s">
        <v>37</v>
      </c>
      <c r="C833" s="4" t="s">
        <v>23</v>
      </c>
      <c r="D833" s="4" t="s">
        <v>38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44682</v>
      </c>
      <c r="J833" s="6">
        <v>0</v>
      </c>
      <c r="K833" s="6">
        <v>0</v>
      </c>
      <c r="L833" s="6">
        <v>41.951000000000001</v>
      </c>
      <c r="M833" s="6">
        <v>41.951000000000001</v>
      </c>
      <c r="N833" s="6">
        <v>41.951000000000001</v>
      </c>
      <c r="O833" s="6">
        <v>41.951000000000001</v>
      </c>
      <c r="P833" s="6">
        <v>43</v>
      </c>
      <c r="Q833" s="4" t="s">
        <v>26</v>
      </c>
      <c r="R833" s="4">
        <v>0</v>
      </c>
      <c r="S833" s="4" t="s">
        <v>374</v>
      </c>
      <c r="T833" s="4" t="s">
        <v>596</v>
      </c>
      <c r="U833" s="4">
        <v>0</v>
      </c>
      <c r="V833" s="4">
        <v>58</v>
      </c>
      <c r="W833" s="4">
        <v>99</v>
      </c>
    </row>
    <row r="834" spans="1:23" ht="11.25" customHeight="1" x14ac:dyDescent="0.3">
      <c r="A834" s="4" t="s">
        <v>28</v>
      </c>
      <c r="B834" s="4" t="s">
        <v>37</v>
      </c>
      <c r="C834" s="4" t="s">
        <v>23</v>
      </c>
      <c r="D834" s="4" t="s">
        <v>38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44682</v>
      </c>
      <c r="J834" s="6">
        <v>0</v>
      </c>
      <c r="K834" s="6">
        <v>0</v>
      </c>
      <c r="L834" s="6">
        <v>1.8620000000000001</v>
      </c>
      <c r="M834" s="6">
        <v>1.8620000000000001</v>
      </c>
      <c r="N834" s="6">
        <v>1.8620000000000001</v>
      </c>
      <c r="O834" s="6">
        <v>1.8620000000000001</v>
      </c>
      <c r="P834" s="6">
        <v>3</v>
      </c>
      <c r="Q834" s="4" t="s">
        <v>26</v>
      </c>
      <c r="R834" s="4">
        <v>0</v>
      </c>
      <c r="S834" s="4" t="s">
        <v>374</v>
      </c>
      <c r="T834" s="4" t="s">
        <v>596</v>
      </c>
      <c r="U834" s="4">
        <v>0</v>
      </c>
      <c r="V834" s="4">
        <v>58</v>
      </c>
      <c r="W834" s="4">
        <v>99</v>
      </c>
    </row>
    <row r="835" spans="1:23" ht="11.25" customHeight="1" x14ac:dyDescent="0.3">
      <c r="A835" s="4" t="s">
        <v>21</v>
      </c>
      <c r="B835" s="4" t="s">
        <v>37</v>
      </c>
      <c r="C835" s="4" t="s">
        <v>23</v>
      </c>
      <c r="D835" s="4" t="s">
        <v>38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44713</v>
      </c>
      <c r="J835" s="6">
        <v>0</v>
      </c>
      <c r="K835" s="6">
        <v>0</v>
      </c>
      <c r="L835" s="6">
        <v>48.308999999999997</v>
      </c>
      <c r="M835" s="6">
        <v>48.308999999999997</v>
      </c>
      <c r="N835" s="6">
        <v>48.308999999999997</v>
      </c>
      <c r="O835" s="6">
        <v>48.308999999999997</v>
      </c>
      <c r="P835" s="6">
        <v>42</v>
      </c>
      <c r="Q835" s="4" t="s">
        <v>26</v>
      </c>
      <c r="R835" s="4">
        <v>0</v>
      </c>
      <c r="S835" s="4" t="s">
        <v>375</v>
      </c>
      <c r="T835" s="4" t="s">
        <v>597</v>
      </c>
      <c r="U835" s="4">
        <v>0</v>
      </c>
      <c r="V835" s="4">
        <v>58</v>
      </c>
      <c r="W835" s="4">
        <v>99</v>
      </c>
    </row>
    <row r="836" spans="1:23" ht="11.25" customHeight="1" x14ac:dyDescent="0.3">
      <c r="A836" s="4" t="s">
        <v>28</v>
      </c>
      <c r="B836" s="4" t="s">
        <v>37</v>
      </c>
      <c r="C836" s="4" t="s">
        <v>23</v>
      </c>
      <c r="D836" s="4" t="s">
        <v>38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44713</v>
      </c>
      <c r="J836" s="6">
        <v>0</v>
      </c>
      <c r="K836" s="6">
        <v>0</v>
      </c>
      <c r="L836" s="6">
        <v>1.448</v>
      </c>
      <c r="M836" s="6">
        <v>1.448</v>
      </c>
      <c r="N836" s="6">
        <v>1.448</v>
      </c>
      <c r="O836" s="6">
        <v>1.448</v>
      </c>
      <c r="P836" s="6">
        <v>3</v>
      </c>
      <c r="Q836" s="4" t="s">
        <v>26</v>
      </c>
      <c r="R836" s="4">
        <v>0</v>
      </c>
      <c r="S836" s="4" t="s">
        <v>375</v>
      </c>
      <c r="T836" s="4" t="s">
        <v>597</v>
      </c>
      <c r="U836" s="4">
        <v>0</v>
      </c>
      <c r="V836" s="4">
        <v>58</v>
      </c>
      <c r="W836" s="4">
        <v>99</v>
      </c>
    </row>
    <row r="837" spans="1:23" ht="11.25" customHeight="1" x14ac:dyDescent="0.3">
      <c r="A837" s="4" t="s">
        <v>21</v>
      </c>
      <c r="B837" s="4" t="s">
        <v>37</v>
      </c>
      <c r="C837" s="4" t="s">
        <v>23</v>
      </c>
      <c r="D837" s="4" t="s">
        <v>38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44743</v>
      </c>
      <c r="J837" s="6">
        <v>0</v>
      </c>
      <c r="K837" s="6">
        <v>0</v>
      </c>
      <c r="L837" s="6">
        <v>59.238</v>
      </c>
      <c r="M837" s="6">
        <v>59.238</v>
      </c>
      <c r="N837" s="6">
        <v>59.238</v>
      </c>
      <c r="O837" s="6">
        <v>59.238</v>
      </c>
      <c r="P837" s="6">
        <v>42</v>
      </c>
      <c r="Q837" s="4" t="s">
        <v>26</v>
      </c>
      <c r="R837" s="4">
        <v>0</v>
      </c>
      <c r="S837" s="4" t="s">
        <v>376</v>
      </c>
      <c r="T837" s="4" t="s">
        <v>598</v>
      </c>
      <c r="U837" s="4">
        <v>0</v>
      </c>
      <c r="V837" s="4">
        <v>58</v>
      </c>
      <c r="W837" s="4">
        <v>99</v>
      </c>
    </row>
    <row r="838" spans="1:23" ht="11.25" customHeight="1" x14ac:dyDescent="0.3">
      <c r="A838" s="4" t="s">
        <v>28</v>
      </c>
      <c r="B838" s="4" t="s">
        <v>37</v>
      </c>
      <c r="C838" s="4" t="s">
        <v>23</v>
      </c>
      <c r="D838" s="4" t="s">
        <v>38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44743</v>
      </c>
      <c r="J838" s="6">
        <v>0</v>
      </c>
      <c r="K838" s="6">
        <v>0</v>
      </c>
      <c r="L838" s="6">
        <v>1.8420000000000001</v>
      </c>
      <c r="M838" s="6">
        <v>1.8420000000000001</v>
      </c>
      <c r="N838" s="6">
        <v>1.8420000000000001</v>
      </c>
      <c r="O838" s="6">
        <v>1.8420000000000001</v>
      </c>
      <c r="P838" s="6">
        <v>3</v>
      </c>
      <c r="Q838" s="4" t="s">
        <v>26</v>
      </c>
      <c r="R838" s="4">
        <v>0</v>
      </c>
      <c r="S838" s="4" t="s">
        <v>376</v>
      </c>
      <c r="T838" s="4" t="s">
        <v>598</v>
      </c>
      <c r="U838" s="4">
        <v>0</v>
      </c>
      <c r="V838" s="4">
        <v>58</v>
      </c>
      <c r="W838" s="4">
        <v>99</v>
      </c>
    </row>
    <row r="839" spans="1:23" ht="11.25" customHeight="1" x14ac:dyDescent="0.3">
      <c r="A839" s="4" t="s">
        <v>21</v>
      </c>
      <c r="B839" s="4" t="s">
        <v>37</v>
      </c>
      <c r="C839" s="4" t="s">
        <v>23</v>
      </c>
      <c r="D839" s="4" t="s">
        <v>38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44774</v>
      </c>
      <c r="J839" s="6">
        <v>0</v>
      </c>
      <c r="K839" s="6">
        <v>0</v>
      </c>
      <c r="L839" s="6">
        <v>52.244999999999997</v>
      </c>
      <c r="M839" s="6">
        <v>52.244999999999997</v>
      </c>
      <c r="N839" s="6">
        <v>52.244999999999997</v>
      </c>
      <c r="O839" s="6">
        <v>52.244999999999997</v>
      </c>
      <c r="P839" s="6">
        <v>38</v>
      </c>
      <c r="Q839" s="4" t="s">
        <v>26</v>
      </c>
      <c r="R839" s="4">
        <v>0</v>
      </c>
      <c r="S839" s="4" t="s">
        <v>377</v>
      </c>
      <c r="T839" s="4" t="s">
        <v>599</v>
      </c>
      <c r="U839" s="4">
        <v>0</v>
      </c>
      <c r="V839" s="4">
        <v>58</v>
      </c>
      <c r="W839" s="4">
        <v>99</v>
      </c>
    </row>
    <row r="840" spans="1:23" ht="11.25" customHeight="1" x14ac:dyDescent="0.3">
      <c r="A840" s="4" t="s">
        <v>28</v>
      </c>
      <c r="B840" s="4" t="s">
        <v>37</v>
      </c>
      <c r="C840" s="4" t="s">
        <v>23</v>
      </c>
      <c r="D840" s="4" t="s">
        <v>38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44774</v>
      </c>
      <c r="J840" s="6">
        <v>0</v>
      </c>
      <c r="K840" s="6">
        <v>0</v>
      </c>
      <c r="L840" s="6">
        <v>1.1379999999999999</v>
      </c>
      <c r="M840" s="6">
        <v>1.1379999999999999</v>
      </c>
      <c r="N840" s="6">
        <v>1.1379999999999999</v>
      </c>
      <c r="O840" s="6">
        <v>1.1379999999999999</v>
      </c>
      <c r="P840" s="6">
        <v>3</v>
      </c>
      <c r="Q840" s="4" t="s">
        <v>26</v>
      </c>
      <c r="R840" s="4">
        <v>0</v>
      </c>
      <c r="S840" s="4" t="s">
        <v>377</v>
      </c>
      <c r="T840" s="4" t="s">
        <v>599</v>
      </c>
      <c r="U840" s="4">
        <v>0</v>
      </c>
      <c r="V840" s="4">
        <v>58</v>
      </c>
      <c r="W840" s="4">
        <v>99</v>
      </c>
    </row>
    <row r="841" spans="1:23" ht="11.25" customHeight="1" x14ac:dyDescent="0.3">
      <c r="A841" s="4" t="s">
        <v>21</v>
      </c>
      <c r="B841" s="4" t="s">
        <v>37</v>
      </c>
      <c r="C841" s="4" t="s">
        <v>23</v>
      </c>
      <c r="D841" s="4" t="s">
        <v>38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44805</v>
      </c>
      <c r="J841" s="6">
        <v>0</v>
      </c>
      <c r="K841" s="6">
        <v>0</v>
      </c>
      <c r="L841" s="6">
        <v>56.640999999999998</v>
      </c>
      <c r="M841" s="6">
        <v>56.640999999999998</v>
      </c>
      <c r="N841" s="6">
        <v>56.640999999999998</v>
      </c>
      <c r="O841" s="6">
        <v>56.640999999999998</v>
      </c>
      <c r="P841" s="6">
        <v>37</v>
      </c>
      <c r="Q841" s="4" t="s">
        <v>26</v>
      </c>
      <c r="R841" s="4">
        <v>0</v>
      </c>
      <c r="S841" s="4" t="s">
        <v>378</v>
      </c>
      <c r="T841" s="4" t="s">
        <v>600</v>
      </c>
      <c r="U841" s="4">
        <v>0</v>
      </c>
      <c r="V841" s="4">
        <v>58</v>
      </c>
      <c r="W841" s="4">
        <v>99</v>
      </c>
    </row>
    <row r="842" spans="1:23" ht="11.25" customHeight="1" x14ac:dyDescent="0.3">
      <c r="A842" s="4" t="s">
        <v>28</v>
      </c>
      <c r="B842" s="4" t="s">
        <v>37</v>
      </c>
      <c r="C842" s="4" t="s">
        <v>23</v>
      </c>
      <c r="D842" s="4" t="s">
        <v>38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44805</v>
      </c>
      <c r="J842" s="6">
        <v>0</v>
      </c>
      <c r="K842" s="6">
        <v>0</v>
      </c>
      <c r="L842" s="6">
        <v>1.889</v>
      </c>
      <c r="M842" s="6">
        <v>1.889</v>
      </c>
      <c r="N842" s="6">
        <v>1.889</v>
      </c>
      <c r="O842" s="6">
        <v>1.889</v>
      </c>
      <c r="P842" s="6">
        <v>3</v>
      </c>
      <c r="Q842" s="4" t="s">
        <v>26</v>
      </c>
      <c r="R842" s="4">
        <v>0</v>
      </c>
      <c r="S842" s="4" t="s">
        <v>378</v>
      </c>
      <c r="T842" s="4" t="s">
        <v>600</v>
      </c>
      <c r="U842" s="4">
        <v>0</v>
      </c>
      <c r="V842" s="4">
        <v>58</v>
      </c>
      <c r="W842" s="4">
        <v>99</v>
      </c>
    </row>
    <row r="843" spans="1:23" ht="11.25" customHeight="1" x14ac:dyDescent="0.3">
      <c r="A843" s="4" t="s">
        <v>57</v>
      </c>
      <c r="B843" s="4" t="s">
        <v>37</v>
      </c>
      <c r="C843" s="4" t="s">
        <v>23</v>
      </c>
      <c r="D843" s="4" t="s">
        <v>38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44835</v>
      </c>
      <c r="J843" s="6">
        <v>0</v>
      </c>
      <c r="K843" s="6">
        <v>0</v>
      </c>
      <c r="L843" s="6">
        <v>56.640999999999998</v>
      </c>
      <c r="M843" s="6">
        <v>56.640999999999998</v>
      </c>
      <c r="N843" s="6">
        <v>56.640999999999998</v>
      </c>
      <c r="O843" s="6">
        <v>56.640999999999998</v>
      </c>
      <c r="P843" s="6">
        <v>37</v>
      </c>
      <c r="Q843" s="4" t="s">
        <v>26</v>
      </c>
      <c r="R843" s="4">
        <v>0</v>
      </c>
      <c r="S843" s="4" t="s">
        <v>379</v>
      </c>
      <c r="T843" s="4" t="s">
        <v>601</v>
      </c>
      <c r="U843" s="4">
        <v>0</v>
      </c>
      <c r="V843" s="4">
        <v>58</v>
      </c>
      <c r="W843" s="4">
        <v>99</v>
      </c>
    </row>
    <row r="844" spans="1:23" ht="11.25" customHeight="1" x14ac:dyDescent="0.3">
      <c r="A844" s="4" t="s">
        <v>57</v>
      </c>
      <c r="B844" s="4" t="s">
        <v>37</v>
      </c>
      <c r="C844" s="4" t="s">
        <v>23</v>
      </c>
      <c r="D844" s="4" t="s">
        <v>38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44835</v>
      </c>
      <c r="J844" s="6">
        <v>0</v>
      </c>
      <c r="K844" s="6">
        <v>0</v>
      </c>
      <c r="L844" s="6">
        <v>1.889</v>
      </c>
      <c r="M844" s="6">
        <v>1.889</v>
      </c>
      <c r="N844" s="6">
        <v>1.889</v>
      </c>
      <c r="O844" s="6">
        <v>1.889</v>
      </c>
      <c r="P844" s="6">
        <v>3</v>
      </c>
      <c r="Q844" s="4" t="s">
        <v>26</v>
      </c>
      <c r="R844" s="4">
        <v>0</v>
      </c>
      <c r="S844" s="4" t="s">
        <v>379</v>
      </c>
      <c r="T844" s="4" t="s">
        <v>601</v>
      </c>
      <c r="U844" s="4">
        <v>0</v>
      </c>
      <c r="V844" s="4">
        <v>58</v>
      </c>
      <c r="W844" s="4">
        <v>99</v>
      </c>
    </row>
    <row r="845" spans="1:23" ht="11.25" customHeight="1" x14ac:dyDescent="0.3">
      <c r="A845" s="4" t="s">
        <v>21</v>
      </c>
      <c r="B845" s="4" t="s">
        <v>37</v>
      </c>
      <c r="C845" s="4" t="s">
        <v>23</v>
      </c>
      <c r="D845" s="4" t="s">
        <v>46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44501</v>
      </c>
      <c r="J845" s="6">
        <v>0</v>
      </c>
      <c r="K845" s="6">
        <v>0</v>
      </c>
      <c r="L845" s="6">
        <v>394.25700000000001</v>
      </c>
      <c r="M845" s="6">
        <v>394.25700000000001</v>
      </c>
      <c r="N845" s="6">
        <v>394.25700000000001</v>
      </c>
      <c r="O845" s="6">
        <v>394.25700000000001</v>
      </c>
      <c r="P845" s="6">
        <v>451</v>
      </c>
      <c r="Q845" s="4" t="s">
        <v>26</v>
      </c>
      <c r="R845" s="4">
        <v>0</v>
      </c>
      <c r="S845" s="4" t="s">
        <v>368</v>
      </c>
      <c r="T845" s="4" t="s">
        <v>590</v>
      </c>
      <c r="U845" s="4">
        <v>0</v>
      </c>
      <c r="V845" s="4">
        <v>58</v>
      </c>
      <c r="W845" s="4">
        <v>99</v>
      </c>
    </row>
    <row r="846" spans="1:23" ht="11.25" customHeight="1" x14ac:dyDescent="0.3">
      <c r="A846" s="4" t="s">
        <v>21</v>
      </c>
      <c r="B846" s="4" t="s">
        <v>37</v>
      </c>
      <c r="C846" s="4" t="s">
        <v>23</v>
      </c>
      <c r="D846" s="4" t="s">
        <v>46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44531</v>
      </c>
      <c r="J846" s="6">
        <v>0</v>
      </c>
      <c r="K846" s="6">
        <v>0</v>
      </c>
      <c r="L846" s="6">
        <v>392.77600000000001</v>
      </c>
      <c r="M846" s="6">
        <v>392.77600000000001</v>
      </c>
      <c r="N846" s="6">
        <v>392.77600000000001</v>
      </c>
      <c r="O846" s="6">
        <v>392.77600000000001</v>
      </c>
      <c r="P846" s="6">
        <v>451</v>
      </c>
      <c r="Q846" s="4" t="s">
        <v>26</v>
      </c>
      <c r="R846" s="4">
        <v>0</v>
      </c>
      <c r="S846" s="4" t="s">
        <v>369</v>
      </c>
      <c r="T846" s="4" t="s">
        <v>591</v>
      </c>
      <c r="U846" s="4">
        <v>0</v>
      </c>
      <c r="V846" s="4">
        <v>58</v>
      </c>
      <c r="W846" s="4">
        <v>99</v>
      </c>
    </row>
    <row r="847" spans="1:23" ht="11.25" customHeight="1" x14ac:dyDescent="0.3">
      <c r="A847" s="4" t="s">
        <v>21</v>
      </c>
      <c r="B847" s="4" t="s">
        <v>37</v>
      </c>
      <c r="C847" s="4" t="s">
        <v>23</v>
      </c>
      <c r="D847" s="4" t="s">
        <v>46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44562</v>
      </c>
      <c r="J847" s="6">
        <v>0</v>
      </c>
      <c r="K847" s="6">
        <v>0</v>
      </c>
      <c r="L847" s="6">
        <v>336.15199999999999</v>
      </c>
      <c r="M847" s="6">
        <v>336.15199999999999</v>
      </c>
      <c r="N847" s="6">
        <v>336.15199999999999</v>
      </c>
      <c r="O847" s="6">
        <v>336.15199999999999</v>
      </c>
      <c r="P847" s="6">
        <v>457</v>
      </c>
      <c r="Q847" s="4" t="s">
        <v>26</v>
      </c>
      <c r="R847" s="4">
        <v>0</v>
      </c>
      <c r="S847" s="4" t="s">
        <v>370</v>
      </c>
      <c r="T847" s="4" t="s">
        <v>592</v>
      </c>
      <c r="U847" s="4">
        <v>0</v>
      </c>
      <c r="V847" s="4">
        <v>58</v>
      </c>
      <c r="W847" s="4">
        <v>99</v>
      </c>
    </row>
    <row r="848" spans="1:23" ht="11.25" customHeight="1" x14ac:dyDescent="0.3">
      <c r="A848" s="4" t="s">
        <v>21</v>
      </c>
      <c r="B848" s="4" t="s">
        <v>37</v>
      </c>
      <c r="C848" s="4" t="s">
        <v>23</v>
      </c>
      <c r="D848" s="4" t="s">
        <v>46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44593</v>
      </c>
      <c r="J848" s="6">
        <v>0</v>
      </c>
      <c r="K848" s="6">
        <v>0</v>
      </c>
      <c r="L848" s="6">
        <v>365.01900000000001</v>
      </c>
      <c r="M848" s="6">
        <v>365.01900000000001</v>
      </c>
      <c r="N848" s="6">
        <v>365.01900000000001</v>
      </c>
      <c r="O848" s="6">
        <v>365.01900000000001</v>
      </c>
      <c r="P848" s="6">
        <v>452</v>
      </c>
      <c r="Q848" s="4" t="s">
        <v>26</v>
      </c>
      <c r="R848" s="4">
        <v>0</v>
      </c>
      <c r="S848" s="4" t="s">
        <v>371</v>
      </c>
      <c r="T848" s="4" t="s">
        <v>593</v>
      </c>
      <c r="U848" s="4">
        <v>0</v>
      </c>
      <c r="V848" s="4">
        <v>58</v>
      </c>
      <c r="W848" s="4">
        <v>99</v>
      </c>
    </row>
    <row r="849" spans="1:23" ht="11.25" customHeight="1" x14ac:dyDescent="0.3">
      <c r="A849" s="4" t="s">
        <v>21</v>
      </c>
      <c r="B849" s="4" t="s">
        <v>37</v>
      </c>
      <c r="C849" s="4" t="s">
        <v>23</v>
      </c>
      <c r="D849" s="4" t="s">
        <v>46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44621</v>
      </c>
      <c r="J849" s="6">
        <v>0</v>
      </c>
      <c r="K849" s="6">
        <v>0</v>
      </c>
      <c r="L849" s="6">
        <v>355.18400000000003</v>
      </c>
      <c r="M849" s="6">
        <v>355.18400000000003</v>
      </c>
      <c r="N849" s="6">
        <v>355.18400000000003</v>
      </c>
      <c r="O849" s="6">
        <v>355.18400000000003</v>
      </c>
      <c r="P849" s="6">
        <v>453</v>
      </c>
      <c r="Q849" s="4" t="s">
        <v>26</v>
      </c>
      <c r="R849" s="4">
        <v>0</v>
      </c>
      <c r="S849" s="4" t="s">
        <v>372</v>
      </c>
      <c r="T849" s="4" t="s">
        <v>594</v>
      </c>
      <c r="U849" s="4">
        <v>0</v>
      </c>
      <c r="V849" s="4">
        <v>58</v>
      </c>
      <c r="W849" s="4">
        <v>99</v>
      </c>
    </row>
    <row r="850" spans="1:23" ht="11.25" customHeight="1" x14ac:dyDescent="0.3">
      <c r="A850" s="4" t="s">
        <v>21</v>
      </c>
      <c r="B850" s="4" t="s">
        <v>37</v>
      </c>
      <c r="C850" s="4" t="s">
        <v>23</v>
      </c>
      <c r="D850" s="4" t="s">
        <v>46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44652</v>
      </c>
      <c r="J850" s="6">
        <v>0</v>
      </c>
      <c r="K850" s="6">
        <v>0</v>
      </c>
      <c r="L850" s="6">
        <v>475.65499999999997</v>
      </c>
      <c r="M850" s="6">
        <v>475.65499999999997</v>
      </c>
      <c r="N850" s="6">
        <v>475.65499999999997</v>
      </c>
      <c r="O850" s="6">
        <v>475.65499999999997</v>
      </c>
      <c r="P850" s="6">
        <v>451</v>
      </c>
      <c r="Q850" s="4" t="s">
        <v>26</v>
      </c>
      <c r="R850" s="4">
        <v>0</v>
      </c>
      <c r="S850" s="4" t="s">
        <v>373</v>
      </c>
      <c r="T850" s="4" t="s">
        <v>595</v>
      </c>
      <c r="U850" s="4">
        <v>0</v>
      </c>
      <c r="V850" s="4">
        <v>58</v>
      </c>
      <c r="W850" s="4">
        <v>99</v>
      </c>
    </row>
    <row r="851" spans="1:23" ht="11.25" customHeight="1" x14ac:dyDescent="0.3">
      <c r="A851" s="4" t="s">
        <v>21</v>
      </c>
      <c r="B851" s="4" t="s">
        <v>37</v>
      </c>
      <c r="C851" s="4" t="s">
        <v>23</v>
      </c>
      <c r="D851" s="4" t="s">
        <v>46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44682</v>
      </c>
      <c r="J851" s="6">
        <v>0</v>
      </c>
      <c r="K851" s="6">
        <v>0</v>
      </c>
      <c r="L851" s="6">
        <v>418.78199999999998</v>
      </c>
      <c r="M851" s="6">
        <v>418.78199999999998</v>
      </c>
      <c r="N851" s="6">
        <v>418.78199999999998</v>
      </c>
      <c r="O851" s="6">
        <v>418.78199999999998</v>
      </c>
      <c r="P851" s="6">
        <v>450</v>
      </c>
      <c r="Q851" s="4" t="s">
        <v>26</v>
      </c>
      <c r="R851" s="4">
        <v>0</v>
      </c>
      <c r="S851" s="4" t="s">
        <v>374</v>
      </c>
      <c r="T851" s="4" t="s">
        <v>596</v>
      </c>
      <c r="U851" s="4">
        <v>0</v>
      </c>
      <c r="V851" s="4">
        <v>58</v>
      </c>
      <c r="W851" s="4">
        <v>99</v>
      </c>
    </row>
    <row r="852" spans="1:23" ht="11.25" customHeight="1" x14ac:dyDescent="0.3">
      <c r="A852" s="4" t="s">
        <v>28</v>
      </c>
      <c r="B852" s="4" t="s">
        <v>37</v>
      </c>
      <c r="C852" s="4" t="s">
        <v>23</v>
      </c>
      <c r="D852" s="4" t="s">
        <v>46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44682</v>
      </c>
      <c r="J852" s="6">
        <v>0</v>
      </c>
      <c r="K852" s="6">
        <v>0</v>
      </c>
      <c r="L852" s="6">
        <v>0.107</v>
      </c>
      <c r="M852" s="6">
        <v>0.107</v>
      </c>
      <c r="N852" s="6">
        <v>0.107</v>
      </c>
      <c r="O852" s="6">
        <v>0.107</v>
      </c>
      <c r="P852" s="6">
        <v>1</v>
      </c>
      <c r="Q852" s="4" t="s">
        <v>26</v>
      </c>
      <c r="R852" s="4">
        <v>0</v>
      </c>
      <c r="S852" s="4" t="s">
        <v>374</v>
      </c>
      <c r="T852" s="4" t="s">
        <v>596</v>
      </c>
      <c r="U852" s="4">
        <v>0</v>
      </c>
      <c r="V852" s="4">
        <v>58</v>
      </c>
      <c r="W852" s="4">
        <v>99</v>
      </c>
    </row>
    <row r="853" spans="1:23" ht="11.25" customHeight="1" x14ac:dyDescent="0.3">
      <c r="A853" s="4" t="s">
        <v>21</v>
      </c>
      <c r="B853" s="4" t="s">
        <v>37</v>
      </c>
      <c r="C853" s="4" t="s">
        <v>23</v>
      </c>
      <c r="D853" s="4" t="s">
        <v>46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44713</v>
      </c>
      <c r="J853" s="6">
        <v>0</v>
      </c>
      <c r="K853" s="6">
        <v>0</v>
      </c>
      <c r="L853" s="6">
        <v>314.72800000000001</v>
      </c>
      <c r="M853" s="6">
        <v>314.72800000000001</v>
      </c>
      <c r="N853" s="6">
        <v>314.72800000000001</v>
      </c>
      <c r="O853" s="6">
        <v>314.72800000000001</v>
      </c>
      <c r="P853" s="6">
        <v>451</v>
      </c>
      <c r="Q853" s="4" t="s">
        <v>26</v>
      </c>
      <c r="R853" s="4">
        <v>0</v>
      </c>
      <c r="S853" s="4" t="s">
        <v>375</v>
      </c>
      <c r="T853" s="4" t="s">
        <v>597</v>
      </c>
      <c r="U853" s="4">
        <v>0</v>
      </c>
      <c r="V853" s="4">
        <v>58</v>
      </c>
      <c r="W853" s="4">
        <v>99</v>
      </c>
    </row>
    <row r="854" spans="1:23" ht="11.25" customHeight="1" x14ac:dyDescent="0.3">
      <c r="A854" s="4" t="s">
        <v>28</v>
      </c>
      <c r="B854" s="4" t="s">
        <v>37</v>
      </c>
      <c r="C854" s="4" t="s">
        <v>23</v>
      </c>
      <c r="D854" s="4" t="s">
        <v>46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44713</v>
      </c>
      <c r="J854" s="6">
        <v>0</v>
      </c>
      <c r="K854" s="6">
        <v>0</v>
      </c>
      <c r="L854" s="6">
        <v>1.3220000000000001</v>
      </c>
      <c r="M854" s="6">
        <v>1.3220000000000001</v>
      </c>
      <c r="N854" s="6">
        <v>1.3220000000000001</v>
      </c>
      <c r="O854" s="6">
        <v>1.3220000000000001</v>
      </c>
      <c r="P854" s="6">
        <v>1</v>
      </c>
      <c r="Q854" s="4" t="s">
        <v>26</v>
      </c>
      <c r="R854" s="4">
        <v>0</v>
      </c>
      <c r="S854" s="4" t="s">
        <v>375</v>
      </c>
      <c r="T854" s="4" t="s">
        <v>597</v>
      </c>
      <c r="U854" s="4">
        <v>0</v>
      </c>
      <c r="V854" s="4">
        <v>58</v>
      </c>
      <c r="W854" s="4">
        <v>99</v>
      </c>
    </row>
    <row r="855" spans="1:23" ht="11.25" customHeight="1" x14ac:dyDescent="0.3">
      <c r="A855" s="4" t="s">
        <v>21</v>
      </c>
      <c r="B855" s="4" t="s">
        <v>37</v>
      </c>
      <c r="C855" s="4" t="s">
        <v>23</v>
      </c>
      <c r="D855" s="4" t="s">
        <v>46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44743</v>
      </c>
      <c r="J855" s="6">
        <v>0</v>
      </c>
      <c r="K855" s="6">
        <v>0</v>
      </c>
      <c r="L855" s="6">
        <v>295.98200000000003</v>
      </c>
      <c r="M855" s="6">
        <v>295.98200000000003</v>
      </c>
      <c r="N855" s="6">
        <v>295.98200000000003</v>
      </c>
      <c r="O855" s="6">
        <v>295.98200000000003</v>
      </c>
      <c r="P855" s="6">
        <v>451</v>
      </c>
      <c r="Q855" s="4" t="s">
        <v>26</v>
      </c>
      <c r="R855" s="4">
        <v>0</v>
      </c>
      <c r="S855" s="4" t="s">
        <v>376</v>
      </c>
      <c r="T855" s="4" t="s">
        <v>598</v>
      </c>
      <c r="U855" s="4">
        <v>0</v>
      </c>
      <c r="V855" s="4">
        <v>58</v>
      </c>
      <c r="W855" s="4">
        <v>99</v>
      </c>
    </row>
    <row r="856" spans="1:23" ht="11.25" customHeight="1" x14ac:dyDescent="0.3">
      <c r="A856" s="4" t="s">
        <v>28</v>
      </c>
      <c r="B856" s="4" t="s">
        <v>37</v>
      </c>
      <c r="C856" s="4" t="s">
        <v>23</v>
      </c>
      <c r="D856" s="4" t="s">
        <v>46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44743</v>
      </c>
      <c r="J856" s="6">
        <v>0</v>
      </c>
      <c r="K856" s="6">
        <v>0</v>
      </c>
      <c r="L856" s="6">
        <v>2.2280000000000002</v>
      </c>
      <c r="M856" s="6">
        <v>2.2280000000000002</v>
      </c>
      <c r="N856" s="6">
        <v>2.2280000000000002</v>
      </c>
      <c r="O856" s="6">
        <v>2.2280000000000002</v>
      </c>
      <c r="P856" s="6">
        <v>1</v>
      </c>
      <c r="Q856" s="4" t="s">
        <v>26</v>
      </c>
      <c r="R856" s="4">
        <v>0</v>
      </c>
      <c r="S856" s="4" t="s">
        <v>376</v>
      </c>
      <c r="T856" s="4" t="s">
        <v>598</v>
      </c>
      <c r="U856" s="4">
        <v>0</v>
      </c>
      <c r="V856" s="4">
        <v>58</v>
      </c>
      <c r="W856" s="4">
        <v>99</v>
      </c>
    </row>
    <row r="857" spans="1:23" ht="11.25" customHeight="1" x14ac:dyDescent="0.3">
      <c r="A857" s="4" t="s">
        <v>21</v>
      </c>
      <c r="B857" s="4" t="s">
        <v>37</v>
      </c>
      <c r="C857" s="4" t="s">
        <v>23</v>
      </c>
      <c r="D857" s="4" t="s">
        <v>46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44774</v>
      </c>
      <c r="J857" s="6">
        <v>0</v>
      </c>
      <c r="K857" s="6">
        <v>0</v>
      </c>
      <c r="L857" s="6">
        <v>278.72300000000001</v>
      </c>
      <c r="M857" s="6">
        <v>278.72300000000001</v>
      </c>
      <c r="N857" s="6">
        <v>278.72300000000001</v>
      </c>
      <c r="O857" s="6">
        <v>278.72300000000001</v>
      </c>
      <c r="P857" s="6">
        <v>450</v>
      </c>
      <c r="Q857" s="4" t="s">
        <v>26</v>
      </c>
      <c r="R857" s="4">
        <v>0</v>
      </c>
      <c r="S857" s="4" t="s">
        <v>377</v>
      </c>
      <c r="T857" s="4" t="s">
        <v>599</v>
      </c>
      <c r="U857" s="4">
        <v>0</v>
      </c>
      <c r="V857" s="4">
        <v>58</v>
      </c>
      <c r="W857" s="4">
        <v>99</v>
      </c>
    </row>
    <row r="858" spans="1:23" ht="11.25" customHeight="1" x14ac:dyDescent="0.3">
      <c r="A858" s="4" t="s">
        <v>28</v>
      </c>
      <c r="B858" s="4" t="s">
        <v>37</v>
      </c>
      <c r="C858" s="4" t="s">
        <v>23</v>
      </c>
      <c r="D858" s="4" t="s">
        <v>46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44774</v>
      </c>
      <c r="J858" s="6">
        <v>0</v>
      </c>
      <c r="K858" s="6">
        <v>0</v>
      </c>
      <c r="L858" s="6">
        <v>2.2320000000000002</v>
      </c>
      <c r="M858" s="6">
        <v>2.2320000000000002</v>
      </c>
      <c r="N858" s="6">
        <v>2.2320000000000002</v>
      </c>
      <c r="O858" s="6">
        <v>2.2320000000000002</v>
      </c>
      <c r="P858" s="6">
        <v>1</v>
      </c>
      <c r="Q858" s="4" t="s">
        <v>26</v>
      </c>
      <c r="R858" s="4">
        <v>0</v>
      </c>
      <c r="S858" s="4" t="s">
        <v>377</v>
      </c>
      <c r="T858" s="4" t="s">
        <v>599</v>
      </c>
      <c r="U858" s="4">
        <v>0</v>
      </c>
      <c r="V858" s="4">
        <v>58</v>
      </c>
      <c r="W858" s="4">
        <v>99</v>
      </c>
    </row>
    <row r="859" spans="1:23" ht="11.25" customHeight="1" x14ac:dyDescent="0.3">
      <c r="A859" s="4" t="s">
        <v>21</v>
      </c>
      <c r="B859" s="4" t="s">
        <v>37</v>
      </c>
      <c r="C859" s="4" t="s">
        <v>23</v>
      </c>
      <c r="D859" s="4" t="s">
        <v>46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44805</v>
      </c>
      <c r="J859" s="6">
        <v>0</v>
      </c>
      <c r="K859" s="6">
        <v>0</v>
      </c>
      <c r="L859" s="6">
        <v>418.947</v>
      </c>
      <c r="M859" s="6">
        <v>418.947</v>
      </c>
      <c r="N859" s="6">
        <v>418.947</v>
      </c>
      <c r="O859" s="6">
        <v>418.947</v>
      </c>
      <c r="P859" s="6">
        <v>451</v>
      </c>
      <c r="Q859" s="4" t="s">
        <v>26</v>
      </c>
      <c r="R859" s="4">
        <v>0</v>
      </c>
      <c r="S859" s="4" t="s">
        <v>378</v>
      </c>
      <c r="T859" s="4" t="s">
        <v>600</v>
      </c>
      <c r="U859" s="4">
        <v>0</v>
      </c>
      <c r="V859" s="4">
        <v>58</v>
      </c>
      <c r="W859" s="4">
        <v>99</v>
      </c>
    </row>
    <row r="860" spans="1:23" ht="11.25" customHeight="1" x14ac:dyDescent="0.3">
      <c r="A860" s="4" t="s">
        <v>28</v>
      </c>
      <c r="B860" s="4" t="s">
        <v>37</v>
      </c>
      <c r="C860" s="4" t="s">
        <v>23</v>
      </c>
      <c r="D860" s="4" t="s">
        <v>46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44805</v>
      </c>
      <c r="J860" s="6">
        <v>0</v>
      </c>
      <c r="K860" s="6">
        <v>0</v>
      </c>
      <c r="L860" s="6">
        <v>0.623</v>
      </c>
      <c r="M860" s="6">
        <v>0.623</v>
      </c>
      <c r="N860" s="6">
        <v>0.623</v>
      </c>
      <c r="O860" s="6">
        <v>0.623</v>
      </c>
      <c r="P860" s="6">
        <v>1</v>
      </c>
      <c r="Q860" s="4" t="s">
        <v>26</v>
      </c>
      <c r="R860" s="4">
        <v>0</v>
      </c>
      <c r="S860" s="4" t="s">
        <v>378</v>
      </c>
      <c r="T860" s="4" t="s">
        <v>600</v>
      </c>
      <c r="U860" s="4">
        <v>0</v>
      </c>
      <c r="V860" s="4">
        <v>58</v>
      </c>
      <c r="W860" s="4">
        <v>99</v>
      </c>
    </row>
    <row r="861" spans="1:23" ht="11.25" customHeight="1" x14ac:dyDescent="0.3">
      <c r="A861" s="4" t="s">
        <v>57</v>
      </c>
      <c r="B861" s="4" t="s">
        <v>37</v>
      </c>
      <c r="C861" s="4" t="s">
        <v>23</v>
      </c>
      <c r="D861" s="4" t="s">
        <v>46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44835</v>
      </c>
      <c r="J861" s="6">
        <v>0</v>
      </c>
      <c r="K861" s="6">
        <v>0</v>
      </c>
      <c r="L861" s="6">
        <v>418.947</v>
      </c>
      <c r="M861" s="6">
        <v>418.947</v>
      </c>
      <c r="N861" s="6">
        <v>418.947</v>
      </c>
      <c r="O861" s="6">
        <v>418.947</v>
      </c>
      <c r="P861" s="6">
        <v>451</v>
      </c>
      <c r="Q861" s="4" t="s">
        <v>26</v>
      </c>
      <c r="R861" s="4">
        <v>0</v>
      </c>
      <c r="S861" s="4" t="s">
        <v>379</v>
      </c>
      <c r="T861" s="4" t="s">
        <v>601</v>
      </c>
      <c r="U861" s="4">
        <v>0</v>
      </c>
      <c r="V861" s="4">
        <v>58</v>
      </c>
      <c r="W861" s="4">
        <v>99</v>
      </c>
    </row>
    <row r="862" spans="1:23" ht="11.25" customHeight="1" x14ac:dyDescent="0.3">
      <c r="A862" s="4" t="s">
        <v>57</v>
      </c>
      <c r="B862" s="4" t="s">
        <v>37</v>
      </c>
      <c r="C862" s="4" t="s">
        <v>23</v>
      </c>
      <c r="D862" s="4" t="s">
        <v>46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44835</v>
      </c>
      <c r="J862" s="6">
        <v>0</v>
      </c>
      <c r="K862" s="6">
        <v>0</v>
      </c>
      <c r="L862" s="6">
        <v>0.623</v>
      </c>
      <c r="M862" s="6">
        <v>0.623</v>
      </c>
      <c r="N862" s="6">
        <v>0.623</v>
      </c>
      <c r="O862" s="6">
        <v>0.623</v>
      </c>
      <c r="P862" s="6">
        <v>1</v>
      </c>
      <c r="Q862" s="4" t="s">
        <v>26</v>
      </c>
      <c r="R862" s="4">
        <v>0</v>
      </c>
      <c r="S862" s="4" t="s">
        <v>379</v>
      </c>
      <c r="T862" s="4" t="s">
        <v>601</v>
      </c>
      <c r="U862" s="4">
        <v>0</v>
      </c>
      <c r="V862" s="4">
        <v>58</v>
      </c>
      <c r="W862" s="4">
        <v>99</v>
      </c>
    </row>
    <row r="863" spans="1:23" ht="11.25" customHeight="1" x14ac:dyDescent="0.3">
      <c r="A863" s="4" t="s">
        <v>21</v>
      </c>
      <c r="B863" s="4" t="s">
        <v>37</v>
      </c>
      <c r="C863" s="4" t="s">
        <v>23</v>
      </c>
      <c r="D863" s="4" t="s">
        <v>50</v>
      </c>
      <c r="E863" s="4" t="s">
        <v>51</v>
      </c>
      <c r="F863" s="4" t="s">
        <v>25</v>
      </c>
      <c r="G863" s="4" t="s">
        <v>25</v>
      </c>
      <c r="H863" s="4" t="s">
        <v>25</v>
      </c>
      <c r="I863" s="5">
        <v>44501</v>
      </c>
      <c r="J863" s="6">
        <v>0</v>
      </c>
      <c r="K863" s="6">
        <v>0</v>
      </c>
      <c r="L863" s="6">
        <v>136.46199999999999</v>
      </c>
      <c r="M863" s="6">
        <v>128.27427999999998</v>
      </c>
      <c r="N863" s="6">
        <v>136.46199999999999</v>
      </c>
      <c r="O863" s="6">
        <v>128.27427999999998</v>
      </c>
      <c r="P863" s="6">
        <v>60</v>
      </c>
      <c r="Q863" s="4" t="s">
        <v>26</v>
      </c>
      <c r="R863" s="4">
        <v>0</v>
      </c>
      <c r="S863" s="4" t="s">
        <v>368</v>
      </c>
      <c r="T863" s="4" t="s">
        <v>590</v>
      </c>
      <c r="U863" s="4">
        <v>0</v>
      </c>
      <c r="V863" s="4">
        <v>58</v>
      </c>
      <c r="W863" s="4">
        <v>99</v>
      </c>
    </row>
    <row r="864" spans="1:23" ht="11.25" customHeight="1" x14ac:dyDescent="0.3">
      <c r="A864" s="4" t="s">
        <v>21</v>
      </c>
      <c r="B864" s="4" t="s">
        <v>37</v>
      </c>
      <c r="C864" s="4" t="s">
        <v>23</v>
      </c>
      <c r="D864" s="4" t="s">
        <v>50</v>
      </c>
      <c r="E864" s="4" t="s">
        <v>51</v>
      </c>
      <c r="F864" s="4" t="s">
        <v>25</v>
      </c>
      <c r="G864" s="4" t="s">
        <v>25</v>
      </c>
      <c r="H864" s="4" t="s">
        <v>25</v>
      </c>
      <c r="I864" s="5">
        <v>44531</v>
      </c>
      <c r="J864" s="6">
        <v>0</v>
      </c>
      <c r="K864" s="6">
        <v>0</v>
      </c>
      <c r="L864" s="6">
        <v>126.931</v>
      </c>
      <c r="M864" s="6">
        <v>119.31513999999999</v>
      </c>
      <c r="N864" s="6">
        <v>126.931</v>
      </c>
      <c r="O864" s="6">
        <v>119.31513999999999</v>
      </c>
      <c r="P864" s="6">
        <v>60</v>
      </c>
      <c r="Q864" s="4" t="s">
        <v>26</v>
      </c>
      <c r="R864" s="4">
        <v>0</v>
      </c>
      <c r="S864" s="4" t="s">
        <v>369</v>
      </c>
      <c r="T864" s="4" t="s">
        <v>591</v>
      </c>
      <c r="U864" s="4">
        <v>0</v>
      </c>
      <c r="V864" s="4">
        <v>58</v>
      </c>
      <c r="W864" s="4">
        <v>99</v>
      </c>
    </row>
    <row r="865" spans="1:23" ht="11.25" customHeight="1" x14ac:dyDescent="0.3">
      <c r="A865" s="4" t="s">
        <v>21</v>
      </c>
      <c r="B865" s="4" t="s">
        <v>37</v>
      </c>
      <c r="C865" s="4" t="s">
        <v>23</v>
      </c>
      <c r="D865" s="4" t="s">
        <v>50</v>
      </c>
      <c r="E865" s="4" t="s">
        <v>51</v>
      </c>
      <c r="F865" s="4" t="s">
        <v>25</v>
      </c>
      <c r="G865" s="4" t="s">
        <v>25</v>
      </c>
      <c r="H865" s="4" t="s">
        <v>25</v>
      </c>
      <c r="I865" s="5">
        <v>44562</v>
      </c>
      <c r="J865" s="6">
        <v>0</v>
      </c>
      <c r="K865" s="6">
        <v>0</v>
      </c>
      <c r="L865" s="6">
        <v>127.96</v>
      </c>
      <c r="M865" s="6">
        <v>120.2824</v>
      </c>
      <c r="N865" s="6">
        <v>127.96</v>
      </c>
      <c r="O865" s="6">
        <v>120.2824</v>
      </c>
      <c r="P865" s="6">
        <v>60</v>
      </c>
      <c r="Q865" s="4" t="s">
        <v>26</v>
      </c>
      <c r="R865" s="4">
        <v>0</v>
      </c>
      <c r="S865" s="4" t="s">
        <v>370</v>
      </c>
      <c r="T865" s="4" t="s">
        <v>592</v>
      </c>
      <c r="U865" s="4">
        <v>0</v>
      </c>
      <c r="V865" s="4">
        <v>58</v>
      </c>
      <c r="W865" s="4">
        <v>99</v>
      </c>
    </row>
    <row r="866" spans="1:23" ht="11.25" customHeight="1" x14ac:dyDescent="0.3">
      <c r="A866" s="4" t="s">
        <v>21</v>
      </c>
      <c r="B866" s="4" t="s">
        <v>37</v>
      </c>
      <c r="C866" s="4" t="s">
        <v>23</v>
      </c>
      <c r="D866" s="4" t="s">
        <v>50</v>
      </c>
      <c r="E866" s="4" t="s">
        <v>51</v>
      </c>
      <c r="F866" s="4" t="s">
        <v>25</v>
      </c>
      <c r="G866" s="4" t="s">
        <v>25</v>
      </c>
      <c r="H866" s="4" t="s">
        <v>25</v>
      </c>
      <c r="I866" s="5">
        <v>44593</v>
      </c>
      <c r="J866" s="6">
        <v>0</v>
      </c>
      <c r="K866" s="6">
        <v>0</v>
      </c>
      <c r="L866" s="6">
        <v>119.953</v>
      </c>
      <c r="M866" s="6">
        <v>112.75582</v>
      </c>
      <c r="N866" s="6">
        <v>119.953</v>
      </c>
      <c r="O866" s="6">
        <v>112.75582</v>
      </c>
      <c r="P866" s="6">
        <v>60</v>
      </c>
      <c r="Q866" s="4" t="s">
        <v>26</v>
      </c>
      <c r="R866" s="4">
        <v>0</v>
      </c>
      <c r="S866" s="4" t="s">
        <v>371</v>
      </c>
      <c r="T866" s="4" t="s">
        <v>593</v>
      </c>
      <c r="U866" s="4">
        <v>0</v>
      </c>
      <c r="V866" s="4">
        <v>58</v>
      </c>
      <c r="W866" s="4">
        <v>99</v>
      </c>
    </row>
    <row r="867" spans="1:23" ht="11.25" customHeight="1" x14ac:dyDescent="0.3">
      <c r="A867" s="4" t="s">
        <v>21</v>
      </c>
      <c r="B867" s="4" t="s">
        <v>37</v>
      </c>
      <c r="C867" s="4" t="s">
        <v>23</v>
      </c>
      <c r="D867" s="4" t="s">
        <v>50</v>
      </c>
      <c r="E867" s="4" t="s">
        <v>51</v>
      </c>
      <c r="F867" s="4" t="s">
        <v>25</v>
      </c>
      <c r="G867" s="4" t="s">
        <v>25</v>
      </c>
      <c r="H867" s="4" t="s">
        <v>25</v>
      </c>
      <c r="I867" s="5">
        <v>44621</v>
      </c>
      <c r="J867" s="6">
        <v>0</v>
      </c>
      <c r="K867" s="6">
        <v>0</v>
      </c>
      <c r="L867" s="6">
        <v>113.24</v>
      </c>
      <c r="M867" s="6">
        <v>106.4456</v>
      </c>
      <c r="N867" s="6">
        <v>113.24</v>
      </c>
      <c r="O867" s="6">
        <v>106.4456</v>
      </c>
      <c r="P867" s="6">
        <v>60</v>
      </c>
      <c r="Q867" s="4" t="s">
        <v>26</v>
      </c>
      <c r="R867" s="4">
        <v>0</v>
      </c>
      <c r="S867" s="4" t="s">
        <v>372</v>
      </c>
      <c r="T867" s="4" t="s">
        <v>594</v>
      </c>
      <c r="U867" s="4">
        <v>0</v>
      </c>
      <c r="V867" s="4">
        <v>58</v>
      </c>
      <c r="W867" s="4">
        <v>99</v>
      </c>
    </row>
    <row r="868" spans="1:23" ht="11.25" customHeight="1" x14ac:dyDescent="0.3">
      <c r="A868" s="4" t="s">
        <v>21</v>
      </c>
      <c r="B868" s="4" t="s">
        <v>37</v>
      </c>
      <c r="C868" s="4" t="s">
        <v>23</v>
      </c>
      <c r="D868" s="4" t="s">
        <v>50</v>
      </c>
      <c r="E868" s="4" t="s">
        <v>51</v>
      </c>
      <c r="F868" s="4" t="s">
        <v>25</v>
      </c>
      <c r="G868" s="4" t="s">
        <v>25</v>
      </c>
      <c r="H868" s="4" t="s">
        <v>25</v>
      </c>
      <c r="I868" s="5">
        <v>44652</v>
      </c>
      <c r="J868" s="6">
        <v>0</v>
      </c>
      <c r="K868" s="6">
        <v>0</v>
      </c>
      <c r="L868" s="6">
        <v>128.71899999999999</v>
      </c>
      <c r="M868" s="6">
        <v>120.99585999999999</v>
      </c>
      <c r="N868" s="6">
        <v>128.71899999999999</v>
      </c>
      <c r="O868" s="6">
        <v>120.99585999999999</v>
      </c>
      <c r="P868" s="6">
        <v>60</v>
      </c>
      <c r="Q868" s="4" t="s">
        <v>26</v>
      </c>
      <c r="R868" s="4">
        <v>0</v>
      </c>
      <c r="S868" s="4" t="s">
        <v>373</v>
      </c>
      <c r="T868" s="4" t="s">
        <v>595</v>
      </c>
      <c r="U868" s="4">
        <v>0</v>
      </c>
      <c r="V868" s="4">
        <v>58</v>
      </c>
      <c r="W868" s="4">
        <v>99</v>
      </c>
    </row>
    <row r="869" spans="1:23" ht="11.25" customHeight="1" x14ac:dyDescent="0.3">
      <c r="A869" s="4" t="s">
        <v>21</v>
      </c>
      <c r="B869" s="4" t="s">
        <v>37</v>
      </c>
      <c r="C869" s="4" t="s">
        <v>23</v>
      </c>
      <c r="D869" s="4" t="s">
        <v>50</v>
      </c>
      <c r="E869" s="4" t="s">
        <v>51</v>
      </c>
      <c r="F869" s="4" t="s">
        <v>25</v>
      </c>
      <c r="G869" s="4" t="s">
        <v>25</v>
      </c>
      <c r="H869" s="4" t="s">
        <v>25</v>
      </c>
      <c r="I869" s="5">
        <v>44682</v>
      </c>
      <c r="J869" s="6">
        <v>0</v>
      </c>
      <c r="K869" s="6">
        <v>0</v>
      </c>
      <c r="L869" s="6">
        <v>136.97</v>
      </c>
      <c r="M869" s="6">
        <v>128.7518</v>
      </c>
      <c r="N869" s="6">
        <v>136.97</v>
      </c>
      <c r="O869" s="6">
        <v>128.7518</v>
      </c>
      <c r="P869" s="6">
        <v>60</v>
      </c>
      <c r="Q869" s="4" t="s">
        <v>26</v>
      </c>
      <c r="R869" s="4">
        <v>0</v>
      </c>
      <c r="S869" s="4" t="s">
        <v>374</v>
      </c>
      <c r="T869" s="4" t="s">
        <v>596</v>
      </c>
      <c r="U869" s="4">
        <v>0</v>
      </c>
      <c r="V869" s="4">
        <v>58</v>
      </c>
      <c r="W869" s="4">
        <v>99</v>
      </c>
    </row>
    <row r="870" spans="1:23" ht="11.25" customHeight="1" x14ac:dyDescent="0.3">
      <c r="A870" s="4" t="s">
        <v>21</v>
      </c>
      <c r="B870" s="4" t="s">
        <v>37</v>
      </c>
      <c r="C870" s="4" t="s">
        <v>23</v>
      </c>
      <c r="D870" s="4" t="s">
        <v>50</v>
      </c>
      <c r="E870" s="4" t="s">
        <v>51</v>
      </c>
      <c r="F870" s="4" t="s">
        <v>25</v>
      </c>
      <c r="G870" s="4" t="s">
        <v>25</v>
      </c>
      <c r="H870" s="4" t="s">
        <v>25</v>
      </c>
      <c r="I870" s="5">
        <v>44713</v>
      </c>
      <c r="J870" s="6">
        <v>0</v>
      </c>
      <c r="K870" s="6">
        <v>0</v>
      </c>
      <c r="L870" s="6">
        <v>121.28700000000001</v>
      </c>
      <c r="M870" s="6">
        <v>114.00978000000001</v>
      </c>
      <c r="N870" s="6">
        <v>121.28700000000001</v>
      </c>
      <c r="O870" s="6">
        <v>114.00978000000001</v>
      </c>
      <c r="P870" s="6">
        <v>60</v>
      </c>
      <c r="Q870" s="4" t="s">
        <v>26</v>
      </c>
      <c r="R870" s="4">
        <v>0</v>
      </c>
      <c r="S870" s="4" t="s">
        <v>375</v>
      </c>
      <c r="T870" s="4" t="s">
        <v>597</v>
      </c>
      <c r="U870" s="4">
        <v>0</v>
      </c>
      <c r="V870" s="4">
        <v>58</v>
      </c>
      <c r="W870" s="4">
        <v>99</v>
      </c>
    </row>
    <row r="871" spans="1:23" ht="11.25" customHeight="1" x14ac:dyDescent="0.3">
      <c r="A871" s="4" t="s">
        <v>21</v>
      </c>
      <c r="B871" s="4" t="s">
        <v>37</v>
      </c>
      <c r="C871" s="4" t="s">
        <v>23</v>
      </c>
      <c r="D871" s="4" t="s">
        <v>50</v>
      </c>
      <c r="E871" s="4" t="s">
        <v>51</v>
      </c>
      <c r="F871" s="4" t="s">
        <v>25</v>
      </c>
      <c r="G871" s="4" t="s">
        <v>25</v>
      </c>
      <c r="H871" s="4" t="s">
        <v>25</v>
      </c>
      <c r="I871" s="5">
        <v>44743</v>
      </c>
      <c r="J871" s="6">
        <v>0</v>
      </c>
      <c r="K871" s="6">
        <v>0</v>
      </c>
      <c r="L871" s="6">
        <v>134.69</v>
      </c>
      <c r="M871" s="6">
        <v>126.6086</v>
      </c>
      <c r="N871" s="6">
        <v>134.69</v>
      </c>
      <c r="O871" s="6">
        <v>126.6086</v>
      </c>
      <c r="P871" s="6">
        <v>60</v>
      </c>
      <c r="Q871" s="4" t="s">
        <v>26</v>
      </c>
      <c r="R871" s="4">
        <v>0</v>
      </c>
      <c r="S871" s="4" t="s">
        <v>376</v>
      </c>
      <c r="T871" s="4" t="s">
        <v>598</v>
      </c>
      <c r="U871" s="4">
        <v>0</v>
      </c>
      <c r="V871" s="4">
        <v>58</v>
      </c>
      <c r="W871" s="4">
        <v>99</v>
      </c>
    </row>
    <row r="872" spans="1:23" ht="11.25" customHeight="1" x14ac:dyDescent="0.3">
      <c r="A872" s="4" t="s">
        <v>21</v>
      </c>
      <c r="B872" s="4" t="s">
        <v>37</v>
      </c>
      <c r="C872" s="4" t="s">
        <v>23</v>
      </c>
      <c r="D872" s="4" t="s">
        <v>50</v>
      </c>
      <c r="E872" s="4" t="s">
        <v>51</v>
      </c>
      <c r="F872" s="4" t="s">
        <v>25</v>
      </c>
      <c r="G872" s="4" t="s">
        <v>25</v>
      </c>
      <c r="H872" s="4" t="s">
        <v>25</v>
      </c>
      <c r="I872" s="5">
        <v>44774</v>
      </c>
      <c r="J872" s="6">
        <v>0</v>
      </c>
      <c r="K872" s="6">
        <v>0</v>
      </c>
      <c r="L872" s="6">
        <v>135.35599999999999</v>
      </c>
      <c r="M872" s="6">
        <v>127.23464</v>
      </c>
      <c r="N872" s="6">
        <v>135.35599999999999</v>
      </c>
      <c r="O872" s="6">
        <v>127.23464</v>
      </c>
      <c r="P872" s="6">
        <v>60</v>
      </c>
      <c r="Q872" s="4" t="s">
        <v>26</v>
      </c>
      <c r="R872" s="4">
        <v>0</v>
      </c>
      <c r="S872" s="4" t="s">
        <v>377</v>
      </c>
      <c r="T872" s="4" t="s">
        <v>599</v>
      </c>
      <c r="U872" s="4">
        <v>0</v>
      </c>
      <c r="V872" s="4">
        <v>58</v>
      </c>
      <c r="W872" s="4">
        <v>99</v>
      </c>
    </row>
    <row r="873" spans="1:23" ht="11.25" customHeight="1" x14ac:dyDescent="0.3">
      <c r="A873" s="4" t="s">
        <v>21</v>
      </c>
      <c r="B873" s="4" t="s">
        <v>37</v>
      </c>
      <c r="C873" s="4" t="s">
        <v>23</v>
      </c>
      <c r="D873" s="4" t="s">
        <v>50</v>
      </c>
      <c r="E873" s="4" t="s">
        <v>51</v>
      </c>
      <c r="F873" s="4" t="s">
        <v>25</v>
      </c>
      <c r="G873" s="4" t="s">
        <v>25</v>
      </c>
      <c r="H873" s="4" t="s">
        <v>25</v>
      </c>
      <c r="I873" s="5">
        <v>44805</v>
      </c>
      <c r="J873" s="6">
        <v>0</v>
      </c>
      <c r="K873" s="6">
        <v>0</v>
      </c>
      <c r="L873" s="6">
        <v>140.65799999999999</v>
      </c>
      <c r="M873" s="6">
        <v>132.21852000000001</v>
      </c>
      <c r="N873" s="6">
        <v>140.65799999999999</v>
      </c>
      <c r="O873" s="6">
        <v>132.21852000000001</v>
      </c>
      <c r="P873" s="6">
        <v>60</v>
      </c>
      <c r="Q873" s="4" t="s">
        <v>26</v>
      </c>
      <c r="R873" s="4">
        <v>0</v>
      </c>
      <c r="S873" s="4" t="s">
        <v>378</v>
      </c>
      <c r="T873" s="4" t="s">
        <v>600</v>
      </c>
      <c r="U873" s="4">
        <v>0</v>
      </c>
      <c r="V873" s="4">
        <v>58</v>
      </c>
      <c r="W873" s="4">
        <v>99</v>
      </c>
    </row>
    <row r="874" spans="1:23" ht="11.25" customHeight="1" x14ac:dyDescent="0.3">
      <c r="A874" s="4" t="s">
        <v>57</v>
      </c>
      <c r="B874" s="4" t="s">
        <v>37</v>
      </c>
      <c r="C874" s="4" t="s">
        <v>23</v>
      </c>
      <c r="D874" s="4" t="s">
        <v>50</v>
      </c>
      <c r="E874" s="4" t="s">
        <v>51</v>
      </c>
      <c r="F874" s="4" t="s">
        <v>25</v>
      </c>
      <c r="G874" s="4" t="s">
        <v>25</v>
      </c>
      <c r="H874" s="4" t="s">
        <v>25</v>
      </c>
      <c r="I874" s="5">
        <v>44835</v>
      </c>
      <c r="J874" s="6">
        <v>0</v>
      </c>
      <c r="K874" s="6">
        <v>0</v>
      </c>
      <c r="L874" s="6">
        <v>140.65799999999999</v>
      </c>
      <c r="M874" s="6">
        <v>132.21852000000001</v>
      </c>
      <c r="N874" s="6">
        <v>140.65799999999999</v>
      </c>
      <c r="O874" s="6">
        <v>132.21852000000001</v>
      </c>
      <c r="P874" s="6">
        <v>60</v>
      </c>
      <c r="Q874" s="4" t="s">
        <v>26</v>
      </c>
      <c r="R874" s="4">
        <v>0</v>
      </c>
      <c r="S874" s="4" t="s">
        <v>379</v>
      </c>
      <c r="T874" s="4" t="s">
        <v>601</v>
      </c>
      <c r="U874" s="4">
        <v>0</v>
      </c>
      <c r="V874" s="4">
        <v>58</v>
      </c>
      <c r="W874" s="4">
        <v>99</v>
      </c>
    </row>
    <row r="875" spans="1:23" ht="11.25" customHeight="1" x14ac:dyDescent="0.3">
      <c r="A875" s="4" t="s">
        <v>21</v>
      </c>
      <c r="B875" s="4" t="s">
        <v>47</v>
      </c>
      <c r="C875" s="4" t="s">
        <v>23</v>
      </c>
      <c r="D875" s="4" t="s">
        <v>48</v>
      </c>
      <c r="E875" s="4" t="s">
        <v>49</v>
      </c>
      <c r="F875" s="4" t="s">
        <v>25</v>
      </c>
      <c r="G875" s="4" t="s">
        <v>25</v>
      </c>
      <c r="H875" s="4" t="s">
        <v>25</v>
      </c>
      <c r="I875" s="5">
        <v>44501</v>
      </c>
      <c r="J875" s="6">
        <v>0</v>
      </c>
      <c r="K875" s="6">
        <v>0</v>
      </c>
      <c r="L875" s="6">
        <v>388.404</v>
      </c>
      <c r="M875" s="6">
        <v>388.404</v>
      </c>
      <c r="N875" s="6">
        <v>388.404</v>
      </c>
      <c r="O875" s="6">
        <v>388.404</v>
      </c>
      <c r="P875" s="6">
        <v>10</v>
      </c>
      <c r="Q875" s="4" t="s">
        <v>26</v>
      </c>
      <c r="R875" s="4">
        <v>0</v>
      </c>
      <c r="S875" s="4" t="s">
        <v>380</v>
      </c>
      <c r="T875" s="4" t="s">
        <v>602</v>
      </c>
      <c r="U875" s="4">
        <v>0</v>
      </c>
      <c r="V875" s="4">
        <v>60</v>
      </c>
      <c r="W875" s="4">
        <v>101</v>
      </c>
    </row>
    <row r="876" spans="1:23" ht="11.25" customHeight="1" x14ac:dyDescent="0.3">
      <c r="A876" s="4" t="s">
        <v>21</v>
      </c>
      <c r="B876" s="4" t="s">
        <v>47</v>
      </c>
      <c r="C876" s="4" t="s">
        <v>23</v>
      </c>
      <c r="D876" s="4" t="s">
        <v>48</v>
      </c>
      <c r="E876" s="4" t="s">
        <v>49</v>
      </c>
      <c r="F876" s="4" t="s">
        <v>25</v>
      </c>
      <c r="G876" s="4" t="s">
        <v>25</v>
      </c>
      <c r="H876" s="4" t="s">
        <v>25</v>
      </c>
      <c r="I876" s="5">
        <v>44531</v>
      </c>
      <c r="J876" s="6">
        <v>0</v>
      </c>
      <c r="K876" s="6">
        <v>0</v>
      </c>
      <c r="L876" s="6">
        <v>392.16199999999998</v>
      </c>
      <c r="M876" s="6">
        <v>392.16199999999998</v>
      </c>
      <c r="N876" s="6">
        <v>392.16199999999998</v>
      </c>
      <c r="O876" s="6">
        <v>392.16199999999998</v>
      </c>
      <c r="P876" s="6">
        <v>10</v>
      </c>
      <c r="Q876" s="4" t="s">
        <v>26</v>
      </c>
      <c r="R876" s="4">
        <v>0</v>
      </c>
      <c r="S876" s="4" t="s">
        <v>381</v>
      </c>
      <c r="T876" s="4" t="s">
        <v>603</v>
      </c>
      <c r="U876" s="4">
        <v>0</v>
      </c>
      <c r="V876" s="4">
        <v>60</v>
      </c>
      <c r="W876" s="4">
        <v>101</v>
      </c>
    </row>
    <row r="877" spans="1:23" ht="11.25" customHeight="1" x14ac:dyDescent="0.3">
      <c r="A877" s="4" t="s">
        <v>21</v>
      </c>
      <c r="B877" s="4" t="s">
        <v>47</v>
      </c>
      <c r="C877" s="4" t="s">
        <v>23</v>
      </c>
      <c r="D877" s="4" t="s">
        <v>48</v>
      </c>
      <c r="E877" s="4" t="s">
        <v>49</v>
      </c>
      <c r="F877" s="4" t="s">
        <v>25</v>
      </c>
      <c r="G877" s="4" t="s">
        <v>25</v>
      </c>
      <c r="H877" s="4" t="s">
        <v>25</v>
      </c>
      <c r="I877" s="5">
        <v>44562</v>
      </c>
      <c r="J877" s="6">
        <v>0</v>
      </c>
      <c r="K877" s="6">
        <v>0</v>
      </c>
      <c r="L877" s="6">
        <v>398.52600000000001</v>
      </c>
      <c r="M877" s="6">
        <v>398.52600000000001</v>
      </c>
      <c r="N877" s="6">
        <v>398.52600000000001</v>
      </c>
      <c r="O877" s="6">
        <v>398.52600000000001</v>
      </c>
      <c r="P877" s="6">
        <v>10</v>
      </c>
      <c r="Q877" s="4" t="s">
        <v>26</v>
      </c>
      <c r="R877" s="4">
        <v>0</v>
      </c>
      <c r="S877" s="4" t="s">
        <v>382</v>
      </c>
      <c r="T877" s="4" t="s">
        <v>604</v>
      </c>
      <c r="U877" s="4">
        <v>0</v>
      </c>
      <c r="V877" s="4">
        <v>60</v>
      </c>
      <c r="W877" s="4">
        <v>101</v>
      </c>
    </row>
    <row r="878" spans="1:23" ht="11.25" customHeight="1" x14ac:dyDescent="0.3">
      <c r="A878" s="4" t="s">
        <v>21</v>
      </c>
      <c r="B878" s="4" t="s">
        <v>47</v>
      </c>
      <c r="C878" s="4" t="s">
        <v>23</v>
      </c>
      <c r="D878" s="4" t="s">
        <v>48</v>
      </c>
      <c r="E878" s="4" t="s">
        <v>49</v>
      </c>
      <c r="F878" s="4" t="s">
        <v>25</v>
      </c>
      <c r="G878" s="4" t="s">
        <v>25</v>
      </c>
      <c r="H878" s="4" t="s">
        <v>25</v>
      </c>
      <c r="I878" s="5">
        <v>44593</v>
      </c>
      <c r="J878" s="6">
        <v>0</v>
      </c>
      <c r="K878" s="6">
        <v>0</v>
      </c>
      <c r="L878" s="6">
        <v>372.46199999999999</v>
      </c>
      <c r="M878" s="6">
        <v>372.46199999999999</v>
      </c>
      <c r="N878" s="6">
        <v>372.46199999999999</v>
      </c>
      <c r="O878" s="6">
        <v>372.46199999999999</v>
      </c>
      <c r="P878" s="6">
        <v>10</v>
      </c>
      <c r="Q878" s="4" t="s">
        <v>26</v>
      </c>
      <c r="R878" s="4">
        <v>0</v>
      </c>
      <c r="S878" s="4" t="s">
        <v>383</v>
      </c>
      <c r="T878" s="4" t="s">
        <v>605</v>
      </c>
      <c r="U878" s="4">
        <v>0</v>
      </c>
      <c r="V878" s="4">
        <v>60</v>
      </c>
      <c r="W878" s="4">
        <v>101</v>
      </c>
    </row>
    <row r="879" spans="1:23" ht="11.25" customHeight="1" x14ac:dyDescent="0.3">
      <c r="A879" s="4" t="s">
        <v>21</v>
      </c>
      <c r="B879" s="4" t="s">
        <v>47</v>
      </c>
      <c r="C879" s="4" t="s">
        <v>23</v>
      </c>
      <c r="D879" s="4" t="s">
        <v>48</v>
      </c>
      <c r="E879" s="4" t="s">
        <v>49</v>
      </c>
      <c r="F879" s="4" t="s">
        <v>25</v>
      </c>
      <c r="G879" s="4" t="s">
        <v>25</v>
      </c>
      <c r="H879" s="4" t="s">
        <v>25</v>
      </c>
      <c r="I879" s="5">
        <v>44621</v>
      </c>
      <c r="J879" s="6">
        <v>0</v>
      </c>
      <c r="K879" s="6">
        <v>0</v>
      </c>
      <c r="L879" s="6">
        <v>428.50099999999998</v>
      </c>
      <c r="M879" s="6">
        <v>428.50099999999998</v>
      </c>
      <c r="N879" s="6">
        <v>428.50099999999998</v>
      </c>
      <c r="O879" s="6">
        <v>428.50099999999998</v>
      </c>
      <c r="P879" s="6">
        <v>10</v>
      </c>
      <c r="Q879" s="4" t="s">
        <v>26</v>
      </c>
      <c r="R879" s="4">
        <v>0</v>
      </c>
      <c r="S879" s="4" t="s">
        <v>384</v>
      </c>
      <c r="T879" s="4" t="s">
        <v>606</v>
      </c>
      <c r="U879" s="4">
        <v>0</v>
      </c>
      <c r="V879" s="4">
        <v>60</v>
      </c>
      <c r="W879" s="4">
        <v>101</v>
      </c>
    </row>
    <row r="880" spans="1:23" ht="11.25" customHeight="1" x14ac:dyDescent="0.3">
      <c r="A880" s="4" t="s">
        <v>21</v>
      </c>
      <c r="B880" s="4" t="s">
        <v>47</v>
      </c>
      <c r="C880" s="4" t="s">
        <v>23</v>
      </c>
      <c r="D880" s="4" t="s">
        <v>48</v>
      </c>
      <c r="E880" s="4" t="s">
        <v>49</v>
      </c>
      <c r="F880" s="4" t="s">
        <v>25</v>
      </c>
      <c r="G880" s="4" t="s">
        <v>25</v>
      </c>
      <c r="H880" s="4" t="s">
        <v>25</v>
      </c>
      <c r="I880" s="5">
        <v>44652</v>
      </c>
      <c r="J880" s="6">
        <v>0</v>
      </c>
      <c r="K880" s="6">
        <v>0</v>
      </c>
      <c r="L880" s="6">
        <v>430.83100000000002</v>
      </c>
      <c r="M880" s="6">
        <v>430.83100000000002</v>
      </c>
      <c r="N880" s="6">
        <v>430.83100000000002</v>
      </c>
      <c r="O880" s="6">
        <v>430.83100000000002</v>
      </c>
      <c r="P880" s="6">
        <v>10</v>
      </c>
      <c r="Q880" s="4" t="s">
        <v>26</v>
      </c>
      <c r="R880" s="4">
        <v>0</v>
      </c>
      <c r="S880" s="4" t="s">
        <v>385</v>
      </c>
      <c r="T880" s="4" t="s">
        <v>607</v>
      </c>
      <c r="U880" s="4">
        <v>0</v>
      </c>
      <c r="V880" s="4">
        <v>60</v>
      </c>
      <c r="W880" s="4">
        <v>101</v>
      </c>
    </row>
    <row r="881" spans="1:23" ht="11.25" customHeight="1" x14ac:dyDescent="0.3">
      <c r="A881" s="4" t="s">
        <v>21</v>
      </c>
      <c r="B881" s="4" t="s">
        <v>47</v>
      </c>
      <c r="C881" s="4" t="s">
        <v>23</v>
      </c>
      <c r="D881" s="4" t="s">
        <v>48</v>
      </c>
      <c r="E881" s="4" t="s">
        <v>49</v>
      </c>
      <c r="F881" s="4" t="s">
        <v>25</v>
      </c>
      <c r="G881" s="4" t="s">
        <v>25</v>
      </c>
      <c r="H881" s="4" t="s">
        <v>25</v>
      </c>
      <c r="I881" s="5">
        <v>44682</v>
      </c>
      <c r="J881" s="6">
        <v>0</v>
      </c>
      <c r="K881" s="6">
        <v>0</v>
      </c>
      <c r="L881" s="6">
        <v>457.91300000000001</v>
      </c>
      <c r="M881" s="6">
        <v>457.91300000000001</v>
      </c>
      <c r="N881" s="6">
        <v>457.91300000000001</v>
      </c>
      <c r="O881" s="6">
        <v>457.91300000000001</v>
      </c>
      <c r="P881" s="6">
        <v>10</v>
      </c>
      <c r="Q881" s="4" t="s">
        <v>26</v>
      </c>
      <c r="R881" s="4">
        <v>0</v>
      </c>
      <c r="S881" s="4" t="s">
        <v>386</v>
      </c>
      <c r="T881" s="4" t="s">
        <v>608</v>
      </c>
      <c r="U881" s="4">
        <v>0</v>
      </c>
      <c r="V881" s="4">
        <v>60</v>
      </c>
      <c r="W881" s="4">
        <v>101</v>
      </c>
    </row>
    <row r="882" spans="1:23" ht="11.25" customHeight="1" x14ac:dyDescent="0.3">
      <c r="A882" s="4" t="s">
        <v>21</v>
      </c>
      <c r="B882" s="4" t="s">
        <v>47</v>
      </c>
      <c r="C882" s="4" t="s">
        <v>23</v>
      </c>
      <c r="D882" s="4" t="s">
        <v>48</v>
      </c>
      <c r="E882" s="4" t="s">
        <v>49</v>
      </c>
      <c r="F882" s="4" t="s">
        <v>25</v>
      </c>
      <c r="G882" s="4" t="s">
        <v>25</v>
      </c>
      <c r="H882" s="4" t="s">
        <v>25</v>
      </c>
      <c r="I882" s="5">
        <v>44713</v>
      </c>
      <c r="J882" s="6">
        <v>0</v>
      </c>
      <c r="K882" s="6">
        <v>0</v>
      </c>
      <c r="L882" s="6">
        <v>450.31200000000001</v>
      </c>
      <c r="M882" s="6">
        <v>450.31200000000001</v>
      </c>
      <c r="N882" s="6">
        <v>450.31200000000001</v>
      </c>
      <c r="O882" s="6">
        <v>450.31200000000001</v>
      </c>
      <c r="P882" s="6">
        <v>10</v>
      </c>
      <c r="Q882" s="4" t="s">
        <v>26</v>
      </c>
      <c r="R882" s="4">
        <v>0</v>
      </c>
      <c r="S882" s="4" t="s">
        <v>387</v>
      </c>
      <c r="T882" s="4" t="s">
        <v>609</v>
      </c>
      <c r="U882" s="4">
        <v>0</v>
      </c>
      <c r="V882" s="4">
        <v>60</v>
      </c>
      <c r="W882" s="4">
        <v>101</v>
      </c>
    </row>
    <row r="883" spans="1:23" ht="11.25" customHeight="1" x14ac:dyDescent="0.3">
      <c r="A883" s="4" t="s">
        <v>21</v>
      </c>
      <c r="B883" s="4" t="s">
        <v>47</v>
      </c>
      <c r="C883" s="4" t="s">
        <v>23</v>
      </c>
      <c r="D883" s="4" t="s">
        <v>48</v>
      </c>
      <c r="E883" s="4" t="s">
        <v>49</v>
      </c>
      <c r="F883" s="4" t="s">
        <v>25</v>
      </c>
      <c r="G883" s="4" t="s">
        <v>25</v>
      </c>
      <c r="H883" s="4" t="s">
        <v>25</v>
      </c>
      <c r="I883" s="5">
        <v>44743</v>
      </c>
      <c r="J883" s="6">
        <v>0</v>
      </c>
      <c r="K883" s="6">
        <v>0</v>
      </c>
      <c r="L883" s="6">
        <v>467.81</v>
      </c>
      <c r="M883" s="6">
        <v>467.81</v>
      </c>
      <c r="N883" s="6">
        <v>467.81</v>
      </c>
      <c r="O883" s="6">
        <v>467.81</v>
      </c>
      <c r="P883" s="6">
        <v>10</v>
      </c>
      <c r="Q883" s="4" t="s">
        <v>26</v>
      </c>
      <c r="R883" s="4">
        <v>0</v>
      </c>
      <c r="S883" s="4" t="s">
        <v>388</v>
      </c>
      <c r="T883" s="4" t="s">
        <v>610</v>
      </c>
      <c r="U883" s="4">
        <v>0</v>
      </c>
      <c r="V883" s="4">
        <v>60</v>
      </c>
      <c r="W883" s="4">
        <v>101</v>
      </c>
    </row>
    <row r="884" spans="1:23" ht="11.25" customHeight="1" x14ac:dyDescent="0.3">
      <c r="A884" s="4" t="s">
        <v>21</v>
      </c>
      <c r="B884" s="4" t="s">
        <v>47</v>
      </c>
      <c r="C884" s="4" t="s">
        <v>23</v>
      </c>
      <c r="D884" s="4" t="s">
        <v>48</v>
      </c>
      <c r="E884" s="4" t="s">
        <v>49</v>
      </c>
      <c r="F884" s="4" t="s">
        <v>25</v>
      </c>
      <c r="G884" s="4" t="s">
        <v>25</v>
      </c>
      <c r="H884" s="4" t="s">
        <v>25</v>
      </c>
      <c r="I884" s="5">
        <v>44774</v>
      </c>
      <c r="J884" s="6">
        <v>0</v>
      </c>
      <c r="K884" s="6">
        <v>0</v>
      </c>
      <c r="L884" s="6">
        <v>459.02600000000001</v>
      </c>
      <c r="M884" s="6">
        <v>459.02600000000001</v>
      </c>
      <c r="N884" s="6">
        <v>459.02600000000001</v>
      </c>
      <c r="O884" s="6">
        <v>459.02600000000001</v>
      </c>
      <c r="P884" s="6">
        <v>10</v>
      </c>
      <c r="Q884" s="4" t="s">
        <v>26</v>
      </c>
      <c r="R884" s="4">
        <v>0</v>
      </c>
      <c r="S884" s="4" t="s">
        <v>389</v>
      </c>
      <c r="T884" s="4" t="s">
        <v>611</v>
      </c>
      <c r="U884" s="4">
        <v>0</v>
      </c>
      <c r="V884" s="4">
        <v>60</v>
      </c>
      <c r="W884" s="4">
        <v>101</v>
      </c>
    </row>
    <row r="885" spans="1:23" ht="11.25" customHeight="1" x14ac:dyDescent="0.3">
      <c r="A885" s="4" t="s">
        <v>21</v>
      </c>
      <c r="B885" s="4" t="s">
        <v>47</v>
      </c>
      <c r="C885" s="4" t="s">
        <v>23</v>
      </c>
      <c r="D885" s="4" t="s">
        <v>48</v>
      </c>
      <c r="E885" s="4" t="s">
        <v>49</v>
      </c>
      <c r="F885" s="4" t="s">
        <v>25</v>
      </c>
      <c r="G885" s="4" t="s">
        <v>25</v>
      </c>
      <c r="H885" s="4" t="s">
        <v>25</v>
      </c>
      <c r="I885" s="5">
        <v>44805</v>
      </c>
      <c r="J885" s="6">
        <v>0</v>
      </c>
      <c r="K885" s="6">
        <v>0</v>
      </c>
      <c r="L885" s="6">
        <v>429.27</v>
      </c>
      <c r="M885" s="6">
        <v>429.27</v>
      </c>
      <c r="N885" s="6">
        <v>429.27</v>
      </c>
      <c r="O885" s="6">
        <v>429.27</v>
      </c>
      <c r="P885" s="6">
        <v>10</v>
      </c>
      <c r="Q885" s="4" t="s">
        <v>26</v>
      </c>
      <c r="R885" s="4">
        <v>0</v>
      </c>
      <c r="S885" s="4" t="s">
        <v>390</v>
      </c>
      <c r="T885" s="4" t="s">
        <v>612</v>
      </c>
      <c r="U885" s="4">
        <v>0</v>
      </c>
      <c r="V885" s="4">
        <v>60</v>
      </c>
      <c r="W885" s="4">
        <v>101</v>
      </c>
    </row>
    <row r="886" spans="1:23" ht="11.25" customHeight="1" x14ac:dyDescent="0.3">
      <c r="A886" s="4" t="s">
        <v>57</v>
      </c>
      <c r="B886" s="4" t="s">
        <v>47</v>
      </c>
      <c r="C886" s="4" t="s">
        <v>23</v>
      </c>
      <c r="D886" s="4" t="s">
        <v>48</v>
      </c>
      <c r="E886" s="4" t="s">
        <v>49</v>
      </c>
      <c r="F886" s="4" t="s">
        <v>25</v>
      </c>
      <c r="G886" s="4" t="s">
        <v>25</v>
      </c>
      <c r="H886" s="4" t="s">
        <v>25</v>
      </c>
      <c r="I886" s="5">
        <v>44835</v>
      </c>
      <c r="J886" s="6">
        <v>0</v>
      </c>
      <c r="K886" s="6">
        <v>0</v>
      </c>
      <c r="L886" s="6">
        <v>429.27</v>
      </c>
      <c r="M886" s="6">
        <v>429.27</v>
      </c>
      <c r="N886" s="6">
        <v>429.27</v>
      </c>
      <c r="O886" s="6">
        <v>429.27</v>
      </c>
      <c r="P886" s="6">
        <v>10</v>
      </c>
      <c r="Q886" s="4" t="s">
        <v>26</v>
      </c>
      <c r="R886" s="4">
        <v>0</v>
      </c>
      <c r="S886" s="4" t="s">
        <v>391</v>
      </c>
      <c r="T886" s="4" t="s">
        <v>613</v>
      </c>
      <c r="U886" s="4">
        <v>0</v>
      </c>
      <c r="V886" s="4">
        <v>60</v>
      </c>
      <c r="W886" s="4">
        <v>101</v>
      </c>
    </row>
  </sheetData>
  <sortState xmlns:xlrd2="http://schemas.microsoft.com/office/spreadsheetml/2017/richdata2" ref="A2:W886">
    <sortCondition ref="B2:B886"/>
    <sortCondition ref="C2:C886"/>
    <sortCondition ref="D2:D886"/>
    <sortCondition ref="E2:E886"/>
    <sortCondition ref="F2:F886"/>
    <sortCondition ref="H2:H886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B0087-8165-4946-800F-39E023D395A9}">
  <sheetPr codeName="Planilha2"/>
  <dimension ref="A1:H131"/>
  <sheetViews>
    <sheetView showGridLines="0" workbookViewId="0">
      <selection activeCell="H1" sqref="H1"/>
    </sheetView>
  </sheetViews>
  <sheetFormatPr defaultRowHeight="11.25" customHeight="1" x14ac:dyDescent="0.3"/>
  <cols>
    <col min="1" max="1" width="11.77734375" style="8" bestFit="1" customWidth="1"/>
    <col min="2" max="2" width="15.44140625" style="8" bestFit="1" customWidth="1"/>
    <col min="3" max="3" width="4.5546875" style="8" bestFit="1" customWidth="1"/>
    <col min="4" max="4" width="6.21875" style="8" bestFit="1" customWidth="1"/>
    <col min="5" max="5" width="8.21875" style="8" bestFit="1" customWidth="1"/>
    <col min="6" max="6" width="8.88671875" style="8"/>
    <col min="7" max="7" width="18" style="8" bestFit="1" customWidth="1"/>
    <col min="8" max="8" width="2" style="8" bestFit="1" customWidth="1"/>
    <col min="9" max="16384" width="8.88671875" style="8"/>
  </cols>
  <sheetData>
    <row r="1" spans="1:8" s="7" customFormat="1" ht="11.25" customHeight="1" x14ac:dyDescent="0.3">
      <c r="A1" s="7" t="s">
        <v>63</v>
      </c>
      <c r="B1" s="7" t="s">
        <v>64</v>
      </c>
      <c r="C1" s="7" t="s">
        <v>65</v>
      </c>
      <c r="D1" s="7" t="s">
        <v>66</v>
      </c>
      <c r="E1" s="7" t="s">
        <v>67</v>
      </c>
      <c r="G1" s="7" t="s">
        <v>68</v>
      </c>
      <c r="H1" s="7">
        <f>COUNTA(A:A)</f>
        <v>131</v>
      </c>
    </row>
    <row r="2" spans="1:8" ht="11.25" customHeight="1" x14ac:dyDescent="0.3">
      <c r="A2" s="8" t="s">
        <v>417</v>
      </c>
      <c r="B2" s="8" t="s">
        <v>418</v>
      </c>
      <c r="C2" s="8" t="s">
        <v>419</v>
      </c>
      <c r="D2" s="8">
        <v>45</v>
      </c>
      <c r="E2" s="8" t="s">
        <v>420</v>
      </c>
    </row>
    <row r="3" spans="1:8" ht="11.25" customHeight="1" x14ac:dyDescent="0.3">
      <c r="A3" s="8" t="s">
        <v>417</v>
      </c>
      <c r="B3" s="8" t="s">
        <v>418</v>
      </c>
      <c r="C3" s="8" t="s">
        <v>419</v>
      </c>
      <c r="D3" s="8">
        <v>46</v>
      </c>
      <c r="E3" s="8" t="s">
        <v>420</v>
      </c>
    </row>
    <row r="4" spans="1:8" ht="11.25" customHeight="1" x14ac:dyDescent="0.3">
      <c r="A4" s="8" t="s">
        <v>417</v>
      </c>
      <c r="B4" s="8" t="s">
        <v>418</v>
      </c>
      <c r="C4" s="8" t="s">
        <v>419</v>
      </c>
      <c r="D4" s="8">
        <v>58</v>
      </c>
      <c r="E4" s="8" t="s">
        <v>420</v>
      </c>
    </row>
    <row r="5" spans="1:8" ht="11.25" customHeight="1" x14ac:dyDescent="0.3">
      <c r="A5" s="8" t="s">
        <v>417</v>
      </c>
      <c r="B5" s="8" t="s">
        <v>418</v>
      </c>
      <c r="C5" s="8" t="s">
        <v>419</v>
      </c>
      <c r="D5" s="8">
        <v>59</v>
      </c>
      <c r="E5" s="8" t="s">
        <v>420</v>
      </c>
    </row>
    <row r="6" spans="1:8" ht="11.25" customHeight="1" x14ac:dyDescent="0.3">
      <c r="A6" s="8" t="s">
        <v>417</v>
      </c>
      <c r="B6" s="8" t="s">
        <v>418</v>
      </c>
      <c r="C6" s="8" t="s">
        <v>419</v>
      </c>
      <c r="D6" s="8">
        <v>60</v>
      </c>
      <c r="E6" s="8" t="s">
        <v>420</v>
      </c>
    </row>
    <row r="7" spans="1:8" ht="11.25" customHeight="1" x14ac:dyDescent="0.3">
      <c r="A7" s="8" t="s">
        <v>417</v>
      </c>
      <c r="B7" s="8" t="s">
        <v>418</v>
      </c>
      <c r="C7" s="8" t="s">
        <v>419</v>
      </c>
      <c r="D7" s="8">
        <v>61</v>
      </c>
      <c r="E7" s="8" t="s">
        <v>420</v>
      </c>
    </row>
    <row r="8" spans="1:8" ht="11.25" customHeight="1" x14ac:dyDescent="0.3">
      <c r="A8" s="8" t="s">
        <v>417</v>
      </c>
      <c r="B8" s="8" t="s">
        <v>418</v>
      </c>
      <c r="C8" s="8" t="s">
        <v>419</v>
      </c>
      <c r="D8" s="8">
        <v>62</v>
      </c>
      <c r="E8" s="8" t="s">
        <v>420</v>
      </c>
    </row>
    <row r="9" spans="1:8" ht="11.25" customHeight="1" x14ac:dyDescent="0.3">
      <c r="A9" s="8" t="s">
        <v>417</v>
      </c>
      <c r="B9" s="8" t="s">
        <v>418</v>
      </c>
      <c r="C9" s="8" t="s">
        <v>419</v>
      </c>
      <c r="D9" s="8">
        <v>63</v>
      </c>
      <c r="E9" s="8" t="s">
        <v>420</v>
      </c>
    </row>
    <row r="10" spans="1:8" ht="11.25" customHeight="1" x14ac:dyDescent="0.3">
      <c r="A10" s="8" t="s">
        <v>417</v>
      </c>
      <c r="B10" s="8" t="s">
        <v>418</v>
      </c>
      <c r="C10" s="8" t="s">
        <v>419</v>
      </c>
      <c r="D10" s="8">
        <v>64</v>
      </c>
      <c r="E10" s="8" t="s">
        <v>420</v>
      </c>
    </row>
    <row r="11" spans="1:8" ht="11.25" customHeight="1" x14ac:dyDescent="0.3">
      <c r="A11" s="8" t="s">
        <v>417</v>
      </c>
      <c r="B11" s="8" t="s">
        <v>418</v>
      </c>
      <c r="C11" s="8" t="s">
        <v>419</v>
      </c>
      <c r="D11" s="8">
        <v>65</v>
      </c>
      <c r="E11" s="8" t="s">
        <v>420</v>
      </c>
    </row>
    <row r="12" spans="1:8" ht="11.25" customHeight="1" x14ac:dyDescent="0.3">
      <c r="A12" s="8" t="s">
        <v>417</v>
      </c>
      <c r="B12" s="8" t="s">
        <v>418</v>
      </c>
      <c r="C12" s="8" t="s">
        <v>419</v>
      </c>
      <c r="D12" s="8">
        <v>66</v>
      </c>
      <c r="E12" s="8" t="s">
        <v>420</v>
      </c>
    </row>
    <row r="13" spans="1:8" ht="11.25" customHeight="1" x14ac:dyDescent="0.3">
      <c r="A13" s="8" t="s">
        <v>417</v>
      </c>
      <c r="B13" s="8" t="s">
        <v>418</v>
      </c>
      <c r="C13" s="8" t="s">
        <v>419</v>
      </c>
      <c r="D13" s="8">
        <v>76</v>
      </c>
      <c r="E13" s="8" t="s">
        <v>420</v>
      </c>
    </row>
    <row r="14" spans="1:8" ht="11.25" customHeight="1" x14ac:dyDescent="0.3">
      <c r="A14" s="8" t="s">
        <v>417</v>
      </c>
      <c r="B14" s="8" t="s">
        <v>418</v>
      </c>
      <c r="C14" s="8" t="s">
        <v>419</v>
      </c>
      <c r="D14" s="8">
        <v>77</v>
      </c>
      <c r="E14" s="8" t="s">
        <v>420</v>
      </c>
    </row>
    <row r="15" spans="1:8" ht="11.25" customHeight="1" x14ac:dyDescent="0.3">
      <c r="A15" s="8" t="s">
        <v>417</v>
      </c>
      <c r="B15" s="8" t="s">
        <v>418</v>
      </c>
      <c r="C15" s="8" t="s">
        <v>419</v>
      </c>
      <c r="D15" s="8">
        <v>78</v>
      </c>
      <c r="E15" s="8" t="s">
        <v>420</v>
      </c>
    </row>
    <row r="16" spans="1:8" ht="11.25" customHeight="1" x14ac:dyDescent="0.3">
      <c r="A16" s="8" t="s">
        <v>417</v>
      </c>
      <c r="B16" s="8" t="s">
        <v>418</v>
      </c>
      <c r="C16" s="8" t="s">
        <v>419</v>
      </c>
      <c r="D16" s="8">
        <v>79</v>
      </c>
      <c r="E16" s="8" t="s">
        <v>420</v>
      </c>
    </row>
    <row r="17" spans="1:5" ht="11.25" customHeight="1" x14ac:dyDescent="0.3">
      <c r="A17" s="8" t="s">
        <v>417</v>
      </c>
      <c r="B17" s="8" t="s">
        <v>418</v>
      </c>
      <c r="C17" s="8" t="s">
        <v>419</v>
      </c>
      <c r="D17" s="8">
        <v>80</v>
      </c>
      <c r="E17" s="8" t="s">
        <v>420</v>
      </c>
    </row>
    <row r="18" spans="1:5" ht="11.25" customHeight="1" x14ac:dyDescent="0.3">
      <c r="A18" s="8" t="s">
        <v>417</v>
      </c>
      <c r="B18" s="8" t="s">
        <v>418</v>
      </c>
      <c r="C18" s="8" t="s">
        <v>419</v>
      </c>
      <c r="D18" s="8">
        <v>81</v>
      </c>
      <c r="E18" s="8" t="s">
        <v>420</v>
      </c>
    </row>
    <row r="19" spans="1:5" ht="11.25" customHeight="1" x14ac:dyDescent="0.3">
      <c r="A19" s="8" t="s">
        <v>417</v>
      </c>
      <c r="B19" s="8" t="s">
        <v>418</v>
      </c>
      <c r="C19" s="8" t="s">
        <v>419</v>
      </c>
      <c r="D19" s="8">
        <v>82</v>
      </c>
      <c r="E19" s="8" t="s">
        <v>420</v>
      </c>
    </row>
    <row r="20" spans="1:5" ht="11.25" customHeight="1" x14ac:dyDescent="0.3">
      <c r="A20" s="8" t="s">
        <v>417</v>
      </c>
      <c r="B20" s="8" t="s">
        <v>418</v>
      </c>
      <c r="C20" s="8" t="s">
        <v>419</v>
      </c>
      <c r="D20" s="8">
        <v>83</v>
      </c>
      <c r="E20" s="8" t="s">
        <v>420</v>
      </c>
    </row>
    <row r="21" spans="1:5" ht="11.25" customHeight="1" x14ac:dyDescent="0.3">
      <c r="A21" s="8" t="s">
        <v>417</v>
      </c>
      <c r="B21" s="8" t="s">
        <v>445</v>
      </c>
      <c r="C21" s="8" t="s">
        <v>419</v>
      </c>
      <c r="D21" s="8">
        <v>156</v>
      </c>
      <c r="E21" s="8" t="s">
        <v>420</v>
      </c>
    </row>
    <row r="22" spans="1:5" ht="11.25" customHeight="1" x14ac:dyDescent="0.3">
      <c r="A22" s="8" t="s">
        <v>417</v>
      </c>
      <c r="B22" s="8" t="s">
        <v>445</v>
      </c>
      <c r="C22" s="8" t="s">
        <v>419</v>
      </c>
      <c r="D22" s="8">
        <v>157</v>
      </c>
      <c r="E22" s="8" t="s">
        <v>420</v>
      </c>
    </row>
    <row r="23" spans="1:5" ht="11.25" customHeight="1" x14ac:dyDescent="0.3">
      <c r="A23" s="8" t="s">
        <v>417</v>
      </c>
      <c r="B23" s="8" t="s">
        <v>445</v>
      </c>
      <c r="C23" s="8" t="s">
        <v>419</v>
      </c>
      <c r="D23" s="8">
        <v>158</v>
      </c>
      <c r="E23" s="8" t="s">
        <v>420</v>
      </c>
    </row>
    <row r="24" spans="1:5" ht="11.25" customHeight="1" x14ac:dyDescent="0.3">
      <c r="A24" s="8" t="s">
        <v>417</v>
      </c>
      <c r="B24" s="8" t="s">
        <v>445</v>
      </c>
      <c r="C24" s="8" t="s">
        <v>419</v>
      </c>
      <c r="D24" s="8">
        <v>159</v>
      </c>
      <c r="E24" s="8" t="s">
        <v>420</v>
      </c>
    </row>
    <row r="25" spans="1:5" ht="11.25" customHeight="1" x14ac:dyDescent="0.3">
      <c r="A25" s="8" t="s">
        <v>417</v>
      </c>
      <c r="B25" s="8" t="s">
        <v>445</v>
      </c>
      <c r="C25" s="8" t="s">
        <v>419</v>
      </c>
      <c r="D25" s="8">
        <v>160</v>
      </c>
      <c r="E25" s="8" t="s">
        <v>420</v>
      </c>
    </row>
    <row r="26" spans="1:5" ht="11.25" customHeight="1" x14ac:dyDescent="0.3">
      <c r="A26" s="8" t="s">
        <v>417</v>
      </c>
      <c r="B26" s="8" t="s">
        <v>445</v>
      </c>
      <c r="C26" s="8" t="s">
        <v>419</v>
      </c>
      <c r="D26" s="8">
        <v>161</v>
      </c>
      <c r="E26" s="8" t="s">
        <v>420</v>
      </c>
    </row>
    <row r="27" spans="1:5" ht="11.25" customHeight="1" x14ac:dyDescent="0.3">
      <c r="A27" s="8" t="s">
        <v>417</v>
      </c>
      <c r="B27" s="8" t="s">
        <v>445</v>
      </c>
      <c r="C27" s="8" t="s">
        <v>419</v>
      </c>
      <c r="D27" s="8">
        <v>162</v>
      </c>
      <c r="E27" s="8" t="s">
        <v>420</v>
      </c>
    </row>
    <row r="28" spans="1:5" ht="11.25" customHeight="1" x14ac:dyDescent="0.3">
      <c r="A28" s="8" t="s">
        <v>417</v>
      </c>
      <c r="B28" s="8" t="s">
        <v>445</v>
      </c>
      <c r="C28" s="8" t="s">
        <v>419</v>
      </c>
      <c r="D28" s="8">
        <v>163</v>
      </c>
      <c r="E28" s="8" t="s">
        <v>420</v>
      </c>
    </row>
    <row r="29" spans="1:5" ht="11.25" customHeight="1" x14ac:dyDescent="0.3">
      <c r="A29" s="8" t="s">
        <v>417</v>
      </c>
      <c r="B29" s="8" t="s">
        <v>445</v>
      </c>
      <c r="C29" s="8" t="s">
        <v>419</v>
      </c>
      <c r="D29" s="8">
        <v>164</v>
      </c>
      <c r="E29" s="8" t="s">
        <v>420</v>
      </c>
    </row>
    <row r="30" spans="1:5" ht="11.25" customHeight="1" x14ac:dyDescent="0.3">
      <c r="A30" s="8" t="s">
        <v>417</v>
      </c>
      <c r="B30" s="8" t="s">
        <v>445</v>
      </c>
      <c r="C30" s="8" t="s">
        <v>419</v>
      </c>
      <c r="D30" s="8">
        <v>165</v>
      </c>
      <c r="E30" s="8" t="s">
        <v>420</v>
      </c>
    </row>
    <row r="31" spans="1:5" ht="11.25" customHeight="1" x14ac:dyDescent="0.3">
      <c r="A31" s="8" t="s">
        <v>417</v>
      </c>
      <c r="B31" s="8" t="s">
        <v>445</v>
      </c>
      <c r="C31" s="8" t="s">
        <v>419</v>
      </c>
      <c r="D31" s="8">
        <v>166</v>
      </c>
      <c r="E31" s="8" t="s">
        <v>420</v>
      </c>
    </row>
    <row r="32" spans="1:5" ht="11.25" customHeight="1" x14ac:dyDescent="0.3">
      <c r="A32" s="8" t="s">
        <v>417</v>
      </c>
      <c r="B32" s="8" t="s">
        <v>445</v>
      </c>
      <c r="C32" s="8" t="s">
        <v>419</v>
      </c>
      <c r="D32" s="8">
        <v>167</v>
      </c>
      <c r="E32" s="8" t="s">
        <v>420</v>
      </c>
    </row>
    <row r="33" spans="1:5" ht="11.25" customHeight="1" x14ac:dyDescent="0.3">
      <c r="A33" s="8" t="s">
        <v>417</v>
      </c>
      <c r="B33" s="8" t="s">
        <v>445</v>
      </c>
      <c r="C33" s="8" t="s">
        <v>419</v>
      </c>
      <c r="D33" s="8">
        <v>168</v>
      </c>
      <c r="E33" s="8" t="s">
        <v>420</v>
      </c>
    </row>
    <row r="34" spans="1:5" ht="11.25" customHeight="1" x14ac:dyDescent="0.3">
      <c r="A34" s="8" t="s">
        <v>417</v>
      </c>
      <c r="B34" s="8" t="s">
        <v>445</v>
      </c>
      <c r="C34" s="8" t="s">
        <v>419</v>
      </c>
      <c r="D34" s="8">
        <v>169</v>
      </c>
      <c r="E34" s="8" t="s">
        <v>420</v>
      </c>
    </row>
    <row r="35" spans="1:5" ht="11.25" customHeight="1" x14ac:dyDescent="0.3">
      <c r="A35" s="8" t="s">
        <v>417</v>
      </c>
      <c r="B35" s="8" t="s">
        <v>445</v>
      </c>
      <c r="C35" s="8" t="s">
        <v>419</v>
      </c>
      <c r="D35" s="8">
        <v>170</v>
      </c>
      <c r="E35" s="8" t="s">
        <v>420</v>
      </c>
    </row>
    <row r="36" spans="1:5" ht="11.25" customHeight="1" x14ac:dyDescent="0.3">
      <c r="A36" s="8" t="s">
        <v>417</v>
      </c>
      <c r="B36" s="8" t="s">
        <v>445</v>
      </c>
      <c r="C36" s="8" t="s">
        <v>419</v>
      </c>
      <c r="D36" s="8">
        <v>171</v>
      </c>
      <c r="E36" s="8" t="s">
        <v>420</v>
      </c>
    </row>
    <row r="37" spans="1:5" ht="11.25" customHeight="1" x14ac:dyDescent="0.3">
      <c r="A37" s="8" t="s">
        <v>417</v>
      </c>
      <c r="B37" s="8" t="s">
        <v>445</v>
      </c>
      <c r="C37" s="8" t="s">
        <v>419</v>
      </c>
      <c r="D37" s="8">
        <v>172</v>
      </c>
      <c r="E37" s="8" t="s">
        <v>420</v>
      </c>
    </row>
    <row r="38" spans="1:5" ht="11.25" customHeight="1" x14ac:dyDescent="0.3">
      <c r="A38" s="8" t="s">
        <v>417</v>
      </c>
      <c r="B38" s="8" t="s">
        <v>445</v>
      </c>
      <c r="C38" s="8" t="s">
        <v>419</v>
      </c>
      <c r="D38" s="8">
        <v>173</v>
      </c>
      <c r="E38" s="8" t="s">
        <v>420</v>
      </c>
    </row>
    <row r="39" spans="1:5" ht="11.25" customHeight="1" x14ac:dyDescent="0.3">
      <c r="A39" s="8" t="s">
        <v>417</v>
      </c>
      <c r="B39" s="8" t="s">
        <v>445</v>
      </c>
      <c r="C39" s="8" t="s">
        <v>419</v>
      </c>
      <c r="D39" s="8">
        <v>174</v>
      </c>
      <c r="E39" s="8" t="s">
        <v>420</v>
      </c>
    </row>
    <row r="40" spans="1:5" ht="11.25" customHeight="1" x14ac:dyDescent="0.3">
      <c r="A40" s="8" t="s">
        <v>417</v>
      </c>
      <c r="B40" s="8" t="s">
        <v>445</v>
      </c>
      <c r="C40" s="8" t="s">
        <v>419</v>
      </c>
      <c r="D40" s="8">
        <v>175</v>
      </c>
      <c r="E40" s="8" t="s">
        <v>420</v>
      </c>
    </row>
    <row r="41" spans="1:5" ht="11.25" customHeight="1" x14ac:dyDescent="0.3">
      <c r="A41" s="8" t="s">
        <v>417</v>
      </c>
      <c r="B41" s="8" t="s">
        <v>445</v>
      </c>
      <c r="C41" s="8" t="s">
        <v>419</v>
      </c>
      <c r="D41" s="8">
        <v>176</v>
      </c>
      <c r="E41" s="8" t="s">
        <v>420</v>
      </c>
    </row>
    <row r="42" spans="1:5" ht="11.25" customHeight="1" x14ac:dyDescent="0.3">
      <c r="A42" s="8" t="s">
        <v>417</v>
      </c>
      <c r="B42" s="8" t="s">
        <v>445</v>
      </c>
      <c r="C42" s="8" t="s">
        <v>419</v>
      </c>
      <c r="D42" s="8">
        <v>177</v>
      </c>
      <c r="E42" s="8" t="s">
        <v>420</v>
      </c>
    </row>
    <row r="43" spans="1:5" ht="11.25" customHeight="1" x14ac:dyDescent="0.3">
      <c r="A43" s="8" t="s">
        <v>417</v>
      </c>
      <c r="B43" s="8" t="s">
        <v>445</v>
      </c>
      <c r="C43" s="8" t="s">
        <v>419</v>
      </c>
      <c r="D43" s="8">
        <v>178</v>
      </c>
      <c r="E43" s="8" t="s">
        <v>420</v>
      </c>
    </row>
    <row r="44" spans="1:5" ht="11.25" customHeight="1" x14ac:dyDescent="0.3">
      <c r="A44" s="8" t="s">
        <v>417</v>
      </c>
      <c r="B44" s="8" t="s">
        <v>445</v>
      </c>
      <c r="C44" s="8" t="s">
        <v>419</v>
      </c>
      <c r="D44" s="8">
        <v>179</v>
      </c>
      <c r="E44" s="8" t="s">
        <v>420</v>
      </c>
    </row>
    <row r="45" spans="1:5" ht="11.25" customHeight="1" x14ac:dyDescent="0.3">
      <c r="A45" s="8" t="s">
        <v>417</v>
      </c>
      <c r="B45" s="8" t="s">
        <v>445</v>
      </c>
      <c r="C45" s="8" t="s">
        <v>419</v>
      </c>
      <c r="D45" s="8">
        <v>264</v>
      </c>
      <c r="E45" s="8" t="s">
        <v>420</v>
      </c>
    </row>
    <row r="46" spans="1:5" ht="11.25" customHeight="1" x14ac:dyDescent="0.3">
      <c r="A46" s="8" t="s">
        <v>417</v>
      </c>
      <c r="B46" s="8" t="s">
        <v>445</v>
      </c>
      <c r="C46" s="8" t="s">
        <v>419</v>
      </c>
      <c r="D46" s="8">
        <v>265</v>
      </c>
      <c r="E46" s="8" t="s">
        <v>420</v>
      </c>
    </row>
    <row r="47" spans="1:5" ht="11.25" customHeight="1" x14ac:dyDescent="0.3">
      <c r="A47" s="8" t="s">
        <v>417</v>
      </c>
      <c r="B47" s="8" t="s">
        <v>445</v>
      </c>
      <c r="C47" s="8" t="s">
        <v>419</v>
      </c>
      <c r="D47" s="8">
        <v>266</v>
      </c>
      <c r="E47" s="8" t="s">
        <v>420</v>
      </c>
    </row>
    <row r="48" spans="1:5" ht="11.25" customHeight="1" x14ac:dyDescent="0.3">
      <c r="A48" s="8" t="s">
        <v>417</v>
      </c>
      <c r="B48" s="8" t="s">
        <v>445</v>
      </c>
      <c r="C48" s="8" t="s">
        <v>419</v>
      </c>
      <c r="D48" s="8">
        <v>267</v>
      </c>
      <c r="E48" s="8" t="s">
        <v>420</v>
      </c>
    </row>
    <row r="49" spans="1:5" ht="11.25" customHeight="1" x14ac:dyDescent="0.3">
      <c r="A49" s="8" t="s">
        <v>417</v>
      </c>
      <c r="B49" s="8" t="s">
        <v>445</v>
      </c>
      <c r="C49" s="8" t="s">
        <v>419</v>
      </c>
      <c r="D49" s="8">
        <v>268</v>
      </c>
      <c r="E49" s="8" t="s">
        <v>420</v>
      </c>
    </row>
    <row r="50" spans="1:5" ht="11.25" customHeight="1" x14ac:dyDescent="0.3">
      <c r="A50" s="8" t="s">
        <v>417</v>
      </c>
      <c r="B50" s="8" t="s">
        <v>445</v>
      </c>
      <c r="C50" s="8" t="s">
        <v>419</v>
      </c>
      <c r="D50" s="8">
        <v>269</v>
      </c>
      <c r="E50" s="8" t="s">
        <v>420</v>
      </c>
    </row>
    <row r="51" spans="1:5" ht="11.25" customHeight="1" x14ac:dyDescent="0.3">
      <c r="A51" s="8" t="s">
        <v>417</v>
      </c>
      <c r="B51" s="8" t="s">
        <v>445</v>
      </c>
      <c r="C51" s="8" t="s">
        <v>419</v>
      </c>
      <c r="D51" s="8">
        <v>270</v>
      </c>
      <c r="E51" s="8" t="s">
        <v>420</v>
      </c>
    </row>
    <row r="52" spans="1:5" ht="11.25" customHeight="1" x14ac:dyDescent="0.3">
      <c r="A52" s="8" t="s">
        <v>417</v>
      </c>
      <c r="B52" s="8" t="s">
        <v>445</v>
      </c>
      <c r="C52" s="8" t="s">
        <v>419</v>
      </c>
      <c r="D52" s="8">
        <v>271</v>
      </c>
      <c r="E52" s="8" t="s">
        <v>420</v>
      </c>
    </row>
    <row r="53" spans="1:5" ht="11.25" customHeight="1" x14ac:dyDescent="0.3">
      <c r="A53" s="8" t="s">
        <v>417</v>
      </c>
      <c r="B53" s="8" t="s">
        <v>445</v>
      </c>
      <c r="C53" s="8" t="s">
        <v>419</v>
      </c>
      <c r="D53" s="8">
        <v>272</v>
      </c>
      <c r="E53" s="8" t="s">
        <v>420</v>
      </c>
    </row>
    <row r="54" spans="1:5" ht="11.25" customHeight="1" x14ac:dyDescent="0.3">
      <c r="A54" s="8" t="s">
        <v>417</v>
      </c>
      <c r="B54" s="8" t="s">
        <v>445</v>
      </c>
      <c r="C54" s="8" t="s">
        <v>419</v>
      </c>
      <c r="D54" s="8">
        <v>273</v>
      </c>
      <c r="E54" s="8" t="s">
        <v>420</v>
      </c>
    </row>
    <row r="55" spans="1:5" ht="11.25" customHeight="1" x14ac:dyDescent="0.3">
      <c r="A55" s="8" t="s">
        <v>417</v>
      </c>
      <c r="B55" s="8" t="s">
        <v>445</v>
      </c>
      <c r="C55" s="8" t="s">
        <v>419</v>
      </c>
      <c r="D55" s="8">
        <v>274</v>
      </c>
      <c r="E55" s="8" t="s">
        <v>420</v>
      </c>
    </row>
    <row r="56" spans="1:5" ht="11.25" customHeight="1" x14ac:dyDescent="0.3">
      <c r="A56" s="8" t="s">
        <v>417</v>
      </c>
      <c r="B56" s="8" t="s">
        <v>445</v>
      </c>
      <c r="C56" s="8" t="s">
        <v>419</v>
      </c>
      <c r="D56" s="8">
        <v>275</v>
      </c>
      <c r="E56" s="8" t="s">
        <v>420</v>
      </c>
    </row>
    <row r="57" spans="1:5" ht="11.25" customHeight="1" x14ac:dyDescent="0.3">
      <c r="A57" s="8" t="s">
        <v>417</v>
      </c>
      <c r="B57" s="8" t="s">
        <v>445</v>
      </c>
      <c r="C57" s="8" t="s">
        <v>419</v>
      </c>
      <c r="D57" s="8">
        <v>276</v>
      </c>
      <c r="E57" s="8" t="s">
        <v>420</v>
      </c>
    </row>
    <row r="58" spans="1:5" ht="11.25" customHeight="1" x14ac:dyDescent="0.3">
      <c r="A58" s="8" t="s">
        <v>417</v>
      </c>
      <c r="B58" s="8" t="s">
        <v>445</v>
      </c>
      <c r="C58" s="8" t="s">
        <v>419</v>
      </c>
      <c r="D58" s="8">
        <v>277</v>
      </c>
      <c r="E58" s="8" t="s">
        <v>420</v>
      </c>
    </row>
    <row r="59" spans="1:5" ht="11.25" customHeight="1" x14ac:dyDescent="0.3">
      <c r="A59" s="8" t="s">
        <v>417</v>
      </c>
      <c r="B59" s="8" t="s">
        <v>445</v>
      </c>
      <c r="C59" s="8" t="s">
        <v>419</v>
      </c>
      <c r="D59" s="8">
        <v>278</v>
      </c>
      <c r="E59" s="8" t="s">
        <v>420</v>
      </c>
    </row>
    <row r="60" spans="1:5" ht="11.25" customHeight="1" x14ac:dyDescent="0.3">
      <c r="A60" s="8" t="s">
        <v>417</v>
      </c>
      <c r="B60" s="8" t="s">
        <v>445</v>
      </c>
      <c r="C60" s="8" t="s">
        <v>419</v>
      </c>
      <c r="D60" s="8">
        <v>279</v>
      </c>
      <c r="E60" s="8" t="s">
        <v>420</v>
      </c>
    </row>
    <row r="61" spans="1:5" ht="11.25" customHeight="1" x14ac:dyDescent="0.3">
      <c r="A61" s="8" t="s">
        <v>417</v>
      </c>
      <c r="B61" s="8" t="s">
        <v>445</v>
      </c>
      <c r="C61" s="8" t="s">
        <v>419</v>
      </c>
      <c r="D61" s="8">
        <v>280</v>
      </c>
      <c r="E61" s="8" t="s">
        <v>420</v>
      </c>
    </row>
    <row r="62" spans="1:5" ht="11.25" customHeight="1" x14ac:dyDescent="0.3">
      <c r="A62" s="8" t="s">
        <v>417</v>
      </c>
      <c r="B62" s="8" t="s">
        <v>445</v>
      </c>
      <c r="C62" s="8" t="s">
        <v>419</v>
      </c>
      <c r="D62" s="8">
        <v>281</v>
      </c>
      <c r="E62" s="8" t="s">
        <v>420</v>
      </c>
    </row>
    <row r="63" spans="1:5" ht="11.25" customHeight="1" x14ac:dyDescent="0.3">
      <c r="A63" s="8" t="s">
        <v>417</v>
      </c>
      <c r="B63" s="8" t="s">
        <v>445</v>
      </c>
      <c r="C63" s="8" t="s">
        <v>419</v>
      </c>
      <c r="D63" s="8">
        <v>282</v>
      </c>
      <c r="E63" s="8" t="s">
        <v>420</v>
      </c>
    </row>
    <row r="64" spans="1:5" ht="11.25" customHeight="1" x14ac:dyDescent="0.3">
      <c r="A64" s="8" t="s">
        <v>417</v>
      </c>
      <c r="B64" s="8" t="s">
        <v>445</v>
      </c>
      <c r="C64" s="8" t="s">
        <v>419</v>
      </c>
      <c r="D64" s="8">
        <v>283</v>
      </c>
      <c r="E64" s="8" t="s">
        <v>420</v>
      </c>
    </row>
    <row r="65" spans="1:5" ht="11.25" customHeight="1" x14ac:dyDescent="0.3">
      <c r="A65" s="8" t="s">
        <v>417</v>
      </c>
      <c r="B65" s="8" t="s">
        <v>445</v>
      </c>
      <c r="C65" s="8" t="s">
        <v>419</v>
      </c>
      <c r="D65" s="8">
        <v>284</v>
      </c>
      <c r="E65" s="8" t="s">
        <v>420</v>
      </c>
    </row>
    <row r="66" spans="1:5" ht="11.25" customHeight="1" x14ac:dyDescent="0.3">
      <c r="A66" s="8" t="s">
        <v>417</v>
      </c>
      <c r="B66" s="8" t="s">
        <v>445</v>
      </c>
      <c r="C66" s="8" t="s">
        <v>419</v>
      </c>
      <c r="D66" s="8">
        <v>285</v>
      </c>
      <c r="E66" s="8" t="s">
        <v>420</v>
      </c>
    </row>
    <row r="67" spans="1:5" ht="11.25" customHeight="1" x14ac:dyDescent="0.3">
      <c r="A67" s="8" t="s">
        <v>417</v>
      </c>
      <c r="B67" s="8" t="s">
        <v>445</v>
      </c>
      <c r="C67" s="8" t="s">
        <v>419</v>
      </c>
      <c r="D67" s="8">
        <v>286</v>
      </c>
      <c r="E67" s="8" t="s">
        <v>420</v>
      </c>
    </row>
    <row r="68" spans="1:5" ht="11.25" customHeight="1" x14ac:dyDescent="0.3">
      <c r="A68" s="8" t="s">
        <v>417</v>
      </c>
      <c r="B68" s="8" t="s">
        <v>445</v>
      </c>
      <c r="C68" s="8" t="s">
        <v>419</v>
      </c>
      <c r="D68" s="8">
        <v>287</v>
      </c>
      <c r="E68" s="8" t="s">
        <v>420</v>
      </c>
    </row>
    <row r="69" spans="1:5" ht="11.25" customHeight="1" x14ac:dyDescent="0.3">
      <c r="A69" s="8" t="s">
        <v>417</v>
      </c>
      <c r="B69" s="8" t="s">
        <v>445</v>
      </c>
      <c r="C69" s="8" t="s">
        <v>419</v>
      </c>
      <c r="D69" s="8">
        <v>336</v>
      </c>
      <c r="E69" s="8" t="s">
        <v>420</v>
      </c>
    </row>
    <row r="70" spans="1:5" ht="11.25" customHeight="1" x14ac:dyDescent="0.3">
      <c r="A70" s="8" t="s">
        <v>417</v>
      </c>
      <c r="B70" s="8" t="s">
        <v>445</v>
      </c>
      <c r="C70" s="8" t="s">
        <v>419</v>
      </c>
      <c r="D70" s="8">
        <v>337</v>
      </c>
      <c r="E70" s="8" t="s">
        <v>420</v>
      </c>
    </row>
    <row r="71" spans="1:5" ht="11.25" customHeight="1" x14ac:dyDescent="0.3">
      <c r="A71" s="8" t="s">
        <v>417</v>
      </c>
      <c r="B71" s="8" t="s">
        <v>445</v>
      </c>
      <c r="C71" s="8" t="s">
        <v>419</v>
      </c>
      <c r="D71" s="8">
        <v>338</v>
      </c>
      <c r="E71" s="8" t="s">
        <v>420</v>
      </c>
    </row>
    <row r="72" spans="1:5" ht="11.25" customHeight="1" x14ac:dyDescent="0.3">
      <c r="A72" s="8" t="s">
        <v>417</v>
      </c>
      <c r="B72" s="8" t="s">
        <v>445</v>
      </c>
      <c r="C72" s="8" t="s">
        <v>419</v>
      </c>
      <c r="D72" s="8">
        <v>339</v>
      </c>
      <c r="E72" s="8" t="s">
        <v>420</v>
      </c>
    </row>
    <row r="73" spans="1:5" ht="11.25" customHeight="1" x14ac:dyDescent="0.3">
      <c r="A73" s="8" t="s">
        <v>417</v>
      </c>
      <c r="B73" s="8" t="s">
        <v>445</v>
      </c>
      <c r="C73" s="8" t="s">
        <v>419</v>
      </c>
      <c r="D73" s="8">
        <v>340</v>
      </c>
      <c r="E73" s="8" t="s">
        <v>420</v>
      </c>
    </row>
    <row r="74" spans="1:5" ht="11.25" customHeight="1" x14ac:dyDescent="0.3">
      <c r="A74" s="8" t="s">
        <v>417</v>
      </c>
      <c r="B74" s="8" t="s">
        <v>445</v>
      </c>
      <c r="C74" s="8" t="s">
        <v>419</v>
      </c>
      <c r="D74" s="8">
        <v>341</v>
      </c>
      <c r="E74" s="8" t="s">
        <v>420</v>
      </c>
    </row>
    <row r="75" spans="1:5" ht="11.25" customHeight="1" x14ac:dyDescent="0.3">
      <c r="A75" s="8" t="s">
        <v>417</v>
      </c>
      <c r="B75" s="8" t="s">
        <v>445</v>
      </c>
      <c r="C75" s="8" t="s">
        <v>419</v>
      </c>
      <c r="D75" s="8">
        <v>342</v>
      </c>
      <c r="E75" s="8" t="s">
        <v>420</v>
      </c>
    </row>
    <row r="76" spans="1:5" ht="11.25" customHeight="1" x14ac:dyDescent="0.3">
      <c r="A76" s="8" t="s">
        <v>417</v>
      </c>
      <c r="B76" s="8" t="s">
        <v>445</v>
      </c>
      <c r="C76" s="8" t="s">
        <v>419</v>
      </c>
      <c r="D76" s="8">
        <v>343</v>
      </c>
      <c r="E76" s="8" t="s">
        <v>420</v>
      </c>
    </row>
    <row r="77" spans="1:5" ht="11.25" customHeight="1" x14ac:dyDescent="0.3">
      <c r="A77" s="8" t="s">
        <v>417</v>
      </c>
      <c r="B77" s="8" t="s">
        <v>445</v>
      </c>
      <c r="C77" s="8" t="s">
        <v>419</v>
      </c>
      <c r="D77" s="8">
        <v>344</v>
      </c>
      <c r="E77" s="8" t="s">
        <v>420</v>
      </c>
    </row>
    <row r="78" spans="1:5" ht="11.25" customHeight="1" x14ac:dyDescent="0.3">
      <c r="A78" s="8" t="s">
        <v>417</v>
      </c>
      <c r="B78" s="8" t="s">
        <v>445</v>
      </c>
      <c r="C78" s="8" t="s">
        <v>419</v>
      </c>
      <c r="D78" s="8">
        <v>345</v>
      </c>
      <c r="E78" s="8" t="s">
        <v>420</v>
      </c>
    </row>
    <row r="79" spans="1:5" ht="11.25" customHeight="1" x14ac:dyDescent="0.3">
      <c r="A79" s="8" t="s">
        <v>417</v>
      </c>
      <c r="B79" s="8" t="s">
        <v>445</v>
      </c>
      <c r="C79" s="8" t="s">
        <v>419</v>
      </c>
      <c r="D79" s="8">
        <v>346</v>
      </c>
      <c r="E79" s="8" t="s">
        <v>420</v>
      </c>
    </row>
    <row r="80" spans="1:5" ht="11.25" customHeight="1" x14ac:dyDescent="0.3">
      <c r="A80" s="8" t="s">
        <v>417</v>
      </c>
      <c r="B80" s="8" t="s">
        <v>445</v>
      </c>
      <c r="C80" s="8" t="s">
        <v>419</v>
      </c>
      <c r="D80" s="8">
        <v>347</v>
      </c>
      <c r="E80" s="8" t="s">
        <v>420</v>
      </c>
    </row>
    <row r="81" spans="1:5" ht="11.25" customHeight="1" x14ac:dyDescent="0.3">
      <c r="A81" s="8" t="s">
        <v>417</v>
      </c>
      <c r="B81" s="8" t="s">
        <v>445</v>
      </c>
      <c r="C81" s="8" t="s">
        <v>419</v>
      </c>
      <c r="D81" s="8">
        <v>348</v>
      </c>
      <c r="E81" s="8" t="s">
        <v>420</v>
      </c>
    </row>
    <row r="82" spans="1:5" ht="11.25" customHeight="1" x14ac:dyDescent="0.3">
      <c r="A82" s="8" t="s">
        <v>417</v>
      </c>
      <c r="B82" s="8" t="s">
        <v>445</v>
      </c>
      <c r="C82" s="8" t="s">
        <v>419</v>
      </c>
      <c r="D82" s="8">
        <v>349</v>
      </c>
      <c r="E82" s="8" t="s">
        <v>420</v>
      </c>
    </row>
    <row r="83" spans="1:5" ht="11.25" customHeight="1" x14ac:dyDescent="0.3">
      <c r="A83" s="8" t="s">
        <v>417</v>
      </c>
      <c r="B83" s="8" t="s">
        <v>445</v>
      </c>
      <c r="C83" s="8" t="s">
        <v>419</v>
      </c>
      <c r="D83" s="8">
        <v>350</v>
      </c>
      <c r="E83" s="8" t="s">
        <v>420</v>
      </c>
    </row>
    <row r="84" spans="1:5" ht="11.25" customHeight="1" x14ac:dyDescent="0.3">
      <c r="A84" s="8" t="s">
        <v>417</v>
      </c>
      <c r="B84" s="8" t="s">
        <v>445</v>
      </c>
      <c r="C84" s="8" t="s">
        <v>419</v>
      </c>
      <c r="D84" s="8">
        <v>351</v>
      </c>
      <c r="E84" s="8" t="s">
        <v>420</v>
      </c>
    </row>
    <row r="85" spans="1:5" ht="11.25" customHeight="1" x14ac:dyDescent="0.3">
      <c r="A85" s="8" t="s">
        <v>417</v>
      </c>
      <c r="B85" s="8" t="s">
        <v>445</v>
      </c>
      <c r="C85" s="8" t="s">
        <v>419</v>
      </c>
      <c r="D85" s="8">
        <v>352</v>
      </c>
      <c r="E85" s="8" t="s">
        <v>420</v>
      </c>
    </row>
    <row r="86" spans="1:5" ht="11.25" customHeight="1" x14ac:dyDescent="0.3">
      <c r="A86" s="8" t="s">
        <v>417</v>
      </c>
      <c r="B86" s="8" t="s">
        <v>445</v>
      </c>
      <c r="C86" s="8" t="s">
        <v>419</v>
      </c>
      <c r="D86" s="8">
        <v>353</v>
      </c>
      <c r="E86" s="8" t="s">
        <v>420</v>
      </c>
    </row>
    <row r="87" spans="1:5" ht="11.25" customHeight="1" x14ac:dyDescent="0.3">
      <c r="A87" s="8" t="s">
        <v>417</v>
      </c>
      <c r="B87" s="8" t="s">
        <v>445</v>
      </c>
      <c r="C87" s="8" t="s">
        <v>419</v>
      </c>
      <c r="D87" s="8">
        <v>354</v>
      </c>
      <c r="E87" s="8" t="s">
        <v>420</v>
      </c>
    </row>
    <row r="88" spans="1:5" ht="11.25" customHeight="1" x14ac:dyDescent="0.3">
      <c r="A88" s="8" t="s">
        <v>417</v>
      </c>
      <c r="B88" s="8" t="s">
        <v>445</v>
      </c>
      <c r="C88" s="8" t="s">
        <v>419</v>
      </c>
      <c r="D88" s="8">
        <v>355</v>
      </c>
      <c r="E88" s="8" t="s">
        <v>420</v>
      </c>
    </row>
    <row r="89" spans="1:5" ht="11.25" customHeight="1" x14ac:dyDescent="0.3">
      <c r="A89" s="8" t="s">
        <v>417</v>
      </c>
      <c r="B89" s="8" t="s">
        <v>445</v>
      </c>
      <c r="C89" s="8" t="s">
        <v>419</v>
      </c>
      <c r="D89" s="8">
        <v>356</v>
      </c>
      <c r="E89" s="8" t="s">
        <v>420</v>
      </c>
    </row>
    <row r="90" spans="1:5" ht="11.25" customHeight="1" x14ac:dyDescent="0.3">
      <c r="A90" s="8" t="s">
        <v>417</v>
      </c>
      <c r="B90" s="8" t="s">
        <v>445</v>
      </c>
      <c r="C90" s="8" t="s">
        <v>419</v>
      </c>
      <c r="D90" s="8">
        <v>357</v>
      </c>
      <c r="E90" s="8" t="s">
        <v>420</v>
      </c>
    </row>
    <row r="91" spans="1:5" ht="11.25" customHeight="1" x14ac:dyDescent="0.3">
      <c r="A91" s="8" t="s">
        <v>417</v>
      </c>
      <c r="B91" s="8" t="s">
        <v>445</v>
      </c>
      <c r="C91" s="8" t="s">
        <v>419</v>
      </c>
      <c r="D91" s="8">
        <v>358</v>
      </c>
      <c r="E91" s="8" t="s">
        <v>420</v>
      </c>
    </row>
    <row r="92" spans="1:5" ht="11.25" customHeight="1" x14ac:dyDescent="0.3">
      <c r="A92" s="8" t="s">
        <v>417</v>
      </c>
      <c r="B92" s="8" t="s">
        <v>445</v>
      </c>
      <c r="C92" s="8" t="s">
        <v>419</v>
      </c>
      <c r="D92" s="8">
        <v>359</v>
      </c>
      <c r="E92" s="8" t="s">
        <v>420</v>
      </c>
    </row>
    <row r="93" spans="1:5" ht="11.25" customHeight="1" x14ac:dyDescent="0.3">
      <c r="A93" s="8" t="s">
        <v>417</v>
      </c>
      <c r="B93" s="8" t="s">
        <v>445</v>
      </c>
      <c r="C93" s="8" t="s">
        <v>419</v>
      </c>
      <c r="D93" s="8">
        <v>408</v>
      </c>
      <c r="E93" s="8" t="s">
        <v>420</v>
      </c>
    </row>
    <row r="94" spans="1:5" ht="11.25" customHeight="1" x14ac:dyDescent="0.3">
      <c r="A94" s="8" t="s">
        <v>417</v>
      </c>
      <c r="B94" s="8" t="s">
        <v>445</v>
      </c>
      <c r="C94" s="8" t="s">
        <v>419</v>
      </c>
      <c r="D94" s="8">
        <v>409</v>
      </c>
      <c r="E94" s="8" t="s">
        <v>420</v>
      </c>
    </row>
    <row r="95" spans="1:5" ht="11.25" customHeight="1" x14ac:dyDescent="0.3">
      <c r="A95" s="8" t="s">
        <v>417</v>
      </c>
      <c r="B95" s="8" t="s">
        <v>445</v>
      </c>
      <c r="C95" s="8" t="s">
        <v>419</v>
      </c>
      <c r="D95" s="8">
        <v>410</v>
      </c>
      <c r="E95" s="8" t="s">
        <v>420</v>
      </c>
    </row>
    <row r="96" spans="1:5" ht="11.25" customHeight="1" x14ac:dyDescent="0.3">
      <c r="A96" s="8" t="s">
        <v>417</v>
      </c>
      <c r="B96" s="8" t="s">
        <v>445</v>
      </c>
      <c r="C96" s="8" t="s">
        <v>419</v>
      </c>
      <c r="D96" s="8">
        <v>411</v>
      </c>
      <c r="E96" s="8" t="s">
        <v>420</v>
      </c>
    </row>
    <row r="97" spans="1:5" ht="11.25" customHeight="1" x14ac:dyDescent="0.3">
      <c r="A97" s="8" t="s">
        <v>417</v>
      </c>
      <c r="B97" s="8" t="s">
        <v>445</v>
      </c>
      <c r="C97" s="8" t="s">
        <v>419</v>
      </c>
      <c r="D97" s="8">
        <v>412</v>
      </c>
      <c r="E97" s="8" t="s">
        <v>420</v>
      </c>
    </row>
    <row r="98" spans="1:5" ht="11.25" customHeight="1" x14ac:dyDescent="0.3">
      <c r="A98" s="8" t="s">
        <v>417</v>
      </c>
      <c r="B98" s="8" t="s">
        <v>445</v>
      </c>
      <c r="C98" s="8" t="s">
        <v>419</v>
      </c>
      <c r="D98" s="8">
        <v>413</v>
      </c>
      <c r="E98" s="8" t="s">
        <v>420</v>
      </c>
    </row>
    <row r="99" spans="1:5" ht="11.25" customHeight="1" x14ac:dyDescent="0.3">
      <c r="A99" s="8" t="s">
        <v>417</v>
      </c>
      <c r="B99" s="8" t="s">
        <v>445</v>
      </c>
      <c r="C99" s="8" t="s">
        <v>419</v>
      </c>
      <c r="D99" s="8">
        <v>414</v>
      </c>
      <c r="E99" s="8" t="s">
        <v>420</v>
      </c>
    </row>
    <row r="100" spans="1:5" ht="11.25" customHeight="1" x14ac:dyDescent="0.3">
      <c r="A100" s="8" t="s">
        <v>417</v>
      </c>
      <c r="B100" s="8" t="s">
        <v>445</v>
      </c>
      <c r="C100" s="8" t="s">
        <v>419</v>
      </c>
      <c r="D100" s="8">
        <v>415</v>
      </c>
      <c r="E100" s="8" t="s">
        <v>420</v>
      </c>
    </row>
    <row r="101" spans="1:5" ht="11.25" customHeight="1" x14ac:dyDescent="0.3">
      <c r="A101" s="8" t="s">
        <v>417</v>
      </c>
      <c r="B101" s="8" t="s">
        <v>445</v>
      </c>
      <c r="C101" s="8" t="s">
        <v>419</v>
      </c>
      <c r="D101" s="8">
        <v>416</v>
      </c>
      <c r="E101" s="8" t="s">
        <v>420</v>
      </c>
    </row>
    <row r="102" spans="1:5" ht="11.25" customHeight="1" x14ac:dyDescent="0.3">
      <c r="A102" s="8" t="s">
        <v>417</v>
      </c>
      <c r="B102" s="8" t="s">
        <v>445</v>
      </c>
      <c r="C102" s="8" t="s">
        <v>419</v>
      </c>
      <c r="D102" s="8">
        <v>417</v>
      </c>
      <c r="E102" s="8" t="s">
        <v>420</v>
      </c>
    </row>
    <row r="103" spans="1:5" ht="11.25" customHeight="1" x14ac:dyDescent="0.3">
      <c r="A103" s="8" t="s">
        <v>417</v>
      </c>
      <c r="B103" s="8" t="s">
        <v>445</v>
      </c>
      <c r="C103" s="8" t="s">
        <v>419</v>
      </c>
      <c r="D103" s="8">
        <v>418</v>
      </c>
      <c r="E103" s="8" t="s">
        <v>420</v>
      </c>
    </row>
    <row r="104" spans="1:5" ht="11.25" customHeight="1" x14ac:dyDescent="0.3">
      <c r="A104" s="8" t="s">
        <v>417</v>
      </c>
      <c r="B104" s="8" t="s">
        <v>445</v>
      </c>
      <c r="C104" s="8" t="s">
        <v>419</v>
      </c>
      <c r="D104" s="8">
        <v>419</v>
      </c>
      <c r="E104" s="8" t="s">
        <v>420</v>
      </c>
    </row>
    <row r="105" spans="1:5" ht="11.25" customHeight="1" x14ac:dyDescent="0.3">
      <c r="A105" s="8" t="s">
        <v>417</v>
      </c>
      <c r="B105" s="8" t="s">
        <v>445</v>
      </c>
      <c r="C105" s="8" t="s">
        <v>419</v>
      </c>
      <c r="D105" s="8">
        <v>435</v>
      </c>
      <c r="E105" s="8" t="s">
        <v>420</v>
      </c>
    </row>
    <row r="106" spans="1:5" ht="11.25" customHeight="1" x14ac:dyDescent="0.3">
      <c r="A106" s="8" t="s">
        <v>417</v>
      </c>
      <c r="B106" s="8" t="s">
        <v>445</v>
      </c>
      <c r="C106" s="8" t="s">
        <v>419</v>
      </c>
      <c r="D106" s="8">
        <v>436</v>
      </c>
      <c r="E106" s="8" t="s">
        <v>420</v>
      </c>
    </row>
    <row r="107" spans="1:5" ht="11.25" customHeight="1" x14ac:dyDescent="0.3">
      <c r="A107" s="8" t="s">
        <v>417</v>
      </c>
      <c r="B107" s="8" t="s">
        <v>445</v>
      </c>
      <c r="C107" s="8" t="s">
        <v>419</v>
      </c>
      <c r="D107" s="8">
        <v>437</v>
      </c>
      <c r="E107" s="8" t="s">
        <v>420</v>
      </c>
    </row>
    <row r="108" spans="1:5" ht="11.25" customHeight="1" x14ac:dyDescent="0.3">
      <c r="A108" s="8" t="s">
        <v>417</v>
      </c>
      <c r="B108" s="8" t="s">
        <v>445</v>
      </c>
      <c r="C108" s="8" t="s">
        <v>419</v>
      </c>
      <c r="D108" s="8">
        <v>445</v>
      </c>
      <c r="E108" s="8" t="s">
        <v>420</v>
      </c>
    </row>
    <row r="109" spans="1:5" ht="11.25" customHeight="1" x14ac:dyDescent="0.3">
      <c r="A109" s="8" t="s">
        <v>417</v>
      </c>
      <c r="B109" s="8" t="s">
        <v>445</v>
      </c>
      <c r="C109" s="8" t="s">
        <v>419</v>
      </c>
      <c r="D109" s="8">
        <v>446</v>
      </c>
      <c r="E109" s="8" t="s">
        <v>420</v>
      </c>
    </row>
    <row r="110" spans="1:5" ht="11.25" customHeight="1" x14ac:dyDescent="0.3">
      <c r="A110" s="8" t="s">
        <v>417</v>
      </c>
      <c r="B110" s="8" t="s">
        <v>445</v>
      </c>
      <c r="C110" s="8" t="s">
        <v>419</v>
      </c>
      <c r="D110" s="8">
        <v>447</v>
      </c>
      <c r="E110" s="8" t="s">
        <v>420</v>
      </c>
    </row>
    <row r="111" spans="1:5" ht="11.25" customHeight="1" x14ac:dyDescent="0.3">
      <c r="A111" s="8" t="s">
        <v>417</v>
      </c>
      <c r="B111" s="8" t="s">
        <v>445</v>
      </c>
      <c r="C111" s="8" t="s">
        <v>419</v>
      </c>
      <c r="D111" s="8">
        <v>448</v>
      </c>
      <c r="E111" s="8" t="s">
        <v>420</v>
      </c>
    </row>
    <row r="112" spans="1:5" ht="11.25" customHeight="1" x14ac:dyDescent="0.3">
      <c r="A112" s="8" t="s">
        <v>417</v>
      </c>
      <c r="B112" s="8" t="s">
        <v>445</v>
      </c>
      <c r="C112" s="8" t="s">
        <v>419</v>
      </c>
      <c r="D112" s="8">
        <v>465</v>
      </c>
      <c r="E112" s="8" t="s">
        <v>420</v>
      </c>
    </row>
    <row r="113" spans="1:5" ht="11.25" customHeight="1" x14ac:dyDescent="0.3">
      <c r="A113" s="8" t="s">
        <v>417</v>
      </c>
      <c r="B113" s="8" t="s">
        <v>445</v>
      </c>
      <c r="C113" s="8" t="s">
        <v>419</v>
      </c>
      <c r="D113" s="8">
        <v>466</v>
      </c>
      <c r="E113" s="8" t="s">
        <v>420</v>
      </c>
    </row>
    <row r="114" spans="1:5" ht="11.25" customHeight="1" x14ac:dyDescent="0.3">
      <c r="A114" s="8" t="s">
        <v>417</v>
      </c>
      <c r="B114" s="8" t="s">
        <v>445</v>
      </c>
      <c r="C114" s="8" t="s">
        <v>419</v>
      </c>
      <c r="D114" s="8">
        <v>467</v>
      </c>
      <c r="E114" s="8" t="s">
        <v>420</v>
      </c>
    </row>
    <row r="115" spans="1:5" ht="11.25" customHeight="1" x14ac:dyDescent="0.3">
      <c r="A115" s="8" t="s">
        <v>417</v>
      </c>
      <c r="B115" s="8" t="s">
        <v>445</v>
      </c>
      <c r="C115" s="8" t="s">
        <v>419</v>
      </c>
      <c r="D115" s="8">
        <v>468</v>
      </c>
      <c r="E115" s="8" t="s">
        <v>420</v>
      </c>
    </row>
    <row r="116" spans="1:5" ht="11.25" customHeight="1" x14ac:dyDescent="0.3">
      <c r="A116" s="8" t="s">
        <v>417</v>
      </c>
      <c r="B116" s="8" t="s">
        <v>445</v>
      </c>
      <c r="C116" s="8" t="s">
        <v>419</v>
      </c>
      <c r="D116" s="8">
        <v>469</v>
      </c>
      <c r="E116" s="8" t="s">
        <v>420</v>
      </c>
    </row>
    <row r="117" spans="1:5" ht="11.25" customHeight="1" x14ac:dyDescent="0.3">
      <c r="A117" s="8" t="s">
        <v>417</v>
      </c>
      <c r="B117" s="8" t="s">
        <v>445</v>
      </c>
      <c r="C117" s="8" t="s">
        <v>419</v>
      </c>
      <c r="D117" s="8">
        <v>470</v>
      </c>
      <c r="E117" s="8" t="s">
        <v>420</v>
      </c>
    </row>
    <row r="118" spans="1:5" ht="11.25" customHeight="1" x14ac:dyDescent="0.3">
      <c r="A118" s="8" t="s">
        <v>417</v>
      </c>
      <c r="B118" s="8" t="s">
        <v>445</v>
      </c>
      <c r="C118" s="8" t="s">
        <v>419</v>
      </c>
      <c r="D118" s="8">
        <v>471</v>
      </c>
      <c r="E118" s="8" t="s">
        <v>420</v>
      </c>
    </row>
    <row r="119" spans="1:5" ht="11.25" customHeight="1" x14ac:dyDescent="0.3">
      <c r="A119" s="8" t="s">
        <v>417</v>
      </c>
      <c r="B119" s="8" t="s">
        <v>445</v>
      </c>
      <c r="C119" s="8" t="s">
        <v>419</v>
      </c>
      <c r="D119" s="8">
        <v>472</v>
      </c>
      <c r="E119" s="8" t="s">
        <v>420</v>
      </c>
    </row>
    <row r="120" spans="1:5" ht="11.25" customHeight="1" x14ac:dyDescent="0.3">
      <c r="A120" s="8" t="s">
        <v>417</v>
      </c>
      <c r="B120" s="8" t="s">
        <v>445</v>
      </c>
      <c r="C120" s="8" t="s">
        <v>419</v>
      </c>
      <c r="D120" s="8">
        <v>473</v>
      </c>
      <c r="E120" s="8" t="s">
        <v>420</v>
      </c>
    </row>
    <row r="121" spans="1:5" ht="11.25" customHeight="1" x14ac:dyDescent="0.3">
      <c r="A121" s="8" t="s">
        <v>417</v>
      </c>
      <c r="B121" s="8" t="s">
        <v>445</v>
      </c>
      <c r="C121" s="8" t="s">
        <v>419</v>
      </c>
      <c r="D121" s="8">
        <v>474</v>
      </c>
      <c r="E121" s="8" t="s">
        <v>420</v>
      </c>
    </row>
    <row r="122" spans="1:5" ht="11.25" customHeight="1" x14ac:dyDescent="0.3">
      <c r="A122" s="8" t="s">
        <v>417</v>
      </c>
      <c r="B122" s="8" t="s">
        <v>445</v>
      </c>
      <c r="C122" s="8" t="s">
        <v>419</v>
      </c>
      <c r="D122" s="8">
        <v>475</v>
      </c>
      <c r="E122" s="8" t="s">
        <v>420</v>
      </c>
    </row>
    <row r="123" spans="1:5" ht="11.25" customHeight="1" x14ac:dyDescent="0.3">
      <c r="A123" s="8" t="s">
        <v>417</v>
      </c>
      <c r="B123" s="8" t="s">
        <v>445</v>
      </c>
      <c r="C123" s="8" t="s">
        <v>419</v>
      </c>
      <c r="D123" s="8">
        <v>476</v>
      </c>
      <c r="E123" s="8" t="s">
        <v>420</v>
      </c>
    </row>
    <row r="124" spans="1:5" ht="11.25" customHeight="1" x14ac:dyDescent="0.3">
      <c r="A124" s="8" t="s">
        <v>417</v>
      </c>
      <c r="C124" s="8" t="s">
        <v>703</v>
      </c>
      <c r="D124" s="8">
        <v>40</v>
      </c>
      <c r="E124" s="8" t="s">
        <v>9</v>
      </c>
    </row>
    <row r="125" spans="1:5" ht="11.25" customHeight="1" x14ac:dyDescent="0.3">
      <c r="A125" s="8" t="s">
        <v>417</v>
      </c>
      <c r="C125" s="8" t="s">
        <v>703</v>
      </c>
      <c r="D125" s="8">
        <v>40</v>
      </c>
      <c r="E125" s="8" t="s">
        <v>9</v>
      </c>
    </row>
    <row r="126" spans="1:5" ht="11.25" customHeight="1" x14ac:dyDescent="0.3">
      <c r="A126" s="8" t="s">
        <v>417</v>
      </c>
      <c r="C126" s="8" t="s">
        <v>703</v>
      </c>
      <c r="D126" s="8">
        <v>40</v>
      </c>
      <c r="E126" s="8" t="s">
        <v>9</v>
      </c>
    </row>
    <row r="127" spans="1:5" ht="11.25" customHeight="1" x14ac:dyDescent="0.3">
      <c r="A127" s="8" t="s">
        <v>417</v>
      </c>
      <c r="C127" s="8" t="s">
        <v>703</v>
      </c>
      <c r="D127" s="8">
        <v>40</v>
      </c>
      <c r="E127" s="8" t="s">
        <v>9</v>
      </c>
    </row>
    <row r="128" spans="1:5" ht="11.25" customHeight="1" x14ac:dyDescent="0.3">
      <c r="A128" s="8" t="s">
        <v>417</v>
      </c>
      <c r="C128" s="8" t="s">
        <v>703</v>
      </c>
      <c r="D128" s="8">
        <v>40</v>
      </c>
      <c r="E128" s="8" t="s">
        <v>9</v>
      </c>
    </row>
    <row r="129" spans="1:5" ht="11.25" customHeight="1" x14ac:dyDescent="0.3">
      <c r="A129" s="8" t="s">
        <v>417</v>
      </c>
      <c r="C129" s="8" t="s">
        <v>703</v>
      </c>
      <c r="D129" s="8">
        <v>40</v>
      </c>
      <c r="E129" s="8" t="s">
        <v>9</v>
      </c>
    </row>
    <row r="130" spans="1:5" ht="11.25" customHeight="1" x14ac:dyDescent="0.3">
      <c r="A130" s="8" t="s">
        <v>417</v>
      </c>
      <c r="C130" s="8" t="s">
        <v>703</v>
      </c>
      <c r="D130" s="8">
        <v>40</v>
      </c>
      <c r="E130" s="8" t="s">
        <v>9</v>
      </c>
    </row>
    <row r="131" spans="1:5" ht="11.25" customHeight="1" x14ac:dyDescent="0.3">
      <c r="A131" s="8" t="s">
        <v>417</v>
      </c>
      <c r="C131" s="8" t="s">
        <v>703</v>
      </c>
      <c r="D131" s="8">
        <v>40</v>
      </c>
      <c r="E131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5955E-B842-4C77-8C10-9065302309C3}">
  <sheetPr codeName="Planilha3"/>
  <dimension ref="A1:AX103"/>
  <sheetViews>
    <sheetView showGridLines="0" workbookViewId="0"/>
  </sheetViews>
  <sheetFormatPr defaultRowHeight="10.199999999999999" x14ac:dyDescent="0.3"/>
  <cols>
    <col min="1" max="1" width="4.5546875" style="8" bestFit="1" customWidth="1"/>
    <col min="2" max="2" width="8.5546875" style="8" bestFit="1" customWidth="1"/>
    <col min="3" max="3" width="8.44140625" style="8" bestFit="1" customWidth="1"/>
    <col min="4" max="4" width="26.33203125" style="8" bestFit="1" customWidth="1"/>
    <col min="5" max="5" width="13.21875" style="8" bestFit="1" customWidth="1"/>
    <col min="6" max="6" width="24.44140625" style="8" bestFit="1" customWidth="1"/>
    <col min="7" max="9" width="10" style="8" bestFit="1" customWidth="1"/>
    <col min="10" max="10" width="6.6640625" style="8" bestFit="1" customWidth="1"/>
    <col min="11" max="11" width="4.44140625" style="8" bestFit="1" customWidth="1"/>
    <col min="12" max="12" width="4.33203125" style="8" bestFit="1" customWidth="1"/>
    <col min="13" max="13" width="6.5546875" style="8" bestFit="1" customWidth="1"/>
    <col min="14" max="14" width="6.109375" style="8" bestFit="1" customWidth="1"/>
    <col min="15" max="15" width="10.77734375" style="8" bestFit="1" customWidth="1"/>
    <col min="16" max="16" width="10.109375" style="8" bestFit="1" customWidth="1"/>
    <col min="17" max="16384" width="8.88671875" style="8"/>
  </cols>
  <sheetData>
    <row r="1" spans="1:50" ht="11.25" customHeight="1" x14ac:dyDescent="0.3">
      <c r="A1" s="30" t="s">
        <v>762</v>
      </c>
      <c r="B1" s="30" t="s">
        <v>753</v>
      </c>
      <c r="C1" s="30" t="s">
        <v>1</v>
      </c>
      <c r="D1" s="30" t="s">
        <v>2</v>
      </c>
      <c r="E1" s="30" t="s">
        <v>3</v>
      </c>
      <c r="F1" s="30" t="s">
        <v>4</v>
      </c>
      <c r="G1" s="30" t="s">
        <v>5</v>
      </c>
      <c r="H1" s="30" t="s">
        <v>6</v>
      </c>
      <c r="I1" s="30" t="s">
        <v>7</v>
      </c>
      <c r="J1" s="30" t="s">
        <v>754</v>
      </c>
      <c r="K1" s="30" t="s">
        <v>755</v>
      </c>
      <c r="L1" s="30" t="s">
        <v>756</v>
      </c>
      <c r="M1" s="30" t="s">
        <v>757</v>
      </c>
      <c r="N1" s="30" t="s">
        <v>758</v>
      </c>
      <c r="O1" s="30" t="s">
        <v>635</v>
      </c>
      <c r="P1" s="30" t="s">
        <v>621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3">
      <c r="A2" s="31">
        <v>1</v>
      </c>
      <c r="B2" s="31" t="s">
        <v>615</v>
      </c>
      <c r="C2" s="31" t="s">
        <v>45</v>
      </c>
      <c r="D2" s="31" t="s">
        <v>42</v>
      </c>
      <c r="E2" s="31" t="s">
        <v>25</v>
      </c>
      <c r="F2" s="31" t="s">
        <v>25</v>
      </c>
      <c r="G2" s="31" t="s">
        <v>25</v>
      </c>
      <c r="H2" s="31" t="s">
        <v>25</v>
      </c>
      <c r="I2" s="31" t="s">
        <v>34</v>
      </c>
      <c r="J2" s="31" t="s">
        <v>759</v>
      </c>
      <c r="K2" s="31" t="s">
        <v>760</v>
      </c>
      <c r="L2" s="31" t="s">
        <v>84</v>
      </c>
      <c r="M2" s="31">
        <v>2021</v>
      </c>
      <c r="N2" s="31">
        <v>0</v>
      </c>
      <c r="O2" s="31">
        <v>45.73</v>
      </c>
      <c r="P2" s="31">
        <v>0</v>
      </c>
    </row>
    <row r="3" spans="1:50" ht="11.25" customHeight="1" x14ac:dyDescent="0.3">
      <c r="A3" s="31">
        <v>2</v>
      </c>
      <c r="B3" s="31" t="s">
        <v>615</v>
      </c>
      <c r="C3" s="31" t="s">
        <v>45</v>
      </c>
      <c r="D3" s="31" t="s">
        <v>23</v>
      </c>
      <c r="E3" s="31" t="s">
        <v>25</v>
      </c>
      <c r="F3" s="31" t="s">
        <v>25</v>
      </c>
      <c r="G3" s="31" t="s">
        <v>25</v>
      </c>
      <c r="H3" s="31" t="s">
        <v>25</v>
      </c>
      <c r="I3" s="31" t="s">
        <v>25</v>
      </c>
      <c r="J3" s="31" t="s">
        <v>761</v>
      </c>
      <c r="K3" s="31" t="s">
        <v>760</v>
      </c>
      <c r="L3" s="31" t="s">
        <v>79</v>
      </c>
      <c r="M3" s="31">
        <v>2021</v>
      </c>
      <c r="N3" s="31">
        <v>0</v>
      </c>
      <c r="O3" s="31">
        <v>84.99</v>
      </c>
      <c r="P3" s="31">
        <v>50.793105269410098</v>
      </c>
    </row>
    <row r="4" spans="1:50" ht="11.25" customHeight="1" x14ac:dyDescent="0.3">
      <c r="A4" s="31">
        <v>3</v>
      </c>
      <c r="B4" s="31" t="s">
        <v>615</v>
      </c>
      <c r="C4" s="31" t="s">
        <v>45</v>
      </c>
      <c r="D4" s="31" t="s">
        <v>42</v>
      </c>
      <c r="E4" s="31" t="s">
        <v>25</v>
      </c>
      <c r="F4" s="31" t="s">
        <v>25</v>
      </c>
      <c r="G4" s="31" t="s">
        <v>25</v>
      </c>
      <c r="H4" s="31" t="s">
        <v>25</v>
      </c>
      <c r="I4" s="31" t="s">
        <v>35</v>
      </c>
      <c r="J4" s="31" t="s">
        <v>759</v>
      </c>
      <c r="K4" s="31" t="s">
        <v>760</v>
      </c>
      <c r="L4" s="31" t="s">
        <v>84</v>
      </c>
      <c r="M4" s="31">
        <v>2021</v>
      </c>
      <c r="N4" s="31">
        <v>0</v>
      </c>
      <c r="O4" s="31">
        <v>18.920000000000002</v>
      </c>
      <c r="P4" s="31">
        <v>0</v>
      </c>
    </row>
    <row r="5" spans="1:50" ht="11.25" customHeight="1" x14ac:dyDescent="0.3">
      <c r="A5" s="31">
        <v>4</v>
      </c>
      <c r="B5" s="31" t="s">
        <v>615</v>
      </c>
      <c r="C5" s="31" t="s">
        <v>39</v>
      </c>
      <c r="D5" s="31" t="s">
        <v>42</v>
      </c>
      <c r="E5" s="31" t="s">
        <v>25</v>
      </c>
      <c r="F5" s="31" t="s">
        <v>25</v>
      </c>
      <c r="G5" s="31" t="s">
        <v>25</v>
      </c>
      <c r="H5" s="31" t="s">
        <v>25</v>
      </c>
      <c r="I5" s="31" t="s">
        <v>34</v>
      </c>
      <c r="J5" s="31" t="s">
        <v>759</v>
      </c>
      <c r="K5" s="31" t="s">
        <v>760</v>
      </c>
      <c r="L5" s="31" t="s">
        <v>84</v>
      </c>
      <c r="M5" s="31">
        <v>2021</v>
      </c>
      <c r="N5" s="31">
        <v>0</v>
      </c>
      <c r="O5" s="31">
        <v>45.73</v>
      </c>
      <c r="P5" s="31">
        <v>0</v>
      </c>
    </row>
    <row r="6" spans="1:50" ht="11.25" customHeight="1" x14ac:dyDescent="0.3">
      <c r="A6" s="31">
        <v>5</v>
      </c>
      <c r="B6" s="31" t="s">
        <v>615</v>
      </c>
      <c r="C6" s="31" t="s">
        <v>39</v>
      </c>
      <c r="D6" s="31" t="s">
        <v>42</v>
      </c>
      <c r="E6" s="31" t="s">
        <v>25</v>
      </c>
      <c r="F6" s="31" t="s">
        <v>25</v>
      </c>
      <c r="G6" s="31" t="s">
        <v>25</v>
      </c>
      <c r="H6" s="31" t="s">
        <v>25</v>
      </c>
      <c r="I6" s="31" t="s">
        <v>35</v>
      </c>
      <c r="J6" s="31" t="s">
        <v>759</v>
      </c>
      <c r="K6" s="31" t="s">
        <v>760</v>
      </c>
      <c r="L6" s="31" t="s">
        <v>84</v>
      </c>
      <c r="M6" s="31">
        <v>2021</v>
      </c>
      <c r="N6" s="31">
        <v>0</v>
      </c>
      <c r="O6" s="31">
        <v>18.920000000000002</v>
      </c>
      <c r="P6" s="31">
        <v>0</v>
      </c>
    </row>
    <row r="7" spans="1:50" ht="11.25" customHeight="1" x14ac:dyDescent="0.3">
      <c r="A7" s="31">
        <v>6</v>
      </c>
      <c r="B7" s="31" t="s">
        <v>615</v>
      </c>
      <c r="C7" s="31" t="s">
        <v>45</v>
      </c>
      <c r="D7" s="31" t="s">
        <v>42</v>
      </c>
      <c r="E7" s="31" t="s">
        <v>25</v>
      </c>
      <c r="F7" s="31" t="s">
        <v>25</v>
      </c>
      <c r="G7" s="31" t="s">
        <v>25</v>
      </c>
      <c r="H7" s="31" t="s">
        <v>25</v>
      </c>
      <c r="I7" s="31" t="s">
        <v>25</v>
      </c>
      <c r="J7" s="31" t="s">
        <v>761</v>
      </c>
      <c r="K7" s="31" t="s">
        <v>760</v>
      </c>
      <c r="L7" s="31" t="s">
        <v>79</v>
      </c>
      <c r="M7" s="31">
        <v>2021</v>
      </c>
      <c r="N7" s="31">
        <v>0</v>
      </c>
      <c r="O7" s="31">
        <v>84.99</v>
      </c>
      <c r="P7" s="31">
        <v>50.793105269410098</v>
      </c>
    </row>
    <row r="8" spans="1:50" ht="11.25" customHeight="1" x14ac:dyDescent="0.3">
      <c r="A8" s="31">
        <v>7</v>
      </c>
      <c r="B8" s="31" t="s">
        <v>615</v>
      </c>
      <c r="C8" s="31" t="s">
        <v>45</v>
      </c>
      <c r="D8" s="31" t="s">
        <v>42</v>
      </c>
      <c r="E8" s="31" t="s">
        <v>25</v>
      </c>
      <c r="F8" s="31" t="s">
        <v>25</v>
      </c>
      <c r="G8" s="31" t="s">
        <v>87</v>
      </c>
      <c r="H8" s="31" t="s">
        <v>25</v>
      </c>
      <c r="I8" s="31" t="s">
        <v>25</v>
      </c>
      <c r="J8" s="31" t="s">
        <v>761</v>
      </c>
      <c r="K8" s="31" t="s">
        <v>760</v>
      </c>
      <c r="L8" s="31" t="s">
        <v>79</v>
      </c>
      <c r="M8" s="31">
        <v>2021</v>
      </c>
      <c r="N8" s="31">
        <v>0</v>
      </c>
      <c r="O8" s="31">
        <v>14.39</v>
      </c>
      <c r="P8" s="31">
        <v>0</v>
      </c>
    </row>
    <row r="9" spans="1:50" ht="11.25" customHeight="1" x14ac:dyDescent="0.3">
      <c r="A9" s="31">
        <v>8</v>
      </c>
      <c r="B9" s="31" t="s">
        <v>615</v>
      </c>
      <c r="C9" s="31" t="s">
        <v>39</v>
      </c>
      <c r="D9" s="31" t="s">
        <v>42</v>
      </c>
      <c r="E9" s="31" t="s">
        <v>25</v>
      </c>
      <c r="F9" s="31" t="s">
        <v>25</v>
      </c>
      <c r="G9" s="31" t="s">
        <v>25</v>
      </c>
      <c r="H9" s="31" t="s">
        <v>25</v>
      </c>
      <c r="I9" s="31" t="s">
        <v>25</v>
      </c>
      <c r="J9" s="31" t="s">
        <v>761</v>
      </c>
      <c r="K9" s="31" t="s">
        <v>760</v>
      </c>
      <c r="L9" s="31" t="s">
        <v>79</v>
      </c>
      <c r="M9" s="31">
        <v>2021</v>
      </c>
      <c r="N9" s="31">
        <v>0</v>
      </c>
      <c r="O9" s="31">
        <v>84.99</v>
      </c>
      <c r="P9" s="31">
        <v>50.793105269410098</v>
      </c>
    </row>
    <row r="10" spans="1:50" ht="11.25" customHeight="1" x14ac:dyDescent="0.3">
      <c r="A10" s="31">
        <v>9</v>
      </c>
      <c r="B10" s="31" t="s">
        <v>615</v>
      </c>
      <c r="C10" s="31" t="s">
        <v>39</v>
      </c>
      <c r="D10" s="31" t="s">
        <v>42</v>
      </c>
      <c r="E10" s="31" t="s">
        <v>25</v>
      </c>
      <c r="F10" s="31" t="s">
        <v>25</v>
      </c>
      <c r="G10" s="31" t="s">
        <v>87</v>
      </c>
      <c r="H10" s="31" t="s">
        <v>25</v>
      </c>
      <c r="I10" s="31" t="s">
        <v>25</v>
      </c>
      <c r="J10" s="31" t="s">
        <v>761</v>
      </c>
      <c r="K10" s="31" t="s">
        <v>760</v>
      </c>
      <c r="L10" s="31" t="s">
        <v>79</v>
      </c>
      <c r="M10" s="31">
        <v>2021</v>
      </c>
      <c r="N10" s="31">
        <v>0</v>
      </c>
      <c r="O10" s="31">
        <v>14.39</v>
      </c>
      <c r="P10" s="31">
        <v>0</v>
      </c>
    </row>
    <row r="11" spans="1:50" ht="11.25" customHeight="1" x14ac:dyDescent="0.3">
      <c r="A11" s="31">
        <v>10</v>
      </c>
      <c r="B11" s="31" t="s">
        <v>615</v>
      </c>
      <c r="C11" s="31" t="s">
        <v>45</v>
      </c>
      <c r="D11" s="31" t="s">
        <v>60</v>
      </c>
      <c r="E11" s="31" t="s">
        <v>25</v>
      </c>
      <c r="F11" s="31" t="s">
        <v>25</v>
      </c>
      <c r="G11" s="31" t="s">
        <v>25</v>
      </c>
      <c r="H11" s="31" t="s">
        <v>25</v>
      </c>
      <c r="I11" s="31" t="s">
        <v>25</v>
      </c>
      <c r="J11" s="31" t="s">
        <v>759</v>
      </c>
      <c r="K11" s="31" t="s">
        <v>760</v>
      </c>
      <c r="L11" s="31" t="s">
        <v>84</v>
      </c>
      <c r="M11" s="31">
        <v>2021</v>
      </c>
      <c r="N11" s="31">
        <v>0</v>
      </c>
      <c r="O11" s="31">
        <v>11.48</v>
      </c>
      <c r="P11" s="31">
        <v>0</v>
      </c>
    </row>
    <row r="12" spans="1:50" ht="11.25" customHeight="1" x14ac:dyDescent="0.3">
      <c r="A12" s="31">
        <v>11</v>
      </c>
      <c r="B12" s="31" t="s">
        <v>615</v>
      </c>
      <c r="C12" s="31" t="s">
        <v>45</v>
      </c>
      <c r="D12" s="31" t="s">
        <v>40</v>
      </c>
      <c r="E12" s="31" t="s">
        <v>25</v>
      </c>
      <c r="F12" s="31" t="s">
        <v>25</v>
      </c>
      <c r="G12" s="31" t="s">
        <v>25</v>
      </c>
      <c r="H12" s="31" t="s">
        <v>25</v>
      </c>
      <c r="I12" s="31" t="s">
        <v>25</v>
      </c>
      <c r="J12" s="31" t="s">
        <v>759</v>
      </c>
      <c r="K12" s="31" t="s">
        <v>760</v>
      </c>
      <c r="L12" s="31" t="s">
        <v>84</v>
      </c>
      <c r="M12" s="31">
        <v>2021</v>
      </c>
      <c r="N12" s="31">
        <v>0</v>
      </c>
      <c r="O12" s="31">
        <v>18.920000000000002</v>
      </c>
      <c r="P12" s="31">
        <v>0</v>
      </c>
    </row>
    <row r="13" spans="1:50" ht="11.25" customHeight="1" x14ac:dyDescent="0.3">
      <c r="A13" s="31">
        <v>12</v>
      </c>
      <c r="B13" s="31" t="s">
        <v>615</v>
      </c>
      <c r="C13" s="31" t="s">
        <v>39</v>
      </c>
      <c r="D13" s="31" t="s">
        <v>60</v>
      </c>
      <c r="E13" s="31" t="s">
        <v>25</v>
      </c>
      <c r="F13" s="31" t="s">
        <v>25</v>
      </c>
      <c r="G13" s="31" t="s">
        <v>25</v>
      </c>
      <c r="H13" s="31" t="s">
        <v>25</v>
      </c>
      <c r="I13" s="31" t="s">
        <v>25</v>
      </c>
      <c r="J13" s="31" t="s">
        <v>759</v>
      </c>
      <c r="K13" s="31" t="s">
        <v>760</v>
      </c>
      <c r="L13" s="31" t="s">
        <v>84</v>
      </c>
      <c r="M13" s="31">
        <v>2021</v>
      </c>
      <c r="N13" s="31">
        <v>0</v>
      </c>
      <c r="O13" s="31">
        <v>11.48</v>
      </c>
      <c r="P13" s="31">
        <v>0</v>
      </c>
    </row>
    <row r="14" spans="1:50" ht="11.25" customHeight="1" x14ac:dyDescent="0.3">
      <c r="A14" s="31">
        <v>13</v>
      </c>
      <c r="B14" s="31" t="s">
        <v>615</v>
      </c>
      <c r="C14" s="31" t="s">
        <v>39</v>
      </c>
      <c r="D14" s="31" t="s">
        <v>40</v>
      </c>
      <c r="E14" s="31" t="s">
        <v>25</v>
      </c>
      <c r="F14" s="31" t="s">
        <v>25</v>
      </c>
      <c r="G14" s="31" t="s">
        <v>25</v>
      </c>
      <c r="H14" s="31" t="s">
        <v>25</v>
      </c>
      <c r="I14" s="31" t="s">
        <v>25</v>
      </c>
      <c r="J14" s="31" t="s">
        <v>759</v>
      </c>
      <c r="K14" s="31" t="s">
        <v>760</v>
      </c>
      <c r="L14" s="31" t="s">
        <v>84</v>
      </c>
      <c r="M14" s="31">
        <v>2021</v>
      </c>
      <c r="N14" s="31">
        <v>0</v>
      </c>
      <c r="O14" s="31">
        <v>18.920000000000002</v>
      </c>
      <c r="P14" s="31">
        <v>0</v>
      </c>
    </row>
    <row r="15" spans="1:50" ht="11.25" customHeight="1" x14ac:dyDescent="0.3">
      <c r="A15" s="31">
        <v>14</v>
      </c>
      <c r="B15" s="31" t="s">
        <v>615</v>
      </c>
      <c r="C15" s="31" t="s">
        <v>45</v>
      </c>
      <c r="D15" s="31" t="s">
        <v>40</v>
      </c>
      <c r="E15" s="31" t="s">
        <v>25</v>
      </c>
      <c r="F15" s="31" t="s">
        <v>25</v>
      </c>
      <c r="G15" s="31" t="s">
        <v>25</v>
      </c>
      <c r="H15" s="31" t="s">
        <v>25</v>
      </c>
      <c r="I15" s="31" t="s">
        <v>34</v>
      </c>
      <c r="J15" s="31" t="s">
        <v>761</v>
      </c>
      <c r="K15" s="31" t="s">
        <v>760</v>
      </c>
      <c r="L15" s="31" t="s">
        <v>79</v>
      </c>
      <c r="M15" s="31">
        <v>2021</v>
      </c>
      <c r="N15" s="31">
        <v>0</v>
      </c>
      <c r="O15" s="31">
        <v>1195.82</v>
      </c>
      <c r="P15" s="31">
        <v>50.793105269410098</v>
      </c>
    </row>
    <row r="16" spans="1:50" ht="11.25" customHeight="1" x14ac:dyDescent="0.3">
      <c r="A16" s="31">
        <v>15</v>
      </c>
      <c r="B16" s="31" t="s">
        <v>615</v>
      </c>
      <c r="C16" s="31" t="s">
        <v>39</v>
      </c>
      <c r="D16" s="31" t="s">
        <v>40</v>
      </c>
      <c r="E16" s="31" t="s">
        <v>25</v>
      </c>
      <c r="F16" s="31" t="s">
        <v>25</v>
      </c>
      <c r="G16" s="31" t="s">
        <v>25</v>
      </c>
      <c r="H16" s="31" t="s">
        <v>25</v>
      </c>
      <c r="I16" s="31" t="s">
        <v>34</v>
      </c>
      <c r="J16" s="31" t="s">
        <v>761</v>
      </c>
      <c r="K16" s="31" t="s">
        <v>760</v>
      </c>
      <c r="L16" s="31" t="s">
        <v>79</v>
      </c>
      <c r="M16" s="31">
        <v>2021</v>
      </c>
      <c r="N16" s="31">
        <v>0</v>
      </c>
      <c r="O16" s="31">
        <v>1195.82</v>
      </c>
      <c r="P16" s="31">
        <v>50.793105269410098</v>
      </c>
    </row>
    <row r="17" spans="1:16" ht="11.25" customHeight="1" x14ac:dyDescent="0.3">
      <c r="A17" s="31">
        <v>16</v>
      </c>
      <c r="B17" s="31" t="s">
        <v>615</v>
      </c>
      <c r="C17" s="31" t="s">
        <v>45</v>
      </c>
      <c r="D17" s="31" t="s">
        <v>40</v>
      </c>
      <c r="E17" s="31" t="s">
        <v>25</v>
      </c>
      <c r="F17" s="31" t="s">
        <v>25</v>
      </c>
      <c r="G17" s="31" t="s">
        <v>25</v>
      </c>
      <c r="H17" s="31" t="s">
        <v>25</v>
      </c>
      <c r="I17" s="31" t="s">
        <v>35</v>
      </c>
      <c r="J17" s="31" t="s">
        <v>761</v>
      </c>
      <c r="K17" s="31" t="s">
        <v>760</v>
      </c>
      <c r="L17" s="31" t="s">
        <v>79</v>
      </c>
      <c r="M17" s="31">
        <v>2021</v>
      </c>
      <c r="N17" s="31">
        <v>0</v>
      </c>
      <c r="O17" s="31">
        <v>84.99</v>
      </c>
      <c r="P17" s="31">
        <v>50.793105269410098</v>
      </c>
    </row>
    <row r="18" spans="1:16" ht="11.25" customHeight="1" x14ac:dyDescent="0.3">
      <c r="A18" s="31">
        <v>17</v>
      </c>
      <c r="B18" s="31" t="s">
        <v>615</v>
      </c>
      <c r="C18" s="31" t="s">
        <v>39</v>
      </c>
      <c r="D18" s="31" t="s">
        <v>40</v>
      </c>
      <c r="E18" s="31" t="s">
        <v>25</v>
      </c>
      <c r="F18" s="31" t="s">
        <v>25</v>
      </c>
      <c r="G18" s="31" t="s">
        <v>25</v>
      </c>
      <c r="H18" s="31" t="s">
        <v>25</v>
      </c>
      <c r="I18" s="31" t="s">
        <v>35</v>
      </c>
      <c r="J18" s="31" t="s">
        <v>761</v>
      </c>
      <c r="K18" s="31" t="s">
        <v>760</v>
      </c>
      <c r="L18" s="31" t="s">
        <v>79</v>
      </c>
      <c r="M18" s="31">
        <v>2021</v>
      </c>
      <c r="N18" s="31">
        <v>0</v>
      </c>
      <c r="O18" s="31">
        <v>84.99</v>
      </c>
      <c r="P18" s="31">
        <v>50.793105269410098</v>
      </c>
    </row>
    <row r="19" spans="1:16" ht="11.25" customHeight="1" x14ac:dyDescent="0.3">
      <c r="A19" s="31">
        <v>18</v>
      </c>
      <c r="B19" s="31" t="s">
        <v>615</v>
      </c>
      <c r="C19" s="31" t="s">
        <v>45</v>
      </c>
      <c r="D19" s="31" t="s">
        <v>40</v>
      </c>
      <c r="E19" s="31" t="s">
        <v>25</v>
      </c>
      <c r="F19" s="31" t="s">
        <v>25</v>
      </c>
      <c r="G19" s="31" t="s">
        <v>87</v>
      </c>
      <c r="H19" s="31" t="s">
        <v>25</v>
      </c>
      <c r="I19" s="31" t="s">
        <v>34</v>
      </c>
      <c r="J19" s="31" t="s">
        <v>761</v>
      </c>
      <c r="K19" s="31" t="s">
        <v>760</v>
      </c>
      <c r="L19" s="31" t="s">
        <v>79</v>
      </c>
      <c r="M19" s="31">
        <v>2021</v>
      </c>
      <c r="N19" s="31">
        <v>0</v>
      </c>
      <c r="O19" s="31">
        <v>1125.22</v>
      </c>
      <c r="P19" s="31">
        <v>0</v>
      </c>
    </row>
    <row r="20" spans="1:16" ht="11.25" customHeight="1" x14ac:dyDescent="0.3">
      <c r="A20" s="31">
        <v>19</v>
      </c>
      <c r="B20" s="31" t="s">
        <v>615</v>
      </c>
      <c r="C20" s="31" t="s">
        <v>39</v>
      </c>
      <c r="D20" s="31" t="s">
        <v>40</v>
      </c>
      <c r="E20" s="31" t="s">
        <v>25</v>
      </c>
      <c r="F20" s="31" t="s">
        <v>25</v>
      </c>
      <c r="G20" s="31" t="s">
        <v>87</v>
      </c>
      <c r="H20" s="31" t="s">
        <v>25</v>
      </c>
      <c r="I20" s="31" t="s">
        <v>34</v>
      </c>
      <c r="J20" s="31" t="s">
        <v>761</v>
      </c>
      <c r="K20" s="31" t="s">
        <v>760</v>
      </c>
      <c r="L20" s="31" t="s">
        <v>79</v>
      </c>
      <c r="M20" s="31">
        <v>2021</v>
      </c>
      <c r="N20" s="31">
        <v>0</v>
      </c>
      <c r="O20" s="31">
        <v>1125.22</v>
      </c>
      <c r="P20" s="31">
        <v>0</v>
      </c>
    </row>
    <row r="21" spans="1:16" ht="11.25" customHeight="1" x14ac:dyDescent="0.3">
      <c r="A21" s="31">
        <v>20</v>
      </c>
      <c r="B21" s="31" t="s">
        <v>615</v>
      </c>
      <c r="C21" s="31" t="s">
        <v>45</v>
      </c>
      <c r="D21" s="31" t="s">
        <v>40</v>
      </c>
      <c r="E21" s="31" t="s">
        <v>25</v>
      </c>
      <c r="F21" s="31" t="s">
        <v>25</v>
      </c>
      <c r="G21" s="31" t="s">
        <v>87</v>
      </c>
      <c r="H21" s="31" t="s">
        <v>25</v>
      </c>
      <c r="I21" s="31" t="s">
        <v>35</v>
      </c>
      <c r="J21" s="31" t="s">
        <v>761</v>
      </c>
      <c r="K21" s="31" t="s">
        <v>760</v>
      </c>
      <c r="L21" s="31" t="s">
        <v>79</v>
      </c>
      <c r="M21" s="31">
        <v>2021</v>
      </c>
      <c r="N21" s="31">
        <v>0</v>
      </c>
      <c r="O21" s="31">
        <v>14.39</v>
      </c>
      <c r="P21" s="31">
        <v>0</v>
      </c>
    </row>
    <row r="22" spans="1:16" ht="11.25" customHeight="1" x14ac:dyDescent="0.3">
      <c r="A22" s="31">
        <v>21</v>
      </c>
      <c r="B22" s="31" t="s">
        <v>615</v>
      </c>
      <c r="C22" s="31" t="s">
        <v>39</v>
      </c>
      <c r="D22" s="31" t="s">
        <v>40</v>
      </c>
      <c r="E22" s="31" t="s">
        <v>25</v>
      </c>
      <c r="F22" s="31" t="s">
        <v>25</v>
      </c>
      <c r="G22" s="31" t="s">
        <v>87</v>
      </c>
      <c r="H22" s="31" t="s">
        <v>25</v>
      </c>
      <c r="I22" s="31" t="s">
        <v>35</v>
      </c>
      <c r="J22" s="31" t="s">
        <v>761</v>
      </c>
      <c r="K22" s="31" t="s">
        <v>760</v>
      </c>
      <c r="L22" s="31" t="s">
        <v>79</v>
      </c>
      <c r="M22" s="31">
        <v>2021</v>
      </c>
      <c r="N22" s="31">
        <v>0</v>
      </c>
      <c r="O22" s="31">
        <v>14.39</v>
      </c>
      <c r="P22" s="31">
        <v>0</v>
      </c>
    </row>
    <row r="23" spans="1:16" ht="11.25" customHeight="1" x14ac:dyDescent="0.3">
      <c r="A23" s="31">
        <v>22</v>
      </c>
      <c r="B23" s="31" t="s">
        <v>615</v>
      </c>
      <c r="C23" s="31" t="s">
        <v>45</v>
      </c>
      <c r="D23" s="31" t="s">
        <v>23</v>
      </c>
      <c r="E23" s="31" t="s">
        <v>25</v>
      </c>
      <c r="F23" s="31" t="s">
        <v>25</v>
      </c>
      <c r="G23" s="31" t="s">
        <v>25</v>
      </c>
      <c r="H23" s="31" t="s">
        <v>25</v>
      </c>
      <c r="I23" s="31" t="s">
        <v>25</v>
      </c>
      <c r="J23" s="31" t="s">
        <v>759</v>
      </c>
      <c r="K23" s="31" t="s">
        <v>760</v>
      </c>
      <c r="L23" s="31" t="s">
        <v>84</v>
      </c>
      <c r="M23" s="31">
        <v>2021</v>
      </c>
      <c r="N23" s="31">
        <v>0</v>
      </c>
      <c r="O23" s="31">
        <v>51.85</v>
      </c>
      <c r="P23" s="31">
        <v>0</v>
      </c>
    </row>
    <row r="24" spans="1:16" ht="11.25" customHeight="1" x14ac:dyDescent="0.3">
      <c r="A24" s="31">
        <v>23</v>
      </c>
      <c r="B24" s="31" t="s">
        <v>615</v>
      </c>
      <c r="C24" s="31" t="s">
        <v>39</v>
      </c>
      <c r="D24" s="31" t="s">
        <v>23</v>
      </c>
      <c r="E24" s="31" t="s">
        <v>25</v>
      </c>
      <c r="F24" s="31" t="s">
        <v>25</v>
      </c>
      <c r="G24" s="31" t="s">
        <v>25</v>
      </c>
      <c r="H24" s="31" t="s">
        <v>25</v>
      </c>
      <c r="I24" s="31" t="s">
        <v>25</v>
      </c>
      <c r="J24" s="31" t="s">
        <v>759</v>
      </c>
      <c r="K24" s="31" t="s">
        <v>760</v>
      </c>
      <c r="L24" s="31" t="s">
        <v>84</v>
      </c>
      <c r="M24" s="31">
        <v>2021</v>
      </c>
      <c r="N24" s="31">
        <v>0</v>
      </c>
      <c r="O24" s="31">
        <v>51.85</v>
      </c>
      <c r="P24" s="31">
        <v>0</v>
      </c>
    </row>
    <row r="25" spans="1:16" ht="11.25" customHeight="1" x14ac:dyDescent="0.3">
      <c r="A25" s="31">
        <v>24</v>
      </c>
      <c r="B25" s="31" t="s">
        <v>615</v>
      </c>
      <c r="C25" s="31" t="s">
        <v>39</v>
      </c>
      <c r="D25" s="31" t="s">
        <v>23</v>
      </c>
      <c r="E25" s="31" t="s">
        <v>25</v>
      </c>
      <c r="F25" s="31" t="s">
        <v>25</v>
      </c>
      <c r="G25" s="31" t="s">
        <v>25</v>
      </c>
      <c r="H25" s="31" t="s">
        <v>25</v>
      </c>
      <c r="I25" s="31" t="s">
        <v>25</v>
      </c>
      <c r="J25" s="31" t="s">
        <v>761</v>
      </c>
      <c r="K25" s="31" t="s">
        <v>760</v>
      </c>
      <c r="L25" s="31" t="s">
        <v>79</v>
      </c>
      <c r="M25" s="31">
        <v>2021</v>
      </c>
      <c r="N25" s="31">
        <v>0</v>
      </c>
      <c r="O25" s="31">
        <v>84.99</v>
      </c>
      <c r="P25" s="31">
        <v>50.793105269410098</v>
      </c>
    </row>
    <row r="26" spans="1:16" ht="11.25" customHeight="1" x14ac:dyDescent="0.3">
      <c r="A26" s="31">
        <v>25</v>
      </c>
      <c r="B26" s="31" t="s">
        <v>615</v>
      </c>
      <c r="C26" s="31" t="s">
        <v>88</v>
      </c>
      <c r="D26" s="31" t="s">
        <v>60</v>
      </c>
      <c r="E26" s="31" t="s">
        <v>25</v>
      </c>
      <c r="F26" s="31" t="s">
        <v>25</v>
      </c>
      <c r="G26" s="31" t="s">
        <v>89</v>
      </c>
      <c r="H26" s="31" t="s">
        <v>25</v>
      </c>
      <c r="I26" s="31" t="s">
        <v>25</v>
      </c>
      <c r="J26" s="31" t="s">
        <v>759</v>
      </c>
      <c r="K26" s="31" t="s">
        <v>760</v>
      </c>
      <c r="L26" s="31" t="s">
        <v>84</v>
      </c>
      <c r="M26" s="31">
        <v>2021</v>
      </c>
      <c r="N26" s="31">
        <v>0</v>
      </c>
      <c r="O26" s="31">
        <v>5.27</v>
      </c>
      <c r="P26" s="31">
        <v>0</v>
      </c>
    </row>
    <row r="27" spans="1:16" ht="11.25" customHeight="1" x14ac:dyDescent="0.3">
      <c r="A27" s="31">
        <v>26</v>
      </c>
      <c r="B27" s="31" t="s">
        <v>615</v>
      </c>
      <c r="C27" s="31" t="s">
        <v>88</v>
      </c>
      <c r="D27" s="31" t="s">
        <v>60</v>
      </c>
      <c r="E27" s="31" t="s">
        <v>25</v>
      </c>
      <c r="F27" s="31" t="s">
        <v>25</v>
      </c>
      <c r="G27" s="31" t="s">
        <v>90</v>
      </c>
      <c r="H27" s="31" t="s">
        <v>25</v>
      </c>
      <c r="I27" s="31" t="s">
        <v>25</v>
      </c>
      <c r="J27" s="31" t="s">
        <v>759</v>
      </c>
      <c r="K27" s="31" t="s">
        <v>760</v>
      </c>
      <c r="L27" s="31" t="s">
        <v>84</v>
      </c>
      <c r="M27" s="31">
        <v>2021</v>
      </c>
      <c r="N27" s="31">
        <v>0</v>
      </c>
      <c r="O27" s="31">
        <v>19.239999999999998</v>
      </c>
      <c r="P27" s="31">
        <v>0</v>
      </c>
    </row>
    <row r="28" spans="1:16" ht="11.25" customHeight="1" x14ac:dyDescent="0.3">
      <c r="A28" s="31">
        <v>27</v>
      </c>
      <c r="B28" s="31" t="s">
        <v>615</v>
      </c>
      <c r="C28" s="31" t="s">
        <v>22</v>
      </c>
      <c r="D28" s="31" t="s">
        <v>33</v>
      </c>
      <c r="E28" s="31" t="s">
        <v>24</v>
      </c>
      <c r="F28" s="31" t="s">
        <v>24</v>
      </c>
      <c r="G28" s="31" t="s">
        <v>25</v>
      </c>
      <c r="H28" s="31" t="s">
        <v>25</v>
      </c>
      <c r="I28" s="31" t="s">
        <v>34</v>
      </c>
      <c r="J28" s="31" t="s">
        <v>761</v>
      </c>
      <c r="K28" s="31" t="s">
        <v>760</v>
      </c>
      <c r="L28" s="31" t="s">
        <v>79</v>
      </c>
      <c r="M28" s="31">
        <v>2021</v>
      </c>
      <c r="N28" s="31">
        <v>0</v>
      </c>
      <c r="O28" s="31">
        <v>989.37</v>
      </c>
      <c r="P28" s="31">
        <v>58.3828796200117</v>
      </c>
    </row>
    <row r="29" spans="1:16" ht="11.25" customHeight="1" x14ac:dyDescent="0.3">
      <c r="A29" s="31">
        <v>28</v>
      </c>
      <c r="B29" s="31" t="s">
        <v>615</v>
      </c>
      <c r="C29" s="31" t="s">
        <v>22</v>
      </c>
      <c r="D29" s="31" t="s">
        <v>33</v>
      </c>
      <c r="E29" s="31" t="s">
        <v>24</v>
      </c>
      <c r="F29" s="31" t="s">
        <v>24</v>
      </c>
      <c r="G29" s="31" t="s">
        <v>25</v>
      </c>
      <c r="H29" s="31" t="s">
        <v>25</v>
      </c>
      <c r="I29" s="31" t="s">
        <v>36</v>
      </c>
      <c r="J29" s="31" t="s">
        <v>761</v>
      </c>
      <c r="K29" s="31" t="s">
        <v>760</v>
      </c>
      <c r="L29" s="31" t="s">
        <v>79</v>
      </c>
      <c r="M29" s="31">
        <v>2021</v>
      </c>
      <c r="N29" s="31">
        <v>0</v>
      </c>
      <c r="O29" s="31">
        <v>637.07000000000005</v>
      </c>
      <c r="P29" s="31">
        <v>58.3828796200117</v>
      </c>
    </row>
    <row r="30" spans="1:16" ht="11.25" customHeight="1" x14ac:dyDescent="0.3">
      <c r="A30" s="31">
        <v>29</v>
      </c>
      <c r="B30" s="31" t="s">
        <v>615</v>
      </c>
      <c r="C30" s="31" t="s">
        <v>22</v>
      </c>
      <c r="D30" s="31" t="s">
        <v>33</v>
      </c>
      <c r="E30" s="31" t="s">
        <v>24</v>
      </c>
      <c r="F30" s="31" t="s">
        <v>24</v>
      </c>
      <c r="G30" s="31" t="s">
        <v>25</v>
      </c>
      <c r="H30" s="31" t="s">
        <v>25</v>
      </c>
      <c r="I30" s="31" t="s">
        <v>35</v>
      </c>
      <c r="J30" s="31" t="s">
        <v>761</v>
      </c>
      <c r="K30" s="31" t="s">
        <v>760</v>
      </c>
      <c r="L30" s="31" t="s">
        <v>79</v>
      </c>
      <c r="M30" s="31">
        <v>2021</v>
      </c>
      <c r="N30" s="31">
        <v>0</v>
      </c>
      <c r="O30" s="31">
        <v>284.77</v>
      </c>
      <c r="P30" s="31">
        <v>58.3828796200117</v>
      </c>
    </row>
    <row r="31" spans="1:16" ht="11.25" customHeight="1" x14ac:dyDescent="0.3">
      <c r="A31" s="31">
        <v>30</v>
      </c>
      <c r="B31" s="31" t="s">
        <v>615</v>
      </c>
      <c r="C31" s="31" t="s">
        <v>22</v>
      </c>
      <c r="D31" s="31" t="s">
        <v>23</v>
      </c>
      <c r="E31" s="31" t="s">
        <v>24</v>
      </c>
      <c r="F31" s="31" t="s">
        <v>24</v>
      </c>
      <c r="G31" s="31" t="s">
        <v>25</v>
      </c>
      <c r="H31" s="31" t="s">
        <v>25</v>
      </c>
      <c r="I31" s="31" t="s">
        <v>25</v>
      </c>
      <c r="J31" s="31" t="s">
        <v>761</v>
      </c>
      <c r="K31" s="31" t="s">
        <v>760</v>
      </c>
      <c r="L31" s="31" t="s">
        <v>79</v>
      </c>
      <c r="M31" s="31">
        <v>2021</v>
      </c>
      <c r="N31" s="31">
        <v>0</v>
      </c>
      <c r="O31" s="31">
        <v>379.62</v>
      </c>
      <c r="P31" s="31">
        <v>58.3828796200117</v>
      </c>
    </row>
    <row r="32" spans="1:16" ht="11.25" customHeight="1" x14ac:dyDescent="0.3">
      <c r="A32" s="31">
        <v>31</v>
      </c>
      <c r="B32" s="31" t="s">
        <v>615</v>
      </c>
      <c r="C32" s="31" t="s">
        <v>22</v>
      </c>
      <c r="D32" s="31" t="s">
        <v>23</v>
      </c>
      <c r="E32" s="31" t="s">
        <v>24</v>
      </c>
      <c r="F32" s="31" t="s">
        <v>29</v>
      </c>
      <c r="G32" s="31" t="s">
        <v>25</v>
      </c>
      <c r="H32" s="31" t="s">
        <v>25</v>
      </c>
      <c r="I32" s="31" t="s">
        <v>25</v>
      </c>
      <c r="J32" s="31" t="s">
        <v>761</v>
      </c>
      <c r="K32" s="31" t="s">
        <v>760</v>
      </c>
      <c r="L32" s="31" t="s">
        <v>79</v>
      </c>
      <c r="M32" s="31">
        <v>2021</v>
      </c>
      <c r="N32" s="31">
        <v>0</v>
      </c>
      <c r="O32" s="31">
        <v>105.1</v>
      </c>
      <c r="P32" s="31">
        <v>0</v>
      </c>
    </row>
    <row r="33" spans="1:16" ht="11.25" customHeight="1" x14ac:dyDescent="0.3">
      <c r="A33" s="31">
        <v>32</v>
      </c>
      <c r="B33" s="31" t="s">
        <v>615</v>
      </c>
      <c r="C33" s="31" t="s">
        <v>22</v>
      </c>
      <c r="D33" s="31" t="s">
        <v>23</v>
      </c>
      <c r="E33" s="31" t="s">
        <v>24</v>
      </c>
      <c r="F33" s="31" t="s">
        <v>30</v>
      </c>
      <c r="G33" s="31" t="s">
        <v>25</v>
      </c>
      <c r="H33" s="31" t="s">
        <v>25</v>
      </c>
      <c r="I33" s="31" t="s">
        <v>25</v>
      </c>
      <c r="J33" s="31" t="s">
        <v>761</v>
      </c>
      <c r="K33" s="31" t="s">
        <v>760</v>
      </c>
      <c r="L33" s="31" t="s">
        <v>79</v>
      </c>
      <c r="M33" s="31">
        <v>2021</v>
      </c>
      <c r="N33" s="31">
        <v>0</v>
      </c>
      <c r="O33" s="31">
        <v>180.18</v>
      </c>
      <c r="P33" s="31">
        <v>0</v>
      </c>
    </row>
    <row r="34" spans="1:16" ht="11.25" customHeight="1" x14ac:dyDescent="0.3">
      <c r="A34" s="31">
        <v>33</v>
      </c>
      <c r="B34" s="31" t="s">
        <v>615</v>
      </c>
      <c r="C34" s="31" t="s">
        <v>22</v>
      </c>
      <c r="D34" s="31" t="s">
        <v>23</v>
      </c>
      <c r="E34" s="31" t="s">
        <v>24</v>
      </c>
      <c r="F34" s="31" t="s">
        <v>31</v>
      </c>
      <c r="G34" s="31" t="s">
        <v>25</v>
      </c>
      <c r="H34" s="31" t="s">
        <v>25</v>
      </c>
      <c r="I34" s="31" t="s">
        <v>25</v>
      </c>
      <c r="J34" s="31" t="s">
        <v>761</v>
      </c>
      <c r="K34" s="31" t="s">
        <v>760</v>
      </c>
      <c r="L34" s="31" t="s">
        <v>79</v>
      </c>
      <c r="M34" s="31">
        <v>2021</v>
      </c>
      <c r="N34" s="31">
        <v>0</v>
      </c>
      <c r="O34" s="31">
        <v>270.27</v>
      </c>
      <c r="P34" s="31">
        <v>0</v>
      </c>
    </row>
    <row r="35" spans="1:16" ht="11.25" customHeight="1" x14ac:dyDescent="0.3">
      <c r="A35" s="31">
        <v>34</v>
      </c>
      <c r="B35" s="31" t="s">
        <v>615</v>
      </c>
      <c r="C35" s="31" t="s">
        <v>22</v>
      </c>
      <c r="D35" s="31" t="s">
        <v>23</v>
      </c>
      <c r="E35" s="31" t="s">
        <v>24</v>
      </c>
      <c r="F35" s="31" t="s">
        <v>32</v>
      </c>
      <c r="G35" s="31" t="s">
        <v>25</v>
      </c>
      <c r="H35" s="31" t="s">
        <v>25</v>
      </c>
      <c r="I35" s="31" t="s">
        <v>25</v>
      </c>
      <c r="J35" s="31" t="s">
        <v>761</v>
      </c>
      <c r="K35" s="31" t="s">
        <v>760</v>
      </c>
      <c r="L35" s="31" t="s">
        <v>79</v>
      </c>
      <c r="M35" s="31">
        <v>2021</v>
      </c>
      <c r="N35" s="31">
        <v>0</v>
      </c>
      <c r="O35" s="31">
        <v>300.3</v>
      </c>
      <c r="P35" s="31">
        <v>0</v>
      </c>
    </row>
    <row r="36" spans="1:16" ht="11.25" customHeight="1" x14ac:dyDescent="0.3">
      <c r="A36" s="31">
        <v>35</v>
      </c>
      <c r="B36" s="31" t="s">
        <v>615</v>
      </c>
      <c r="C36" s="31" t="s">
        <v>22</v>
      </c>
      <c r="D36" s="31" t="s">
        <v>93</v>
      </c>
      <c r="E36" s="31" t="s">
        <v>24</v>
      </c>
      <c r="F36" s="31" t="s">
        <v>24</v>
      </c>
      <c r="G36" s="31" t="s">
        <v>25</v>
      </c>
      <c r="H36" s="31" t="s">
        <v>25</v>
      </c>
      <c r="I36" s="31" t="s">
        <v>25</v>
      </c>
      <c r="J36" s="31" t="s">
        <v>761</v>
      </c>
      <c r="K36" s="31" t="s">
        <v>760</v>
      </c>
      <c r="L36" s="31" t="s">
        <v>79</v>
      </c>
      <c r="M36" s="31">
        <v>2021</v>
      </c>
      <c r="N36" s="31">
        <v>0</v>
      </c>
      <c r="O36" s="31">
        <v>379.62</v>
      </c>
      <c r="P36" s="31">
        <v>58.3828796200117</v>
      </c>
    </row>
    <row r="37" spans="1:16" ht="11.25" customHeight="1" x14ac:dyDescent="0.3">
      <c r="A37" s="31">
        <v>36</v>
      </c>
      <c r="B37" s="31" t="s">
        <v>615</v>
      </c>
      <c r="C37" s="31" t="s">
        <v>22</v>
      </c>
      <c r="D37" s="31" t="s">
        <v>93</v>
      </c>
      <c r="E37" s="31" t="s">
        <v>24</v>
      </c>
      <c r="F37" s="31" t="s">
        <v>29</v>
      </c>
      <c r="G37" s="31" t="s">
        <v>25</v>
      </c>
      <c r="H37" s="31" t="s">
        <v>25</v>
      </c>
      <c r="I37" s="31" t="s">
        <v>25</v>
      </c>
      <c r="J37" s="31" t="s">
        <v>761</v>
      </c>
      <c r="K37" s="31" t="s">
        <v>760</v>
      </c>
      <c r="L37" s="31" t="s">
        <v>79</v>
      </c>
      <c r="M37" s="31">
        <v>2021</v>
      </c>
      <c r="N37" s="31">
        <v>0</v>
      </c>
      <c r="O37" s="31">
        <v>105.1</v>
      </c>
      <c r="P37" s="31">
        <v>0</v>
      </c>
    </row>
    <row r="38" spans="1:16" ht="11.25" customHeight="1" x14ac:dyDescent="0.3">
      <c r="A38" s="31">
        <v>37</v>
      </c>
      <c r="B38" s="31" t="s">
        <v>615</v>
      </c>
      <c r="C38" s="31" t="s">
        <v>22</v>
      </c>
      <c r="D38" s="31" t="s">
        <v>93</v>
      </c>
      <c r="E38" s="31" t="s">
        <v>24</v>
      </c>
      <c r="F38" s="31" t="s">
        <v>30</v>
      </c>
      <c r="G38" s="31" t="s">
        <v>25</v>
      </c>
      <c r="H38" s="31" t="s">
        <v>25</v>
      </c>
      <c r="I38" s="31" t="s">
        <v>25</v>
      </c>
      <c r="J38" s="31" t="s">
        <v>761</v>
      </c>
      <c r="K38" s="31" t="s">
        <v>760</v>
      </c>
      <c r="L38" s="31" t="s">
        <v>79</v>
      </c>
      <c r="M38" s="31">
        <v>2021</v>
      </c>
      <c r="N38" s="31">
        <v>0</v>
      </c>
      <c r="O38" s="31">
        <v>180.18</v>
      </c>
      <c r="P38" s="31">
        <v>0</v>
      </c>
    </row>
    <row r="39" spans="1:16" ht="11.25" customHeight="1" x14ac:dyDescent="0.3">
      <c r="A39" s="31">
        <v>38</v>
      </c>
      <c r="B39" s="31" t="s">
        <v>615</v>
      </c>
      <c r="C39" s="31" t="s">
        <v>22</v>
      </c>
      <c r="D39" s="31" t="s">
        <v>93</v>
      </c>
      <c r="E39" s="31" t="s">
        <v>24</v>
      </c>
      <c r="F39" s="31" t="s">
        <v>31</v>
      </c>
      <c r="G39" s="31" t="s">
        <v>25</v>
      </c>
      <c r="H39" s="31" t="s">
        <v>25</v>
      </c>
      <c r="I39" s="31" t="s">
        <v>25</v>
      </c>
      <c r="J39" s="31" t="s">
        <v>761</v>
      </c>
      <c r="K39" s="31" t="s">
        <v>760</v>
      </c>
      <c r="L39" s="31" t="s">
        <v>79</v>
      </c>
      <c r="M39" s="31">
        <v>2021</v>
      </c>
      <c r="N39" s="31">
        <v>0</v>
      </c>
      <c r="O39" s="31">
        <v>270.27</v>
      </c>
      <c r="P39" s="31">
        <v>0</v>
      </c>
    </row>
    <row r="40" spans="1:16" ht="11.25" customHeight="1" x14ac:dyDescent="0.3">
      <c r="A40" s="31">
        <v>39</v>
      </c>
      <c r="B40" s="31" t="s">
        <v>615</v>
      </c>
      <c r="C40" s="31" t="s">
        <v>22</v>
      </c>
      <c r="D40" s="31" t="s">
        <v>93</v>
      </c>
      <c r="E40" s="31" t="s">
        <v>24</v>
      </c>
      <c r="F40" s="31" t="s">
        <v>32</v>
      </c>
      <c r="G40" s="31" t="s">
        <v>25</v>
      </c>
      <c r="H40" s="31" t="s">
        <v>25</v>
      </c>
      <c r="I40" s="31" t="s">
        <v>25</v>
      </c>
      <c r="J40" s="31" t="s">
        <v>761</v>
      </c>
      <c r="K40" s="31" t="s">
        <v>760</v>
      </c>
      <c r="L40" s="31" t="s">
        <v>79</v>
      </c>
      <c r="M40" s="31">
        <v>2021</v>
      </c>
      <c r="N40" s="31">
        <v>0</v>
      </c>
      <c r="O40" s="31">
        <v>300.3</v>
      </c>
      <c r="P40" s="31">
        <v>0</v>
      </c>
    </row>
    <row r="41" spans="1:16" ht="11.25" customHeight="1" x14ac:dyDescent="0.3">
      <c r="A41" s="31">
        <v>40</v>
      </c>
      <c r="B41" s="31" t="s">
        <v>615</v>
      </c>
      <c r="C41" s="31" t="s">
        <v>43</v>
      </c>
      <c r="D41" s="31" t="s">
        <v>33</v>
      </c>
      <c r="E41" s="31" t="s">
        <v>44</v>
      </c>
      <c r="F41" s="31" t="s">
        <v>25</v>
      </c>
      <c r="G41" s="31" t="s">
        <v>25</v>
      </c>
      <c r="H41" s="31" t="s">
        <v>25</v>
      </c>
      <c r="I41" s="31" t="s">
        <v>34</v>
      </c>
      <c r="J41" s="31" t="s">
        <v>761</v>
      </c>
      <c r="K41" s="31" t="s">
        <v>760</v>
      </c>
      <c r="L41" s="31" t="s">
        <v>79</v>
      </c>
      <c r="M41" s="31">
        <v>2021</v>
      </c>
      <c r="N41" s="31">
        <v>0</v>
      </c>
      <c r="O41" s="31">
        <v>882.57</v>
      </c>
      <c r="P41" s="31">
        <v>51.3769340656103</v>
      </c>
    </row>
    <row r="42" spans="1:16" ht="11.25" customHeight="1" x14ac:dyDescent="0.3">
      <c r="A42" s="31">
        <v>41</v>
      </c>
      <c r="B42" s="31" t="s">
        <v>615</v>
      </c>
      <c r="C42" s="31" t="s">
        <v>43</v>
      </c>
      <c r="D42" s="31" t="s">
        <v>33</v>
      </c>
      <c r="E42" s="31" t="s">
        <v>44</v>
      </c>
      <c r="F42" s="31" t="s">
        <v>25</v>
      </c>
      <c r="G42" s="31" t="s">
        <v>25</v>
      </c>
      <c r="H42" s="31" t="s">
        <v>25</v>
      </c>
      <c r="I42" s="31" t="s">
        <v>36</v>
      </c>
      <c r="J42" s="31" t="s">
        <v>761</v>
      </c>
      <c r="K42" s="31" t="s">
        <v>760</v>
      </c>
      <c r="L42" s="31" t="s">
        <v>79</v>
      </c>
      <c r="M42" s="31">
        <v>2021</v>
      </c>
      <c r="N42" s="31">
        <v>0</v>
      </c>
      <c r="O42" s="31">
        <v>567.78</v>
      </c>
      <c r="P42" s="31">
        <v>51.3769340656103</v>
      </c>
    </row>
    <row r="43" spans="1:16" ht="11.25" customHeight="1" x14ac:dyDescent="0.3">
      <c r="A43" s="31">
        <v>42</v>
      </c>
      <c r="B43" s="31" t="s">
        <v>615</v>
      </c>
      <c r="C43" s="31" t="s">
        <v>43</v>
      </c>
      <c r="D43" s="31" t="s">
        <v>33</v>
      </c>
      <c r="E43" s="31" t="s">
        <v>44</v>
      </c>
      <c r="F43" s="31" t="s">
        <v>25</v>
      </c>
      <c r="G43" s="31" t="s">
        <v>25</v>
      </c>
      <c r="H43" s="31" t="s">
        <v>25</v>
      </c>
      <c r="I43" s="31" t="s">
        <v>35</v>
      </c>
      <c r="J43" s="31" t="s">
        <v>761</v>
      </c>
      <c r="K43" s="31" t="s">
        <v>760</v>
      </c>
      <c r="L43" s="31" t="s">
        <v>79</v>
      </c>
      <c r="M43" s="31">
        <v>2021</v>
      </c>
      <c r="N43" s="31">
        <v>0</v>
      </c>
      <c r="O43" s="31">
        <v>252.99</v>
      </c>
      <c r="P43" s="31">
        <v>51.3769340656103</v>
      </c>
    </row>
    <row r="44" spans="1:16" ht="11.25" customHeight="1" x14ac:dyDescent="0.3">
      <c r="A44" s="31">
        <v>43</v>
      </c>
      <c r="B44" s="31" t="s">
        <v>615</v>
      </c>
      <c r="C44" s="31" t="s">
        <v>43</v>
      </c>
      <c r="D44" s="31" t="s">
        <v>23</v>
      </c>
      <c r="E44" s="31" t="s">
        <v>44</v>
      </c>
      <c r="F44" s="31" t="s">
        <v>25</v>
      </c>
      <c r="G44" s="31" t="s">
        <v>25</v>
      </c>
      <c r="H44" s="31" t="s">
        <v>25</v>
      </c>
      <c r="I44" s="31" t="s">
        <v>25</v>
      </c>
      <c r="J44" s="31" t="s">
        <v>761</v>
      </c>
      <c r="K44" s="31" t="s">
        <v>760</v>
      </c>
      <c r="L44" s="31" t="s">
        <v>79</v>
      </c>
      <c r="M44" s="31">
        <v>2021</v>
      </c>
      <c r="N44" s="31">
        <v>0</v>
      </c>
      <c r="O44" s="31">
        <v>334.07</v>
      </c>
      <c r="P44" s="31">
        <v>51.3769340656103</v>
      </c>
    </row>
    <row r="45" spans="1:16" ht="11.25" customHeight="1" x14ac:dyDescent="0.3">
      <c r="A45" s="31">
        <v>44</v>
      </c>
      <c r="B45" s="31" t="s">
        <v>615</v>
      </c>
      <c r="C45" s="31" t="s">
        <v>43</v>
      </c>
      <c r="D45" s="31" t="s">
        <v>33</v>
      </c>
      <c r="E45" s="31" t="s">
        <v>44</v>
      </c>
      <c r="F45" s="31" t="s">
        <v>94</v>
      </c>
      <c r="G45" s="31" t="s">
        <v>25</v>
      </c>
      <c r="H45" s="31" t="s">
        <v>25</v>
      </c>
      <c r="I45" s="31" t="s">
        <v>34</v>
      </c>
      <c r="J45" s="31" t="s">
        <v>761</v>
      </c>
      <c r="K45" s="31" t="s">
        <v>760</v>
      </c>
      <c r="L45" s="31" t="s">
        <v>79</v>
      </c>
      <c r="M45" s="31">
        <v>2021</v>
      </c>
      <c r="N45" s="31">
        <v>0</v>
      </c>
      <c r="O45" s="31">
        <v>882.57</v>
      </c>
      <c r="P45" s="31">
        <v>51.3769340656103</v>
      </c>
    </row>
    <row r="46" spans="1:16" ht="11.25" customHeight="1" x14ac:dyDescent="0.3">
      <c r="A46" s="31">
        <v>45</v>
      </c>
      <c r="B46" s="31" t="s">
        <v>615</v>
      </c>
      <c r="C46" s="31" t="s">
        <v>43</v>
      </c>
      <c r="D46" s="31" t="s">
        <v>33</v>
      </c>
      <c r="E46" s="31" t="s">
        <v>44</v>
      </c>
      <c r="F46" s="31" t="s">
        <v>94</v>
      </c>
      <c r="G46" s="31" t="s">
        <v>25</v>
      </c>
      <c r="H46" s="31" t="s">
        <v>25</v>
      </c>
      <c r="I46" s="31" t="s">
        <v>36</v>
      </c>
      <c r="J46" s="31" t="s">
        <v>761</v>
      </c>
      <c r="K46" s="31" t="s">
        <v>760</v>
      </c>
      <c r="L46" s="31" t="s">
        <v>79</v>
      </c>
      <c r="M46" s="31">
        <v>2021</v>
      </c>
      <c r="N46" s="31">
        <v>0</v>
      </c>
      <c r="O46" s="31">
        <v>567.78</v>
      </c>
      <c r="P46" s="31">
        <v>51.3769340656103</v>
      </c>
    </row>
    <row r="47" spans="1:16" ht="11.25" customHeight="1" x14ac:dyDescent="0.3">
      <c r="A47" s="31">
        <v>46</v>
      </c>
      <c r="B47" s="31" t="s">
        <v>615</v>
      </c>
      <c r="C47" s="31" t="s">
        <v>43</v>
      </c>
      <c r="D47" s="31" t="s">
        <v>33</v>
      </c>
      <c r="E47" s="31" t="s">
        <v>44</v>
      </c>
      <c r="F47" s="31" t="s">
        <v>94</v>
      </c>
      <c r="G47" s="31" t="s">
        <v>25</v>
      </c>
      <c r="H47" s="31" t="s">
        <v>25</v>
      </c>
      <c r="I47" s="31" t="s">
        <v>35</v>
      </c>
      <c r="J47" s="31" t="s">
        <v>761</v>
      </c>
      <c r="K47" s="31" t="s">
        <v>760</v>
      </c>
      <c r="L47" s="31" t="s">
        <v>79</v>
      </c>
      <c r="M47" s="31">
        <v>2021</v>
      </c>
      <c r="N47" s="31">
        <v>0</v>
      </c>
      <c r="O47" s="31">
        <v>252.99</v>
      </c>
      <c r="P47" s="31">
        <v>51.3769340656103</v>
      </c>
    </row>
    <row r="48" spans="1:16" ht="11.25" customHeight="1" x14ac:dyDescent="0.3">
      <c r="A48" s="31">
        <v>47</v>
      </c>
      <c r="B48" s="31" t="s">
        <v>615</v>
      </c>
      <c r="C48" s="31" t="s">
        <v>43</v>
      </c>
      <c r="D48" s="31" t="s">
        <v>23</v>
      </c>
      <c r="E48" s="31" t="s">
        <v>44</v>
      </c>
      <c r="F48" s="31" t="s">
        <v>94</v>
      </c>
      <c r="G48" s="31" t="s">
        <v>25</v>
      </c>
      <c r="H48" s="31" t="s">
        <v>25</v>
      </c>
      <c r="I48" s="31" t="s">
        <v>25</v>
      </c>
      <c r="J48" s="31" t="s">
        <v>761</v>
      </c>
      <c r="K48" s="31" t="s">
        <v>760</v>
      </c>
      <c r="L48" s="31" t="s">
        <v>79</v>
      </c>
      <c r="M48" s="31">
        <v>2021</v>
      </c>
      <c r="N48" s="31">
        <v>0</v>
      </c>
      <c r="O48" s="31">
        <v>334.07</v>
      </c>
      <c r="P48" s="31">
        <v>51.3769340656103</v>
      </c>
    </row>
    <row r="49" spans="1:16" ht="11.25" customHeight="1" x14ac:dyDescent="0.3">
      <c r="A49" s="31">
        <v>48</v>
      </c>
      <c r="B49" s="31" t="s">
        <v>615</v>
      </c>
      <c r="C49" s="31" t="s">
        <v>43</v>
      </c>
      <c r="D49" s="31" t="s">
        <v>33</v>
      </c>
      <c r="E49" s="31" t="s">
        <v>44</v>
      </c>
      <c r="F49" s="31" t="s">
        <v>95</v>
      </c>
      <c r="G49" s="31" t="s">
        <v>25</v>
      </c>
      <c r="H49" s="31" t="s">
        <v>25</v>
      </c>
      <c r="I49" s="31" t="s">
        <v>34</v>
      </c>
      <c r="J49" s="31" t="s">
        <v>761</v>
      </c>
      <c r="K49" s="31" t="s">
        <v>760</v>
      </c>
      <c r="L49" s="31" t="s">
        <v>79</v>
      </c>
      <c r="M49" s="31">
        <v>2021</v>
      </c>
      <c r="N49" s="31">
        <v>0</v>
      </c>
      <c r="O49" s="31">
        <v>842.45</v>
      </c>
      <c r="P49" s="31">
        <v>49.0416188808098</v>
      </c>
    </row>
    <row r="50" spans="1:16" ht="11.25" customHeight="1" x14ac:dyDescent="0.3">
      <c r="A50" s="31">
        <v>49</v>
      </c>
      <c r="B50" s="31" t="s">
        <v>615</v>
      </c>
      <c r="C50" s="31" t="s">
        <v>43</v>
      </c>
      <c r="D50" s="31" t="s">
        <v>33</v>
      </c>
      <c r="E50" s="31" t="s">
        <v>44</v>
      </c>
      <c r="F50" s="31" t="s">
        <v>95</v>
      </c>
      <c r="G50" s="31" t="s">
        <v>25</v>
      </c>
      <c r="H50" s="31" t="s">
        <v>25</v>
      </c>
      <c r="I50" s="31" t="s">
        <v>36</v>
      </c>
      <c r="J50" s="31" t="s">
        <v>761</v>
      </c>
      <c r="K50" s="31" t="s">
        <v>760</v>
      </c>
      <c r="L50" s="31" t="s">
        <v>79</v>
      </c>
      <c r="M50" s="31">
        <v>2021</v>
      </c>
      <c r="N50" s="31">
        <v>0</v>
      </c>
      <c r="O50" s="31">
        <v>541.97</v>
      </c>
      <c r="P50" s="31">
        <v>49.0416188808098</v>
      </c>
    </row>
    <row r="51" spans="1:16" ht="11.25" customHeight="1" x14ac:dyDescent="0.3">
      <c r="A51" s="31">
        <v>50</v>
      </c>
      <c r="B51" s="31" t="s">
        <v>615</v>
      </c>
      <c r="C51" s="31" t="s">
        <v>43</v>
      </c>
      <c r="D51" s="31" t="s">
        <v>33</v>
      </c>
      <c r="E51" s="31" t="s">
        <v>44</v>
      </c>
      <c r="F51" s="31" t="s">
        <v>95</v>
      </c>
      <c r="G51" s="31" t="s">
        <v>25</v>
      </c>
      <c r="H51" s="31" t="s">
        <v>25</v>
      </c>
      <c r="I51" s="31" t="s">
        <v>35</v>
      </c>
      <c r="J51" s="31" t="s">
        <v>761</v>
      </c>
      <c r="K51" s="31" t="s">
        <v>760</v>
      </c>
      <c r="L51" s="31" t="s">
        <v>79</v>
      </c>
      <c r="M51" s="31">
        <v>2021</v>
      </c>
      <c r="N51" s="31">
        <v>0</v>
      </c>
      <c r="O51" s="31">
        <v>241.49</v>
      </c>
      <c r="P51" s="31">
        <v>49.0416188808098</v>
      </c>
    </row>
    <row r="52" spans="1:16" ht="11.25" customHeight="1" x14ac:dyDescent="0.3">
      <c r="A52" s="31">
        <v>51</v>
      </c>
      <c r="B52" s="31" t="s">
        <v>615</v>
      </c>
      <c r="C52" s="31" t="s">
        <v>43</v>
      </c>
      <c r="D52" s="31" t="s">
        <v>23</v>
      </c>
      <c r="E52" s="31" t="s">
        <v>44</v>
      </c>
      <c r="F52" s="31" t="s">
        <v>95</v>
      </c>
      <c r="G52" s="31" t="s">
        <v>25</v>
      </c>
      <c r="H52" s="31" t="s">
        <v>25</v>
      </c>
      <c r="I52" s="31" t="s">
        <v>25</v>
      </c>
      <c r="J52" s="31" t="s">
        <v>761</v>
      </c>
      <c r="K52" s="31" t="s">
        <v>760</v>
      </c>
      <c r="L52" s="31" t="s">
        <v>79</v>
      </c>
      <c r="M52" s="31">
        <v>2021</v>
      </c>
      <c r="N52" s="31">
        <v>0</v>
      </c>
      <c r="O52" s="31">
        <v>318.88</v>
      </c>
      <c r="P52" s="31">
        <v>49.0416188808098</v>
      </c>
    </row>
    <row r="53" spans="1:16" ht="11.25" customHeight="1" x14ac:dyDescent="0.3">
      <c r="A53" s="31">
        <v>52</v>
      </c>
      <c r="B53" s="31" t="s">
        <v>615</v>
      </c>
      <c r="C53" s="31" t="s">
        <v>43</v>
      </c>
      <c r="D53" s="31" t="s">
        <v>93</v>
      </c>
      <c r="E53" s="31" t="s">
        <v>44</v>
      </c>
      <c r="F53" s="31" t="s">
        <v>25</v>
      </c>
      <c r="G53" s="31" t="s">
        <v>25</v>
      </c>
      <c r="H53" s="31" t="s">
        <v>25</v>
      </c>
      <c r="I53" s="31" t="s">
        <v>25</v>
      </c>
      <c r="J53" s="31" t="s">
        <v>761</v>
      </c>
      <c r="K53" s="31" t="s">
        <v>760</v>
      </c>
      <c r="L53" s="31" t="s">
        <v>79</v>
      </c>
      <c r="M53" s="31">
        <v>2021</v>
      </c>
      <c r="N53" s="31">
        <v>0</v>
      </c>
      <c r="O53" s="31">
        <v>334.07</v>
      </c>
      <c r="P53" s="31">
        <v>51.3769340656103</v>
      </c>
    </row>
    <row r="54" spans="1:16" ht="11.25" customHeight="1" x14ac:dyDescent="0.3">
      <c r="A54" s="31">
        <v>53</v>
      </c>
      <c r="B54" s="31" t="s">
        <v>615</v>
      </c>
      <c r="C54" s="31" t="s">
        <v>43</v>
      </c>
      <c r="D54" s="31" t="s">
        <v>93</v>
      </c>
      <c r="E54" s="31" t="s">
        <v>44</v>
      </c>
      <c r="F54" s="31" t="s">
        <v>94</v>
      </c>
      <c r="G54" s="31" t="s">
        <v>25</v>
      </c>
      <c r="H54" s="31" t="s">
        <v>25</v>
      </c>
      <c r="I54" s="31" t="s">
        <v>25</v>
      </c>
      <c r="J54" s="31" t="s">
        <v>761</v>
      </c>
      <c r="K54" s="31" t="s">
        <v>760</v>
      </c>
      <c r="L54" s="31" t="s">
        <v>79</v>
      </c>
      <c r="M54" s="31">
        <v>2021</v>
      </c>
      <c r="N54" s="31">
        <v>0</v>
      </c>
      <c r="O54" s="31">
        <v>334.07</v>
      </c>
      <c r="P54" s="31">
        <v>51.3769340656103</v>
      </c>
    </row>
    <row r="55" spans="1:16" ht="11.25" customHeight="1" x14ac:dyDescent="0.3">
      <c r="A55" s="31">
        <v>54</v>
      </c>
      <c r="B55" s="31" t="s">
        <v>615</v>
      </c>
      <c r="C55" s="31" t="s">
        <v>43</v>
      </c>
      <c r="D55" s="31" t="s">
        <v>93</v>
      </c>
      <c r="E55" s="31" t="s">
        <v>44</v>
      </c>
      <c r="F55" s="31" t="s">
        <v>95</v>
      </c>
      <c r="G55" s="31" t="s">
        <v>25</v>
      </c>
      <c r="H55" s="31" t="s">
        <v>25</v>
      </c>
      <c r="I55" s="31" t="s">
        <v>25</v>
      </c>
      <c r="J55" s="31" t="s">
        <v>761</v>
      </c>
      <c r="K55" s="31" t="s">
        <v>760</v>
      </c>
      <c r="L55" s="31" t="s">
        <v>79</v>
      </c>
      <c r="M55" s="31">
        <v>2021</v>
      </c>
      <c r="N55" s="31">
        <v>0</v>
      </c>
      <c r="O55" s="31">
        <v>318.88</v>
      </c>
      <c r="P55" s="31">
        <v>49.0416188808098</v>
      </c>
    </row>
    <row r="56" spans="1:16" ht="11.25" customHeight="1" x14ac:dyDescent="0.3">
      <c r="A56" s="31">
        <v>55</v>
      </c>
      <c r="B56" s="31" t="s">
        <v>615</v>
      </c>
      <c r="C56" s="31" t="s">
        <v>37</v>
      </c>
      <c r="D56" s="31" t="s">
        <v>33</v>
      </c>
      <c r="E56" s="31" t="s">
        <v>25</v>
      </c>
      <c r="F56" s="31" t="s">
        <v>25</v>
      </c>
      <c r="G56" s="31" t="s">
        <v>25</v>
      </c>
      <c r="H56" s="31" t="s">
        <v>25</v>
      </c>
      <c r="I56" s="31" t="s">
        <v>34</v>
      </c>
      <c r="J56" s="31" t="s">
        <v>761</v>
      </c>
      <c r="K56" s="31" t="s">
        <v>760</v>
      </c>
      <c r="L56" s="31" t="s">
        <v>79</v>
      </c>
      <c r="M56" s="31">
        <v>2021</v>
      </c>
      <c r="N56" s="31">
        <v>0</v>
      </c>
      <c r="O56" s="31">
        <v>1043.57</v>
      </c>
      <c r="P56" s="31">
        <v>58.3828796200117</v>
      </c>
    </row>
    <row r="57" spans="1:16" ht="11.25" customHeight="1" x14ac:dyDescent="0.3">
      <c r="A57" s="31">
        <v>56</v>
      </c>
      <c r="B57" s="31" t="s">
        <v>615</v>
      </c>
      <c r="C57" s="31" t="s">
        <v>37</v>
      </c>
      <c r="D57" s="31" t="s">
        <v>33</v>
      </c>
      <c r="E57" s="31" t="s">
        <v>25</v>
      </c>
      <c r="F57" s="31" t="s">
        <v>25</v>
      </c>
      <c r="G57" s="31" t="s">
        <v>25</v>
      </c>
      <c r="H57" s="31" t="s">
        <v>25</v>
      </c>
      <c r="I57" s="31" t="s">
        <v>36</v>
      </c>
      <c r="J57" s="31" t="s">
        <v>761</v>
      </c>
      <c r="K57" s="31" t="s">
        <v>760</v>
      </c>
      <c r="L57" s="31" t="s">
        <v>79</v>
      </c>
      <c r="M57" s="31">
        <v>2021</v>
      </c>
      <c r="N57" s="31">
        <v>0</v>
      </c>
      <c r="O57" s="31">
        <v>669.59</v>
      </c>
      <c r="P57" s="31">
        <v>58.3828796200117</v>
      </c>
    </row>
    <row r="58" spans="1:16" ht="11.25" customHeight="1" x14ac:dyDescent="0.3">
      <c r="A58" s="31">
        <v>57</v>
      </c>
      <c r="B58" s="31" t="s">
        <v>615</v>
      </c>
      <c r="C58" s="31" t="s">
        <v>37</v>
      </c>
      <c r="D58" s="31" t="s">
        <v>33</v>
      </c>
      <c r="E58" s="31" t="s">
        <v>25</v>
      </c>
      <c r="F58" s="31" t="s">
        <v>25</v>
      </c>
      <c r="G58" s="31" t="s">
        <v>25</v>
      </c>
      <c r="H58" s="31" t="s">
        <v>25</v>
      </c>
      <c r="I58" s="31" t="s">
        <v>35</v>
      </c>
      <c r="J58" s="31" t="s">
        <v>761</v>
      </c>
      <c r="K58" s="31" t="s">
        <v>760</v>
      </c>
      <c r="L58" s="31" t="s">
        <v>79</v>
      </c>
      <c r="M58" s="31">
        <v>2021</v>
      </c>
      <c r="N58" s="31">
        <v>0</v>
      </c>
      <c r="O58" s="31">
        <v>295.61</v>
      </c>
      <c r="P58" s="31">
        <v>58.3828796200117</v>
      </c>
    </row>
    <row r="59" spans="1:16" ht="11.25" customHeight="1" x14ac:dyDescent="0.3">
      <c r="A59" s="31">
        <v>58</v>
      </c>
      <c r="B59" s="31" t="s">
        <v>615</v>
      </c>
      <c r="C59" s="31" t="s">
        <v>37</v>
      </c>
      <c r="D59" s="31" t="s">
        <v>23</v>
      </c>
      <c r="E59" s="31" t="s">
        <v>25</v>
      </c>
      <c r="F59" s="31" t="s">
        <v>25</v>
      </c>
      <c r="G59" s="31" t="s">
        <v>25</v>
      </c>
      <c r="H59" s="31" t="s">
        <v>25</v>
      </c>
      <c r="I59" s="31" t="s">
        <v>25</v>
      </c>
      <c r="J59" s="31" t="s">
        <v>761</v>
      </c>
      <c r="K59" s="31" t="s">
        <v>760</v>
      </c>
      <c r="L59" s="31" t="s">
        <v>79</v>
      </c>
      <c r="M59" s="31">
        <v>2021</v>
      </c>
      <c r="N59" s="31">
        <v>0</v>
      </c>
      <c r="O59" s="31">
        <v>379.62</v>
      </c>
      <c r="P59" s="31">
        <v>58.3828796200117</v>
      </c>
    </row>
    <row r="60" spans="1:16" ht="11.25" customHeight="1" x14ac:dyDescent="0.3">
      <c r="A60" s="31">
        <v>59</v>
      </c>
      <c r="B60" s="31" t="s">
        <v>615</v>
      </c>
      <c r="C60" s="31" t="s">
        <v>37</v>
      </c>
      <c r="D60" s="31" t="s">
        <v>93</v>
      </c>
      <c r="E60" s="31" t="s">
        <v>25</v>
      </c>
      <c r="F60" s="31" t="s">
        <v>25</v>
      </c>
      <c r="G60" s="31" t="s">
        <v>25</v>
      </c>
      <c r="H60" s="31" t="s">
        <v>25</v>
      </c>
      <c r="I60" s="31" t="s">
        <v>25</v>
      </c>
      <c r="J60" s="31" t="s">
        <v>761</v>
      </c>
      <c r="K60" s="31" t="s">
        <v>760</v>
      </c>
      <c r="L60" s="31" t="s">
        <v>79</v>
      </c>
      <c r="M60" s="31">
        <v>2021</v>
      </c>
      <c r="N60" s="31">
        <v>0</v>
      </c>
      <c r="O60" s="31">
        <v>379.62</v>
      </c>
      <c r="P60" s="31">
        <v>58.3828796200117</v>
      </c>
    </row>
    <row r="61" spans="1:16" ht="11.25" customHeight="1" x14ac:dyDescent="0.3">
      <c r="A61" s="31">
        <v>60</v>
      </c>
      <c r="B61" s="31" t="s">
        <v>615</v>
      </c>
      <c r="C61" s="31" t="s">
        <v>47</v>
      </c>
      <c r="D61" s="31" t="s">
        <v>23</v>
      </c>
      <c r="E61" s="31" t="s">
        <v>48</v>
      </c>
      <c r="F61" s="31" t="s">
        <v>49</v>
      </c>
      <c r="G61" s="31" t="s">
        <v>25</v>
      </c>
      <c r="H61" s="31" t="s">
        <v>25</v>
      </c>
      <c r="I61" s="31" t="s">
        <v>25</v>
      </c>
      <c r="J61" s="31" t="s">
        <v>761</v>
      </c>
      <c r="K61" s="31" t="s">
        <v>760</v>
      </c>
      <c r="L61" s="31" t="s">
        <v>79</v>
      </c>
      <c r="M61" s="31">
        <v>2021</v>
      </c>
      <c r="N61" s="31">
        <v>0</v>
      </c>
      <c r="O61" s="31">
        <v>208.79</v>
      </c>
      <c r="P61" s="31">
        <v>32.110583791006398</v>
      </c>
    </row>
    <row r="62" spans="1:16" ht="11.25" customHeight="1" x14ac:dyDescent="0.3">
      <c r="A62" s="31">
        <v>61</v>
      </c>
      <c r="B62" s="31" t="s">
        <v>615</v>
      </c>
      <c r="C62" s="31" t="s">
        <v>47</v>
      </c>
      <c r="D62" s="31" t="s">
        <v>23</v>
      </c>
      <c r="E62" s="31" t="s">
        <v>48</v>
      </c>
      <c r="F62" s="31" t="s">
        <v>96</v>
      </c>
      <c r="G62" s="31" t="s">
        <v>25</v>
      </c>
      <c r="H62" s="31" t="s">
        <v>25</v>
      </c>
      <c r="I62" s="31" t="s">
        <v>25</v>
      </c>
      <c r="J62" s="31" t="s">
        <v>761</v>
      </c>
      <c r="K62" s="31" t="s">
        <v>760</v>
      </c>
      <c r="L62" s="31" t="s">
        <v>79</v>
      </c>
      <c r="M62" s="31">
        <v>2021</v>
      </c>
      <c r="N62" s="31">
        <v>0</v>
      </c>
      <c r="O62" s="31">
        <v>227.77</v>
      </c>
      <c r="P62" s="31">
        <v>35.029727772007</v>
      </c>
    </row>
    <row r="63" spans="1:16" ht="11.25" customHeight="1" x14ac:dyDescent="0.3">
      <c r="A63" s="31">
        <v>62</v>
      </c>
      <c r="B63" s="31" t="s">
        <v>643</v>
      </c>
      <c r="C63" s="31" t="s">
        <v>45</v>
      </c>
      <c r="D63" s="31" t="s">
        <v>78</v>
      </c>
      <c r="E63" s="31" t="s">
        <v>25</v>
      </c>
      <c r="F63" s="31" t="s">
        <v>25</v>
      </c>
      <c r="G63" s="31" t="s">
        <v>25</v>
      </c>
      <c r="H63" s="31" t="s">
        <v>25</v>
      </c>
      <c r="I63" s="31" t="s">
        <v>34</v>
      </c>
      <c r="J63" s="31" t="s">
        <v>761</v>
      </c>
      <c r="K63" s="31" t="s">
        <v>760</v>
      </c>
      <c r="L63" s="31" t="s">
        <v>79</v>
      </c>
      <c r="M63" s="31">
        <v>2021</v>
      </c>
      <c r="N63" s="31">
        <v>0</v>
      </c>
      <c r="O63" s="31">
        <v>391.54</v>
      </c>
      <c r="P63" s="31"/>
    </row>
    <row r="64" spans="1:16" ht="11.25" customHeight="1" x14ac:dyDescent="0.3">
      <c r="A64" s="31">
        <v>63</v>
      </c>
      <c r="B64" s="31" t="s">
        <v>643</v>
      </c>
      <c r="C64" s="31" t="s">
        <v>45</v>
      </c>
      <c r="D64" s="31" t="s">
        <v>78</v>
      </c>
      <c r="E64" s="31" t="s">
        <v>25</v>
      </c>
      <c r="F64" s="31" t="s">
        <v>25</v>
      </c>
      <c r="G64" s="31" t="s">
        <v>25</v>
      </c>
      <c r="H64" s="31" t="s">
        <v>25</v>
      </c>
      <c r="I64" s="31" t="s">
        <v>35</v>
      </c>
      <c r="J64" s="31" t="s">
        <v>761</v>
      </c>
      <c r="K64" s="31" t="s">
        <v>760</v>
      </c>
      <c r="L64" s="31" t="s">
        <v>79</v>
      </c>
      <c r="M64" s="31">
        <v>2021</v>
      </c>
      <c r="N64" s="31">
        <v>0</v>
      </c>
      <c r="O64" s="31">
        <v>242.77</v>
      </c>
      <c r="P64" s="31"/>
    </row>
    <row r="65" spans="1:16" ht="11.25" customHeight="1" x14ac:dyDescent="0.3">
      <c r="A65" s="31">
        <v>64</v>
      </c>
      <c r="B65" s="31" t="s">
        <v>643</v>
      </c>
      <c r="C65" s="31" t="s">
        <v>45</v>
      </c>
      <c r="D65" s="31" t="s">
        <v>82</v>
      </c>
      <c r="E65" s="31" t="s">
        <v>25</v>
      </c>
      <c r="F65" s="31" t="s">
        <v>25</v>
      </c>
      <c r="G65" s="31" t="s">
        <v>25</v>
      </c>
      <c r="H65" s="31" t="s">
        <v>25</v>
      </c>
      <c r="I65" s="31" t="s">
        <v>25</v>
      </c>
      <c r="J65" s="31" t="s">
        <v>761</v>
      </c>
      <c r="K65" s="31" t="s">
        <v>760</v>
      </c>
      <c r="L65" s="31" t="s">
        <v>79</v>
      </c>
      <c r="M65" s="31">
        <v>2021</v>
      </c>
      <c r="N65" s="31">
        <v>0</v>
      </c>
      <c r="O65" s="31">
        <v>255.17</v>
      </c>
      <c r="P65" s="31"/>
    </row>
    <row r="66" spans="1:16" ht="11.25" customHeight="1" x14ac:dyDescent="0.3">
      <c r="A66" s="31">
        <v>65</v>
      </c>
      <c r="B66" s="31" t="s">
        <v>643</v>
      </c>
      <c r="C66" s="31" t="s">
        <v>39</v>
      </c>
      <c r="D66" s="31" t="s">
        <v>78</v>
      </c>
      <c r="E66" s="31" t="s">
        <v>25</v>
      </c>
      <c r="F66" s="31" t="s">
        <v>25</v>
      </c>
      <c r="G66" s="31" t="s">
        <v>25</v>
      </c>
      <c r="H66" s="31" t="s">
        <v>25</v>
      </c>
      <c r="I66" s="31" t="s">
        <v>34</v>
      </c>
      <c r="J66" s="31" t="s">
        <v>761</v>
      </c>
      <c r="K66" s="31" t="s">
        <v>760</v>
      </c>
      <c r="L66" s="31" t="s">
        <v>79</v>
      </c>
      <c r="M66" s="31">
        <v>2021</v>
      </c>
      <c r="N66" s="31">
        <v>0</v>
      </c>
      <c r="O66" s="31">
        <v>391.54</v>
      </c>
      <c r="P66" s="31"/>
    </row>
    <row r="67" spans="1:16" ht="11.25" customHeight="1" x14ac:dyDescent="0.3">
      <c r="A67" s="31">
        <v>66</v>
      </c>
      <c r="B67" s="31" t="s">
        <v>643</v>
      </c>
      <c r="C67" s="31" t="s">
        <v>39</v>
      </c>
      <c r="D67" s="31" t="s">
        <v>78</v>
      </c>
      <c r="E67" s="31" t="s">
        <v>25</v>
      </c>
      <c r="F67" s="31" t="s">
        <v>25</v>
      </c>
      <c r="G67" s="31" t="s">
        <v>25</v>
      </c>
      <c r="H67" s="31" t="s">
        <v>25</v>
      </c>
      <c r="I67" s="31" t="s">
        <v>35</v>
      </c>
      <c r="J67" s="31" t="s">
        <v>761</v>
      </c>
      <c r="K67" s="31" t="s">
        <v>760</v>
      </c>
      <c r="L67" s="31" t="s">
        <v>79</v>
      </c>
      <c r="M67" s="31">
        <v>2021</v>
      </c>
      <c r="N67" s="31">
        <v>0</v>
      </c>
      <c r="O67" s="31">
        <v>242.77</v>
      </c>
      <c r="P67" s="31"/>
    </row>
    <row r="68" spans="1:16" ht="11.25" customHeight="1" x14ac:dyDescent="0.3">
      <c r="A68" s="31">
        <v>67</v>
      </c>
      <c r="B68" s="31" t="s">
        <v>643</v>
      </c>
      <c r="C68" s="31" t="s">
        <v>39</v>
      </c>
      <c r="D68" s="31" t="s">
        <v>82</v>
      </c>
      <c r="E68" s="31" t="s">
        <v>25</v>
      </c>
      <c r="F68" s="31" t="s">
        <v>25</v>
      </c>
      <c r="G68" s="31" t="s">
        <v>25</v>
      </c>
      <c r="H68" s="31" t="s">
        <v>25</v>
      </c>
      <c r="I68" s="31" t="s">
        <v>25</v>
      </c>
      <c r="J68" s="31" t="s">
        <v>761</v>
      </c>
      <c r="K68" s="31" t="s">
        <v>760</v>
      </c>
      <c r="L68" s="31" t="s">
        <v>79</v>
      </c>
      <c r="M68" s="31">
        <v>2021</v>
      </c>
      <c r="N68" s="31">
        <v>0</v>
      </c>
      <c r="O68" s="31">
        <v>255.17</v>
      </c>
      <c r="P68" s="31"/>
    </row>
    <row r="69" spans="1:16" ht="11.25" customHeight="1" x14ac:dyDescent="0.3">
      <c r="A69" s="31">
        <v>68</v>
      </c>
      <c r="B69" s="31" t="s">
        <v>643</v>
      </c>
      <c r="C69" s="31" t="s">
        <v>22</v>
      </c>
      <c r="D69" s="31" t="s">
        <v>78</v>
      </c>
      <c r="E69" s="31" t="s">
        <v>24</v>
      </c>
      <c r="F69" s="31" t="s">
        <v>24</v>
      </c>
      <c r="G69" s="31" t="s">
        <v>25</v>
      </c>
      <c r="H69" s="31" t="s">
        <v>25</v>
      </c>
      <c r="I69" s="31" t="s">
        <v>34</v>
      </c>
      <c r="J69" s="31" t="s">
        <v>761</v>
      </c>
      <c r="K69" s="31" t="s">
        <v>760</v>
      </c>
      <c r="L69" s="31" t="s">
        <v>79</v>
      </c>
      <c r="M69" s="31">
        <v>2021</v>
      </c>
      <c r="N69" s="31">
        <v>0</v>
      </c>
      <c r="O69" s="31">
        <v>391.54</v>
      </c>
      <c r="P69" s="31"/>
    </row>
    <row r="70" spans="1:16" ht="11.25" customHeight="1" x14ac:dyDescent="0.3">
      <c r="A70" s="31">
        <v>69</v>
      </c>
      <c r="B70" s="31" t="s">
        <v>643</v>
      </c>
      <c r="C70" s="31" t="s">
        <v>22</v>
      </c>
      <c r="D70" s="31" t="s">
        <v>78</v>
      </c>
      <c r="E70" s="31" t="s">
        <v>24</v>
      </c>
      <c r="F70" s="31" t="s">
        <v>24</v>
      </c>
      <c r="G70" s="31" t="s">
        <v>25</v>
      </c>
      <c r="H70" s="31" t="s">
        <v>25</v>
      </c>
      <c r="I70" s="31" t="s">
        <v>36</v>
      </c>
      <c r="J70" s="31" t="s">
        <v>761</v>
      </c>
      <c r="K70" s="31" t="s">
        <v>760</v>
      </c>
      <c r="L70" s="31" t="s">
        <v>79</v>
      </c>
      <c r="M70" s="31">
        <v>2021</v>
      </c>
      <c r="N70" s="31">
        <v>0</v>
      </c>
      <c r="O70" s="31">
        <v>242.77</v>
      </c>
      <c r="P70" s="31"/>
    </row>
    <row r="71" spans="1:16" ht="11.25" customHeight="1" x14ac:dyDescent="0.3">
      <c r="A71" s="31">
        <v>70</v>
      </c>
      <c r="B71" s="31" t="s">
        <v>643</v>
      </c>
      <c r="C71" s="31" t="s">
        <v>22</v>
      </c>
      <c r="D71" s="31" t="s">
        <v>78</v>
      </c>
      <c r="E71" s="31" t="s">
        <v>24</v>
      </c>
      <c r="F71" s="31" t="s">
        <v>24</v>
      </c>
      <c r="G71" s="31" t="s">
        <v>25</v>
      </c>
      <c r="H71" s="31" t="s">
        <v>25</v>
      </c>
      <c r="I71" s="31" t="s">
        <v>35</v>
      </c>
      <c r="J71" s="31" t="s">
        <v>761</v>
      </c>
      <c r="K71" s="31" t="s">
        <v>760</v>
      </c>
      <c r="L71" s="31" t="s">
        <v>79</v>
      </c>
      <c r="M71" s="31">
        <v>2021</v>
      </c>
      <c r="N71" s="31">
        <v>0</v>
      </c>
      <c r="O71" s="31">
        <v>242.77</v>
      </c>
      <c r="P71" s="31"/>
    </row>
    <row r="72" spans="1:16" ht="11.25" customHeight="1" x14ac:dyDescent="0.3">
      <c r="A72" s="31">
        <v>71</v>
      </c>
      <c r="B72" s="31" t="s">
        <v>643</v>
      </c>
      <c r="C72" s="31" t="s">
        <v>22</v>
      </c>
      <c r="D72" s="31" t="s">
        <v>82</v>
      </c>
      <c r="E72" s="31" t="s">
        <v>24</v>
      </c>
      <c r="F72" s="31" t="s">
        <v>24</v>
      </c>
      <c r="G72" s="31" t="s">
        <v>25</v>
      </c>
      <c r="H72" s="31" t="s">
        <v>25</v>
      </c>
      <c r="I72" s="31" t="s">
        <v>25</v>
      </c>
      <c r="J72" s="31" t="s">
        <v>761</v>
      </c>
      <c r="K72" s="31" t="s">
        <v>760</v>
      </c>
      <c r="L72" s="31" t="s">
        <v>79</v>
      </c>
      <c r="M72" s="31">
        <v>2021</v>
      </c>
      <c r="N72" s="31">
        <v>0</v>
      </c>
      <c r="O72" s="31">
        <v>255.17</v>
      </c>
      <c r="P72" s="31"/>
    </row>
    <row r="73" spans="1:16" ht="11.25" customHeight="1" x14ac:dyDescent="0.3">
      <c r="A73" s="31">
        <v>72</v>
      </c>
      <c r="B73" s="31" t="s">
        <v>643</v>
      </c>
      <c r="C73" s="31" t="s">
        <v>22</v>
      </c>
      <c r="D73" s="31" t="s">
        <v>82</v>
      </c>
      <c r="E73" s="31" t="s">
        <v>24</v>
      </c>
      <c r="F73" s="31" t="s">
        <v>29</v>
      </c>
      <c r="G73" s="31" t="s">
        <v>25</v>
      </c>
      <c r="H73" s="31" t="s">
        <v>25</v>
      </c>
      <c r="I73" s="31" t="s">
        <v>25</v>
      </c>
      <c r="J73" s="31" t="s">
        <v>761</v>
      </c>
      <c r="K73" s="31" t="s">
        <v>760</v>
      </c>
      <c r="L73" s="31" t="s">
        <v>79</v>
      </c>
      <c r="M73" s="31">
        <v>2021</v>
      </c>
      <c r="N73" s="31">
        <v>0</v>
      </c>
      <c r="O73" s="31">
        <v>89.31</v>
      </c>
      <c r="P73" s="31"/>
    </row>
    <row r="74" spans="1:16" ht="11.25" customHeight="1" x14ac:dyDescent="0.3">
      <c r="A74" s="31">
        <v>73</v>
      </c>
      <c r="B74" s="31" t="s">
        <v>643</v>
      </c>
      <c r="C74" s="31" t="s">
        <v>22</v>
      </c>
      <c r="D74" s="31" t="s">
        <v>82</v>
      </c>
      <c r="E74" s="31" t="s">
        <v>24</v>
      </c>
      <c r="F74" s="31" t="s">
        <v>30</v>
      </c>
      <c r="G74" s="31" t="s">
        <v>25</v>
      </c>
      <c r="H74" s="31" t="s">
        <v>25</v>
      </c>
      <c r="I74" s="31" t="s">
        <v>25</v>
      </c>
      <c r="J74" s="31" t="s">
        <v>761</v>
      </c>
      <c r="K74" s="31" t="s">
        <v>760</v>
      </c>
      <c r="L74" s="31" t="s">
        <v>79</v>
      </c>
      <c r="M74" s="31">
        <v>2021</v>
      </c>
      <c r="N74" s="31">
        <v>0</v>
      </c>
      <c r="O74" s="31">
        <v>153.1</v>
      </c>
      <c r="P74" s="31"/>
    </row>
    <row r="75" spans="1:16" ht="11.25" customHeight="1" x14ac:dyDescent="0.3">
      <c r="A75" s="31">
        <v>74</v>
      </c>
      <c r="B75" s="31" t="s">
        <v>643</v>
      </c>
      <c r="C75" s="31" t="s">
        <v>22</v>
      </c>
      <c r="D75" s="31" t="s">
        <v>82</v>
      </c>
      <c r="E75" s="31" t="s">
        <v>24</v>
      </c>
      <c r="F75" s="31" t="s">
        <v>31</v>
      </c>
      <c r="G75" s="31" t="s">
        <v>25</v>
      </c>
      <c r="H75" s="31" t="s">
        <v>25</v>
      </c>
      <c r="I75" s="31" t="s">
        <v>25</v>
      </c>
      <c r="J75" s="31" t="s">
        <v>761</v>
      </c>
      <c r="K75" s="31" t="s">
        <v>760</v>
      </c>
      <c r="L75" s="31" t="s">
        <v>79</v>
      </c>
      <c r="M75" s="31">
        <v>2021</v>
      </c>
      <c r="N75" s="31">
        <v>0</v>
      </c>
      <c r="O75" s="31">
        <v>229.65</v>
      </c>
      <c r="P75" s="31"/>
    </row>
    <row r="76" spans="1:16" ht="11.25" customHeight="1" x14ac:dyDescent="0.3">
      <c r="A76" s="31">
        <v>75</v>
      </c>
      <c r="B76" s="31" t="s">
        <v>643</v>
      </c>
      <c r="C76" s="31" t="s">
        <v>22</v>
      </c>
      <c r="D76" s="31" t="s">
        <v>82</v>
      </c>
      <c r="E76" s="31" t="s">
        <v>24</v>
      </c>
      <c r="F76" s="31" t="s">
        <v>32</v>
      </c>
      <c r="G76" s="31" t="s">
        <v>25</v>
      </c>
      <c r="H76" s="31" t="s">
        <v>25</v>
      </c>
      <c r="I76" s="31" t="s">
        <v>25</v>
      </c>
      <c r="J76" s="31" t="s">
        <v>761</v>
      </c>
      <c r="K76" s="31" t="s">
        <v>760</v>
      </c>
      <c r="L76" s="31" t="s">
        <v>79</v>
      </c>
      <c r="M76" s="31">
        <v>2021</v>
      </c>
      <c r="N76" s="31">
        <v>0</v>
      </c>
      <c r="O76" s="31">
        <v>255.17</v>
      </c>
      <c r="P76" s="31"/>
    </row>
    <row r="77" spans="1:16" ht="11.25" customHeight="1" x14ac:dyDescent="0.3">
      <c r="A77" s="31">
        <v>76</v>
      </c>
      <c r="B77" s="31" t="s">
        <v>643</v>
      </c>
      <c r="C77" s="31" t="s">
        <v>22</v>
      </c>
      <c r="D77" s="31" t="s">
        <v>92</v>
      </c>
      <c r="E77" s="31" t="s">
        <v>24</v>
      </c>
      <c r="F77" s="31" t="s">
        <v>24</v>
      </c>
      <c r="G77" s="31" t="s">
        <v>25</v>
      </c>
      <c r="H77" s="31" t="s">
        <v>25</v>
      </c>
      <c r="I77" s="31" t="s">
        <v>25</v>
      </c>
      <c r="J77" s="31" t="s">
        <v>761</v>
      </c>
      <c r="K77" s="31" t="s">
        <v>760</v>
      </c>
      <c r="L77" s="31" t="s">
        <v>79</v>
      </c>
      <c r="M77" s="31">
        <v>2021</v>
      </c>
      <c r="N77" s="31">
        <v>0</v>
      </c>
      <c r="O77" s="31">
        <v>255.17</v>
      </c>
      <c r="P77" s="31"/>
    </row>
    <row r="78" spans="1:16" ht="11.25" customHeight="1" x14ac:dyDescent="0.3">
      <c r="A78" s="31">
        <v>77</v>
      </c>
      <c r="B78" s="31" t="s">
        <v>643</v>
      </c>
      <c r="C78" s="31" t="s">
        <v>22</v>
      </c>
      <c r="D78" s="31" t="s">
        <v>92</v>
      </c>
      <c r="E78" s="31" t="s">
        <v>24</v>
      </c>
      <c r="F78" s="31" t="s">
        <v>29</v>
      </c>
      <c r="G78" s="31" t="s">
        <v>25</v>
      </c>
      <c r="H78" s="31" t="s">
        <v>25</v>
      </c>
      <c r="I78" s="31" t="s">
        <v>25</v>
      </c>
      <c r="J78" s="31" t="s">
        <v>761</v>
      </c>
      <c r="K78" s="31" t="s">
        <v>760</v>
      </c>
      <c r="L78" s="31" t="s">
        <v>79</v>
      </c>
      <c r="M78" s="31">
        <v>2021</v>
      </c>
      <c r="N78" s="31">
        <v>0</v>
      </c>
      <c r="O78" s="31">
        <v>89.31</v>
      </c>
      <c r="P78" s="31"/>
    </row>
    <row r="79" spans="1:16" ht="11.25" customHeight="1" x14ac:dyDescent="0.3">
      <c r="A79" s="31">
        <v>78</v>
      </c>
      <c r="B79" s="31" t="s">
        <v>643</v>
      </c>
      <c r="C79" s="31" t="s">
        <v>22</v>
      </c>
      <c r="D79" s="31" t="s">
        <v>92</v>
      </c>
      <c r="E79" s="31" t="s">
        <v>24</v>
      </c>
      <c r="F79" s="31" t="s">
        <v>30</v>
      </c>
      <c r="G79" s="31" t="s">
        <v>25</v>
      </c>
      <c r="H79" s="31" t="s">
        <v>25</v>
      </c>
      <c r="I79" s="31" t="s">
        <v>25</v>
      </c>
      <c r="J79" s="31" t="s">
        <v>761</v>
      </c>
      <c r="K79" s="31" t="s">
        <v>760</v>
      </c>
      <c r="L79" s="31" t="s">
        <v>79</v>
      </c>
      <c r="M79" s="31">
        <v>2021</v>
      </c>
      <c r="N79" s="31">
        <v>0</v>
      </c>
      <c r="O79" s="31">
        <v>153.1</v>
      </c>
      <c r="P79" s="31"/>
    </row>
    <row r="80" spans="1:16" ht="11.25" customHeight="1" x14ac:dyDescent="0.3">
      <c r="A80" s="31">
        <v>79</v>
      </c>
      <c r="B80" s="31" t="s">
        <v>643</v>
      </c>
      <c r="C80" s="31" t="s">
        <v>22</v>
      </c>
      <c r="D80" s="31" t="s">
        <v>92</v>
      </c>
      <c r="E80" s="31" t="s">
        <v>24</v>
      </c>
      <c r="F80" s="31" t="s">
        <v>31</v>
      </c>
      <c r="G80" s="31" t="s">
        <v>25</v>
      </c>
      <c r="H80" s="31" t="s">
        <v>25</v>
      </c>
      <c r="I80" s="31" t="s">
        <v>25</v>
      </c>
      <c r="J80" s="31" t="s">
        <v>761</v>
      </c>
      <c r="K80" s="31" t="s">
        <v>760</v>
      </c>
      <c r="L80" s="31" t="s">
        <v>79</v>
      </c>
      <c r="M80" s="31">
        <v>2021</v>
      </c>
      <c r="N80" s="31">
        <v>0</v>
      </c>
      <c r="O80" s="31">
        <v>229.65</v>
      </c>
      <c r="P80" s="31"/>
    </row>
    <row r="81" spans="1:16" ht="11.25" customHeight="1" x14ac:dyDescent="0.3">
      <c r="A81" s="31">
        <v>80</v>
      </c>
      <c r="B81" s="31" t="s">
        <v>643</v>
      </c>
      <c r="C81" s="31" t="s">
        <v>22</v>
      </c>
      <c r="D81" s="31" t="s">
        <v>92</v>
      </c>
      <c r="E81" s="31" t="s">
        <v>24</v>
      </c>
      <c r="F81" s="31" t="s">
        <v>32</v>
      </c>
      <c r="G81" s="31" t="s">
        <v>25</v>
      </c>
      <c r="H81" s="31" t="s">
        <v>25</v>
      </c>
      <c r="I81" s="31" t="s">
        <v>25</v>
      </c>
      <c r="J81" s="31" t="s">
        <v>761</v>
      </c>
      <c r="K81" s="31" t="s">
        <v>760</v>
      </c>
      <c r="L81" s="31" t="s">
        <v>79</v>
      </c>
      <c r="M81" s="31">
        <v>2021</v>
      </c>
      <c r="N81" s="31">
        <v>0</v>
      </c>
      <c r="O81" s="31">
        <v>255.17</v>
      </c>
      <c r="P81" s="31"/>
    </row>
    <row r="82" spans="1:16" ht="11.25" customHeight="1" x14ac:dyDescent="0.3">
      <c r="A82" s="31">
        <v>81</v>
      </c>
      <c r="B82" s="31" t="s">
        <v>643</v>
      </c>
      <c r="C82" s="31" t="s">
        <v>43</v>
      </c>
      <c r="D82" s="31" t="s">
        <v>78</v>
      </c>
      <c r="E82" s="31" t="s">
        <v>44</v>
      </c>
      <c r="F82" s="31" t="s">
        <v>25</v>
      </c>
      <c r="G82" s="31" t="s">
        <v>25</v>
      </c>
      <c r="H82" s="31" t="s">
        <v>25</v>
      </c>
      <c r="I82" s="31" t="s">
        <v>34</v>
      </c>
      <c r="J82" s="31" t="s">
        <v>761</v>
      </c>
      <c r="K82" s="31" t="s">
        <v>760</v>
      </c>
      <c r="L82" s="31" t="s">
        <v>79</v>
      </c>
      <c r="M82" s="31">
        <v>2021</v>
      </c>
      <c r="N82" s="31">
        <v>0</v>
      </c>
      <c r="O82" s="31">
        <v>344.56</v>
      </c>
      <c r="P82" s="31"/>
    </row>
    <row r="83" spans="1:16" ht="11.25" customHeight="1" x14ac:dyDescent="0.3">
      <c r="A83" s="31">
        <v>82</v>
      </c>
      <c r="B83" s="31" t="s">
        <v>643</v>
      </c>
      <c r="C83" s="31" t="s">
        <v>43</v>
      </c>
      <c r="D83" s="31" t="s">
        <v>78</v>
      </c>
      <c r="E83" s="31" t="s">
        <v>44</v>
      </c>
      <c r="F83" s="31" t="s">
        <v>25</v>
      </c>
      <c r="G83" s="31" t="s">
        <v>25</v>
      </c>
      <c r="H83" s="31" t="s">
        <v>25</v>
      </c>
      <c r="I83" s="31" t="s">
        <v>36</v>
      </c>
      <c r="J83" s="31" t="s">
        <v>761</v>
      </c>
      <c r="K83" s="31" t="s">
        <v>760</v>
      </c>
      <c r="L83" s="31" t="s">
        <v>79</v>
      </c>
      <c r="M83" s="31">
        <v>2021</v>
      </c>
      <c r="N83" s="31">
        <v>0</v>
      </c>
      <c r="O83" s="31">
        <v>213.64</v>
      </c>
      <c r="P83" s="31"/>
    </row>
    <row r="84" spans="1:16" ht="11.25" customHeight="1" x14ac:dyDescent="0.3">
      <c r="A84" s="31">
        <v>83</v>
      </c>
      <c r="B84" s="31" t="s">
        <v>643</v>
      </c>
      <c r="C84" s="31" t="s">
        <v>43</v>
      </c>
      <c r="D84" s="31" t="s">
        <v>78</v>
      </c>
      <c r="E84" s="31" t="s">
        <v>44</v>
      </c>
      <c r="F84" s="31" t="s">
        <v>25</v>
      </c>
      <c r="G84" s="31" t="s">
        <v>25</v>
      </c>
      <c r="H84" s="31" t="s">
        <v>25</v>
      </c>
      <c r="I84" s="31" t="s">
        <v>35</v>
      </c>
      <c r="J84" s="31" t="s">
        <v>761</v>
      </c>
      <c r="K84" s="31" t="s">
        <v>760</v>
      </c>
      <c r="L84" s="31" t="s">
        <v>79</v>
      </c>
      <c r="M84" s="31">
        <v>2021</v>
      </c>
      <c r="N84" s="31">
        <v>0</v>
      </c>
      <c r="O84" s="31">
        <v>213.64</v>
      </c>
      <c r="P84" s="31"/>
    </row>
    <row r="85" spans="1:16" ht="11.25" customHeight="1" x14ac:dyDescent="0.3">
      <c r="A85" s="31">
        <v>84</v>
      </c>
      <c r="B85" s="31" t="s">
        <v>643</v>
      </c>
      <c r="C85" s="31" t="s">
        <v>43</v>
      </c>
      <c r="D85" s="31" t="s">
        <v>82</v>
      </c>
      <c r="E85" s="31" t="s">
        <v>44</v>
      </c>
      <c r="F85" s="31" t="s">
        <v>25</v>
      </c>
      <c r="G85" s="31" t="s">
        <v>25</v>
      </c>
      <c r="H85" s="31" t="s">
        <v>25</v>
      </c>
      <c r="I85" s="31" t="s">
        <v>25</v>
      </c>
      <c r="J85" s="31" t="s">
        <v>761</v>
      </c>
      <c r="K85" s="31" t="s">
        <v>760</v>
      </c>
      <c r="L85" s="31" t="s">
        <v>79</v>
      </c>
      <c r="M85" s="31">
        <v>2021</v>
      </c>
      <c r="N85" s="31">
        <v>0</v>
      </c>
      <c r="O85" s="31">
        <v>224.55</v>
      </c>
      <c r="P85" s="31"/>
    </row>
    <row r="86" spans="1:16" ht="11.25" customHeight="1" x14ac:dyDescent="0.3">
      <c r="A86" s="31">
        <v>85</v>
      </c>
      <c r="B86" s="31" t="s">
        <v>643</v>
      </c>
      <c r="C86" s="31" t="s">
        <v>43</v>
      </c>
      <c r="D86" s="31" t="s">
        <v>78</v>
      </c>
      <c r="E86" s="31" t="s">
        <v>44</v>
      </c>
      <c r="F86" s="31" t="s">
        <v>94</v>
      </c>
      <c r="G86" s="31" t="s">
        <v>25</v>
      </c>
      <c r="H86" s="31" t="s">
        <v>25</v>
      </c>
      <c r="I86" s="31" t="s">
        <v>34</v>
      </c>
      <c r="J86" s="31" t="s">
        <v>761</v>
      </c>
      <c r="K86" s="31" t="s">
        <v>760</v>
      </c>
      <c r="L86" s="31" t="s">
        <v>79</v>
      </c>
      <c r="M86" s="31">
        <v>2021</v>
      </c>
      <c r="N86" s="31">
        <v>0</v>
      </c>
      <c r="O86" s="31">
        <v>344.56</v>
      </c>
      <c r="P86" s="31"/>
    </row>
    <row r="87" spans="1:16" ht="11.25" customHeight="1" x14ac:dyDescent="0.3">
      <c r="A87" s="31">
        <v>86</v>
      </c>
      <c r="B87" s="31" t="s">
        <v>643</v>
      </c>
      <c r="C87" s="31" t="s">
        <v>43</v>
      </c>
      <c r="D87" s="31" t="s">
        <v>78</v>
      </c>
      <c r="E87" s="31" t="s">
        <v>44</v>
      </c>
      <c r="F87" s="31" t="s">
        <v>94</v>
      </c>
      <c r="G87" s="31" t="s">
        <v>25</v>
      </c>
      <c r="H87" s="31" t="s">
        <v>25</v>
      </c>
      <c r="I87" s="31" t="s">
        <v>36</v>
      </c>
      <c r="J87" s="31" t="s">
        <v>761</v>
      </c>
      <c r="K87" s="31" t="s">
        <v>760</v>
      </c>
      <c r="L87" s="31" t="s">
        <v>79</v>
      </c>
      <c r="M87" s="31">
        <v>2021</v>
      </c>
      <c r="N87" s="31">
        <v>0</v>
      </c>
      <c r="O87" s="31">
        <v>213.64</v>
      </c>
      <c r="P87" s="31"/>
    </row>
    <row r="88" spans="1:16" ht="11.25" customHeight="1" x14ac:dyDescent="0.3">
      <c r="A88" s="31">
        <v>87</v>
      </c>
      <c r="B88" s="31" t="s">
        <v>643</v>
      </c>
      <c r="C88" s="31" t="s">
        <v>43</v>
      </c>
      <c r="D88" s="31" t="s">
        <v>78</v>
      </c>
      <c r="E88" s="31" t="s">
        <v>44</v>
      </c>
      <c r="F88" s="31" t="s">
        <v>94</v>
      </c>
      <c r="G88" s="31" t="s">
        <v>25</v>
      </c>
      <c r="H88" s="31" t="s">
        <v>25</v>
      </c>
      <c r="I88" s="31" t="s">
        <v>35</v>
      </c>
      <c r="J88" s="31" t="s">
        <v>761</v>
      </c>
      <c r="K88" s="31" t="s">
        <v>760</v>
      </c>
      <c r="L88" s="31" t="s">
        <v>79</v>
      </c>
      <c r="M88" s="31">
        <v>2021</v>
      </c>
      <c r="N88" s="31">
        <v>0</v>
      </c>
      <c r="O88" s="31">
        <v>213.64</v>
      </c>
      <c r="P88" s="31"/>
    </row>
    <row r="89" spans="1:16" ht="11.25" customHeight="1" x14ac:dyDescent="0.3">
      <c r="A89" s="31">
        <v>88</v>
      </c>
      <c r="B89" s="31" t="s">
        <v>643</v>
      </c>
      <c r="C89" s="31" t="s">
        <v>43</v>
      </c>
      <c r="D89" s="31" t="s">
        <v>82</v>
      </c>
      <c r="E89" s="31" t="s">
        <v>44</v>
      </c>
      <c r="F89" s="31" t="s">
        <v>94</v>
      </c>
      <c r="G89" s="31" t="s">
        <v>25</v>
      </c>
      <c r="H89" s="31" t="s">
        <v>25</v>
      </c>
      <c r="I89" s="31" t="s">
        <v>25</v>
      </c>
      <c r="J89" s="31" t="s">
        <v>761</v>
      </c>
      <c r="K89" s="31" t="s">
        <v>760</v>
      </c>
      <c r="L89" s="31" t="s">
        <v>79</v>
      </c>
      <c r="M89" s="31">
        <v>2021</v>
      </c>
      <c r="N89" s="31">
        <v>0</v>
      </c>
      <c r="O89" s="31">
        <v>224.55</v>
      </c>
      <c r="P89" s="31"/>
    </row>
    <row r="90" spans="1:16" ht="11.25" customHeight="1" x14ac:dyDescent="0.3">
      <c r="A90" s="31">
        <v>89</v>
      </c>
      <c r="B90" s="31" t="s">
        <v>643</v>
      </c>
      <c r="C90" s="31" t="s">
        <v>43</v>
      </c>
      <c r="D90" s="31" t="s">
        <v>78</v>
      </c>
      <c r="E90" s="31" t="s">
        <v>44</v>
      </c>
      <c r="F90" s="31" t="s">
        <v>95</v>
      </c>
      <c r="G90" s="31" t="s">
        <v>25</v>
      </c>
      <c r="H90" s="31" t="s">
        <v>25</v>
      </c>
      <c r="I90" s="31" t="s">
        <v>34</v>
      </c>
      <c r="J90" s="31" t="s">
        <v>761</v>
      </c>
      <c r="K90" s="31" t="s">
        <v>760</v>
      </c>
      <c r="L90" s="31" t="s">
        <v>79</v>
      </c>
      <c r="M90" s="31">
        <v>2021</v>
      </c>
      <c r="N90" s="31">
        <v>0</v>
      </c>
      <c r="O90" s="31">
        <v>328.89</v>
      </c>
      <c r="P90" s="31"/>
    </row>
    <row r="91" spans="1:16" ht="11.25" customHeight="1" x14ac:dyDescent="0.3">
      <c r="A91" s="31">
        <v>90</v>
      </c>
      <c r="B91" s="31" t="s">
        <v>643</v>
      </c>
      <c r="C91" s="31" t="s">
        <v>43</v>
      </c>
      <c r="D91" s="31" t="s">
        <v>78</v>
      </c>
      <c r="E91" s="31" t="s">
        <v>44</v>
      </c>
      <c r="F91" s="31" t="s">
        <v>95</v>
      </c>
      <c r="G91" s="31" t="s">
        <v>25</v>
      </c>
      <c r="H91" s="31" t="s">
        <v>25</v>
      </c>
      <c r="I91" s="31" t="s">
        <v>36</v>
      </c>
      <c r="J91" s="31" t="s">
        <v>761</v>
      </c>
      <c r="K91" s="31" t="s">
        <v>760</v>
      </c>
      <c r="L91" s="31" t="s">
        <v>79</v>
      </c>
      <c r="M91" s="31">
        <v>2021</v>
      </c>
      <c r="N91" s="31">
        <v>0</v>
      </c>
      <c r="O91" s="31">
        <v>203.93</v>
      </c>
      <c r="P91" s="31"/>
    </row>
    <row r="92" spans="1:16" ht="11.25" customHeight="1" x14ac:dyDescent="0.3">
      <c r="A92" s="31">
        <v>91</v>
      </c>
      <c r="B92" s="31" t="s">
        <v>643</v>
      </c>
      <c r="C92" s="31" t="s">
        <v>43</v>
      </c>
      <c r="D92" s="31" t="s">
        <v>78</v>
      </c>
      <c r="E92" s="31" t="s">
        <v>44</v>
      </c>
      <c r="F92" s="31" t="s">
        <v>95</v>
      </c>
      <c r="G92" s="31" t="s">
        <v>25</v>
      </c>
      <c r="H92" s="31" t="s">
        <v>25</v>
      </c>
      <c r="I92" s="31" t="s">
        <v>35</v>
      </c>
      <c r="J92" s="31" t="s">
        <v>761</v>
      </c>
      <c r="K92" s="31" t="s">
        <v>760</v>
      </c>
      <c r="L92" s="31" t="s">
        <v>79</v>
      </c>
      <c r="M92" s="31">
        <v>2021</v>
      </c>
      <c r="N92" s="31">
        <v>0</v>
      </c>
      <c r="O92" s="31">
        <v>203.93</v>
      </c>
      <c r="P92" s="31"/>
    </row>
    <row r="93" spans="1:16" ht="11.25" customHeight="1" x14ac:dyDescent="0.3">
      <c r="A93" s="31">
        <v>92</v>
      </c>
      <c r="B93" s="31" t="s">
        <v>643</v>
      </c>
      <c r="C93" s="31" t="s">
        <v>43</v>
      </c>
      <c r="D93" s="31" t="s">
        <v>82</v>
      </c>
      <c r="E93" s="31" t="s">
        <v>44</v>
      </c>
      <c r="F93" s="31" t="s">
        <v>95</v>
      </c>
      <c r="G93" s="31" t="s">
        <v>25</v>
      </c>
      <c r="H93" s="31" t="s">
        <v>25</v>
      </c>
      <c r="I93" s="31" t="s">
        <v>25</v>
      </c>
      <c r="J93" s="31" t="s">
        <v>761</v>
      </c>
      <c r="K93" s="31" t="s">
        <v>760</v>
      </c>
      <c r="L93" s="31" t="s">
        <v>79</v>
      </c>
      <c r="M93" s="31">
        <v>2021</v>
      </c>
      <c r="N93" s="31">
        <v>0</v>
      </c>
      <c r="O93" s="31">
        <v>214.34</v>
      </c>
      <c r="P93" s="31"/>
    </row>
    <row r="94" spans="1:16" ht="11.25" customHeight="1" x14ac:dyDescent="0.3">
      <c r="A94" s="31">
        <v>93</v>
      </c>
      <c r="B94" s="31" t="s">
        <v>643</v>
      </c>
      <c r="C94" s="31" t="s">
        <v>43</v>
      </c>
      <c r="D94" s="31" t="s">
        <v>92</v>
      </c>
      <c r="E94" s="31" t="s">
        <v>44</v>
      </c>
      <c r="F94" s="31" t="s">
        <v>25</v>
      </c>
      <c r="G94" s="31" t="s">
        <v>25</v>
      </c>
      <c r="H94" s="31" t="s">
        <v>25</v>
      </c>
      <c r="I94" s="31" t="s">
        <v>25</v>
      </c>
      <c r="J94" s="31" t="s">
        <v>761</v>
      </c>
      <c r="K94" s="31" t="s">
        <v>760</v>
      </c>
      <c r="L94" s="31" t="s">
        <v>79</v>
      </c>
      <c r="M94" s="31">
        <v>2021</v>
      </c>
      <c r="N94" s="31">
        <v>0</v>
      </c>
      <c r="O94" s="31">
        <v>224.55</v>
      </c>
      <c r="P94" s="31"/>
    </row>
    <row r="95" spans="1:16" ht="11.25" customHeight="1" x14ac:dyDescent="0.3">
      <c r="A95" s="31">
        <v>94</v>
      </c>
      <c r="B95" s="31" t="s">
        <v>643</v>
      </c>
      <c r="C95" s="31" t="s">
        <v>43</v>
      </c>
      <c r="D95" s="31" t="s">
        <v>92</v>
      </c>
      <c r="E95" s="31" t="s">
        <v>44</v>
      </c>
      <c r="F95" s="31" t="s">
        <v>94</v>
      </c>
      <c r="G95" s="31" t="s">
        <v>25</v>
      </c>
      <c r="H95" s="31" t="s">
        <v>25</v>
      </c>
      <c r="I95" s="31" t="s">
        <v>25</v>
      </c>
      <c r="J95" s="31" t="s">
        <v>761</v>
      </c>
      <c r="K95" s="31" t="s">
        <v>760</v>
      </c>
      <c r="L95" s="31" t="s">
        <v>79</v>
      </c>
      <c r="M95" s="31">
        <v>2021</v>
      </c>
      <c r="N95" s="31">
        <v>0</v>
      </c>
      <c r="O95" s="31">
        <v>224.55</v>
      </c>
      <c r="P95" s="31"/>
    </row>
    <row r="96" spans="1:16" ht="11.25" customHeight="1" x14ac:dyDescent="0.3">
      <c r="A96" s="31">
        <v>95</v>
      </c>
      <c r="B96" s="31" t="s">
        <v>643</v>
      </c>
      <c r="C96" s="31" t="s">
        <v>43</v>
      </c>
      <c r="D96" s="31" t="s">
        <v>92</v>
      </c>
      <c r="E96" s="31" t="s">
        <v>44</v>
      </c>
      <c r="F96" s="31" t="s">
        <v>95</v>
      </c>
      <c r="G96" s="31" t="s">
        <v>25</v>
      </c>
      <c r="H96" s="31" t="s">
        <v>25</v>
      </c>
      <c r="I96" s="31" t="s">
        <v>25</v>
      </c>
      <c r="J96" s="31" t="s">
        <v>761</v>
      </c>
      <c r="K96" s="31" t="s">
        <v>760</v>
      </c>
      <c r="L96" s="31" t="s">
        <v>79</v>
      </c>
      <c r="M96" s="31">
        <v>2021</v>
      </c>
      <c r="N96" s="31">
        <v>0</v>
      </c>
      <c r="O96" s="31">
        <v>214.34</v>
      </c>
      <c r="P96" s="31"/>
    </row>
    <row r="97" spans="1:16" ht="11.25" customHeight="1" x14ac:dyDescent="0.3">
      <c r="A97" s="31">
        <v>96</v>
      </c>
      <c r="B97" s="31" t="s">
        <v>643</v>
      </c>
      <c r="C97" s="31" t="s">
        <v>37</v>
      </c>
      <c r="D97" s="31" t="s">
        <v>78</v>
      </c>
      <c r="E97" s="31" t="s">
        <v>25</v>
      </c>
      <c r="F97" s="31" t="s">
        <v>25</v>
      </c>
      <c r="G97" s="31" t="s">
        <v>25</v>
      </c>
      <c r="H97" s="31" t="s">
        <v>25</v>
      </c>
      <c r="I97" s="31" t="s">
        <v>34</v>
      </c>
      <c r="J97" s="31" t="s">
        <v>761</v>
      </c>
      <c r="K97" s="31" t="s">
        <v>760</v>
      </c>
      <c r="L97" s="31" t="s">
        <v>79</v>
      </c>
      <c r="M97" s="31">
        <v>2021</v>
      </c>
      <c r="N97" s="31">
        <v>0</v>
      </c>
      <c r="O97" s="31">
        <v>391.54</v>
      </c>
      <c r="P97" s="31"/>
    </row>
    <row r="98" spans="1:16" ht="11.25" customHeight="1" x14ac:dyDescent="0.3">
      <c r="A98" s="31">
        <v>97</v>
      </c>
      <c r="B98" s="31" t="s">
        <v>643</v>
      </c>
      <c r="C98" s="31" t="s">
        <v>37</v>
      </c>
      <c r="D98" s="31" t="s">
        <v>78</v>
      </c>
      <c r="E98" s="31" t="s">
        <v>25</v>
      </c>
      <c r="F98" s="31" t="s">
        <v>25</v>
      </c>
      <c r="G98" s="31" t="s">
        <v>25</v>
      </c>
      <c r="H98" s="31" t="s">
        <v>25</v>
      </c>
      <c r="I98" s="31" t="s">
        <v>36</v>
      </c>
      <c r="J98" s="31" t="s">
        <v>761</v>
      </c>
      <c r="K98" s="31" t="s">
        <v>760</v>
      </c>
      <c r="L98" s="31" t="s">
        <v>79</v>
      </c>
      <c r="M98" s="31">
        <v>2021</v>
      </c>
      <c r="N98" s="31">
        <v>0</v>
      </c>
      <c r="O98" s="31">
        <v>242.77</v>
      </c>
      <c r="P98" s="31"/>
    </row>
    <row r="99" spans="1:16" ht="11.25" customHeight="1" x14ac:dyDescent="0.3">
      <c r="A99" s="31">
        <v>98</v>
      </c>
      <c r="B99" s="31" t="s">
        <v>643</v>
      </c>
      <c r="C99" s="31" t="s">
        <v>37</v>
      </c>
      <c r="D99" s="31" t="s">
        <v>78</v>
      </c>
      <c r="E99" s="31" t="s">
        <v>25</v>
      </c>
      <c r="F99" s="31" t="s">
        <v>25</v>
      </c>
      <c r="G99" s="31" t="s">
        <v>25</v>
      </c>
      <c r="H99" s="31" t="s">
        <v>25</v>
      </c>
      <c r="I99" s="31" t="s">
        <v>35</v>
      </c>
      <c r="J99" s="31" t="s">
        <v>761</v>
      </c>
      <c r="K99" s="31" t="s">
        <v>760</v>
      </c>
      <c r="L99" s="31" t="s">
        <v>79</v>
      </c>
      <c r="M99" s="31">
        <v>2021</v>
      </c>
      <c r="N99" s="31">
        <v>0</v>
      </c>
      <c r="O99" s="31">
        <v>242.77</v>
      </c>
      <c r="P99" s="31"/>
    </row>
    <row r="100" spans="1:16" ht="11.25" customHeight="1" x14ac:dyDescent="0.3">
      <c r="A100" s="31">
        <v>99</v>
      </c>
      <c r="B100" s="31" t="s">
        <v>643</v>
      </c>
      <c r="C100" s="31" t="s">
        <v>37</v>
      </c>
      <c r="D100" s="31" t="s">
        <v>82</v>
      </c>
      <c r="E100" s="31" t="s">
        <v>25</v>
      </c>
      <c r="F100" s="31" t="s">
        <v>25</v>
      </c>
      <c r="G100" s="31" t="s">
        <v>25</v>
      </c>
      <c r="H100" s="31" t="s">
        <v>25</v>
      </c>
      <c r="I100" s="31" t="s">
        <v>25</v>
      </c>
      <c r="J100" s="31" t="s">
        <v>761</v>
      </c>
      <c r="K100" s="31" t="s">
        <v>760</v>
      </c>
      <c r="L100" s="31" t="s">
        <v>79</v>
      </c>
      <c r="M100" s="31">
        <v>2021</v>
      </c>
      <c r="N100" s="31">
        <v>0</v>
      </c>
      <c r="O100" s="31">
        <v>255.17</v>
      </c>
      <c r="P100" s="31"/>
    </row>
    <row r="101" spans="1:16" ht="11.25" customHeight="1" x14ac:dyDescent="0.3">
      <c r="A101" s="31">
        <v>100</v>
      </c>
      <c r="B101" s="31" t="s">
        <v>643</v>
      </c>
      <c r="C101" s="31" t="s">
        <v>37</v>
      </c>
      <c r="D101" s="31" t="s">
        <v>92</v>
      </c>
      <c r="E101" s="31" t="s">
        <v>25</v>
      </c>
      <c r="F101" s="31" t="s">
        <v>25</v>
      </c>
      <c r="G101" s="31" t="s">
        <v>25</v>
      </c>
      <c r="H101" s="31" t="s">
        <v>25</v>
      </c>
      <c r="I101" s="31" t="s">
        <v>25</v>
      </c>
      <c r="J101" s="31" t="s">
        <v>761</v>
      </c>
      <c r="K101" s="31" t="s">
        <v>760</v>
      </c>
      <c r="L101" s="31" t="s">
        <v>79</v>
      </c>
      <c r="M101" s="31">
        <v>2021</v>
      </c>
      <c r="N101" s="31">
        <v>0</v>
      </c>
      <c r="O101" s="31">
        <v>255.17</v>
      </c>
      <c r="P101" s="31"/>
    </row>
    <row r="102" spans="1:16" ht="11.25" customHeight="1" x14ac:dyDescent="0.3">
      <c r="A102" s="31">
        <v>101</v>
      </c>
      <c r="B102" s="31" t="s">
        <v>643</v>
      </c>
      <c r="C102" s="31" t="s">
        <v>47</v>
      </c>
      <c r="D102" s="31" t="s">
        <v>82</v>
      </c>
      <c r="E102" s="31" t="s">
        <v>48</v>
      </c>
      <c r="F102" s="31" t="s">
        <v>49</v>
      </c>
      <c r="G102" s="31" t="s">
        <v>25</v>
      </c>
      <c r="H102" s="31" t="s">
        <v>25</v>
      </c>
      <c r="I102" s="31" t="s">
        <v>25</v>
      </c>
      <c r="J102" s="31" t="s">
        <v>761</v>
      </c>
      <c r="K102" s="31" t="s">
        <v>760</v>
      </c>
      <c r="L102" s="31" t="s">
        <v>79</v>
      </c>
      <c r="M102" s="31">
        <v>2021</v>
      </c>
      <c r="N102" s="31">
        <v>0</v>
      </c>
      <c r="O102" s="31">
        <v>140.34</v>
      </c>
      <c r="P102" s="31"/>
    </row>
    <row r="103" spans="1:16" ht="11.25" customHeight="1" x14ac:dyDescent="0.3">
      <c r="A103" s="31">
        <v>102</v>
      </c>
      <c r="B103" s="31" t="s">
        <v>643</v>
      </c>
      <c r="C103" s="31" t="s">
        <v>47</v>
      </c>
      <c r="D103" s="31" t="s">
        <v>82</v>
      </c>
      <c r="E103" s="31" t="s">
        <v>48</v>
      </c>
      <c r="F103" s="31" t="s">
        <v>96</v>
      </c>
      <c r="G103" s="31" t="s">
        <v>25</v>
      </c>
      <c r="H103" s="31" t="s">
        <v>25</v>
      </c>
      <c r="I103" s="31" t="s">
        <v>25</v>
      </c>
      <c r="J103" s="31" t="s">
        <v>761</v>
      </c>
      <c r="K103" s="31" t="s">
        <v>760</v>
      </c>
      <c r="L103" s="31" t="s">
        <v>79</v>
      </c>
      <c r="M103" s="31">
        <v>2021</v>
      </c>
      <c r="N103" s="31">
        <v>0</v>
      </c>
      <c r="O103" s="31">
        <v>153.1</v>
      </c>
      <c r="P103" s="3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EECC-DE24-47D6-B589-C53434E86972}">
  <sheetPr codeName="Planilha4"/>
  <dimension ref="A1:AD61"/>
  <sheetViews>
    <sheetView showGridLines="0" workbookViewId="0">
      <selection sqref="A1:W61"/>
    </sheetView>
  </sheetViews>
  <sheetFormatPr defaultRowHeight="11.25" customHeight="1" x14ac:dyDescent="0.3"/>
  <cols>
    <col min="1" max="1" width="9" style="9" bestFit="1" customWidth="1"/>
    <col min="2" max="2" width="21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12" width="6.77734375" style="9" bestFit="1" customWidth="1"/>
    <col min="13" max="16" width="7.6640625" style="9" bestFit="1" customWidth="1"/>
    <col min="17" max="17" width="6.77734375" style="9" bestFit="1" customWidth="1"/>
    <col min="18" max="20" width="7.6640625" style="9" bestFit="1" customWidth="1"/>
    <col min="21" max="21" width="13.6640625" style="9" bestFit="1" customWidth="1"/>
    <col min="22" max="16384" width="8.88671875" style="9"/>
  </cols>
  <sheetData>
    <row r="1" spans="1:30" ht="11.25" customHeight="1" x14ac:dyDescent="0.3">
      <c r="A1" s="10" t="s">
        <v>69</v>
      </c>
      <c r="B1" s="10" t="s">
        <v>70</v>
      </c>
      <c r="C1" s="10" t="s">
        <v>71</v>
      </c>
      <c r="D1" s="10" t="s">
        <v>72</v>
      </c>
      <c r="E1" s="10" t="s">
        <v>73</v>
      </c>
      <c r="F1" s="10" t="s">
        <v>74</v>
      </c>
      <c r="G1" s="10" t="s">
        <v>75</v>
      </c>
      <c r="H1" s="10" t="s">
        <v>76</v>
      </c>
      <c r="I1" s="11">
        <v>44501</v>
      </c>
      <c r="J1" s="11">
        <v>44531</v>
      </c>
      <c r="K1" s="11">
        <v>44562</v>
      </c>
      <c r="L1" s="11">
        <v>44593</v>
      </c>
      <c r="M1" s="11">
        <v>44621</v>
      </c>
      <c r="N1" s="11">
        <v>44652</v>
      </c>
      <c r="O1" s="11">
        <v>44682</v>
      </c>
      <c r="P1" s="11">
        <v>44713</v>
      </c>
      <c r="Q1" s="11">
        <v>44743</v>
      </c>
      <c r="R1" s="11">
        <v>44774</v>
      </c>
      <c r="S1" s="11">
        <v>44805</v>
      </c>
      <c r="T1" s="11">
        <v>44835</v>
      </c>
      <c r="U1" s="10" t="s">
        <v>77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122" t="s">
        <v>45</v>
      </c>
      <c r="B2" s="122" t="s">
        <v>42</v>
      </c>
      <c r="C2" s="122" t="s">
        <v>25</v>
      </c>
      <c r="D2" s="122" t="s">
        <v>25</v>
      </c>
      <c r="E2" s="122" t="s">
        <v>25</v>
      </c>
      <c r="F2" s="122" t="s">
        <v>25</v>
      </c>
      <c r="G2" s="13" t="s">
        <v>85</v>
      </c>
      <c r="H2" s="13" t="s">
        <v>84</v>
      </c>
      <c r="I2" s="13">
        <f>SUMIF(Mercado_Receita!$S$2:$S$886,"44501A3aAzulNão se aplicaNão se aplicaNão se aplicaNão se aplicaPonta",Mercado_Receita!$J$2:$J$886)+SUMIF(Mercado_Receita!$S$2:$S$886,"44501A3aAzulNão se aplicaNão se aplicaAPENão se aplicaPonta",Mercado_Receita!$J$2:$J$886)</f>
        <v>111</v>
      </c>
      <c r="J2" s="13">
        <f>SUMIF(Mercado_Receita!$S$2:$S$886,"44531A3aAzulNão se aplicaNão se aplicaNão se aplicaNão se aplicaPonta",Mercado_Receita!$J$2:$J$886)+SUMIF(Mercado_Receita!$S$2:$S$886,"44531A3aAzulNão se aplicaNão se aplicaAPENão se aplicaPonta",Mercado_Receita!$J$2:$J$886)</f>
        <v>111</v>
      </c>
      <c r="K2" s="13">
        <f>SUMIF(Mercado_Receita!$S$2:$S$886,"44562A3aAzulNão se aplicaNão se aplicaNão se aplicaNão se aplicaPonta",Mercado_Receita!$J$2:$J$886)+SUMIF(Mercado_Receita!$S$2:$S$886,"44562A3aAzulNão se aplicaNão se aplicaAPENão se aplicaPonta",Mercado_Receita!$J$2:$J$886)</f>
        <v>30</v>
      </c>
      <c r="L2" s="13">
        <f>SUMIF(Mercado_Receita!$S$2:$S$886,"44593A3aAzulNão se aplicaNão se aplicaNão se aplicaNão se aplicaPonta",Mercado_Receita!$J$2:$J$886)+SUMIF(Mercado_Receita!$S$2:$S$886,"44593A3aAzulNão se aplicaNão se aplicaAPENão se aplicaPonta",Mercado_Receita!$J$2:$J$886)</f>
        <v>111</v>
      </c>
      <c r="M2" s="13">
        <f>SUMIF(Mercado_Receita!$S$2:$S$886,"44621A3aAzulNão se aplicaNão se aplicaNão se aplicaNão se aplicaPonta",Mercado_Receita!$J$2:$J$886)+SUMIF(Mercado_Receita!$S$2:$S$886,"44621A3aAzulNão se aplicaNão se aplicaAPENão se aplicaPonta",Mercado_Receita!$J$2:$J$886)</f>
        <v>111</v>
      </c>
      <c r="N2" s="13">
        <f>SUMIF(Mercado_Receita!$S$2:$S$886,"44652A3aAzulNão se aplicaNão se aplicaNão se aplicaNão se aplicaPonta",Mercado_Receita!$J$2:$J$886)+SUMIF(Mercado_Receita!$S$2:$S$886,"44652A3aAzulNão se aplicaNão se aplicaAPENão se aplicaPonta",Mercado_Receita!$J$2:$J$886)</f>
        <v>111</v>
      </c>
      <c r="O2" s="13">
        <f>SUMIF(Mercado_Receita!$S$2:$S$886,"44682A3aAzulNão se aplicaNão se aplicaNão se aplicaNão se aplicaPonta",Mercado_Receita!$J$2:$J$886)+SUMIF(Mercado_Receita!$S$2:$S$886,"44682A3aAzulNão se aplicaNão se aplicaAPENão se aplicaPonta",Mercado_Receita!$J$2:$J$886)</f>
        <v>111</v>
      </c>
      <c r="P2" s="13">
        <f>SUMIF(Mercado_Receita!$S$2:$S$886,"44713A3aAzulNão se aplicaNão se aplicaNão se aplicaNão se aplicaPonta",Mercado_Receita!$J$2:$J$886)+SUMIF(Mercado_Receita!$S$2:$S$886,"44713A3aAzulNão se aplicaNão se aplicaAPENão se aplicaPonta",Mercado_Receita!$J$2:$J$886)</f>
        <v>1100</v>
      </c>
      <c r="Q2" s="13">
        <f>SUMIF(Mercado_Receita!$S$2:$S$886,"44743A3aAzulNão se aplicaNão se aplicaNão se aplicaNão se aplicaPonta",Mercado_Receita!$J$2:$J$886)+SUMIF(Mercado_Receita!$S$2:$S$886,"44743A3aAzulNão se aplicaNão se aplicaAPENão se aplicaPonta",Mercado_Receita!$J$2:$J$886)</f>
        <v>1100</v>
      </c>
      <c r="R2" s="13">
        <f>SUMIF(Mercado_Receita!$S$2:$S$886,"44774A3aAzulNão se aplicaNão se aplicaNão se aplicaNão se aplicaPonta",Mercado_Receita!$J$2:$J$886)+SUMIF(Mercado_Receita!$S$2:$S$886,"44774A3aAzulNão se aplicaNão se aplicaAPENão se aplicaPonta",Mercado_Receita!$J$2:$J$886)</f>
        <v>1100</v>
      </c>
      <c r="S2" s="13">
        <f>SUMIF(Mercado_Receita!$S$2:$S$886,"44805A3aAzulNão se aplicaNão se aplicaNão se aplicaNão se aplicaPonta",Mercado_Receita!$J$2:$J$886)+SUMIF(Mercado_Receita!$S$2:$S$886,"44805A3aAzulNão se aplicaNão se aplicaAPENão se aplicaPonta",Mercado_Receita!$J$2:$J$886)</f>
        <v>110</v>
      </c>
      <c r="T2" s="13">
        <f>SUMIF(Mercado_Receita!$S$2:$S$886,"44835A3aAzulNão se aplicaNão se aplicaNão se aplicaNão se aplicaPonta",Mercado_Receita!$J$2:$J$886)+SUMIF(Mercado_Receita!$S$2:$S$886,"44835A3aAzulNão se aplicaNão se aplicaAPENão se aplicaPonta",Mercado_Receita!$J$2:$J$886)</f>
        <v>110</v>
      </c>
      <c r="U2" s="13">
        <f t="shared" ref="U2:U33" si="0">SUM(I2:T2)</f>
        <v>4216</v>
      </c>
      <c r="V2" s="13"/>
      <c r="W2" s="13"/>
    </row>
    <row r="3" spans="1:30" ht="11.25" customHeight="1" x14ac:dyDescent="0.3">
      <c r="A3" s="123"/>
      <c r="B3" s="123"/>
      <c r="C3" s="123"/>
      <c r="D3" s="123"/>
      <c r="E3" s="123"/>
      <c r="F3" s="123"/>
      <c r="G3" s="13" t="s">
        <v>86</v>
      </c>
      <c r="H3" s="13" t="s">
        <v>84</v>
      </c>
      <c r="I3" s="13">
        <f>SUMIF(Mercado_Receita!$S$2:$S$886,"44501A3aAzulNão se aplicaNão se aplicaNão se aplicaNão se aplicaFora ponta",Mercado_Receita!$J$2:$J$886)+SUMIF(Mercado_Receita!$S$2:$S$886,"44501A3aAzulNão se aplicaNão se aplicaAPENão se aplicaFora ponta",Mercado_Receita!$J$2:$J$886)</f>
        <v>114</v>
      </c>
      <c r="J3" s="13">
        <f>SUMIF(Mercado_Receita!$S$2:$S$886,"44531A3aAzulNão se aplicaNão se aplicaNão se aplicaNão se aplicaFora ponta",Mercado_Receita!$J$2:$J$886)+SUMIF(Mercado_Receita!$S$2:$S$886,"44531A3aAzulNão se aplicaNão se aplicaAPENão se aplicaFora ponta",Mercado_Receita!$J$2:$J$886)</f>
        <v>114</v>
      </c>
      <c r="K3" s="13">
        <f>SUMIF(Mercado_Receita!$S$2:$S$886,"44562A3aAzulNão se aplicaNão se aplicaNão se aplicaNão se aplicaFora ponta",Mercado_Receita!$J$2:$J$886)+SUMIF(Mercado_Receita!$S$2:$S$886,"44562A3aAzulNão se aplicaNão se aplicaAPENão se aplicaFora ponta",Mercado_Receita!$J$2:$J$886)</f>
        <v>30</v>
      </c>
      <c r="L3" s="13">
        <f>SUMIF(Mercado_Receita!$S$2:$S$886,"44593A3aAzulNão se aplicaNão se aplicaNão se aplicaNão se aplicaFora ponta",Mercado_Receita!$J$2:$J$886)+SUMIF(Mercado_Receita!$S$2:$S$886,"44593A3aAzulNão se aplicaNão se aplicaAPENão se aplicaFora ponta",Mercado_Receita!$J$2:$J$886)</f>
        <v>114</v>
      </c>
      <c r="M3" s="13">
        <f>SUMIF(Mercado_Receita!$S$2:$S$886,"44621A3aAzulNão se aplicaNão se aplicaNão se aplicaNão se aplicaFora ponta",Mercado_Receita!$J$2:$J$886)+SUMIF(Mercado_Receita!$S$2:$S$886,"44621A3aAzulNão se aplicaNão se aplicaAPENão se aplicaFora ponta",Mercado_Receita!$J$2:$J$886)</f>
        <v>114</v>
      </c>
      <c r="N3" s="13">
        <f>SUMIF(Mercado_Receita!$S$2:$S$886,"44652A3aAzulNão se aplicaNão se aplicaNão se aplicaNão se aplicaFora ponta",Mercado_Receita!$J$2:$J$886)+SUMIF(Mercado_Receita!$S$2:$S$886,"44652A3aAzulNão se aplicaNão se aplicaAPENão se aplicaFora ponta",Mercado_Receita!$J$2:$J$886)</f>
        <v>114</v>
      </c>
      <c r="O3" s="13">
        <f>SUMIF(Mercado_Receita!$S$2:$S$886,"44682A3aAzulNão se aplicaNão se aplicaNão se aplicaNão se aplicaFora ponta",Mercado_Receita!$J$2:$J$886)+SUMIF(Mercado_Receita!$S$2:$S$886,"44682A3aAzulNão se aplicaNão se aplicaAPENão se aplicaFora ponta",Mercado_Receita!$J$2:$J$886)</f>
        <v>114</v>
      </c>
      <c r="P3" s="13">
        <f>SUMIF(Mercado_Receita!$S$2:$S$886,"44713A3aAzulNão se aplicaNão se aplicaNão se aplicaNão se aplicaFora ponta",Mercado_Receita!$J$2:$J$886)+SUMIF(Mercado_Receita!$S$2:$S$886,"44713A3aAzulNão se aplicaNão se aplicaAPENão se aplicaFora ponta",Mercado_Receita!$J$2:$J$886)</f>
        <v>1100</v>
      </c>
      <c r="Q3" s="13">
        <f>SUMIF(Mercado_Receita!$S$2:$S$886,"44743A3aAzulNão se aplicaNão se aplicaNão se aplicaNão se aplicaFora ponta",Mercado_Receita!$J$2:$J$886)+SUMIF(Mercado_Receita!$S$2:$S$886,"44743A3aAzulNão se aplicaNão se aplicaAPENão se aplicaFora ponta",Mercado_Receita!$J$2:$J$886)</f>
        <v>1100</v>
      </c>
      <c r="R3" s="13">
        <f>SUMIF(Mercado_Receita!$S$2:$S$886,"44774A3aAzulNão se aplicaNão se aplicaNão se aplicaNão se aplicaFora ponta",Mercado_Receita!$J$2:$J$886)+SUMIF(Mercado_Receita!$S$2:$S$886,"44774A3aAzulNão se aplicaNão se aplicaAPENão se aplicaFora ponta",Mercado_Receita!$J$2:$J$886)</f>
        <v>1100</v>
      </c>
      <c r="S3" s="13">
        <f>SUMIF(Mercado_Receita!$S$2:$S$886,"44805A3aAzulNão se aplicaNão se aplicaNão se aplicaNão se aplicaFora ponta",Mercado_Receita!$J$2:$J$886)+SUMIF(Mercado_Receita!$S$2:$S$886,"44805A3aAzulNão se aplicaNão se aplicaAPENão se aplicaFora ponta",Mercado_Receita!$J$2:$J$886)</f>
        <v>110</v>
      </c>
      <c r="T3" s="13">
        <f>SUMIF(Mercado_Receita!$S$2:$S$886,"44835A3aAzulNão se aplicaNão se aplicaNão se aplicaNão se aplicaFora ponta",Mercado_Receita!$J$2:$J$886)+SUMIF(Mercado_Receita!$S$2:$S$886,"44835A3aAzulNão se aplicaNão se aplicaAPENão se aplicaFora ponta",Mercado_Receita!$J$2:$J$886)</f>
        <v>110</v>
      </c>
      <c r="U3" s="13">
        <f t="shared" si="0"/>
        <v>4234</v>
      </c>
      <c r="V3" s="13"/>
      <c r="W3" s="13"/>
    </row>
    <row r="4" spans="1:30" ht="11.25" customHeight="1" x14ac:dyDescent="0.3">
      <c r="A4" s="123"/>
      <c r="B4" s="123"/>
      <c r="C4" s="123"/>
      <c r="D4" s="123"/>
      <c r="E4" s="123"/>
      <c r="F4" s="123"/>
      <c r="G4" s="13" t="s">
        <v>83</v>
      </c>
      <c r="H4" s="13" t="s">
        <v>79</v>
      </c>
      <c r="I4" s="13">
        <f>SUMIF(Mercado_Receita!$S$2:$S$886,"44501A3aAzulNão se aplicaNão se aplicaNão se aplicaNão se aplicaPonta",Mercado_Receita!$L$2:$L$886)+SUMIF(Mercado_Receita!$S$2:$S$886,"44501A3aAzulNão se aplicaNão se aplicaNão se aplicaNão se aplicaFora ponta",Mercado_Receita!$L$2:$L$886)+SUMIF(Mercado_Receita!$S$2:$S$886,"44501A3aAzulNão se aplicaNão se aplicaNão se aplicaNão se aplicaIntermediário",Mercado_Receita!$L$2:$L$886)+SUMIF(Mercado_Receita!$S$2:$S$886,"44501A3aAzulNão se aplicaNão se aplicaNão se aplicaNão se aplicaNão se aplica",Mercado_Receita!$L$2:$L$886)</f>
        <v>0</v>
      </c>
      <c r="J4" s="13">
        <f>SUMIF(Mercado_Receita!$S$2:$S$886,"44531A3aAzulNão se aplicaNão se aplicaNão se aplicaNão se aplicaPonta",Mercado_Receita!$L$2:$L$886)+SUMIF(Mercado_Receita!$S$2:$S$886,"44531A3aAzulNão se aplicaNão se aplicaNão se aplicaNão se aplicaFora ponta",Mercado_Receita!$L$2:$L$886)+SUMIF(Mercado_Receita!$S$2:$S$886,"44531A3aAzulNão se aplicaNão se aplicaNão se aplicaNão se aplicaIntermediário",Mercado_Receita!$L$2:$L$886)+SUMIF(Mercado_Receita!$S$2:$S$886,"44531A3aAzulNão se aplicaNão se aplicaNão se aplicaNão se aplicaNão se aplica",Mercado_Receita!$L$2:$L$886)</f>
        <v>0</v>
      </c>
      <c r="K4" s="13">
        <f>SUMIF(Mercado_Receita!$S$2:$S$886,"44562A3aAzulNão se aplicaNão se aplicaNão se aplicaNão se aplicaPonta",Mercado_Receita!$L$2:$L$886)+SUMIF(Mercado_Receita!$S$2:$S$886,"44562A3aAzulNão se aplicaNão se aplicaNão se aplicaNão se aplicaFora ponta",Mercado_Receita!$L$2:$L$886)+SUMIF(Mercado_Receita!$S$2:$S$886,"44562A3aAzulNão se aplicaNão se aplicaNão se aplicaNão se aplicaIntermediário",Mercado_Receita!$L$2:$L$886)+SUMIF(Mercado_Receita!$S$2:$S$886,"44562A3aAzulNão se aplicaNão se aplicaNão se aplicaNão se aplicaNão se aplica",Mercado_Receita!$L$2:$L$886)</f>
        <v>0</v>
      </c>
      <c r="L4" s="13">
        <f>SUMIF(Mercado_Receita!$S$2:$S$886,"44593A3aAzulNão se aplicaNão se aplicaNão se aplicaNão se aplicaPonta",Mercado_Receita!$L$2:$L$886)+SUMIF(Mercado_Receita!$S$2:$S$886,"44593A3aAzulNão se aplicaNão se aplicaNão se aplicaNão se aplicaFora ponta",Mercado_Receita!$L$2:$L$886)+SUMIF(Mercado_Receita!$S$2:$S$886,"44593A3aAzulNão se aplicaNão se aplicaNão se aplicaNão se aplicaIntermediário",Mercado_Receita!$L$2:$L$886)+SUMIF(Mercado_Receita!$S$2:$S$886,"44593A3aAzulNão se aplicaNão se aplicaNão se aplicaNão se aplicaNão se aplica",Mercado_Receita!$L$2:$L$886)</f>
        <v>0</v>
      </c>
      <c r="M4" s="13">
        <f>SUMIF(Mercado_Receita!$S$2:$S$886,"44621A3aAzulNão se aplicaNão se aplicaNão se aplicaNão se aplicaPonta",Mercado_Receita!$L$2:$L$886)+SUMIF(Mercado_Receita!$S$2:$S$886,"44621A3aAzulNão se aplicaNão se aplicaNão se aplicaNão se aplicaFora ponta",Mercado_Receita!$L$2:$L$886)+SUMIF(Mercado_Receita!$S$2:$S$886,"44621A3aAzulNão se aplicaNão se aplicaNão se aplicaNão se aplicaIntermediário",Mercado_Receita!$L$2:$L$886)+SUMIF(Mercado_Receita!$S$2:$S$886,"44621A3aAzulNão se aplicaNão se aplicaNão se aplicaNão se aplicaNão se aplica",Mercado_Receita!$L$2:$L$886)</f>
        <v>0</v>
      </c>
      <c r="N4" s="13">
        <f>SUMIF(Mercado_Receita!$S$2:$S$886,"44652A3aAzulNão se aplicaNão se aplicaNão se aplicaNão se aplicaPonta",Mercado_Receita!$L$2:$L$886)+SUMIF(Mercado_Receita!$S$2:$S$886,"44652A3aAzulNão se aplicaNão se aplicaNão se aplicaNão se aplicaFora ponta",Mercado_Receita!$L$2:$L$886)+SUMIF(Mercado_Receita!$S$2:$S$886,"44652A3aAzulNão se aplicaNão se aplicaNão se aplicaNão se aplicaIntermediário",Mercado_Receita!$L$2:$L$886)+SUMIF(Mercado_Receita!$S$2:$S$886,"44652A3aAzulNão se aplicaNão se aplicaNão se aplicaNão se aplicaNão se aplica",Mercado_Receita!$L$2:$L$886)</f>
        <v>0</v>
      </c>
      <c r="O4" s="13">
        <f>SUMIF(Mercado_Receita!$S$2:$S$886,"44682A3aAzulNão se aplicaNão se aplicaNão se aplicaNão se aplicaPonta",Mercado_Receita!$L$2:$L$886)+SUMIF(Mercado_Receita!$S$2:$S$886,"44682A3aAzulNão se aplicaNão se aplicaNão se aplicaNão se aplicaFora ponta",Mercado_Receita!$L$2:$L$886)+SUMIF(Mercado_Receita!$S$2:$S$886,"44682A3aAzulNão se aplicaNão se aplicaNão se aplicaNão se aplicaIntermediário",Mercado_Receita!$L$2:$L$886)+SUMIF(Mercado_Receita!$S$2:$S$886,"44682A3aAzulNão se aplicaNão se aplicaNão se aplicaNão se aplicaNão se aplica",Mercado_Receita!$L$2:$L$886)</f>
        <v>0</v>
      </c>
      <c r="P4" s="13">
        <f>SUMIF(Mercado_Receita!$S$2:$S$886,"44713A3aAzulNão se aplicaNão se aplicaNão se aplicaNão se aplicaPonta",Mercado_Receita!$L$2:$L$886)+SUMIF(Mercado_Receita!$S$2:$S$886,"44713A3aAzulNão se aplicaNão se aplicaNão se aplicaNão se aplicaFora ponta",Mercado_Receita!$L$2:$L$886)+SUMIF(Mercado_Receita!$S$2:$S$886,"44713A3aAzulNão se aplicaNão se aplicaNão se aplicaNão se aplicaIntermediário",Mercado_Receita!$L$2:$L$886)+SUMIF(Mercado_Receita!$S$2:$S$886,"44713A3aAzulNão se aplicaNão se aplicaNão se aplicaNão se aplicaNão se aplica",Mercado_Receita!$L$2:$L$886)</f>
        <v>419.44600000000003</v>
      </c>
      <c r="Q4" s="13">
        <f>SUMIF(Mercado_Receita!$S$2:$S$886,"44743A3aAzulNão se aplicaNão se aplicaNão se aplicaNão se aplicaPonta",Mercado_Receita!$L$2:$L$886)+SUMIF(Mercado_Receita!$S$2:$S$886,"44743A3aAzulNão se aplicaNão se aplicaNão se aplicaNão se aplicaFora ponta",Mercado_Receita!$L$2:$L$886)+SUMIF(Mercado_Receita!$S$2:$S$886,"44743A3aAzulNão se aplicaNão se aplicaNão se aplicaNão se aplicaIntermediário",Mercado_Receita!$L$2:$L$886)+SUMIF(Mercado_Receita!$S$2:$S$886,"44743A3aAzulNão se aplicaNão se aplicaNão se aplicaNão se aplicaNão se aplica",Mercado_Receita!$L$2:$L$886)</f>
        <v>419.44600000000003</v>
      </c>
      <c r="R4" s="13">
        <f>SUMIF(Mercado_Receita!$S$2:$S$886,"44774A3aAzulNão se aplicaNão se aplicaNão se aplicaNão se aplicaPonta",Mercado_Receita!$L$2:$L$886)+SUMIF(Mercado_Receita!$S$2:$S$886,"44774A3aAzulNão se aplicaNão se aplicaNão se aplicaNão se aplicaFora ponta",Mercado_Receita!$L$2:$L$886)+SUMIF(Mercado_Receita!$S$2:$S$886,"44774A3aAzulNão se aplicaNão se aplicaNão se aplicaNão se aplicaIntermediário",Mercado_Receita!$L$2:$L$886)+SUMIF(Mercado_Receita!$S$2:$S$886,"44774A3aAzulNão se aplicaNão se aplicaNão se aplicaNão se aplicaNão se aplica",Mercado_Receita!$L$2:$L$886)</f>
        <v>921.221</v>
      </c>
      <c r="S4" s="13">
        <f>SUMIF(Mercado_Receita!$S$2:$S$886,"44805A3aAzulNão se aplicaNão se aplicaNão se aplicaNão se aplicaPonta",Mercado_Receita!$L$2:$L$886)+SUMIF(Mercado_Receita!$S$2:$S$886,"44805A3aAzulNão se aplicaNão se aplicaNão se aplicaNão se aplicaFora ponta",Mercado_Receita!$L$2:$L$886)+SUMIF(Mercado_Receita!$S$2:$S$886,"44805A3aAzulNão se aplicaNão se aplicaNão se aplicaNão se aplicaIntermediário",Mercado_Receita!$L$2:$L$886)+SUMIF(Mercado_Receita!$S$2:$S$886,"44805A3aAzulNão se aplicaNão se aplicaNão se aplicaNão se aplicaNão se aplica",Mercado_Receita!$L$2:$L$886)</f>
        <v>0</v>
      </c>
      <c r="T4" s="13">
        <f>SUMIF(Mercado_Receita!$S$2:$S$886,"44835A3aAzulNão se aplicaNão se aplicaNão se aplicaNão se aplicaPonta",Mercado_Receita!$L$2:$L$886)+SUMIF(Mercado_Receita!$S$2:$S$886,"44835A3aAzulNão se aplicaNão se aplicaNão se aplicaNão se aplicaFora ponta",Mercado_Receita!$L$2:$L$886)+SUMIF(Mercado_Receita!$S$2:$S$886,"44835A3aAzulNão se aplicaNão se aplicaNão se aplicaNão se aplicaIntermediário",Mercado_Receita!$L$2:$L$886)+SUMIF(Mercado_Receita!$S$2:$S$886,"44835A3aAzulNão se aplicaNão se aplicaNão se aplicaNão se aplicaNão se aplica",Mercado_Receita!$L$2:$L$886)</f>
        <v>0</v>
      </c>
      <c r="U4" s="13">
        <f t="shared" si="0"/>
        <v>1760.1130000000001</v>
      </c>
      <c r="V4" s="13"/>
      <c r="W4" s="13"/>
    </row>
    <row r="5" spans="1:30" ht="11.25" customHeight="1" x14ac:dyDescent="0.3">
      <c r="A5" s="123"/>
      <c r="B5" s="123"/>
      <c r="C5" s="123"/>
      <c r="D5" s="123"/>
      <c r="E5" s="12" t="s">
        <v>87</v>
      </c>
      <c r="F5" s="12" t="s">
        <v>25</v>
      </c>
      <c r="G5" s="13" t="s">
        <v>83</v>
      </c>
      <c r="H5" s="13" t="s">
        <v>79</v>
      </c>
      <c r="I5" s="13">
        <f>SUMIF(Mercado_Receita!$S$2:$S$886,"44501A3aAzulNão se aplicaNão se aplicaAPENão se aplicaPonta",Mercado_Receita!$L$2:$L$886)+SUMIF(Mercado_Receita!$S$2:$S$886,"44501A3aAzulNão se aplicaNão se aplicaAPENão se aplicaFora ponta",Mercado_Receita!$L$2:$L$886)+SUMIF(Mercado_Receita!$S$2:$S$886,"44501A3aAzulNão se aplicaNão se aplicaAPENão se aplicaIntermediário",Mercado_Receita!$L$2:$L$886)+SUMIF(Mercado_Receita!$S$2:$S$886,"44501A3aAzulNão se aplicaNão se aplicaAPENão se aplicaNão se aplica",Mercado_Receita!$L$2:$L$886)</f>
        <v>0</v>
      </c>
      <c r="J5" s="13">
        <f>SUMIF(Mercado_Receita!$S$2:$S$886,"44531A3aAzulNão se aplicaNão se aplicaAPENão se aplicaPonta",Mercado_Receita!$L$2:$L$886)+SUMIF(Mercado_Receita!$S$2:$S$886,"44531A3aAzulNão se aplicaNão se aplicaAPENão se aplicaFora ponta",Mercado_Receita!$L$2:$L$886)+SUMIF(Mercado_Receita!$S$2:$S$886,"44531A3aAzulNão se aplicaNão se aplicaAPENão se aplicaIntermediário",Mercado_Receita!$L$2:$L$886)+SUMIF(Mercado_Receita!$S$2:$S$886,"44531A3aAzulNão se aplicaNão se aplicaAPENão se aplicaNão se aplica",Mercado_Receita!$L$2:$L$886)</f>
        <v>0</v>
      </c>
      <c r="K5" s="13">
        <f>SUMIF(Mercado_Receita!$S$2:$S$886,"44562A3aAzulNão se aplicaNão se aplicaAPENão se aplicaPonta",Mercado_Receita!$L$2:$L$886)+SUMIF(Mercado_Receita!$S$2:$S$886,"44562A3aAzulNão se aplicaNão se aplicaAPENão se aplicaFora ponta",Mercado_Receita!$L$2:$L$886)+SUMIF(Mercado_Receita!$S$2:$S$886,"44562A3aAzulNão se aplicaNão se aplicaAPENão se aplicaIntermediário",Mercado_Receita!$L$2:$L$886)+SUMIF(Mercado_Receita!$S$2:$S$886,"44562A3aAzulNão se aplicaNão se aplicaAPENão se aplicaNão se aplica",Mercado_Receita!$L$2:$L$886)</f>
        <v>0</v>
      </c>
      <c r="L5" s="13">
        <f>SUMIF(Mercado_Receita!$S$2:$S$886,"44593A3aAzulNão se aplicaNão se aplicaAPENão se aplicaPonta",Mercado_Receita!$L$2:$L$886)+SUMIF(Mercado_Receita!$S$2:$S$886,"44593A3aAzulNão se aplicaNão se aplicaAPENão se aplicaFora ponta",Mercado_Receita!$L$2:$L$886)+SUMIF(Mercado_Receita!$S$2:$S$886,"44593A3aAzulNão se aplicaNão se aplicaAPENão se aplicaIntermediário",Mercado_Receita!$L$2:$L$886)+SUMIF(Mercado_Receita!$S$2:$S$886,"44593A3aAzulNão se aplicaNão se aplicaAPENão se aplicaNão se aplica",Mercado_Receita!$L$2:$L$886)</f>
        <v>0</v>
      </c>
      <c r="M5" s="13">
        <f>SUMIF(Mercado_Receita!$S$2:$S$886,"44621A3aAzulNão se aplicaNão se aplicaAPENão se aplicaPonta",Mercado_Receita!$L$2:$L$886)+SUMIF(Mercado_Receita!$S$2:$S$886,"44621A3aAzulNão se aplicaNão se aplicaAPENão se aplicaFora ponta",Mercado_Receita!$L$2:$L$886)+SUMIF(Mercado_Receita!$S$2:$S$886,"44621A3aAzulNão se aplicaNão se aplicaAPENão se aplicaIntermediário",Mercado_Receita!$L$2:$L$886)+SUMIF(Mercado_Receita!$S$2:$S$886,"44621A3aAzulNão se aplicaNão se aplicaAPENão se aplicaNão se aplica",Mercado_Receita!$L$2:$L$886)</f>
        <v>0</v>
      </c>
      <c r="N5" s="13">
        <f>SUMIF(Mercado_Receita!$S$2:$S$886,"44652A3aAzulNão se aplicaNão se aplicaAPENão se aplicaPonta",Mercado_Receita!$L$2:$L$886)+SUMIF(Mercado_Receita!$S$2:$S$886,"44652A3aAzulNão se aplicaNão se aplicaAPENão se aplicaFora ponta",Mercado_Receita!$L$2:$L$886)+SUMIF(Mercado_Receita!$S$2:$S$886,"44652A3aAzulNão se aplicaNão se aplicaAPENão se aplicaIntermediário",Mercado_Receita!$L$2:$L$886)+SUMIF(Mercado_Receita!$S$2:$S$886,"44652A3aAzulNão se aplicaNão se aplicaAPENão se aplicaNão se aplica",Mercado_Receita!$L$2:$L$886)</f>
        <v>0</v>
      </c>
      <c r="O5" s="13">
        <f>SUMIF(Mercado_Receita!$S$2:$S$886,"44682A3aAzulNão se aplicaNão se aplicaAPENão se aplicaPonta",Mercado_Receita!$L$2:$L$886)+SUMIF(Mercado_Receita!$S$2:$S$886,"44682A3aAzulNão se aplicaNão se aplicaAPENão se aplicaFora ponta",Mercado_Receita!$L$2:$L$886)+SUMIF(Mercado_Receita!$S$2:$S$886,"44682A3aAzulNão se aplicaNão se aplicaAPENão se aplicaIntermediário",Mercado_Receita!$L$2:$L$886)+SUMIF(Mercado_Receita!$S$2:$S$886,"44682A3aAzulNão se aplicaNão se aplicaAPENão se aplicaNão se aplica",Mercado_Receita!$L$2:$L$886)</f>
        <v>0</v>
      </c>
      <c r="P5" s="13">
        <f>SUMIF(Mercado_Receita!$S$2:$S$886,"44713A3aAzulNão se aplicaNão se aplicaAPENão se aplicaPonta",Mercado_Receita!$L$2:$L$886)+SUMIF(Mercado_Receita!$S$2:$S$886,"44713A3aAzulNão se aplicaNão se aplicaAPENão se aplicaFora ponta",Mercado_Receita!$L$2:$L$886)+SUMIF(Mercado_Receita!$S$2:$S$886,"44713A3aAzulNão se aplicaNão se aplicaAPENão se aplicaIntermediário",Mercado_Receita!$L$2:$L$886)+SUMIF(Mercado_Receita!$S$2:$S$886,"44713A3aAzulNão se aplicaNão se aplicaAPENão se aplicaNão se aplica",Mercado_Receita!$L$2:$L$886)</f>
        <v>0</v>
      </c>
      <c r="Q5" s="13">
        <f>SUMIF(Mercado_Receita!$S$2:$S$886,"44743A3aAzulNão se aplicaNão se aplicaAPENão se aplicaPonta",Mercado_Receita!$L$2:$L$886)+SUMIF(Mercado_Receita!$S$2:$S$886,"44743A3aAzulNão se aplicaNão se aplicaAPENão se aplicaFora ponta",Mercado_Receita!$L$2:$L$886)+SUMIF(Mercado_Receita!$S$2:$S$886,"44743A3aAzulNão se aplicaNão se aplicaAPENão se aplicaIntermediário",Mercado_Receita!$L$2:$L$886)+SUMIF(Mercado_Receita!$S$2:$S$886,"44743A3aAzulNão se aplicaNão se aplicaAPENão se aplicaNão se aplica",Mercado_Receita!$L$2:$L$886)</f>
        <v>0</v>
      </c>
      <c r="R5" s="13">
        <f>SUMIF(Mercado_Receita!$S$2:$S$886,"44774A3aAzulNão se aplicaNão se aplicaAPENão se aplicaPonta",Mercado_Receita!$L$2:$L$886)+SUMIF(Mercado_Receita!$S$2:$S$886,"44774A3aAzulNão se aplicaNão se aplicaAPENão se aplicaFora ponta",Mercado_Receita!$L$2:$L$886)+SUMIF(Mercado_Receita!$S$2:$S$886,"44774A3aAzulNão se aplicaNão se aplicaAPENão se aplicaIntermediário",Mercado_Receita!$L$2:$L$886)+SUMIF(Mercado_Receita!$S$2:$S$886,"44774A3aAzulNão se aplicaNão se aplicaAPENão se aplicaNão se aplica",Mercado_Receita!$L$2:$L$886)</f>
        <v>0</v>
      </c>
      <c r="S5" s="13">
        <f>SUMIF(Mercado_Receita!$S$2:$S$886,"44805A3aAzulNão se aplicaNão se aplicaAPENão se aplicaPonta",Mercado_Receita!$L$2:$L$886)+SUMIF(Mercado_Receita!$S$2:$S$886,"44805A3aAzulNão se aplicaNão se aplicaAPENão se aplicaFora ponta",Mercado_Receita!$L$2:$L$886)+SUMIF(Mercado_Receita!$S$2:$S$886,"44805A3aAzulNão se aplicaNão se aplicaAPENão se aplicaIntermediário",Mercado_Receita!$L$2:$L$886)+SUMIF(Mercado_Receita!$S$2:$S$886,"44805A3aAzulNão se aplicaNão se aplicaAPENão se aplicaNão se aplica",Mercado_Receita!$L$2:$L$886)</f>
        <v>0</v>
      </c>
      <c r="T5" s="13">
        <f>SUMIF(Mercado_Receita!$S$2:$S$886,"44835A3aAzulNão se aplicaNão se aplicaAPENão se aplicaPonta",Mercado_Receita!$L$2:$L$886)+SUMIF(Mercado_Receita!$S$2:$S$886,"44835A3aAzulNão se aplicaNão se aplicaAPENão se aplicaFora ponta",Mercado_Receita!$L$2:$L$886)+SUMIF(Mercado_Receita!$S$2:$S$886,"44835A3aAzulNão se aplicaNão se aplicaAPENão se aplicaIntermediário",Mercado_Receita!$L$2:$L$886)+SUMIF(Mercado_Receita!$S$2:$S$886,"44835A3aAzulNão se aplicaNão se aplicaAPENão se aplicaNão se aplica",Mercado_Receita!$L$2:$L$886)</f>
        <v>0</v>
      </c>
      <c r="U5" s="13">
        <f t="shared" si="0"/>
        <v>0</v>
      </c>
      <c r="V5" s="13"/>
      <c r="W5" s="13"/>
    </row>
    <row r="6" spans="1:30" ht="11.25" customHeight="1" x14ac:dyDescent="0.3">
      <c r="A6" s="123"/>
      <c r="B6" s="12" t="s">
        <v>60</v>
      </c>
      <c r="C6" s="12" t="s">
        <v>25</v>
      </c>
      <c r="D6" s="12" t="s">
        <v>25</v>
      </c>
      <c r="E6" s="12" t="s">
        <v>25</v>
      </c>
      <c r="F6" s="12" t="s">
        <v>25</v>
      </c>
      <c r="G6" s="13" t="s">
        <v>9</v>
      </c>
      <c r="H6" s="13" t="s">
        <v>84</v>
      </c>
      <c r="I6" s="13">
        <f>SUMIF(Mercado_Receita!$S$2:$S$886,"44501A3aGeraçãoNão se aplicaNão se aplicaNão se aplicaNão se aplicaNão se aplica",Mercado_Receita!$J$2:$J$886)+SUMIF(Mercado_Receita!$S$2:$S$886,"44501A3aGeraçãoNão se aplicaNão se aplicaAPENão se aplicaNão se aplica",Mercado_Receita!$J$2:$J$886)</f>
        <v>3010</v>
      </c>
      <c r="J6" s="13">
        <f>SUMIF(Mercado_Receita!$S$2:$S$886,"44531A3aGeraçãoNão se aplicaNão se aplicaNão se aplicaNão se aplicaNão se aplica",Mercado_Receita!$J$2:$J$886)+SUMIF(Mercado_Receita!$S$2:$S$886,"44531A3aGeraçãoNão se aplicaNão se aplicaAPENão se aplicaNão se aplica",Mercado_Receita!$J$2:$J$886)</f>
        <v>3010</v>
      </c>
      <c r="K6" s="13">
        <f>SUMIF(Mercado_Receita!$S$2:$S$886,"44562A3aGeraçãoNão se aplicaNão se aplicaNão se aplicaNão se aplicaNão se aplica",Mercado_Receita!$J$2:$J$886)+SUMIF(Mercado_Receita!$S$2:$S$886,"44562A3aGeraçãoNão se aplicaNão se aplicaAPENão se aplicaNão se aplica",Mercado_Receita!$J$2:$J$886)</f>
        <v>3010</v>
      </c>
      <c r="L6" s="13">
        <f>SUMIF(Mercado_Receita!$S$2:$S$886,"44593A3aGeraçãoNão se aplicaNão se aplicaNão se aplicaNão se aplicaNão se aplica",Mercado_Receita!$J$2:$J$886)+SUMIF(Mercado_Receita!$S$2:$S$886,"44593A3aGeraçãoNão se aplicaNão se aplicaAPENão se aplicaNão se aplica",Mercado_Receita!$J$2:$J$886)</f>
        <v>3010</v>
      </c>
      <c r="M6" s="13">
        <f>SUMIF(Mercado_Receita!$S$2:$S$886,"44621A3aGeraçãoNão se aplicaNão se aplicaNão se aplicaNão se aplicaNão se aplica",Mercado_Receita!$J$2:$J$886)+SUMIF(Mercado_Receita!$S$2:$S$886,"44621A3aGeraçãoNão se aplicaNão se aplicaAPENão se aplicaNão se aplica",Mercado_Receita!$J$2:$J$886)</f>
        <v>3010</v>
      </c>
      <c r="N6" s="13">
        <f>SUMIF(Mercado_Receita!$S$2:$S$886,"44652A3aGeraçãoNão se aplicaNão se aplicaNão se aplicaNão se aplicaNão se aplica",Mercado_Receita!$J$2:$J$886)+SUMIF(Mercado_Receita!$S$2:$S$886,"44652A3aGeraçãoNão se aplicaNão se aplicaAPENão se aplicaNão se aplica",Mercado_Receita!$J$2:$J$886)</f>
        <v>3010</v>
      </c>
      <c r="O6" s="13">
        <f>SUMIF(Mercado_Receita!$S$2:$S$886,"44682A3aGeraçãoNão se aplicaNão se aplicaNão se aplicaNão se aplicaNão se aplica",Mercado_Receita!$J$2:$J$886)+SUMIF(Mercado_Receita!$S$2:$S$886,"44682A3aGeraçãoNão se aplicaNão se aplicaAPENão se aplicaNão se aplica",Mercado_Receita!$J$2:$J$886)</f>
        <v>3010</v>
      </c>
      <c r="P6" s="13">
        <f>SUMIF(Mercado_Receita!$S$2:$S$886,"44713A3aGeraçãoNão se aplicaNão se aplicaNão se aplicaNão se aplicaNão se aplica",Mercado_Receita!$J$2:$J$886)+SUMIF(Mercado_Receita!$S$2:$S$886,"44713A3aGeraçãoNão se aplicaNão se aplicaAPENão se aplicaNão se aplica",Mercado_Receita!$J$2:$J$886)</f>
        <v>3010</v>
      </c>
      <c r="Q6" s="13">
        <f>SUMIF(Mercado_Receita!$S$2:$S$886,"44743A3aGeraçãoNão se aplicaNão se aplicaNão se aplicaNão se aplicaNão se aplica",Mercado_Receita!$J$2:$J$886)+SUMIF(Mercado_Receita!$S$2:$S$886,"44743A3aGeraçãoNão se aplicaNão se aplicaAPENão se aplicaNão se aplica",Mercado_Receita!$J$2:$J$886)</f>
        <v>3010</v>
      </c>
      <c r="R6" s="13">
        <f>SUMIF(Mercado_Receita!$S$2:$S$886,"44774A3aGeraçãoNão se aplicaNão se aplicaNão se aplicaNão se aplicaNão se aplica",Mercado_Receita!$J$2:$J$886)+SUMIF(Mercado_Receita!$S$2:$S$886,"44774A3aGeraçãoNão se aplicaNão se aplicaAPENão se aplicaNão se aplica",Mercado_Receita!$J$2:$J$886)</f>
        <v>3010</v>
      </c>
      <c r="S6" s="13">
        <f>SUMIF(Mercado_Receita!$S$2:$S$886,"44805A3aGeraçãoNão se aplicaNão se aplicaNão se aplicaNão se aplicaNão se aplica",Mercado_Receita!$J$2:$J$886)+SUMIF(Mercado_Receita!$S$2:$S$886,"44805A3aGeraçãoNão se aplicaNão se aplicaAPENão se aplicaNão se aplica",Mercado_Receita!$J$2:$J$886)</f>
        <v>3010</v>
      </c>
      <c r="T6" s="13">
        <f>SUMIF(Mercado_Receita!$S$2:$S$886,"44835A3aGeraçãoNão se aplicaNão se aplicaNão se aplicaNão se aplicaNão se aplica",Mercado_Receita!$J$2:$J$886)+SUMIF(Mercado_Receita!$S$2:$S$886,"44835A3aGeraçãoNão se aplicaNão se aplicaAPENão se aplicaNão se aplica",Mercado_Receita!$J$2:$J$886)</f>
        <v>3010</v>
      </c>
      <c r="U6" s="13">
        <f t="shared" si="0"/>
        <v>36120</v>
      </c>
      <c r="V6" s="13"/>
      <c r="W6" s="13"/>
    </row>
    <row r="7" spans="1:30" ht="11.25" customHeight="1" x14ac:dyDescent="0.3">
      <c r="A7" s="123"/>
      <c r="B7" s="122" t="s">
        <v>40</v>
      </c>
      <c r="C7" s="122" t="s">
        <v>25</v>
      </c>
      <c r="D7" s="122" t="s">
        <v>25</v>
      </c>
      <c r="E7" s="122" t="s">
        <v>25</v>
      </c>
      <c r="F7" s="122" t="s">
        <v>25</v>
      </c>
      <c r="G7" s="13" t="s">
        <v>9</v>
      </c>
      <c r="H7" s="13" t="s">
        <v>84</v>
      </c>
      <c r="I7" s="13">
        <f>SUMIF(Mercado_Receita!$S$2:$S$886,"44501A3aVerdeNão se aplicaNão se aplicaNão se aplicaNão se aplicaNão se aplica",Mercado_Receita!$J$2:$J$886)+SUMIF(Mercado_Receita!$S$2:$S$886,"44501A3aVerdeNão se aplicaNão se aplicaAPENão se aplicaNão se aplica",Mercado_Receita!$J$2:$J$886)</f>
        <v>37</v>
      </c>
      <c r="J7" s="13">
        <f>SUMIF(Mercado_Receita!$S$2:$S$886,"44531A3aVerdeNão se aplicaNão se aplicaNão se aplicaNão se aplicaNão se aplica",Mercado_Receita!$J$2:$J$886)+SUMIF(Mercado_Receita!$S$2:$S$886,"44531A3aVerdeNão se aplicaNão se aplicaAPENão se aplicaNão se aplica",Mercado_Receita!$J$2:$J$886)</f>
        <v>27</v>
      </c>
      <c r="K7" s="13">
        <f>SUMIF(Mercado_Receita!$S$2:$S$886,"44562A3aVerdeNão se aplicaNão se aplicaNão se aplicaNão se aplicaNão se aplica",Mercado_Receita!$J$2:$J$886)+SUMIF(Mercado_Receita!$S$2:$S$886,"44562A3aVerdeNão se aplicaNão se aplicaAPENão se aplicaNão se aplica",Mercado_Receita!$J$2:$J$886)</f>
        <v>35</v>
      </c>
      <c r="L7" s="13">
        <f>SUMIF(Mercado_Receita!$S$2:$S$886,"44593A3aVerdeNão se aplicaNão se aplicaNão se aplicaNão se aplicaNão se aplica",Mercado_Receita!$J$2:$J$886)+SUMIF(Mercado_Receita!$S$2:$S$886,"44593A3aVerdeNão se aplicaNão se aplicaAPENão se aplicaNão se aplica",Mercado_Receita!$J$2:$J$886)</f>
        <v>196</v>
      </c>
      <c r="M7" s="13">
        <f>SUMIF(Mercado_Receita!$S$2:$S$886,"44621A3aVerdeNão se aplicaNão se aplicaNão se aplicaNão se aplicaNão se aplica",Mercado_Receita!$J$2:$J$886)+SUMIF(Mercado_Receita!$S$2:$S$886,"44621A3aVerdeNão se aplicaNão se aplicaAPENão se aplicaNão se aplica",Mercado_Receita!$J$2:$J$886)</f>
        <v>35</v>
      </c>
      <c r="N7" s="13">
        <f>SUMIF(Mercado_Receita!$S$2:$S$886,"44652A3aVerdeNão se aplicaNão se aplicaNão se aplicaNão se aplicaNão se aplica",Mercado_Receita!$J$2:$J$886)+SUMIF(Mercado_Receita!$S$2:$S$886,"44652A3aVerdeNão se aplicaNão se aplicaAPENão se aplicaNão se aplica",Mercado_Receita!$J$2:$J$886)</f>
        <v>29</v>
      </c>
      <c r="O7" s="13">
        <f>SUMIF(Mercado_Receita!$S$2:$S$886,"44682A3aVerdeNão se aplicaNão se aplicaNão se aplicaNão se aplicaNão se aplica",Mercado_Receita!$J$2:$J$886)+SUMIF(Mercado_Receita!$S$2:$S$886,"44682A3aVerdeNão se aplicaNão se aplicaAPENão se aplicaNão se aplica",Mercado_Receita!$J$2:$J$886)</f>
        <v>34</v>
      </c>
      <c r="P7" s="13">
        <f>SUMIF(Mercado_Receita!$S$2:$S$886,"44713A3aVerdeNão se aplicaNão se aplicaNão se aplicaNão se aplicaNão se aplica",Mercado_Receita!$J$2:$J$886)+SUMIF(Mercado_Receita!$S$2:$S$886,"44713A3aVerdeNão se aplicaNão se aplicaAPENão se aplicaNão se aplica",Mercado_Receita!$J$2:$J$886)</f>
        <v>44</v>
      </c>
      <c r="Q7" s="13">
        <f>SUMIF(Mercado_Receita!$S$2:$S$886,"44743A3aVerdeNão se aplicaNão se aplicaNão se aplicaNão se aplicaNão se aplica",Mercado_Receita!$J$2:$J$886)+SUMIF(Mercado_Receita!$S$2:$S$886,"44743A3aVerdeNão se aplicaNão se aplicaAPENão se aplicaNão se aplica",Mercado_Receita!$J$2:$J$886)</f>
        <v>4</v>
      </c>
      <c r="R7" s="13">
        <f>SUMIF(Mercado_Receita!$S$2:$S$886,"44774A3aVerdeNão se aplicaNão se aplicaNão se aplicaNão se aplicaNão se aplica",Mercado_Receita!$J$2:$J$886)+SUMIF(Mercado_Receita!$S$2:$S$886,"44774A3aVerdeNão se aplicaNão se aplicaAPENão se aplicaNão se aplica",Mercado_Receita!$J$2:$J$886)</f>
        <v>10</v>
      </c>
      <c r="S7" s="13">
        <f>SUMIF(Mercado_Receita!$S$2:$S$886,"44805A3aVerdeNão se aplicaNão se aplicaNão se aplicaNão se aplicaNão se aplica",Mercado_Receita!$J$2:$J$886)+SUMIF(Mercado_Receita!$S$2:$S$886,"44805A3aVerdeNão se aplicaNão se aplicaAPENão se aplicaNão se aplica",Mercado_Receita!$J$2:$J$886)</f>
        <v>117</v>
      </c>
      <c r="T7" s="13">
        <f>SUMIF(Mercado_Receita!$S$2:$S$886,"44835A3aVerdeNão se aplicaNão se aplicaNão se aplicaNão se aplicaNão se aplica",Mercado_Receita!$J$2:$J$886)+SUMIF(Mercado_Receita!$S$2:$S$886,"44835A3aVerdeNão se aplicaNão se aplicaAPENão se aplicaNão se aplica",Mercado_Receita!$J$2:$J$886)</f>
        <v>117</v>
      </c>
      <c r="U7" s="13">
        <f t="shared" si="0"/>
        <v>685</v>
      </c>
      <c r="V7" s="13"/>
      <c r="W7" s="13"/>
    </row>
    <row r="8" spans="1:30" ht="11.25" customHeight="1" x14ac:dyDescent="0.3">
      <c r="A8" s="123"/>
      <c r="B8" s="123"/>
      <c r="C8" s="123"/>
      <c r="D8" s="123"/>
      <c r="E8" s="123"/>
      <c r="F8" s="123"/>
      <c r="G8" s="13" t="s">
        <v>80</v>
      </c>
      <c r="H8" s="13" t="s">
        <v>79</v>
      </c>
      <c r="I8" s="13">
        <f>SUMIF(Mercado_Receita!$S$2:$S$886,"44501A3aVerdeNão se aplicaNão se aplicaNão se aplicaNão se aplicaPonta",Mercado_Receita!$L$2:$L$886)</f>
        <v>0</v>
      </c>
      <c r="J8" s="13">
        <f>SUMIF(Mercado_Receita!$S$2:$S$886,"44531A3aVerdeNão se aplicaNão se aplicaNão se aplicaNão se aplicaPonta",Mercado_Receita!$L$2:$L$886)</f>
        <v>0</v>
      </c>
      <c r="K8" s="13">
        <f>SUMIF(Mercado_Receita!$S$2:$S$886,"44562A3aVerdeNão se aplicaNão se aplicaNão se aplicaNão se aplicaPonta",Mercado_Receita!$L$2:$L$886)</f>
        <v>0</v>
      </c>
      <c r="L8" s="13">
        <f>SUMIF(Mercado_Receita!$S$2:$S$886,"44593A3aVerdeNão se aplicaNão se aplicaNão se aplicaNão se aplicaPonta",Mercado_Receita!$L$2:$L$886)</f>
        <v>5.6000000000000001E-2</v>
      </c>
      <c r="M8" s="13">
        <f>SUMIF(Mercado_Receita!$S$2:$S$886,"44621A3aVerdeNão se aplicaNão se aplicaNão se aplicaNão se aplicaPonta",Mercado_Receita!$L$2:$L$886)</f>
        <v>6.8000000000000005E-2</v>
      </c>
      <c r="N8" s="13">
        <f>SUMIF(Mercado_Receita!$S$2:$S$886,"44652A3aVerdeNão se aplicaNão se aplicaNão se aplicaNão se aplicaPonta",Mercado_Receita!$L$2:$L$886)</f>
        <v>7.2999999999999995E-2</v>
      </c>
      <c r="O8" s="13">
        <f>SUMIF(Mercado_Receita!$S$2:$S$886,"44682A3aVerdeNão se aplicaNão se aplicaNão se aplicaNão se aplicaPonta",Mercado_Receita!$L$2:$L$886)</f>
        <v>0.1</v>
      </c>
      <c r="P8" s="13">
        <f>SUMIF(Mercado_Receita!$S$2:$S$886,"44713A3aVerdeNão se aplicaNão se aplicaNão se aplicaNão se aplicaPonta",Mercado_Receita!$L$2:$L$886)</f>
        <v>9.7000000000000003E-2</v>
      </c>
      <c r="Q8" s="13">
        <f>SUMIF(Mercado_Receita!$S$2:$S$886,"44743A3aVerdeNão se aplicaNão se aplicaNão se aplicaNão se aplicaPonta",Mercado_Receita!$L$2:$L$886)</f>
        <v>0.10199999999999999</v>
      </c>
      <c r="R8" s="13">
        <f>SUMIF(Mercado_Receita!$S$2:$S$886,"44774A3aVerdeNão se aplicaNão se aplicaNão se aplicaNão se aplicaPonta",Mercado_Receita!$L$2:$L$886)</f>
        <v>0.129</v>
      </c>
      <c r="S8" s="13">
        <f>SUMIF(Mercado_Receita!$S$2:$S$886,"44805A3aVerdeNão se aplicaNão se aplicaNão se aplicaNão se aplicaPonta",Mercado_Receita!$L$2:$L$886)</f>
        <v>2.4329999999999998</v>
      </c>
      <c r="T8" s="13">
        <f>SUMIF(Mercado_Receita!$S$2:$S$886,"44835A3aVerdeNão se aplicaNão se aplicaNão se aplicaNão se aplicaPonta",Mercado_Receita!$L$2:$L$886)</f>
        <v>2.4329999999999998</v>
      </c>
      <c r="U8" s="13">
        <f t="shared" si="0"/>
        <v>5.4909999999999997</v>
      </c>
      <c r="V8" s="13"/>
      <c r="W8" s="13"/>
    </row>
    <row r="9" spans="1:30" ht="11.25" customHeight="1" x14ac:dyDescent="0.3">
      <c r="A9" s="123"/>
      <c r="B9" s="123"/>
      <c r="C9" s="123"/>
      <c r="D9" s="123"/>
      <c r="E9" s="123"/>
      <c r="F9" s="123"/>
      <c r="G9" s="13" t="s">
        <v>81</v>
      </c>
      <c r="H9" s="13" t="s">
        <v>79</v>
      </c>
      <c r="I9" s="13">
        <f>SUMIF(Mercado_Receita!$S$2:$S$886,"44501A3aVerdeNão se aplicaNão se aplicaNão se aplicaNão se aplicaFora ponta",Mercado_Receita!$L$2:$L$886)</f>
        <v>0</v>
      </c>
      <c r="J9" s="13">
        <f>SUMIF(Mercado_Receita!$S$2:$S$886,"44531A3aVerdeNão se aplicaNão se aplicaNão se aplicaNão se aplicaFora ponta",Mercado_Receita!$L$2:$L$886)</f>
        <v>0</v>
      </c>
      <c r="K9" s="13">
        <f>SUMIF(Mercado_Receita!$S$2:$S$886,"44562A3aVerdeNão se aplicaNão se aplicaNão se aplicaNão se aplicaFora ponta",Mercado_Receita!$L$2:$L$886)</f>
        <v>0</v>
      </c>
      <c r="L9" s="13">
        <f>SUMIF(Mercado_Receita!$S$2:$S$886,"44593A3aVerdeNão se aplicaNão se aplicaNão se aplicaNão se aplicaFora ponta",Mercado_Receita!$L$2:$L$886)</f>
        <v>0.42099999999999999</v>
      </c>
      <c r="M9" s="13">
        <f>SUMIF(Mercado_Receita!$S$2:$S$886,"44621A3aVerdeNão se aplicaNão se aplicaNão se aplicaNão se aplicaFora ponta",Mercado_Receita!$L$2:$L$886)</f>
        <v>0.45</v>
      </c>
      <c r="N9" s="13">
        <f>SUMIF(Mercado_Receita!$S$2:$S$886,"44652A3aVerdeNão se aplicaNão se aplicaNão se aplicaNão se aplicaFora ponta",Mercado_Receita!$L$2:$L$886)</f>
        <v>0.48299999999999998</v>
      </c>
      <c r="O9" s="13">
        <f>SUMIF(Mercado_Receita!$S$2:$S$886,"44682A3aVerdeNão se aplicaNão se aplicaNão se aplicaNão se aplicaFora ponta",Mercado_Receita!$L$2:$L$886)</f>
        <v>0.58699999999999997</v>
      </c>
      <c r="P9" s="13">
        <f>SUMIF(Mercado_Receita!$S$2:$S$886,"44713A3aVerdeNão se aplicaNão se aplicaNão se aplicaNão se aplicaFora ponta",Mercado_Receita!$L$2:$L$886)</f>
        <v>0.55700000000000005</v>
      </c>
      <c r="Q9" s="13">
        <f>SUMIF(Mercado_Receita!$S$2:$S$886,"44743A3aVerdeNão se aplicaNão se aplicaNão se aplicaNão se aplicaFora ponta",Mercado_Receita!$L$2:$L$886)</f>
        <v>0.94299999999999995</v>
      </c>
      <c r="R9" s="13">
        <f>SUMIF(Mercado_Receita!$S$2:$S$886,"44774A3aVerdeNão se aplicaNão se aplicaNão se aplicaNão se aplicaFora ponta",Mercado_Receita!$L$2:$L$886)</f>
        <v>2.7690000000000001</v>
      </c>
      <c r="S9" s="13">
        <f>SUMIF(Mercado_Receita!$S$2:$S$886,"44805A3aVerdeNão se aplicaNão se aplicaNão se aplicaNão se aplicaFora ponta",Mercado_Receita!$L$2:$L$886)</f>
        <v>20.187999999999999</v>
      </c>
      <c r="T9" s="13">
        <f>SUMIF(Mercado_Receita!$S$2:$S$886,"44835A3aVerdeNão se aplicaNão se aplicaNão se aplicaNão se aplicaFora ponta",Mercado_Receita!$L$2:$L$886)</f>
        <v>20.187999999999999</v>
      </c>
      <c r="U9" s="13">
        <f t="shared" si="0"/>
        <v>46.585999999999999</v>
      </c>
      <c r="V9" s="13"/>
      <c r="W9" s="13"/>
    </row>
    <row r="10" spans="1:30" ht="11.25" customHeight="1" x14ac:dyDescent="0.3">
      <c r="A10" s="123"/>
      <c r="B10" s="123"/>
      <c r="C10" s="123"/>
      <c r="D10" s="123"/>
      <c r="E10" s="122" t="s">
        <v>87</v>
      </c>
      <c r="F10" s="122" t="s">
        <v>25</v>
      </c>
      <c r="G10" s="13" t="s">
        <v>80</v>
      </c>
      <c r="H10" s="13" t="s">
        <v>79</v>
      </c>
      <c r="I10" s="13">
        <f>SUMIF(Mercado_Receita!$S$2:$S$886,"44501A3aVerdeNão se aplicaNão se aplicaAPENão se aplicaPonta",Mercado_Receita!$L$2:$L$886)</f>
        <v>0</v>
      </c>
      <c r="J10" s="13">
        <f>SUMIF(Mercado_Receita!$S$2:$S$886,"44531A3aVerdeNão se aplicaNão se aplicaAPENão se aplicaPonta",Mercado_Receita!$L$2:$L$886)</f>
        <v>0</v>
      </c>
      <c r="K10" s="13">
        <f>SUMIF(Mercado_Receita!$S$2:$S$886,"44562A3aVerdeNão se aplicaNão se aplicaAPENão se aplicaPonta",Mercado_Receita!$L$2:$L$886)</f>
        <v>0</v>
      </c>
      <c r="L10" s="13">
        <f>SUMIF(Mercado_Receita!$S$2:$S$886,"44593A3aVerdeNão se aplicaNão se aplicaAPENão se aplicaPonta",Mercado_Receita!$L$2:$L$886)</f>
        <v>0</v>
      </c>
      <c r="M10" s="13">
        <f>SUMIF(Mercado_Receita!$S$2:$S$886,"44621A3aVerdeNão se aplicaNão se aplicaAPENão se aplicaPonta",Mercado_Receita!$L$2:$L$886)</f>
        <v>0</v>
      </c>
      <c r="N10" s="13">
        <f>SUMIF(Mercado_Receita!$S$2:$S$886,"44652A3aVerdeNão se aplicaNão se aplicaAPENão se aplicaPonta",Mercado_Receita!$L$2:$L$886)</f>
        <v>0</v>
      </c>
      <c r="O10" s="13">
        <f>SUMIF(Mercado_Receita!$S$2:$S$886,"44682A3aVerdeNão se aplicaNão se aplicaAPENão se aplicaPonta",Mercado_Receita!$L$2:$L$886)</f>
        <v>0</v>
      </c>
      <c r="P10" s="13">
        <f>SUMIF(Mercado_Receita!$S$2:$S$886,"44713A3aVerdeNão se aplicaNão se aplicaAPENão se aplicaPonta",Mercado_Receita!$L$2:$L$886)</f>
        <v>0</v>
      </c>
      <c r="Q10" s="13">
        <f>SUMIF(Mercado_Receita!$S$2:$S$886,"44743A3aVerdeNão se aplicaNão se aplicaAPENão se aplicaPonta",Mercado_Receita!$L$2:$L$886)</f>
        <v>0</v>
      </c>
      <c r="R10" s="13">
        <f>SUMIF(Mercado_Receita!$S$2:$S$886,"44774A3aVerdeNão se aplicaNão se aplicaAPENão se aplicaPonta",Mercado_Receita!$L$2:$L$886)</f>
        <v>0</v>
      </c>
      <c r="S10" s="13">
        <f>SUMIF(Mercado_Receita!$S$2:$S$886,"44805A3aVerdeNão se aplicaNão se aplicaAPENão se aplicaPonta",Mercado_Receita!$L$2:$L$886)</f>
        <v>0</v>
      </c>
      <c r="T10" s="13">
        <f>SUMIF(Mercado_Receita!$S$2:$S$886,"44835A3aVerdeNão se aplicaNão se aplicaAPENão se aplicaPonta",Mercado_Receita!$L$2:$L$886)</f>
        <v>0</v>
      </c>
      <c r="U10" s="13">
        <f t="shared" si="0"/>
        <v>0</v>
      </c>
      <c r="V10" s="13"/>
      <c r="W10" s="13"/>
    </row>
    <row r="11" spans="1:30" ht="11.25" customHeight="1" x14ac:dyDescent="0.3">
      <c r="A11" s="123"/>
      <c r="B11" s="123"/>
      <c r="C11" s="123"/>
      <c r="D11" s="123"/>
      <c r="E11" s="123"/>
      <c r="F11" s="123"/>
      <c r="G11" s="13" t="s">
        <v>81</v>
      </c>
      <c r="H11" s="13" t="s">
        <v>79</v>
      </c>
      <c r="I11" s="13">
        <f>SUMIF(Mercado_Receita!$S$2:$S$886,"44501A3aVerdeNão se aplicaNão se aplicaAPENão se aplicaFora ponta",Mercado_Receita!$L$2:$L$886)</f>
        <v>0</v>
      </c>
      <c r="J11" s="13">
        <f>SUMIF(Mercado_Receita!$S$2:$S$886,"44531A3aVerdeNão se aplicaNão se aplicaAPENão se aplicaFora ponta",Mercado_Receita!$L$2:$L$886)</f>
        <v>0</v>
      </c>
      <c r="K11" s="13">
        <f>SUMIF(Mercado_Receita!$S$2:$S$886,"44562A3aVerdeNão se aplicaNão se aplicaAPENão se aplicaFora ponta",Mercado_Receita!$L$2:$L$886)</f>
        <v>0</v>
      </c>
      <c r="L11" s="13">
        <f>SUMIF(Mercado_Receita!$S$2:$S$886,"44593A3aVerdeNão se aplicaNão se aplicaAPENão se aplicaFora ponta",Mercado_Receita!$L$2:$L$886)</f>
        <v>0</v>
      </c>
      <c r="M11" s="13">
        <f>SUMIF(Mercado_Receita!$S$2:$S$886,"44621A3aVerdeNão se aplicaNão se aplicaAPENão se aplicaFora ponta",Mercado_Receita!$L$2:$L$886)</f>
        <v>0</v>
      </c>
      <c r="N11" s="13">
        <f>SUMIF(Mercado_Receita!$S$2:$S$886,"44652A3aVerdeNão se aplicaNão se aplicaAPENão se aplicaFora ponta",Mercado_Receita!$L$2:$L$886)</f>
        <v>0</v>
      </c>
      <c r="O11" s="13">
        <f>SUMIF(Mercado_Receita!$S$2:$S$886,"44682A3aVerdeNão se aplicaNão se aplicaAPENão se aplicaFora ponta",Mercado_Receita!$L$2:$L$886)</f>
        <v>0</v>
      </c>
      <c r="P11" s="13">
        <f>SUMIF(Mercado_Receita!$S$2:$S$886,"44713A3aVerdeNão se aplicaNão se aplicaAPENão se aplicaFora ponta",Mercado_Receita!$L$2:$L$886)</f>
        <v>0</v>
      </c>
      <c r="Q11" s="13">
        <f>SUMIF(Mercado_Receita!$S$2:$S$886,"44743A3aVerdeNão se aplicaNão se aplicaAPENão se aplicaFora ponta",Mercado_Receita!$L$2:$L$886)</f>
        <v>0</v>
      </c>
      <c r="R11" s="13">
        <f>SUMIF(Mercado_Receita!$S$2:$S$886,"44774A3aVerdeNão se aplicaNão se aplicaAPENão se aplicaFora ponta",Mercado_Receita!$L$2:$L$886)</f>
        <v>0</v>
      </c>
      <c r="S11" s="13">
        <f>SUMIF(Mercado_Receita!$S$2:$S$886,"44805A3aVerdeNão se aplicaNão se aplicaAPENão se aplicaFora ponta",Mercado_Receita!$L$2:$L$886)</f>
        <v>0</v>
      </c>
      <c r="T11" s="13">
        <f>SUMIF(Mercado_Receita!$S$2:$S$886,"44835A3aVerdeNão se aplicaNão se aplicaAPENão se aplicaFora ponta",Mercado_Receita!$L$2:$L$886)</f>
        <v>0</v>
      </c>
      <c r="U11" s="13">
        <f t="shared" si="0"/>
        <v>0</v>
      </c>
      <c r="V11" s="13"/>
      <c r="W11" s="13"/>
    </row>
    <row r="12" spans="1:30" ht="11.25" customHeight="1" x14ac:dyDescent="0.3">
      <c r="A12" s="123"/>
      <c r="B12" s="122" t="s">
        <v>23</v>
      </c>
      <c r="C12" s="122" t="s">
        <v>25</v>
      </c>
      <c r="D12" s="122" t="s">
        <v>25</v>
      </c>
      <c r="E12" s="122" t="s">
        <v>25</v>
      </c>
      <c r="F12" s="122" t="s">
        <v>25</v>
      </c>
      <c r="G12" s="13" t="s">
        <v>9</v>
      </c>
      <c r="H12" s="13" t="s">
        <v>84</v>
      </c>
      <c r="I12" s="13">
        <f>SUMIF(Mercado_Receita!$S$2:$S$886,"44501A3aConvencionalNão se aplicaNão se aplicaNão se aplicaNão se aplicaNão se aplica",Mercado_Receita!$J$2:$J$886)+SUMIF(Mercado_Receita!$S$2:$S$886,"44501A3aConvencionalNão se aplicaNão se aplicaAPENão se aplicaNão se aplica",Mercado_Receita!$J$2:$J$886)</f>
        <v>0</v>
      </c>
      <c r="J12" s="13">
        <f>SUMIF(Mercado_Receita!$S$2:$S$886,"44531A3aConvencionalNão se aplicaNão se aplicaNão se aplicaNão se aplicaNão se aplica",Mercado_Receita!$J$2:$J$886)+SUMIF(Mercado_Receita!$S$2:$S$886,"44531A3aConvencionalNão se aplicaNão se aplicaAPENão se aplicaNão se aplica",Mercado_Receita!$J$2:$J$886)</f>
        <v>0</v>
      </c>
      <c r="K12" s="13">
        <f>SUMIF(Mercado_Receita!$S$2:$S$886,"44562A3aConvencionalNão se aplicaNão se aplicaNão se aplicaNão se aplicaNão se aplica",Mercado_Receita!$J$2:$J$886)+SUMIF(Mercado_Receita!$S$2:$S$886,"44562A3aConvencionalNão se aplicaNão se aplicaAPENão se aplicaNão se aplica",Mercado_Receita!$J$2:$J$886)</f>
        <v>0</v>
      </c>
      <c r="L12" s="13">
        <f>SUMIF(Mercado_Receita!$S$2:$S$886,"44593A3aConvencionalNão se aplicaNão se aplicaNão se aplicaNão se aplicaNão se aplica",Mercado_Receita!$J$2:$J$886)+SUMIF(Mercado_Receita!$S$2:$S$886,"44593A3aConvencionalNão se aplicaNão se aplicaAPENão se aplicaNão se aplica",Mercado_Receita!$J$2:$J$886)</f>
        <v>0</v>
      </c>
      <c r="M12" s="13">
        <f>SUMIF(Mercado_Receita!$S$2:$S$886,"44621A3aConvencionalNão se aplicaNão se aplicaNão se aplicaNão se aplicaNão se aplica",Mercado_Receita!$J$2:$J$886)+SUMIF(Mercado_Receita!$S$2:$S$886,"44621A3aConvencionalNão se aplicaNão se aplicaAPENão se aplicaNão se aplica",Mercado_Receita!$J$2:$J$886)</f>
        <v>0</v>
      </c>
      <c r="N12" s="13">
        <f>SUMIF(Mercado_Receita!$S$2:$S$886,"44652A3aConvencionalNão se aplicaNão se aplicaNão se aplicaNão se aplicaNão se aplica",Mercado_Receita!$J$2:$J$886)+SUMIF(Mercado_Receita!$S$2:$S$886,"44652A3aConvencionalNão se aplicaNão se aplicaAPENão se aplicaNão se aplica",Mercado_Receita!$J$2:$J$886)</f>
        <v>0</v>
      </c>
      <c r="O12" s="13">
        <f>SUMIF(Mercado_Receita!$S$2:$S$886,"44682A3aConvencionalNão se aplicaNão se aplicaNão se aplicaNão se aplicaNão se aplica",Mercado_Receita!$J$2:$J$886)+SUMIF(Mercado_Receita!$S$2:$S$886,"44682A3aConvencionalNão se aplicaNão se aplicaAPENão se aplicaNão se aplica",Mercado_Receita!$J$2:$J$886)</f>
        <v>0</v>
      </c>
      <c r="P12" s="13">
        <f>SUMIF(Mercado_Receita!$S$2:$S$886,"44713A3aConvencionalNão se aplicaNão se aplicaNão se aplicaNão se aplicaNão se aplica",Mercado_Receita!$J$2:$J$886)+SUMIF(Mercado_Receita!$S$2:$S$886,"44713A3aConvencionalNão se aplicaNão se aplicaAPENão se aplicaNão se aplica",Mercado_Receita!$J$2:$J$886)</f>
        <v>0</v>
      </c>
      <c r="Q12" s="13">
        <f>SUMIF(Mercado_Receita!$S$2:$S$886,"44743A3aConvencionalNão se aplicaNão se aplicaNão se aplicaNão se aplicaNão se aplica",Mercado_Receita!$J$2:$J$886)+SUMIF(Mercado_Receita!$S$2:$S$886,"44743A3aConvencionalNão se aplicaNão se aplicaAPENão se aplicaNão se aplica",Mercado_Receita!$J$2:$J$886)</f>
        <v>0</v>
      </c>
      <c r="R12" s="13">
        <f>SUMIF(Mercado_Receita!$S$2:$S$886,"44774A3aConvencionalNão se aplicaNão se aplicaNão se aplicaNão se aplicaNão se aplica",Mercado_Receita!$J$2:$J$886)+SUMIF(Mercado_Receita!$S$2:$S$886,"44774A3aConvencionalNão se aplicaNão se aplicaAPENão se aplicaNão se aplica",Mercado_Receita!$J$2:$J$886)</f>
        <v>0</v>
      </c>
      <c r="S12" s="13">
        <f>SUMIF(Mercado_Receita!$S$2:$S$886,"44805A3aConvencionalNão se aplicaNão se aplicaNão se aplicaNão se aplicaNão se aplica",Mercado_Receita!$J$2:$J$886)+SUMIF(Mercado_Receita!$S$2:$S$886,"44805A3aConvencionalNão se aplicaNão se aplicaAPENão se aplicaNão se aplica",Mercado_Receita!$J$2:$J$886)</f>
        <v>0</v>
      </c>
      <c r="T12" s="13">
        <f>SUMIF(Mercado_Receita!$S$2:$S$886,"44835A3aConvencionalNão se aplicaNão se aplicaNão se aplicaNão se aplicaNão se aplica",Mercado_Receita!$J$2:$J$886)+SUMIF(Mercado_Receita!$S$2:$S$886,"44835A3aConvencionalNão se aplicaNão se aplicaAPENão se aplicaNão se aplica",Mercado_Receita!$J$2:$J$886)</f>
        <v>0</v>
      </c>
      <c r="U12" s="13">
        <f t="shared" si="0"/>
        <v>0</v>
      </c>
      <c r="V12" s="13"/>
      <c r="W12" s="13"/>
    </row>
    <row r="13" spans="1:30" ht="11.25" customHeight="1" x14ac:dyDescent="0.3">
      <c r="A13" s="123"/>
      <c r="B13" s="123"/>
      <c r="C13" s="123"/>
      <c r="D13" s="123"/>
      <c r="E13" s="123"/>
      <c r="F13" s="123"/>
      <c r="G13" s="13" t="s">
        <v>83</v>
      </c>
      <c r="H13" s="13" t="s">
        <v>79</v>
      </c>
      <c r="I13" s="13">
        <f>SUMIF(Mercado_Receita!$S$2:$S$886,"44501A3aConvencionalNão se aplicaNão se aplicaNão se aplicaNão se aplicaPonta",Mercado_Receita!$L$2:$L$886)+SUMIF(Mercado_Receita!$S$2:$S$886,"44501A3aConvencionalNão se aplicaNão se aplicaNão se aplicaNão se aplicaFora ponta",Mercado_Receita!$L$2:$L$886)+SUMIF(Mercado_Receita!$S$2:$S$886,"44501A3aConvencionalNão se aplicaNão se aplicaNão se aplicaNão se aplicaIntermediário",Mercado_Receita!$L$2:$L$886)+SUMIF(Mercado_Receita!$S$2:$S$886,"44501A3aConvencionalNão se aplicaNão se aplicaNão se aplicaNão se aplicaNão se aplica",Mercado_Receita!$L$2:$L$886)</f>
        <v>0</v>
      </c>
      <c r="J13" s="13">
        <f>SUMIF(Mercado_Receita!$S$2:$S$886,"44531A3aConvencionalNão se aplicaNão se aplicaNão se aplicaNão se aplicaPonta",Mercado_Receita!$L$2:$L$886)+SUMIF(Mercado_Receita!$S$2:$S$886,"44531A3aConvencionalNão se aplicaNão se aplicaNão se aplicaNão se aplicaFora ponta",Mercado_Receita!$L$2:$L$886)+SUMIF(Mercado_Receita!$S$2:$S$886,"44531A3aConvencionalNão se aplicaNão se aplicaNão se aplicaNão se aplicaIntermediário",Mercado_Receita!$L$2:$L$886)+SUMIF(Mercado_Receita!$S$2:$S$886,"44531A3aConvencionalNão se aplicaNão se aplicaNão se aplicaNão se aplicaNão se aplica",Mercado_Receita!$L$2:$L$886)</f>
        <v>0</v>
      </c>
      <c r="K13" s="13">
        <f>SUMIF(Mercado_Receita!$S$2:$S$886,"44562A3aConvencionalNão se aplicaNão se aplicaNão se aplicaNão se aplicaPonta",Mercado_Receita!$L$2:$L$886)+SUMIF(Mercado_Receita!$S$2:$S$886,"44562A3aConvencionalNão se aplicaNão se aplicaNão se aplicaNão se aplicaFora ponta",Mercado_Receita!$L$2:$L$886)+SUMIF(Mercado_Receita!$S$2:$S$886,"44562A3aConvencionalNão se aplicaNão se aplicaNão se aplicaNão se aplicaIntermediário",Mercado_Receita!$L$2:$L$886)+SUMIF(Mercado_Receita!$S$2:$S$886,"44562A3aConvencionalNão se aplicaNão se aplicaNão se aplicaNão se aplicaNão se aplica",Mercado_Receita!$L$2:$L$886)</f>
        <v>0</v>
      </c>
      <c r="L13" s="13">
        <f>SUMIF(Mercado_Receita!$S$2:$S$886,"44593A3aConvencionalNão se aplicaNão se aplicaNão se aplicaNão se aplicaPonta",Mercado_Receita!$L$2:$L$886)+SUMIF(Mercado_Receita!$S$2:$S$886,"44593A3aConvencionalNão se aplicaNão se aplicaNão se aplicaNão se aplicaFora ponta",Mercado_Receita!$L$2:$L$886)+SUMIF(Mercado_Receita!$S$2:$S$886,"44593A3aConvencionalNão se aplicaNão se aplicaNão se aplicaNão se aplicaIntermediário",Mercado_Receita!$L$2:$L$886)+SUMIF(Mercado_Receita!$S$2:$S$886,"44593A3aConvencionalNão se aplicaNão se aplicaNão se aplicaNão se aplicaNão se aplica",Mercado_Receita!$L$2:$L$886)</f>
        <v>0</v>
      </c>
      <c r="M13" s="13">
        <f>SUMIF(Mercado_Receita!$S$2:$S$886,"44621A3aConvencionalNão se aplicaNão se aplicaNão se aplicaNão se aplicaPonta",Mercado_Receita!$L$2:$L$886)+SUMIF(Mercado_Receita!$S$2:$S$886,"44621A3aConvencionalNão se aplicaNão se aplicaNão se aplicaNão se aplicaFora ponta",Mercado_Receita!$L$2:$L$886)+SUMIF(Mercado_Receita!$S$2:$S$886,"44621A3aConvencionalNão se aplicaNão se aplicaNão se aplicaNão se aplicaIntermediário",Mercado_Receita!$L$2:$L$886)+SUMIF(Mercado_Receita!$S$2:$S$886,"44621A3aConvencionalNão se aplicaNão se aplicaNão se aplicaNão se aplicaNão se aplica",Mercado_Receita!$L$2:$L$886)</f>
        <v>0</v>
      </c>
      <c r="N13" s="13">
        <f>SUMIF(Mercado_Receita!$S$2:$S$886,"44652A3aConvencionalNão se aplicaNão se aplicaNão se aplicaNão se aplicaPonta",Mercado_Receita!$L$2:$L$886)+SUMIF(Mercado_Receita!$S$2:$S$886,"44652A3aConvencionalNão se aplicaNão se aplicaNão se aplicaNão se aplicaFora ponta",Mercado_Receita!$L$2:$L$886)+SUMIF(Mercado_Receita!$S$2:$S$886,"44652A3aConvencionalNão se aplicaNão se aplicaNão se aplicaNão se aplicaIntermediário",Mercado_Receita!$L$2:$L$886)+SUMIF(Mercado_Receita!$S$2:$S$886,"44652A3aConvencionalNão se aplicaNão se aplicaNão se aplicaNão se aplicaNão se aplica",Mercado_Receita!$L$2:$L$886)</f>
        <v>0</v>
      </c>
      <c r="O13" s="13">
        <f>SUMIF(Mercado_Receita!$S$2:$S$886,"44682A3aConvencionalNão se aplicaNão se aplicaNão se aplicaNão se aplicaPonta",Mercado_Receita!$L$2:$L$886)+SUMIF(Mercado_Receita!$S$2:$S$886,"44682A3aConvencionalNão se aplicaNão se aplicaNão se aplicaNão se aplicaFora ponta",Mercado_Receita!$L$2:$L$886)+SUMIF(Mercado_Receita!$S$2:$S$886,"44682A3aConvencionalNão se aplicaNão se aplicaNão se aplicaNão se aplicaIntermediário",Mercado_Receita!$L$2:$L$886)+SUMIF(Mercado_Receita!$S$2:$S$886,"44682A3aConvencionalNão se aplicaNão se aplicaNão se aplicaNão se aplicaNão se aplica",Mercado_Receita!$L$2:$L$886)</f>
        <v>0</v>
      </c>
      <c r="P13" s="13">
        <f>SUMIF(Mercado_Receita!$S$2:$S$886,"44713A3aConvencionalNão se aplicaNão se aplicaNão se aplicaNão se aplicaPonta",Mercado_Receita!$L$2:$L$886)+SUMIF(Mercado_Receita!$S$2:$S$886,"44713A3aConvencionalNão se aplicaNão se aplicaNão se aplicaNão se aplicaFora ponta",Mercado_Receita!$L$2:$L$886)+SUMIF(Mercado_Receita!$S$2:$S$886,"44713A3aConvencionalNão se aplicaNão se aplicaNão se aplicaNão se aplicaIntermediário",Mercado_Receita!$L$2:$L$886)+SUMIF(Mercado_Receita!$S$2:$S$886,"44713A3aConvencionalNão se aplicaNão se aplicaNão se aplicaNão se aplicaNão se aplica",Mercado_Receita!$L$2:$L$886)</f>
        <v>0</v>
      </c>
      <c r="Q13" s="13">
        <f>SUMIF(Mercado_Receita!$S$2:$S$886,"44743A3aConvencionalNão se aplicaNão se aplicaNão se aplicaNão se aplicaPonta",Mercado_Receita!$L$2:$L$886)+SUMIF(Mercado_Receita!$S$2:$S$886,"44743A3aConvencionalNão se aplicaNão se aplicaNão se aplicaNão se aplicaFora ponta",Mercado_Receita!$L$2:$L$886)+SUMIF(Mercado_Receita!$S$2:$S$886,"44743A3aConvencionalNão se aplicaNão se aplicaNão se aplicaNão se aplicaIntermediário",Mercado_Receita!$L$2:$L$886)+SUMIF(Mercado_Receita!$S$2:$S$886,"44743A3aConvencionalNão se aplicaNão se aplicaNão se aplicaNão se aplicaNão se aplica",Mercado_Receita!$L$2:$L$886)</f>
        <v>0</v>
      </c>
      <c r="R13" s="13">
        <f>SUMIF(Mercado_Receita!$S$2:$S$886,"44774A3aConvencionalNão se aplicaNão se aplicaNão se aplicaNão se aplicaPonta",Mercado_Receita!$L$2:$L$886)+SUMIF(Mercado_Receita!$S$2:$S$886,"44774A3aConvencionalNão se aplicaNão se aplicaNão se aplicaNão se aplicaFora ponta",Mercado_Receita!$L$2:$L$886)+SUMIF(Mercado_Receita!$S$2:$S$886,"44774A3aConvencionalNão se aplicaNão se aplicaNão se aplicaNão se aplicaIntermediário",Mercado_Receita!$L$2:$L$886)+SUMIF(Mercado_Receita!$S$2:$S$886,"44774A3aConvencionalNão se aplicaNão se aplicaNão se aplicaNão se aplicaNão se aplica",Mercado_Receita!$L$2:$L$886)</f>
        <v>0</v>
      </c>
      <c r="S13" s="13">
        <f>SUMIF(Mercado_Receita!$S$2:$S$886,"44805A3aConvencionalNão se aplicaNão se aplicaNão se aplicaNão se aplicaPonta",Mercado_Receita!$L$2:$L$886)+SUMIF(Mercado_Receita!$S$2:$S$886,"44805A3aConvencionalNão se aplicaNão se aplicaNão se aplicaNão se aplicaFora ponta",Mercado_Receita!$L$2:$L$886)+SUMIF(Mercado_Receita!$S$2:$S$886,"44805A3aConvencionalNão se aplicaNão se aplicaNão se aplicaNão se aplicaIntermediário",Mercado_Receita!$L$2:$L$886)+SUMIF(Mercado_Receita!$S$2:$S$886,"44805A3aConvencionalNão se aplicaNão se aplicaNão se aplicaNão se aplicaNão se aplica",Mercado_Receita!$L$2:$L$886)</f>
        <v>0</v>
      </c>
      <c r="T13" s="13">
        <f>SUMIF(Mercado_Receita!$S$2:$S$886,"44835A3aConvencionalNão se aplicaNão se aplicaNão se aplicaNão se aplicaPonta",Mercado_Receita!$L$2:$L$886)+SUMIF(Mercado_Receita!$S$2:$S$886,"44835A3aConvencionalNão se aplicaNão se aplicaNão se aplicaNão se aplicaFora ponta",Mercado_Receita!$L$2:$L$886)+SUMIF(Mercado_Receita!$S$2:$S$886,"44835A3aConvencionalNão se aplicaNão se aplicaNão se aplicaNão se aplicaIntermediário",Mercado_Receita!$L$2:$L$886)+SUMIF(Mercado_Receita!$S$2:$S$886,"44835A3aConvencionalNão se aplicaNão se aplicaNão se aplicaNão se aplicaNão se aplica",Mercado_Receita!$L$2:$L$886)</f>
        <v>0</v>
      </c>
      <c r="U13" s="13">
        <f t="shared" si="0"/>
        <v>0</v>
      </c>
      <c r="V13" s="13"/>
      <c r="W13" s="13"/>
    </row>
    <row r="14" spans="1:30" ht="11.25" customHeight="1" x14ac:dyDescent="0.3">
      <c r="A14" s="122" t="s">
        <v>39</v>
      </c>
      <c r="B14" s="122" t="s">
        <v>42</v>
      </c>
      <c r="C14" s="122" t="s">
        <v>25</v>
      </c>
      <c r="D14" s="122" t="s">
        <v>25</v>
      </c>
      <c r="E14" s="122" t="s">
        <v>25</v>
      </c>
      <c r="F14" s="122" t="s">
        <v>25</v>
      </c>
      <c r="G14" s="13" t="s">
        <v>85</v>
      </c>
      <c r="H14" s="13" t="s">
        <v>84</v>
      </c>
      <c r="I14" s="13">
        <f>SUMIF(Mercado_Receita!$S$2:$S$886,"44501A4AzulNão se aplicaNão se aplicaNão se aplicaNão se aplicaPonta",Mercado_Receita!$J$2:$J$886)+SUMIF(Mercado_Receita!$S$2:$S$886,"44501A4AzulNão se aplicaNão se aplicaAPENão se aplicaPonta",Mercado_Receita!$J$2:$J$886)</f>
        <v>573</v>
      </c>
      <c r="J14" s="13">
        <f>SUMIF(Mercado_Receita!$S$2:$S$886,"44531A4AzulNão se aplicaNão se aplicaNão se aplicaNão se aplicaPonta",Mercado_Receita!$J$2:$J$886)+SUMIF(Mercado_Receita!$S$2:$S$886,"44531A4AzulNão se aplicaNão se aplicaAPENão se aplicaPonta",Mercado_Receita!$J$2:$J$886)</f>
        <v>572</v>
      </c>
      <c r="K14" s="13">
        <f>SUMIF(Mercado_Receita!$S$2:$S$886,"44562A4AzulNão se aplicaNão se aplicaNão se aplicaNão se aplicaPonta",Mercado_Receita!$J$2:$J$886)+SUMIF(Mercado_Receita!$S$2:$S$886,"44562A4AzulNão se aplicaNão se aplicaAPENão se aplicaPonta",Mercado_Receita!$J$2:$J$886)</f>
        <v>574</v>
      </c>
      <c r="L14" s="13">
        <f>SUMIF(Mercado_Receita!$S$2:$S$886,"44593A4AzulNão se aplicaNão se aplicaNão se aplicaNão se aplicaPonta",Mercado_Receita!$J$2:$J$886)+SUMIF(Mercado_Receita!$S$2:$S$886,"44593A4AzulNão se aplicaNão se aplicaAPENão se aplicaPonta",Mercado_Receita!$J$2:$J$886)</f>
        <v>565</v>
      </c>
      <c r="M14" s="13">
        <f>SUMIF(Mercado_Receita!$S$2:$S$886,"44621A4AzulNão se aplicaNão se aplicaNão se aplicaNão se aplicaPonta",Mercado_Receita!$J$2:$J$886)+SUMIF(Mercado_Receita!$S$2:$S$886,"44621A4AzulNão se aplicaNão se aplicaAPENão se aplicaPonta",Mercado_Receita!$J$2:$J$886)</f>
        <v>565</v>
      </c>
      <c r="N14" s="13">
        <f>SUMIF(Mercado_Receita!$S$2:$S$886,"44652A4AzulNão se aplicaNão se aplicaNão se aplicaNão se aplicaPonta",Mercado_Receita!$J$2:$J$886)+SUMIF(Mercado_Receita!$S$2:$S$886,"44652A4AzulNão se aplicaNão se aplicaAPENão se aplicaPonta",Mercado_Receita!$J$2:$J$886)</f>
        <v>565</v>
      </c>
      <c r="O14" s="13">
        <f>SUMIF(Mercado_Receita!$S$2:$S$886,"44682A4AzulNão se aplicaNão se aplicaNão se aplicaNão se aplicaPonta",Mercado_Receita!$J$2:$J$886)+SUMIF(Mercado_Receita!$S$2:$S$886,"44682A4AzulNão se aplicaNão se aplicaAPENão se aplicaPonta",Mercado_Receita!$J$2:$J$886)</f>
        <v>564</v>
      </c>
      <c r="P14" s="13">
        <f>SUMIF(Mercado_Receita!$S$2:$S$886,"44713A4AzulNão se aplicaNão se aplicaNão se aplicaNão se aplicaPonta",Mercado_Receita!$J$2:$J$886)+SUMIF(Mercado_Receita!$S$2:$S$886,"44713A4AzulNão se aplicaNão se aplicaAPENão se aplicaPonta",Mercado_Receita!$J$2:$J$886)</f>
        <v>564</v>
      </c>
      <c r="Q14" s="13">
        <f>SUMIF(Mercado_Receita!$S$2:$S$886,"44743A4AzulNão se aplicaNão se aplicaNão se aplicaNão se aplicaPonta",Mercado_Receita!$J$2:$J$886)+SUMIF(Mercado_Receita!$S$2:$S$886,"44743A4AzulNão se aplicaNão se aplicaAPENão se aplicaPonta",Mercado_Receita!$J$2:$J$886)</f>
        <v>564</v>
      </c>
      <c r="R14" s="13">
        <f>SUMIF(Mercado_Receita!$S$2:$S$886,"44774A4AzulNão se aplicaNão se aplicaNão se aplicaNão se aplicaPonta",Mercado_Receita!$J$2:$J$886)+SUMIF(Mercado_Receita!$S$2:$S$886,"44774A4AzulNão se aplicaNão se aplicaAPENão se aplicaPonta",Mercado_Receita!$J$2:$J$886)</f>
        <v>564</v>
      </c>
      <c r="S14" s="13">
        <f>SUMIF(Mercado_Receita!$S$2:$S$886,"44805A4AzulNão se aplicaNão se aplicaNão se aplicaNão se aplicaPonta",Mercado_Receita!$J$2:$J$886)+SUMIF(Mercado_Receita!$S$2:$S$886,"44805A4AzulNão se aplicaNão se aplicaAPENão se aplicaPonta",Mercado_Receita!$J$2:$J$886)</f>
        <v>564</v>
      </c>
      <c r="T14" s="13">
        <f>SUMIF(Mercado_Receita!$S$2:$S$886,"44835A4AzulNão se aplicaNão se aplicaNão se aplicaNão se aplicaPonta",Mercado_Receita!$J$2:$J$886)+SUMIF(Mercado_Receita!$S$2:$S$886,"44835A4AzulNão se aplicaNão se aplicaAPENão se aplicaPonta",Mercado_Receita!$J$2:$J$886)</f>
        <v>564</v>
      </c>
      <c r="U14" s="13">
        <f t="shared" si="0"/>
        <v>6798</v>
      </c>
      <c r="V14" s="13"/>
      <c r="W14" s="13"/>
    </row>
    <row r="15" spans="1:30" ht="11.25" customHeight="1" x14ac:dyDescent="0.3">
      <c r="A15" s="123"/>
      <c r="B15" s="123"/>
      <c r="C15" s="123"/>
      <c r="D15" s="123"/>
      <c r="E15" s="123"/>
      <c r="F15" s="123"/>
      <c r="G15" s="13" t="s">
        <v>86</v>
      </c>
      <c r="H15" s="13" t="s">
        <v>84</v>
      </c>
      <c r="I15" s="13">
        <f>SUMIF(Mercado_Receita!$S$2:$S$886,"44501A4AzulNão se aplicaNão se aplicaNão se aplicaNão se aplicaFora ponta",Mercado_Receita!$J$2:$J$886)+SUMIF(Mercado_Receita!$S$2:$S$886,"44501A4AzulNão se aplicaNão se aplicaAPENão se aplicaFora ponta",Mercado_Receita!$J$2:$J$886)</f>
        <v>578</v>
      </c>
      <c r="J15" s="13">
        <f>SUMIF(Mercado_Receita!$S$2:$S$886,"44531A4AzulNão se aplicaNão se aplicaNão se aplicaNão se aplicaFora ponta",Mercado_Receita!$J$2:$J$886)+SUMIF(Mercado_Receita!$S$2:$S$886,"44531A4AzulNão se aplicaNão se aplicaAPENão se aplicaFora ponta",Mercado_Receita!$J$2:$J$886)</f>
        <v>577</v>
      </c>
      <c r="K15" s="13">
        <f>SUMIF(Mercado_Receita!$S$2:$S$886,"44562A4AzulNão se aplicaNão se aplicaNão se aplicaNão se aplicaFora ponta",Mercado_Receita!$J$2:$J$886)+SUMIF(Mercado_Receita!$S$2:$S$886,"44562A4AzulNão se aplicaNão se aplicaAPENão se aplicaFora ponta",Mercado_Receita!$J$2:$J$886)</f>
        <v>578</v>
      </c>
      <c r="L15" s="13">
        <f>SUMIF(Mercado_Receita!$S$2:$S$886,"44593A4AzulNão se aplicaNão se aplicaNão se aplicaNão se aplicaFora ponta",Mercado_Receita!$J$2:$J$886)+SUMIF(Mercado_Receita!$S$2:$S$886,"44593A4AzulNão se aplicaNão se aplicaAPENão se aplicaFora ponta",Mercado_Receita!$J$2:$J$886)</f>
        <v>572</v>
      </c>
      <c r="M15" s="13">
        <f>SUMIF(Mercado_Receita!$S$2:$S$886,"44621A4AzulNão se aplicaNão se aplicaNão se aplicaNão se aplicaFora ponta",Mercado_Receita!$J$2:$J$886)+SUMIF(Mercado_Receita!$S$2:$S$886,"44621A4AzulNão se aplicaNão se aplicaAPENão se aplicaFora ponta",Mercado_Receita!$J$2:$J$886)</f>
        <v>574</v>
      </c>
      <c r="N15" s="13">
        <f>SUMIF(Mercado_Receita!$S$2:$S$886,"44652A4AzulNão se aplicaNão se aplicaNão se aplicaNão se aplicaFora ponta",Mercado_Receita!$J$2:$J$886)+SUMIF(Mercado_Receita!$S$2:$S$886,"44652A4AzulNão se aplicaNão se aplicaAPENão se aplicaFora ponta",Mercado_Receita!$J$2:$J$886)</f>
        <v>574</v>
      </c>
      <c r="O15" s="13">
        <f>SUMIF(Mercado_Receita!$S$2:$S$886,"44682A4AzulNão se aplicaNão se aplicaNão se aplicaNão se aplicaFora ponta",Mercado_Receita!$J$2:$J$886)+SUMIF(Mercado_Receita!$S$2:$S$886,"44682A4AzulNão se aplicaNão se aplicaAPENão se aplicaFora ponta",Mercado_Receita!$J$2:$J$886)</f>
        <v>572</v>
      </c>
      <c r="P15" s="13">
        <f>SUMIF(Mercado_Receita!$S$2:$S$886,"44713A4AzulNão se aplicaNão se aplicaNão se aplicaNão se aplicaFora ponta",Mercado_Receita!$J$2:$J$886)+SUMIF(Mercado_Receita!$S$2:$S$886,"44713A4AzulNão se aplicaNão se aplicaAPENão se aplicaFora ponta",Mercado_Receita!$J$2:$J$886)</f>
        <v>570</v>
      </c>
      <c r="Q15" s="13">
        <f>SUMIF(Mercado_Receita!$S$2:$S$886,"44743A4AzulNão se aplicaNão se aplicaNão se aplicaNão se aplicaFora ponta",Mercado_Receita!$J$2:$J$886)+SUMIF(Mercado_Receita!$S$2:$S$886,"44743A4AzulNão se aplicaNão se aplicaAPENão se aplicaFora ponta",Mercado_Receita!$J$2:$J$886)</f>
        <v>569</v>
      </c>
      <c r="R15" s="13">
        <f>SUMIF(Mercado_Receita!$S$2:$S$886,"44774A4AzulNão se aplicaNão se aplicaNão se aplicaNão se aplicaFora ponta",Mercado_Receita!$J$2:$J$886)+SUMIF(Mercado_Receita!$S$2:$S$886,"44774A4AzulNão se aplicaNão se aplicaAPENão se aplicaFora ponta",Mercado_Receita!$J$2:$J$886)</f>
        <v>571</v>
      </c>
      <c r="S15" s="13">
        <f>SUMIF(Mercado_Receita!$S$2:$S$886,"44805A4AzulNão se aplicaNão se aplicaNão se aplicaNão se aplicaFora ponta",Mercado_Receita!$J$2:$J$886)+SUMIF(Mercado_Receita!$S$2:$S$886,"44805A4AzulNão se aplicaNão se aplicaAPENão se aplicaFora ponta",Mercado_Receita!$J$2:$J$886)</f>
        <v>571</v>
      </c>
      <c r="T15" s="13">
        <f>SUMIF(Mercado_Receita!$S$2:$S$886,"44835A4AzulNão se aplicaNão se aplicaNão se aplicaNão se aplicaFora ponta",Mercado_Receita!$J$2:$J$886)+SUMIF(Mercado_Receita!$S$2:$S$886,"44835A4AzulNão se aplicaNão se aplicaAPENão se aplicaFora ponta",Mercado_Receita!$J$2:$J$886)</f>
        <v>571</v>
      </c>
      <c r="U15" s="13">
        <f t="shared" si="0"/>
        <v>6877</v>
      </c>
      <c r="V15" s="13"/>
      <c r="W15" s="13"/>
    </row>
    <row r="16" spans="1:30" ht="11.25" customHeight="1" x14ac:dyDescent="0.3">
      <c r="A16" s="123"/>
      <c r="B16" s="123"/>
      <c r="C16" s="123"/>
      <c r="D16" s="123"/>
      <c r="E16" s="123"/>
      <c r="F16" s="123"/>
      <c r="G16" s="13" t="s">
        <v>83</v>
      </c>
      <c r="H16" s="13" t="s">
        <v>79</v>
      </c>
      <c r="I16" s="13">
        <f>SUMIF(Mercado_Receita!$S$2:$S$886,"44501A4AzulNão se aplicaNão se aplicaNão se aplicaNão se aplicaPonta",Mercado_Receita!$L$2:$L$886)+SUMIF(Mercado_Receita!$S$2:$S$886,"44501A4AzulNão se aplicaNão se aplicaNão se aplicaNão se aplicaFora ponta",Mercado_Receita!$L$2:$L$886)+SUMIF(Mercado_Receita!$S$2:$S$886,"44501A4AzulNão se aplicaNão se aplicaNão se aplicaNão se aplicaIntermediário",Mercado_Receita!$L$2:$L$886)+SUMIF(Mercado_Receita!$S$2:$S$886,"44501A4AzulNão se aplicaNão se aplicaNão se aplicaNão se aplicaNão se aplica",Mercado_Receita!$L$2:$L$886)</f>
        <v>293.45600000000002</v>
      </c>
      <c r="J16" s="13">
        <f>SUMIF(Mercado_Receita!$S$2:$S$886,"44531A4AzulNão se aplicaNão se aplicaNão se aplicaNão se aplicaPonta",Mercado_Receita!$L$2:$L$886)+SUMIF(Mercado_Receita!$S$2:$S$886,"44531A4AzulNão se aplicaNão se aplicaNão se aplicaNão se aplicaFora ponta",Mercado_Receita!$L$2:$L$886)+SUMIF(Mercado_Receita!$S$2:$S$886,"44531A4AzulNão se aplicaNão se aplicaNão se aplicaNão se aplicaIntermediário",Mercado_Receita!$L$2:$L$886)+SUMIF(Mercado_Receita!$S$2:$S$886,"44531A4AzulNão se aplicaNão se aplicaNão se aplicaNão se aplicaNão se aplica",Mercado_Receita!$L$2:$L$886)</f>
        <v>297.3</v>
      </c>
      <c r="K16" s="13">
        <f>SUMIF(Mercado_Receita!$S$2:$S$886,"44562A4AzulNão se aplicaNão se aplicaNão se aplicaNão se aplicaPonta",Mercado_Receita!$L$2:$L$886)+SUMIF(Mercado_Receita!$S$2:$S$886,"44562A4AzulNão se aplicaNão se aplicaNão se aplicaNão se aplicaFora ponta",Mercado_Receita!$L$2:$L$886)+SUMIF(Mercado_Receita!$S$2:$S$886,"44562A4AzulNão se aplicaNão se aplicaNão se aplicaNão se aplicaIntermediário",Mercado_Receita!$L$2:$L$886)+SUMIF(Mercado_Receita!$S$2:$S$886,"44562A4AzulNão se aplicaNão se aplicaNão se aplicaNão se aplicaNão se aplica",Mercado_Receita!$L$2:$L$886)</f>
        <v>297.91500000000002</v>
      </c>
      <c r="L16" s="13">
        <f>SUMIF(Mercado_Receita!$S$2:$S$886,"44593A4AzulNão se aplicaNão se aplicaNão se aplicaNão se aplicaPonta",Mercado_Receita!$L$2:$L$886)+SUMIF(Mercado_Receita!$S$2:$S$886,"44593A4AzulNão se aplicaNão se aplicaNão se aplicaNão se aplicaFora ponta",Mercado_Receita!$L$2:$L$886)+SUMIF(Mercado_Receita!$S$2:$S$886,"44593A4AzulNão se aplicaNão se aplicaNão se aplicaNão se aplicaIntermediário",Mercado_Receita!$L$2:$L$886)+SUMIF(Mercado_Receita!$S$2:$S$886,"44593A4AzulNão se aplicaNão se aplicaNão se aplicaNão se aplicaNão se aplica",Mercado_Receita!$L$2:$L$886)</f>
        <v>257.21100000000001</v>
      </c>
      <c r="M16" s="13">
        <f>SUMIF(Mercado_Receita!$S$2:$S$886,"44621A4AzulNão se aplicaNão se aplicaNão se aplicaNão se aplicaPonta",Mercado_Receita!$L$2:$L$886)+SUMIF(Mercado_Receita!$S$2:$S$886,"44621A4AzulNão se aplicaNão se aplicaNão se aplicaNão se aplicaFora ponta",Mercado_Receita!$L$2:$L$886)+SUMIF(Mercado_Receita!$S$2:$S$886,"44621A4AzulNão se aplicaNão se aplicaNão se aplicaNão se aplicaIntermediário",Mercado_Receita!$L$2:$L$886)+SUMIF(Mercado_Receita!$S$2:$S$886,"44621A4AzulNão se aplicaNão se aplicaNão se aplicaNão se aplicaNão se aplica",Mercado_Receita!$L$2:$L$886)</f>
        <v>290.75</v>
      </c>
      <c r="N16" s="13">
        <f>SUMIF(Mercado_Receita!$S$2:$S$886,"44652A4AzulNão se aplicaNão se aplicaNão se aplicaNão se aplicaPonta",Mercado_Receita!$L$2:$L$886)+SUMIF(Mercado_Receita!$S$2:$S$886,"44652A4AzulNão se aplicaNão se aplicaNão se aplicaNão se aplicaFora ponta",Mercado_Receita!$L$2:$L$886)+SUMIF(Mercado_Receita!$S$2:$S$886,"44652A4AzulNão se aplicaNão se aplicaNão se aplicaNão se aplicaIntermediário",Mercado_Receita!$L$2:$L$886)+SUMIF(Mercado_Receita!$S$2:$S$886,"44652A4AzulNão se aplicaNão se aplicaNão se aplicaNão se aplicaNão se aplica",Mercado_Receita!$L$2:$L$886)</f>
        <v>294.96899999999999</v>
      </c>
      <c r="O16" s="13">
        <f>SUMIF(Mercado_Receita!$S$2:$S$886,"44682A4AzulNão se aplicaNão se aplicaNão se aplicaNão se aplicaPonta",Mercado_Receita!$L$2:$L$886)+SUMIF(Mercado_Receita!$S$2:$S$886,"44682A4AzulNão se aplicaNão se aplicaNão se aplicaNão se aplicaFora ponta",Mercado_Receita!$L$2:$L$886)+SUMIF(Mercado_Receita!$S$2:$S$886,"44682A4AzulNão se aplicaNão se aplicaNão se aplicaNão se aplicaIntermediário",Mercado_Receita!$L$2:$L$886)+SUMIF(Mercado_Receita!$S$2:$S$886,"44682A4AzulNão se aplicaNão se aplicaNão se aplicaNão se aplicaNão se aplica",Mercado_Receita!$L$2:$L$886)</f>
        <v>299.733</v>
      </c>
      <c r="P16" s="13">
        <f>SUMIF(Mercado_Receita!$S$2:$S$886,"44713A4AzulNão se aplicaNão se aplicaNão se aplicaNão se aplicaPonta",Mercado_Receita!$L$2:$L$886)+SUMIF(Mercado_Receita!$S$2:$S$886,"44713A4AzulNão se aplicaNão se aplicaNão se aplicaNão se aplicaFora ponta",Mercado_Receita!$L$2:$L$886)+SUMIF(Mercado_Receita!$S$2:$S$886,"44713A4AzulNão se aplicaNão se aplicaNão se aplicaNão se aplicaIntermediário",Mercado_Receita!$L$2:$L$886)+SUMIF(Mercado_Receita!$S$2:$S$886,"44713A4AzulNão se aplicaNão se aplicaNão se aplicaNão se aplicaNão se aplica",Mercado_Receita!$L$2:$L$886)</f>
        <v>277.86</v>
      </c>
      <c r="Q16" s="13">
        <f>SUMIF(Mercado_Receita!$S$2:$S$886,"44743A4AzulNão se aplicaNão se aplicaNão se aplicaNão se aplicaPonta",Mercado_Receita!$L$2:$L$886)+SUMIF(Mercado_Receita!$S$2:$S$886,"44743A4AzulNão se aplicaNão se aplicaNão se aplicaNão se aplicaFora ponta",Mercado_Receita!$L$2:$L$886)+SUMIF(Mercado_Receita!$S$2:$S$886,"44743A4AzulNão se aplicaNão se aplicaNão se aplicaNão se aplicaIntermediário",Mercado_Receita!$L$2:$L$886)+SUMIF(Mercado_Receita!$S$2:$S$886,"44743A4AzulNão se aplicaNão se aplicaNão se aplicaNão se aplicaNão se aplica",Mercado_Receita!$L$2:$L$886)</f>
        <v>291.28800000000001</v>
      </c>
      <c r="R16" s="13">
        <f>SUMIF(Mercado_Receita!$S$2:$S$886,"44774A4AzulNão se aplicaNão se aplicaNão se aplicaNão se aplicaPonta",Mercado_Receita!$L$2:$L$886)+SUMIF(Mercado_Receita!$S$2:$S$886,"44774A4AzulNão se aplicaNão se aplicaNão se aplicaNão se aplicaFora ponta",Mercado_Receita!$L$2:$L$886)+SUMIF(Mercado_Receita!$S$2:$S$886,"44774A4AzulNão se aplicaNão se aplicaNão se aplicaNão se aplicaIntermediário",Mercado_Receita!$L$2:$L$886)+SUMIF(Mercado_Receita!$S$2:$S$886,"44774A4AzulNão se aplicaNão se aplicaNão se aplicaNão se aplicaNão se aplica",Mercado_Receita!$L$2:$L$886)</f>
        <v>315.46600000000001</v>
      </c>
      <c r="S16" s="13">
        <f>SUMIF(Mercado_Receita!$S$2:$S$886,"44805A4AzulNão se aplicaNão se aplicaNão se aplicaNão se aplicaPonta",Mercado_Receita!$L$2:$L$886)+SUMIF(Mercado_Receita!$S$2:$S$886,"44805A4AzulNão se aplicaNão se aplicaNão se aplicaNão se aplicaFora ponta",Mercado_Receita!$L$2:$L$886)+SUMIF(Mercado_Receita!$S$2:$S$886,"44805A4AzulNão se aplicaNão se aplicaNão se aplicaNão se aplicaIntermediário",Mercado_Receita!$L$2:$L$886)+SUMIF(Mercado_Receita!$S$2:$S$886,"44805A4AzulNão se aplicaNão se aplicaNão se aplicaNão se aplicaNão se aplica",Mercado_Receita!$L$2:$L$886)</f>
        <v>317.22899999999998</v>
      </c>
      <c r="T16" s="13">
        <f>SUMIF(Mercado_Receita!$S$2:$S$886,"44835A4AzulNão se aplicaNão se aplicaNão se aplicaNão se aplicaPonta",Mercado_Receita!$L$2:$L$886)+SUMIF(Mercado_Receita!$S$2:$S$886,"44835A4AzulNão se aplicaNão se aplicaNão se aplicaNão se aplicaFora ponta",Mercado_Receita!$L$2:$L$886)+SUMIF(Mercado_Receita!$S$2:$S$886,"44835A4AzulNão se aplicaNão se aplicaNão se aplicaNão se aplicaIntermediário",Mercado_Receita!$L$2:$L$886)+SUMIF(Mercado_Receita!$S$2:$S$886,"44835A4AzulNão se aplicaNão se aplicaNão se aplicaNão se aplicaNão se aplica",Mercado_Receita!$L$2:$L$886)</f>
        <v>317.22899999999998</v>
      </c>
      <c r="U16" s="13">
        <f t="shared" si="0"/>
        <v>3550.4059999999995</v>
      </c>
      <c r="V16" s="13"/>
      <c r="W16" s="13"/>
    </row>
    <row r="17" spans="1:23" ht="11.25" customHeight="1" x14ac:dyDescent="0.3">
      <c r="A17" s="123"/>
      <c r="B17" s="123"/>
      <c r="C17" s="123"/>
      <c r="D17" s="123"/>
      <c r="E17" s="12" t="s">
        <v>87</v>
      </c>
      <c r="F17" s="12" t="s">
        <v>25</v>
      </c>
      <c r="G17" s="13" t="s">
        <v>83</v>
      </c>
      <c r="H17" s="13" t="s">
        <v>79</v>
      </c>
      <c r="I17" s="13">
        <f>SUMIF(Mercado_Receita!$S$2:$S$886,"44501A4AzulNão se aplicaNão se aplicaAPENão se aplicaPonta",Mercado_Receita!$L$2:$L$886)+SUMIF(Mercado_Receita!$S$2:$S$886,"44501A4AzulNão se aplicaNão se aplicaAPENão se aplicaFora ponta",Mercado_Receita!$L$2:$L$886)+SUMIF(Mercado_Receita!$S$2:$S$886,"44501A4AzulNão se aplicaNão se aplicaAPENão se aplicaIntermediário",Mercado_Receita!$L$2:$L$886)+SUMIF(Mercado_Receita!$S$2:$S$886,"44501A4AzulNão se aplicaNão se aplicaAPENão se aplicaNão se aplica",Mercado_Receita!$L$2:$L$886)</f>
        <v>0</v>
      </c>
      <c r="J17" s="13">
        <f>SUMIF(Mercado_Receita!$S$2:$S$886,"44531A4AzulNão se aplicaNão se aplicaAPENão se aplicaPonta",Mercado_Receita!$L$2:$L$886)+SUMIF(Mercado_Receita!$S$2:$S$886,"44531A4AzulNão se aplicaNão se aplicaAPENão se aplicaFora ponta",Mercado_Receita!$L$2:$L$886)+SUMIF(Mercado_Receita!$S$2:$S$886,"44531A4AzulNão se aplicaNão se aplicaAPENão se aplicaIntermediário",Mercado_Receita!$L$2:$L$886)+SUMIF(Mercado_Receita!$S$2:$S$886,"44531A4AzulNão se aplicaNão se aplicaAPENão se aplicaNão se aplica",Mercado_Receita!$L$2:$L$886)</f>
        <v>0</v>
      </c>
      <c r="K17" s="13">
        <f>SUMIF(Mercado_Receita!$S$2:$S$886,"44562A4AzulNão se aplicaNão se aplicaAPENão se aplicaPonta",Mercado_Receita!$L$2:$L$886)+SUMIF(Mercado_Receita!$S$2:$S$886,"44562A4AzulNão se aplicaNão se aplicaAPENão se aplicaFora ponta",Mercado_Receita!$L$2:$L$886)+SUMIF(Mercado_Receita!$S$2:$S$886,"44562A4AzulNão se aplicaNão se aplicaAPENão se aplicaIntermediário",Mercado_Receita!$L$2:$L$886)+SUMIF(Mercado_Receita!$S$2:$S$886,"44562A4AzulNão se aplicaNão se aplicaAPENão se aplicaNão se aplica",Mercado_Receita!$L$2:$L$886)</f>
        <v>0</v>
      </c>
      <c r="L17" s="13">
        <f>SUMIF(Mercado_Receita!$S$2:$S$886,"44593A4AzulNão se aplicaNão se aplicaAPENão se aplicaPonta",Mercado_Receita!$L$2:$L$886)+SUMIF(Mercado_Receita!$S$2:$S$886,"44593A4AzulNão se aplicaNão se aplicaAPENão se aplicaFora ponta",Mercado_Receita!$L$2:$L$886)+SUMIF(Mercado_Receita!$S$2:$S$886,"44593A4AzulNão se aplicaNão se aplicaAPENão se aplicaIntermediário",Mercado_Receita!$L$2:$L$886)+SUMIF(Mercado_Receita!$S$2:$S$886,"44593A4AzulNão se aplicaNão se aplicaAPENão se aplicaNão se aplica",Mercado_Receita!$L$2:$L$886)</f>
        <v>0</v>
      </c>
      <c r="M17" s="13">
        <f>SUMIF(Mercado_Receita!$S$2:$S$886,"44621A4AzulNão se aplicaNão se aplicaAPENão se aplicaPonta",Mercado_Receita!$L$2:$L$886)+SUMIF(Mercado_Receita!$S$2:$S$886,"44621A4AzulNão se aplicaNão se aplicaAPENão se aplicaFora ponta",Mercado_Receita!$L$2:$L$886)+SUMIF(Mercado_Receita!$S$2:$S$886,"44621A4AzulNão se aplicaNão se aplicaAPENão se aplicaIntermediário",Mercado_Receita!$L$2:$L$886)+SUMIF(Mercado_Receita!$S$2:$S$886,"44621A4AzulNão se aplicaNão se aplicaAPENão se aplicaNão se aplica",Mercado_Receita!$L$2:$L$886)</f>
        <v>0</v>
      </c>
      <c r="N17" s="13">
        <f>SUMIF(Mercado_Receita!$S$2:$S$886,"44652A4AzulNão se aplicaNão se aplicaAPENão se aplicaPonta",Mercado_Receita!$L$2:$L$886)+SUMIF(Mercado_Receita!$S$2:$S$886,"44652A4AzulNão se aplicaNão se aplicaAPENão se aplicaFora ponta",Mercado_Receita!$L$2:$L$886)+SUMIF(Mercado_Receita!$S$2:$S$886,"44652A4AzulNão se aplicaNão se aplicaAPENão se aplicaIntermediário",Mercado_Receita!$L$2:$L$886)+SUMIF(Mercado_Receita!$S$2:$S$886,"44652A4AzulNão se aplicaNão se aplicaAPENão se aplicaNão se aplica",Mercado_Receita!$L$2:$L$886)</f>
        <v>0</v>
      </c>
      <c r="O17" s="13">
        <f>SUMIF(Mercado_Receita!$S$2:$S$886,"44682A4AzulNão se aplicaNão se aplicaAPENão se aplicaPonta",Mercado_Receita!$L$2:$L$886)+SUMIF(Mercado_Receita!$S$2:$S$886,"44682A4AzulNão se aplicaNão se aplicaAPENão se aplicaFora ponta",Mercado_Receita!$L$2:$L$886)+SUMIF(Mercado_Receita!$S$2:$S$886,"44682A4AzulNão se aplicaNão se aplicaAPENão se aplicaIntermediário",Mercado_Receita!$L$2:$L$886)+SUMIF(Mercado_Receita!$S$2:$S$886,"44682A4AzulNão se aplicaNão se aplicaAPENão se aplicaNão se aplica",Mercado_Receita!$L$2:$L$886)</f>
        <v>0</v>
      </c>
      <c r="P17" s="13">
        <f>SUMIF(Mercado_Receita!$S$2:$S$886,"44713A4AzulNão se aplicaNão se aplicaAPENão se aplicaPonta",Mercado_Receita!$L$2:$L$886)+SUMIF(Mercado_Receita!$S$2:$S$886,"44713A4AzulNão se aplicaNão se aplicaAPENão se aplicaFora ponta",Mercado_Receita!$L$2:$L$886)+SUMIF(Mercado_Receita!$S$2:$S$886,"44713A4AzulNão se aplicaNão se aplicaAPENão se aplicaIntermediário",Mercado_Receita!$L$2:$L$886)+SUMIF(Mercado_Receita!$S$2:$S$886,"44713A4AzulNão se aplicaNão se aplicaAPENão se aplicaNão se aplica",Mercado_Receita!$L$2:$L$886)</f>
        <v>0</v>
      </c>
      <c r="Q17" s="13">
        <f>SUMIF(Mercado_Receita!$S$2:$S$886,"44743A4AzulNão se aplicaNão se aplicaAPENão se aplicaPonta",Mercado_Receita!$L$2:$L$886)+SUMIF(Mercado_Receita!$S$2:$S$886,"44743A4AzulNão se aplicaNão se aplicaAPENão se aplicaFora ponta",Mercado_Receita!$L$2:$L$886)+SUMIF(Mercado_Receita!$S$2:$S$886,"44743A4AzulNão se aplicaNão se aplicaAPENão se aplicaIntermediário",Mercado_Receita!$L$2:$L$886)+SUMIF(Mercado_Receita!$S$2:$S$886,"44743A4AzulNão se aplicaNão se aplicaAPENão se aplicaNão se aplica",Mercado_Receita!$L$2:$L$886)</f>
        <v>0</v>
      </c>
      <c r="R17" s="13">
        <f>SUMIF(Mercado_Receita!$S$2:$S$886,"44774A4AzulNão se aplicaNão se aplicaAPENão se aplicaPonta",Mercado_Receita!$L$2:$L$886)+SUMIF(Mercado_Receita!$S$2:$S$886,"44774A4AzulNão se aplicaNão se aplicaAPENão se aplicaFora ponta",Mercado_Receita!$L$2:$L$886)+SUMIF(Mercado_Receita!$S$2:$S$886,"44774A4AzulNão se aplicaNão se aplicaAPENão se aplicaIntermediário",Mercado_Receita!$L$2:$L$886)+SUMIF(Mercado_Receita!$S$2:$S$886,"44774A4AzulNão se aplicaNão se aplicaAPENão se aplicaNão se aplica",Mercado_Receita!$L$2:$L$886)</f>
        <v>0</v>
      </c>
      <c r="S17" s="13">
        <f>SUMIF(Mercado_Receita!$S$2:$S$886,"44805A4AzulNão se aplicaNão se aplicaAPENão se aplicaPonta",Mercado_Receita!$L$2:$L$886)+SUMIF(Mercado_Receita!$S$2:$S$886,"44805A4AzulNão se aplicaNão se aplicaAPENão se aplicaFora ponta",Mercado_Receita!$L$2:$L$886)+SUMIF(Mercado_Receita!$S$2:$S$886,"44805A4AzulNão se aplicaNão se aplicaAPENão se aplicaIntermediário",Mercado_Receita!$L$2:$L$886)+SUMIF(Mercado_Receita!$S$2:$S$886,"44805A4AzulNão se aplicaNão se aplicaAPENão se aplicaNão se aplica",Mercado_Receita!$L$2:$L$886)</f>
        <v>0</v>
      </c>
      <c r="T17" s="13">
        <f>SUMIF(Mercado_Receita!$S$2:$S$886,"44835A4AzulNão se aplicaNão se aplicaAPENão se aplicaPonta",Mercado_Receita!$L$2:$L$886)+SUMIF(Mercado_Receita!$S$2:$S$886,"44835A4AzulNão se aplicaNão se aplicaAPENão se aplicaFora ponta",Mercado_Receita!$L$2:$L$886)+SUMIF(Mercado_Receita!$S$2:$S$886,"44835A4AzulNão se aplicaNão se aplicaAPENão se aplicaIntermediário",Mercado_Receita!$L$2:$L$886)+SUMIF(Mercado_Receita!$S$2:$S$886,"44835A4AzulNão se aplicaNão se aplicaAPENão se aplicaNão se aplica",Mercado_Receita!$L$2:$L$886)</f>
        <v>0</v>
      </c>
      <c r="U17" s="13">
        <f t="shared" si="0"/>
        <v>0</v>
      </c>
      <c r="V17" s="13"/>
      <c r="W17" s="13"/>
    </row>
    <row r="18" spans="1:23" ht="11.25" customHeight="1" x14ac:dyDescent="0.3">
      <c r="A18" s="123"/>
      <c r="B18" s="12" t="s">
        <v>60</v>
      </c>
      <c r="C18" s="12" t="s">
        <v>25</v>
      </c>
      <c r="D18" s="12" t="s">
        <v>25</v>
      </c>
      <c r="E18" s="12" t="s">
        <v>25</v>
      </c>
      <c r="F18" s="12" t="s">
        <v>25</v>
      </c>
      <c r="G18" s="13" t="s">
        <v>9</v>
      </c>
      <c r="H18" s="13" t="s">
        <v>84</v>
      </c>
      <c r="I18" s="13">
        <f>SUMIF(Mercado_Receita!$S$2:$S$886,"44501A4GeraçãoNão se aplicaNão se aplicaNão se aplicaNão se aplicaNão se aplica",Mercado_Receita!$J$2:$J$886)+SUMIF(Mercado_Receita!$S$2:$S$886,"44501A4GeraçãoNão se aplicaNão se aplicaAPENão se aplicaNão se aplica",Mercado_Receita!$J$2:$J$886)</f>
        <v>0</v>
      </c>
      <c r="J18" s="13">
        <f>SUMIF(Mercado_Receita!$S$2:$S$886,"44531A4GeraçãoNão se aplicaNão se aplicaNão se aplicaNão se aplicaNão se aplica",Mercado_Receita!$J$2:$J$886)+SUMIF(Mercado_Receita!$S$2:$S$886,"44531A4GeraçãoNão se aplicaNão se aplicaAPENão se aplicaNão se aplica",Mercado_Receita!$J$2:$J$886)</f>
        <v>0</v>
      </c>
      <c r="K18" s="13">
        <f>SUMIF(Mercado_Receita!$S$2:$S$886,"44562A4GeraçãoNão se aplicaNão se aplicaNão se aplicaNão se aplicaNão se aplica",Mercado_Receita!$J$2:$J$886)+SUMIF(Mercado_Receita!$S$2:$S$886,"44562A4GeraçãoNão se aplicaNão se aplicaAPENão se aplicaNão se aplica",Mercado_Receita!$J$2:$J$886)</f>
        <v>0</v>
      </c>
      <c r="L18" s="13">
        <f>SUMIF(Mercado_Receita!$S$2:$S$886,"44593A4GeraçãoNão se aplicaNão se aplicaNão se aplicaNão se aplicaNão se aplica",Mercado_Receita!$J$2:$J$886)+SUMIF(Mercado_Receita!$S$2:$S$886,"44593A4GeraçãoNão se aplicaNão se aplicaAPENão se aplicaNão se aplica",Mercado_Receita!$J$2:$J$886)</f>
        <v>0</v>
      </c>
      <c r="M18" s="13">
        <f>SUMIF(Mercado_Receita!$S$2:$S$886,"44621A4GeraçãoNão se aplicaNão se aplicaNão se aplicaNão se aplicaNão se aplica",Mercado_Receita!$J$2:$J$886)+SUMIF(Mercado_Receita!$S$2:$S$886,"44621A4GeraçãoNão se aplicaNão se aplicaAPENão se aplicaNão se aplica",Mercado_Receita!$J$2:$J$886)</f>
        <v>0</v>
      </c>
      <c r="N18" s="13">
        <f>SUMIF(Mercado_Receita!$S$2:$S$886,"44652A4GeraçãoNão se aplicaNão se aplicaNão se aplicaNão se aplicaNão se aplica",Mercado_Receita!$J$2:$J$886)+SUMIF(Mercado_Receita!$S$2:$S$886,"44652A4GeraçãoNão se aplicaNão se aplicaAPENão se aplicaNão se aplica",Mercado_Receita!$J$2:$J$886)</f>
        <v>0</v>
      </c>
      <c r="O18" s="13">
        <f>SUMIF(Mercado_Receita!$S$2:$S$886,"44682A4GeraçãoNão se aplicaNão se aplicaNão se aplicaNão se aplicaNão se aplica",Mercado_Receita!$J$2:$J$886)+SUMIF(Mercado_Receita!$S$2:$S$886,"44682A4GeraçãoNão se aplicaNão se aplicaAPENão se aplicaNão se aplica",Mercado_Receita!$J$2:$J$886)</f>
        <v>0</v>
      </c>
      <c r="P18" s="13">
        <f>SUMIF(Mercado_Receita!$S$2:$S$886,"44713A4GeraçãoNão se aplicaNão se aplicaNão se aplicaNão se aplicaNão se aplica",Mercado_Receita!$J$2:$J$886)+SUMIF(Mercado_Receita!$S$2:$S$886,"44713A4GeraçãoNão se aplicaNão se aplicaAPENão se aplicaNão se aplica",Mercado_Receita!$J$2:$J$886)</f>
        <v>0</v>
      </c>
      <c r="Q18" s="13">
        <f>SUMIF(Mercado_Receita!$S$2:$S$886,"44743A4GeraçãoNão se aplicaNão se aplicaNão se aplicaNão se aplicaNão se aplica",Mercado_Receita!$J$2:$J$886)+SUMIF(Mercado_Receita!$S$2:$S$886,"44743A4GeraçãoNão se aplicaNão se aplicaAPENão se aplicaNão se aplica",Mercado_Receita!$J$2:$J$886)</f>
        <v>0</v>
      </c>
      <c r="R18" s="13">
        <f>SUMIF(Mercado_Receita!$S$2:$S$886,"44774A4GeraçãoNão se aplicaNão se aplicaNão se aplicaNão se aplicaNão se aplica",Mercado_Receita!$J$2:$J$886)+SUMIF(Mercado_Receita!$S$2:$S$886,"44774A4GeraçãoNão se aplicaNão se aplicaAPENão se aplicaNão se aplica",Mercado_Receita!$J$2:$J$886)</f>
        <v>0</v>
      </c>
      <c r="S18" s="13">
        <f>SUMIF(Mercado_Receita!$S$2:$S$886,"44805A4GeraçãoNão se aplicaNão se aplicaNão se aplicaNão se aplicaNão se aplica",Mercado_Receita!$J$2:$J$886)+SUMIF(Mercado_Receita!$S$2:$S$886,"44805A4GeraçãoNão se aplicaNão se aplicaAPENão se aplicaNão se aplica",Mercado_Receita!$J$2:$J$886)</f>
        <v>0</v>
      </c>
      <c r="T18" s="13">
        <f>SUMIF(Mercado_Receita!$S$2:$S$886,"44835A4GeraçãoNão se aplicaNão se aplicaNão se aplicaNão se aplicaNão se aplica",Mercado_Receita!$J$2:$J$886)+SUMIF(Mercado_Receita!$S$2:$S$886,"44835A4GeraçãoNão se aplicaNão se aplicaAPENão se aplicaNão se aplica",Mercado_Receita!$J$2:$J$886)</f>
        <v>0</v>
      </c>
      <c r="U18" s="13">
        <f t="shared" si="0"/>
        <v>0</v>
      </c>
      <c r="V18" s="13"/>
      <c r="W18" s="13"/>
    </row>
    <row r="19" spans="1:23" ht="11.25" customHeight="1" x14ac:dyDescent="0.3">
      <c r="A19" s="123"/>
      <c r="B19" s="122" t="s">
        <v>40</v>
      </c>
      <c r="C19" s="122" t="s">
        <v>25</v>
      </c>
      <c r="D19" s="122" t="s">
        <v>25</v>
      </c>
      <c r="E19" s="122" t="s">
        <v>25</v>
      </c>
      <c r="F19" s="122" t="s">
        <v>25</v>
      </c>
      <c r="G19" s="13" t="s">
        <v>9</v>
      </c>
      <c r="H19" s="13" t="s">
        <v>84</v>
      </c>
      <c r="I19" s="13">
        <f>SUMIF(Mercado_Receita!$S$2:$S$886,"44501A4VerdeNão se aplicaNão se aplicaNão se aplicaNão se aplicaNão se aplica",Mercado_Receita!$J$2:$J$886)+SUMIF(Mercado_Receita!$S$2:$S$886,"44501A4VerdeNão se aplicaNão se aplicaAPENão se aplicaNão se aplica",Mercado_Receita!$J$2:$J$886)</f>
        <v>9580</v>
      </c>
      <c r="J19" s="13">
        <f>SUMIF(Mercado_Receita!$S$2:$S$886,"44531A4VerdeNão se aplicaNão se aplicaNão se aplicaNão se aplicaNão se aplica",Mercado_Receita!$J$2:$J$886)+SUMIF(Mercado_Receita!$S$2:$S$886,"44531A4VerdeNão se aplicaNão se aplicaAPENão se aplicaNão se aplica",Mercado_Receita!$J$2:$J$886)</f>
        <v>9076</v>
      </c>
      <c r="K19" s="13">
        <f>SUMIF(Mercado_Receita!$S$2:$S$886,"44562A4VerdeNão se aplicaNão se aplicaNão se aplicaNão se aplicaNão se aplica",Mercado_Receita!$J$2:$J$886)+SUMIF(Mercado_Receita!$S$2:$S$886,"44562A4VerdeNão se aplicaNão se aplicaAPENão se aplicaNão se aplica",Mercado_Receita!$J$2:$J$886)</f>
        <v>9495</v>
      </c>
      <c r="L19" s="13">
        <f>SUMIF(Mercado_Receita!$S$2:$S$886,"44593A4VerdeNão se aplicaNão se aplicaNão se aplicaNão se aplicaNão se aplica",Mercado_Receita!$J$2:$J$886)+SUMIF(Mercado_Receita!$S$2:$S$886,"44593A4VerdeNão se aplicaNão se aplicaAPENão se aplicaNão se aplica",Mercado_Receita!$J$2:$J$886)</f>
        <v>9191</v>
      </c>
      <c r="M19" s="13">
        <f>SUMIF(Mercado_Receita!$S$2:$S$886,"44621A4VerdeNão se aplicaNão se aplicaNão se aplicaNão se aplicaNão se aplica",Mercado_Receita!$J$2:$J$886)+SUMIF(Mercado_Receita!$S$2:$S$886,"44621A4VerdeNão se aplicaNão se aplicaAPENão se aplicaNão se aplica",Mercado_Receita!$J$2:$J$886)</f>
        <v>10693</v>
      </c>
      <c r="N19" s="13">
        <f>SUMIF(Mercado_Receita!$S$2:$S$886,"44652A4VerdeNão se aplicaNão se aplicaNão se aplicaNão se aplicaNão se aplica",Mercado_Receita!$J$2:$J$886)+SUMIF(Mercado_Receita!$S$2:$S$886,"44652A4VerdeNão se aplicaNão se aplicaAPENão se aplicaNão se aplica",Mercado_Receita!$J$2:$J$886)</f>
        <v>10995</v>
      </c>
      <c r="O19" s="13">
        <f>SUMIF(Mercado_Receita!$S$2:$S$886,"44682A4VerdeNão se aplicaNão se aplicaNão se aplicaNão se aplicaNão se aplica",Mercado_Receita!$J$2:$J$886)+SUMIF(Mercado_Receita!$S$2:$S$886,"44682A4VerdeNão se aplicaNão se aplicaAPENão se aplicaNão se aplica",Mercado_Receita!$J$2:$J$886)</f>
        <v>11103</v>
      </c>
      <c r="P19" s="13">
        <f>SUMIF(Mercado_Receita!$S$2:$S$886,"44713A4VerdeNão se aplicaNão se aplicaNão se aplicaNão se aplicaNão se aplica",Mercado_Receita!$J$2:$J$886)+SUMIF(Mercado_Receita!$S$2:$S$886,"44713A4VerdeNão se aplicaNão se aplicaAPENão se aplicaNão se aplica",Mercado_Receita!$J$2:$J$886)</f>
        <v>11299</v>
      </c>
      <c r="Q19" s="13">
        <f>SUMIF(Mercado_Receita!$S$2:$S$886,"44743A4VerdeNão se aplicaNão se aplicaNão se aplicaNão se aplicaNão se aplica",Mercado_Receita!$J$2:$J$886)+SUMIF(Mercado_Receita!$S$2:$S$886,"44743A4VerdeNão se aplicaNão se aplicaAPENão se aplicaNão se aplica",Mercado_Receita!$J$2:$J$886)</f>
        <v>9959</v>
      </c>
      <c r="R19" s="13">
        <f>SUMIF(Mercado_Receita!$S$2:$S$886,"44774A4VerdeNão se aplicaNão se aplicaNão se aplicaNão se aplicaNão se aplica",Mercado_Receita!$J$2:$J$886)+SUMIF(Mercado_Receita!$S$2:$S$886,"44774A4VerdeNão se aplicaNão se aplicaAPENão se aplicaNão se aplica",Mercado_Receita!$J$2:$J$886)</f>
        <v>11680</v>
      </c>
      <c r="S19" s="13">
        <f>SUMIF(Mercado_Receita!$S$2:$S$886,"44805A4VerdeNão se aplicaNão se aplicaNão se aplicaNão se aplicaNão se aplica",Mercado_Receita!$J$2:$J$886)+SUMIF(Mercado_Receita!$S$2:$S$886,"44805A4VerdeNão se aplicaNão se aplicaAPENão se aplicaNão se aplica",Mercado_Receita!$J$2:$J$886)</f>
        <v>11155</v>
      </c>
      <c r="T19" s="13">
        <f>SUMIF(Mercado_Receita!$S$2:$S$886,"44835A4VerdeNão se aplicaNão se aplicaNão se aplicaNão se aplicaNão se aplica",Mercado_Receita!$J$2:$J$886)+SUMIF(Mercado_Receita!$S$2:$S$886,"44835A4VerdeNão se aplicaNão se aplicaAPENão se aplicaNão se aplica",Mercado_Receita!$J$2:$J$886)</f>
        <v>11155</v>
      </c>
      <c r="U19" s="13">
        <f t="shared" si="0"/>
        <v>125381</v>
      </c>
      <c r="V19" s="13"/>
      <c r="W19" s="13"/>
    </row>
    <row r="20" spans="1:23" ht="11.25" customHeight="1" x14ac:dyDescent="0.3">
      <c r="A20" s="123"/>
      <c r="B20" s="123"/>
      <c r="C20" s="123"/>
      <c r="D20" s="123"/>
      <c r="E20" s="123"/>
      <c r="F20" s="123"/>
      <c r="G20" s="13" t="s">
        <v>80</v>
      </c>
      <c r="H20" s="13" t="s">
        <v>79</v>
      </c>
      <c r="I20" s="13">
        <f>SUMIF(Mercado_Receita!$S$2:$S$886,"44501A4VerdeNão se aplicaNão se aplicaNão se aplicaNão se aplicaPonta",Mercado_Receita!$L$2:$L$886)</f>
        <v>94.926000000000002</v>
      </c>
      <c r="J20" s="13">
        <f>SUMIF(Mercado_Receita!$S$2:$S$886,"44531A4VerdeNão se aplicaNão se aplicaNão se aplicaNão se aplicaPonta",Mercado_Receita!$L$2:$L$886)</f>
        <v>93.821000000000012</v>
      </c>
      <c r="K20" s="13">
        <f>SUMIF(Mercado_Receita!$S$2:$S$886,"44562A4VerdeNão se aplicaNão se aplicaNão se aplicaNão se aplicaPonta",Mercado_Receita!$L$2:$L$886)</f>
        <v>87.607000000000014</v>
      </c>
      <c r="L20" s="13">
        <f>SUMIF(Mercado_Receita!$S$2:$S$886,"44593A4VerdeNão se aplicaNão se aplicaNão se aplicaNão se aplicaPonta",Mercado_Receita!$L$2:$L$886)</f>
        <v>87.094000000000008</v>
      </c>
      <c r="M20" s="13">
        <f>SUMIF(Mercado_Receita!$S$2:$S$886,"44621A4VerdeNão se aplicaNão se aplicaNão se aplicaNão se aplicaPonta",Mercado_Receita!$L$2:$L$886)</f>
        <v>106.955</v>
      </c>
      <c r="N20" s="13">
        <f>SUMIF(Mercado_Receita!$S$2:$S$886,"44652A4VerdeNão se aplicaNão se aplicaNão se aplicaNão se aplicaPonta",Mercado_Receita!$L$2:$L$886)</f>
        <v>92.260999999999996</v>
      </c>
      <c r="O20" s="13">
        <f>SUMIF(Mercado_Receita!$S$2:$S$886,"44682A4VerdeNão se aplicaNão se aplicaNão se aplicaNão se aplicaPonta",Mercado_Receita!$L$2:$L$886)</f>
        <v>87.096999999999994</v>
      </c>
      <c r="P20" s="13">
        <f>SUMIF(Mercado_Receita!$S$2:$S$886,"44713A4VerdeNão se aplicaNão se aplicaNão se aplicaNão se aplicaPonta",Mercado_Receita!$L$2:$L$886)</f>
        <v>80.016999999999996</v>
      </c>
      <c r="Q20" s="13">
        <f>SUMIF(Mercado_Receita!$S$2:$S$886,"44743A4VerdeNão se aplicaNão se aplicaNão se aplicaNão se aplicaPonta",Mercado_Receita!$L$2:$L$886)</f>
        <v>80.270999999999987</v>
      </c>
      <c r="R20" s="13">
        <f>SUMIF(Mercado_Receita!$S$2:$S$886,"44774A4VerdeNão se aplicaNão se aplicaNão se aplicaNão se aplicaPonta",Mercado_Receita!$L$2:$L$886)</f>
        <v>101.69300000000001</v>
      </c>
      <c r="S20" s="13">
        <f>SUMIF(Mercado_Receita!$S$2:$S$886,"44805A4VerdeNão se aplicaNão se aplicaNão se aplicaNão se aplicaPonta",Mercado_Receita!$L$2:$L$886)</f>
        <v>100.71299999999999</v>
      </c>
      <c r="T20" s="13">
        <f>SUMIF(Mercado_Receita!$S$2:$S$886,"44835A4VerdeNão se aplicaNão se aplicaNão se aplicaNão se aplicaPonta",Mercado_Receita!$L$2:$L$886)</f>
        <v>100.71299999999999</v>
      </c>
      <c r="U20" s="13">
        <f t="shared" si="0"/>
        <v>1113.1679999999999</v>
      </c>
      <c r="V20" s="13"/>
      <c r="W20" s="13"/>
    </row>
    <row r="21" spans="1:23" ht="11.25" customHeight="1" x14ac:dyDescent="0.3">
      <c r="A21" s="123"/>
      <c r="B21" s="123"/>
      <c r="C21" s="123"/>
      <c r="D21" s="123"/>
      <c r="E21" s="123"/>
      <c r="F21" s="123"/>
      <c r="G21" s="13" t="s">
        <v>81</v>
      </c>
      <c r="H21" s="13" t="s">
        <v>79</v>
      </c>
      <c r="I21" s="13">
        <f>SUMIF(Mercado_Receita!$S$2:$S$886,"44501A4VerdeNão se aplicaNão se aplicaNão se aplicaNão se aplicaFora ponta",Mercado_Receita!$L$2:$L$886)</f>
        <v>1790.5659999999998</v>
      </c>
      <c r="J21" s="13">
        <f>SUMIF(Mercado_Receita!$S$2:$S$886,"44531A4VerdeNão se aplicaNão se aplicaNão se aplicaNão se aplicaFora ponta",Mercado_Receita!$L$2:$L$886)</f>
        <v>1699.4229999999995</v>
      </c>
      <c r="K21" s="13">
        <f>SUMIF(Mercado_Receita!$S$2:$S$886,"44562A4VerdeNão se aplicaNão se aplicaNão se aplicaNão se aplicaFora ponta",Mercado_Receita!$L$2:$L$886)</f>
        <v>1700.393</v>
      </c>
      <c r="L21" s="13">
        <f>SUMIF(Mercado_Receita!$S$2:$S$886,"44593A4VerdeNão se aplicaNão se aplicaNão se aplicaNão se aplicaFora ponta",Mercado_Receita!$L$2:$L$886)</f>
        <v>1696.817</v>
      </c>
      <c r="M21" s="13">
        <f>SUMIF(Mercado_Receita!$S$2:$S$886,"44621A4VerdeNão se aplicaNão se aplicaNão se aplicaNão se aplicaFora ponta",Mercado_Receita!$L$2:$L$886)</f>
        <v>1988.5870000000002</v>
      </c>
      <c r="N21" s="13">
        <f>SUMIF(Mercado_Receita!$S$2:$S$886,"44652A4VerdeNão se aplicaNão se aplicaNão se aplicaNão se aplicaFora ponta",Mercado_Receita!$L$2:$L$886)</f>
        <v>2089.1749999999997</v>
      </c>
      <c r="O21" s="13">
        <f>SUMIF(Mercado_Receita!$S$2:$S$886,"44682A4VerdeNão se aplicaNão se aplicaNão se aplicaNão se aplicaFora ponta",Mercado_Receita!$L$2:$L$886)</f>
        <v>2004.5819999999997</v>
      </c>
      <c r="P21" s="13">
        <f>SUMIF(Mercado_Receita!$S$2:$S$886,"44713A4VerdeNão se aplicaNão se aplicaNão se aplicaNão se aplicaFora ponta",Mercado_Receita!$L$2:$L$886)</f>
        <v>1800.4159999999997</v>
      </c>
      <c r="Q21" s="13">
        <f>SUMIF(Mercado_Receita!$S$2:$S$886,"44743A4VerdeNão se aplicaNão se aplicaNão se aplicaNão se aplicaFora ponta",Mercado_Receita!$L$2:$L$886)</f>
        <v>1991.097</v>
      </c>
      <c r="R21" s="13">
        <f>SUMIF(Mercado_Receita!$S$2:$S$886,"44774A4VerdeNão se aplicaNão se aplicaNão se aplicaNão se aplicaFora ponta",Mercado_Receita!$L$2:$L$886)</f>
        <v>2113.0259999999998</v>
      </c>
      <c r="S21" s="13">
        <f>SUMIF(Mercado_Receita!$S$2:$S$886,"44805A4VerdeNão se aplicaNão se aplicaNão se aplicaNão se aplicaFora ponta",Mercado_Receita!$L$2:$L$886)</f>
        <v>2082.8259999999996</v>
      </c>
      <c r="T21" s="13">
        <f>SUMIF(Mercado_Receita!$S$2:$S$886,"44835A4VerdeNão se aplicaNão se aplicaNão se aplicaNão se aplicaFora ponta",Mercado_Receita!$L$2:$L$886)</f>
        <v>2082.8259999999996</v>
      </c>
      <c r="U21" s="13">
        <f t="shared" si="0"/>
        <v>23039.734000000004</v>
      </c>
      <c r="V21" s="13"/>
      <c r="W21" s="13"/>
    </row>
    <row r="22" spans="1:23" ht="11.25" customHeight="1" x14ac:dyDescent="0.3">
      <c r="A22" s="123"/>
      <c r="B22" s="123"/>
      <c r="C22" s="123"/>
      <c r="D22" s="123"/>
      <c r="E22" s="122" t="s">
        <v>87</v>
      </c>
      <c r="F22" s="122" t="s">
        <v>25</v>
      </c>
      <c r="G22" s="13" t="s">
        <v>80</v>
      </c>
      <c r="H22" s="13" t="s">
        <v>79</v>
      </c>
      <c r="I22" s="13">
        <f>SUMIF(Mercado_Receita!$S$2:$S$886,"44501A4VerdeNão se aplicaNão se aplicaAPENão se aplicaPonta",Mercado_Receita!$L$2:$L$886)</f>
        <v>0</v>
      </c>
      <c r="J22" s="13">
        <f>SUMIF(Mercado_Receita!$S$2:$S$886,"44531A4VerdeNão se aplicaNão se aplicaAPENão se aplicaPonta",Mercado_Receita!$L$2:$L$886)</f>
        <v>0</v>
      </c>
      <c r="K22" s="13">
        <f>SUMIF(Mercado_Receita!$S$2:$S$886,"44562A4VerdeNão se aplicaNão se aplicaAPENão se aplicaPonta",Mercado_Receita!$L$2:$L$886)</f>
        <v>0</v>
      </c>
      <c r="L22" s="13">
        <f>SUMIF(Mercado_Receita!$S$2:$S$886,"44593A4VerdeNão se aplicaNão se aplicaAPENão se aplicaPonta",Mercado_Receita!$L$2:$L$886)</f>
        <v>0</v>
      </c>
      <c r="M22" s="13">
        <f>SUMIF(Mercado_Receita!$S$2:$S$886,"44621A4VerdeNão se aplicaNão se aplicaAPENão se aplicaPonta",Mercado_Receita!$L$2:$L$886)</f>
        <v>0</v>
      </c>
      <c r="N22" s="13">
        <f>SUMIF(Mercado_Receita!$S$2:$S$886,"44652A4VerdeNão se aplicaNão se aplicaAPENão se aplicaPonta",Mercado_Receita!$L$2:$L$886)</f>
        <v>0</v>
      </c>
      <c r="O22" s="13">
        <f>SUMIF(Mercado_Receita!$S$2:$S$886,"44682A4VerdeNão se aplicaNão se aplicaAPENão se aplicaPonta",Mercado_Receita!$L$2:$L$886)</f>
        <v>0</v>
      </c>
      <c r="P22" s="13">
        <f>SUMIF(Mercado_Receita!$S$2:$S$886,"44713A4VerdeNão se aplicaNão se aplicaAPENão se aplicaPonta",Mercado_Receita!$L$2:$L$886)</f>
        <v>0</v>
      </c>
      <c r="Q22" s="13">
        <f>SUMIF(Mercado_Receita!$S$2:$S$886,"44743A4VerdeNão se aplicaNão se aplicaAPENão se aplicaPonta",Mercado_Receita!$L$2:$L$886)</f>
        <v>0</v>
      </c>
      <c r="R22" s="13">
        <f>SUMIF(Mercado_Receita!$S$2:$S$886,"44774A4VerdeNão se aplicaNão se aplicaAPENão se aplicaPonta",Mercado_Receita!$L$2:$L$886)</f>
        <v>0</v>
      </c>
      <c r="S22" s="13">
        <f>SUMIF(Mercado_Receita!$S$2:$S$886,"44805A4VerdeNão se aplicaNão se aplicaAPENão se aplicaPonta",Mercado_Receita!$L$2:$L$886)</f>
        <v>0</v>
      </c>
      <c r="T22" s="13">
        <f>SUMIF(Mercado_Receita!$S$2:$S$886,"44835A4VerdeNão se aplicaNão se aplicaAPENão se aplicaPonta",Mercado_Receita!$L$2:$L$886)</f>
        <v>0</v>
      </c>
      <c r="U22" s="13">
        <f t="shared" si="0"/>
        <v>0</v>
      </c>
      <c r="V22" s="13"/>
      <c r="W22" s="13"/>
    </row>
    <row r="23" spans="1:23" ht="11.25" customHeight="1" x14ac:dyDescent="0.3">
      <c r="A23" s="123"/>
      <c r="B23" s="123"/>
      <c r="C23" s="123"/>
      <c r="D23" s="123"/>
      <c r="E23" s="123"/>
      <c r="F23" s="123"/>
      <c r="G23" s="13" t="s">
        <v>81</v>
      </c>
      <c r="H23" s="13" t="s">
        <v>79</v>
      </c>
      <c r="I23" s="13">
        <f>SUMIF(Mercado_Receita!$S$2:$S$886,"44501A4VerdeNão se aplicaNão se aplicaAPENão se aplicaFora ponta",Mercado_Receita!$L$2:$L$886)</f>
        <v>0</v>
      </c>
      <c r="J23" s="13">
        <f>SUMIF(Mercado_Receita!$S$2:$S$886,"44531A4VerdeNão se aplicaNão se aplicaAPENão se aplicaFora ponta",Mercado_Receita!$L$2:$L$886)</f>
        <v>0</v>
      </c>
      <c r="K23" s="13">
        <f>SUMIF(Mercado_Receita!$S$2:$S$886,"44562A4VerdeNão se aplicaNão se aplicaAPENão se aplicaFora ponta",Mercado_Receita!$L$2:$L$886)</f>
        <v>0</v>
      </c>
      <c r="L23" s="13">
        <f>SUMIF(Mercado_Receita!$S$2:$S$886,"44593A4VerdeNão se aplicaNão se aplicaAPENão se aplicaFora ponta",Mercado_Receita!$L$2:$L$886)</f>
        <v>0</v>
      </c>
      <c r="M23" s="13">
        <f>SUMIF(Mercado_Receita!$S$2:$S$886,"44621A4VerdeNão se aplicaNão se aplicaAPENão se aplicaFora ponta",Mercado_Receita!$L$2:$L$886)</f>
        <v>0</v>
      </c>
      <c r="N23" s="13">
        <f>SUMIF(Mercado_Receita!$S$2:$S$886,"44652A4VerdeNão se aplicaNão se aplicaAPENão se aplicaFora ponta",Mercado_Receita!$L$2:$L$886)</f>
        <v>0</v>
      </c>
      <c r="O23" s="13">
        <f>SUMIF(Mercado_Receita!$S$2:$S$886,"44682A4VerdeNão se aplicaNão se aplicaAPENão se aplicaFora ponta",Mercado_Receita!$L$2:$L$886)</f>
        <v>0</v>
      </c>
      <c r="P23" s="13">
        <f>SUMIF(Mercado_Receita!$S$2:$S$886,"44713A4VerdeNão se aplicaNão se aplicaAPENão se aplicaFora ponta",Mercado_Receita!$L$2:$L$886)</f>
        <v>0</v>
      </c>
      <c r="Q23" s="13">
        <f>SUMIF(Mercado_Receita!$S$2:$S$886,"44743A4VerdeNão se aplicaNão se aplicaAPENão se aplicaFora ponta",Mercado_Receita!$L$2:$L$886)</f>
        <v>0</v>
      </c>
      <c r="R23" s="13">
        <f>SUMIF(Mercado_Receita!$S$2:$S$886,"44774A4VerdeNão se aplicaNão se aplicaAPENão se aplicaFora ponta",Mercado_Receita!$L$2:$L$886)</f>
        <v>0</v>
      </c>
      <c r="S23" s="13">
        <f>SUMIF(Mercado_Receita!$S$2:$S$886,"44805A4VerdeNão se aplicaNão se aplicaAPENão se aplicaFora ponta",Mercado_Receita!$L$2:$L$886)</f>
        <v>0</v>
      </c>
      <c r="T23" s="13">
        <f>SUMIF(Mercado_Receita!$S$2:$S$886,"44835A4VerdeNão se aplicaNão se aplicaAPENão se aplicaFora ponta",Mercado_Receita!$L$2:$L$886)</f>
        <v>0</v>
      </c>
      <c r="U23" s="13">
        <f t="shared" si="0"/>
        <v>0</v>
      </c>
      <c r="V23" s="13"/>
      <c r="W23" s="13"/>
    </row>
    <row r="24" spans="1:23" ht="11.25" customHeight="1" x14ac:dyDescent="0.3">
      <c r="A24" s="122" t="s">
        <v>88</v>
      </c>
      <c r="B24" s="122" t="s">
        <v>60</v>
      </c>
      <c r="C24" s="122" t="s">
        <v>25</v>
      </c>
      <c r="D24" s="122" t="s">
        <v>25</v>
      </c>
      <c r="E24" s="12" t="s">
        <v>89</v>
      </c>
      <c r="F24" s="12" t="s">
        <v>25</v>
      </c>
      <c r="G24" s="13" t="s">
        <v>9</v>
      </c>
      <c r="H24" s="13" t="s">
        <v>84</v>
      </c>
      <c r="I24" s="13">
        <f>SUMIF(Mercado_Receita!$S$2:$S$886,"44501BGeraçãoNão se aplicaNão se aplicaTIPO 01Não se aplicaNão se aplica",Mercado_Receita!$J$2:$J$886)+SUMIF(Mercado_Receita!$S$2:$S$886,"44501BGeraçãoNão se aplicaNão se aplicaAPENão se aplicaNão se aplica",Mercado_Receita!$J$2:$J$886)</f>
        <v>0</v>
      </c>
      <c r="J24" s="13">
        <f>SUMIF(Mercado_Receita!$S$2:$S$886,"44531BGeraçãoNão se aplicaNão se aplicaTIPO 01Não se aplicaNão se aplica",Mercado_Receita!$J$2:$J$886)+SUMIF(Mercado_Receita!$S$2:$S$886,"44531BGeraçãoNão se aplicaNão se aplicaAPENão se aplicaNão se aplica",Mercado_Receita!$J$2:$J$886)</f>
        <v>0</v>
      </c>
      <c r="K24" s="13">
        <f>SUMIF(Mercado_Receita!$S$2:$S$886,"44562BGeraçãoNão se aplicaNão se aplicaTIPO 01Não se aplicaNão se aplica",Mercado_Receita!$J$2:$J$886)+SUMIF(Mercado_Receita!$S$2:$S$886,"44562BGeraçãoNão se aplicaNão se aplicaAPENão se aplicaNão se aplica",Mercado_Receita!$J$2:$J$886)</f>
        <v>0</v>
      </c>
      <c r="L24" s="13">
        <f>SUMIF(Mercado_Receita!$S$2:$S$886,"44593BGeraçãoNão se aplicaNão se aplicaTIPO 01Não se aplicaNão se aplica",Mercado_Receita!$J$2:$J$886)+SUMIF(Mercado_Receita!$S$2:$S$886,"44593BGeraçãoNão se aplicaNão se aplicaAPENão se aplicaNão se aplica",Mercado_Receita!$J$2:$J$886)</f>
        <v>0</v>
      </c>
      <c r="M24" s="13">
        <f>SUMIF(Mercado_Receita!$S$2:$S$886,"44621BGeraçãoNão se aplicaNão se aplicaTIPO 01Não se aplicaNão se aplica",Mercado_Receita!$J$2:$J$886)+SUMIF(Mercado_Receita!$S$2:$S$886,"44621BGeraçãoNão se aplicaNão se aplicaAPENão se aplicaNão se aplica",Mercado_Receita!$J$2:$J$886)</f>
        <v>0</v>
      </c>
      <c r="N24" s="13">
        <f>SUMIF(Mercado_Receita!$S$2:$S$886,"44652BGeraçãoNão se aplicaNão se aplicaTIPO 01Não se aplicaNão se aplica",Mercado_Receita!$J$2:$J$886)+SUMIF(Mercado_Receita!$S$2:$S$886,"44652BGeraçãoNão se aplicaNão se aplicaAPENão se aplicaNão se aplica",Mercado_Receita!$J$2:$J$886)</f>
        <v>0</v>
      </c>
      <c r="O24" s="13">
        <f>SUMIF(Mercado_Receita!$S$2:$S$886,"44682BGeraçãoNão se aplicaNão se aplicaTIPO 01Não se aplicaNão se aplica",Mercado_Receita!$J$2:$J$886)+SUMIF(Mercado_Receita!$S$2:$S$886,"44682BGeraçãoNão se aplicaNão se aplicaAPENão se aplicaNão se aplica",Mercado_Receita!$J$2:$J$886)</f>
        <v>0</v>
      </c>
      <c r="P24" s="13">
        <f>SUMIF(Mercado_Receita!$S$2:$S$886,"44713BGeraçãoNão se aplicaNão se aplicaTIPO 01Não se aplicaNão se aplica",Mercado_Receita!$J$2:$J$886)+SUMIF(Mercado_Receita!$S$2:$S$886,"44713BGeraçãoNão se aplicaNão se aplicaAPENão se aplicaNão se aplica",Mercado_Receita!$J$2:$J$886)</f>
        <v>0</v>
      </c>
      <c r="Q24" s="13">
        <f>SUMIF(Mercado_Receita!$S$2:$S$886,"44743BGeraçãoNão se aplicaNão se aplicaTIPO 01Não se aplicaNão se aplica",Mercado_Receita!$J$2:$J$886)+SUMIF(Mercado_Receita!$S$2:$S$886,"44743BGeraçãoNão se aplicaNão se aplicaAPENão se aplicaNão se aplica",Mercado_Receita!$J$2:$J$886)</f>
        <v>0</v>
      </c>
      <c r="R24" s="13">
        <f>SUMIF(Mercado_Receita!$S$2:$S$886,"44774BGeraçãoNão se aplicaNão se aplicaTIPO 01Não se aplicaNão se aplica",Mercado_Receita!$J$2:$J$886)+SUMIF(Mercado_Receita!$S$2:$S$886,"44774BGeraçãoNão se aplicaNão se aplicaAPENão se aplicaNão se aplica",Mercado_Receita!$J$2:$J$886)</f>
        <v>0</v>
      </c>
      <c r="S24" s="13">
        <f>SUMIF(Mercado_Receita!$S$2:$S$886,"44805BGeraçãoNão se aplicaNão se aplicaTIPO 01Não se aplicaNão se aplica",Mercado_Receita!$J$2:$J$886)+SUMIF(Mercado_Receita!$S$2:$S$886,"44805BGeraçãoNão se aplicaNão se aplicaAPENão se aplicaNão se aplica",Mercado_Receita!$J$2:$J$886)</f>
        <v>0</v>
      </c>
      <c r="T24" s="13">
        <f>SUMIF(Mercado_Receita!$S$2:$S$886,"44835BGeraçãoNão se aplicaNão se aplicaTIPO 01Não se aplicaNão se aplica",Mercado_Receita!$J$2:$J$886)+SUMIF(Mercado_Receita!$S$2:$S$886,"44835BGeraçãoNão se aplicaNão se aplicaAPENão se aplicaNão se aplica",Mercado_Receita!$J$2:$J$886)</f>
        <v>0</v>
      </c>
      <c r="U24" s="13">
        <f t="shared" si="0"/>
        <v>0</v>
      </c>
      <c r="V24" s="13"/>
      <c r="W24" s="13"/>
    </row>
    <row r="25" spans="1:23" ht="11.25" customHeight="1" x14ac:dyDescent="0.3">
      <c r="A25" s="123"/>
      <c r="B25" s="123"/>
      <c r="C25" s="123"/>
      <c r="D25" s="123"/>
      <c r="E25" s="12" t="s">
        <v>90</v>
      </c>
      <c r="F25" s="12" t="s">
        <v>25</v>
      </c>
      <c r="G25" s="13" t="s">
        <v>9</v>
      </c>
      <c r="H25" s="13" t="s">
        <v>84</v>
      </c>
      <c r="I25" s="13">
        <f>SUMIF(Mercado_Receita!$S$2:$S$886,"44501BGeraçãoNão se aplicaNão se aplicaTIPO 02Não se aplicaNão se aplica",Mercado_Receita!$J$2:$J$886)+SUMIF(Mercado_Receita!$S$2:$S$886,"44501BGeraçãoNão se aplicaNão se aplicaAPENão se aplicaNão se aplica",Mercado_Receita!$J$2:$J$886)</f>
        <v>0</v>
      </c>
      <c r="J25" s="13">
        <f>SUMIF(Mercado_Receita!$S$2:$S$886,"44531BGeraçãoNão se aplicaNão se aplicaTIPO 02Não se aplicaNão se aplica",Mercado_Receita!$J$2:$J$886)+SUMIF(Mercado_Receita!$S$2:$S$886,"44531BGeraçãoNão se aplicaNão se aplicaAPENão se aplicaNão se aplica",Mercado_Receita!$J$2:$J$886)</f>
        <v>0</v>
      </c>
      <c r="K25" s="13">
        <f>SUMIF(Mercado_Receita!$S$2:$S$886,"44562BGeraçãoNão se aplicaNão se aplicaTIPO 02Não se aplicaNão se aplica",Mercado_Receita!$J$2:$J$886)+SUMIF(Mercado_Receita!$S$2:$S$886,"44562BGeraçãoNão se aplicaNão se aplicaAPENão se aplicaNão se aplica",Mercado_Receita!$J$2:$J$886)</f>
        <v>0</v>
      </c>
      <c r="L25" s="13">
        <f>SUMIF(Mercado_Receita!$S$2:$S$886,"44593BGeraçãoNão se aplicaNão se aplicaTIPO 02Não se aplicaNão se aplica",Mercado_Receita!$J$2:$J$886)+SUMIF(Mercado_Receita!$S$2:$S$886,"44593BGeraçãoNão se aplicaNão se aplicaAPENão se aplicaNão se aplica",Mercado_Receita!$J$2:$J$886)</f>
        <v>0</v>
      </c>
      <c r="M25" s="13">
        <f>SUMIF(Mercado_Receita!$S$2:$S$886,"44621BGeraçãoNão se aplicaNão se aplicaTIPO 02Não se aplicaNão se aplica",Mercado_Receita!$J$2:$J$886)+SUMIF(Mercado_Receita!$S$2:$S$886,"44621BGeraçãoNão se aplicaNão se aplicaAPENão se aplicaNão se aplica",Mercado_Receita!$J$2:$J$886)</f>
        <v>0</v>
      </c>
      <c r="N25" s="13">
        <f>SUMIF(Mercado_Receita!$S$2:$S$886,"44652BGeraçãoNão se aplicaNão se aplicaTIPO 02Não se aplicaNão se aplica",Mercado_Receita!$J$2:$J$886)+SUMIF(Mercado_Receita!$S$2:$S$886,"44652BGeraçãoNão se aplicaNão se aplicaAPENão se aplicaNão se aplica",Mercado_Receita!$J$2:$J$886)</f>
        <v>0</v>
      </c>
      <c r="O25" s="13">
        <f>SUMIF(Mercado_Receita!$S$2:$S$886,"44682BGeraçãoNão se aplicaNão se aplicaTIPO 02Não se aplicaNão se aplica",Mercado_Receita!$J$2:$J$886)+SUMIF(Mercado_Receita!$S$2:$S$886,"44682BGeraçãoNão se aplicaNão se aplicaAPENão se aplicaNão se aplica",Mercado_Receita!$J$2:$J$886)</f>
        <v>0</v>
      </c>
      <c r="P25" s="13">
        <f>SUMIF(Mercado_Receita!$S$2:$S$886,"44713BGeraçãoNão se aplicaNão se aplicaTIPO 02Não se aplicaNão se aplica",Mercado_Receita!$J$2:$J$886)+SUMIF(Mercado_Receita!$S$2:$S$886,"44713BGeraçãoNão se aplicaNão se aplicaAPENão se aplicaNão se aplica",Mercado_Receita!$J$2:$J$886)</f>
        <v>0</v>
      </c>
      <c r="Q25" s="13">
        <f>SUMIF(Mercado_Receita!$S$2:$S$886,"44743BGeraçãoNão se aplicaNão se aplicaTIPO 02Não se aplicaNão se aplica",Mercado_Receita!$J$2:$J$886)+SUMIF(Mercado_Receita!$S$2:$S$886,"44743BGeraçãoNão se aplicaNão se aplicaAPENão se aplicaNão se aplica",Mercado_Receita!$J$2:$J$886)</f>
        <v>0</v>
      </c>
      <c r="R25" s="13">
        <f>SUMIF(Mercado_Receita!$S$2:$S$886,"44774BGeraçãoNão se aplicaNão se aplicaTIPO 02Não se aplicaNão se aplica",Mercado_Receita!$J$2:$J$886)+SUMIF(Mercado_Receita!$S$2:$S$886,"44774BGeraçãoNão se aplicaNão se aplicaAPENão se aplicaNão se aplica",Mercado_Receita!$J$2:$J$886)</f>
        <v>0</v>
      </c>
      <c r="S25" s="13">
        <f>SUMIF(Mercado_Receita!$S$2:$S$886,"44805BGeraçãoNão se aplicaNão se aplicaTIPO 02Não se aplicaNão se aplica",Mercado_Receita!$J$2:$J$886)+SUMIF(Mercado_Receita!$S$2:$S$886,"44805BGeraçãoNão se aplicaNão se aplicaAPENão se aplicaNão se aplica",Mercado_Receita!$J$2:$J$886)</f>
        <v>0</v>
      </c>
      <c r="T25" s="13">
        <f>SUMIF(Mercado_Receita!$S$2:$S$886,"44835BGeraçãoNão se aplicaNão se aplicaTIPO 02Não se aplicaNão se aplica",Mercado_Receita!$J$2:$J$886)+SUMIF(Mercado_Receita!$S$2:$S$886,"44835BGeraçãoNão se aplicaNão se aplicaAPENão se aplicaNão se aplica",Mercado_Receita!$J$2:$J$886)</f>
        <v>0</v>
      </c>
      <c r="U25" s="13">
        <f t="shared" si="0"/>
        <v>0</v>
      </c>
      <c r="V25" s="13"/>
      <c r="W25" s="13"/>
    </row>
    <row r="26" spans="1:23" ht="11.25" customHeight="1" x14ac:dyDescent="0.3">
      <c r="A26" s="122" t="s">
        <v>22</v>
      </c>
      <c r="B26" s="122" t="s">
        <v>33</v>
      </c>
      <c r="C26" s="122" t="s">
        <v>24</v>
      </c>
      <c r="D26" s="122" t="s">
        <v>24</v>
      </c>
      <c r="E26" s="122" t="s">
        <v>25</v>
      </c>
      <c r="F26" s="122" t="s">
        <v>25</v>
      </c>
      <c r="G26" s="13" t="s">
        <v>80</v>
      </c>
      <c r="H26" s="13" t="s">
        <v>79</v>
      </c>
      <c r="I26" s="13">
        <f>SUMIF(Mercado_Receita!$S$2:$S$886,"44501B1BrancaResidencialResidencialNão se aplicaNão se aplicaPonta",Mercado_Receita!$L$2:$L$886)</f>
        <v>0.53500000000000003</v>
      </c>
      <c r="J26" s="13">
        <f>SUMIF(Mercado_Receita!$S$2:$S$886,"44531B1BrancaResidencialResidencialNão se aplicaNão se aplicaPonta",Mercado_Receita!$L$2:$L$886)</f>
        <v>0.55100000000000005</v>
      </c>
      <c r="K26" s="13">
        <f>SUMIF(Mercado_Receita!$S$2:$S$886,"44562B1BrancaResidencialResidencialNão se aplicaNão se aplicaPonta",Mercado_Receita!$L$2:$L$886)</f>
        <v>0.56399999999999995</v>
      </c>
      <c r="L26" s="13">
        <f>SUMIF(Mercado_Receita!$S$2:$S$886,"44593B1BrancaResidencialResidencialNão se aplicaNão se aplicaPonta",Mercado_Receita!$L$2:$L$886)</f>
        <v>0.57899999999999996</v>
      </c>
      <c r="M26" s="13">
        <f>SUMIF(Mercado_Receita!$S$2:$S$886,"44621B1BrancaResidencialResidencialNão se aplicaNão se aplicaPonta",Mercado_Receita!$L$2:$L$886)</f>
        <v>0.49299999999999999</v>
      </c>
      <c r="N26" s="13">
        <f>SUMIF(Mercado_Receita!$S$2:$S$886,"44652B1BrancaResidencialResidencialNão se aplicaNão se aplicaPonta",Mercado_Receita!$L$2:$L$886)</f>
        <v>0.57999999999999996</v>
      </c>
      <c r="O26" s="13">
        <f>SUMIF(Mercado_Receita!$S$2:$S$886,"44682B1BrancaResidencialResidencialNão se aplicaNão se aplicaPonta",Mercado_Receita!$L$2:$L$886)</f>
        <v>0.36099999999999999</v>
      </c>
      <c r="P26" s="13">
        <f>SUMIF(Mercado_Receita!$S$2:$S$886,"44713B1BrancaResidencialResidencialNão se aplicaNão se aplicaPonta",Mercado_Receita!$L$2:$L$886)</f>
        <v>0.32800000000000001</v>
      </c>
      <c r="Q26" s="13">
        <f>SUMIF(Mercado_Receita!$S$2:$S$886,"44743B1BrancaResidencialResidencialNão se aplicaNão se aplicaPonta",Mercado_Receita!$L$2:$L$886)</f>
        <v>0.32200000000000001</v>
      </c>
      <c r="R26" s="13">
        <f>SUMIF(Mercado_Receita!$S$2:$S$886,"44774B1BrancaResidencialResidencialNão se aplicaNão se aplicaPonta",Mercado_Receita!$L$2:$L$886)</f>
        <v>0.33700000000000002</v>
      </c>
      <c r="S26" s="13">
        <f>SUMIF(Mercado_Receita!$S$2:$S$886,"44805B1BrancaResidencialResidencialNão se aplicaNão se aplicaPonta",Mercado_Receita!$L$2:$L$886)</f>
        <v>0.27500000000000002</v>
      </c>
      <c r="T26" s="13">
        <f>SUMIF(Mercado_Receita!$S$2:$S$886,"44835B1BrancaResidencialResidencialNão se aplicaNão se aplicaPonta",Mercado_Receita!$L$2:$L$886)</f>
        <v>0.27500000000000002</v>
      </c>
      <c r="U26" s="13">
        <f t="shared" si="0"/>
        <v>5.2</v>
      </c>
      <c r="V26" s="13"/>
      <c r="W26" s="13"/>
    </row>
    <row r="27" spans="1:23" ht="11.25" customHeight="1" x14ac:dyDescent="0.3">
      <c r="A27" s="123"/>
      <c r="B27" s="123"/>
      <c r="C27" s="123"/>
      <c r="D27" s="123"/>
      <c r="E27" s="123"/>
      <c r="F27" s="123"/>
      <c r="G27" s="13" t="s">
        <v>91</v>
      </c>
      <c r="H27" s="13" t="s">
        <v>79</v>
      </c>
      <c r="I27" s="13">
        <f>SUMIF(Mercado_Receita!$S$2:$S$886,"44501B1BrancaResidencialResidencialNão se aplicaNão se aplicaIntermediário",Mercado_Receita!$L$2:$L$886)</f>
        <v>0.34100000000000003</v>
      </c>
      <c r="J27" s="13">
        <f>SUMIF(Mercado_Receita!$S$2:$S$886,"44531B1BrancaResidencialResidencialNão se aplicaNão se aplicaIntermediário",Mercado_Receita!$L$2:$L$886)</f>
        <v>0.36499999999999999</v>
      </c>
      <c r="K27" s="13">
        <f>SUMIF(Mercado_Receita!$S$2:$S$886,"44562B1BrancaResidencialResidencialNão se aplicaNão se aplicaIntermediário",Mercado_Receita!$L$2:$L$886)</f>
        <v>0.373</v>
      </c>
      <c r="L27" s="13">
        <f>SUMIF(Mercado_Receita!$S$2:$S$886,"44593B1BrancaResidencialResidencialNão se aplicaNão se aplicaIntermediário",Mercado_Receita!$L$2:$L$886)</f>
        <v>0.38600000000000001</v>
      </c>
      <c r="M27" s="13">
        <f>SUMIF(Mercado_Receita!$S$2:$S$886,"44621B1BrancaResidencialResidencialNão se aplicaNão se aplicaIntermediário",Mercado_Receita!$L$2:$L$886)</f>
        <v>0.32900000000000001</v>
      </c>
      <c r="N27" s="13">
        <f>SUMIF(Mercado_Receita!$S$2:$S$886,"44652B1BrancaResidencialResidencialNão se aplicaNão se aplicaIntermediário",Mercado_Receita!$L$2:$L$886)</f>
        <v>0.38300000000000001</v>
      </c>
      <c r="O27" s="13">
        <f>SUMIF(Mercado_Receita!$S$2:$S$886,"44682B1BrancaResidencialResidencialNão se aplicaNão se aplicaIntermediário",Mercado_Receita!$L$2:$L$886)</f>
        <v>0.23699999999999999</v>
      </c>
      <c r="P27" s="13">
        <f>SUMIF(Mercado_Receita!$S$2:$S$886,"44713B1BrancaResidencialResidencialNão se aplicaNão se aplicaIntermediário",Mercado_Receita!$L$2:$L$886)</f>
        <v>0.216</v>
      </c>
      <c r="Q27" s="13">
        <f>SUMIF(Mercado_Receita!$S$2:$S$886,"44743B1BrancaResidencialResidencialNão se aplicaNão se aplicaIntermediário",Mercado_Receita!$L$2:$L$886)</f>
        <v>0.2</v>
      </c>
      <c r="R27" s="13">
        <f>SUMIF(Mercado_Receita!$S$2:$S$886,"44774B1BrancaResidencialResidencialNão se aplicaNão se aplicaIntermediário",Mercado_Receita!$L$2:$L$886)</f>
        <v>0.21299999999999999</v>
      </c>
      <c r="S27" s="13">
        <f>SUMIF(Mercado_Receita!$S$2:$S$886,"44805B1BrancaResidencialResidencialNão se aplicaNão se aplicaIntermediário",Mercado_Receita!$L$2:$L$886)</f>
        <v>0.17599999999999999</v>
      </c>
      <c r="T27" s="13">
        <f>SUMIF(Mercado_Receita!$S$2:$S$886,"44835B1BrancaResidencialResidencialNão se aplicaNão se aplicaIntermediário",Mercado_Receita!$L$2:$L$886)</f>
        <v>0.17599999999999999</v>
      </c>
      <c r="U27" s="13">
        <f t="shared" si="0"/>
        <v>3.3950000000000005</v>
      </c>
      <c r="V27" s="13"/>
      <c r="W27" s="13"/>
    </row>
    <row r="28" spans="1:23" ht="11.25" customHeight="1" x14ac:dyDescent="0.3">
      <c r="A28" s="123"/>
      <c r="B28" s="123"/>
      <c r="C28" s="123"/>
      <c r="D28" s="123"/>
      <c r="E28" s="123"/>
      <c r="F28" s="123"/>
      <c r="G28" s="13" t="s">
        <v>81</v>
      </c>
      <c r="H28" s="13" t="s">
        <v>79</v>
      </c>
      <c r="I28" s="13">
        <f>SUMIF(Mercado_Receita!$S$2:$S$886,"44501B1BrancaResidencialResidencialNão se aplicaNão se aplicaFora ponta",Mercado_Receita!$L$2:$L$886)</f>
        <v>5.0039999999999996</v>
      </c>
      <c r="J28" s="13">
        <f>SUMIF(Mercado_Receita!$S$2:$S$886,"44531B1BrancaResidencialResidencialNão se aplicaNão se aplicaFora ponta",Mercado_Receita!$L$2:$L$886)</f>
        <v>5.3209999999999997</v>
      </c>
      <c r="K28" s="13">
        <f>SUMIF(Mercado_Receita!$S$2:$S$886,"44562B1BrancaResidencialResidencialNão se aplicaNão se aplicaFora ponta",Mercado_Receita!$L$2:$L$886)</f>
        <v>5.5810000000000004</v>
      </c>
      <c r="L28" s="13">
        <f>SUMIF(Mercado_Receita!$S$2:$S$886,"44593B1BrancaResidencialResidencialNão se aplicaNão se aplicaFora ponta",Mercado_Receita!$L$2:$L$886)</f>
        <v>5.8360000000000003</v>
      </c>
      <c r="M28" s="13">
        <f>SUMIF(Mercado_Receita!$S$2:$S$886,"44621B1BrancaResidencialResidencialNão se aplicaNão se aplicaFora ponta",Mercado_Receita!$L$2:$L$886)</f>
        <v>4.88</v>
      </c>
      <c r="N28" s="13">
        <f>SUMIF(Mercado_Receita!$S$2:$S$886,"44652B1BrancaResidencialResidencialNão se aplicaNão se aplicaFora ponta",Mercado_Receita!$L$2:$L$886)</f>
        <v>5.3840000000000003</v>
      </c>
      <c r="O28" s="13">
        <f>SUMIF(Mercado_Receita!$S$2:$S$886,"44682B1BrancaResidencialResidencialNão se aplicaNão se aplicaFora ponta",Mercado_Receita!$L$2:$L$886)</f>
        <v>3.298</v>
      </c>
      <c r="P28" s="13">
        <f>SUMIF(Mercado_Receita!$S$2:$S$886,"44713B1BrancaResidencialResidencialNão se aplicaNão se aplicaFora ponta",Mercado_Receita!$L$2:$L$886)</f>
        <v>2.508</v>
      </c>
      <c r="Q28" s="13">
        <f>SUMIF(Mercado_Receita!$S$2:$S$886,"44743B1BrancaResidencialResidencialNão se aplicaNão se aplicaFora ponta",Mercado_Receita!$L$2:$L$886)</f>
        <v>2.6120000000000001</v>
      </c>
      <c r="R28" s="13">
        <f>SUMIF(Mercado_Receita!$S$2:$S$886,"44774B1BrancaResidencialResidencialNão se aplicaNão se aplicaFora ponta",Mercado_Receita!$L$2:$L$886)</f>
        <v>2.7879999999999998</v>
      </c>
      <c r="S28" s="13">
        <f>SUMIF(Mercado_Receita!$S$2:$S$886,"44805B1BrancaResidencialResidencialNão se aplicaNão se aplicaFora ponta",Mercado_Receita!$L$2:$L$886)</f>
        <v>2.456</v>
      </c>
      <c r="T28" s="13">
        <f>SUMIF(Mercado_Receita!$S$2:$S$886,"44835B1BrancaResidencialResidencialNão se aplicaNão se aplicaFora ponta",Mercado_Receita!$L$2:$L$886)</f>
        <v>2.456</v>
      </c>
      <c r="U28" s="13">
        <f t="shared" si="0"/>
        <v>48.124000000000009</v>
      </c>
      <c r="V28" s="13"/>
      <c r="W28" s="13"/>
    </row>
    <row r="29" spans="1:23" ht="11.25" customHeight="1" x14ac:dyDescent="0.3">
      <c r="A29" s="123"/>
      <c r="B29" s="122" t="s">
        <v>23</v>
      </c>
      <c r="C29" s="122" t="s">
        <v>24</v>
      </c>
      <c r="D29" s="12" t="s">
        <v>24</v>
      </c>
      <c r="E29" s="12" t="s">
        <v>25</v>
      </c>
      <c r="F29" s="12" t="s">
        <v>25</v>
      </c>
      <c r="G29" s="13" t="s">
        <v>83</v>
      </c>
      <c r="H29" s="13" t="s">
        <v>79</v>
      </c>
      <c r="I29" s="13">
        <f>SUMIF(Mercado_Receita!$S$2:$S$886,"44501B1ConvencionalResidencialResidencialNão se aplicaNão se aplicaPonta",Mercado_Receita!$L$2:$L$886)+SUMIF(Mercado_Receita!$S$2:$S$886,"44501B1ConvencionalResidencialResidencialNão se aplicaNão se aplicaFora ponta",Mercado_Receita!$L$2:$L$886)+SUMIF(Mercado_Receita!$S$2:$S$886,"44501B1ConvencionalResidencialResidencialNão se aplicaNão se aplicaIntermediário",Mercado_Receita!$L$2:$L$886)+SUMIF(Mercado_Receita!$S$2:$S$886,"44501B1ConvencionalResidencialResidencialNão se aplicaNão se aplicaNão se aplica",Mercado_Receita!$L$2:$L$886)</f>
        <v>4142.9870000000001</v>
      </c>
      <c r="J29" s="13">
        <f>SUMIF(Mercado_Receita!$S$2:$S$886,"44531B1ConvencionalResidencialResidencialNão se aplicaNão se aplicaPonta",Mercado_Receita!$L$2:$L$886)+SUMIF(Mercado_Receita!$S$2:$S$886,"44531B1ConvencionalResidencialResidencialNão se aplicaNão se aplicaFora ponta",Mercado_Receita!$L$2:$L$886)+SUMIF(Mercado_Receita!$S$2:$S$886,"44531B1ConvencionalResidencialResidencialNão se aplicaNão se aplicaIntermediário",Mercado_Receita!$L$2:$L$886)+SUMIF(Mercado_Receita!$S$2:$S$886,"44531B1ConvencionalResidencialResidencialNão se aplicaNão se aplicaNão se aplica",Mercado_Receita!$L$2:$L$886)</f>
        <v>3945.7979999999998</v>
      </c>
      <c r="K29" s="13">
        <f>SUMIF(Mercado_Receita!$S$2:$S$886,"44562B1ConvencionalResidencialResidencialNão se aplicaNão se aplicaPonta",Mercado_Receita!$L$2:$L$886)+SUMIF(Mercado_Receita!$S$2:$S$886,"44562B1ConvencionalResidencialResidencialNão se aplicaNão se aplicaFora ponta",Mercado_Receita!$L$2:$L$886)+SUMIF(Mercado_Receita!$S$2:$S$886,"44562B1ConvencionalResidencialResidencialNão se aplicaNão se aplicaIntermediário",Mercado_Receita!$L$2:$L$886)+SUMIF(Mercado_Receita!$S$2:$S$886,"44562B1ConvencionalResidencialResidencialNão se aplicaNão se aplicaNão se aplica",Mercado_Receita!$L$2:$L$886)</f>
        <v>4028.8340000000003</v>
      </c>
      <c r="L29" s="13">
        <f>SUMIF(Mercado_Receita!$S$2:$S$886,"44593B1ConvencionalResidencialResidencialNão se aplicaNão se aplicaPonta",Mercado_Receita!$L$2:$L$886)+SUMIF(Mercado_Receita!$S$2:$S$886,"44593B1ConvencionalResidencialResidencialNão se aplicaNão se aplicaFora ponta",Mercado_Receita!$L$2:$L$886)+SUMIF(Mercado_Receita!$S$2:$S$886,"44593B1ConvencionalResidencialResidencialNão se aplicaNão se aplicaIntermediário",Mercado_Receita!$L$2:$L$886)+SUMIF(Mercado_Receita!$S$2:$S$886,"44593B1ConvencionalResidencialResidencialNão se aplicaNão se aplicaNão se aplica",Mercado_Receita!$L$2:$L$886)</f>
        <v>3989.8110000000001</v>
      </c>
      <c r="M29" s="13">
        <f>SUMIF(Mercado_Receita!$S$2:$S$886,"44621B1ConvencionalResidencialResidencialNão se aplicaNão se aplicaPonta",Mercado_Receita!$L$2:$L$886)+SUMIF(Mercado_Receita!$S$2:$S$886,"44621B1ConvencionalResidencialResidencialNão se aplicaNão se aplicaFora ponta",Mercado_Receita!$L$2:$L$886)+SUMIF(Mercado_Receita!$S$2:$S$886,"44621B1ConvencionalResidencialResidencialNão se aplicaNão se aplicaIntermediário",Mercado_Receita!$L$2:$L$886)+SUMIF(Mercado_Receita!$S$2:$S$886,"44621B1ConvencionalResidencialResidencialNão se aplicaNão se aplicaNão se aplica",Mercado_Receita!$L$2:$L$886)</f>
        <v>3682.9969999999998</v>
      </c>
      <c r="N29" s="13">
        <f>SUMIF(Mercado_Receita!$S$2:$S$886,"44652B1ConvencionalResidencialResidencialNão se aplicaNão se aplicaPonta",Mercado_Receita!$L$2:$L$886)+SUMIF(Mercado_Receita!$S$2:$S$886,"44652B1ConvencionalResidencialResidencialNão se aplicaNão se aplicaFora ponta",Mercado_Receita!$L$2:$L$886)+SUMIF(Mercado_Receita!$S$2:$S$886,"44652B1ConvencionalResidencialResidencialNão se aplicaNão se aplicaIntermediário",Mercado_Receita!$L$2:$L$886)+SUMIF(Mercado_Receita!$S$2:$S$886,"44652B1ConvencionalResidencialResidencialNão se aplicaNão se aplicaNão se aplica",Mercado_Receita!$L$2:$L$886)</f>
        <v>4249.1100000000006</v>
      </c>
      <c r="O29" s="13">
        <f>SUMIF(Mercado_Receita!$S$2:$S$886,"44682B1ConvencionalResidencialResidencialNão se aplicaNão se aplicaPonta",Mercado_Receita!$L$2:$L$886)+SUMIF(Mercado_Receita!$S$2:$S$886,"44682B1ConvencionalResidencialResidencialNão se aplicaNão se aplicaFora ponta",Mercado_Receita!$L$2:$L$886)+SUMIF(Mercado_Receita!$S$2:$S$886,"44682B1ConvencionalResidencialResidencialNão se aplicaNão se aplicaIntermediário",Mercado_Receita!$L$2:$L$886)+SUMIF(Mercado_Receita!$S$2:$S$886,"44682B1ConvencionalResidencialResidencialNão se aplicaNão se aplicaNão se aplica",Mercado_Receita!$L$2:$L$886)</f>
        <v>3897.9989999999998</v>
      </c>
      <c r="P29" s="13">
        <f>SUMIF(Mercado_Receita!$S$2:$S$886,"44713B1ConvencionalResidencialResidencialNão se aplicaNão se aplicaPonta",Mercado_Receita!$L$2:$L$886)+SUMIF(Mercado_Receita!$S$2:$S$886,"44713B1ConvencionalResidencialResidencialNão se aplicaNão se aplicaFora ponta",Mercado_Receita!$L$2:$L$886)+SUMIF(Mercado_Receita!$S$2:$S$886,"44713B1ConvencionalResidencialResidencialNão se aplicaNão se aplicaIntermediário",Mercado_Receita!$L$2:$L$886)+SUMIF(Mercado_Receita!$S$2:$S$886,"44713B1ConvencionalResidencialResidencialNão se aplicaNão se aplicaNão se aplica",Mercado_Receita!$L$2:$L$886)</f>
        <v>3436.7649999999999</v>
      </c>
      <c r="Q29" s="13">
        <f>SUMIF(Mercado_Receita!$S$2:$S$886,"44743B1ConvencionalResidencialResidencialNão se aplicaNão se aplicaPonta",Mercado_Receita!$L$2:$L$886)+SUMIF(Mercado_Receita!$S$2:$S$886,"44743B1ConvencionalResidencialResidencialNão se aplicaNão se aplicaFora ponta",Mercado_Receita!$L$2:$L$886)+SUMIF(Mercado_Receita!$S$2:$S$886,"44743B1ConvencionalResidencialResidencialNão se aplicaNão se aplicaIntermediário",Mercado_Receita!$L$2:$L$886)+SUMIF(Mercado_Receita!$S$2:$S$886,"44743B1ConvencionalResidencialResidencialNão se aplicaNão se aplicaNão se aplica",Mercado_Receita!$L$2:$L$886)</f>
        <v>3614.172</v>
      </c>
      <c r="R29" s="13">
        <f>SUMIF(Mercado_Receita!$S$2:$S$886,"44774B1ConvencionalResidencialResidencialNão se aplicaNão se aplicaPonta",Mercado_Receita!$L$2:$L$886)+SUMIF(Mercado_Receita!$S$2:$S$886,"44774B1ConvencionalResidencialResidencialNão se aplicaNão se aplicaFora ponta",Mercado_Receita!$L$2:$L$886)+SUMIF(Mercado_Receita!$S$2:$S$886,"44774B1ConvencionalResidencialResidencialNão se aplicaNão se aplicaIntermediário",Mercado_Receita!$L$2:$L$886)+SUMIF(Mercado_Receita!$S$2:$S$886,"44774B1ConvencionalResidencialResidencialNão se aplicaNão se aplicaNão se aplica",Mercado_Receita!$L$2:$L$886)</f>
        <v>3478.5920000000001</v>
      </c>
      <c r="S29" s="13">
        <f>SUMIF(Mercado_Receita!$S$2:$S$886,"44805B1ConvencionalResidencialResidencialNão se aplicaNão se aplicaPonta",Mercado_Receita!$L$2:$L$886)+SUMIF(Mercado_Receita!$S$2:$S$886,"44805B1ConvencionalResidencialResidencialNão se aplicaNão se aplicaFora ponta",Mercado_Receita!$L$2:$L$886)+SUMIF(Mercado_Receita!$S$2:$S$886,"44805B1ConvencionalResidencialResidencialNão se aplicaNão se aplicaIntermediário",Mercado_Receita!$L$2:$L$886)+SUMIF(Mercado_Receita!$S$2:$S$886,"44805B1ConvencionalResidencialResidencialNão se aplicaNão se aplicaNão se aplica",Mercado_Receita!$L$2:$L$886)</f>
        <v>4144.6459999999997</v>
      </c>
      <c r="T29" s="13">
        <f>SUMIF(Mercado_Receita!$S$2:$S$886,"44835B1ConvencionalResidencialResidencialNão se aplicaNão se aplicaPonta",Mercado_Receita!$L$2:$L$886)+SUMIF(Mercado_Receita!$S$2:$S$886,"44835B1ConvencionalResidencialResidencialNão se aplicaNão se aplicaFora ponta",Mercado_Receita!$L$2:$L$886)+SUMIF(Mercado_Receita!$S$2:$S$886,"44835B1ConvencionalResidencialResidencialNão se aplicaNão se aplicaIntermediário",Mercado_Receita!$L$2:$L$886)+SUMIF(Mercado_Receita!$S$2:$S$886,"44835B1ConvencionalResidencialResidencialNão se aplicaNão se aplicaNão se aplica",Mercado_Receita!$L$2:$L$886)</f>
        <v>4144.6459999999997</v>
      </c>
      <c r="U29" s="13">
        <f t="shared" si="0"/>
        <v>46756.356999999996</v>
      </c>
      <c r="V29" s="13"/>
      <c r="W29" s="13"/>
    </row>
    <row r="30" spans="1:23" ht="11.25" customHeight="1" x14ac:dyDescent="0.3">
      <c r="A30" s="123"/>
      <c r="B30" s="123"/>
      <c r="C30" s="123"/>
      <c r="D30" s="12" t="s">
        <v>29</v>
      </c>
      <c r="E30" s="12" t="s">
        <v>25</v>
      </c>
      <c r="F30" s="12" t="s">
        <v>25</v>
      </c>
      <c r="G30" s="13" t="s">
        <v>83</v>
      </c>
      <c r="H30" s="13" t="s">
        <v>79</v>
      </c>
      <c r="I30" s="13">
        <f>SUMIF(Mercado_Receita!$S$2:$S$886,"44501B1ConvencionalResidencialResidencial baixa renda – faixa 01Não se aplicaNão se aplicaPonta",Mercado_Receita!$L$2:$L$886)+SUMIF(Mercado_Receita!$S$2:$S$886,"44501B1ConvencionalResidencialResidencial baixa renda – faixa 01Não se aplicaNão se aplicaFora ponta",Mercado_Receita!$L$2:$L$886)+SUMIF(Mercado_Receita!$S$2:$S$886,"44501B1ConvencionalResidencialResidencial baixa renda – faixa 01Não se aplicaNão se aplicaIntermediário",Mercado_Receita!$L$2:$L$886)+SUMIF(Mercado_Receita!$S$2:$S$886,"44501B1ConvencionalResidencialResidencial baixa renda – faixa 01Não se aplicaNão se aplicaNão se aplica",Mercado_Receita!$L$2:$L$886)</f>
        <v>74.97</v>
      </c>
      <c r="J30" s="13">
        <f>SUMIF(Mercado_Receita!$S$2:$S$886,"44531B1ConvencionalResidencialResidencial baixa renda – faixa 01Não se aplicaNão se aplicaPonta",Mercado_Receita!$L$2:$L$886)+SUMIF(Mercado_Receita!$S$2:$S$886,"44531B1ConvencionalResidencialResidencial baixa renda – faixa 01Não se aplicaNão se aplicaFora ponta",Mercado_Receita!$L$2:$L$886)+SUMIF(Mercado_Receita!$S$2:$S$886,"44531B1ConvencionalResidencialResidencial baixa renda – faixa 01Não se aplicaNão se aplicaIntermediário",Mercado_Receita!$L$2:$L$886)+SUMIF(Mercado_Receita!$S$2:$S$886,"44531B1ConvencionalResidencialResidencial baixa renda – faixa 01Não se aplicaNão se aplicaNão se aplica",Mercado_Receita!$L$2:$L$886)</f>
        <v>78.33</v>
      </c>
      <c r="K30" s="13">
        <f>SUMIF(Mercado_Receita!$S$2:$S$886,"44562B1ConvencionalResidencialResidencial baixa renda – faixa 01Não se aplicaNão se aplicaPonta",Mercado_Receita!$L$2:$L$886)+SUMIF(Mercado_Receita!$S$2:$S$886,"44562B1ConvencionalResidencialResidencial baixa renda – faixa 01Não se aplicaNão se aplicaFora ponta",Mercado_Receita!$L$2:$L$886)+SUMIF(Mercado_Receita!$S$2:$S$886,"44562B1ConvencionalResidencialResidencial baixa renda – faixa 01Não se aplicaNão se aplicaIntermediário",Mercado_Receita!$L$2:$L$886)+SUMIF(Mercado_Receita!$S$2:$S$886,"44562B1ConvencionalResidencialResidencial baixa renda – faixa 01Não se aplicaNão se aplicaNão se aplica",Mercado_Receita!$L$2:$L$886)</f>
        <v>80.010000000000005</v>
      </c>
      <c r="L30" s="13">
        <f>SUMIF(Mercado_Receita!$S$2:$S$886,"44593B1ConvencionalResidencialResidencial baixa renda – faixa 01Não se aplicaNão se aplicaPonta",Mercado_Receita!$L$2:$L$886)+SUMIF(Mercado_Receita!$S$2:$S$886,"44593B1ConvencionalResidencialResidencial baixa renda – faixa 01Não se aplicaNão se aplicaFora ponta",Mercado_Receita!$L$2:$L$886)+SUMIF(Mercado_Receita!$S$2:$S$886,"44593B1ConvencionalResidencialResidencial baixa renda – faixa 01Não se aplicaNão se aplicaIntermediário",Mercado_Receita!$L$2:$L$886)+SUMIF(Mercado_Receita!$S$2:$S$886,"44593B1ConvencionalResidencialResidencial baixa renda – faixa 01Não se aplicaNão se aplicaNão se aplica",Mercado_Receita!$L$2:$L$886)</f>
        <v>82.56</v>
      </c>
      <c r="M30" s="13">
        <f>SUMIF(Mercado_Receita!$S$2:$S$886,"44621B1ConvencionalResidencialResidencial baixa renda – faixa 01Não se aplicaNão se aplicaPonta",Mercado_Receita!$L$2:$L$886)+SUMIF(Mercado_Receita!$S$2:$S$886,"44621B1ConvencionalResidencialResidencial baixa renda – faixa 01Não se aplicaNão se aplicaFora ponta",Mercado_Receita!$L$2:$L$886)+SUMIF(Mercado_Receita!$S$2:$S$886,"44621B1ConvencionalResidencialResidencial baixa renda – faixa 01Não se aplicaNão se aplicaIntermediário",Mercado_Receita!$L$2:$L$886)+SUMIF(Mercado_Receita!$S$2:$S$886,"44621B1ConvencionalResidencialResidencial baixa renda – faixa 01Não se aplicaNão se aplicaNão se aplica",Mercado_Receita!$L$2:$L$886)</f>
        <v>86.88</v>
      </c>
      <c r="N30" s="13">
        <f>SUMIF(Mercado_Receita!$S$2:$S$886,"44652B1ConvencionalResidencialResidencial baixa renda – faixa 01Não se aplicaNão se aplicaPonta",Mercado_Receita!$L$2:$L$886)+SUMIF(Mercado_Receita!$S$2:$S$886,"44652B1ConvencionalResidencialResidencial baixa renda – faixa 01Não se aplicaNão se aplicaFora ponta",Mercado_Receita!$L$2:$L$886)+SUMIF(Mercado_Receita!$S$2:$S$886,"44652B1ConvencionalResidencialResidencial baixa renda – faixa 01Não se aplicaNão se aplicaIntermediário",Mercado_Receita!$L$2:$L$886)+SUMIF(Mercado_Receita!$S$2:$S$886,"44652B1ConvencionalResidencialResidencial baixa renda – faixa 01Não se aplicaNão se aplicaNão se aplica",Mercado_Receita!$L$2:$L$886)</f>
        <v>97.29</v>
      </c>
      <c r="O30" s="13">
        <f>SUMIF(Mercado_Receita!$S$2:$S$886,"44682B1ConvencionalResidencialResidencial baixa renda – faixa 01Não se aplicaNão se aplicaPonta",Mercado_Receita!$L$2:$L$886)+SUMIF(Mercado_Receita!$S$2:$S$886,"44682B1ConvencionalResidencialResidencial baixa renda – faixa 01Não se aplicaNão se aplicaFora ponta",Mercado_Receita!$L$2:$L$886)+SUMIF(Mercado_Receita!$S$2:$S$886,"44682B1ConvencionalResidencialResidencial baixa renda – faixa 01Não se aplicaNão se aplicaIntermediário",Mercado_Receita!$L$2:$L$886)+SUMIF(Mercado_Receita!$S$2:$S$886,"44682B1ConvencionalResidencialResidencial baixa renda – faixa 01Não se aplicaNão se aplicaNão se aplica",Mercado_Receita!$L$2:$L$886)</f>
        <v>105.64</v>
      </c>
      <c r="P30" s="13">
        <f>SUMIF(Mercado_Receita!$S$2:$S$886,"44713B1ConvencionalResidencialResidencial baixa renda – faixa 01Não se aplicaNão se aplicaPonta",Mercado_Receita!$L$2:$L$886)+SUMIF(Mercado_Receita!$S$2:$S$886,"44713B1ConvencionalResidencialResidencial baixa renda – faixa 01Não se aplicaNão se aplicaFora ponta",Mercado_Receita!$L$2:$L$886)+SUMIF(Mercado_Receita!$S$2:$S$886,"44713B1ConvencionalResidencialResidencial baixa renda – faixa 01Não se aplicaNão se aplicaIntermediário",Mercado_Receita!$L$2:$L$886)+SUMIF(Mercado_Receita!$S$2:$S$886,"44713B1ConvencionalResidencialResidencial baixa renda – faixa 01Não se aplicaNão se aplicaNão se aplica",Mercado_Receita!$L$2:$L$886)</f>
        <v>101.1</v>
      </c>
      <c r="Q30" s="13">
        <f>SUMIF(Mercado_Receita!$S$2:$S$886,"44743B1ConvencionalResidencialResidencial baixa renda – faixa 01Não se aplicaNão se aplicaPonta",Mercado_Receita!$L$2:$L$886)+SUMIF(Mercado_Receita!$S$2:$S$886,"44743B1ConvencionalResidencialResidencial baixa renda – faixa 01Não se aplicaNão se aplicaFora ponta",Mercado_Receita!$L$2:$L$886)+SUMIF(Mercado_Receita!$S$2:$S$886,"44743B1ConvencionalResidencialResidencial baixa renda – faixa 01Não se aplicaNão se aplicaIntermediário",Mercado_Receita!$L$2:$L$886)+SUMIF(Mercado_Receita!$S$2:$S$886,"44743B1ConvencionalResidencialResidencial baixa renda – faixa 01Não se aplicaNão se aplicaNão se aplica",Mercado_Receita!$L$2:$L$886)</f>
        <v>101.31</v>
      </c>
      <c r="R30" s="13">
        <f>SUMIF(Mercado_Receita!$S$2:$S$886,"44774B1ConvencionalResidencialResidencial baixa renda – faixa 01Não se aplicaNão se aplicaPonta",Mercado_Receita!$L$2:$L$886)+SUMIF(Mercado_Receita!$S$2:$S$886,"44774B1ConvencionalResidencialResidencial baixa renda – faixa 01Não se aplicaNão se aplicaFora ponta",Mercado_Receita!$L$2:$L$886)+SUMIF(Mercado_Receita!$S$2:$S$886,"44774B1ConvencionalResidencialResidencial baixa renda – faixa 01Não se aplicaNão se aplicaIntermediário",Mercado_Receita!$L$2:$L$886)+SUMIF(Mercado_Receita!$S$2:$S$886,"44774B1ConvencionalResidencialResidencial baixa renda – faixa 01Não se aplicaNão se aplicaNão se aplica",Mercado_Receita!$L$2:$L$886)</f>
        <v>100.56</v>
      </c>
      <c r="S30" s="13">
        <f>SUMIF(Mercado_Receita!$S$2:$S$886,"44805B1ConvencionalResidencialResidencial baixa renda – faixa 01Não se aplicaNão se aplicaPonta",Mercado_Receita!$L$2:$L$886)+SUMIF(Mercado_Receita!$S$2:$S$886,"44805B1ConvencionalResidencialResidencial baixa renda – faixa 01Não se aplicaNão se aplicaFora ponta",Mercado_Receita!$L$2:$L$886)+SUMIF(Mercado_Receita!$S$2:$S$886,"44805B1ConvencionalResidencialResidencial baixa renda – faixa 01Não se aplicaNão se aplicaIntermediário",Mercado_Receita!$L$2:$L$886)+SUMIF(Mercado_Receita!$S$2:$S$886,"44805B1ConvencionalResidencialResidencial baixa renda – faixa 01Não se aplicaNão se aplicaNão se aplica",Mercado_Receita!$L$2:$L$886)</f>
        <v>100.83</v>
      </c>
      <c r="T30" s="13">
        <f>SUMIF(Mercado_Receita!$S$2:$S$886,"44835B1ConvencionalResidencialResidencial baixa renda – faixa 01Não se aplicaNão se aplicaPonta",Mercado_Receita!$L$2:$L$886)+SUMIF(Mercado_Receita!$S$2:$S$886,"44835B1ConvencionalResidencialResidencial baixa renda – faixa 01Não se aplicaNão se aplicaFora ponta",Mercado_Receita!$L$2:$L$886)+SUMIF(Mercado_Receita!$S$2:$S$886,"44835B1ConvencionalResidencialResidencial baixa renda – faixa 01Não se aplicaNão se aplicaIntermediário",Mercado_Receita!$L$2:$L$886)+SUMIF(Mercado_Receita!$S$2:$S$886,"44835B1ConvencionalResidencialResidencial baixa renda – faixa 01Não se aplicaNão se aplicaNão se aplica",Mercado_Receita!$L$2:$L$886)</f>
        <v>100.83</v>
      </c>
      <c r="U30" s="13">
        <f t="shared" si="0"/>
        <v>1110.3100000000002</v>
      </c>
      <c r="V30" s="13"/>
      <c r="W30" s="13"/>
    </row>
    <row r="31" spans="1:23" ht="11.25" customHeight="1" x14ac:dyDescent="0.3">
      <c r="A31" s="123"/>
      <c r="B31" s="123"/>
      <c r="C31" s="123"/>
      <c r="D31" s="12" t="s">
        <v>30</v>
      </c>
      <c r="E31" s="12" t="s">
        <v>25</v>
      </c>
      <c r="F31" s="12" t="s">
        <v>25</v>
      </c>
      <c r="G31" s="13" t="s">
        <v>83</v>
      </c>
      <c r="H31" s="13" t="s">
        <v>79</v>
      </c>
      <c r="I31" s="13">
        <f>SUMIF(Mercado_Receita!$S$2:$S$886,"44501B1ConvencionalResidencialResidencial baixa renda – faixa 02Não se aplicaNão se aplicaPonta",Mercado_Receita!$L$2:$L$886)+SUMIF(Mercado_Receita!$S$2:$S$886,"44501B1ConvencionalResidencialResidencial baixa renda – faixa 02Não se aplicaNão se aplicaFora ponta",Mercado_Receita!$L$2:$L$886)+SUMIF(Mercado_Receita!$S$2:$S$886,"44501B1ConvencionalResidencialResidencial baixa renda – faixa 02Não se aplicaNão se aplicaIntermediário",Mercado_Receita!$L$2:$L$886)+SUMIF(Mercado_Receita!$S$2:$S$886,"44501B1ConvencionalResidencialResidencial baixa renda – faixa 02Não se aplicaNão se aplicaNão se aplica",Mercado_Receita!$L$2:$L$886)</f>
        <v>153.358</v>
      </c>
      <c r="J31" s="13">
        <f>SUMIF(Mercado_Receita!$S$2:$S$886,"44531B1ConvencionalResidencialResidencial baixa renda – faixa 02Não se aplicaNão se aplicaPonta",Mercado_Receita!$L$2:$L$886)+SUMIF(Mercado_Receita!$S$2:$S$886,"44531B1ConvencionalResidencialResidencial baixa renda – faixa 02Não se aplicaNão se aplicaFora ponta",Mercado_Receita!$L$2:$L$886)+SUMIF(Mercado_Receita!$S$2:$S$886,"44531B1ConvencionalResidencialResidencial baixa renda – faixa 02Não se aplicaNão se aplicaIntermediário",Mercado_Receita!$L$2:$L$886)+SUMIF(Mercado_Receita!$S$2:$S$886,"44531B1ConvencionalResidencialResidencial baixa renda – faixa 02Não se aplicaNão se aplicaNão se aplica",Mercado_Receita!$L$2:$L$886)</f>
        <v>158.65600000000001</v>
      </c>
      <c r="K31" s="13">
        <f>SUMIF(Mercado_Receita!$S$2:$S$886,"44562B1ConvencionalResidencialResidencial baixa renda – faixa 02Não se aplicaNão se aplicaPonta",Mercado_Receita!$L$2:$L$886)+SUMIF(Mercado_Receita!$S$2:$S$886,"44562B1ConvencionalResidencialResidencial baixa renda – faixa 02Não se aplicaNão se aplicaFora ponta",Mercado_Receita!$L$2:$L$886)+SUMIF(Mercado_Receita!$S$2:$S$886,"44562B1ConvencionalResidencialResidencial baixa renda – faixa 02Não se aplicaNão se aplicaIntermediário",Mercado_Receita!$L$2:$L$886)+SUMIF(Mercado_Receita!$S$2:$S$886,"44562B1ConvencionalResidencialResidencial baixa renda – faixa 02Não se aplicaNão se aplicaNão se aplica",Mercado_Receita!$L$2:$L$886)</f>
        <v>164.26400000000001</v>
      </c>
      <c r="L31" s="13">
        <f>SUMIF(Mercado_Receita!$S$2:$S$886,"44593B1ConvencionalResidencialResidencial baixa renda – faixa 02Não se aplicaNão se aplicaPonta",Mercado_Receita!$L$2:$L$886)+SUMIF(Mercado_Receita!$S$2:$S$886,"44593B1ConvencionalResidencialResidencial baixa renda – faixa 02Não se aplicaNão se aplicaFora ponta",Mercado_Receita!$L$2:$L$886)+SUMIF(Mercado_Receita!$S$2:$S$886,"44593B1ConvencionalResidencialResidencial baixa renda – faixa 02Não se aplicaNão se aplicaIntermediário",Mercado_Receita!$L$2:$L$886)+SUMIF(Mercado_Receita!$S$2:$S$886,"44593B1ConvencionalResidencialResidencial baixa renda – faixa 02Não se aplicaNão se aplicaNão se aplica",Mercado_Receita!$L$2:$L$886)</f>
        <v>168.87899999999999</v>
      </c>
      <c r="M31" s="13">
        <f>SUMIF(Mercado_Receita!$S$2:$S$886,"44621B1ConvencionalResidencialResidencial baixa renda – faixa 02Não se aplicaNão se aplicaPonta",Mercado_Receita!$L$2:$L$886)+SUMIF(Mercado_Receita!$S$2:$S$886,"44621B1ConvencionalResidencialResidencial baixa renda – faixa 02Não se aplicaNão se aplicaFora ponta",Mercado_Receita!$L$2:$L$886)+SUMIF(Mercado_Receita!$S$2:$S$886,"44621B1ConvencionalResidencialResidencial baixa renda – faixa 02Não se aplicaNão se aplicaIntermediário",Mercado_Receita!$L$2:$L$886)+SUMIF(Mercado_Receita!$S$2:$S$886,"44621B1ConvencionalResidencialResidencial baixa renda – faixa 02Não se aplicaNão se aplicaNão se aplica",Mercado_Receita!$L$2:$L$886)</f>
        <v>173.79900000000001</v>
      </c>
      <c r="N31" s="13">
        <f>SUMIF(Mercado_Receita!$S$2:$S$886,"44652B1ConvencionalResidencialResidencial baixa renda – faixa 02Não se aplicaNão se aplicaPonta",Mercado_Receita!$L$2:$L$886)+SUMIF(Mercado_Receita!$S$2:$S$886,"44652B1ConvencionalResidencialResidencial baixa renda – faixa 02Não se aplicaNão se aplicaFora ponta",Mercado_Receita!$L$2:$L$886)+SUMIF(Mercado_Receita!$S$2:$S$886,"44652B1ConvencionalResidencialResidencial baixa renda – faixa 02Não se aplicaNão se aplicaIntermediário",Mercado_Receita!$L$2:$L$886)+SUMIF(Mercado_Receita!$S$2:$S$886,"44652B1ConvencionalResidencialResidencial baixa renda – faixa 02Não se aplicaNão se aplicaNão se aplica",Mercado_Receita!$L$2:$L$886)</f>
        <v>202.85900000000001</v>
      </c>
      <c r="O31" s="13">
        <f>SUMIF(Mercado_Receita!$S$2:$S$886,"44682B1ConvencionalResidencialResidencial baixa renda – faixa 02Não se aplicaNão se aplicaPonta",Mercado_Receita!$L$2:$L$886)+SUMIF(Mercado_Receita!$S$2:$S$886,"44682B1ConvencionalResidencialResidencial baixa renda – faixa 02Não se aplicaNão se aplicaFora ponta",Mercado_Receita!$L$2:$L$886)+SUMIF(Mercado_Receita!$S$2:$S$886,"44682B1ConvencionalResidencialResidencial baixa renda – faixa 02Não se aplicaNão se aplicaIntermediário",Mercado_Receita!$L$2:$L$886)+SUMIF(Mercado_Receita!$S$2:$S$886,"44682B1ConvencionalResidencialResidencial baixa renda – faixa 02Não se aplicaNão se aplicaNão se aplica",Mercado_Receita!$L$2:$L$886)</f>
        <v>215.45599999999999</v>
      </c>
      <c r="P31" s="13">
        <f>SUMIF(Mercado_Receita!$S$2:$S$886,"44713B1ConvencionalResidencialResidencial baixa renda – faixa 02Não se aplicaNão se aplicaPonta",Mercado_Receita!$L$2:$L$886)+SUMIF(Mercado_Receita!$S$2:$S$886,"44713B1ConvencionalResidencialResidencial baixa renda – faixa 02Não se aplicaNão se aplicaFora ponta",Mercado_Receita!$L$2:$L$886)+SUMIF(Mercado_Receita!$S$2:$S$886,"44713B1ConvencionalResidencialResidencial baixa renda – faixa 02Não se aplicaNão se aplicaIntermediário",Mercado_Receita!$L$2:$L$886)+SUMIF(Mercado_Receita!$S$2:$S$886,"44713B1ConvencionalResidencialResidencial baixa renda – faixa 02Não se aplicaNão se aplicaNão se aplica",Mercado_Receita!$L$2:$L$886)</f>
        <v>200.75899999999999</v>
      </c>
      <c r="Q31" s="13">
        <f>SUMIF(Mercado_Receita!$S$2:$S$886,"44743B1ConvencionalResidencialResidencial baixa renda – faixa 02Não se aplicaNão se aplicaPonta",Mercado_Receita!$L$2:$L$886)+SUMIF(Mercado_Receita!$S$2:$S$886,"44743B1ConvencionalResidencialResidencial baixa renda – faixa 02Não se aplicaNão se aplicaFora ponta",Mercado_Receita!$L$2:$L$886)+SUMIF(Mercado_Receita!$S$2:$S$886,"44743B1ConvencionalResidencialResidencial baixa renda – faixa 02Não se aplicaNão se aplicaIntermediário",Mercado_Receita!$L$2:$L$886)+SUMIF(Mercado_Receita!$S$2:$S$886,"44743B1ConvencionalResidencialResidencial baixa renda – faixa 02Não se aplicaNão se aplicaNão se aplica",Mercado_Receita!$L$2:$L$886)</f>
        <v>204.48699999999999</v>
      </c>
      <c r="R31" s="13">
        <f>SUMIF(Mercado_Receita!$S$2:$S$886,"44774B1ConvencionalResidencialResidencial baixa renda – faixa 02Não se aplicaNão se aplicaPonta",Mercado_Receita!$L$2:$L$886)+SUMIF(Mercado_Receita!$S$2:$S$886,"44774B1ConvencionalResidencialResidencial baixa renda – faixa 02Não se aplicaNão se aplicaFora ponta",Mercado_Receita!$L$2:$L$886)+SUMIF(Mercado_Receita!$S$2:$S$886,"44774B1ConvencionalResidencialResidencial baixa renda – faixa 02Não se aplicaNão se aplicaIntermediário",Mercado_Receita!$L$2:$L$886)+SUMIF(Mercado_Receita!$S$2:$S$886,"44774B1ConvencionalResidencialResidencial baixa renda – faixa 02Não se aplicaNão se aplicaNão se aplica",Mercado_Receita!$L$2:$L$886)</f>
        <v>199.404</v>
      </c>
      <c r="S31" s="13">
        <f>SUMIF(Mercado_Receita!$S$2:$S$886,"44805B1ConvencionalResidencialResidencial baixa renda – faixa 02Não se aplicaNão se aplicaPonta",Mercado_Receita!$L$2:$L$886)+SUMIF(Mercado_Receita!$S$2:$S$886,"44805B1ConvencionalResidencialResidencial baixa renda – faixa 02Não se aplicaNão se aplicaFora ponta",Mercado_Receita!$L$2:$L$886)+SUMIF(Mercado_Receita!$S$2:$S$886,"44805B1ConvencionalResidencialResidencial baixa renda – faixa 02Não se aplicaNão se aplicaIntermediário",Mercado_Receita!$L$2:$L$886)+SUMIF(Mercado_Receita!$S$2:$S$886,"44805B1ConvencionalResidencialResidencial baixa renda – faixa 02Não se aplicaNão se aplicaNão se aplica",Mercado_Receita!$L$2:$L$886)</f>
        <v>210.55099999999999</v>
      </c>
      <c r="T31" s="13">
        <f>SUMIF(Mercado_Receita!$S$2:$S$886,"44835B1ConvencionalResidencialResidencial baixa renda – faixa 02Não se aplicaNão se aplicaPonta",Mercado_Receita!$L$2:$L$886)+SUMIF(Mercado_Receita!$S$2:$S$886,"44835B1ConvencionalResidencialResidencial baixa renda – faixa 02Não se aplicaNão se aplicaFora ponta",Mercado_Receita!$L$2:$L$886)+SUMIF(Mercado_Receita!$S$2:$S$886,"44835B1ConvencionalResidencialResidencial baixa renda – faixa 02Não se aplicaNão se aplicaIntermediário",Mercado_Receita!$L$2:$L$886)+SUMIF(Mercado_Receita!$S$2:$S$886,"44835B1ConvencionalResidencialResidencial baixa renda – faixa 02Não se aplicaNão se aplicaNão se aplica",Mercado_Receita!$L$2:$L$886)</f>
        <v>210.55099999999999</v>
      </c>
      <c r="U31" s="13">
        <f t="shared" si="0"/>
        <v>2263.0230000000001</v>
      </c>
      <c r="V31" s="13"/>
      <c r="W31" s="13"/>
    </row>
    <row r="32" spans="1:23" ht="11.25" customHeight="1" x14ac:dyDescent="0.3">
      <c r="A32" s="123"/>
      <c r="B32" s="123"/>
      <c r="C32" s="123"/>
      <c r="D32" s="12" t="s">
        <v>31</v>
      </c>
      <c r="E32" s="12" t="s">
        <v>25</v>
      </c>
      <c r="F32" s="12" t="s">
        <v>25</v>
      </c>
      <c r="G32" s="13" t="s">
        <v>83</v>
      </c>
      <c r="H32" s="13" t="s">
        <v>79</v>
      </c>
      <c r="I32" s="13">
        <f>SUMIF(Mercado_Receita!$S$2:$S$886,"44501B1ConvencionalResidencialResidencial baixa renda – faixa 03Não se aplicaNão se aplicaPonta",Mercado_Receita!$L$2:$L$886)+SUMIF(Mercado_Receita!$S$2:$S$886,"44501B1ConvencionalResidencialResidencial baixa renda – faixa 03Não se aplicaNão se aplicaFora ponta",Mercado_Receita!$L$2:$L$886)+SUMIF(Mercado_Receita!$S$2:$S$886,"44501B1ConvencionalResidencialResidencial baixa renda – faixa 03Não se aplicaNão se aplicaIntermediário",Mercado_Receita!$L$2:$L$886)+SUMIF(Mercado_Receita!$S$2:$S$886,"44501B1ConvencionalResidencialResidencial baixa renda – faixa 03Não se aplicaNão se aplicaNão se aplica",Mercado_Receita!$L$2:$L$886)</f>
        <v>109.375</v>
      </c>
      <c r="J32" s="13">
        <f>SUMIF(Mercado_Receita!$S$2:$S$886,"44531B1ConvencionalResidencialResidencial baixa renda – faixa 03Não se aplicaNão se aplicaPonta",Mercado_Receita!$L$2:$L$886)+SUMIF(Mercado_Receita!$S$2:$S$886,"44531B1ConvencionalResidencialResidencial baixa renda – faixa 03Não se aplicaNão se aplicaFora ponta",Mercado_Receita!$L$2:$L$886)+SUMIF(Mercado_Receita!$S$2:$S$886,"44531B1ConvencionalResidencialResidencial baixa renda – faixa 03Não se aplicaNão se aplicaIntermediário",Mercado_Receita!$L$2:$L$886)+SUMIF(Mercado_Receita!$S$2:$S$886,"44531B1ConvencionalResidencialResidencial baixa renda – faixa 03Não se aplicaNão se aplicaNão se aplica",Mercado_Receita!$L$2:$L$886)</f>
        <v>109.339</v>
      </c>
      <c r="K32" s="13">
        <f>SUMIF(Mercado_Receita!$S$2:$S$886,"44562B1ConvencionalResidencialResidencial baixa renda – faixa 03Não se aplicaNão se aplicaPonta",Mercado_Receita!$L$2:$L$886)+SUMIF(Mercado_Receita!$S$2:$S$886,"44562B1ConvencionalResidencialResidencial baixa renda – faixa 03Não se aplicaNão se aplicaFora ponta",Mercado_Receita!$L$2:$L$886)+SUMIF(Mercado_Receita!$S$2:$S$886,"44562B1ConvencionalResidencialResidencial baixa renda – faixa 03Não se aplicaNão se aplicaIntermediário",Mercado_Receita!$L$2:$L$886)+SUMIF(Mercado_Receita!$S$2:$S$886,"44562B1ConvencionalResidencialResidencial baixa renda – faixa 03Não se aplicaNão se aplicaNão se aplica",Mercado_Receita!$L$2:$L$886)</f>
        <v>118.824</v>
      </c>
      <c r="L32" s="13">
        <f>SUMIF(Mercado_Receita!$S$2:$S$886,"44593B1ConvencionalResidencialResidencial baixa renda – faixa 03Não se aplicaNão se aplicaPonta",Mercado_Receita!$L$2:$L$886)+SUMIF(Mercado_Receita!$S$2:$S$886,"44593B1ConvencionalResidencialResidencial baixa renda – faixa 03Não se aplicaNão se aplicaFora ponta",Mercado_Receita!$L$2:$L$886)+SUMIF(Mercado_Receita!$S$2:$S$886,"44593B1ConvencionalResidencialResidencial baixa renda – faixa 03Não se aplicaNão se aplicaIntermediário",Mercado_Receita!$L$2:$L$886)+SUMIF(Mercado_Receita!$S$2:$S$886,"44593B1ConvencionalResidencialResidencial baixa renda – faixa 03Não se aplicaNão se aplicaNão se aplica",Mercado_Receita!$L$2:$L$886)</f>
        <v>119.429</v>
      </c>
      <c r="M32" s="13">
        <f>SUMIF(Mercado_Receita!$S$2:$S$886,"44621B1ConvencionalResidencialResidencial baixa renda – faixa 03Não se aplicaNão se aplicaPonta",Mercado_Receita!$L$2:$L$886)+SUMIF(Mercado_Receita!$S$2:$S$886,"44621B1ConvencionalResidencialResidencial baixa renda – faixa 03Não se aplicaNão se aplicaFora ponta",Mercado_Receita!$L$2:$L$886)+SUMIF(Mercado_Receita!$S$2:$S$886,"44621B1ConvencionalResidencialResidencial baixa renda – faixa 03Não se aplicaNão se aplicaIntermediário",Mercado_Receita!$L$2:$L$886)+SUMIF(Mercado_Receita!$S$2:$S$886,"44621B1ConvencionalResidencialResidencial baixa renda – faixa 03Não se aplicaNão se aplicaNão se aplica",Mercado_Receita!$L$2:$L$886)</f>
        <v>109.42</v>
      </c>
      <c r="N32" s="13">
        <f>SUMIF(Mercado_Receita!$S$2:$S$886,"44652B1ConvencionalResidencialResidencial baixa renda – faixa 03Não se aplicaNão se aplicaPonta",Mercado_Receita!$L$2:$L$886)+SUMIF(Mercado_Receita!$S$2:$S$886,"44652B1ConvencionalResidencialResidencial baixa renda – faixa 03Não se aplicaNão se aplicaFora ponta",Mercado_Receita!$L$2:$L$886)+SUMIF(Mercado_Receita!$S$2:$S$886,"44652B1ConvencionalResidencialResidencial baixa renda – faixa 03Não se aplicaNão se aplicaIntermediário",Mercado_Receita!$L$2:$L$886)+SUMIF(Mercado_Receita!$S$2:$S$886,"44652B1ConvencionalResidencialResidencial baixa renda – faixa 03Não se aplicaNão se aplicaNão se aplica",Mercado_Receita!$L$2:$L$886)</f>
        <v>159.411</v>
      </c>
      <c r="O32" s="13">
        <f>SUMIF(Mercado_Receita!$S$2:$S$886,"44682B1ConvencionalResidencialResidencial baixa renda – faixa 03Não se aplicaNão se aplicaPonta",Mercado_Receita!$L$2:$L$886)+SUMIF(Mercado_Receita!$S$2:$S$886,"44682B1ConvencionalResidencialResidencial baixa renda – faixa 03Não se aplicaNão se aplicaFora ponta",Mercado_Receita!$L$2:$L$886)+SUMIF(Mercado_Receita!$S$2:$S$886,"44682B1ConvencionalResidencialResidencial baixa renda – faixa 03Não se aplicaNão se aplicaIntermediário",Mercado_Receita!$L$2:$L$886)+SUMIF(Mercado_Receita!$S$2:$S$886,"44682B1ConvencionalResidencialResidencial baixa renda – faixa 03Não se aplicaNão se aplicaNão se aplica",Mercado_Receita!$L$2:$L$886)</f>
        <v>151.39599999999999</v>
      </c>
      <c r="P32" s="13">
        <f>SUMIF(Mercado_Receita!$S$2:$S$886,"44713B1ConvencionalResidencialResidencial baixa renda – faixa 03Não se aplicaNão se aplicaPonta",Mercado_Receita!$L$2:$L$886)+SUMIF(Mercado_Receita!$S$2:$S$886,"44713B1ConvencionalResidencialResidencial baixa renda – faixa 03Não se aplicaNão se aplicaFora ponta",Mercado_Receita!$L$2:$L$886)+SUMIF(Mercado_Receita!$S$2:$S$886,"44713B1ConvencionalResidencialResidencial baixa renda – faixa 03Não se aplicaNão se aplicaIntermediário",Mercado_Receita!$L$2:$L$886)+SUMIF(Mercado_Receita!$S$2:$S$886,"44713B1ConvencionalResidencialResidencial baixa renda – faixa 03Não se aplicaNão se aplicaNão se aplica",Mercado_Receita!$L$2:$L$886)</f>
        <v>119.86199999999999</v>
      </c>
      <c r="Q32" s="13">
        <f>SUMIF(Mercado_Receita!$S$2:$S$886,"44743B1ConvencionalResidencialResidencial baixa renda – faixa 03Não se aplicaNão se aplicaPonta",Mercado_Receita!$L$2:$L$886)+SUMIF(Mercado_Receita!$S$2:$S$886,"44743B1ConvencionalResidencialResidencial baixa renda – faixa 03Não se aplicaNão se aplicaFora ponta",Mercado_Receita!$L$2:$L$886)+SUMIF(Mercado_Receita!$S$2:$S$886,"44743B1ConvencionalResidencialResidencial baixa renda – faixa 03Não se aplicaNão se aplicaIntermediário",Mercado_Receita!$L$2:$L$886)+SUMIF(Mercado_Receita!$S$2:$S$886,"44743B1ConvencionalResidencialResidencial baixa renda – faixa 03Não se aplicaNão se aplicaNão se aplica",Mercado_Receita!$L$2:$L$886)</f>
        <v>138.29599999999999</v>
      </c>
      <c r="R32" s="13">
        <f>SUMIF(Mercado_Receita!$S$2:$S$886,"44774B1ConvencionalResidencialResidencial baixa renda – faixa 03Não se aplicaNão se aplicaPonta",Mercado_Receita!$L$2:$L$886)+SUMIF(Mercado_Receita!$S$2:$S$886,"44774B1ConvencionalResidencialResidencial baixa renda – faixa 03Não se aplicaNão se aplicaFora ponta",Mercado_Receita!$L$2:$L$886)+SUMIF(Mercado_Receita!$S$2:$S$886,"44774B1ConvencionalResidencialResidencial baixa renda – faixa 03Não se aplicaNão se aplicaIntermediário",Mercado_Receita!$L$2:$L$886)+SUMIF(Mercado_Receita!$S$2:$S$886,"44774B1ConvencionalResidencialResidencial baixa renda – faixa 03Não se aplicaNão se aplicaNão se aplica",Mercado_Receita!$L$2:$L$886)</f>
        <v>122.026</v>
      </c>
      <c r="S32" s="13">
        <f>SUMIF(Mercado_Receita!$S$2:$S$886,"44805B1ConvencionalResidencialResidencial baixa renda – faixa 03Não se aplicaNão se aplicaPonta",Mercado_Receita!$L$2:$L$886)+SUMIF(Mercado_Receita!$S$2:$S$886,"44805B1ConvencionalResidencialResidencial baixa renda – faixa 03Não se aplicaNão se aplicaFora ponta",Mercado_Receita!$L$2:$L$886)+SUMIF(Mercado_Receita!$S$2:$S$886,"44805B1ConvencionalResidencialResidencial baixa renda – faixa 03Não se aplicaNão se aplicaIntermediário",Mercado_Receita!$L$2:$L$886)+SUMIF(Mercado_Receita!$S$2:$S$886,"44805B1ConvencionalResidencialResidencial baixa renda – faixa 03Não se aplicaNão se aplicaNão se aplica",Mercado_Receita!$L$2:$L$886)</f>
        <v>166.53799999999998</v>
      </c>
      <c r="T32" s="13">
        <f>SUMIF(Mercado_Receita!$S$2:$S$886,"44835B1ConvencionalResidencialResidencial baixa renda – faixa 03Não se aplicaNão se aplicaPonta",Mercado_Receita!$L$2:$L$886)+SUMIF(Mercado_Receita!$S$2:$S$886,"44835B1ConvencionalResidencialResidencial baixa renda – faixa 03Não se aplicaNão se aplicaFora ponta",Mercado_Receita!$L$2:$L$886)+SUMIF(Mercado_Receita!$S$2:$S$886,"44835B1ConvencionalResidencialResidencial baixa renda – faixa 03Não se aplicaNão se aplicaIntermediário",Mercado_Receita!$L$2:$L$886)+SUMIF(Mercado_Receita!$S$2:$S$886,"44835B1ConvencionalResidencialResidencial baixa renda – faixa 03Não se aplicaNão se aplicaNão se aplica",Mercado_Receita!$L$2:$L$886)</f>
        <v>166.53799999999998</v>
      </c>
      <c r="U32" s="13">
        <f t="shared" si="0"/>
        <v>1590.454</v>
      </c>
      <c r="V32" s="13"/>
      <c r="W32" s="13"/>
    </row>
    <row r="33" spans="1:23" ht="11.25" customHeight="1" x14ac:dyDescent="0.3">
      <c r="A33" s="123"/>
      <c r="B33" s="123"/>
      <c r="C33" s="123"/>
      <c r="D33" s="12" t="s">
        <v>32</v>
      </c>
      <c r="E33" s="12" t="s">
        <v>25</v>
      </c>
      <c r="F33" s="12" t="s">
        <v>25</v>
      </c>
      <c r="G33" s="13" t="s">
        <v>83</v>
      </c>
      <c r="H33" s="13" t="s">
        <v>79</v>
      </c>
      <c r="I33" s="13">
        <f>SUMIF(Mercado_Receita!$S$2:$S$886,"44501B1ConvencionalResidencialResidencial baixa renda – faixa 04Não se aplicaNão se aplicaPonta",Mercado_Receita!$L$2:$L$886)+SUMIF(Mercado_Receita!$S$2:$S$886,"44501B1ConvencionalResidencialResidencial baixa renda – faixa 04Não se aplicaNão se aplicaFora ponta",Mercado_Receita!$L$2:$L$886)+SUMIF(Mercado_Receita!$S$2:$S$886,"44501B1ConvencionalResidencialResidencial baixa renda – faixa 04Não se aplicaNão se aplicaIntermediário",Mercado_Receita!$L$2:$L$886)+SUMIF(Mercado_Receita!$S$2:$S$886,"44501B1ConvencionalResidencialResidencial baixa renda – faixa 04Não se aplicaNão se aplicaNão se aplica",Mercado_Receita!$L$2:$L$886)</f>
        <v>18.216000000000001</v>
      </c>
      <c r="J33" s="13">
        <f>SUMIF(Mercado_Receita!$S$2:$S$886,"44531B1ConvencionalResidencialResidencial baixa renda – faixa 04Não se aplicaNão se aplicaPonta",Mercado_Receita!$L$2:$L$886)+SUMIF(Mercado_Receita!$S$2:$S$886,"44531B1ConvencionalResidencialResidencial baixa renda – faixa 04Não se aplicaNão se aplicaFora ponta",Mercado_Receita!$L$2:$L$886)+SUMIF(Mercado_Receita!$S$2:$S$886,"44531B1ConvencionalResidencialResidencial baixa renda – faixa 04Não se aplicaNão se aplicaIntermediário",Mercado_Receita!$L$2:$L$886)+SUMIF(Mercado_Receita!$S$2:$S$886,"44531B1ConvencionalResidencialResidencial baixa renda – faixa 04Não se aplicaNão se aplicaNão se aplica",Mercado_Receita!$L$2:$L$886)</f>
        <v>17.201000000000001</v>
      </c>
      <c r="K33" s="13">
        <f>SUMIF(Mercado_Receita!$S$2:$S$886,"44562B1ConvencionalResidencialResidencial baixa renda – faixa 04Não se aplicaNão se aplicaPonta",Mercado_Receita!$L$2:$L$886)+SUMIF(Mercado_Receita!$S$2:$S$886,"44562B1ConvencionalResidencialResidencial baixa renda – faixa 04Não se aplicaNão se aplicaFora ponta",Mercado_Receita!$L$2:$L$886)+SUMIF(Mercado_Receita!$S$2:$S$886,"44562B1ConvencionalResidencialResidencial baixa renda – faixa 04Não se aplicaNão se aplicaIntermediário",Mercado_Receita!$L$2:$L$886)+SUMIF(Mercado_Receita!$S$2:$S$886,"44562B1ConvencionalResidencialResidencial baixa renda – faixa 04Não se aplicaNão se aplicaNão se aplica",Mercado_Receita!$L$2:$L$886)</f>
        <v>19.754999999999999</v>
      </c>
      <c r="L33" s="13">
        <f>SUMIF(Mercado_Receita!$S$2:$S$886,"44593B1ConvencionalResidencialResidencial baixa renda – faixa 04Não se aplicaNão se aplicaPonta",Mercado_Receita!$L$2:$L$886)+SUMIF(Mercado_Receita!$S$2:$S$886,"44593B1ConvencionalResidencialResidencial baixa renda – faixa 04Não se aplicaNão se aplicaFora ponta",Mercado_Receita!$L$2:$L$886)+SUMIF(Mercado_Receita!$S$2:$S$886,"44593B1ConvencionalResidencialResidencial baixa renda – faixa 04Não se aplicaNão se aplicaIntermediário",Mercado_Receita!$L$2:$L$886)+SUMIF(Mercado_Receita!$S$2:$S$886,"44593B1ConvencionalResidencialResidencial baixa renda – faixa 04Não se aplicaNão se aplicaNão se aplica",Mercado_Receita!$L$2:$L$886)</f>
        <v>20.62</v>
      </c>
      <c r="M33" s="13">
        <f>SUMIF(Mercado_Receita!$S$2:$S$886,"44621B1ConvencionalResidencialResidencial baixa renda – faixa 04Não se aplicaNão se aplicaPonta",Mercado_Receita!$L$2:$L$886)+SUMIF(Mercado_Receita!$S$2:$S$886,"44621B1ConvencionalResidencialResidencial baixa renda – faixa 04Não se aplicaNão se aplicaFora ponta",Mercado_Receita!$L$2:$L$886)+SUMIF(Mercado_Receita!$S$2:$S$886,"44621B1ConvencionalResidencialResidencial baixa renda – faixa 04Não se aplicaNão se aplicaIntermediário",Mercado_Receita!$L$2:$L$886)+SUMIF(Mercado_Receita!$S$2:$S$886,"44621B1ConvencionalResidencialResidencial baixa renda – faixa 04Não se aplicaNão se aplicaNão se aplica",Mercado_Receita!$L$2:$L$886)</f>
        <v>15.47</v>
      </c>
      <c r="N33" s="13">
        <f>SUMIF(Mercado_Receita!$S$2:$S$886,"44652B1ConvencionalResidencialResidencial baixa renda – faixa 04Não se aplicaNão se aplicaPonta",Mercado_Receita!$L$2:$L$886)+SUMIF(Mercado_Receita!$S$2:$S$886,"44652B1ConvencionalResidencialResidencial baixa renda – faixa 04Não se aplicaNão se aplicaFora ponta",Mercado_Receita!$L$2:$L$886)+SUMIF(Mercado_Receita!$S$2:$S$886,"44652B1ConvencionalResidencialResidencial baixa renda – faixa 04Não se aplicaNão se aplicaIntermediário",Mercado_Receita!$L$2:$L$886)+SUMIF(Mercado_Receita!$S$2:$S$886,"44652B1ConvencionalResidencialResidencial baixa renda – faixa 04Não se aplicaNão se aplicaNão se aplica",Mercado_Receita!$L$2:$L$886)</f>
        <v>38.283999999999999</v>
      </c>
      <c r="O33" s="13">
        <f>SUMIF(Mercado_Receita!$S$2:$S$886,"44682B1ConvencionalResidencialResidencial baixa renda – faixa 04Não se aplicaNão se aplicaPonta",Mercado_Receita!$L$2:$L$886)+SUMIF(Mercado_Receita!$S$2:$S$886,"44682B1ConvencionalResidencialResidencial baixa renda – faixa 04Não se aplicaNão se aplicaFora ponta",Mercado_Receita!$L$2:$L$886)+SUMIF(Mercado_Receita!$S$2:$S$886,"44682B1ConvencionalResidencialResidencial baixa renda – faixa 04Não se aplicaNão se aplicaIntermediário",Mercado_Receita!$L$2:$L$886)+SUMIF(Mercado_Receita!$S$2:$S$886,"44682B1ConvencionalResidencialResidencial baixa renda – faixa 04Não se aplicaNão se aplicaNão se aplica",Mercado_Receita!$L$2:$L$886)</f>
        <v>30.593</v>
      </c>
      <c r="P33" s="13">
        <f>SUMIF(Mercado_Receita!$S$2:$S$886,"44713B1ConvencionalResidencialResidencial baixa renda – faixa 04Não se aplicaNão se aplicaPonta",Mercado_Receita!$L$2:$L$886)+SUMIF(Mercado_Receita!$S$2:$S$886,"44713B1ConvencionalResidencialResidencial baixa renda – faixa 04Não se aplicaNão se aplicaFora ponta",Mercado_Receita!$L$2:$L$886)+SUMIF(Mercado_Receita!$S$2:$S$886,"44713B1ConvencionalResidencialResidencial baixa renda – faixa 04Não se aplicaNão se aplicaIntermediário",Mercado_Receita!$L$2:$L$886)+SUMIF(Mercado_Receita!$S$2:$S$886,"44713B1ConvencionalResidencialResidencial baixa renda – faixa 04Não se aplicaNão se aplicaNão se aplica",Mercado_Receita!$L$2:$L$886)</f>
        <v>15.170999999999999</v>
      </c>
      <c r="Q33" s="13">
        <f>SUMIF(Mercado_Receita!$S$2:$S$886,"44743B1ConvencionalResidencialResidencial baixa renda – faixa 04Não se aplicaNão se aplicaPonta",Mercado_Receita!$L$2:$L$886)+SUMIF(Mercado_Receita!$S$2:$S$886,"44743B1ConvencionalResidencialResidencial baixa renda – faixa 04Não se aplicaNão se aplicaFora ponta",Mercado_Receita!$L$2:$L$886)+SUMIF(Mercado_Receita!$S$2:$S$886,"44743B1ConvencionalResidencialResidencial baixa renda – faixa 04Não se aplicaNão se aplicaIntermediário",Mercado_Receita!$L$2:$L$886)+SUMIF(Mercado_Receita!$S$2:$S$886,"44743B1ConvencionalResidencialResidencial baixa renda – faixa 04Não se aplicaNão se aplicaNão se aplica",Mercado_Receita!$L$2:$L$886)</f>
        <v>20.350999999999999</v>
      </c>
      <c r="R33" s="13">
        <f>SUMIF(Mercado_Receita!$S$2:$S$886,"44774B1ConvencionalResidencialResidencial baixa renda – faixa 04Não se aplicaNão se aplicaPonta",Mercado_Receita!$L$2:$L$886)+SUMIF(Mercado_Receita!$S$2:$S$886,"44774B1ConvencionalResidencialResidencial baixa renda – faixa 04Não se aplicaNão se aplicaFora ponta",Mercado_Receita!$L$2:$L$886)+SUMIF(Mercado_Receita!$S$2:$S$886,"44774B1ConvencionalResidencialResidencial baixa renda – faixa 04Não se aplicaNão se aplicaIntermediário",Mercado_Receita!$L$2:$L$886)+SUMIF(Mercado_Receita!$S$2:$S$886,"44774B1ConvencionalResidencialResidencial baixa renda – faixa 04Não se aplicaNão se aplicaNão se aplica",Mercado_Receita!$L$2:$L$886)</f>
        <v>15.516</v>
      </c>
      <c r="S33" s="13">
        <f>SUMIF(Mercado_Receita!$S$2:$S$886,"44805B1ConvencionalResidencialResidencial baixa renda – faixa 04Não se aplicaNão se aplicaPonta",Mercado_Receita!$L$2:$L$886)+SUMIF(Mercado_Receita!$S$2:$S$886,"44805B1ConvencionalResidencialResidencial baixa renda – faixa 04Não se aplicaNão se aplicaFora ponta",Mercado_Receita!$L$2:$L$886)+SUMIF(Mercado_Receita!$S$2:$S$886,"44805B1ConvencionalResidencialResidencial baixa renda – faixa 04Não se aplicaNão se aplicaIntermediário",Mercado_Receita!$L$2:$L$886)+SUMIF(Mercado_Receita!$S$2:$S$886,"44805B1ConvencionalResidencialResidencial baixa renda – faixa 04Não se aplicaNão se aplicaNão se aplica",Mercado_Receita!$L$2:$L$886)</f>
        <v>36.475000000000001</v>
      </c>
      <c r="T33" s="13">
        <f>SUMIF(Mercado_Receita!$S$2:$S$886,"44835B1ConvencionalResidencialResidencial baixa renda – faixa 04Não se aplicaNão se aplicaPonta",Mercado_Receita!$L$2:$L$886)+SUMIF(Mercado_Receita!$S$2:$S$886,"44835B1ConvencionalResidencialResidencial baixa renda – faixa 04Não se aplicaNão se aplicaFora ponta",Mercado_Receita!$L$2:$L$886)+SUMIF(Mercado_Receita!$S$2:$S$886,"44835B1ConvencionalResidencialResidencial baixa renda – faixa 04Não se aplicaNão se aplicaIntermediário",Mercado_Receita!$L$2:$L$886)+SUMIF(Mercado_Receita!$S$2:$S$886,"44835B1ConvencionalResidencialResidencial baixa renda – faixa 04Não se aplicaNão se aplicaNão se aplica",Mercado_Receita!$L$2:$L$886)</f>
        <v>36.475000000000001</v>
      </c>
      <c r="U33" s="13">
        <f t="shared" si="0"/>
        <v>284.12699999999995</v>
      </c>
      <c r="V33" s="13"/>
      <c r="W33" s="13"/>
    </row>
    <row r="34" spans="1:23" ht="11.25" customHeight="1" x14ac:dyDescent="0.3">
      <c r="A34" s="123"/>
      <c r="B34" s="122" t="s">
        <v>93</v>
      </c>
      <c r="C34" s="122" t="s">
        <v>24</v>
      </c>
      <c r="D34" s="12" t="s">
        <v>24</v>
      </c>
      <c r="E34" s="12" t="s">
        <v>25</v>
      </c>
      <c r="F34" s="12" t="s">
        <v>25</v>
      </c>
      <c r="G34" s="13" t="s">
        <v>83</v>
      </c>
      <c r="H34" s="13" t="s">
        <v>79</v>
      </c>
      <c r="I34" s="13">
        <f>SUMIF(Mercado_Receita!$S$2:$S$886,"44501B1Convencional pré-pagamentoResidencialResidencialNão se aplicaNão se aplicaPonta",Mercado_Receita!$L$2:$L$886)+SUMIF(Mercado_Receita!$S$2:$S$886,"44501B1Convencional pré-pagamentoResidencialResidencialNão se aplicaNão se aplicaFora ponta",Mercado_Receita!$L$2:$L$886)+SUMIF(Mercado_Receita!$S$2:$S$886,"44501B1Convencional pré-pagamentoResidencialResidencialNão se aplicaNão se aplicaIntermediário",Mercado_Receita!$L$2:$L$886)+SUMIF(Mercado_Receita!$S$2:$S$886,"44501B1Convencional pré-pagamentoResidencialResidencialNão se aplicaNão se aplicaNão se aplica",Mercado_Receita!$L$2:$L$886)</f>
        <v>0</v>
      </c>
      <c r="J34" s="13">
        <f>SUMIF(Mercado_Receita!$S$2:$S$886,"44531B1Convencional pré-pagamentoResidencialResidencialNão se aplicaNão se aplicaPonta",Mercado_Receita!$L$2:$L$886)+SUMIF(Mercado_Receita!$S$2:$S$886,"44531B1Convencional pré-pagamentoResidencialResidencialNão se aplicaNão se aplicaFora ponta",Mercado_Receita!$L$2:$L$886)+SUMIF(Mercado_Receita!$S$2:$S$886,"44531B1Convencional pré-pagamentoResidencialResidencialNão se aplicaNão se aplicaIntermediário",Mercado_Receita!$L$2:$L$886)+SUMIF(Mercado_Receita!$S$2:$S$886,"44531B1Convencional pré-pagamentoResidencialResidencialNão se aplicaNão se aplicaNão se aplica",Mercado_Receita!$L$2:$L$886)</f>
        <v>0</v>
      </c>
      <c r="K34" s="13">
        <f>SUMIF(Mercado_Receita!$S$2:$S$886,"44562B1Convencional pré-pagamentoResidencialResidencialNão se aplicaNão se aplicaPonta",Mercado_Receita!$L$2:$L$886)+SUMIF(Mercado_Receita!$S$2:$S$886,"44562B1Convencional pré-pagamentoResidencialResidencialNão se aplicaNão se aplicaFora ponta",Mercado_Receita!$L$2:$L$886)+SUMIF(Mercado_Receita!$S$2:$S$886,"44562B1Convencional pré-pagamentoResidencialResidencialNão se aplicaNão se aplicaIntermediário",Mercado_Receita!$L$2:$L$886)+SUMIF(Mercado_Receita!$S$2:$S$886,"44562B1Convencional pré-pagamentoResidencialResidencialNão se aplicaNão se aplicaNão se aplica",Mercado_Receita!$L$2:$L$886)</f>
        <v>0</v>
      </c>
      <c r="L34" s="13">
        <f>SUMIF(Mercado_Receita!$S$2:$S$886,"44593B1Convencional pré-pagamentoResidencialResidencialNão se aplicaNão se aplicaPonta",Mercado_Receita!$L$2:$L$886)+SUMIF(Mercado_Receita!$S$2:$S$886,"44593B1Convencional pré-pagamentoResidencialResidencialNão se aplicaNão se aplicaFora ponta",Mercado_Receita!$L$2:$L$886)+SUMIF(Mercado_Receita!$S$2:$S$886,"44593B1Convencional pré-pagamentoResidencialResidencialNão se aplicaNão se aplicaIntermediário",Mercado_Receita!$L$2:$L$886)+SUMIF(Mercado_Receita!$S$2:$S$886,"44593B1Convencional pré-pagamentoResidencialResidencialNão se aplicaNão se aplicaNão se aplica",Mercado_Receita!$L$2:$L$886)</f>
        <v>0</v>
      </c>
      <c r="M34" s="13">
        <f>SUMIF(Mercado_Receita!$S$2:$S$886,"44621B1Convencional pré-pagamentoResidencialResidencialNão se aplicaNão se aplicaPonta",Mercado_Receita!$L$2:$L$886)+SUMIF(Mercado_Receita!$S$2:$S$886,"44621B1Convencional pré-pagamentoResidencialResidencialNão se aplicaNão se aplicaFora ponta",Mercado_Receita!$L$2:$L$886)+SUMIF(Mercado_Receita!$S$2:$S$886,"44621B1Convencional pré-pagamentoResidencialResidencialNão se aplicaNão se aplicaIntermediário",Mercado_Receita!$L$2:$L$886)+SUMIF(Mercado_Receita!$S$2:$S$886,"44621B1Convencional pré-pagamentoResidencialResidencialNão se aplicaNão se aplicaNão se aplica",Mercado_Receita!$L$2:$L$886)</f>
        <v>0</v>
      </c>
      <c r="N34" s="13">
        <f>SUMIF(Mercado_Receita!$S$2:$S$886,"44652B1Convencional pré-pagamentoResidencialResidencialNão se aplicaNão se aplicaPonta",Mercado_Receita!$L$2:$L$886)+SUMIF(Mercado_Receita!$S$2:$S$886,"44652B1Convencional pré-pagamentoResidencialResidencialNão se aplicaNão se aplicaFora ponta",Mercado_Receita!$L$2:$L$886)+SUMIF(Mercado_Receita!$S$2:$S$886,"44652B1Convencional pré-pagamentoResidencialResidencialNão se aplicaNão se aplicaIntermediário",Mercado_Receita!$L$2:$L$886)+SUMIF(Mercado_Receita!$S$2:$S$886,"44652B1Convencional pré-pagamentoResidencialResidencialNão se aplicaNão se aplicaNão se aplica",Mercado_Receita!$L$2:$L$886)</f>
        <v>0</v>
      </c>
      <c r="O34" s="13">
        <f>SUMIF(Mercado_Receita!$S$2:$S$886,"44682B1Convencional pré-pagamentoResidencialResidencialNão se aplicaNão se aplicaPonta",Mercado_Receita!$L$2:$L$886)+SUMIF(Mercado_Receita!$S$2:$S$886,"44682B1Convencional pré-pagamentoResidencialResidencialNão se aplicaNão se aplicaFora ponta",Mercado_Receita!$L$2:$L$886)+SUMIF(Mercado_Receita!$S$2:$S$886,"44682B1Convencional pré-pagamentoResidencialResidencialNão se aplicaNão se aplicaIntermediário",Mercado_Receita!$L$2:$L$886)+SUMIF(Mercado_Receita!$S$2:$S$886,"44682B1Convencional pré-pagamentoResidencialResidencialNão se aplicaNão se aplicaNão se aplica",Mercado_Receita!$L$2:$L$886)</f>
        <v>0</v>
      </c>
      <c r="P34" s="13">
        <f>SUMIF(Mercado_Receita!$S$2:$S$886,"44713B1Convencional pré-pagamentoResidencialResidencialNão se aplicaNão se aplicaPonta",Mercado_Receita!$L$2:$L$886)+SUMIF(Mercado_Receita!$S$2:$S$886,"44713B1Convencional pré-pagamentoResidencialResidencialNão se aplicaNão se aplicaFora ponta",Mercado_Receita!$L$2:$L$886)+SUMIF(Mercado_Receita!$S$2:$S$886,"44713B1Convencional pré-pagamentoResidencialResidencialNão se aplicaNão se aplicaIntermediário",Mercado_Receita!$L$2:$L$886)+SUMIF(Mercado_Receita!$S$2:$S$886,"44713B1Convencional pré-pagamentoResidencialResidencialNão se aplicaNão se aplicaNão se aplica",Mercado_Receita!$L$2:$L$886)</f>
        <v>0</v>
      </c>
      <c r="Q34" s="13">
        <f>SUMIF(Mercado_Receita!$S$2:$S$886,"44743B1Convencional pré-pagamentoResidencialResidencialNão se aplicaNão se aplicaPonta",Mercado_Receita!$L$2:$L$886)+SUMIF(Mercado_Receita!$S$2:$S$886,"44743B1Convencional pré-pagamentoResidencialResidencialNão se aplicaNão se aplicaFora ponta",Mercado_Receita!$L$2:$L$886)+SUMIF(Mercado_Receita!$S$2:$S$886,"44743B1Convencional pré-pagamentoResidencialResidencialNão se aplicaNão se aplicaIntermediário",Mercado_Receita!$L$2:$L$886)+SUMIF(Mercado_Receita!$S$2:$S$886,"44743B1Convencional pré-pagamentoResidencialResidencialNão se aplicaNão se aplicaNão se aplica",Mercado_Receita!$L$2:$L$886)</f>
        <v>0</v>
      </c>
      <c r="R34" s="13">
        <f>SUMIF(Mercado_Receita!$S$2:$S$886,"44774B1Convencional pré-pagamentoResidencialResidencialNão se aplicaNão se aplicaPonta",Mercado_Receita!$L$2:$L$886)+SUMIF(Mercado_Receita!$S$2:$S$886,"44774B1Convencional pré-pagamentoResidencialResidencialNão se aplicaNão se aplicaFora ponta",Mercado_Receita!$L$2:$L$886)+SUMIF(Mercado_Receita!$S$2:$S$886,"44774B1Convencional pré-pagamentoResidencialResidencialNão se aplicaNão se aplicaIntermediário",Mercado_Receita!$L$2:$L$886)+SUMIF(Mercado_Receita!$S$2:$S$886,"44774B1Convencional pré-pagamentoResidencialResidencialNão se aplicaNão se aplicaNão se aplica",Mercado_Receita!$L$2:$L$886)</f>
        <v>0</v>
      </c>
      <c r="S34" s="13">
        <f>SUMIF(Mercado_Receita!$S$2:$S$886,"44805B1Convencional pré-pagamentoResidencialResidencialNão se aplicaNão se aplicaPonta",Mercado_Receita!$L$2:$L$886)+SUMIF(Mercado_Receita!$S$2:$S$886,"44805B1Convencional pré-pagamentoResidencialResidencialNão se aplicaNão se aplicaFora ponta",Mercado_Receita!$L$2:$L$886)+SUMIF(Mercado_Receita!$S$2:$S$886,"44805B1Convencional pré-pagamentoResidencialResidencialNão se aplicaNão se aplicaIntermediário",Mercado_Receita!$L$2:$L$886)+SUMIF(Mercado_Receita!$S$2:$S$886,"44805B1Convencional pré-pagamentoResidencialResidencialNão se aplicaNão se aplicaNão se aplica",Mercado_Receita!$L$2:$L$886)</f>
        <v>0</v>
      </c>
      <c r="T34" s="13">
        <f>SUMIF(Mercado_Receita!$S$2:$S$886,"44835B1Convencional pré-pagamentoResidencialResidencialNão se aplicaNão se aplicaPonta",Mercado_Receita!$L$2:$L$886)+SUMIF(Mercado_Receita!$S$2:$S$886,"44835B1Convencional pré-pagamentoResidencialResidencialNão se aplicaNão se aplicaFora ponta",Mercado_Receita!$L$2:$L$886)+SUMIF(Mercado_Receita!$S$2:$S$886,"44835B1Convencional pré-pagamentoResidencialResidencialNão se aplicaNão se aplicaIntermediário",Mercado_Receita!$L$2:$L$886)+SUMIF(Mercado_Receita!$S$2:$S$886,"44835B1Convencional pré-pagamentoResidencialResidencialNão se aplicaNão se aplicaNão se aplica",Mercado_Receita!$L$2:$L$886)</f>
        <v>0</v>
      </c>
      <c r="U34" s="13">
        <f t="shared" ref="U34:U60" si="1">SUM(I34:T34)</f>
        <v>0</v>
      </c>
      <c r="V34" s="13"/>
      <c r="W34" s="13"/>
    </row>
    <row r="35" spans="1:23" ht="11.25" customHeight="1" x14ac:dyDescent="0.3">
      <c r="A35" s="123"/>
      <c r="B35" s="123"/>
      <c r="C35" s="123"/>
      <c r="D35" s="12" t="s">
        <v>29</v>
      </c>
      <c r="E35" s="12" t="s">
        <v>25</v>
      </c>
      <c r="F35" s="12" t="s">
        <v>25</v>
      </c>
      <c r="G35" s="13" t="s">
        <v>83</v>
      </c>
      <c r="H35" s="13" t="s">
        <v>79</v>
      </c>
      <c r="I35" s="13">
        <f>SUMIF(Mercado_Receita!$S$2:$S$886,"44501B1Convencional pré-pagamentoResidencialResidencial baixa renda – faixa 01Não se aplicaNão se aplicaPonta",Mercado_Receita!$L$2:$L$886)+SUMIF(Mercado_Receita!$S$2:$S$886,"44501B1Convencional pré-pagamentoResidencialResidencial baixa renda – faixa 01Não se aplicaNão se aplicaFora ponta",Mercado_Receita!$L$2:$L$886)+SUMIF(Mercado_Receita!$S$2:$S$886,"44501B1Convencional pré-pagamentoResidencialResidencial baixa renda – faixa 01Não se aplicaNão se aplicaIntermediário",Mercado_Receita!$L$2:$L$886)+SUMIF(Mercado_Receita!$S$2:$S$886,"44501B1Convencional pré-pagamentoResidencialResidencial baixa renda – faixa 01Não se aplicaNão se aplicaNão se aplica",Mercado_Receita!$L$2:$L$886)</f>
        <v>0</v>
      </c>
      <c r="J35" s="13">
        <f>SUMIF(Mercado_Receita!$S$2:$S$886,"44531B1Convencional pré-pagamentoResidencialResidencial baixa renda – faixa 01Não se aplicaNão se aplicaPonta",Mercado_Receita!$L$2:$L$886)+SUMIF(Mercado_Receita!$S$2:$S$886,"44531B1Convencional pré-pagamentoResidencialResidencial baixa renda – faixa 01Não se aplicaNão se aplicaFora ponta",Mercado_Receita!$L$2:$L$886)+SUMIF(Mercado_Receita!$S$2:$S$886,"44531B1Convencional pré-pagamentoResidencialResidencial baixa renda – faixa 01Não se aplicaNão se aplicaIntermediário",Mercado_Receita!$L$2:$L$886)+SUMIF(Mercado_Receita!$S$2:$S$886,"44531B1Convencional pré-pagamentoResidencialResidencial baixa renda – faixa 01Não se aplicaNão se aplicaNão se aplica",Mercado_Receita!$L$2:$L$886)</f>
        <v>0</v>
      </c>
      <c r="K35" s="13">
        <f>SUMIF(Mercado_Receita!$S$2:$S$886,"44562B1Convencional pré-pagamentoResidencialResidencial baixa renda – faixa 01Não se aplicaNão se aplicaPonta",Mercado_Receita!$L$2:$L$886)+SUMIF(Mercado_Receita!$S$2:$S$886,"44562B1Convencional pré-pagamentoResidencialResidencial baixa renda – faixa 01Não se aplicaNão se aplicaFora ponta",Mercado_Receita!$L$2:$L$886)+SUMIF(Mercado_Receita!$S$2:$S$886,"44562B1Convencional pré-pagamentoResidencialResidencial baixa renda – faixa 01Não se aplicaNão se aplicaIntermediário",Mercado_Receita!$L$2:$L$886)+SUMIF(Mercado_Receita!$S$2:$S$886,"44562B1Convencional pré-pagamentoResidencialResidencial baixa renda – faixa 01Não se aplicaNão se aplicaNão se aplica",Mercado_Receita!$L$2:$L$886)</f>
        <v>0</v>
      </c>
      <c r="L35" s="13">
        <f>SUMIF(Mercado_Receita!$S$2:$S$886,"44593B1Convencional pré-pagamentoResidencialResidencial baixa renda – faixa 01Não se aplicaNão se aplicaPonta",Mercado_Receita!$L$2:$L$886)+SUMIF(Mercado_Receita!$S$2:$S$886,"44593B1Convencional pré-pagamentoResidencialResidencial baixa renda – faixa 01Não se aplicaNão se aplicaFora ponta",Mercado_Receita!$L$2:$L$886)+SUMIF(Mercado_Receita!$S$2:$S$886,"44593B1Convencional pré-pagamentoResidencialResidencial baixa renda – faixa 01Não se aplicaNão se aplicaIntermediário",Mercado_Receita!$L$2:$L$886)+SUMIF(Mercado_Receita!$S$2:$S$886,"44593B1Convencional pré-pagamentoResidencialResidencial baixa renda – faixa 01Não se aplicaNão se aplicaNão se aplica",Mercado_Receita!$L$2:$L$886)</f>
        <v>0</v>
      </c>
      <c r="M35" s="13">
        <f>SUMIF(Mercado_Receita!$S$2:$S$886,"44621B1Convencional pré-pagamentoResidencialResidencial baixa renda – faixa 01Não se aplicaNão se aplicaPonta",Mercado_Receita!$L$2:$L$886)+SUMIF(Mercado_Receita!$S$2:$S$886,"44621B1Convencional pré-pagamentoResidencialResidencial baixa renda – faixa 01Não se aplicaNão se aplicaFora ponta",Mercado_Receita!$L$2:$L$886)+SUMIF(Mercado_Receita!$S$2:$S$886,"44621B1Convencional pré-pagamentoResidencialResidencial baixa renda – faixa 01Não se aplicaNão se aplicaIntermediário",Mercado_Receita!$L$2:$L$886)+SUMIF(Mercado_Receita!$S$2:$S$886,"44621B1Convencional pré-pagamentoResidencialResidencial baixa renda – faixa 01Não se aplicaNão se aplicaNão se aplica",Mercado_Receita!$L$2:$L$886)</f>
        <v>0</v>
      </c>
      <c r="N35" s="13">
        <f>SUMIF(Mercado_Receita!$S$2:$S$886,"44652B1Convencional pré-pagamentoResidencialResidencial baixa renda – faixa 01Não se aplicaNão se aplicaPonta",Mercado_Receita!$L$2:$L$886)+SUMIF(Mercado_Receita!$S$2:$S$886,"44652B1Convencional pré-pagamentoResidencialResidencial baixa renda – faixa 01Não se aplicaNão se aplicaFora ponta",Mercado_Receita!$L$2:$L$886)+SUMIF(Mercado_Receita!$S$2:$S$886,"44652B1Convencional pré-pagamentoResidencialResidencial baixa renda – faixa 01Não se aplicaNão se aplicaIntermediário",Mercado_Receita!$L$2:$L$886)+SUMIF(Mercado_Receita!$S$2:$S$886,"44652B1Convencional pré-pagamentoResidencialResidencial baixa renda – faixa 01Não se aplicaNão se aplicaNão se aplica",Mercado_Receita!$L$2:$L$886)</f>
        <v>0</v>
      </c>
      <c r="O35" s="13">
        <f>SUMIF(Mercado_Receita!$S$2:$S$886,"44682B1Convencional pré-pagamentoResidencialResidencial baixa renda – faixa 01Não se aplicaNão se aplicaPonta",Mercado_Receita!$L$2:$L$886)+SUMIF(Mercado_Receita!$S$2:$S$886,"44682B1Convencional pré-pagamentoResidencialResidencial baixa renda – faixa 01Não se aplicaNão se aplicaFora ponta",Mercado_Receita!$L$2:$L$886)+SUMIF(Mercado_Receita!$S$2:$S$886,"44682B1Convencional pré-pagamentoResidencialResidencial baixa renda – faixa 01Não se aplicaNão se aplicaIntermediário",Mercado_Receita!$L$2:$L$886)+SUMIF(Mercado_Receita!$S$2:$S$886,"44682B1Convencional pré-pagamentoResidencialResidencial baixa renda – faixa 01Não se aplicaNão se aplicaNão se aplica",Mercado_Receita!$L$2:$L$886)</f>
        <v>0</v>
      </c>
      <c r="P35" s="13">
        <f>SUMIF(Mercado_Receita!$S$2:$S$886,"44713B1Convencional pré-pagamentoResidencialResidencial baixa renda – faixa 01Não se aplicaNão se aplicaPonta",Mercado_Receita!$L$2:$L$886)+SUMIF(Mercado_Receita!$S$2:$S$886,"44713B1Convencional pré-pagamentoResidencialResidencial baixa renda – faixa 01Não se aplicaNão se aplicaFora ponta",Mercado_Receita!$L$2:$L$886)+SUMIF(Mercado_Receita!$S$2:$S$886,"44713B1Convencional pré-pagamentoResidencialResidencial baixa renda – faixa 01Não se aplicaNão se aplicaIntermediário",Mercado_Receita!$L$2:$L$886)+SUMIF(Mercado_Receita!$S$2:$S$886,"44713B1Convencional pré-pagamentoResidencialResidencial baixa renda – faixa 01Não se aplicaNão se aplicaNão se aplica",Mercado_Receita!$L$2:$L$886)</f>
        <v>0</v>
      </c>
      <c r="Q35" s="13">
        <f>SUMIF(Mercado_Receita!$S$2:$S$886,"44743B1Convencional pré-pagamentoResidencialResidencial baixa renda – faixa 01Não se aplicaNão se aplicaPonta",Mercado_Receita!$L$2:$L$886)+SUMIF(Mercado_Receita!$S$2:$S$886,"44743B1Convencional pré-pagamentoResidencialResidencial baixa renda – faixa 01Não se aplicaNão se aplicaFora ponta",Mercado_Receita!$L$2:$L$886)+SUMIF(Mercado_Receita!$S$2:$S$886,"44743B1Convencional pré-pagamentoResidencialResidencial baixa renda – faixa 01Não se aplicaNão se aplicaIntermediário",Mercado_Receita!$L$2:$L$886)+SUMIF(Mercado_Receita!$S$2:$S$886,"44743B1Convencional pré-pagamentoResidencialResidencial baixa renda – faixa 01Não se aplicaNão se aplicaNão se aplica",Mercado_Receita!$L$2:$L$886)</f>
        <v>0</v>
      </c>
      <c r="R35" s="13">
        <f>SUMIF(Mercado_Receita!$S$2:$S$886,"44774B1Convencional pré-pagamentoResidencialResidencial baixa renda – faixa 01Não se aplicaNão se aplicaPonta",Mercado_Receita!$L$2:$L$886)+SUMIF(Mercado_Receita!$S$2:$S$886,"44774B1Convencional pré-pagamentoResidencialResidencial baixa renda – faixa 01Não se aplicaNão se aplicaFora ponta",Mercado_Receita!$L$2:$L$886)+SUMIF(Mercado_Receita!$S$2:$S$886,"44774B1Convencional pré-pagamentoResidencialResidencial baixa renda – faixa 01Não se aplicaNão se aplicaIntermediário",Mercado_Receita!$L$2:$L$886)+SUMIF(Mercado_Receita!$S$2:$S$886,"44774B1Convencional pré-pagamentoResidencialResidencial baixa renda – faixa 01Não se aplicaNão se aplicaNão se aplica",Mercado_Receita!$L$2:$L$886)</f>
        <v>0</v>
      </c>
      <c r="S35" s="13">
        <f>SUMIF(Mercado_Receita!$S$2:$S$886,"44805B1Convencional pré-pagamentoResidencialResidencial baixa renda – faixa 01Não se aplicaNão se aplicaPonta",Mercado_Receita!$L$2:$L$886)+SUMIF(Mercado_Receita!$S$2:$S$886,"44805B1Convencional pré-pagamentoResidencialResidencial baixa renda – faixa 01Não se aplicaNão se aplicaFora ponta",Mercado_Receita!$L$2:$L$886)+SUMIF(Mercado_Receita!$S$2:$S$886,"44805B1Convencional pré-pagamentoResidencialResidencial baixa renda – faixa 01Não se aplicaNão se aplicaIntermediário",Mercado_Receita!$L$2:$L$886)+SUMIF(Mercado_Receita!$S$2:$S$886,"44805B1Convencional pré-pagamentoResidencialResidencial baixa renda – faixa 01Não se aplicaNão se aplicaNão se aplica",Mercado_Receita!$L$2:$L$886)</f>
        <v>0</v>
      </c>
      <c r="T35" s="13">
        <f>SUMIF(Mercado_Receita!$S$2:$S$886,"44835B1Convencional pré-pagamentoResidencialResidencial baixa renda – faixa 01Não se aplicaNão se aplicaPonta",Mercado_Receita!$L$2:$L$886)+SUMIF(Mercado_Receita!$S$2:$S$886,"44835B1Convencional pré-pagamentoResidencialResidencial baixa renda – faixa 01Não se aplicaNão se aplicaFora ponta",Mercado_Receita!$L$2:$L$886)+SUMIF(Mercado_Receita!$S$2:$S$886,"44835B1Convencional pré-pagamentoResidencialResidencial baixa renda – faixa 01Não se aplicaNão se aplicaIntermediário",Mercado_Receita!$L$2:$L$886)+SUMIF(Mercado_Receita!$S$2:$S$886,"44835B1Convencional pré-pagamentoResidencialResidencial baixa renda – faixa 01Não se aplicaNão se aplicaNão se aplica",Mercado_Receita!$L$2:$L$886)</f>
        <v>0</v>
      </c>
      <c r="U35" s="13">
        <f t="shared" si="1"/>
        <v>0</v>
      </c>
      <c r="V35" s="13"/>
      <c r="W35" s="13"/>
    </row>
    <row r="36" spans="1:23" ht="11.25" customHeight="1" x14ac:dyDescent="0.3">
      <c r="A36" s="123"/>
      <c r="B36" s="123"/>
      <c r="C36" s="123"/>
      <c r="D36" s="12" t="s">
        <v>30</v>
      </c>
      <c r="E36" s="12" t="s">
        <v>25</v>
      </c>
      <c r="F36" s="12" t="s">
        <v>25</v>
      </c>
      <c r="G36" s="13" t="s">
        <v>83</v>
      </c>
      <c r="H36" s="13" t="s">
        <v>79</v>
      </c>
      <c r="I36" s="13">
        <f>SUMIF(Mercado_Receita!$S$2:$S$886,"44501B1Convencional pré-pagamentoResidencialResidencial baixa renda – faixa 02Não se aplicaNão se aplicaPonta",Mercado_Receita!$L$2:$L$886)+SUMIF(Mercado_Receita!$S$2:$S$886,"44501B1Convencional pré-pagamentoResidencialResidencial baixa renda – faixa 02Não se aplicaNão se aplicaFora ponta",Mercado_Receita!$L$2:$L$886)+SUMIF(Mercado_Receita!$S$2:$S$886,"44501B1Convencional pré-pagamentoResidencialResidencial baixa renda – faixa 02Não se aplicaNão se aplicaIntermediário",Mercado_Receita!$L$2:$L$886)+SUMIF(Mercado_Receita!$S$2:$S$886,"44501B1Convencional pré-pagamentoResidencialResidencial baixa renda – faixa 02Não se aplicaNão se aplicaNão se aplica",Mercado_Receita!$L$2:$L$886)</f>
        <v>0</v>
      </c>
      <c r="J36" s="13">
        <f>SUMIF(Mercado_Receita!$S$2:$S$886,"44531B1Convencional pré-pagamentoResidencialResidencial baixa renda – faixa 02Não se aplicaNão se aplicaPonta",Mercado_Receita!$L$2:$L$886)+SUMIF(Mercado_Receita!$S$2:$S$886,"44531B1Convencional pré-pagamentoResidencialResidencial baixa renda – faixa 02Não se aplicaNão se aplicaFora ponta",Mercado_Receita!$L$2:$L$886)+SUMIF(Mercado_Receita!$S$2:$S$886,"44531B1Convencional pré-pagamentoResidencialResidencial baixa renda – faixa 02Não se aplicaNão se aplicaIntermediário",Mercado_Receita!$L$2:$L$886)+SUMIF(Mercado_Receita!$S$2:$S$886,"44531B1Convencional pré-pagamentoResidencialResidencial baixa renda – faixa 02Não se aplicaNão se aplicaNão se aplica",Mercado_Receita!$L$2:$L$886)</f>
        <v>0</v>
      </c>
      <c r="K36" s="13">
        <f>SUMIF(Mercado_Receita!$S$2:$S$886,"44562B1Convencional pré-pagamentoResidencialResidencial baixa renda – faixa 02Não se aplicaNão se aplicaPonta",Mercado_Receita!$L$2:$L$886)+SUMIF(Mercado_Receita!$S$2:$S$886,"44562B1Convencional pré-pagamentoResidencialResidencial baixa renda – faixa 02Não se aplicaNão se aplicaFora ponta",Mercado_Receita!$L$2:$L$886)+SUMIF(Mercado_Receita!$S$2:$S$886,"44562B1Convencional pré-pagamentoResidencialResidencial baixa renda – faixa 02Não se aplicaNão se aplicaIntermediário",Mercado_Receita!$L$2:$L$886)+SUMIF(Mercado_Receita!$S$2:$S$886,"44562B1Convencional pré-pagamentoResidencialResidencial baixa renda – faixa 02Não se aplicaNão se aplicaNão se aplica",Mercado_Receita!$L$2:$L$886)</f>
        <v>0</v>
      </c>
      <c r="L36" s="13">
        <f>SUMIF(Mercado_Receita!$S$2:$S$886,"44593B1Convencional pré-pagamentoResidencialResidencial baixa renda – faixa 02Não se aplicaNão se aplicaPonta",Mercado_Receita!$L$2:$L$886)+SUMIF(Mercado_Receita!$S$2:$S$886,"44593B1Convencional pré-pagamentoResidencialResidencial baixa renda – faixa 02Não se aplicaNão se aplicaFora ponta",Mercado_Receita!$L$2:$L$886)+SUMIF(Mercado_Receita!$S$2:$S$886,"44593B1Convencional pré-pagamentoResidencialResidencial baixa renda – faixa 02Não se aplicaNão se aplicaIntermediário",Mercado_Receita!$L$2:$L$886)+SUMIF(Mercado_Receita!$S$2:$S$886,"44593B1Convencional pré-pagamentoResidencialResidencial baixa renda – faixa 02Não se aplicaNão se aplicaNão se aplica",Mercado_Receita!$L$2:$L$886)</f>
        <v>0</v>
      </c>
      <c r="M36" s="13">
        <f>SUMIF(Mercado_Receita!$S$2:$S$886,"44621B1Convencional pré-pagamentoResidencialResidencial baixa renda – faixa 02Não se aplicaNão se aplicaPonta",Mercado_Receita!$L$2:$L$886)+SUMIF(Mercado_Receita!$S$2:$S$886,"44621B1Convencional pré-pagamentoResidencialResidencial baixa renda – faixa 02Não se aplicaNão se aplicaFora ponta",Mercado_Receita!$L$2:$L$886)+SUMIF(Mercado_Receita!$S$2:$S$886,"44621B1Convencional pré-pagamentoResidencialResidencial baixa renda – faixa 02Não se aplicaNão se aplicaIntermediário",Mercado_Receita!$L$2:$L$886)+SUMIF(Mercado_Receita!$S$2:$S$886,"44621B1Convencional pré-pagamentoResidencialResidencial baixa renda – faixa 02Não se aplicaNão se aplicaNão se aplica",Mercado_Receita!$L$2:$L$886)</f>
        <v>0</v>
      </c>
      <c r="N36" s="13">
        <f>SUMIF(Mercado_Receita!$S$2:$S$886,"44652B1Convencional pré-pagamentoResidencialResidencial baixa renda – faixa 02Não se aplicaNão se aplicaPonta",Mercado_Receita!$L$2:$L$886)+SUMIF(Mercado_Receita!$S$2:$S$886,"44652B1Convencional pré-pagamentoResidencialResidencial baixa renda – faixa 02Não se aplicaNão se aplicaFora ponta",Mercado_Receita!$L$2:$L$886)+SUMIF(Mercado_Receita!$S$2:$S$886,"44652B1Convencional pré-pagamentoResidencialResidencial baixa renda – faixa 02Não se aplicaNão se aplicaIntermediário",Mercado_Receita!$L$2:$L$886)+SUMIF(Mercado_Receita!$S$2:$S$886,"44652B1Convencional pré-pagamentoResidencialResidencial baixa renda – faixa 02Não se aplicaNão se aplicaNão se aplica",Mercado_Receita!$L$2:$L$886)</f>
        <v>0</v>
      </c>
      <c r="O36" s="13">
        <f>SUMIF(Mercado_Receita!$S$2:$S$886,"44682B1Convencional pré-pagamentoResidencialResidencial baixa renda – faixa 02Não se aplicaNão se aplicaPonta",Mercado_Receita!$L$2:$L$886)+SUMIF(Mercado_Receita!$S$2:$S$886,"44682B1Convencional pré-pagamentoResidencialResidencial baixa renda – faixa 02Não se aplicaNão se aplicaFora ponta",Mercado_Receita!$L$2:$L$886)+SUMIF(Mercado_Receita!$S$2:$S$886,"44682B1Convencional pré-pagamentoResidencialResidencial baixa renda – faixa 02Não se aplicaNão se aplicaIntermediário",Mercado_Receita!$L$2:$L$886)+SUMIF(Mercado_Receita!$S$2:$S$886,"44682B1Convencional pré-pagamentoResidencialResidencial baixa renda – faixa 02Não se aplicaNão se aplicaNão se aplica",Mercado_Receita!$L$2:$L$886)</f>
        <v>0</v>
      </c>
      <c r="P36" s="13">
        <f>SUMIF(Mercado_Receita!$S$2:$S$886,"44713B1Convencional pré-pagamentoResidencialResidencial baixa renda – faixa 02Não se aplicaNão se aplicaPonta",Mercado_Receita!$L$2:$L$886)+SUMIF(Mercado_Receita!$S$2:$S$886,"44713B1Convencional pré-pagamentoResidencialResidencial baixa renda – faixa 02Não se aplicaNão se aplicaFora ponta",Mercado_Receita!$L$2:$L$886)+SUMIF(Mercado_Receita!$S$2:$S$886,"44713B1Convencional pré-pagamentoResidencialResidencial baixa renda – faixa 02Não se aplicaNão se aplicaIntermediário",Mercado_Receita!$L$2:$L$886)+SUMIF(Mercado_Receita!$S$2:$S$886,"44713B1Convencional pré-pagamentoResidencialResidencial baixa renda – faixa 02Não se aplicaNão se aplicaNão se aplica",Mercado_Receita!$L$2:$L$886)</f>
        <v>0</v>
      </c>
      <c r="Q36" s="13">
        <f>SUMIF(Mercado_Receita!$S$2:$S$886,"44743B1Convencional pré-pagamentoResidencialResidencial baixa renda – faixa 02Não se aplicaNão se aplicaPonta",Mercado_Receita!$L$2:$L$886)+SUMIF(Mercado_Receita!$S$2:$S$886,"44743B1Convencional pré-pagamentoResidencialResidencial baixa renda – faixa 02Não se aplicaNão se aplicaFora ponta",Mercado_Receita!$L$2:$L$886)+SUMIF(Mercado_Receita!$S$2:$S$886,"44743B1Convencional pré-pagamentoResidencialResidencial baixa renda – faixa 02Não se aplicaNão se aplicaIntermediário",Mercado_Receita!$L$2:$L$886)+SUMIF(Mercado_Receita!$S$2:$S$886,"44743B1Convencional pré-pagamentoResidencialResidencial baixa renda – faixa 02Não se aplicaNão se aplicaNão se aplica",Mercado_Receita!$L$2:$L$886)</f>
        <v>0</v>
      </c>
      <c r="R36" s="13">
        <f>SUMIF(Mercado_Receita!$S$2:$S$886,"44774B1Convencional pré-pagamentoResidencialResidencial baixa renda – faixa 02Não se aplicaNão se aplicaPonta",Mercado_Receita!$L$2:$L$886)+SUMIF(Mercado_Receita!$S$2:$S$886,"44774B1Convencional pré-pagamentoResidencialResidencial baixa renda – faixa 02Não se aplicaNão se aplicaFora ponta",Mercado_Receita!$L$2:$L$886)+SUMIF(Mercado_Receita!$S$2:$S$886,"44774B1Convencional pré-pagamentoResidencialResidencial baixa renda – faixa 02Não se aplicaNão se aplicaIntermediário",Mercado_Receita!$L$2:$L$886)+SUMIF(Mercado_Receita!$S$2:$S$886,"44774B1Convencional pré-pagamentoResidencialResidencial baixa renda – faixa 02Não se aplicaNão se aplicaNão se aplica",Mercado_Receita!$L$2:$L$886)</f>
        <v>0</v>
      </c>
      <c r="S36" s="13">
        <f>SUMIF(Mercado_Receita!$S$2:$S$886,"44805B1Convencional pré-pagamentoResidencialResidencial baixa renda – faixa 02Não se aplicaNão se aplicaPonta",Mercado_Receita!$L$2:$L$886)+SUMIF(Mercado_Receita!$S$2:$S$886,"44805B1Convencional pré-pagamentoResidencialResidencial baixa renda – faixa 02Não se aplicaNão se aplicaFora ponta",Mercado_Receita!$L$2:$L$886)+SUMIF(Mercado_Receita!$S$2:$S$886,"44805B1Convencional pré-pagamentoResidencialResidencial baixa renda – faixa 02Não se aplicaNão se aplicaIntermediário",Mercado_Receita!$L$2:$L$886)+SUMIF(Mercado_Receita!$S$2:$S$886,"44805B1Convencional pré-pagamentoResidencialResidencial baixa renda – faixa 02Não se aplicaNão se aplicaNão se aplica",Mercado_Receita!$L$2:$L$886)</f>
        <v>0</v>
      </c>
      <c r="T36" s="13">
        <f>SUMIF(Mercado_Receita!$S$2:$S$886,"44835B1Convencional pré-pagamentoResidencialResidencial baixa renda – faixa 02Não se aplicaNão se aplicaPonta",Mercado_Receita!$L$2:$L$886)+SUMIF(Mercado_Receita!$S$2:$S$886,"44835B1Convencional pré-pagamentoResidencialResidencial baixa renda – faixa 02Não se aplicaNão se aplicaFora ponta",Mercado_Receita!$L$2:$L$886)+SUMIF(Mercado_Receita!$S$2:$S$886,"44835B1Convencional pré-pagamentoResidencialResidencial baixa renda – faixa 02Não se aplicaNão se aplicaIntermediário",Mercado_Receita!$L$2:$L$886)+SUMIF(Mercado_Receita!$S$2:$S$886,"44835B1Convencional pré-pagamentoResidencialResidencial baixa renda – faixa 02Não se aplicaNão se aplicaNão se aplica",Mercado_Receita!$L$2:$L$886)</f>
        <v>0</v>
      </c>
      <c r="U36" s="13">
        <f t="shared" si="1"/>
        <v>0</v>
      </c>
      <c r="V36" s="13"/>
      <c r="W36" s="13"/>
    </row>
    <row r="37" spans="1:23" ht="11.25" customHeight="1" x14ac:dyDescent="0.3">
      <c r="A37" s="123"/>
      <c r="B37" s="123"/>
      <c r="C37" s="123"/>
      <c r="D37" s="12" t="s">
        <v>31</v>
      </c>
      <c r="E37" s="12" t="s">
        <v>25</v>
      </c>
      <c r="F37" s="12" t="s">
        <v>25</v>
      </c>
      <c r="G37" s="13" t="s">
        <v>83</v>
      </c>
      <c r="H37" s="13" t="s">
        <v>79</v>
      </c>
      <c r="I37" s="13">
        <f>SUMIF(Mercado_Receita!$S$2:$S$886,"44501B1Convencional pré-pagamentoResidencialResidencial baixa renda – faixa 03Não se aplicaNão se aplicaPonta",Mercado_Receita!$L$2:$L$886)+SUMIF(Mercado_Receita!$S$2:$S$886,"44501B1Convencional pré-pagamentoResidencialResidencial baixa renda – faixa 03Não se aplicaNão se aplicaFora ponta",Mercado_Receita!$L$2:$L$886)+SUMIF(Mercado_Receita!$S$2:$S$886,"44501B1Convencional pré-pagamentoResidencialResidencial baixa renda – faixa 03Não se aplicaNão se aplicaIntermediário",Mercado_Receita!$L$2:$L$886)+SUMIF(Mercado_Receita!$S$2:$S$886,"44501B1Convencional pré-pagamentoResidencialResidencial baixa renda – faixa 03Não se aplicaNão se aplicaNão se aplica",Mercado_Receita!$L$2:$L$886)</f>
        <v>0</v>
      </c>
      <c r="J37" s="13">
        <f>SUMIF(Mercado_Receita!$S$2:$S$886,"44531B1Convencional pré-pagamentoResidencialResidencial baixa renda – faixa 03Não se aplicaNão se aplicaPonta",Mercado_Receita!$L$2:$L$886)+SUMIF(Mercado_Receita!$S$2:$S$886,"44531B1Convencional pré-pagamentoResidencialResidencial baixa renda – faixa 03Não se aplicaNão se aplicaFora ponta",Mercado_Receita!$L$2:$L$886)+SUMIF(Mercado_Receita!$S$2:$S$886,"44531B1Convencional pré-pagamentoResidencialResidencial baixa renda – faixa 03Não se aplicaNão se aplicaIntermediário",Mercado_Receita!$L$2:$L$886)+SUMIF(Mercado_Receita!$S$2:$S$886,"44531B1Convencional pré-pagamentoResidencialResidencial baixa renda – faixa 03Não se aplicaNão se aplicaNão se aplica",Mercado_Receita!$L$2:$L$886)</f>
        <v>0</v>
      </c>
      <c r="K37" s="13">
        <f>SUMIF(Mercado_Receita!$S$2:$S$886,"44562B1Convencional pré-pagamentoResidencialResidencial baixa renda – faixa 03Não se aplicaNão se aplicaPonta",Mercado_Receita!$L$2:$L$886)+SUMIF(Mercado_Receita!$S$2:$S$886,"44562B1Convencional pré-pagamentoResidencialResidencial baixa renda – faixa 03Não se aplicaNão se aplicaFora ponta",Mercado_Receita!$L$2:$L$886)+SUMIF(Mercado_Receita!$S$2:$S$886,"44562B1Convencional pré-pagamentoResidencialResidencial baixa renda – faixa 03Não se aplicaNão se aplicaIntermediário",Mercado_Receita!$L$2:$L$886)+SUMIF(Mercado_Receita!$S$2:$S$886,"44562B1Convencional pré-pagamentoResidencialResidencial baixa renda – faixa 03Não se aplicaNão se aplicaNão se aplica",Mercado_Receita!$L$2:$L$886)</f>
        <v>0</v>
      </c>
      <c r="L37" s="13">
        <f>SUMIF(Mercado_Receita!$S$2:$S$886,"44593B1Convencional pré-pagamentoResidencialResidencial baixa renda – faixa 03Não se aplicaNão se aplicaPonta",Mercado_Receita!$L$2:$L$886)+SUMIF(Mercado_Receita!$S$2:$S$886,"44593B1Convencional pré-pagamentoResidencialResidencial baixa renda – faixa 03Não se aplicaNão se aplicaFora ponta",Mercado_Receita!$L$2:$L$886)+SUMIF(Mercado_Receita!$S$2:$S$886,"44593B1Convencional pré-pagamentoResidencialResidencial baixa renda – faixa 03Não se aplicaNão se aplicaIntermediário",Mercado_Receita!$L$2:$L$886)+SUMIF(Mercado_Receita!$S$2:$S$886,"44593B1Convencional pré-pagamentoResidencialResidencial baixa renda – faixa 03Não se aplicaNão se aplicaNão se aplica",Mercado_Receita!$L$2:$L$886)</f>
        <v>0</v>
      </c>
      <c r="M37" s="13">
        <f>SUMIF(Mercado_Receita!$S$2:$S$886,"44621B1Convencional pré-pagamentoResidencialResidencial baixa renda – faixa 03Não se aplicaNão se aplicaPonta",Mercado_Receita!$L$2:$L$886)+SUMIF(Mercado_Receita!$S$2:$S$886,"44621B1Convencional pré-pagamentoResidencialResidencial baixa renda – faixa 03Não se aplicaNão se aplicaFora ponta",Mercado_Receita!$L$2:$L$886)+SUMIF(Mercado_Receita!$S$2:$S$886,"44621B1Convencional pré-pagamentoResidencialResidencial baixa renda – faixa 03Não se aplicaNão se aplicaIntermediário",Mercado_Receita!$L$2:$L$886)+SUMIF(Mercado_Receita!$S$2:$S$886,"44621B1Convencional pré-pagamentoResidencialResidencial baixa renda – faixa 03Não se aplicaNão se aplicaNão se aplica",Mercado_Receita!$L$2:$L$886)</f>
        <v>0</v>
      </c>
      <c r="N37" s="13">
        <f>SUMIF(Mercado_Receita!$S$2:$S$886,"44652B1Convencional pré-pagamentoResidencialResidencial baixa renda – faixa 03Não se aplicaNão se aplicaPonta",Mercado_Receita!$L$2:$L$886)+SUMIF(Mercado_Receita!$S$2:$S$886,"44652B1Convencional pré-pagamentoResidencialResidencial baixa renda – faixa 03Não se aplicaNão se aplicaFora ponta",Mercado_Receita!$L$2:$L$886)+SUMIF(Mercado_Receita!$S$2:$S$886,"44652B1Convencional pré-pagamentoResidencialResidencial baixa renda – faixa 03Não se aplicaNão se aplicaIntermediário",Mercado_Receita!$L$2:$L$886)+SUMIF(Mercado_Receita!$S$2:$S$886,"44652B1Convencional pré-pagamentoResidencialResidencial baixa renda – faixa 03Não se aplicaNão se aplicaNão se aplica",Mercado_Receita!$L$2:$L$886)</f>
        <v>0</v>
      </c>
      <c r="O37" s="13">
        <f>SUMIF(Mercado_Receita!$S$2:$S$886,"44682B1Convencional pré-pagamentoResidencialResidencial baixa renda – faixa 03Não se aplicaNão se aplicaPonta",Mercado_Receita!$L$2:$L$886)+SUMIF(Mercado_Receita!$S$2:$S$886,"44682B1Convencional pré-pagamentoResidencialResidencial baixa renda – faixa 03Não se aplicaNão se aplicaFora ponta",Mercado_Receita!$L$2:$L$886)+SUMIF(Mercado_Receita!$S$2:$S$886,"44682B1Convencional pré-pagamentoResidencialResidencial baixa renda – faixa 03Não se aplicaNão se aplicaIntermediário",Mercado_Receita!$L$2:$L$886)+SUMIF(Mercado_Receita!$S$2:$S$886,"44682B1Convencional pré-pagamentoResidencialResidencial baixa renda – faixa 03Não se aplicaNão se aplicaNão se aplica",Mercado_Receita!$L$2:$L$886)</f>
        <v>0</v>
      </c>
      <c r="P37" s="13">
        <f>SUMIF(Mercado_Receita!$S$2:$S$886,"44713B1Convencional pré-pagamentoResidencialResidencial baixa renda – faixa 03Não se aplicaNão se aplicaPonta",Mercado_Receita!$L$2:$L$886)+SUMIF(Mercado_Receita!$S$2:$S$886,"44713B1Convencional pré-pagamentoResidencialResidencial baixa renda – faixa 03Não se aplicaNão se aplicaFora ponta",Mercado_Receita!$L$2:$L$886)+SUMIF(Mercado_Receita!$S$2:$S$886,"44713B1Convencional pré-pagamentoResidencialResidencial baixa renda – faixa 03Não se aplicaNão se aplicaIntermediário",Mercado_Receita!$L$2:$L$886)+SUMIF(Mercado_Receita!$S$2:$S$886,"44713B1Convencional pré-pagamentoResidencialResidencial baixa renda – faixa 03Não se aplicaNão se aplicaNão se aplica",Mercado_Receita!$L$2:$L$886)</f>
        <v>0</v>
      </c>
      <c r="Q37" s="13">
        <f>SUMIF(Mercado_Receita!$S$2:$S$886,"44743B1Convencional pré-pagamentoResidencialResidencial baixa renda – faixa 03Não se aplicaNão se aplicaPonta",Mercado_Receita!$L$2:$L$886)+SUMIF(Mercado_Receita!$S$2:$S$886,"44743B1Convencional pré-pagamentoResidencialResidencial baixa renda – faixa 03Não se aplicaNão se aplicaFora ponta",Mercado_Receita!$L$2:$L$886)+SUMIF(Mercado_Receita!$S$2:$S$886,"44743B1Convencional pré-pagamentoResidencialResidencial baixa renda – faixa 03Não se aplicaNão se aplicaIntermediário",Mercado_Receita!$L$2:$L$886)+SUMIF(Mercado_Receita!$S$2:$S$886,"44743B1Convencional pré-pagamentoResidencialResidencial baixa renda – faixa 03Não se aplicaNão se aplicaNão se aplica",Mercado_Receita!$L$2:$L$886)</f>
        <v>0</v>
      </c>
      <c r="R37" s="13">
        <f>SUMIF(Mercado_Receita!$S$2:$S$886,"44774B1Convencional pré-pagamentoResidencialResidencial baixa renda – faixa 03Não se aplicaNão se aplicaPonta",Mercado_Receita!$L$2:$L$886)+SUMIF(Mercado_Receita!$S$2:$S$886,"44774B1Convencional pré-pagamentoResidencialResidencial baixa renda – faixa 03Não se aplicaNão se aplicaFora ponta",Mercado_Receita!$L$2:$L$886)+SUMIF(Mercado_Receita!$S$2:$S$886,"44774B1Convencional pré-pagamentoResidencialResidencial baixa renda – faixa 03Não se aplicaNão se aplicaIntermediário",Mercado_Receita!$L$2:$L$886)+SUMIF(Mercado_Receita!$S$2:$S$886,"44774B1Convencional pré-pagamentoResidencialResidencial baixa renda – faixa 03Não se aplicaNão se aplicaNão se aplica",Mercado_Receita!$L$2:$L$886)</f>
        <v>0</v>
      </c>
      <c r="S37" s="13">
        <f>SUMIF(Mercado_Receita!$S$2:$S$886,"44805B1Convencional pré-pagamentoResidencialResidencial baixa renda – faixa 03Não se aplicaNão se aplicaPonta",Mercado_Receita!$L$2:$L$886)+SUMIF(Mercado_Receita!$S$2:$S$886,"44805B1Convencional pré-pagamentoResidencialResidencial baixa renda – faixa 03Não se aplicaNão se aplicaFora ponta",Mercado_Receita!$L$2:$L$886)+SUMIF(Mercado_Receita!$S$2:$S$886,"44805B1Convencional pré-pagamentoResidencialResidencial baixa renda – faixa 03Não se aplicaNão se aplicaIntermediário",Mercado_Receita!$L$2:$L$886)+SUMIF(Mercado_Receita!$S$2:$S$886,"44805B1Convencional pré-pagamentoResidencialResidencial baixa renda – faixa 03Não se aplicaNão se aplicaNão se aplica",Mercado_Receita!$L$2:$L$886)</f>
        <v>0</v>
      </c>
      <c r="T37" s="13">
        <f>SUMIF(Mercado_Receita!$S$2:$S$886,"44835B1Convencional pré-pagamentoResidencialResidencial baixa renda – faixa 03Não se aplicaNão se aplicaPonta",Mercado_Receita!$L$2:$L$886)+SUMIF(Mercado_Receita!$S$2:$S$886,"44835B1Convencional pré-pagamentoResidencialResidencial baixa renda – faixa 03Não se aplicaNão se aplicaFora ponta",Mercado_Receita!$L$2:$L$886)+SUMIF(Mercado_Receita!$S$2:$S$886,"44835B1Convencional pré-pagamentoResidencialResidencial baixa renda – faixa 03Não se aplicaNão se aplicaIntermediário",Mercado_Receita!$L$2:$L$886)+SUMIF(Mercado_Receita!$S$2:$S$886,"44835B1Convencional pré-pagamentoResidencialResidencial baixa renda – faixa 03Não se aplicaNão se aplicaNão se aplica",Mercado_Receita!$L$2:$L$886)</f>
        <v>0</v>
      </c>
      <c r="U37" s="13">
        <f t="shared" si="1"/>
        <v>0</v>
      </c>
      <c r="V37" s="13"/>
      <c r="W37" s="13"/>
    </row>
    <row r="38" spans="1:23" ht="11.25" customHeight="1" x14ac:dyDescent="0.3">
      <c r="A38" s="123"/>
      <c r="B38" s="123"/>
      <c r="C38" s="123"/>
      <c r="D38" s="12" t="s">
        <v>32</v>
      </c>
      <c r="E38" s="12" t="s">
        <v>25</v>
      </c>
      <c r="F38" s="12" t="s">
        <v>25</v>
      </c>
      <c r="G38" s="13" t="s">
        <v>83</v>
      </c>
      <c r="H38" s="13" t="s">
        <v>79</v>
      </c>
      <c r="I38" s="13">
        <f>SUMIF(Mercado_Receita!$S$2:$S$886,"44501B1Convencional pré-pagamentoResidencialResidencial baixa renda – faixa 04Não se aplicaNão se aplicaPonta",Mercado_Receita!$L$2:$L$886)+SUMIF(Mercado_Receita!$S$2:$S$886,"44501B1Convencional pré-pagamentoResidencialResidencial baixa renda – faixa 04Não se aplicaNão se aplicaFora ponta",Mercado_Receita!$L$2:$L$886)+SUMIF(Mercado_Receita!$S$2:$S$886,"44501B1Convencional pré-pagamentoResidencialResidencial baixa renda – faixa 04Não se aplicaNão se aplicaIntermediário",Mercado_Receita!$L$2:$L$886)+SUMIF(Mercado_Receita!$S$2:$S$886,"44501B1Convencional pré-pagamentoResidencialResidencial baixa renda – faixa 04Não se aplicaNão se aplicaNão se aplica",Mercado_Receita!$L$2:$L$886)</f>
        <v>0</v>
      </c>
      <c r="J38" s="13">
        <f>SUMIF(Mercado_Receita!$S$2:$S$886,"44531B1Convencional pré-pagamentoResidencialResidencial baixa renda – faixa 04Não se aplicaNão se aplicaPonta",Mercado_Receita!$L$2:$L$886)+SUMIF(Mercado_Receita!$S$2:$S$886,"44531B1Convencional pré-pagamentoResidencialResidencial baixa renda – faixa 04Não se aplicaNão se aplicaFora ponta",Mercado_Receita!$L$2:$L$886)+SUMIF(Mercado_Receita!$S$2:$S$886,"44531B1Convencional pré-pagamentoResidencialResidencial baixa renda – faixa 04Não se aplicaNão se aplicaIntermediário",Mercado_Receita!$L$2:$L$886)+SUMIF(Mercado_Receita!$S$2:$S$886,"44531B1Convencional pré-pagamentoResidencialResidencial baixa renda – faixa 04Não se aplicaNão se aplicaNão se aplica",Mercado_Receita!$L$2:$L$886)</f>
        <v>0</v>
      </c>
      <c r="K38" s="13">
        <f>SUMIF(Mercado_Receita!$S$2:$S$886,"44562B1Convencional pré-pagamentoResidencialResidencial baixa renda – faixa 04Não se aplicaNão se aplicaPonta",Mercado_Receita!$L$2:$L$886)+SUMIF(Mercado_Receita!$S$2:$S$886,"44562B1Convencional pré-pagamentoResidencialResidencial baixa renda – faixa 04Não se aplicaNão se aplicaFora ponta",Mercado_Receita!$L$2:$L$886)+SUMIF(Mercado_Receita!$S$2:$S$886,"44562B1Convencional pré-pagamentoResidencialResidencial baixa renda – faixa 04Não se aplicaNão se aplicaIntermediário",Mercado_Receita!$L$2:$L$886)+SUMIF(Mercado_Receita!$S$2:$S$886,"44562B1Convencional pré-pagamentoResidencialResidencial baixa renda – faixa 04Não se aplicaNão se aplicaNão se aplica",Mercado_Receita!$L$2:$L$886)</f>
        <v>0</v>
      </c>
      <c r="L38" s="13">
        <f>SUMIF(Mercado_Receita!$S$2:$S$886,"44593B1Convencional pré-pagamentoResidencialResidencial baixa renda – faixa 04Não se aplicaNão se aplicaPonta",Mercado_Receita!$L$2:$L$886)+SUMIF(Mercado_Receita!$S$2:$S$886,"44593B1Convencional pré-pagamentoResidencialResidencial baixa renda – faixa 04Não se aplicaNão se aplicaFora ponta",Mercado_Receita!$L$2:$L$886)+SUMIF(Mercado_Receita!$S$2:$S$886,"44593B1Convencional pré-pagamentoResidencialResidencial baixa renda – faixa 04Não se aplicaNão se aplicaIntermediário",Mercado_Receita!$L$2:$L$886)+SUMIF(Mercado_Receita!$S$2:$S$886,"44593B1Convencional pré-pagamentoResidencialResidencial baixa renda – faixa 04Não se aplicaNão se aplicaNão se aplica",Mercado_Receita!$L$2:$L$886)</f>
        <v>0</v>
      </c>
      <c r="M38" s="13">
        <f>SUMIF(Mercado_Receita!$S$2:$S$886,"44621B1Convencional pré-pagamentoResidencialResidencial baixa renda – faixa 04Não se aplicaNão se aplicaPonta",Mercado_Receita!$L$2:$L$886)+SUMIF(Mercado_Receita!$S$2:$S$886,"44621B1Convencional pré-pagamentoResidencialResidencial baixa renda – faixa 04Não se aplicaNão se aplicaFora ponta",Mercado_Receita!$L$2:$L$886)+SUMIF(Mercado_Receita!$S$2:$S$886,"44621B1Convencional pré-pagamentoResidencialResidencial baixa renda – faixa 04Não se aplicaNão se aplicaIntermediário",Mercado_Receita!$L$2:$L$886)+SUMIF(Mercado_Receita!$S$2:$S$886,"44621B1Convencional pré-pagamentoResidencialResidencial baixa renda – faixa 04Não se aplicaNão se aplicaNão se aplica",Mercado_Receita!$L$2:$L$886)</f>
        <v>0</v>
      </c>
      <c r="N38" s="13">
        <f>SUMIF(Mercado_Receita!$S$2:$S$886,"44652B1Convencional pré-pagamentoResidencialResidencial baixa renda – faixa 04Não se aplicaNão se aplicaPonta",Mercado_Receita!$L$2:$L$886)+SUMIF(Mercado_Receita!$S$2:$S$886,"44652B1Convencional pré-pagamentoResidencialResidencial baixa renda – faixa 04Não se aplicaNão se aplicaFora ponta",Mercado_Receita!$L$2:$L$886)+SUMIF(Mercado_Receita!$S$2:$S$886,"44652B1Convencional pré-pagamentoResidencialResidencial baixa renda – faixa 04Não se aplicaNão se aplicaIntermediário",Mercado_Receita!$L$2:$L$886)+SUMIF(Mercado_Receita!$S$2:$S$886,"44652B1Convencional pré-pagamentoResidencialResidencial baixa renda – faixa 04Não se aplicaNão se aplicaNão se aplica",Mercado_Receita!$L$2:$L$886)</f>
        <v>0</v>
      </c>
      <c r="O38" s="13">
        <f>SUMIF(Mercado_Receita!$S$2:$S$886,"44682B1Convencional pré-pagamentoResidencialResidencial baixa renda – faixa 04Não se aplicaNão se aplicaPonta",Mercado_Receita!$L$2:$L$886)+SUMIF(Mercado_Receita!$S$2:$S$886,"44682B1Convencional pré-pagamentoResidencialResidencial baixa renda – faixa 04Não se aplicaNão se aplicaFora ponta",Mercado_Receita!$L$2:$L$886)+SUMIF(Mercado_Receita!$S$2:$S$886,"44682B1Convencional pré-pagamentoResidencialResidencial baixa renda – faixa 04Não se aplicaNão se aplicaIntermediário",Mercado_Receita!$L$2:$L$886)+SUMIF(Mercado_Receita!$S$2:$S$886,"44682B1Convencional pré-pagamentoResidencialResidencial baixa renda – faixa 04Não se aplicaNão se aplicaNão se aplica",Mercado_Receita!$L$2:$L$886)</f>
        <v>0</v>
      </c>
      <c r="P38" s="13">
        <f>SUMIF(Mercado_Receita!$S$2:$S$886,"44713B1Convencional pré-pagamentoResidencialResidencial baixa renda – faixa 04Não se aplicaNão se aplicaPonta",Mercado_Receita!$L$2:$L$886)+SUMIF(Mercado_Receita!$S$2:$S$886,"44713B1Convencional pré-pagamentoResidencialResidencial baixa renda – faixa 04Não se aplicaNão se aplicaFora ponta",Mercado_Receita!$L$2:$L$886)+SUMIF(Mercado_Receita!$S$2:$S$886,"44713B1Convencional pré-pagamentoResidencialResidencial baixa renda – faixa 04Não se aplicaNão se aplicaIntermediário",Mercado_Receita!$L$2:$L$886)+SUMIF(Mercado_Receita!$S$2:$S$886,"44713B1Convencional pré-pagamentoResidencialResidencial baixa renda – faixa 04Não se aplicaNão se aplicaNão se aplica",Mercado_Receita!$L$2:$L$886)</f>
        <v>0</v>
      </c>
      <c r="Q38" s="13">
        <f>SUMIF(Mercado_Receita!$S$2:$S$886,"44743B1Convencional pré-pagamentoResidencialResidencial baixa renda – faixa 04Não se aplicaNão se aplicaPonta",Mercado_Receita!$L$2:$L$886)+SUMIF(Mercado_Receita!$S$2:$S$886,"44743B1Convencional pré-pagamentoResidencialResidencial baixa renda – faixa 04Não se aplicaNão se aplicaFora ponta",Mercado_Receita!$L$2:$L$886)+SUMIF(Mercado_Receita!$S$2:$S$886,"44743B1Convencional pré-pagamentoResidencialResidencial baixa renda – faixa 04Não se aplicaNão se aplicaIntermediário",Mercado_Receita!$L$2:$L$886)+SUMIF(Mercado_Receita!$S$2:$S$886,"44743B1Convencional pré-pagamentoResidencialResidencial baixa renda – faixa 04Não se aplicaNão se aplicaNão se aplica",Mercado_Receita!$L$2:$L$886)</f>
        <v>0</v>
      </c>
      <c r="R38" s="13">
        <f>SUMIF(Mercado_Receita!$S$2:$S$886,"44774B1Convencional pré-pagamentoResidencialResidencial baixa renda – faixa 04Não se aplicaNão se aplicaPonta",Mercado_Receita!$L$2:$L$886)+SUMIF(Mercado_Receita!$S$2:$S$886,"44774B1Convencional pré-pagamentoResidencialResidencial baixa renda – faixa 04Não se aplicaNão se aplicaFora ponta",Mercado_Receita!$L$2:$L$886)+SUMIF(Mercado_Receita!$S$2:$S$886,"44774B1Convencional pré-pagamentoResidencialResidencial baixa renda – faixa 04Não se aplicaNão se aplicaIntermediário",Mercado_Receita!$L$2:$L$886)+SUMIF(Mercado_Receita!$S$2:$S$886,"44774B1Convencional pré-pagamentoResidencialResidencial baixa renda – faixa 04Não se aplicaNão se aplicaNão se aplica",Mercado_Receita!$L$2:$L$886)</f>
        <v>0</v>
      </c>
      <c r="S38" s="13">
        <f>SUMIF(Mercado_Receita!$S$2:$S$886,"44805B1Convencional pré-pagamentoResidencialResidencial baixa renda – faixa 04Não se aplicaNão se aplicaPonta",Mercado_Receita!$L$2:$L$886)+SUMIF(Mercado_Receita!$S$2:$S$886,"44805B1Convencional pré-pagamentoResidencialResidencial baixa renda – faixa 04Não se aplicaNão se aplicaFora ponta",Mercado_Receita!$L$2:$L$886)+SUMIF(Mercado_Receita!$S$2:$S$886,"44805B1Convencional pré-pagamentoResidencialResidencial baixa renda – faixa 04Não se aplicaNão se aplicaIntermediário",Mercado_Receita!$L$2:$L$886)+SUMIF(Mercado_Receita!$S$2:$S$886,"44805B1Convencional pré-pagamentoResidencialResidencial baixa renda – faixa 04Não se aplicaNão se aplicaNão se aplica",Mercado_Receita!$L$2:$L$886)</f>
        <v>0</v>
      </c>
      <c r="T38" s="13">
        <f>SUMIF(Mercado_Receita!$S$2:$S$886,"44835B1Convencional pré-pagamentoResidencialResidencial baixa renda – faixa 04Não se aplicaNão se aplicaPonta",Mercado_Receita!$L$2:$L$886)+SUMIF(Mercado_Receita!$S$2:$S$886,"44835B1Convencional pré-pagamentoResidencialResidencial baixa renda – faixa 04Não se aplicaNão se aplicaFora ponta",Mercado_Receita!$L$2:$L$886)+SUMIF(Mercado_Receita!$S$2:$S$886,"44835B1Convencional pré-pagamentoResidencialResidencial baixa renda – faixa 04Não se aplicaNão se aplicaIntermediário",Mercado_Receita!$L$2:$L$886)+SUMIF(Mercado_Receita!$S$2:$S$886,"44835B1Convencional pré-pagamentoResidencialResidencial baixa renda – faixa 04Não se aplicaNão se aplicaNão se aplica",Mercado_Receita!$L$2:$L$886)</f>
        <v>0</v>
      </c>
      <c r="U38" s="13">
        <f t="shared" si="1"/>
        <v>0</v>
      </c>
      <c r="V38" s="13"/>
      <c r="W38" s="13"/>
    </row>
    <row r="39" spans="1:23" ht="11.25" customHeight="1" x14ac:dyDescent="0.3">
      <c r="A39" s="122" t="s">
        <v>43</v>
      </c>
      <c r="B39" s="122" t="s">
        <v>33</v>
      </c>
      <c r="C39" s="122" t="s">
        <v>44</v>
      </c>
      <c r="D39" s="122" t="s">
        <v>25</v>
      </c>
      <c r="E39" s="122" t="s">
        <v>25</v>
      </c>
      <c r="F39" s="122" t="s">
        <v>25</v>
      </c>
      <c r="G39" s="13" t="s">
        <v>80</v>
      </c>
      <c r="H39" s="13" t="s">
        <v>79</v>
      </c>
      <c r="I39" s="13">
        <f>SUMIF(Mercado_Receita!$S$2:$S$886,"44501B2BrancaRuralNão se aplicaNão se aplicaNão se aplicaPonta",Mercado_Receita!$L$2:$L$886)</f>
        <v>0</v>
      </c>
      <c r="J39" s="13">
        <f>SUMIF(Mercado_Receita!$S$2:$S$886,"44531B2BrancaRuralNão se aplicaNão se aplicaNão se aplicaPonta",Mercado_Receita!$L$2:$L$886)</f>
        <v>0</v>
      </c>
      <c r="K39" s="13">
        <f>SUMIF(Mercado_Receita!$S$2:$S$886,"44562B2BrancaRuralNão se aplicaNão se aplicaNão se aplicaPonta",Mercado_Receita!$L$2:$L$886)</f>
        <v>0</v>
      </c>
      <c r="L39" s="13">
        <f>SUMIF(Mercado_Receita!$S$2:$S$886,"44593B2BrancaRuralNão se aplicaNão se aplicaNão se aplicaPonta",Mercado_Receita!$L$2:$L$886)</f>
        <v>0</v>
      </c>
      <c r="M39" s="13">
        <f>SUMIF(Mercado_Receita!$S$2:$S$886,"44621B2BrancaRuralNão se aplicaNão se aplicaNão se aplicaPonta",Mercado_Receita!$L$2:$L$886)</f>
        <v>0</v>
      </c>
      <c r="N39" s="13">
        <f>SUMIF(Mercado_Receita!$S$2:$S$886,"44652B2BrancaRuralNão se aplicaNão se aplicaNão se aplicaPonta",Mercado_Receita!$L$2:$L$886)</f>
        <v>0</v>
      </c>
      <c r="O39" s="13">
        <f>SUMIF(Mercado_Receita!$S$2:$S$886,"44682B2BrancaRuralNão se aplicaNão se aplicaNão se aplicaPonta",Mercado_Receita!$L$2:$L$886)</f>
        <v>0</v>
      </c>
      <c r="P39" s="13">
        <f>SUMIF(Mercado_Receita!$S$2:$S$886,"44713B2BrancaRuralNão se aplicaNão se aplicaNão se aplicaPonta",Mercado_Receita!$L$2:$L$886)</f>
        <v>0</v>
      </c>
      <c r="Q39" s="13">
        <f>SUMIF(Mercado_Receita!$S$2:$S$886,"44743B2BrancaRuralNão se aplicaNão se aplicaNão se aplicaPonta",Mercado_Receita!$L$2:$L$886)</f>
        <v>0</v>
      </c>
      <c r="R39" s="13">
        <f>SUMIF(Mercado_Receita!$S$2:$S$886,"44774B2BrancaRuralNão se aplicaNão se aplicaNão se aplicaPonta",Mercado_Receita!$L$2:$L$886)</f>
        <v>0</v>
      </c>
      <c r="S39" s="13">
        <f>SUMIF(Mercado_Receita!$S$2:$S$886,"44805B2BrancaRuralNão se aplicaNão se aplicaNão se aplicaPonta",Mercado_Receita!$L$2:$L$886)</f>
        <v>0</v>
      </c>
      <c r="T39" s="13">
        <f>SUMIF(Mercado_Receita!$S$2:$S$886,"44835B2BrancaRuralNão se aplicaNão se aplicaNão se aplicaPonta",Mercado_Receita!$L$2:$L$886)</f>
        <v>0</v>
      </c>
      <c r="U39" s="13">
        <f t="shared" si="1"/>
        <v>0</v>
      </c>
      <c r="V39" s="13"/>
      <c r="W39" s="13"/>
    </row>
    <row r="40" spans="1:23" ht="11.25" customHeight="1" x14ac:dyDescent="0.3">
      <c r="A40" s="123"/>
      <c r="B40" s="123"/>
      <c r="C40" s="123"/>
      <c r="D40" s="123"/>
      <c r="E40" s="123"/>
      <c r="F40" s="123"/>
      <c r="G40" s="13" t="s">
        <v>91</v>
      </c>
      <c r="H40" s="13" t="s">
        <v>79</v>
      </c>
      <c r="I40" s="13">
        <f>SUMIF(Mercado_Receita!$S$2:$S$886,"44501B2BrancaRuralNão se aplicaNão se aplicaNão se aplicaIntermediário",Mercado_Receita!$L$2:$L$886)</f>
        <v>0</v>
      </c>
      <c r="J40" s="13">
        <f>SUMIF(Mercado_Receita!$S$2:$S$886,"44531B2BrancaRuralNão se aplicaNão se aplicaNão se aplicaIntermediário",Mercado_Receita!$L$2:$L$886)</f>
        <v>0</v>
      </c>
      <c r="K40" s="13">
        <f>SUMIF(Mercado_Receita!$S$2:$S$886,"44562B2BrancaRuralNão se aplicaNão se aplicaNão se aplicaIntermediário",Mercado_Receita!$L$2:$L$886)</f>
        <v>0</v>
      </c>
      <c r="L40" s="13">
        <f>SUMIF(Mercado_Receita!$S$2:$S$886,"44593B2BrancaRuralNão se aplicaNão se aplicaNão se aplicaIntermediário",Mercado_Receita!$L$2:$L$886)</f>
        <v>0</v>
      </c>
      <c r="M40" s="13">
        <f>SUMIF(Mercado_Receita!$S$2:$S$886,"44621B2BrancaRuralNão se aplicaNão se aplicaNão se aplicaIntermediário",Mercado_Receita!$L$2:$L$886)</f>
        <v>0</v>
      </c>
      <c r="N40" s="13">
        <f>SUMIF(Mercado_Receita!$S$2:$S$886,"44652B2BrancaRuralNão se aplicaNão se aplicaNão se aplicaIntermediário",Mercado_Receita!$L$2:$L$886)</f>
        <v>0</v>
      </c>
      <c r="O40" s="13">
        <f>SUMIF(Mercado_Receita!$S$2:$S$886,"44682B2BrancaRuralNão se aplicaNão se aplicaNão se aplicaIntermediário",Mercado_Receita!$L$2:$L$886)</f>
        <v>0</v>
      </c>
      <c r="P40" s="13">
        <f>SUMIF(Mercado_Receita!$S$2:$S$886,"44713B2BrancaRuralNão se aplicaNão se aplicaNão se aplicaIntermediário",Mercado_Receita!$L$2:$L$886)</f>
        <v>0</v>
      </c>
      <c r="Q40" s="13">
        <f>SUMIF(Mercado_Receita!$S$2:$S$886,"44743B2BrancaRuralNão se aplicaNão se aplicaNão se aplicaIntermediário",Mercado_Receita!$L$2:$L$886)</f>
        <v>0</v>
      </c>
      <c r="R40" s="13">
        <f>SUMIF(Mercado_Receita!$S$2:$S$886,"44774B2BrancaRuralNão se aplicaNão se aplicaNão se aplicaIntermediário",Mercado_Receita!$L$2:$L$886)</f>
        <v>0</v>
      </c>
      <c r="S40" s="13">
        <f>SUMIF(Mercado_Receita!$S$2:$S$886,"44805B2BrancaRuralNão se aplicaNão se aplicaNão se aplicaIntermediário",Mercado_Receita!$L$2:$L$886)</f>
        <v>0</v>
      </c>
      <c r="T40" s="13">
        <f>SUMIF(Mercado_Receita!$S$2:$S$886,"44835B2BrancaRuralNão se aplicaNão se aplicaNão se aplicaIntermediário",Mercado_Receita!$L$2:$L$886)</f>
        <v>0</v>
      </c>
      <c r="U40" s="13">
        <f t="shared" si="1"/>
        <v>0</v>
      </c>
      <c r="V40" s="13"/>
      <c r="W40" s="13"/>
    </row>
    <row r="41" spans="1:23" ht="11.25" customHeight="1" x14ac:dyDescent="0.3">
      <c r="A41" s="123"/>
      <c r="B41" s="123"/>
      <c r="C41" s="123"/>
      <c r="D41" s="123"/>
      <c r="E41" s="123"/>
      <c r="F41" s="123"/>
      <c r="G41" s="13" t="s">
        <v>81</v>
      </c>
      <c r="H41" s="13" t="s">
        <v>79</v>
      </c>
      <c r="I41" s="13">
        <f>SUMIF(Mercado_Receita!$S$2:$S$886,"44501B2BrancaRuralNão se aplicaNão se aplicaNão se aplicaFora ponta",Mercado_Receita!$L$2:$L$886)</f>
        <v>0</v>
      </c>
      <c r="J41" s="13">
        <f>SUMIF(Mercado_Receita!$S$2:$S$886,"44531B2BrancaRuralNão se aplicaNão se aplicaNão se aplicaFora ponta",Mercado_Receita!$L$2:$L$886)</f>
        <v>0</v>
      </c>
      <c r="K41" s="13">
        <f>SUMIF(Mercado_Receita!$S$2:$S$886,"44562B2BrancaRuralNão se aplicaNão se aplicaNão se aplicaFora ponta",Mercado_Receita!$L$2:$L$886)</f>
        <v>0</v>
      </c>
      <c r="L41" s="13">
        <f>SUMIF(Mercado_Receita!$S$2:$S$886,"44593B2BrancaRuralNão se aplicaNão se aplicaNão se aplicaFora ponta",Mercado_Receita!$L$2:$L$886)</f>
        <v>0</v>
      </c>
      <c r="M41" s="13">
        <f>SUMIF(Mercado_Receita!$S$2:$S$886,"44621B2BrancaRuralNão se aplicaNão se aplicaNão se aplicaFora ponta",Mercado_Receita!$L$2:$L$886)</f>
        <v>0</v>
      </c>
      <c r="N41" s="13">
        <f>SUMIF(Mercado_Receita!$S$2:$S$886,"44652B2BrancaRuralNão se aplicaNão se aplicaNão se aplicaFora ponta",Mercado_Receita!$L$2:$L$886)</f>
        <v>0</v>
      </c>
      <c r="O41" s="13">
        <f>SUMIF(Mercado_Receita!$S$2:$S$886,"44682B2BrancaRuralNão se aplicaNão se aplicaNão se aplicaFora ponta",Mercado_Receita!$L$2:$L$886)</f>
        <v>0</v>
      </c>
      <c r="P41" s="13">
        <f>SUMIF(Mercado_Receita!$S$2:$S$886,"44713B2BrancaRuralNão se aplicaNão se aplicaNão se aplicaFora ponta",Mercado_Receita!$L$2:$L$886)</f>
        <v>0</v>
      </c>
      <c r="Q41" s="13">
        <f>SUMIF(Mercado_Receita!$S$2:$S$886,"44743B2BrancaRuralNão se aplicaNão se aplicaNão se aplicaFora ponta",Mercado_Receita!$L$2:$L$886)</f>
        <v>0</v>
      </c>
      <c r="R41" s="13">
        <f>SUMIF(Mercado_Receita!$S$2:$S$886,"44774B2BrancaRuralNão se aplicaNão se aplicaNão se aplicaFora ponta",Mercado_Receita!$L$2:$L$886)</f>
        <v>0</v>
      </c>
      <c r="S41" s="13">
        <f>SUMIF(Mercado_Receita!$S$2:$S$886,"44805B2BrancaRuralNão se aplicaNão se aplicaNão se aplicaFora ponta",Mercado_Receita!$L$2:$L$886)</f>
        <v>0</v>
      </c>
      <c r="T41" s="13">
        <f>SUMIF(Mercado_Receita!$S$2:$S$886,"44835B2BrancaRuralNão se aplicaNão se aplicaNão se aplicaFora ponta",Mercado_Receita!$L$2:$L$886)</f>
        <v>0</v>
      </c>
      <c r="U41" s="13">
        <f t="shared" si="1"/>
        <v>0</v>
      </c>
      <c r="V41" s="13"/>
      <c r="W41" s="13"/>
    </row>
    <row r="42" spans="1:23" ht="11.25" customHeight="1" x14ac:dyDescent="0.3">
      <c r="A42" s="123"/>
      <c r="B42" s="12" t="s">
        <v>23</v>
      </c>
      <c r="C42" s="12" t="s">
        <v>44</v>
      </c>
      <c r="D42" s="12" t="s">
        <v>25</v>
      </c>
      <c r="E42" s="12" t="s">
        <v>25</v>
      </c>
      <c r="F42" s="12" t="s">
        <v>25</v>
      </c>
      <c r="G42" s="13" t="s">
        <v>83</v>
      </c>
      <c r="H42" s="13" t="s">
        <v>79</v>
      </c>
      <c r="I42" s="13">
        <f>SUMIF(Mercado_Receita!$S$2:$S$886,"44501B2ConvencionalRuralNão se aplicaNão se aplicaNão se aplicaPonta",Mercado_Receita!$L$2:$L$886)+SUMIF(Mercado_Receita!$S$2:$S$886,"44501B2ConvencionalRuralNão se aplicaNão se aplicaNão se aplicaFora ponta",Mercado_Receita!$L$2:$L$886)+SUMIF(Mercado_Receita!$S$2:$S$886,"44501B2ConvencionalRuralNão se aplicaNão se aplicaNão se aplicaIntermediário",Mercado_Receita!$L$2:$L$886)+SUMIF(Mercado_Receita!$S$2:$S$886,"44501B2ConvencionalRuralNão se aplicaNão se aplicaNão se aplicaNão se aplica",Mercado_Receita!$L$2:$L$886)</f>
        <v>1459.4560000000001</v>
      </c>
      <c r="J42" s="13">
        <f>SUMIF(Mercado_Receita!$S$2:$S$886,"44531B2ConvencionalRuralNão se aplicaNão se aplicaNão se aplicaPonta",Mercado_Receita!$L$2:$L$886)+SUMIF(Mercado_Receita!$S$2:$S$886,"44531B2ConvencionalRuralNão se aplicaNão se aplicaNão se aplicaFora ponta",Mercado_Receita!$L$2:$L$886)+SUMIF(Mercado_Receita!$S$2:$S$886,"44531B2ConvencionalRuralNão se aplicaNão se aplicaNão se aplicaIntermediário",Mercado_Receita!$L$2:$L$886)+SUMIF(Mercado_Receita!$S$2:$S$886,"44531B2ConvencionalRuralNão se aplicaNão se aplicaNão se aplicaNão se aplica",Mercado_Receita!$L$2:$L$886)</f>
        <v>1326.5069999999998</v>
      </c>
      <c r="K42" s="13">
        <f>SUMIF(Mercado_Receita!$S$2:$S$886,"44562B2ConvencionalRuralNão se aplicaNão se aplicaNão se aplicaPonta",Mercado_Receita!$L$2:$L$886)+SUMIF(Mercado_Receita!$S$2:$S$886,"44562B2ConvencionalRuralNão se aplicaNão se aplicaNão se aplicaFora ponta",Mercado_Receita!$L$2:$L$886)+SUMIF(Mercado_Receita!$S$2:$S$886,"44562B2ConvencionalRuralNão se aplicaNão se aplicaNão se aplicaIntermediário",Mercado_Receita!$L$2:$L$886)+SUMIF(Mercado_Receita!$S$2:$S$886,"44562B2ConvencionalRuralNão se aplicaNão se aplicaNão se aplicaNão se aplica",Mercado_Receita!$L$2:$L$886)</f>
        <v>1219.4020000000003</v>
      </c>
      <c r="L42" s="13">
        <f>SUMIF(Mercado_Receita!$S$2:$S$886,"44593B2ConvencionalRuralNão se aplicaNão se aplicaNão se aplicaPonta",Mercado_Receita!$L$2:$L$886)+SUMIF(Mercado_Receita!$S$2:$S$886,"44593B2ConvencionalRuralNão se aplicaNão se aplicaNão se aplicaFora ponta",Mercado_Receita!$L$2:$L$886)+SUMIF(Mercado_Receita!$S$2:$S$886,"44593B2ConvencionalRuralNão se aplicaNão se aplicaNão se aplicaIntermediário",Mercado_Receita!$L$2:$L$886)+SUMIF(Mercado_Receita!$S$2:$S$886,"44593B2ConvencionalRuralNão se aplicaNão se aplicaNão se aplicaNão se aplica",Mercado_Receita!$L$2:$L$886)</f>
        <v>1282.1589999999999</v>
      </c>
      <c r="M42" s="13">
        <f>SUMIF(Mercado_Receita!$S$2:$S$886,"44621B2ConvencionalRuralNão se aplicaNão se aplicaNão se aplicaPonta",Mercado_Receita!$L$2:$L$886)+SUMIF(Mercado_Receita!$S$2:$S$886,"44621B2ConvencionalRuralNão se aplicaNão se aplicaNão se aplicaFora ponta",Mercado_Receita!$L$2:$L$886)+SUMIF(Mercado_Receita!$S$2:$S$886,"44621B2ConvencionalRuralNão se aplicaNão se aplicaNão se aplicaIntermediário",Mercado_Receita!$L$2:$L$886)+SUMIF(Mercado_Receita!$S$2:$S$886,"44621B2ConvencionalRuralNão se aplicaNão se aplicaNão se aplicaNão se aplica",Mercado_Receita!$L$2:$L$886)</f>
        <v>1182.1589999999999</v>
      </c>
      <c r="N42" s="13">
        <f>SUMIF(Mercado_Receita!$S$2:$S$886,"44652B2ConvencionalRuralNão se aplicaNão se aplicaNão se aplicaPonta",Mercado_Receita!$L$2:$L$886)+SUMIF(Mercado_Receita!$S$2:$S$886,"44652B2ConvencionalRuralNão se aplicaNão se aplicaNão se aplicaFora ponta",Mercado_Receita!$L$2:$L$886)+SUMIF(Mercado_Receita!$S$2:$S$886,"44652B2ConvencionalRuralNão se aplicaNão se aplicaNão se aplicaIntermediário",Mercado_Receita!$L$2:$L$886)+SUMIF(Mercado_Receita!$S$2:$S$886,"44652B2ConvencionalRuralNão se aplicaNão se aplicaNão se aplicaNão se aplica",Mercado_Receita!$L$2:$L$886)</f>
        <v>1405.52</v>
      </c>
      <c r="O42" s="13">
        <f>SUMIF(Mercado_Receita!$S$2:$S$886,"44682B2ConvencionalRuralNão se aplicaNão se aplicaNão se aplicaPonta",Mercado_Receita!$L$2:$L$886)+SUMIF(Mercado_Receita!$S$2:$S$886,"44682B2ConvencionalRuralNão se aplicaNão se aplicaNão se aplicaFora ponta",Mercado_Receita!$L$2:$L$886)+SUMIF(Mercado_Receita!$S$2:$S$886,"44682B2ConvencionalRuralNão se aplicaNão se aplicaNão se aplicaIntermediário",Mercado_Receita!$L$2:$L$886)+SUMIF(Mercado_Receita!$S$2:$S$886,"44682B2ConvencionalRuralNão se aplicaNão se aplicaNão se aplicaNão se aplica",Mercado_Receita!$L$2:$L$886)</f>
        <v>1545.5359999999998</v>
      </c>
      <c r="P42" s="13">
        <f>SUMIF(Mercado_Receita!$S$2:$S$886,"44713B2ConvencionalRuralNão se aplicaNão se aplicaNão se aplicaPonta",Mercado_Receita!$L$2:$L$886)+SUMIF(Mercado_Receita!$S$2:$S$886,"44713B2ConvencionalRuralNão se aplicaNão se aplicaNão se aplicaFora ponta",Mercado_Receita!$L$2:$L$886)+SUMIF(Mercado_Receita!$S$2:$S$886,"44713B2ConvencionalRuralNão se aplicaNão se aplicaNão se aplicaIntermediário",Mercado_Receita!$L$2:$L$886)+SUMIF(Mercado_Receita!$S$2:$S$886,"44713B2ConvencionalRuralNão se aplicaNão se aplicaNão se aplicaNão se aplica",Mercado_Receita!$L$2:$L$886)</f>
        <v>1423.2280000000001</v>
      </c>
      <c r="Q42" s="13">
        <f>SUMIF(Mercado_Receita!$S$2:$S$886,"44743B2ConvencionalRuralNão se aplicaNão se aplicaNão se aplicaPonta",Mercado_Receita!$L$2:$L$886)+SUMIF(Mercado_Receita!$S$2:$S$886,"44743B2ConvencionalRuralNão se aplicaNão se aplicaNão se aplicaFora ponta",Mercado_Receita!$L$2:$L$886)+SUMIF(Mercado_Receita!$S$2:$S$886,"44743B2ConvencionalRuralNão se aplicaNão se aplicaNão se aplicaIntermediário",Mercado_Receita!$L$2:$L$886)+SUMIF(Mercado_Receita!$S$2:$S$886,"44743B2ConvencionalRuralNão se aplicaNão se aplicaNão se aplicaNão se aplica",Mercado_Receita!$L$2:$L$886)</f>
        <v>1408.5940000000001</v>
      </c>
      <c r="R42" s="13">
        <f>SUMIF(Mercado_Receita!$S$2:$S$886,"44774B2ConvencionalRuralNão se aplicaNão se aplicaNão se aplicaPonta",Mercado_Receita!$L$2:$L$886)+SUMIF(Mercado_Receita!$S$2:$S$886,"44774B2ConvencionalRuralNão se aplicaNão se aplicaNão se aplicaFora ponta",Mercado_Receita!$L$2:$L$886)+SUMIF(Mercado_Receita!$S$2:$S$886,"44774B2ConvencionalRuralNão se aplicaNão se aplicaNão se aplicaIntermediário",Mercado_Receita!$L$2:$L$886)+SUMIF(Mercado_Receita!$S$2:$S$886,"44774B2ConvencionalRuralNão se aplicaNão se aplicaNão se aplicaNão se aplica",Mercado_Receita!$L$2:$L$886)</f>
        <v>1619.1109999999999</v>
      </c>
      <c r="S42" s="13">
        <f>SUMIF(Mercado_Receita!$S$2:$S$886,"44805B2ConvencionalRuralNão se aplicaNão se aplicaNão se aplicaPonta",Mercado_Receita!$L$2:$L$886)+SUMIF(Mercado_Receita!$S$2:$S$886,"44805B2ConvencionalRuralNão se aplicaNão se aplicaNão se aplicaFora ponta",Mercado_Receita!$L$2:$L$886)+SUMIF(Mercado_Receita!$S$2:$S$886,"44805B2ConvencionalRuralNão se aplicaNão se aplicaNão se aplicaIntermediário",Mercado_Receita!$L$2:$L$886)+SUMIF(Mercado_Receita!$S$2:$S$886,"44805B2ConvencionalRuralNão se aplicaNão se aplicaNão se aplicaNão se aplica",Mercado_Receita!$L$2:$L$886)</f>
        <v>1871.153</v>
      </c>
      <c r="T42" s="13">
        <f>SUMIF(Mercado_Receita!$S$2:$S$886,"44835B2ConvencionalRuralNão se aplicaNão se aplicaNão se aplicaPonta",Mercado_Receita!$L$2:$L$886)+SUMIF(Mercado_Receita!$S$2:$S$886,"44835B2ConvencionalRuralNão se aplicaNão se aplicaNão se aplicaFora ponta",Mercado_Receita!$L$2:$L$886)+SUMIF(Mercado_Receita!$S$2:$S$886,"44835B2ConvencionalRuralNão se aplicaNão se aplicaNão se aplicaIntermediário",Mercado_Receita!$L$2:$L$886)+SUMIF(Mercado_Receita!$S$2:$S$886,"44835B2ConvencionalRuralNão se aplicaNão se aplicaNão se aplicaNão se aplica",Mercado_Receita!$L$2:$L$886)</f>
        <v>1871.153</v>
      </c>
      <c r="U42" s="13">
        <f t="shared" si="1"/>
        <v>17613.978000000003</v>
      </c>
      <c r="V42" s="13"/>
      <c r="W42" s="13"/>
    </row>
    <row r="43" spans="1:23" ht="11.25" customHeight="1" x14ac:dyDescent="0.3">
      <c r="A43" s="123"/>
      <c r="B43" s="122" t="s">
        <v>33</v>
      </c>
      <c r="C43" s="122" t="s">
        <v>44</v>
      </c>
      <c r="D43" s="122" t="s">
        <v>94</v>
      </c>
      <c r="E43" s="122" t="s">
        <v>25</v>
      </c>
      <c r="F43" s="122" t="s">
        <v>25</v>
      </c>
      <c r="G43" s="13" t="s">
        <v>80</v>
      </c>
      <c r="H43" s="13" t="s">
        <v>79</v>
      </c>
      <c r="I43" s="13">
        <f>SUMIF(Mercado_Receita!$S$2:$S$886,"44501B2BrancaRuralCooperativa de eletrificação ruralNão se aplicaNão se aplicaPonta",Mercado_Receita!$L$2:$L$886)</f>
        <v>0</v>
      </c>
      <c r="J43" s="13">
        <f>SUMIF(Mercado_Receita!$S$2:$S$886,"44531B2BrancaRuralCooperativa de eletrificação ruralNão se aplicaNão se aplicaPonta",Mercado_Receita!$L$2:$L$886)</f>
        <v>0</v>
      </c>
      <c r="K43" s="13">
        <f>SUMIF(Mercado_Receita!$S$2:$S$886,"44562B2BrancaRuralCooperativa de eletrificação ruralNão se aplicaNão se aplicaPonta",Mercado_Receita!$L$2:$L$886)</f>
        <v>0</v>
      </c>
      <c r="L43" s="13">
        <f>SUMIF(Mercado_Receita!$S$2:$S$886,"44593B2BrancaRuralCooperativa de eletrificação ruralNão se aplicaNão se aplicaPonta",Mercado_Receita!$L$2:$L$886)</f>
        <v>0</v>
      </c>
      <c r="M43" s="13">
        <f>SUMIF(Mercado_Receita!$S$2:$S$886,"44621B2BrancaRuralCooperativa de eletrificação ruralNão se aplicaNão se aplicaPonta",Mercado_Receita!$L$2:$L$886)</f>
        <v>0</v>
      </c>
      <c r="N43" s="13">
        <f>SUMIF(Mercado_Receita!$S$2:$S$886,"44652B2BrancaRuralCooperativa de eletrificação ruralNão se aplicaNão se aplicaPonta",Mercado_Receita!$L$2:$L$886)</f>
        <v>0</v>
      </c>
      <c r="O43" s="13">
        <f>SUMIF(Mercado_Receita!$S$2:$S$886,"44682B2BrancaRuralCooperativa de eletrificação ruralNão se aplicaNão se aplicaPonta",Mercado_Receita!$L$2:$L$886)</f>
        <v>0</v>
      </c>
      <c r="P43" s="13">
        <f>SUMIF(Mercado_Receita!$S$2:$S$886,"44713B2BrancaRuralCooperativa de eletrificação ruralNão se aplicaNão se aplicaPonta",Mercado_Receita!$L$2:$L$886)</f>
        <v>0</v>
      </c>
      <c r="Q43" s="13">
        <f>SUMIF(Mercado_Receita!$S$2:$S$886,"44743B2BrancaRuralCooperativa de eletrificação ruralNão se aplicaNão se aplicaPonta",Mercado_Receita!$L$2:$L$886)</f>
        <v>0</v>
      </c>
      <c r="R43" s="13">
        <f>SUMIF(Mercado_Receita!$S$2:$S$886,"44774B2BrancaRuralCooperativa de eletrificação ruralNão se aplicaNão se aplicaPonta",Mercado_Receita!$L$2:$L$886)</f>
        <v>0</v>
      </c>
      <c r="S43" s="13">
        <f>SUMIF(Mercado_Receita!$S$2:$S$886,"44805B2BrancaRuralCooperativa de eletrificação ruralNão se aplicaNão se aplicaPonta",Mercado_Receita!$L$2:$L$886)</f>
        <v>0</v>
      </c>
      <c r="T43" s="13">
        <f>SUMIF(Mercado_Receita!$S$2:$S$886,"44835B2BrancaRuralCooperativa de eletrificação ruralNão se aplicaNão se aplicaPonta",Mercado_Receita!$L$2:$L$886)</f>
        <v>0</v>
      </c>
      <c r="U43" s="13">
        <f t="shared" si="1"/>
        <v>0</v>
      </c>
      <c r="V43" s="13"/>
      <c r="W43" s="13"/>
    </row>
    <row r="44" spans="1:23" ht="11.25" customHeight="1" x14ac:dyDescent="0.3">
      <c r="A44" s="123"/>
      <c r="B44" s="123"/>
      <c r="C44" s="123"/>
      <c r="D44" s="123"/>
      <c r="E44" s="123"/>
      <c r="F44" s="123"/>
      <c r="G44" s="13" t="s">
        <v>91</v>
      </c>
      <c r="H44" s="13" t="s">
        <v>79</v>
      </c>
      <c r="I44" s="13">
        <f>SUMIF(Mercado_Receita!$S$2:$S$886,"44501B2BrancaRuralCooperativa de eletrificação ruralNão se aplicaNão se aplicaIntermediário",Mercado_Receita!$L$2:$L$886)</f>
        <v>0</v>
      </c>
      <c r="J44" s="13">
        <f>SUMIF(Mercado_Receita!$S$2:$S$886,"44531B2BrancaRuralCooperativa de eletrificação ruralNão se aplicaNão se aplicaIntermediário",Mercado_Receita!$L$2:$L$886)</f>
        <v>0</v>
      </c>
      <c r="K44" s="13">
        <f>SUMIF(Mercado_Receita!$S$2:$S$886,"44562B2BrancaRuralCooperativa de eletrificação ruralNão se aplicaNão se aplicaIntermediário",Mercado_Receita!$L$2:$L$886)</f>
        <v>0</v>
      </c>
      <c r="L44" s="13">
        <f>SUMIF(Mercado_Receita!$S$2:$S$886,"44593B2BrancaRuralCooperativa de eletrificação ruralNão se aplicaNão se aplicaIntermediário",Mercado_Receita!$L$2:$L$886)</f>
        <v>0</v>
      </c>
      <c r="M44" s="13">
        <f>SUMIF(Mercado_Receita!$S$2:$S$886,"44621B2BrancaRuralCooperativa de eletrificação ruralNão se aplicaNão se aplicaIntermediário",Mercado_Receita!$L$2:$L$886)</f>
        <v>0</v>
      </c>
      <c r="N44" s="13">
        <f>SUMIF(Mercado_Receita!$S$2:$S$886,"44652B2BrancaRuralCooperativa de eletrificação ruralNão se aplicaNão se aplicaIntermediário",Mercado_Receita!$L$2:$L$886)</f>
        <v>0</v>
      </c>
      <c r="O44" s="13">
        <f>SUMIF(Mercado_Receita!$S$2:$S$886,"44682B2BrancaRuralCooperativa de eletrificação ruralNão se aplicaNão se aplicaIntermediário",Mercado_Receita!$L$2:$L$886)</f>
        <v>0</v>
      </c>
      <c r="P44" s="13">
        <f>SUMIF(Mercado_Receita!$S$2:$S$886,"44713B2BrancaRuralCooperativa de eletrificação ruralNão se aplicaNão se aplicaIntermediário",Mercado_Receita!$L$2:$L$886)</f>
        <v>0</v>
      </c>
      <c r="Q44" s="13">
        <f>SUMIF(Mercado_Receita!$S$2:$S$886,"44743B2BrancaRuralCooperativa de eletrificação ruralNão se aplicaNão se aplicaIntermediário",Mercado_Receita!$L$2:$L$886)</f>
        <v>0</v>
      </c>
      <c r="R44" s="13">
        <f>SUMIF(Mercado_Receita!$S$2:$S$886,"44774B2BrancaRuralCooperativa de eletrificação ruralNão se aplicaNão se aplicaIntermediário",Mercado_Receita!$L$2:$L$886)</f>
        <v>0</v>
      </c>
      <c r="S44" s="13">
        <f>SUMIF(Mercado_Receita!$S$2:$S$886,"44805B2BrancaRuralCooperativa de eletrificação ruralNão se aplicaNão se aplicaIntermediário",Mercado_Receita!$L$2:$L$886)</f>
        <v>0</v>
      </c>
      <c r="T44" s="13">
        <f>SUMIF(Mercado_Receita!$S$2:$S$886,"44835B2BrancaRuralCooperativa de eletrificação ruralNão se aplicaNão se aplicaIntermediário",Mercado_Receita!$L$2:$L$886)</f>
        <v>0</v>
      </c>
      <c r="U44" s="13">
        <f t="shared" si="1"/>
        <v>0</v>
      </c>
      <c r="V44" s="13"/>
      <c r="W44" s="13"/>
    </row>
    <row r="45" spans="1:23" ht="11.25" customHeight="1" x14ac:dyDescent="0.3">
      <c r="A45" s="123"/>
      <c r="B45" s="123"/>
      <c r="C45" s="123"/>
      <c r="D45" s="123"/>
      <c r="E45" s="123"/>
      <c r="F45" s="123"/>
      <c r="G45" s="13" t="s">
        <v>81</v>
      </c>
      <c r="H45" s="13" t="s">
        <v>79</v>
      </c>
      <c r="I45" s="13">
        <f>SUMIF(Mercado_Receita!$S$2:$S$886,"44501B2BrancaRuralCooperativa de eletrificação ruralNão se aplicaNão se aplicaFora ponta",Mercado_Receita!$L$2:$L$886)</f>
        <v>0</v>
      </c>
      <c r="J45" s="13">
        <f>SUMIF(Mercado_Receita!$S$2:$S$886,"44531B2BrancaRuralCooperativa de eletrificação ruralNão se aplicaNão se aplicaFora ponta",Mercado_Receita!$L$2:$L$886)</f>
        <v>0</v>
      </c>
      <c r="K45" s="13">
        <f>SUMIF(Mercado_Receita!$S$2:$S$886,"44562B2BrancaRuralCooperativa de eletrificação ruralNão se aplicaNão se aplicaFora ponta",Mercado_Receita!$L$2:$L$886)</f>
        <v>0</v>
      </c>
      <c r="L45" s="13">
        <f>SUMIF(Mercado_Receita!$S$2:$S$886,"44593B2BrancaRuralCooperativa de eletrificação ruralNão se aplicaNão se aplicaFora ponta",Mercado_Receita!$L$2:$L$886)</f>
        <v>0</v>
      </c>
      <c r="M45" s="13">
        <f>SUMIF(Mercado_Receita!$S$2:$S$886,"44621B2BrancaRuralCooperativa de eletrificação ruralNão se aplicaNão se aplicaFora ponta",Mercado_Receita!$L$2:$L$886)</f>
        <v>0</v>
      </c>
      <c r="N45" s="13">
        <f>SUMIF(Mercado_Receita!$S$2:$S$886,"44652B2BrancaRuralCooperativa de eletrificação ruralNão se aplicaNão se aplicaFora ponta",Mercado_Receita!$L$2:$L$886)</f>
        <v>0</v>
      </c>
      <c r="O45" s="13">
        <f>SUMIF(Mercado_Receita!$S$2:$S$886,"44682B2BrancaRuralCooperativa de eletrificação ruralNão se aplicaNão se aplicaFora ponta",Mercado_Receita!$L$2:$L$886)</f>
        <v>0</v>
      </c>
      <c r="P45" s="13">
        <f>SUMIF(Mercado_Receita!$S$2:$S$886,"44713B2BrancaRuralCooperativa de eletrificação ruralNão se aplicaNão se aplicaFora ponta",Mercado_Receita!$L$2:$L$886)</f>
        <v>0</v>
      </c>
      <c r="Q45" s="13">
        <f>SUMIF(Mercado_Receita!$S$2:$S$886,"44743B2BrancaRuralCooperativa de eletrificação ruralNão se aplicaNão se aplicaFora ponta",Mercado_Receita!$L$2:$L$886)</f>
        <v>0</v>
      </c>
      <c r="R45" s="13">
        <f>SUMIF(Mercado_Receita!$S$2:$S$886,"44774B2BrancaRuralCooperativa de eletrificação ruralNão se aplicaNão se aplicaFora ponta",Mercado_Receita!$L$2:$L$886)</f>
        <v>0</v>
      </c>
      <c r="S45" s="13">
        <f>SUMIF(Mercado_Receita!$S$2:$S$886,"44805B2BrancaRuralCooperativa de eletrificação ruralNão se aplicaNão se aplicaFora ponta",Mercado_Receita!$L$2:$L$886)</f>
        <v>0</v>
      </c>
      <c r="T45" s="13">
        <f>SUMIF(Mercado_Receita!$S$2:$S$886,"44835B2BrancaRuralCooperativa de eletrificação ruralNão se aplicaNão se aplicaFora ponta",Mercado_Receita!$L$2:$L$886)</f>
        <v>0</v>
      </c>
      <c r="U45" s="13">
        <f t="shared" si="1"/>
        <v>0</v>
      </c>
      <c r="V45" s="13"/>
      <c r="W45" s="13"/>
    </row>
    <row r="46" spans="1:23" ht="11.25" customHeight="1" x14ac:dyDescent="0.3">
      <c r="A46" s="123"/>
      <c r="B46" s="12" t="s">
        <v>23</v>
      </c>
      <c r="C46" s="12" t="s">
        <v>44</v>
      </c>
      <c r="D46" s="12" t="s">
        <v>94</v>
      </c>
      <c r="E46" s="12" t="s">
        <v>25</v>
      </c>
      <c r="F46" s="12" t="s">
        <v>25</v>
      </c>
      <c r="G46" s="13" t="s">
        <v>83</v>
      </c>
      <c r="H46" s="13" t="s">
        <v>79</v>
      </c>
      <c r="I46" s="13">
        <f>SUMIF(Mercado_Receita!$S$2:$S$886,"44501B2ConvencionalRuralCooperativa de eletrificação ruralNão se aplicaNão se aplicaPonta",Mercado_Receita!$L$2:$L$886)+SUMIF(Mercado_Receita!$S$2:$S$886,"44501B2ConvencionalRuralCooperativa de eletrificação ruralNão se aplicaNão se aplicaFora ponta",Mercado_Receita!$L$2:$L$886)+SUMIF(Mercado_Receita!$S$2:$S$886,"44501B2ConvencionalRuralCooperativa de eletrificação ruralNão se aplicaNão se aplicaIntermediário",Mercado_Receita!$L$2:$L$886)+SUMIF(Mercado_Receita!$S$2:$S$886,"44501B2ConvencionalRuralCooperativa de eletrificação ruralNão se aplicaNão se aplicaNão se aplica",Mercado_Receita!$L$2:$L$886)</f>
        <v>0</v>
      </c>
      <c r="J46" s="13">
        <f>SUMIF(Mercado_Receita!$S$2:$S$886,"44531B2ConvencionalRuralCooperativa de eletrificação ruralNão se aplicaNão se aplicaPonta",Mercado_Receita!$L$2:$L$886)+SUMIF(Mercado_Receita!$S$2:$S$886,"44531B2ConvencionalRuralCooperativa de eletrificação ruralNão se aplicaNão se aplicaFora ponta",Mercado_Receita!$L$2:$L$886)+SUMIF(Mercado_Receita!$S$2:$S$886,"44531B2ConvencionalRuralCooperativa de eletrificação ruralNão se aplicaNão se aplicaIntermediário",Mercado_Receita!$L$2:$L$886)+SUMIF(Mercado_Receita!$S$2:$S$886,"44531B2ConvencionalRuralCooperativa de eletrificação ruralNão se aplicaNão se aplicaNão se aplica",Mercado_Receita!$L$2:$L$886)</f>
        <v>0</v>
      </c>
      <c r="K46" s="13">
        <f>SUMIF(Mercado_Receita!$S$2:$S$886,"44562B2ConvencionalRuralCooperativa de eletrificação ruralNão se aplicaNão se aplicaPonta",Mercado_Receita!$L$2:$L$886)+SUMIF(Mercado_Receita!$S$2:$S$886,"44562B2ConvencionalRuralCooperativa de eletrificação ruralNão se aplicaNão se aplicaFora ponta",Mercado_Receita!$L$2:$L$886)+SUMIF(Mercado_Receita!$S$2:$S$886,"44562B2ConvencionalRuralCooperativa de eletrificação ruralNão se aplicaNão se aplicaIntermediário",Mercado_Receita!$L$2:$L$886)+SUMIF(Mercado_Receita!$S$2:$S$886,"44562B2ConvencionalRuralCooperativa de eletrificação ruralNão se aplicaNão se aplicaNão se aplica",Mercado_Receita!$L$2:$L$886)</f>
        <v>0</v>
      </c>
      <c r="L46" s="13">
        <f>SUMIF(Mercado_Receita!$S$2:$S$886,"44593B2ConvencionalRuralCooperativa de eletrificação ruralNão se aplicaNão se aplicaPonta",Mercado_Receita!$L$2:$L$886)+SUMIF(Mercado_Receita!$S$2:$S$886,"44593B2ConvencionalRuralCooperativa de eletrificação ruralNão se aplicaNão se aplicaFora ponta",Mercado_Receita!$L$2:$L$886)+SUMIF(Mercado_Receita!$S$2:$S$886,"44593B2ConvencionalRuralCooperativa de eletrificação ruralNão se aplicaNão se aplicaIntermediário",Mercado_Receita!$L$2:$L$886)+SUMIF(Mercado_Receita!$S$2:$S$886,"44593B2ConvencionalRuralCooperativa de eletrificação ruralNão se aplicaNão se aplicaNão se aplica",Mercado_Receita!$L$2:$L$886)</f>
        <v>0</v>
      </c>
      <c r="M46" s="13">
        <f>SUMIF(Mercado_Receita!$S$2:$S$886,"44621B2ConvencionalRuralCooperativa de eletrificação ruralNão se aplicaNão se aplicaPonta",Mercado_Receita!$L$2:$L$886)+SUMIF(Mercado_Receita!$S$2:$S$886,"44621B2ConvencionalRuralCooperativa de eletrificação ruralNão se aplicaNão se aplicaFora ponta",Mercado_Receita!$L$2:$L$886)+SUMIF(Mercado_Receita!$S$2:$S$886,"44621B2ConvencionalRuralCooperativa de eletrificação ruralNão se aplicaNão se aplicaIntermediário",Mercado_Receita!$L$2:$L$886)+SUMIF(Mercado_Receita!$S$2:$S$886,"44621B2ConvencionalRuralCooperativa de eletrificação ruralNão se aplicaNão se aplicaNão se aplica",Mercado_Receita!$L$2:$L$886)</f>
        <v>0</v>
      </c>
      <c r="N46" s="13">
        <f>SUMIF(Mercado_Receita!$S$2:$S$886,"44652B2ConvencionalRuralCooperativa de eletrificação ruralNão se aplicaNão se aplicaPonta",Mercado_Receita!$L$2:$L$886)+SUMIF(Mercado_Receita!$S$2:$S$886,"44652B2ConvencionalRuralCooperativa de eletrificação ruralNão se aplicaNão se aplicaFora ponta",Mercado_Receita!$L$2:$L$886)+SUMIF(Mercado_Receita!$S$2:$S$886,"44652B2ConvencionalRuralCooperativa de eletrificação ruralNão se aplicaNão se aplicaIntermediário",Mercado_Receita!$L$2:$L$886)+SUMIF(Mercado_Receita!$S$2:$S$886,"44652B2ConvencionalRuralCooperativa de eletrificação ruralNão se aplicaNão se aplicaNão se aplica",Mercado_Receita!$L$2:$L$886)</f>
        <v>0</v>
      </c>
      <c r="O46" s="13">
        <f>SUMIF(Mercado_Receita!$S$2:$S$886,"44682B2ConvencionalRuralCooperativa de eletrificação ruralNão se aplicaNão se aplicaPonta",Mercado_Receita!$L$2:$L$886)+SUMIF(Mercado_Receita!$S$2:$S$886,"44682B2ConvencionalRuralCooperativa de eletrificação ruralNão se aplicaNão se aplicaFora ponta",Mercado_Receita!$L$2:$L$886)+SUMIF(Mercado_Receita!$S$2:$S$886,"44682B2ConvencionalRuralCooperativa de eletrificação ruralNão se aplicaNão se aplicaIntermediário",Mercado_Receita!$L$2:$L$886)+SUMIF(Mercado_Receita!$S$2:$S$886,"44682B2ConvencionalRuralCooperativa de eletrificação ruralNão se aplicaNão se aplicaNão se aplica",Mercado_Receita!$L$2:$L$886)</f>
        <v>0</v>
      </c>
      <c r="P46" s="13">
        <f>SUMIF(Mercado_Receita!$S$2:$S$886,"44713B2ConvencionalRuralCooperativa de eletrificação ruralNão se aplicaNão se aplicaPonta",Mercado_Receita!$L$2:$L$886)+SUMIF(Mercado_Receita!$S$2:$S$886,"44713B2ConvencionalRuralCooperativa de eletrificação ruralNão se aplicaNão se aplicaFora ponta",Mercado_Receita!$L$2:$L$886)+SUMIF(Mercado_Receita!$S$2:$S$886,"44713B2ConvencionalRuralCooperativa de eletrificação ruralNão se aplicaNão se aplicaIntermediário",Mercado_Receita!$L$2:$L$886)+SUMIF(Mercado_Receita!$S$2:$S$886,"44713B2ConvencionalRuralCooperativa de eletrificação ruralNão se aplicaNão se aplicaNão se aplica",Mercado_Receita!$L$2:$L$886)</f>
        <v>0</v>
      </c>
      <c r="Q46" s="13">
        <f>SUMIF(Mercado_Receita!$S$2:$S$886,"44743B2ConvencionalRuralCooperativa de eletrificação ruralNão se aplicaNão se aplicaPonta",Mercado_Receita!$L$2:$L$886)+SUMIF(Mercado_Receita!$S$2:$S$886,"44743B2ConvencionalRuralCooperativa de eletrificação ruralNão se aplicaNão se aplicaFora ponta",Mercado_Receita!$L$2:$L$886)+SUMIF(Mercado_Receita!$S$2:$S$886,"44743B2ConvencionalRuralCooperativa de eletrificação ruralNão se aplicaNão se aplicaIntermediário",Mercado_Receita!$L$2:$L$886)+SUMIF(Mercado_Receita!$S$2:$S$886,"44743B2ConvencionalRuralCooperativa de eletrificação ruralNão se aplicaNão se aplicaNão se aplica",Mercado_Receita!$L$2:$L$886)</f>
        <v>0</v>
      </c>
      <c r="R46" s="13">
        <f>SUMIF(Mercado_Receita!$S$2:$S$886,"44774B2ConvencionalRuralCooperativa de eletrificação ruralNão se aplicaNão se aplicaPonta",Mercado_Receita!$L$2:$L$886)+SUMIF(Mercado_Receita!$S$2:$S$886,"44774B2ConvencionalRuralCooperativa de eletrificação ruralNão se aplicaNão se aplicaFora ponta",Mercado_Receita!$L$2:$L$886)+SUMIF(Mercado_Receita!$S$2:$S$886,"44774B2ConvencionalRuralCooperativa de eletrificação ruralNão se aplicaNão se aplicaIntermediário",Mercado_Receita!$L$2:$L$886)+SUMIF(Mercado_Receita!$S$2:$S$886,"44774B2ConvencionalRuralCooperativa de eletrificação ruralNão se aplicaNão se aplicaNão se aplica",Mercado_Receita!$L$2:$L$886)</f>
        <v>0</v>
      </c>
      <c r="S46" s="13">
        <f>SUMIF(Mercado_Receita!$S$2:$S$886,"44805B2ConvencionalRuralCooperativa de eletrificação ruralNão se aplicaNão se aplicaPonta",Mercado_Receita!$L$2:$L$886)+SUMIF(Mercado_Receita!$S$2:$S$886,"44805B2ConvencionalRuralCooperativa de eletrificação ruralNão se aplicaNão se aplicaFora ponta",Mercado_Receita!$L$2:$L$886)+SUMIF(Mercado_Receita!$S$2:$S$886,"44805B2ConvencionalRuralCooperativa de eletrificação ruralNão se aplicaNão se aplicaIntermediário",Mercado_Receita!$L$2:$L$886)+SUMIF(Mercado_Receita!$S$2:$S$886,"44805B2ConvencionalRuralCooperativa de eletrificação ruralNão se aplicaNão se aplicaNão se aplica",Mercado_Receita!$L$2:$L$886)</f>
        <v>0</v>
      </c>
      <c r="T46" s="13">
        <f>SUMIF(Mercado_Receita!$S$2:$S$886,"44835B2ConvencionalRuralCooperativa de eletrificação ruralNão se aplicaNão se aplicaPonta",Mercado_Receita!$L$2:$L$886)+SUMIF(Mercado_Receita!$S$2:$S$886,"44835B2ConvencionalRuralCooperativa de eletrificação ruralNão se aplicaNão se aplicaFora ponta",Mercado_Receita!$L$2:$L$886)+SUMIF(Mercado_Receita!$S$2:$S$886,"44835B2ConvencionalRuralCooperativa de eletrificação ruralNão se aplicaNão se aplicaIntermediário",Mercado_Receita!$L$2:$L$886)+SUMIF(Mercado_Receita!$S$2:$S$886,"44835B2ConvencionalRuralCooperativa de eletrificação ruralNão se aplicaNão se aplicaNão se aplica",Mercado_Receita!$L$2:$L$886)</f>
        <v>0</v>
      </c>
      <c r="U46" s="13">
        <f t="shared" si="1"/>
        <v>0</v>
      </c>
      <c r="V46" s="13"/>
      <c r="W46" s="13"/>
    </row>
    <row r="47" spans="1:23" ht="11.25" customHeight="1" x14ac:dyDescent="0.3">
      <c r="A47" s="123"/>
      <c r="B47" s="122" t="s">
        <v>33</v>
      </c>
      <c r="C47" s="122" t="s">
        <v>44</v>
      </c>
      <c r="D47" s="122" t="s">
        <v>95</v>
      </c>
      <c r="E47" s="122" t="s">
        <v>25</v>
      </c>
      <c r="F47" s="122" t="s">
        <v>25</v>
      </c>
      <c r="G47" s="13" t="s">
        <v>80</v>
      </c>
      <c r="H47" s="13" t="s">
        <v>79</v>
      </c>
      <c r="I47" s="13">
        <f>SUMIF(Mercado_Receita!$S$2:$S$886,"44501B2BrancaRuralServiço público de irrigação ruralNão se aplicaNão se aplicaPonta",Mercado_Receita!$L$2:$L$886)</f>
        <v>0</v>
      </c>
      <c r="J47" s="13">
        <f>SUMIF(Mercado_Receita!$S$2:$S$886,"44531B2BrancaRuralServiço público de irrigação ruralNão se aplicaNão se aplicaPonta",Mercado_Receita!$L$2:$L$886)</f>
        <v>0</v>
      </c>
      <c r="K47" s="13">
        <f>SUMIF(Mercado_Receita!$S$2:$S$886,"44562B2BrancaRuralServiço público de irrigação ruralNão se aplicaNão se aplicaPonta",Mercado_Receita!$L$2:$L$886)</f>
        <v>0</v>
      </c>
      <c r="L47" s="13">
        <f>SUMIF(Mercado_Receita!$S$2:$S$886,"44593B2BrancaRuralServiço público de irrigação ruralNão se aplicaNão se aplicaPonta",Mercado_Receita!$L$2:$L$886)</f>
        <v>0</v>
      </c>
      <c r="M47" s="13">
        <f>SUMIF(Mercado_Receita!$S$2:$S$886,"44621B2BrancaRuralServiço público de irrigação ruralNão se aplicaNão se aplicaPonta",Mercado_Receita!$L$2:$L$886)</f>
        <v>0</v>
      </c>
      <c r="N47" s="13">
        <f>SUMIF(Mercado_Receita!$S$2:$S$886,"44652B2BrancaRuralServiço público de irrigação ruralNão se aplicaNão se aplicaPonta",Mercado_Receita!$L$2:$L$886)</f>
        <v>0</v>
      </c>
      <c r="O47" s="13">
        <f>SUMIF(Mercado_Receita!$S$2:$S$886,"44682B2BrancaRuralServiço público de irrigação ruralNão se aplicaNão se aplicaPonta",Mercado_Receita!$L$2:$L$886)</f>
        <v>0</v>
      </c>
      <c r="P47" s="13">
        <f>SUMIF(Mercado_Receita!$S$2:$S$886,"44713B2BrancaRuralServiço público de irrigação ruralNão se aplicaNão se aplicaPonta",Mercado_Receita!$L$2:$L$886)</f>
        <v>0</v>
      </c>
      <c r="Q47" s="13">
        <f>SUMIF(Mercado_Receita!$S$2:$S$886,"44743B2BrancaRuralServiço público de irrigação ruralNão se aplicaNão se aplicaPonta",Mercado_Receita!$L$2:$L$886)</f>
        <v>0</v>
      </c>
      <c r="R47" s="13">
        <f>SUMIF(Mercado_Receita!$S$2:$S$886,"44774B2BrancaRuralServiço público de irrigação ruralNão se aplicaNão se aplicaPonta",Mercado_Receita!$L$2:$L$886)</f>
        <v>0</v>
      </c>
      <c r="S47" s="13">
        <f>SUMIF(Mercado_Receita!$S$2:$S$886,"44805B2BrancaRuralServiço público de irrigação ruralNão se aplicaNão se aplicaPonta",Mercado_Receita!$L$2:$L$886)</f>
        <v>0</v>
      </c>
      <c r="T47" s="13">
        <f>SUMIF(Mercado_Receita!$S$2:$S$886,"44835B2BrancaRuralServiço público de irrigação ruralNão se aplicaNão se aplicaPonta",Mercado_Receita!$L$2:$L$886)</f>
        <v>0</v>
      </c>
      <c r="U47" s="13">
        <f t="shared" si="1"/>
        <v>0</v>
      </c>
      <c r="V47" s="13"/>
      <c r="W47" s="13"/>
    </row>
    <row r="48" spans="1:23" ht="11.25" customHeight="1" x14ac:dyDescent="0.3">
      <c r="A48" s="123"/>
      <c r="B48" s="123"/>
      <c r="C48" s="123"/>
      <c r="D48" s="123"/>
      <c r="E48" s="123"/>
      <c r="F48" s="123"/>
      <c r="G48" s="13" t="s">
        <v>91</v>
      </c>
      <c r="H48" s="13" t="s">
        <v>79</v>
      </c>
      <c r="I48" s="13">
        <f>SUMIF(Mercado_Receita!$S$2:$S$886,"44501B2BrancaRuralServiço público de irrigação ruralNão se aplicaNão se aplicaIntermediário",Mercado_Receita!$L$2:$L$886)</f>
        <v>0</v>
      </c>
      <c r="J48" s="13">
        <f>SUMIF(Mercado_Receita!$S$2:$S$886,"44531B2BrancaRuralServiço público de irrigação ruralNão se aplicaNão se aplicaIntermediário",Mercado_Receita!$L$2:$L$886)</f>
        <v>0</v>
      </c>
      <c r="K48" s="13">
        <f>SUMIF(Mercado_Receita!$S$2:$S$886,"44562B2BrancaRuralServiço público de irrigação ruralNão se aplicaNão se aplicaIntermediário",Mercado_Receita!$L$2:$L$886)</f>
        <v>0</v>
      </c>
      <c r="L48" s="13">
        <f>SUMIF(Mercado_Receita!$S$2:$S$886,"44593B2BrancaRuralServiço público de irrigação ruralNão se aplicaNão se aplicaIntermediário",Mercado_Receita!$L$2:$L$886)</f>
        <v>0</v>
      </c>
      <c r="M48" s="13">
        <f>SUMIF(Mercado_Receita!$S$2:$S$886,"44621B2BrancaRuralServiço público de irrigação ruralNão se aplicaNão se aplicaIntermediário",Mercado_Receita!$L$2:$L$886)</f>
        <v>0</v>
      </c>
      <c r="N48" s="13">
        <f>SUMIF(Mercado_Receita!$S$2:$S$886,"44652B2BrancaRuralServiço público de irrigação ruralNão se aplicaNão se aplicaIntermediário",Mercado_Receita!$L$2:$L$886)</f>
        <v>0</v>
      </c>
      <c r="O48" s="13">
        <f>SUMIF(Mercado_Receita!$S$2:$S$886,"44682B2BrancaRuralServiço público de irrigação ruralNão se aplicaNão se aplicaIntermediário",Mercado_Receita!$L$2:$L$886)</f>
        <v>0</v>
      </c>
      <c r="P48" s="13">
        <f>SUMIF(Mercado_Receita!$S$2:$S$886,"44713B2BrancaRuralServiço público de irrigação ruralNão se aplicaNão se aplicaIntermediário",Mercado_Receita!$L$2:$L$886)</f>
        <v>0</v>
      </c>
      <c r="Q48" s="13">
        <f>SUMIF(Mercado_Receita!$S$2:$S$886,"44743B2BrancaRuralServiço público de irrigação ruralNão se aplicaNão se aplicaIntermediário",Mercado_Receita!$L$2:$L$886)</f>
        <v>0</v>
      </c>
      <c r="R48" s="13">
        <f>SUMIF(Mercado_Receita!$S$2:$S$886,"44774B2BrancaRuralServiço público de irrigação ruralNão se aplicaNão se aplicaIntermediário",Mercado_Receita!$L$2:$L$886)</f>
        <v>0</v>
      </c>
      <c r="S48" s="13">
        <f>SUMIF(Mercado_Receita!$S$2:$S$886,"44805B2BrancaRuralServiço público de irrigação ruralNão se aplicaNão se aplicaIntermediário",Mercado_Receita!$L$2:$L$886)</f>
        <v>0</v>
      </c>
      <c r="T48" s="13">
        <f>SUMIF(Mercado_Receita!$S$2:$S$886,"44835B2BrancaRuralServiço público de irrigação ruralNão se aplicaNão se aplicaIntermediário",Mercado_Receita!$L$2:$L$886)</f>
        <v>0</v>
      </c>
      <c r="U48" s="13">
        <f t="shared" si="1"/>
        <v>0</v>
      </c>
      <c r="V48" s="13"/>
      <c r="W48" s="13"/>
    </row>
    <row r="49" spans="1:23" ht="11.25" customHeight="1" x14ac:dyDescent="0.3">
      <c r="A49" s="123"/>
      <c r="B49" s="123"/>
      <c r="C49" s="123"/>
      <c r="D49" s="123"/>
      <c r="E49" s="123"/>
      <c r="F49" s="123"/>
      <c r="G49" s="13" t="s">
        <v>81</v>
      </c>
      <c r="H49" s="13" t="s">
        <v>79</v>
      </c>
      <c r="I49" s="13">
        <f>SUMIF(Mercado_Receita!$S$2:$S$886,"44501B2BrancaRuralServiço público de irrigação ruralNão se aplicaNão se aplicaFora ponta",Mercado_Receita!$L$2:$L$886)</f>
        <v>0</v>
      </c>
      <c r="J49" s="13">
        <f>SUMIF(Mercado_Receita!$S$2:$S$886,"44531B2BrancaRuralServiço público de irrigação ruralNão se aplicaNão se aplicaFora ponta",Mercado_Receita!$L$2:$L$886)</f>
        <v>0</v>
      </c>
      <c r="K49" s="13">
        <f>SUMIF(Mercado_Receita!$S$2:$S$886,"44562B2BrancaRuralServiço público de irrigação ruralNão se aplicaNão se aplicaFora ponta",Mercado_Receita!$L$2:$L$886)</f>
        <v>0</v>
      </c>
      <c r="L49" s="13">
        <f>SUMIF(Mercado_Receita!$S$2:$S$886,"44593B2BrancaRuralServiço público de irrigação ruralNão se aplicaNão se aplicaFora ponta",Mercado_Receita!$L$2:$L$886)</f>
        <v>0</v>
      </c>
      <c r="M49" s="13">
        <f>SUMIF(Mercado_Receita!$S$2:$S$886,"44621B2BrancaRuralServiço público de irrigação ruralNão se aplicaNão se aplicaFora ponta",Mercado_Receita!$L$2:$L$886)</f>
        <v>0</v>
      </c>
      <c r="N49" s="13">
        <f>SUMIF(Mercado_Receita!$S$2:$S$886,"44652B2BrancaRuralServiço público de irrigação ruralNão se aplicaNão se aplicaFora ponta",Mercado_Receita!$L$2:$L$886)</f>
        <v>0</v>
      </c>
      <c r="O49" s="13">
        <f>SUMIF(Mercado_Receita!$S$2:$S$886,"44682B2BrancaRuralServiço público de irrigação ruralNão se aplicaNão se aplicaFora ponta",Mercado_Receita!$L$2:$L$886)</f>
        <v>0</v>
      </c>
      <c r="P49" s="13">
        <f>SUMIF(Mercado_Receita!$S$2:$S$886,"44713B2BrancaRuralServiço público de irrigação ruralNão se aplicaNão se aplicaFora ponta",Mercado_Receita!$L$2:$L$886)</f>
        <v>0</v>
      </c>
      <c r="Q49" s="13">
        <f>SUMIF(Mercado_Receita!$S$2:$S$886,"44743B2BrancaRuralServiço público de irrigação ruralNão se aplicaNão se aplicaFora ponta",Mercado_Receita!$L$2:$L$886)</f>
        <v>0</v>
      </c>
      <c r="R49" s="13">
        <f>SUMIF(Mercado_Receita!$S$2:$S$886,"44774B2BrancaRuralServiço público de irrigação ruralNão se aplicaNão se aplicaFora ponta",Mercado_Receita!$L$2:$L$886)</f>
        <v>0</v>
      </c>
      <c r="S49" s="13">
        <f>SUMIF(Mercado_Receita!$S$2:$S$886,"44805B2BrancaRuralServiço público de irrigação ruralNão se aplicaNão se aplicaFora ponta",Mercado_Receita!$L$2:$L$886)</f>
        <v>0</v>
      </c>
      <c r="T49" s="13">
        <f>SUMIF(Mercado_Receita!$S$2:$S$886,"44835B2BrancaRuralServiço público de irrigação ruralNão se aplicaNão se aplicaFora ponta",Mercado_Receita!$L$2:$L$886)</f>
        <v>0</v>
      </c>
      <c r="U49" s="13">
        <f t="shared" si="1"/>
        <v>0</v>
      </c>
      <c r="V49" s="13"/>
      <c r="W49" s="13"/>
    </row>
    <row r="50" spans="1:23" ht="11.25" customHeight="1" x14ac:dyDescent="0.3">
      <c r="A50" s="123"/>
      <c r="B50" s="12" t="s">
        <v>23</v>
      </c>
      <c r="C50" s="12" t="s">
        <v>44</v>
      </c>
      <c r="D50" s="12" t="s">
        <v>95</v>
      </c>
      <c r="E50" s="12" t="s">
        <v>25</v>
      </c>
      <c r="F50" s="12" t="s">
        <v>25</v>
      </c>
      <c r="G50" s="13" t="s">
        <v>83</v>
      </c>
      <c r="H50" s="13" t="s">
        <v>79</v>
      </c>
      <c r="I50" s="13">
        <f>SUMIF(Mercado_Receita!$S$2:$S$886,"44501B2ConvencionalRuralServiço público de irrigação ruralNão se aplicaNão se aplicaPonta",Mercado_Receita!$L$2:$L$886)+SUMIF(Mercado_Receita!$S$2:$S$886,"44501B2ConvencionalRuralServiço público de irrigação ruralNão se aplicaNão se aplicaFora ponta",Mercado_Receita!$L$2:$L$886)+SUMIF(Mercado_Receita!$S$2:$S$886,"44501B2ConvencionalRuralServiço público de irrigação ruralNão se aplicaNão se aplicaIntermediário",Mercado_Receita!$L$2:$L$886)+SUMIF(Mercado_Receita!$S$2:$S$886,"44501B2ConvencionalRuralServiço público de irrigação ruralNão se aplicaNão se aplicaNão se aplica",Mercado_Receita!$L$2:$L$886)</f>
        <v>0</v>
      </c>
      <c r="J50" s="13">
        <f>SUMIF(Mercado_Receita!$S$2:$S$886,"44531B2ConvencionalRuralServiço público de irrigação ruralNão se aplicaNão se aplicaPonta",Mercado_Receita!$L$2:$L$886)+SUMIF(Mercado_Receita!$S$2:$S$886,"44531B2ConvencionalRuralServiço público de irrigação ruralNão se aplicaNão se aplicaFora ponta",Mercado_Receita!$L$2:$L$886)+SUMIF(Mercado_Receita!$S$2:$S$886,"44531B2ConvencionalRuralServiço público de irrigação ruralNão se aplicaNão se aplicaIntermediário",Mercado_Receita!$L$2:$L$886)+SUMIF(Mercado_Receita!$S$2:$S$886,"44531B2ConvencionalRuralServiço público de irrigação ruralNão se aplicaNão se aplicaNão se aplica",Mercado_Receita!$L$2:$L$886)</f>
        <v>0</v>
      </c>
      <c r="K50" s="13">
        <f>SUMIF(Mercado_Receita!$S$2:$S$886,"44562B2ConvencionalRuralServiço público de irrigação ruralNão se aplicaNão se aplicaPonta",Mercado_Receita!$L$2:$L$886)+SUMIF(Mercado_Receita!$S$2:$S$886,"44562B2ConvencionalRuralServiço público de irrigação ruralNão se aplicaNão se aplicaFora ponta",Mercado_Receita!$L$2:$L$886)+SUMIF(Mercado_Receita!$S$2:$S$886,"44562B2ConvencionalRuralServiço público de irrigação ruralNão se aplicaNão se aplicaIntermediário",Mercado_Receita!$L$2:$L$886)+SUMIF(Mercado_Receita!$S$2:$S$886,"44562B2ConvencionalRuralServiço público de irrigação ruralNão se aplicaNão se aplicaNão se aplica",Mercado_Receita!$L$2:$L$886)</f>
        <v>0</v>
      </c>
      <c r="L50" s="13">
        <f>SUMIF(Mercado_Receita!$S$2:$S$886,"44593B2ConvencionalRuralServiço público de irrigação ruralNão se aplicaNão se aplicaPonta",Mercado_Receita!$L$2:$L$886)+SUMIF(Mercado_Receita!$S$2:$S$886,"44593B2ConvencionalRuralServiço público de irrigação ruralNão se aplicaNão se aplicaFora ponta",Mercado_Receita!$L$2:$L$886)+SUMIF(Mercado_Receita!$S$2:$S$886,"44593B2ConvencionalRuralServiço público de irrigação ruralNão se aplicaNão se aplicaIntermediário",Mercado_Receita!$L$2:$L$886)+SUMIF(Mercado_Receita!$S$2:$S$886,"44593B2ConvencionalRuralServiço público de irrigação ruralNão se aplicaNão se aplicaNão se aplica",Mercado_Receita!$L$2:$L$886)</f>
        <v>0</v>
      </c>
      <c r="M50" s="13">
        <f>SUMIF(Mercado_Receita!$S$2:$S$886,"44621B2ConvencionalRuralServiço público de irrigação ruralNão se aplicaNão se aplicaPonta",Mercado_Receita!$L$2:$L$886)+SUMIF(Mercado_Receita!$S$2:$S$886,"44621B2ConvencionalRuralServiço público de irrigação ruralNão se aplicaNão se aplicaFora ponta",Mercado_Receita!$L$2:$L$886)+SUMIF(Mercado_Receita!$S$2:$S$886,"44621B2ConvencionalRuralServiço público de irrigação ruralNão se aplicaNão se aplicaIntermediário",Mercado_Receita!$L$2:$L$886)+SUMIF(Mercado_Receita!$S$2:$S$886,"44621B2ConvencionalRuralServiço público de irrigação ruralNão se aplicaNão se aplicaNão se aplica",Mercado_Receita!$L$2:$L$886)</f>
        <v>0</v>
      </c>
      <c r="N50" s="13">
        <f>SUMIF(Mercado_Receita!$S$2:$S$886,"44652B2ConvencionalRuralServiço público de irrigação ruralNão se aplicaNão se aplicaPonta",Mercado_Receita!$L$2:$L$886)+SUMIF(Mercado_Receita!$S$2:$S$886,"44652B2ConvencionalRuralServiço público de irrigação ruralNão se aplicaNão se aplicaFora ponta",Mercado_Receita!$L$2:$L$886)+SUMIF(Mercado_Receita!$S$2:$S$886,"44652B2ConvencionalRuralServiço público de irrigação ruralNão se aplicaNão se aplicaIntermediário",Mercado_Receita!$L$2:$L$886)+SUMIF(Mercado_Receita!$S$2:$S$886,"44652B2ConvencionalRuralServiço público de irrigação ruralNão se aplicaNão se aplicaNão se aplica",Mercado_Receita!$L$2:$L$886)</f>
        <v>0</v>
      </c>
      <c r="O50" s="13">
        <f>SUMIF(Mercado_Receita!$S$2:$S$886,"44682B2ConvencionalRuralServiço público de irrigação ruralNão se aplicaNão se aplicaPonta",Mercado_Receita!$L$2:$L$886)+SUMIF(Mercado_Receita!$S$2:$S$886,"44682B2ConvencionalRuralServiço público de irrigação ruralNão se aplicaNão se aplicaFora ponta",Mercado_Receita!$L$2:$L$886)+SUMIF(Mercado_Receita!$S$2:$S$886,"44682B2ConvencionalRuralServiço público de irrigação ruralNão se aplicaNão se aplicaIntermediário",Mercado_Receita!$L$2:$L$886)+SUMIF(Mercado_Receita!$S$2:$S$886,"44682B2ConvencionalRuralServiço público de irrigação ruralNão se aplicaNão se aplicaNão se aplica",Mercado_Receita!$L$2:$L$886)</f>
        <v>0</v>
      </c>
      <c r="P50" s="13">
        <f>SUMIF(Mercado_Receita!$S$2:$S$886,"44713B2ConvencionalRuralServiço público de irrigação ruralNão se aplicaNão se aplicaPonta",Mercado_Receita!$L$2:$L$886)+SUMIF(Mercado_Receita!$S$2:$S$886,"44713B2ConvencionalRuralServiço público de irrigação ruralNão se aplicaNão se aplicaFora ponta",Mercado_Receita!$L$2:$L$886)+SUMIF(Mercado_Receita!$S$2:$S$886,"44713B2ConvencionalRuralServiço público de irrigação ruralNão se aplicaNão se aplicaIntermediário",Mercado_Receita!$L$2:$L$886)+SUMIF(Mercado_Receita!$S$2:$S$886,"44713B2ConvencionalRuralServiço público de irrigação ruralNão se aplicaNão se aplicaNão se aplica",Mercado_Receita!$L$2:$L$886)</f>
        <v>0</v>
      </c>
      <c r="Q50" s="13">
        <f>SUMIF(Mercado_Receita!$S$2:$S$886,"44743B2ConvencionalRuralServiço público de irrigação ruralNão se aplicaNão se aplicaPonta",Mercado_Receita!$L$2:$L$886)+SUMIF(Mercado_Receita!$S$2:$S$886,"44743B2ConvencionalRuralServiço público de irrigação ruralNão se aplicaNão se aplicaFora ponta",Mercado_Receita!$L$2:$L$886)+SUMIF(Mercado_Receita!$S$2:$S$886,"44743B2ConvencionalRuralServiço público de irrigação ruralNão se aplicaNão se aplicaIntermediário",Mercado_Receita!$L$2:$L$886)+SUMIF(Mercado_Receita!$S$2:$S$886,"44743B2ConvencionalRuralServiço público de irrigação ruralNão se aplicaNão se aplicaNão se aplica",Mercado_Receita!$L$2:$L$886)</f>
        <v>0</v>
      </c>
      <c r="R50" s="13">
        <f>SUMIF(Mercado_Receita!$S$2:$S$886,"44774B2ConvencionalRuralServiço público de irrigação ruralNão se aplicaNão se aplicaPonta",Mercado_Receita!$L$2:$L$886)+SUMIF(Mercado_Receita!$S$2:$S$886,"44774B2ConvencionalRuralServiço público de irrigação ruralNão se aplicaNão se aplicaFora ponta",Mercado_Receita!$L$2:$L$886)+SUMIF(Mercado_Receita!$S$2:$S$886,"44774B2ConvencionalRuralServiço público de irrigação ruralNão se aplicaNão se aplicaIntermediário",Mercado_Receita!$L$2:$L$886)+SUMIF(Mercado_Receita!$S$2:$S$886,"44774B2ConvencionalRuralServiço público de irrigação ruralNão se aplicaNão se aplicaNão se aplica",Mercado_Receita!$L$2:$L$886)</f>
        <v>0</v>
      </c>
      <c r="S50" s="13">
        <f>SUMIF(Mercado_Receita!$S$2:$S$886,"44805B2ConvencionalRuralServiço público de irrigação ruralNão se aplicaNão se aplicaPonta",Mercado_Receita!$L$2:$L$886)+SUMIF(Mercado_Receita!$S$2:$S$886,"44805B2ConvencionalRuralServiço público de irrigação ruralNão se aplicaNão se aplicaFora ponta",Mercado_Receita!$L$2:$L$886)+SUMIF(Mercado_Receita!$S$2:$S$886,"44805B2ConvencionalRuralServiço público de irrigação ruralNão se aplicaNão se aplicaIntermediário",Mercado_Receita!$L$2:$L$886)+SUMIF(Mercado_Receita!$S$2:$S$886,"44805B2ConvencionalRuralServiço público de irrigação ruralNão se aplicaNão se aplicaNão se aplica",Mercado_Receita!$L$2:$L$886)</f>
        <v>0</v>
      </c>
      <c r="T50" s="13">
        <f>SUMIF(Mercado_Receita!$S$2:$S$886,"44835B2ConvencionalRuralServiço público de irrigação ruralNão se aplicaNão se aplicaPonta",Mercado_Receita!$L$2:$L$886)+SUMIF(Mercado_Receita!$S$2:$S$886,"44835B2ConvencionalRuralServiço público de irrigação ruralNão se aplicaNão se aplicaFora ponta",Mercado_Receita!$L$2:$L$886)+SUMIF(Mercado_Receita!$S$2:$S$886,"44835B2ConvencionalRuralServiço público de irrigação ruralNão se aplicaNão se aplicaIntermediário",Mercado_Receita!$L$2:$L$886)+SUMIF(Mercado_Receita!$S$2:$S$886,"44835B2ConvencionalRuralServiço público de irrigação ruralNão se aplicaNão se aplicaNão se aplica",Mercado_Receita!$L$2:$L$886)</f>
        <v>0</v>
      </c>
      <c r="U50" s="13">
        <f t="shared" si="1"/>
        <v>0</v>
      </c>
      <c r="V50" s="13"/>
      <c r="W50" s="13"/>
    </row>
    <row r="51" spans="1:23" ht="11.25" customHeight="1" x14ac:dyDescent="0.3">
      <c r="A51" s="123"/>
      <c r="B51" s="122" t="s">
        <v>93</v>
      </c>
      <c r="C51" s="122" t="s">
        <v>44</v>
      </c>
      <c r="D51" s="12" t="s">
        <v>25</v>
      </c>
      <c r="E51" s="12" t="s">
        <v>25</v>
      </c>
      <c r="F51" s="12" t="s">
        <v>25</v>
      </c>
      <c r="G51" s="13" t="s">
        <v>83</v>
      </c>
      <c r="H51" s="13" t="s">
        <v>79</v>
      </c>
      <c r="I51" s="13">
        <f>SUMIF(Mercado_Receita!$S$2:$S$886,"44501B2Convencional pré-pagamentoRuralNão se aplicaNão se aplicaNão se aplicaPonta",Mercado_Receita!$L$2:$L$886)+SUMIF(Mercado_Receita!$S$2:$S$886,"44501B2Convencional pré-pagamentoRuralNão se aplicaNão se aplicaNão se aplicaFora ponta",Mercado_Receita!$L$2:$L$886)+SUMIF(Mercado_Receita!$S$2:$S$886,"44501B2Convencional pré-pagamentoRuralNão se aplicaNão se aplicaNão se aplicaIntermediário",Mercado_Receita!$L$2:$L$886)+SUMIF(Mercado_Receita!$S$2:$S$886,"44501B2Convencional pré-pagamentoRuralNão se aplicaNão se aplicaNão se aplicaNão se aplica",Mercado_Receita!$L$2:$L$886)</f>
        <v>0</v>
      </c>
      <c r="J51" s="13">
        <f>SUMIF(Mercado_Receita!$S$2:$S$886,"44531B2Convencional pré-pagamentoRuralNão se aplicaNão se aplicaNão se aplicaPonta",Mercado_Receita!$L$2:$L$886)+SUMIF(Mercado_Receita!$S$2:$S$886,"44531B2Convencional pré-pagamentoRuralNão se aplicaNão se aplicaNão se aplicaFora ponta",Mercado_Receita!$L$2:$L$886)+SUMIF(Mercado_Receita!$S$2:$S$886,"44531B2Convencional pré-pagamentoRuralNão se aplicaNão se aplicaNão se aplicaIntermediário",Mercado_Receita!$L$2:$L$886)+SUMIF(Mercado_Receita!$S$2:$S$886,"44531B2Convencional pré-pagamentoRuralNão se aplicaNão se aplicaNão se aplicaNão se aplica",Mercado_Receita!$L$2:$L$886)</f>
        <v>0</v>
      </c>
      <c r="K51" s="13">
        <f>SUMIF(Mercado_Receita!$S$2:$S$886,"44562B2Convencional pré-pagamentoRuralNão se aplicaNão se aplicaNão se aplicaPonta",Mercado_Receita!$L$2:$L$886)+SUMIF(Mercado_Receita!$S$2:$S$886,"44562B2Convencional pré-pagamentoRuralNão se aplicaNão se aplicaNão se aplicaFora ponta",Mercado_Receita!$L$2:$L$886)+SUMIF(Mercado_Receita!$S$2:$S$886,"44562B2Convencional pré-pagamentoRuralNão se aplicaNão se aplicaNão se aplicaIntermediário",Mercado_Receita!$L$2:$L$886)+SUMIF(Mercado_Receita!$S$2:$S$886,"44562B2Convencional pré-pagamentoRuralNão se aplicaNão se aplicaNão se aplicaNão se aplica",Mercado_Receita!$L$2:$L$886)</f>
        <v>0</v>
      </c>
      <c r="L51" s="13">
        <f>SUMIF(Mercado_Receita!$S$2:$S$886,"44593B2Convencional pré-pagamentoRuralNão se aplicaNão se aplicaNão se aplicaPonta",Mercado_Receita!$L$2:$L$886)+SUMIF(Mercado_Receita!$S$2:$S$886,"44593B2Convencional pré-pagamentoRuralNão se aplicaNão se aplicaNão se aplicaFora ponta",Mercado_Receita!$L$2:$L$886)+SUMIF(Mercado_Receita!$S$2:$S$886,"44593B2Convencional pré-pagamentoRuralNão se aplicaNão se aplicaNão se aplicaIntermediário",Mercado_Receita!$L$2:$L$886)+SUMIF(Mercado_Receita!$S$2:$S$886,"44593B2Convencional pré-pagamentoRuralNão se aplicaNão se aplicaNão se aplicaNão se aplica",Mercado_Receita!$L$2:$L$886)</f>
        <v>0</v>
      </c>
      <c r="M51" s="13">
        <f>SUMIF(Mercado_Receita!$S$2:$S$886,"44621B2Convencional pré-pagamentoRuralNão se aplicaNão se aplicaNão se aplicaPonta",Mercado_Receita!$L$2:$L$886)+SUMIF(Mercado_Receita!$S$2:$S$886,"44621B2Convencional pré-pagamentoRuralNão se aplicaNão se aplicaNão se aplicaFora ponta",Mercado_Receita!$L$2:$L$886)+SUMIF(Mercado_Receita!$S$2:$S$886,"44621B2Convencional pré-pagamentoRuralNão se aplicaNão se aplicaNão se aplicaIntermediário",Mercado_Receita!$L$2:$L$886)+SUMIF(Mercado_Receita!$S$2:$S$886,"44621B2Convencional pré-pagamentoRuralNão se aplicaNão se aplicaNão se aplicaNão se aplica",Mercado_Receita!$L$2:$L$886)</f>
        <v>0</v>
      </c>
      <c r="N51" s="13">
        <f>SUMIF(Mercado_Receita!$S$2:$S$886,"44652B2Convencional pré-pagamentoRuralNão se aplicaNão se aplicaNão se aplicaPonta",Mercado_Receita!$L$2:$L$886)+SUMIF(Mercado_Receita!$S$2:$S$886,"44652B2Convencional pré-pagamentoRuralNão se aplicaNão se aplicaNão se aplicaFora ponta",Mercado_Receita!$L$2:$L$886)+SUMIF(Mercado_Receita!$S$2:$S$886,"44652B2Convencional pré-pagamentoRuralNão se aplicaNão se aplicaNão se aplicaIntermediário",Mercado_Receita!$L$2:$L$886)+SUMIF(Mercado_Receita!$S$2:$S$886,"44652B2Convencional pré-pagamentoRuralNão se aplicaNão se aplicaNão se aplicaNão se aplica",Mercado_Receita!$L$2:$L$886)</f>
        <v>0</v>
      </c>
      <c r="O51" s="13">
        <f>SUMIF(Mercado_Receita!$S$2:$S$886,"44682B2Convencional pré-pagamentoRuralNão se aplicaNão se aplicaNão se aplicaPonta",Mercado_Receita!$L$2:$L$886)+SUMIF(Mercado_Receita!$S$2:$S$886,"44682B2Convencional pré-pagamentoRuralNão se aplicaNão se aplicaNão se aplicaFora ponta",Mercado_Receita!$L$2:$L$886)+SUMIF(Mercado_Receita!$S$2:$S$886,"44682B2Convencional pré-pagamentoRuralNão se aplicaNão se aplicaNão se aplicaIntermediário",Mercado_Receita!$L$2:$L$886)+SUMIF(Mercado_Receita!$S$2:$S$886,"44682B2Convencional pré-pagamentoRuralNão se aplicaNão se aplicaNão se aplicaNão se aplica",Mercado_Receita!$L$2:$L$886)</f>
        <v>0</v>
      </c>
      <c r="P51" s="13">
        <f>SUMIF(Mercado_Receita!$S$2:$S$886,"44713B2Convencional pré-pagamentoRuralNão se aplicaNão se aplicaNão se aplicaPonta",Mercado_Receita!$L$2:$L$886)+SUMIF(Mercado_Receita!$S$2:$S$886,"44713B2Convencional pré-pagamentoRuralNão se aplicaNão se aplicaNão se aplicaFora ponta",Mercado_Receita!$L$2:$L$886)+SUMIF(Mercado_Receita!$S$2:$S$886,"44713B2Convencional pré-pagamentoRuralNão se aplicaNão se aplicaNão se aplicaIntermediário",Mercado_Receita!$L$2:$L$886)+SUMIF(Mercado_Receita!$S$2:$S$886,"44713B2Convencional pré-pagamentoRuralNão se aplicaNão se aplicaNão se aplicaNão se aplica",Mercado_Receita!$L$2:$L$886)</f>
        <v>0</v>
      </c>
      <c r="Q51" s="13">
        <f>SUMIF(Mercado_Receita!$S$2:$S$886,"44743B2Convencional pré-pagamentoRuralNão se aplicaNão se aplicaNão se aplicaPonta",Mercado_Receita!$L$2:$L$886)+SUMIF(Mercado_Receita!$S$2:$S$886,"44743B2Convencional pré-pagamentoRuralNão se aplicaNão se aplicaNão se aplicaFora ponta",Mercado_Receita!$L$2:$L$886)+SUMIF(Mercado_Receita!$S$2:$S$886,"44743B2Convencional pré-pagamentoRuralNão se aplicaNão se aplicaNão se aplicaIntermediário",Mercado_Receita!$L$2:$L$886)+SUMIF(Mercado_Receita!$S$2:$S$886,"44743B2Convencional pré-pagamentoRuralNão se aplicaNão se aplicaNão se aplicaNão se aplica",Mercado_Receita!$L$2:$L$886)</f>
        <v>0</v>
      </c>
      <c r="R51" s="13">
        <f>SUMIF(Mercado_Receita!$S$2:$S$886,"44774B2Convencional pré-pagamentoRuralNão se aplicaNão se aplicaNão se aplicaPonta",Mercado_Receita!$L$2:$L$886)+SUMIF(Mercado_Receita!$S$2:$S$886,"44774B2Convencional pré-pagamentoRuralNão se aplicaNão se aplicaNão se aplicaFora ponta",Mercado_Receita!$L$2:$L$886)+SUMIF(Mercado_Receita!$S$2:$S$886,"44774B2Convencional pré-pagamentoRuralNão se aplicaNão se aplicaNão se aplicaIntermediário",Mercado_Receita!$L$2:$L$886)+SUMIF(Mercado_Receita!$S$2:$S$886,"44774B2Convencional pré-pagamentoRuralNão se aplicaNão se aplicaNão se aplicaNão se aplica",Mercado_Receita!$L$2:$L$886)</f>
        <v>0</v>
      </c>
      <c r="S51" s="13">
        <f>SUMIF(Mercado_Receita!$S$2:$S$886,"44805B2Convencional pré-pagamentoRuralNão se aplicaNão se aplicaNão se aplicaPonta",Mercado_Receita!$L$2:$L$886)+SUMIF(Mercado_Receita!$S$2:$S$886,"44805B2Convencional pré-pagamentoRuralNão se aplicaNão se aplicaNão se aplicaFora ponta",Mercado_Receita!$L$2:$L$886)+SUMIF(Mercado_Receita!$S$2:$S$886,"44805B2Convencional pré-pagamentoRuralNão se aplicaNão se aplicaNão se aplicaIntermediário",Mercado_Receita!$L$2:$L$886)+SUMIF(Mercado_Receita!$S$2:$S$886,"44805B2Convencional pré-pagamentoRuralNão se aplicaNão se aplicaNão se aplicaNão se aplica",Mercado_Receita!$L$2:$L$886)</f>
        <v>0</v>
      </c>
      <c r="T51" s="13">
        <f>SUMIF(Mercado_Receita!$S$2:$S$886,"44835B2Convencional pré-pagamentoRuralNão se aplicaNão se aplicaNão se aplicaPonta",Mercado_Receita!$L$2:$L$886)+SUMIF(Mercado_Receita!$S$2:$S$886,"44835B2Convencional pré-pagamentoRuralNão se aplicaNão se aplicaNão se aplicaFora ponta",Mercado_Receita!$L$2:$L$886)+SUMIF(Mercado_Receita!$S$2:$S$886,"44835B2Convencional pré-pagamentoRuralNão se aplicaNão se aplicaNão se aplicaIntermediário",Mercado_Receita!$L$2:$L$886)+SUMIF(Mercado_Receita!$S$2:$S$886,"44835B2Convencional pré-pagamentoRuralNão se aplicaNão se aplicaNão se aplicaNão se aplica",Mercado_Receita!$L$2:$L$886)</f>
        <v>0</v>
      </c>
      <c r="U51" s="13">
        <f t="shared" si="1"/>
        <v>0</v>
      </c>
      <c r="V51" s="13"/>
      <c r="W51" s="13"/>
    </row>
    <row r="52" spans="1:23" ht="11.25" customHeight="1" x14ac:dyDescent="0.3">
      <c r="A52" s="123"/>
      <c r="B52" s="123"/>
      <c r="C52" s="123"/>
      <c r="D52" s="12" t="s">
        <v>94</v>
      </c>
      <c r="E52" s="12" t="s">
        <v>25</v>
      </c>
      <c r="F52" s="12" t="s">
        <v>25</v>
      </c>
      <c r="G52" s="13" t="s">
        <v>83</v>
      </c>
      <c r="H52" s="13" t="s">
        <v>79</v>
      </c>
      <c r="I52" s="13">
        <f>SUMIF(Mercado_Receita!$S$2:$S$886,"44501B2Convencional pré-pagamentoRuralCooperativa de eletrificação ruralNão se aplicaNão se aplicaPonta",Mercado_Receita!$L$2:$L$886)+SUMIF(Mercado_Receita!$S$2:$S$886,"44501B2Convencional pré-pagamentoRuralCooperativa de eletrificação ruralNão se aplicaNão se aplicaFora ponta",Mercado_Receita!$L$2:$L$886)+SUMIF(Mercado_Receita!$S$2:$S$886,"44501B2Convencional pré-pagamentoRuralCooperativa de eletrificação ruralNão se aplicaNão se aplicaIntermediário",Mercado_Receita!$L$2:$L$886)+SUMIF(Mercado_Receita!$S$2:$S$886,"44501B2Convencional pré-pagamentoRuralCooperativa de eletrificação ruralNão se aplicaNão se aplicaNão se aplica",Mercado_Receita!$L$2:$L$886)</f>
        <v>0</v>
      </c>
      <c r="J52" s="13">
        <f>SUMIF(Mercado_Receita!$S$2:$S$886,"44531B2Convencional pré-pagamentoRuralCooperativa de eletrificação ruralNão se aplicaNão se aplicaPonta",Mercado_Receita!$L$2:$L$886)+SUMIF(Mercado_Receita!$S$2:$S$886,"44531B2Convencional pré-pagamentoRuralCooperativa de eletrificação ruralNão se aplicaNão se aplicaFora ponta",Mercado_Receita!$L$2:$L$886)+SUMIF(Mercado_Receita!$S$2:$S$886,"44531B2Convencional pré-pagamentoRuralCooperativa de eletrificação ruralNão se aplicaNão se aplicaIntermediário",Mercado_Receita!$L$2:$L$886)+SUMIF(Mercado_Receita!$S$2:$S$886,"44531B2Convencional pré-pagamentoRuralCooperativa de eletrificação ruralNão se aplicaNão se aplicaNão se aplica",Mercado_Receita!$L$2:$L$886)</f>
        <v>0</v>
      </c>
      <c r="K52" s="13">
        <f>SUMIF(Mercado_Receita!$S$2:$S$886,"44562B2Convencional pré-pagamentoRuralCooperativa de eletrificação ruralNão se aplicaNão se aplicaPonta",Mercado_Receita!$L$2:$L$886)+SUMIF(Mercado_Receita!$S$2:$S$886,"44562B2Convencional pré-pagamentoRuralCooperativa de eletrificação ruralNão se aplicaNão se aplicaFora ponta",Mercado_Receita!$L$2:$L$886)+SUMIF(Mercado_Receita!$S$2:$S$886,"44562B2Convencional pré-pagamentoRuralCooperativa de eletrificação ruralNão se aplicaNão se aplicaIntermediário",Mercado_Receita!$L$2:$L$886)+SUMIF(Mercado_Receita!$S$2:$S$886,"44562B2Convencional pré-pagamentoRuralCooperativa de eletrificação ruralNão se aplicaNão se aplicaNão se aplica",Mercado_Receita!$L$2:$L$886)</f>
        <v>0</v>
      </c>
      <c r="L52" s="13">
        <f>SUMIF(Mercado_Receita!$S$2:$S$886,"44593B2Convencional pré-pagamentoRuralCooperativa de eletrificação ruralNão se aplicaNão se aplicaPonta",Mercado_Receita!$L$2:$L$886)+SUMIF(Mercado_Receita!$S$2:$S$886,"44593B2Convencional pré-pagamentoRuralCooperativa de eletrificação ruralNão se aplicaNão se aplicaFora ponta",Mercado_Receita!$L$2:$L$886)+SUMIF(Mercado_Receita!$S$2:$S$886,"44593B2Convencional pré-pagamentoRuralCooperativa de eletrificação ruralNão se aplicaNão se aplicaIntermediário",Mercado_Receita!$L$2:$L$886)+SUMIF(Mercado_Receita!$S$2:$S$886,"44593B2Convencional pré-pagamentoRuralCooperativa de eletrificação ruralNão se aplicaNão se aplicaNão se aplica",Mercado_Receita!$L$2:$L$886)</f>
        <v>0</v>
      </c>
      <c r="M52" s="13">
        <f>SUMIF(Mercado_Receita!$S$2:$S$886,"44621B2Convencional pré-pagamentoRuralCooperativa de eletrificação ruralNão se aplicaNão se aplicaPonta",Mercado_Receita!$L$2:$L$886)+SUMIF(Mercado_Receita!$S$2:$S$886,"44621B2Convencional pré-pagamentoRuralCooperativa de eletrificação ruralNão se aplicaNão se aplicaFora ponta",Mercado_Receita!$L$2:$L$886)+SUMIF(Mercado_Receita!$S$2:$S$886,"44621B2Convencional pré-pagamentoRuralCooperativa de eletrificação ruralNão se aplicaNão se aplicaIntermediário",Mercado_Receita!$L$2:$L$886)+SUMIF(Mercado_Receita!$S$2:$S$886,"44621B2Convencional pré-pagamentoRuralCooperativa de eletrificação ruralNão se aplicaNão se aplicaNão se aplica",Mercado_Receita!$L$2:$L$886)</f>
        <v>0</v>
      </c>
      <c r="N52" s="13">
        <f>SUMIF(Mercado_Receita!$S$2:$S$886,"44652B2Convencional pré-pagamentoRuralCooperativa de eletrificação ruralNão se aplicaNão se aplicaPonta",Mercado_Receita!$L$2:$L$886)+SUMIF(Mercado_Receita!$S$2:$S$886,"44652B2Convencional pré-pagamentoRuralCooperativa de eletrificação ruralNão se aplicaNão se aplicaFora ponta",Mercado_Receita!$L$2:$L$886)+SUMIF(Mercado_Receita!$S$2:$S$886,"44652B2Convencional pré-pagamentoRuralCooperativa de eletrificação ruralNão se aplicaNão se aplicaIntermediário",Mercado_Receita!$L$2:$L$886)+SUMIF(Mercado_Receita!$S$2:$S$886,"44652B2Convencional pré-pagamentoRuralCooperativa de eletrificação ruralNão se aplicaNão se aplicaNão se aplica",Mercado_Receita!$L$2:$L$886)</f>
        <v>0</v>
      </c>
      <c r="O52" s="13">
        <f>SUMIF(Mercado_Receita!$S$2:$S$886,"44682B2Convencional pré-pagamentoRuralCooperativa de eletrificação ruralNão se aplicaNão se aplicaPonta",Mercado_Receita!$L$2:$L$886)+SUMIF(Mercado_Receita!$S$2:$S$886,"44682B2Convencional pré-pagamentoRuralCooperativa de eletrificação ruralNão se aplicaNão se aplicaFora ponta",Mercado_Receita!$L$2:$L$886)+SUMIF(Mercado_Receita!$S$2:$S$886,"44682B2Convencional pré-pagamentoRuralCooperativa de eletrificação ruralNão se aplicaNão se aplicaIntermediário",Mercado_Receita!$L$2:$L$886)+SUMIF(Mercado_Receita!$S$2:$S$886,"44682B2Convencional pré-pagamentoRuralCooperativa de eletrificação ruralNão se aplicaNão se aplicaNão se aplica",Mercado_Receita!$L$2:$L$886)</f>
        <v>0</v>
      </c>
      <c r="P52" s="13">
        <f>SUMIF(Mercado_Receita!$S$2:$S$886,"44713B2Convencional pré-pagamentoRuralCooperativa de eletrificação ruralNão se aplicaNão se aplicaPonta",Mercado_Receita!$L$2:$L$886)+SUMIF(Mercado_Receita!$S$2:$S$886,"44713B2Convencional pré-pagamentoRuralCooperativa de eletrificação ruralNão se aplicaNão se aplicaFora ponta",Mercado_Receita!$L$2:$L$886)+SUMIF(Mercado_Receita!$S$2:$S$886,"44713B2Convencional pré-pagamentoRuralCooperativa de eletrificação ruralNão se aplicaNão se aplicaIntermediário",Mercado_Receita!$L$2:$L$886)+SUMIF(Mercado_Receita!$S$2:$S$886,"44713B2Convencional pré-pagamentoRuralCooperativa de eletrificação ruralNão se aplicaNão se aplicaNão se aplica",Mercado_Receita!$L$2:$L$886)</f>
        <v>0</v>
      </c>
      <c r="Q52" s="13">
        <f>SUMIF(Mercado_Receita!$S$2:$S$886,"44743B2Convencional pré-pagamentoRuralCooperativa de eletrificação ruralNão se aplicaNão se aplicaPonta",Mercado_Receita!$L$2:$L$886)+SUMIF(Mercado_Receita!$S$2:$S$886,"44743B2Convencional pré-pagamentoRuralCooperativa de eletrificação ruralNão se aplicaNão se aplicaFora ponta",Mercado_Receita!$L$2:$L$886)+SUMIF(Mercado_Receita!$S$2:$S$886,"44743B2Convencional pré-pagamentoRuralCooperativa de eletrificação ruralNão se aplicaNão se aplicaIntermediário",Mercado_Receita!$L$2:$L$886)+SUMIF(Mercado_Receita!$S$2:$S$886,"44743B2Convencional pré-pagamentoRuralCooperativa de eletrificação ruralNão se aplicaNão se aplicaNão se aplica",Mercado_Receita!$L$2:$L$886)</f>
        <v>0</v>
      </c>
      <c r="R52" s="13">
        <f>SUMIF(Mercado_Receita!$S$2:$S$886,"44774B2Convencional pré-pagamentoRuralCooperativa de eletrificação ruralNão se aplicaNão se aplicaPonta",Mercado_Receita!$L$2:$L$886)+SUMIF(Mercado_Receita!$S$2:$S$886,"44774B2Convencional pré-pagamentoRuralCooperativa de eletrificação ruralNão se aplicaNão se aplicaFora ponta",Mercado_Receita!$L$2:$L$886)+SUMIF(Mercado_Receita!$S$2:$S$886,"44774B2Convencional pré-pagamentoRuralCooperativa de eletrificação ruralNão se aplicaNão se aplicaIntermediário",Mercado_Receita!$L$2:$L$886)+SUMIF(Mercado_Receita!$S$2:$S$886,"44774B2Convencional pré-pagamentoRuralCooperativa de eletrificação ruralNão se aplicaNão se aplicaNão se aplica",Mercado_Receita!$L$2:$L$886)</f>
        <v>0</v>
      </c>
      <c r="S52" s="13">
        <f>SUMIF(Mercado_Receita!$S$2:$S$886,"44805B2Convencional pré-pagamentoRuralCooperativa de eletrificação ruralNão se aplicaNão se aplicaPonta",Mercado_Receita!$L$2:$L$886)+SUMIF(Mercado_Receita!$S$2:$S$886,"44805B2Convencional pré-pagamentoRuralCooperativa de eletrificação ruralNão se aplicaNão se aplicaFora ponta",Mercado_Receita!$L$2:$L$886)+SUMIF(Mercado_Receita!$S$2:$S$886,"44805B2Convencional pré-pagamentoRuralCooperativa de eletrificação ruralNão se aplicaNão se aplicaIntermediário",Mercado_Receita!$L$2:$L$886)+SUMIF(Mercado_Receita!$S$2:$S$886,"44805B2Convencional pré-pagamentoRuralCooperativa de eletrificação ruralNão se aplicaNão se aplicaNão se aplica",Mercado_Receita!$L$2:$L$886)</f>
        <v>0</v>
      </c>
      <c r="T52" s="13">
        <f>SUMIF(Mercado_Receita!$S$2:$S$886,"44835B2Convencional pré-pagamentoRuralCooperativa de eletrificação ruralNão se aplicaNão se aplicaPonta",Mercado_Receita!$L$2:$L$886)+SUMIF(Mercado_Receita!$S$2:$S$886,"44835B2Convencional pré-pagamentoRuralCooperativa de eletrificação ruralNão se aplicaNão se aplicaFora ponta",Mercado_Receita!$L$2:$L$886)+SUMIF(Mercado_Receita!$S$2:$S$886,"44835B2Convencional pré-pagamentoRuralCooperativa de eletrificação ruralNão se aplicaNão se aplicaIntermediário",Mercado_Receita!$L$2:$L$886)+SUMIF(Mercado_Receita!$S$2:$S$886,"44835B2Convencional pré-pagamentoRuralCooperativa de eletrificação ruralNão se aplicaNão se aplicaNão se aplica",Mercado_Receita!$L$2:$L$886)</f>
        <v>0</v>
      </c>
      <c r="U52" s="13">
        <f t="shared" si="1"/>
        <v>0</v>
      </c>
      <c r="V52" s="13"/>
      <c r="W52" s="13"/>
    </row>
    <row r="53" spans="1:23" ht="11.25" customHeight="1" x14ac:dyDescent="0.3">
      <c r="A53" s="123"/>
      <c r="B53" s="123"/>
      <c r="C53" s="123"/>
      <c r="D53" s="12" t="s">
        <v>95</v>
      </c>
      <c r="E53" s="12" t="s">
        <v>25</v>
      </c>
      <c r="F53" s="12" t="s">
        <v>25</v>
      </c>
      <c r="G53" s="13" t="s">
        <v>83</v>
      </c>
      <c r="H53" s="13" t="s">
        <v>79</v>
      </c>
      <c r="I53" s="13">
        <f>SUMIF(Mercado_Receita!$S$2:$S$886,"44501B2Convencional pré-pagamentoRuralServiço público de irrigação ruralNão se aplicaNão se aplicaPonta",Mercado_Receita!$L$2:$L$886)+SUMIF(Mercado_Receita!$S$2:$S$886,"44501B2Convencional pré-pagamentoRuralServiço público de irrigação ruralNão se aplicaNão se aplicaFora ponta",Mercado_Receita!$L$2:$L$886)+SUMIF(Mercado_Receita!$S$2:$S$886,"44501B2Convencional pré-pagamentoRuralServiço público de irrigação ruralNão se aplicaNão se aplicaIntermediário",Mercado_Receita!$L$2:$L$886)+SUMIF(Mercado_Receita!$S$2:$S$886,"44501B2Convencional pré-pagamentoRuralServiço público de irrigação ruralNão se aplicaNão se aplicaNão se aplica",Mercado_Receita!$L$2:$L$886)</f>
        <v>0</v>
      </c>
      <c r="J53" s="13">
        <f>SUMIF(Mercado_Receita!$S$2:$S$886,"44531B2Convencional pré-pagamentoRuralServiço público de irrigação ruralNão se aplicaNão se aplicaPonta",Mercado_Receita!$L$2:$L$886)+SUMIF(Mercado_Receita!$S$2:$S$886,"44531B2Convencional pré-pagamentoRuralServiço público de irrigação ruralNão se aplicaNão se aplicaFora ponta",Mercado_Receita!$L$2:$L$886)+SUMIF(Mercado_Receita!$S$2:$S$886,"44531B2Convencional pré-pagamentoRuralServiço público de irrigação ruralNão se aplicaNão se aplicaIntermediário",Mercado_Receita!$L$2:$L$886)+SUMIF(Mercado_Receita!$S$2:$S$886,"44531B2Convencional pré-pagamentoRuralServiço público de irrigação ruralNão se aplicaNão se aplicaNão se aplica",Mercado_Receita!$L$2:$L$886)</f>
        <v>0</v>
      </c>
      <c r="K53" s="13">
        <f>SUMIF(Mercado_Receita!$S$2:$S$886,"44562B2Convencional pré-pagamentoRuralServiço público de irrigação ruralNão se aplicaNão se aplicaPonta",Mercado_Receita!$L$2:$L$886)+SUMIF(Mercado_Receita!$S$2:$S$886,"44562B2Convencional pré-pagamentoRuralServiço público de irrigação ruralNão se aplicaNão se aplicaFora ponta",Mercado_Receita!$L$2:$L$886)+SUMIF(Mercado_Receita!$S$2:$S$886,"44562B2Convencional pré-pagamentoRuralServiço público de irrigação ruralNão se aplicaNão se aplicaIntermediário",Mercado_Receita!$L$2:$L$886)+SUMIF(Mercado_Receita!$S$2:$S$886,"44562B2Convencional pré-pagamentoRuralServiço público de irrigação ruralNão se aplicaNão se aplicaNão se aplica",Mercado_Receita!$L$2:$L$886)</f>
        <v>0</v>
      </c>
      <c r="L53" s="13">
        <f>SUMIF(Mercado_Receita!$S$2:$S$886,"44593B2Convencional pré-pagamentoRuralServiço público de irrigação ruralNão se aplicaNão se aplicaPonta",Mercado_Receita!$L$2:$L$886)+SUMIF(Mercado_Receita!$S$2:$S$886,"44593B2Convencional pré-pagamentoRuralServiço público de irrigação ruralNão se aplicaNão se aplicaFora ponta",Mercado_Receita!$L$2:$L$886)+SUMIF(Mercado_Receita!$S$2:$S$886,"44593B2Convencional pré-pagamentoRuralServiço público de irrigação ruralNão se aplicaNão se aplicaIntermediário",Mercado_Receita!$L$2:$L$886)+SUMIF(Mercado_Receita!$S$2:$S$886,"44593B2Convencional pré-pagamentoRuralServiço público de irrigação ruralNão se aplicaNão se aplicaNão se aplica",Mercado_Receita!$L$2:$L$886)</f>
        <v>0</v>
      </c>
      <c r="M53" s="13">
        <f>SUMIF(Mercado_Receita!$S$2:$S$886,"44621B2Convencional pré-pagamentoRuralServiço público de irrigação ruralNão se aplicaNão se aplicaPonta",Mercado_Receita!$L$2:$L$886)+SUMIF(Mercado_Receita!$S$2:$S$886,"44621B2Convencional pré-pagamentoRuralServiço público de irrigação ruralNão se aplicaNão se aplicaFora ponta",Mercado_Receita!$L$2:$L$886)+SUMIF(Mercado_Receita!$S$2:$S$886,"44621B2Convencional pré-pagamentoRuralServiço público de irrigação ruralNão se aplicaNão se aplicaIntermediário",Mercado_Receita!$L$2:$L$886)+SUMIF(Mercado_Receita!$S$2:$S$886,"44621B2Convencional pré-pagamentoRuralServiço público de irrigação ruralNão se aplicaNão se aplicaNão se aplica",Mercado_Receita!$L$2:$L$886)</f>
        <v>0</v>
      </c>
      <c r="N53" s="13">
        <f>SUMIF(Mercado_Receita!$S$2:$S$886,"44652B2Convencional pré-pagamentoRuralServiço público de irrigação ruralNão se aplicaNão se aplicaPonta",Mercado_Receita!$L$2:$L$886)+SUMIF(Mercado_Receita!$S$2:$S$886,"44652B2Convencional pré-pagamentoRuralServiço público de irrigação ruralNão se aplicaNão se aplicaFora ponta",Mercado_Receita!$L$2:$L$886)+SUMIF(Mercado_Receita!$S$2:$S$886,"44652B2Convencional pré-pagamentoRuralServiço público de irrigação ruralNão se aplicaNão se aplicaIntermediário",Mercado_Receita!$L$2:$L$886)+SUMIF(Mercado_Receita!$S$2:$S$886,"44652B2Convencional pré-pagamentoRuralServiço público de irrigação ruralNão se aplicaNão se aplicaNão se aplica",Mercado_Receita!$L$2:$L$886)</f>
        <v>0</v>
      </c>
      <c r="O53" s="13">
        <f>SUMIF(Mercado_Receita!$S$2:$S$886,"44682B2Convencional pré-pagamentoRuralServiço público de irrigação ruralNão se aplicaNão se aplicaPonta",Mercado_Receita!$L$2:$L$886)+SUMIF(Mercado_Receita!$S$2:$S$886,"44682B2Convencional pré-pagamentoRuralServiço público de irrigação ruralNão se aplicaNão se aplicaFora ponta",Mercado_Receita!$L$2:$L$886)+SUMIF(Mercado_Receita!$S$2:$S$886,"44682B2Convencional pré-pagamentoRuralServiço público de irrigação ruralNão se aplicaNão se aplicaIntermediário",Mercado_Receita!$L$2:$L$886)+SUMIF(Mercado_Receita!$S$2:$S$886,"44682B2Convencional pré-pagamentoRuralServiço público de irrigação ruralNão se aplicaNão se aplicaNão se aplica",Mercado_Receita!$L$2:$L$886)</f>
        <v>0</v>
      </c>
      <c r="P53" s="13">
        <f>SUMIF(Mercado_Receita!$S$2:$S$886,"44713B2Convencional pré-pagamentoRuralServiço público de irrigação ruralNão se aplicaNão se aplicaPonta",Mercado_Receita!$L$2:$L$886)+SUMIF(Mercado_Receita!$S$2:$S$886,"44713B2Convencional pré-pagamentoRuralServiço público de irrigação ruralNão se aplicaNão se aplicaFora ponta",Mercado_Receita!$L$2:$L$886)+SUMIF(Mercado_Receita!$S$2:$S$886,"44713B2Convencional pré-pagamentoRuralServiço público de irrigação ruralNão se aplicaNão se aplicaIntermediário",Mercado_Receita!$L$2:$L$886)+SUMIF(Mercado_Receita!$S$2:$S$886,"44713B2Convencional pré-pagamentoRuralServiço público de irrigação ruralNão se aplicaNão se aplicaNão se aplica",Mercado_Receita!$L$2:$L$886)</f>
        <v>0</v>
      </c>
      <c r="Q53" s="13">
        <f>SUMIF(Mercado_Receita!$S$2:$S$886,"44743B2Convencional pré-pagamentoRuralServiço público de irrigação ruralNão se aplicaNão se aplicaPonta",Mercado_Receita!$L$2:$L$886)+SUMIF(Mercado_Receita!$S$2:$S$886,"44743B2Convencional pré-pagamentoRuralServiço público de irrigação ruralNão se aplicaNão se aplicaFora ponta",Mercado_Receita!$L$2:$L$886)+SUMIF(Mercado_Receita!$S$2:$S$886,"44743B2Convencional pré-pagamentoRuralServiço público de irrigação ruralNão se aplicaNão se aplicaIntermediário",Mercado_Receita!$L$2:$L$886)+SUMIF(Mercado_Receita!$S$2:$S$886,"44743B2Convencional pré-pagamentoRuralServiço público de irrigação ruralNão se aplicaNão se aplicaNão se aplica",Mercado_Receita!$L$2:$L$886)</f>
        <v>0</v>
      </c>
      <c r="R53" s="13">
        <f>SUMIF(Mercado_Receita!$S$2:$S$886,"44774B2Convencional pré-pagamentoRuralServiço público de irrigação ruralNão se aplicaNão se aplicaPonta",Mercado_Receita!$L$2:$L$886)+SUMIF(Mercado_Receita!$S$2:$S$886,"44774B2Convencional pré-pagamentoRuralServiço público de irrigação ruralNão se aplicaNão se aplicaFora ponta",Mercado_Receita!$L$2:$L$886)+SUMIF(Mercado_Receita!$S$2:$S$886,"44774B2Convencional pré-pagamentoRuralServiço público de irrigação ruralNão se aplicaNão se aplicaIntermediário",Mercado_Receita!$L$2:$L$886)+SUMIF(Mercado_Receita!$S$2:$S$886,"44774B2Convencional pré-pagamentoRuralServiço público de irrigação ruralNão se aplicaNão se aplicaNão se aplica",Mercado_Receita!$L$2:$L$886)</f>
        <v>0</v>
      </c>
      <c r="S53" s="13">
        <f>SUMIF(Mercado_Receita!$S$2:$S$886,"44805B2Convencional pré-pagamentoRuralServiço público de irrigação ruralNão se aplicaNão se aplicaPonta",Mercado_Receita!$L$2:$L$886)+SUMIF(Mercado_Receita!$S$2:$S$886,"44805B2Convencional pré-pagamentoRuralServiço público de irrigação ruralNão se aplicaNão se aplicaFora ponta",Mercado_Receita!$L$2:$L$886)+SUMIF(Mercado_Receita!$S$2:$S$886,"44805B2Convencional pré-pagamentoRuralServiço público de irrigação ruralNão se aplicaNão se aplicaIntermediário",Mercado_Receita!$L$2:$L$886)+SUMIF(Mercado_Receita!$S$2:$S$886,"44805B2Convencional pré-pagamentoRuralServiço público de irrigação ruralNão se aplicaNão se aplicaNão se aplica",Mercado_Receita!$L$2:$L$886)</f>
        <v>0</v>
      </c>
      <c r="T53" s="13">
        <f>SUMIF(Mercado_Receita!$S$2:$S$886,"44835B2Convencional pré-pagamentoRuralServiço público de irrigação ruralNão se aplicaNão se aplicaPonta",Mercado_Receita!$L$2:$L$886)+SUMIF(Mercado_Receita!$S$2:$S$886,"44835B2Convencional pré-pagamentoRuralServiço público de irrigação ruralNão se aplicaNão se aplicaFora ponta",Mercado_Receita!$L$2:$L$886)+SUMIF(Mercado_Receita!$S$2:$S$886,"44835B2Convencional pré-pagamentoRuralServiço público de irrigação ruralNão se aplicaNão se aplicaIntermediário",Mercado_Receita!$L$2:$L$886)+SUMIF(Mercado_Receita!$S$2:$S$886,"44835B2Convencional pré-pagamentoRuralServiço público de irrigação ruralNão se aplicaNão se aplicaNão se aplica",Mercado_Receita!$L$2:$L$886)</f>
        <v>0</v>
      </c>
      <c r="U53" s="13">
        <f t="shared" si="1"/>
        <v>0</v>
      </c>
      <c r="V53" s="13"/>
      <c r="W53" s="13"/>
    </row>
    <row r="54" spans="1:23" ht="11.25" customHeight="1" x14ac:dyDescent="0.3">
      <c r="A54" s="122" t="s">
        <v>37</v>
      </c>
      <c r="B54" s="122" t="s">
        <v>33</v>
      </c>
      <c r="C54" s="122" t="s">
        <v>25</v>
      </c>
      <c r="D54" s="122" t="s">
        <v>25</v>
      </c>
      <c r="E54" s="122" t="s">
        <v>25</v>
      </c>
      <c r="F54" s="122" t="s">
        <v>25</v>
      </c>
      <c r="G54" s="13" t="s">
        <v>80</v>
      </c>
      <c r="H54" s="13" t="s">
        <v>79</v>
      </c>
      <c r="I54" s="13">
        <f>SUMIF(Mercado_Receita!$S$2:$S$886,"44501B3BrancaNão se aplicaNão se aplicaNão se aplicaNão se aplicaPonta",Mercado_Receita!$L$2:$L$886)</f>
        <v>0.85699999999999998</v>
      </c>
      <c r="J54" s="13">
        <f>SUMIF(Mercado_Receita!$S$2:$S$886,"44531B3BrancaNão se aplicaNão se aplicaNão se aplicaNão se aplicaPonta",Mercado_Receita!$L$2:$L$886)</f>
        <v>0.80800000000000005</v>
      </c>
      <c r="K54" s="13">
        <f>SUMIF(Mercado_Receita!$S$2:$S$886,"44562B3BrancaNão se aplicaNão se aplicaNão se aplicaNão se aplicaPonta",Mercado_Receita!$L$2:$L$886)</f>
        <v>0.95199999999999996</v>
      </c>
      <c r="L54" s="13">
        <f>SUMIF(Mercado_Receita!$S$2:$S$886,"44593B3BrancaNão se aplicaNão se aplicaNão se aplicaNão se aplicaPonta",Mercado_Receita!$L$2:$L$886)</f>
        <v>1</v>
      </c>
      <c r="M54" s="13">
        <f>SUMIF(Mercado_Receita!$S$2:$S$886,"44621B3BrancaNão se aplicaNão se aplicaNão se aplicaNão se aplicaPonta",Mercado_Receita!$L$2:$L$886)</f>
        <v>0.77499999999999991</v>
      </c>
      <c r="N54" s="13">
        <f>SUMIF(Mercado_Receita!$S$2:$S$886,"44652B3BrancaNão se aplicaNão se aplicaNão se aplicaNão se aplicaPonta",Mercado_Receita!$L$2:$L$886)</f>
        <v>1.0329999999999999</v>
      </c>
      <c r="O54" s="13">
        <f>SUMIF(Mercado_Receita!$S$2:$S$886,"44682B3BrancaNão se aplicaNão se aplicaNão se aplicaNão se aplicaPonta",Mercado_Receita!$L$2:$L$886)</f>
        <v>0.94799999999999995</v>
      </c>
      <c r="P54" s="13">
        <f>SUMIF(Mercado_Receita!$S$2:$S$886,"44713B3BrancaNão se aplicaNão se aplicaNão se aplicaNão se aplicaPonta",Mercado_Receita!$L$2:$L$886)</f>
        <v>0.84600000000000009</v>
      </c>
      <c r="Q54" s="13">
        <f>SUMIF(Mercado_Receita!$S$2:$S$886,"44743B3BrancaNão se aplicaNão se aplicaNão se aplicaNão se aplicaPonta",Mercado_Receita!$L$2:$L$886)</f>
        <v>0.79400000000000004</v>
      </c>
      <c r="R54" s="13">
        <f>SUMIF(Mercado_Receita!$S$2:$S$886,"44774B3BrancaNão se aplicaNão se aplicaNão se aplicaNão se aplicaPonta",Mercado_Receita!$L$2:$L$886)</f>
        <v>0.747</v>
      </c>
      <c r="S54" s="13">
        <f>SUMIF(Mercado_Receita!$S$2:$S$886,"44805B3BrancaNão se aplicaNão se aplicaNão se aplicaNão se aplicaPonta",Mercado_Receita!$L$2:$L$886)</f>
        <v>0.85400000000000009</v>
      </c>
      <c r="T54" s="13">
        <f>SUMIF(Mercado_Receita!$S$2:$S$886,"44835B3BrancaNão se aplicaNão se aplicaNão se aplicaNão se aplicaPonta",Mercado_Receita!$L$2:$L$886)</f>
        <v>0.85400000000000009</v>
      </c>
      <c r="U54" s="13">
        <f t="shared" si="1"/>
        <v>10.468</v>
      </c>
      <c r="V54" s="13"/>
      <c r="W54" s="13"/>
    </row>
    <row r="55" spans="1:23" ht="11.25" customHeight="1" x14ac:dyDescent="0.3">
      <c r="A55" s="123"/>
      <c r="B55" s="123"/>
      <c r="C55" s="123"/>
      <c r="D55" s="123"/>
      <c r="E55" s="123"/>
      <c r="F55" s="123"/>
      <c r="G55" s="13" t="s">
        <v>91</v>
      </c>
      <c r="H55" s="13" t="s">
        <v>79</v>
      </c>
      <c r="I55" s="13">
        <f>SUMIF(Mercado_Receita!$S$2:$S$886,"44501B3BrancaNão se aplicaNão se aplicaNão se aplicaNão se aplicaIntermediário",Mercado_Receita!$L$2:$L$886)</f>
        <v>0.89600000000000002</v>
      </c>
      <c r="J55" s="13">
        <f>SUMIF(Mercado_Receita!$S$2:$S$886,"44531B3BrancaNão se aplicaNão se aplicaNão se aplicaNão se aplicaIntermediário",Mercado_Receita!$L$2:$L$886)</f>
        <v>0.76899999999999991</v>
      </c>
      <c r="K55" s="13">
        <f>SUMIF(Mercado_Receita!$S$2:$S$886,"44562B3BrancaNão se aplicaNão se aplicaNão se aplicaNão se aplicaIntermediário",Mercado_Receita!$L$2:$L$886)</f>
        <v>0.90199999999999991</v>
      </c>
      <c r="L55" s="13">
        <f>SUMIF(Mercado_Receita!$S$2:$S$886,"44593B3BrancaNão se aplicaNão se aplicaNão se aplicaNão se aplicaIntermediário",Mercado_Receita!$L$2:$L$886)</f>
        <v>0.89300000000000002</v>
      </c>
      <c r="M55" s="13">
        <f>SUMIF(Mercado_Receita!$S$2:$S$886,"44621B3BrancaNão se aplicaNão se aplicaNão se aplicaNão se aplicaIntermediário",Mercado_Receita!$L$2:$L$886)</f>
        <v>0.71399999999999997</v>
      </c>
      <c r="N55" s="13">
        <f>SUMIF(Mercado_Receita!$S$2:$S$886,"44652B3BrancaNão se aplicaNão se aplicaNão se aplicaNão se aplicaIntermediário",Mercado_Receita!$L$2:$L$886)</f>
        <v>0.99</v>
      </c>
      <c r="O55" s="13">
        <f>SUMIF(Mercado_Receita!$S$2:$S$886,"44682B3BrancaNão se aplicaNão se aplicaNão se aplicaNão se aplicaIntermediário",Mercado_Receita!$L$2:$L$886)</f>
        <v>0.873</v>
      </c>
      <c r="P55" s="13">
        <f>SUMIF(Mercado_Receita!$S$2:$S$886,"44713B3BrancaNão se aplicaNão se aplicaNão se aplicaNão se aplicaIntermediário",Mercado_Receita!$L$2:$L$886)</f>
        <v>0.71399999999999997</v>
      </c>
      <c r="Q55" s="13">
        <f>SUMIF(Mercado_Receita!$S$2:$S$886,"44743B3BrancaNão se aplicaNão se aplicaNão se aplicaNão se aplicaIntermediário",Mercado_Receita!$L$2:$L$886)</f>
        <v>0.73499999999999999</v>
      </c>
      <c r="R55" s="13">
        <f>SUMIF(Mercado_Receita!$S$2:$S$886,"44774B3BrancaNão se aplicaNão se aplicaNão se aplicaNão se aplicaIntermediário",Mercado_Receita!$L$2:$L$886)</f>
        <v>0.65900000000000003</v>
      </c>
      <c r="S55" s="13">
        <f>SUMIF(Mercado_Receita!$S$2:$S$886,"44805B3BrancaNão se aplicaNão se aplicaNão se aplicaNão se aplicaIntermediário",Mercado_Receita!$L$2:$L$886)</f>
        <v>0.77300000000000002</v>
      </c>
      <c r="T55" s="13">
        <f>SUMIF(Mercado_Receita!$S$2:$S$886,"44835B3BrancaNão se aplicaNão se aplicaNão se aplicaNão se aplicaIntermediário",Mercado_Receita!$L$2:$L$886)</f>
        <v>0.77300000000000002</v>
      </c>
      <c r="U55" s="13">
        <f t="shared" si="1"/>
        <v>9.6909999999999989</v>
      </c>
      <c r="V55" s="13"/>
      <c r="W55" s="13"/>
    </row>
    <row r="56" spans="1:23" ht="11.25" customHeight="1" x14ac:dyDescent="0.3">
      <c r="A56" s="123"/>
      <c r="B56" s="123"/>
      <c r="C56" s="123"/>
      <c r="D56" s="123"/>
      <c r="E56" s="123"/>
      <c r="F56" s="123"/>
      <c r="G56" s="13" t="s">
        <v>81</v>
      </c>
      <c r="H56" s="13" t="s">
        <v>79</v>
      </c>
      <c r="I56" s="13">
        <f>SUMIF(Mercado_Receita!$S$2:$S$886,"44501B3BrancaNão se aplicaNão se aplicaNão se aplicaNão se aplicaFora ponta",Mercado_Receita!$L$2:$L$886)</f>
        <v>14.590999999999999</v>
      </c>
      <c r="J56" s="13">
        <f>SUMIF(Mercado_Receita!$S$2:$S$886,"44531B3BrancaNão se aplicaNão se aplicaNão se aplicaNão se aplicaFora ponta",Mercado_Receita!$L$2:$L$886)</f>
        <v>12.911</v>
      </c>
      <c r="K56" s="13">
        <f>SUMIF(Mercado_Receita!$S$2:$S$886,"44562B3BrancaNão se aplicaNão se aplicaNão se aplicaNão se aplicaFora ponta",Mercado_Receita!$L$2:$L$886)</f>
        <v>14.027999999999999</v>
      </c>
      <c r="L56" s="13">
        <f>SUMIF(Mercado_Receita!$S$2:$S$886,"44593B3BrancaNão se aplicaNão se aplicaNão se aplicaNão se aplicaFora ponta",Mercado_Receita!$L$2:$L$886)</f>
        <v>12.882</v>
      </c>
      <c r="M56" s="13">
        <f>SUMIF(Mercado_Receita!$S$2:$S$886,"44621B3BrancaNão se aplicaNão se aplicaNão se aplicaNão se aplicaFora ponta",Mercado_Receita!$L$2:$L$886)</f>
        <v>11.161999999999999</v>
      </c>
      <c r="N56" s="13">
        <f>SUMIF(Mercado_Receita!$S$2:$S$886,"44652B3BrancaNão se aplicaNão se aplicaNão se aplicaNão se aplicaFora ponta",Mercado_Receita!$L$2:$L$886)</f>
        <v>14.654</v>
      </c>
      <c r="O56" s="13">
        <f>SUMIF(Mercado_Receita!$S$2:$S$886,"44682B3BrancaNão se aplicaNão se aplicaNão se aplicaNão se aplicaFora ponta",Mercado_Receita!$L$2:$L$886)</f>
        <v>15.506</v>
      </c>
      <c r="P56" s="13">
        <f>SUMIF(Mercado_Receita!$S$2:$S$886,"44713B3BrancaNão se aplicaNão se aplicaNão se aplicaNão se aplicaFora ponta",Mercado_Receita!$L$2:$L$886)</f>
        <v>10.407</v>
      </c>
      <c r="Q56" s="13">
        <f>SUMIF(Mercado_Receita!$S$2:$S$886,"44743B3BrancaNão se aplicaNão se aplicaNão se aplicaNão se aplicaFora ponta",Mercado_Receita!$L$2:$L$886)</f>
        <v>10.599</v>
      </c>
      <c r="R56" s="13">
        <f>SUMIF(Mercado_Receita!$S$2:$S$886,"44774B3BrancaNão se aplicaNão se aplicaNão se aplicaNão se aplicaFora ponta",Mercado_Receita!$L$2:$L$886)</f>
        <v>9.4079999999999995</v>
      </c>
      <c r="S56" s="13">
        <f>SUMIF(Mercado_Receita!$S$2:$S$886,"44805B3BrancaNão se aplicaNão se aplicaNão se aplicaNão se aplicaFora ponta",Mercado_Receita!$L$2:$L$886)</f>
        <v>12.09</v>
      </c>
      <c r="T56" s="13">
        <f>SUMIF(Mercado_Receita!$S$2:$S$886,"44835B3BrancaNão se aplicaNão se aplicaNão se aplicaNão se aplicaFora ponta",Mercado_Receita!$L$2:$L$886)</f>
        <v>12.09</v>
      </c>
      <c r="U56" s="13">
        <f t="shared" si="1"/>
        <v>150.328</v>
      </c>
      <c r="V56" s="13"/>
      <c r="W56" s="13"/>
    </row>
    <row r="57" spans="1:23" ht="11.25" customHeight="1" x14ac:dyDescent="0.3">
      <c r="A57" s="123"/>
      <c r="B57" s="12" t="s">
        <v>23</v>
      </c>
      <c r="C57" s="12" t="s">
        <v>25</v>
      </c>
      <c r="D57" s="12" t="s">
        <v>25</v>
      </c>
      <c r="E57" s="12" t="s">
        <v>25</v>
      </c>
      <c r="F57" s="12" t="s">
        <v>25</v>
      </c>
      <c r="G57" s="13" t="s">
        <v>83</v>
      </c>
      <c r="H57" s="13" t="s">
        <v>79</v>
      </c>
      <c r="I57" s="13">
        <f>SUMIF(Mercado_Receita!$S$2:$S$886,"44501B3ConvencionalNão se aplicaNão se aplicaNão se aplicaNão se aplicaPonta",Mercado_Receita!$L$2:$L$886)+SUMIF(Mercado_Receita!$S$2:$S$886,"44501B3ConvencionalNão se aplicaNão se aplicaNão se aplicaNão se aplicaFora ponta",Mercado_Receita!$L$2:$L$886)+SUMIF(Mercado_Receita!$S$2:$S$886,"44501B3ConvencionalNão se aplicaNão se aplicaNão se aplicaNão se aplicaIntermediário",Mercado_Receita!$L$2:$L$886)+SUMIF(Mercado_Receita!$S$2:$S$886,"44501B3ConvencionalNão se aplicaNão se aplicaNão se aplicaNão se aplicaNão se aplica",Mercado_Receita!$L$2:$L$886)</f>
        <v>2137.5079999999998</v>
      </c>
      <c r="J57" s="13">
        <f>SUMIF(Mercado_Receita!$S$2:$S$886,"44531B3ConvencionalNão se aplicaNão se aplicaNão se aplicaNão se aplicaPonta",Mercado_Receita!$L$2:$L$886)+SUMIF(Mercado_Receita!$S$2:$S$886,"44531B3ConvencionalNão se aplicaNão se aplicaNão se aplicaNão se aplicaFora ponta",Mercado_Receita!$L$2:$L$886)+SUMIF(Mercado_Receita!$S$2:$S$886,"44531B3ConvencionalNão se aplicaNão se aplicaNão se aplicaNão se aplicaIntermediário",Mercado_Receita!$L$2:$L$886)+SUMIF(Mercado_Receita!$S$2:$S$886,"44531B3ConvencionalNão se aplicaNão se aplicaNão se aplicaNão se aplicaNão se aplica",Mercado_Receita!$L$2:$L$886)</f>
        <v>2056.9969999999998</v>
      </c>
      <c r="K57" s="13">
        <f>SUMIF(Mercado_Receita!$S$2:$S$886,"44562B3ConvencionalNão se aplicaNão se aplicaNão se aplicaNão se aplicaPonta",Mercado_Receita!$L$2:$L$886)+SUMIF(Mercado_Receita!$S$2:$S$886,"44562B3ConvencionalNão se aplicaNão se aplicaNão se aplicaNão se aplicaFora ponta",Mercado_Receita!$L$2:$L$886)+SUMIF(Mercado_Receita!$S$2:$S$886,"44562B3ConvencionalNão se aplicaNão se aplicaNão se aplicaNão se aplicaIntermediário",Mercado_Receita!$L$2:$L$886)+SUMIF(Mercado_Receita!$S$2:$S$886,"44562B3ConvencionalNão se aplicaNão se aplicaNão se aplicaNão se aplicaNão se aplica",Mercado_Receita!$L$2:$L$886)</f>
        <v>2032.7070000000001</v>
      </c>
      <c r="L57" s="13">
        <f>SUMIF(Mercado_Receita!$S$2:$S$886,"44593B3ConvencionalNão se aplicaNão se aplicaNão se aplicaNão se aplicaPonta",Mercado_Receita!$L$2:$L$886)+SUMIF(Mercado_Receita!$S$2:$S$886,"44593B3ConvencionalNão se aplicaNão se aplicaNão se aplicaNão se aplicaFora ponta",Mercado_Receita!$L$2:$L$886)+SUMIF(Mercado_Receita!$S$2:$S$886,"44593B3ConvencionalNão se aplicaNão se aplicaNão se aplicaNão se aplicaIntermediário",Mercado_Receita!$L$2:$L$886)+SUMIF(Mercado_Receita!$S$2:$S$886,"44593B3ConvencionalNão se aplicaNão se aplicaNão se aplicaNão se aplicaNão se aplica",Mercado_Receita!$L$2:$L$886)</f>
        <v>2001.9289999999999</v>
      </c>
      <c r="M57" s="13">
        <f>SUMIF(Mercado_Receita!$S$2:$S$886,"44621B3ConvencionalNão se aplicaNão se aplicaNão se aplicaNão se aplicaPonta",Mercado_Receita!$L$2:$L$886)+SUMIF(Mercado_Receita!$S$2:$S$886,"44621B3ConvencionalNão se aplicaNão se aplicaNão se aplicaNão se aplicaFora ponta",Mercado_Receita!$L$2:$L$886)+SUMIF(Mercado_Receita!$S$2:$S$886,"44621B3ConvencionalNão se aplicaNão se aplicaNão se aplicaNão se aplicaIntermediário",Mercado_Receita!$L$2:$L$886)+SUMIF(Mercado_Receita!$S$2:$S$886,"44621B3ConvencionalNão se aplicaNão se aplicaNão se aplicaNão se aplicaNão se aplica",Mercado_Receita!$L$2:$L$886)</f>
        <v>1872.2609999999997</v>
      </c>
      <c r="N57" s="13">
        <f>SUMIF(Mercado_Receita!$S$2:$S$886,"44652B3ConvencionalNão se aplicaNão se aplicaNão se aplicaNão se aplicaPonta",Mercado_Receita!$L$2:$L$886)+SUMIF(Mercado_Receita!$S$2:$S$886,"44652B3ConvencionalNão se aplicaNão se aplicaNão se aplicaNão se aplicaFora ponta",Mercado_Receita!$L$2:$L$886)+SUMIF(Mercado_Receita!$S$2:$S$886,"44652B3ConvencionalNão se aplicaNão se aplicaNão se aplicaNão se aplicaIntermediário",Mercado_Receita!$L$2:$L$886)+SUMIF(Mercado_Receita!$S$2:$S$886,"44652B3ConvencionalNão se aplicaNão se aplicaNão se aplicaNão se aplicaNão se aplica",Mercado_Receita!$L$2:$L$886)</f>
        <v>2285.8789999999999</v>
      </c>
      <c r="O57" s="13">
        <f>SUMIF(Mercado_Receita!$S$2:$S$886,"44682B3ConvencionalNão se aplicaNão se aplicaNão se aplicaNão se aplicaPonta",Mercado_Receita!$L$2:$L$886)+SUMIF(Mercado_Receita!$S$2:$S$886,"44682B3ConvencionalNão se aplicaNão se aplicaNão se aplicaNão se aplicaFora ponta",Mercado_Receita!$L$2:$L$886)+SUMIF(Mercado_Receita!$S$2:$S$886,"44682B3ConvencionalNão se aplicaNão se aplicaNão se aplicaNão se aplicaIntermediário",Mercado_Receita!$L$2:$L$886)+SUMIF(Mercado_Receita!$S$2:$S$886,"44682B3ConvencionalNão se aplicaNão se aplicaNão se aplicaNão se aplicaNão se aplica",Mercado_Receita!$L$2:$L$886)</f>
        <v>2150.8269999999998</v>
      </c>
      <c r="P57" s="13">
        <f>SUMIF(Mercado_Receita!$S$2:$S$886,"44713B3ConvencionalNão se aplicaNão se aplicaNão se aplicaNão se aplicaPonta",Mercado_Receita!$L$2:$L$886)+SUMIF(Mercado_Receita!$S$2:$S$886,"44713B3ConvencionalNão se aplicaNão se aplicaNão se aplicaNão se aplicaFora ponta",Mercado_Receita!$L$2:$L$886)+SUMIF(Mercado_Receita!$S$2:$S$886,"44713B3ConvencionalNão se aplicaNão se aplicaNão se aplicaNão se aplicaIntermediário",Mercado_Receita!$L$2:$L$886)+SUMIF(Mercado_Receita!$S$2:$S$886,"44713B3ConvencionalNão se aplicaNão se aplicaNão se aplicaNão se aplicaNão se aplica",Mercado_Receita!$L$2:$L$886)</f>
        <v>1815.0880000000002</v>
      </c>
      <c r="Q57" s="13">
        <f>SUMIF(Mercado_Receita!$S$2:$S$886,"44743B3ConvencionalNão se aplicaNão se aplicaNão se aplicaNão se aplicaPonta",Mercado_Receita!$L$2:$L$886)+SUMIF(Mercado_Receita!$S$2:$S$886,"44743B3ConvencionalNão se aplicaNão se aplicaNão se aplicaNão se aplicaFora ponta",Mercado_Receita!$L$2:$L$886)+SUMIF(Mercado_Receita!$S$2:$S$886,"44743B3ConvencionalNão se aplicaNão se aplicaNão se aplicaNão se aplicaIntermediário",Mercado_Receita!$L$2:$L$886)+SUMIF(Mercado_Receita!$S$2:$S$886,"44743B3ConvencionalNão se aplicaNão se aplicaNão se aplicaNão se aplicaNão se aplica",Mercado_Receita!$L$2:$L$886)</f>
        <v>1859.3380000000002</v>
      </c>
      <c r="R57" s="13">
        <f>SUMIF(Mercado_Receita!$S$2:$S$886,"44774B3ConvencionalNão se aplicaNão se aplicaNão se aplicaNão se aplicaPonta",Mercado_Receita!$L$2:$L$886)+SUMIF(Mercado_Receita!$S$2:$S$886,"44774B3ConvencionalNão se aplicaNão se aplicaNão se aplicaNão se aplicaFora ponta",Mercado_Receita!$L$2:$L$886)+SUMIF(Mercado_Receita!$S$2:$S$886,"44774B3ConvencionalNão se aplicaNão se aplicaNão se aplicaNão se aplicaIntermediário",Mercado_Receita!$L$2:$L$886)+SUMIF(Mercado_Receita!$S$2:$S$886,"44774B3ConvencionalNão se aplicaNão se aplicaNão se aplicaNão se aplicaNão se aplica",Mercado_Receita!$L$2:$L$886)</f>
        <v>1733.8509999999997</v>
      </c>
      <c r="S57" s="13">
        <f>SUMIF(Mercado_Receita!$S$2:$S$886,"44805B3ConvencionalNão se aplicaNão se aplicaNão se aplicaNão se aplicaPonta",Mercado_Receita!$L$2:$L$886)+SUMIF(Mercado_Receita!$S$2:$S$886,"44805B3ConvencionalNão se aplicaNão se aplicaNão se aplicaNão se aplicaFora ponta",Mercado_Receita!$L$2:$L$886)+SUMIF(Mercado_Receita!$S$2:$S$886,"44805B3ConvencionalNão se aplicaNão se aplicaNão se aplicaNão se aplicaIntermediário",Mercado_Receita!$L$2:$L$886)+SUMIF(Mercado_Receita!$S$2:$S$886,"44805B3ConvencionalNão se aplicaNão se aplicaNão se aplicaNão se aplicaNão se aplica",Mercado_Receita!$L$2:$L$886)</f>
        <v>2120.453</v>
      </c>
      <c r="T57" s="13">
        <f>SUMIF(Mercado_Receita!$S$2:$S$886,"44835B3ConvencionalNão se aplicaNão se aplicaNão se aplicaNão se aplicaPonta",Mercado_Receita!$L$2:$L$886)+SUMIF(Mercado_Receita!$S$2:$S$886,"44835B3ConvencionalNão se aplicaNão se aplicaNão se aplicaNão se aplicaFora ponta",Mercado_Receita!$L$2:$L$886)+SUMIF(Mercado_Receita!$S$2:$S$886,"44835B3ConvencionalNão se aplicaNão se aplicaNão se aplicaNão se aplicaIntermediário",Mercado_Receita!$L$2:$L$886)+SUMIF(Mercado_Receita!$S$2:$S$886,"44835B3ConvencionalNão se aplicaNão se aplicaNão se aplicaNão se aplicaNão se aplica",Mercado_Receita!$L$2:$L$886)</f>
        <v>2120.453</v>
      </c>
      <c r="U57" s="13">
        <f t="shared" si="1"/>
        <v>24187.291000000001</v>
      </c>
      <c r="V57" s="13"/>
      <c r="W57" s="13"/>
    </row>
    <row r="58" spans="1:23" ht="11.25" customHeight="1" x14ac:dyDescent="0.3">
      <c r="A58" s="123"/>
      <c r="B58" s="12" t="s">
        <v>93</v>
      </c>
      <c r="C58" s="12" t="s">
        <v>25</v>
      </c>
      <c r="D58" s="12" t="s">
        <v>25</v>
      </c>
      <c r="E58" s="12" t="s">
        <v>25</v>
      </c>
      <c r="F58" s="12" t="s">
        <v>25</v>
      </c>
      <c r="G58" s="13" t="s">
        <v>83</v>
      </c>
      <c r="H58" s="13" t="s">
        <v>79</v>
      </c>
      <c r="I58" s="13">
        <f>SUMIF(Mercado_Receita!$S$2:$S$886,"44501B3Convencional pré-pagamentoNão se aplicaNão se aplicaNão se aplicaNão se aplicaPonta",Mercado_Receita!$L$2:$L$886)+SUMIF(Mercado_Receita!$S$2:$S$886,"44501B3Convencional pré-pagamentoNão se aplicaNão se aplicaNão se aplicaNão se aplicaFora ponta",Mercado_Receita!$L$2:$L$886)+SUMIF(Mercado_Receita!$S$2:$S$886,"44501B3Convencional pré-pagamentoNão se aplicaNão se aplicaNão se aplicaNão se aplicaIntermediário",Mercado_Receita!$L$2:$L$886)+SUMIF(Mercado_Receita!$S$2:$S$886,"44501B3Convencional pré-pagamentoNão se aplicaNão se aplicaNão se aplicaNão se aplicaNão se aplica",Mercado_Receita!$L$2:$L$886)</f>
        <v>0</v>
      </c>
      <c r="J58" s="13">
        <f>SUMIF(Mercado_Receita!$S$2:$S$886,"44531B3Convencional pré-pagamentoNão se aplicaNão se aplicaNão se aplicaNão se aplicaPonta",Mercado_Receita!$L$2:$L$886)+SUMIF(Mercado_Receita!$S$2:$S$886,"44531B3Convencional pré-pagamentoNão se aplicaNão se aplicaNão se aplicaNão se aplicaFora ponta",Mercado_Receita!$L$2:$L$886)+SUMIF(Mercado_Receita!$S$2:$S$886,"44531B3Convencional pré-pagamentoNão se aplicaNão se aplicaNão se aplicaNão se aplicaIntermediário",Mercado_Receita!$L$2:$L$886)+SUMIF(Mercado_Receita!$S$2:$S$886,"44531B3Convencional pré-pagamentoNão se aplicaNão se aplicaNão se aplicaNão se aplicaNão se aplica",Mercado_Receita!$L$2:$L$886)</f>
        <v>0</v>
      </c>
      <c r="K58" s="13">
        <f>SUMIF(Mercado_Receita!$S$2:$S$886,"44562B3Convencional pré-pagamentoNão se aplicaNão se aplicaNão se aplicaNão se aplicaPonta",Mercado_Receita!$L$2:$L$886)+SUMIF(Mercado_Receita!$S$2:$S$886,"44562B3Convencional pré-pagamentoNão se aplicaNão se aplicaNão se aplicaNão se aplicaFora ponta",Mercado_Receita!$L$2:$L$886)+SUMIF(Mercado_Receita!$S$2:$S$886,"44562B3Convencional pré-pagamentoNão se aplicaNão se aplicaNão se aplicaNão se aplicaIntermediário",Mercado_Receita!$L$2:$L$886)+SUMIF(Mercado_Receita!$S$2:$S$886,"44562B3Convencional pré-pagamentoNão se aplicaNão se aplicaNão se aplicaNão se aplicaNão se aplica",Mercado_Receita!$L$2:$L$886)</f>
        <v>0</v>
      </c>
      <c r="L58" s="13">
        <f>SUMIF(Mercado_Receita!$S$2:$S$886,"44593B3Convencional pré-pagamentoNão se aplicaNão se aplicaNão se aplicaNão se aplicaPonta",Mercado_Receita!$L$2:$L$886)+SUMIF(Mercado_Receita!$S$2:$S$886,"44593B3Convencional pré-pagamentoNão se aplicaNão se aplicaNão se aplicaNão se aplicaFora ponta",Mercado_Receita!$L$2:$L$886)+SUMIF(Mercado_Receita!$S$2:$S$886,"44593B3Convencional pré-pagamentoNão se aplicaNão se aplicaNão se aplicaNão se aplicaIntermediário",Mercado_Receita!$L$2:$L$886)+SUMIF(Mercado_Receita!$S$2:$S$886,"44593B3Convencional pré-pagamentoNão se aplicaNão se aplicaNão se aplicaNão se aplicaNão se aplica",Mercado_Receita!$L$2:$L$886)</f>
        <v>0</v>
      </c>
      <c r="M58" s="13">
        <f>SUMIF(Mercado_Receita!$S$2:$S$886,"44621B3Convencional pré-pagamentoNão se aplicaNão se aplicaNão se aplicaNão se aplicaPonta",Mercado_Receita!$L$2:$L$886)+SUMIF(Mercado_Receita!$S$2:$S$886,"44621B3Convencional pré-pagamentoNão se aplicaNão se aplicaNão se aplicaNão se aplicaFora ponta",Mercado_Receita!$L$2:$L$886)+SUMIF(Mercado_Receita!$S$2:$S$886,"44621B3Convencional pré-pagamentoNão se aplicaNão se aplicaNão se aplicaNão se aplicaIntermediário",Mercado_Receita!$L$2:$L$886)+SUMIF(Mercado_Receita!$S$2:$S$886,"44621B3Convencional pré-pagamentoNão se aplicaNão se aplicaNão se aplicaNão se aplicaNão se aplica",Mercado_Receita!$L$2:$L$886)</f>
        <v>0</v>
      </c>
      <c r="N58" s="13">
        <f>SUMIF(Mercado_Receita!$S$2:$S$886,"44652B3Convencional pré-pagamentoNão se aplicaNão se aplicaNão se aplicaNão se aplicaPonta",Mercado_Receita!$L$2:$L$886)+SUMIF(Mercado_Receita!$S$2:$S$886,"44652B3Convencional pré-pagamentoNão se aplicaNão se aplicaNão se aplicaNão se aplicaFora ponta",Mercado_Receita!$L$2:$L$886)+SUMIF(Mercado_Receita!$S$2:$S$886,"44652B3Convencional pré-pagamentoNão se aplicaNão se aplicaNão se aplicaNão se aplicaIntermediário",Mercado_Receita!$L$2:$L$886)+SUMIF(Mercado_Receita!$S$2:$S$886,"44652B3Convencional pré-pagamentoNão se aplicaNão se aplicaNão se aplicaNão se aplicaNão se aplica",Mercado_Receita!$L$2:$L$886)</f>
        <v>0</v>
      </c>
      <c r="O58" s="13">
        <f>SUMIF(Mercado_Receita!$S$2:$S$886,"44682B3Convencional pré-pagamentoNão se aplicaNão se aplicaNão se aplicaNão se aplicaPonta",Mercado_Receita!$L$2:$L$886)+SUMIF(Mercado_Receita!$S$2:$S$886,"44682B3Convencional pré-pagamentoNão se aplicaNão se aplicaNão se aplicaNão se aplicaFora ponta",Mercado_Receita!$L$2:$L$886)+SUMIF(Mercado_Receita!$S$2:$S$886,"44682B3Convencional pré-pagamentoNão se aplicaNão se aplicaNão se aplicaNão se aplicaIntermediário",Mercado_Receita!$L$2:$L$886)+SUMIF(Mercado_Receita!$S$2:$S$886,"44682B3Convencional pré-pagamentoNão se aplicaNão se aplicaNão se aplicaNão se aplicaNão se aplica",Mercado_Receita!$L$2:$L$886)</f>
        <v>0</v>
      </c>
      <c r="P58" s="13">
        <f>SUMIF(Mercado_Receita!$S$2:$S$886,"44713B3Convencional pré-pagamentoNão se aplicaNão se aplicaNão se aplicaNão se aplicaPonta",Mercado_Receita!$L$2:$L$886)+SUMIF(Mercado_Receita!$S$2:$S$886,"44713B3Convencional pré-pagamentoNão se aplicaNão se aplicaNão se aplicaNão se aplicaFora ponta",Mercado_Receita!$L$2:$L$886)+SUMIF(Mercado_Receita!$S$2:$S$886,"44713B3Convencional pré-pagamentoNão se aplicaNão se aplicaNão se aplicaNão se aplicaIntermediário",Mercado_Receita!$L$2:$L$886)+SUMIF(Mercado_Receita!$S$2:$S$886,"44713B3Convencional pré-pagamentoNão se aplicaNão se aplicaNão se aplicaNão se aplicaNão se aplica",Mercado_Receita!$L$2:$L$886)</f>
        <v>0</v>
      </c>
      <c r="Q58" s="13">
        <f>SUMIF(Mercado_Receita!$S$2:$S$886,"44743B3Convencional pré-pagamentoNão se aplicaNão se aplicaNão se aplicaNão se aplicaPonta",Mercado_Receita!$L$2:$L$886)+SUMIF(Mercado_Receita!$S$2:$S$886,"44743B3Convencional pré-pagamentoNão se aplicaNão se aplicaNão se aplicaNão se aplicaFora ponta",Mercado_Receita!$L$2:$L$886)+SUMIF(Mercado_Receita!$S$2:$S$886,"44743B3Convencional pré-pagamentoNão se aplicaNão se aplicaNão se aplicaNão se aplicaIntermediário",Mercado_Receita!$L$2:$L$886)+SUMIF(Mercado_Receita!$S$2:$S$886,"44743B3Convencional pré-pagamentoNão se aplicaNão se aplicaNão se aplicaNão se aplicaNão se aplica",Mercado_Receita!$L$2:$L$886)</f>
        <v>0</v>
      </c>
      <c r="R58" s="13">
        <f>SUMIF(Mercado_Receita!$S$2:$S$886,"44774B3Convencional pré-pagamentoNão se aplicaNão se aplicaNão se aplicaNão se aplicaPonta",Mercado_Receita!$L$2:$L$886)+SUMIF(Mercado_Receita!$S$2:$S$886,"44774B3Convencional pré-pagamentoNão se aplicaNão se aplicaNão se aplicaNão se aplicaFora ponta",Mercado_Receita!$L$2:$L$886)+SUMIF(Mercado_Receita!$S$2:$S$886,"44774B3Convencional pré-pagamentoNão se aplicaNão se aplicaNão se aplicaNão se aplicaIntermediário",Mercado_Receita!$L$2:$L$886)+SUMIF(Mercado_Receita!$S$2:$S$886,"44774B3Convencional pré-pagamentoNão se aplicaNão se aplicaNão se aplicaNão se aplicaNão se aplica",Mercado_Receita!$L$2:$L$886)</f>
        <v>0</v>
      </c>
      <c r="S58" s="13">
        <f>SUMIF(Mercado_Receita!$S$2:$S$886,"44805B3Convencional pré-pagamentoNão se aplicaNão se aplicaNão se aplicaNão se aplicaPonta",Mercado_Receita!$L$2:$L$886)+SUMIF(Mercado_Receita!$S$2:$S$886,"44805B3Convencional pré-pagamentoNão se aplicaNão se aplicaNão se aplicaNão se aplicaFora ponta",Mercado_Receita!$L$2:$L$886)+SUMIF(Mercado_Receita!$S$2:$S$886,"44805B3Convencional pré-pagamentoNão se aplicaNão se aplicaNão se aplicaNão se aplicaIntermediário",Mercado_Receita!$L$2:$L$886)+SUMIF(Mercado_Receita!$S$2:$S$886,"44805B3Convencional pré-pagamentoNão se aplicaNão se aplicaNão se aplicaNão se aplicaNão se aplica",Mercado_Receita!$L$2:$L$886)</f>
        <v>0</v>
      </c>
      <c r="T58" s="13">
        <f>SUMIF(Mercado_Receita!$S$2:$S$886,"44835B3Convencional pré-pagamentoNão se aplicaNão se aplicaNão se aplicaNão se aplicaPonta",Mercado_Receita!$L$2:$L$886)+SUMIF(Mercado_Receita!$S$2:$S$886,"44835B3Convencional pré-pagamentoNão se aplicaNão se aplicaNão se aplicaNão se aplicaFora ponta",Mercado_Receita!$L$2:$L$886)+SUMIF(Mercado_Receita!$S$2:$S$886,"44835B3Convencional pré-pagamentoNão se aplicaNão se aplicaNão se aplicaNão se aplicaIntermediário",Mercado_Receita!$L$2:$L$886)+SUMIF(Mercado_Receita!$S$2:$S$886,"44835B3Convencional pré-pagamentoNão se aplicaNão se aplicaNão se aplicaNão se aplicaNão se aplica",Mercado_Receita!$L$2:$L$886)</f>
        <v>0</v>
      </c>
      <c r="U58" s="13">
        <f t="shared" si="1"/>
        <v>0</v>
      </c>
      <c r="V58" s="13"/>
      <c r="W58" s="13"/>
    </row>
    <row r="59" spans="1:23" ht="11.25" customHeight="1" x14ac:dyDescent="0.3">
      <c r="A59" s="122" t="s">
        <v>47</v>
      </c>
      <c r="B59" s="122" t="s">
        <v>23</v>
      </c>
      <c r="C59" s="122" t="s">
        <v>48</v>
      </c>
      <c r="D59" s="12" t="s">
        <v>49</v>
      </c>
      <c r="E59" s="12" t="s">
        <v>25</v>
      </c>
      <c r="F59" s="12" t="s">
        <v>25</v>
      </c>
      <c r="G59" s="13" t="s">
        <v>83</v>
      </c>
      <c r="H59" s="13" t="s">
        <v>79</v>
      </c>
      <c r="I59" s="13">
        <f>SUMIF(Mercado_Receita!$S$2:$S$886,"44501B4ConvencionalIluminação públicaIluminação pública – B4aNão se aplicaNão se aplicaPonta",Mercado_Receita!$L$2:$L$886)+SUMIF(Mercado_Receita!$S$2:$S$886,"44501B4ConvencionalIluminação públicaIluminação pública – B4aNão se aplicaNão se aplicaFora ponta",Mercado_Receita!$L$2:$L$886)+SUMIF(Mercado_Receita!$S$2:$S$886,"44501B4ConvencionalIluminação públicaIluminação pública – B4aNão se aplicaNão se aplicaIntermediário",Mercado_Receita!$L$2:$L$886)+SUMIF(Mercado_Receita!$S$2:$S$886,"44501B4ConvencionalIluminação públicaIluminação pública – B4aNão se aplicaNão se aplicaNão se aplica",Mercado_Receita!$L$2:$L$886)</f>
        <v>388.404</v>
      </c>
      <c r="J59" s="13">
        <f>SUMIF(Mercado_Receita!$S$2:$S$886,"44531B4ConvencionalIluminação públicaIluminação pública – B4aNão se aplicaNão se aplicaPonta",Mercado_Receita!$L$2:$L$886)+SUMIF(Mercado_Receita!$S$2:$S$886,"44531B4ConvencionalIluminação públicaIluminação pública – B4aNão se aplicaNão se aplicaFora ponta",Mercado_Receita!$L$2:$L$886)+SUMIF(Mercado_Receita!$S$2:$S$886,"44531B4ConvencionalIluminação públicaIluminação pública – B4aNão se aplicaNão se aplicaIntermediário",Mercado_Receita!$L$2:$L$886)+SUMIF(Mercado_Receita!$S$2:$S$886,"44531B4ConvencionalIluminação públicaIluminação pública – B4aNão se aplicaNão se aplicaNão se aplica",Mercado_Receita!$L$2:$L$886)</f>
        <v>392.16199999999998</v>
      </c>
      <c r="K59" s="13">
        <f>SUMIF(Mercado_Receita!$S$2:$S$886,"44562B4ConvencionalIluminação públicaIluminação pública – B4aNão se aplicaNão se aplicaPonta",Mercado_Receita!$L$2:$L$886)+SUMIF(Mercado_Receita!$S$2:$S$886,"44562B4ConvencionalIluminação públicaIluminação pública – B4aNão se aplicaNão se aplicaFora ponta",Mercado_Receita!$L$2:$L$886)+SUMIF(Mercado_Receita!$S$2:$S$886,"44562B4ConvencionalIluminação públicaIluminação pública – B4aNão se aplicaNão se aplicaIntermediário",Mercado_Receita!$L$2:$L$886)+SUMIF(Mercado_Receita!$S$2:$S$886,"44562B4ConvencionalIluminação públicaIluminação pública – B4aNão se aplicaNão se aplicaNão se aplica",Mercado_Receita!$L$2:$L$886)</f>
        <v>398.52600000000001</v>
      </c>
      <c r="L59" s="13">
        <f>SUMIF(Mercado_Receita!$S$2:$S$886,"44593B4ConvencionalIluminação públicaIluminação pública – B4aNão se aplicaNão se aplicaPonta",Mercado_Receita!$L$2:$L$886)+SUMIF(Mercado_Receita!$S$2:$S$886,"44593B4ConvencionalIluminação públicaIluminação pública – B4aNão se aplicaNão se aplicaFora ponta",Mercado_Receita!$L$2:$L$886)+SUMIF(Mercado_Receita!$S$2:$S$886,"44593B4ConvencionalIluminação públicaIluminação pública – B4aNão se aplicaNão se aplicaIntermediário",Mercado_Receita!$L$2:$L$886)+SUMIF(Mercado_Receita!$S$2:$S$886,"44593B4ConvencionalIluminação públicaIluminação pública – B4aNão se aplicaNão se aplicaNão se aplica",Mercado_Receita!$L$2:$L$886)</f>
        <v>372.46199999999999</v>
      </c>
      <c r="M59" s="13">
        <f>SUMIF(Mercado_Receita!$S$2:$S$886,"44621B4ConvencionalIluminação públicaIluminação pública – B4aNão se aplicaNão se aplicaPonta",Mercado_Receita!$L$2:$L$886)+SUMIF(Mercado_Receita!$S$2:$S$886,"44621B4ConvencionalIluminação públicaIluminação pública – B4aNão se aplicaNão se aplicaFora ponta",Mercado_Receita!$L$2:$L$886)+SUMIF(Mercado_Receita!$S$2:$S$886,"44621B4ConvencionalIluminação públicaIluminação pública – B4aNão se aplicaNão se aplicaIntermediário",Mercado_Receita!$L$2:$L$886)+SUMIF(Mercado_Receita!$S$2:$S$886,"44621B4ConvencionalIluminação públicaIluminação pública – B4aNão se aplicaNão se aplicaNão se aplica",Mercado_Receita!$L$2:$L$886)</f>
        <v>428.50099999999998</v>
      </c>
      <c r="N59" s="13">
        <f>SUMIF(Mercado_Receita!$S$2:$S$886,"44652B4ConvencionalIluminação públicaIluminação pública – B4aNão se aplicaNão se aplicaPonta",Mercado_Receita!$L$2:$L$886)+SUMIF(Mercado_Receita!$S$2:$S$886,"44652B4ConvencionalIluminação públicaIluminação pública – B4aNão se aplicaNão se aplicaFora ponta",Mercado_Receita!$L$2:$L$886)+SUMIF(Mercado_Receita!$S$2:$S$886,"44652B4ConvencionalIluminação públicaIluminação pública – B4aNão se aplicaNão se aplicaIntermediário",Mercado_Receita!$L$2:$L$886)+SUMIF(Mercado_Receita!$S$2:$S$886,"44652B4ConvencionalIluminação públicaIluminação pública – B4aNão se aplicaNão se aplicaNão se aplica",Mercado_Receita!$L$2:$L$886)</f>
        <v>430.83100000000002</v>
      </c>
      <c r="O59" s="13">
        <f>SUMIF(Mercado_Receita!$S$2:$S$886,"44682B4ConvencionalIluminação públicaIluminação pública – B4aNão se aplicaNão se aplicaPonta",Mercado_Receita!$L$2:$L$886)+SUMIF(Mercado_Receita!$S$2:$S$886,"44682B4ConvencionalIluminação públicaIluminação pública – B4aNão se aplicaNão se aplicaFora ponta",Mercado_Receita!$L$2:$L$886)+SUMIF(Mercado_Receita!$S$2:$S$886,"44682B4ConvencionalIluminação públicaIluminação pública – B4aNão se aplicaNão se aplicaIntermediário",Mercado_Receita!$L$2:$L$886)+SUMIF(Mercado_Receita!$S$2:$S$886,"44682B4ConvencionalIluminação públicaIluminação pública – B4aNão se aplicaNão se aplicaNão se aplica",Mercado_Receita!$L$2:$L$886)</f>
        <v>457.91300000000001</v>
      </c>
      <c r="P59" s="13">
        <f>SUMIF(Mercado_Receita!$S$2:$S$886,"44713B4ConvencionalIluminação públicaIluminação pública – B4aNão se aplicaNão se aplicaPonta",Mercado_Receita!$L$2:$L$886)+SUMIF(Mercado_Receita!$S$2:$S$886,"44713B4ConvencionalIluminação públicaIluminação pública – B4aNão se aplicaNão se aplicaFora ponta",Mercado_Receita!$L$2:$L$886)+SUMIF(Mercado_Receita!$S$2:$S$886,"44713B4ConvencionalIluminação públicaIluminação pública – B4aNão se aplicaNão se aplicaIntermediário",Mercado_Receita!$L$2:$L$886)+SUMIF(Mercado_Receita!$S$2:$S$886,"44713B4ConvencionalIluminação públicaIluminação pública – B4aNão se aplicaNão se aplicaNão se aplica",Mercado_Receita!$L$2:$L$886)</f>
        <v>450.31200000000001</v>
      </c>
      <c r="Q59" s="13">
        <f>SUMIF(Mercado_Receita!$S$2:$S$886,"44743B4ConvencionalIluminação públicaIluminação pública – B4aNão se aplicaNão se aplicaPonta",Mercado_Receita!$L$2:$L$886)+SUMIF(Mercado_Receita!$S$2:$S$886,"44743B4ConvencionalIluminação públicaIluminação pública – B4aNão se aplicaNão se aplicaFora ponta",Mercado_Receita!$L$2:$L$886)+SUMIF(Mercado_Receita!$S$2:$S$886,"44743B4ConvencionalIluminação públicaIluminação pública – B4aNão se aplicaNão se aplicaIntermediário",Mercado_Receita!$L$2:$L$886)+SUMIF(Mercado_Receita!$S$2:$S$886,"44743B4ConvencionalIluminação públicaIluminação pública – B4aNão se aplicaNão se aplicaNão se aplica",Mercado_Receita!$L$2:$L$886)</f>
        <v>467.81</v>
      </c>
      <c r="R59" s="13">
        <f>SUMIF(Mercado_Receita!$S$2:$S$886,"44774B4ConvencionalIluminação públicaIluminação pública – B4aNão se aplicaNão se aplicaPonta",Mercado_Receita!$L$2:$L$886)+SUMIF(Mercado_Receita!$S$2:$S$886,"44774B4ConvencionalIluminação públicaIluminação pública – B4aNão se aplicaNão se aplicaFora ponta",Mercado_Receita!$L$2:$L$886)+SUMIF(Mercado_Receita!$S$2:$S$886,"44774B4ConvencionalIluminação públicaIluminação pública – B4aNão se aplicaNão se aplicaIntermediário",Mercado_Receita!$L$2:$L$886)+SUMIF(Mercado_Receita!$S$2:$S$886,"44774B4ConvencionalIluminação públicaIluminação pública – B4aNão se aplicaNão se aplicaNão se aplica",Mercado_Receita!$L$2:$L$886)</f>
        <v>459.02600000000001</v>
      </c>
      <c r="S59" s="13">
        <f>SUMIF(Mercado_Receita!$S$2:$S$886,"44805B4ConvencionalIluminação públicaIluminação pública – B4aNão se aplicaNão se aplicaPonta",Mercado_Receita!$L$2:$L$886)+SUMIF(Mercado_Receita!$S$2:$S$886,"44805B4ConvencionalIluminação públicaIluminação pública – B4aNão se aplicaNão se aplicaFora ponta",Mercado_Receita!$L$2:$L$886)+SUMIF(Mercado_Receita!$S$2:$S$886,"44805B4ConvencionalIluminação públicaIluminação pública – B4aNão se aplicaNão se aplicaIntermediário",Mercado_Receita!$L$2:$L$886)+SUMIF(Mercado_Receita!$S$2:$S$886,"44805B4ConvencionalIluminação públicaIluminação pública – B4aNão se aplicaNão se aplicaNão se aplica",Mercado_Receita!$L$2:$L$886)</f>
        <v>429.27</v>
      </c>
      <c r="T59" s="13">
        <f>SUMIF(Mercado_Receita!$S$2:$S$886,"44835B4ConvencionalIluminação públicaIluminação pública – B4aNão se aplicaNão se aplicaPonta",Mercado_Receita!$L$2:$L$886)+SUMIF(Mercado_Receita!$S$2:$S$886,"44835B4ConvencionalIluminação públicaIluminação pública – B4aNão se aplicaNão se aplicaFora ponta",Mercado_Receita!$L$2:$L$886)+SUMIF(Mercado_Receita!$S$2:$S$886,"44835B4ConvencionalIluminação públicaIluminação pública – B4aNão se aplicaNão se aplicaIntermediário",Mercado_Receita!$L$2:$L$886)+SUMIF(Mercado_Receita!$S$2:$S$886,"44835B4ConvencionalIluminação públicaIluminação pública – B4aNão se aplicaNão se aplicaNão se aplica",Mercado_Receita!$L$2:$L$886)</f>
        <v>429.27</v>
      </c>
      <c r="U59" s="13">
        <f t="shared" si="1"/>
        <v>5104.487000000001</v>
      </c>
      <c r="V59" s="13"/>
      <c r="W59" s="13"/>
    </row>
    <row r="60" spans="1:23" ht="11.25" customHeight="1" x14ac:dyDescent="0.3">
      <c r="A60" s="123"/>
      <c r="B60" s="123"/>
      <c r="C60" s="123"/>
      <c r="D60" s="13" t="s">
        <v>96</v>
      </c>
      <c r="E60" s="13" t="s">
        <v>25</v>
      </c>
      <c r="F60" s="13" t="s">
        <v>25</v>
      </c>
      <c r="G60" s="13" t="s">
        <v>83</v>
      </c>
      <c r="H60" s="13" t="s">
        <v>79</v>
      </c>
      <c r="I60" s="13">
        <f>SUMIF(Mercado_Receita!$S$2:$S$886,"44501B4ConvencionalIluminação públicaIluminação pública – B4bNão se aplicaNão se aplicaPonta",Mercado_Receita!$L$2:$L$886)+SUMIF(Mercado_Receita!$S$2:$S$886,"44501B4ConvencionalIluminação públicaIluminação pública – B4bNão se aplicaNão se aplicaFora ponta",Mercado_Receita!$L$2:$L$886)+SUMIF(Mercado_Receita!$S$2:$S$886,"44501B4ConvencionalIluminação públicaIluminação pública – B4bNão se aplicaNão se aplicaIntermediário",Mercado_Receita!$L$2:$L$886)+SUMIF(Mercado_Receita!$S$2:$S$886,"44501B4ConvencionalIluminação públicaIluminação pública – B4bNão se aplicaNão se aplicaNão se aplica",Mercado_Receita!$L$2:$L$886)</f>
        <v>0</v>
      </c>
      <c r="J60" s="13">
        <f>SUMIF(Mercado_Receita!$S$2:$S$886,"44531B4ConvencionalIluminação públicaIluminação pública – B4bNão se aplicaNão se aplicaPonta",Mercado_Receita!$L$2:$L$886)+SUMIF(Mercado_Receita!$S$2:$S$886,"44531B4ConvencionalIluminação públicaIluminação pública – B4bNão se aplicaNão se aplicaFora ponta",Mercado_Receita!$L$2:$L$886)+SUMIF(Mercado_Receita!$S$2:$S$886,"44531B4ConvencionalIluminação públicaIluminação pública – B4bNão se aplicaNão se aplicaIntermediário",Mercado_Receita!$L$2:$L$886)+SUMIF(Mercado_Receita!$S$2:$S$886,"44531B4ConvencionalIluminação públicaIluminação pública – B4bNão se aplicaNão se aplicaNão se aplica",Mercado_Receita!$L$2:$L$886)</f>
        <v>0</v>
      </c>
      <c r="K60" s="13">
        <f>SUMIF(Mercado_Receita!$S$2:$S$886,"44562B4ConvencionalIluminação públicaIluminação pública – B4bNão se aplicaNão se aplicaPonta",Mercado_Receita!$L$2:$L$886)+SUMIF(Mercado_Receita!$S$2:$S$886,"44562B4ConvencionalIluminação públicaIluminação pública – B4bNão se aplicaNão se aplicaFora ponta",Mercado_Receita!$L$2:$L$886)+SUMIF(Mercado_Receita!$S$2:$S$886,"44562B4ConvencionalIluminação públicaIluminação pública – B4bNão se aplicaNão se aplicaIntermediário",Mercado_Receita!$L$2:$L$886)+SUMIF(Mercado_Receita!$S$2:$S$886,"44562B4ConvencionalIluminação públicaIluminação pública – B4bNão se aplicaNão se aplicaNão se aplica",Mercado_Receita!$L$2:$L$886)</f>
        <v>0</v>
      </c>
      <c r="L60" s="13">
        <f>SUMIF(Mercado_Receita!$S$2:$S$886,"44593B4ConvencionalIluminação públicaIluminação pública – B4bNão se aplicaNão se aplicaPonta",Mercado_Receita!$L$2:$L$886)+SUMIF(Mercado_Receita!$S$2:$S$886,"44593B4ConvencionalIluminação públicaIluminação pública – B4bNão se aplicaNão se aplicaFora ponta",Mercado_Receita!$L$2:$L$886)+SUMIF(Mercado_Receita!$S$2:$S$886,"44593B4ConvencionalIluminação públicaIluminação pública – B4bNão se aplicaNão se aplicaIntermediário",Mercado_Receita!$L$2:$L$886)+SUMIF(Mercado_Receita!$S$2:$S$886,"44593B4ConvencionalIluminação públicaIluminação pública – B4bNão se aplicaNão se aplicaNão se aplica",Mercado_Receita!$L$2:$L$886)</f>
        <v>0</v>
      </c>
      <c r="M60" s="13">
        <f>SUMIF(Mercado_Receita!$S$2:$S$886,"44621B4ConvencionalIluminação públicaIluminação pública – B4bNão se aplicaNão se aplicaPonta",Mercado_Receita!$L$2:$L$886)+SUMIF(Mercado_Receita!$S$2:$S$886,"44621B4ConvencionalIluminação públicaIluminação pública – B4bNão se aplicaNão se aplicaFora ponta",Mercado_Receita!$L$2:$L$886)+SUMIF(Mercado_Receita!$S$2:$S$886,"44621B4ConvencionalIluminação públicaIluminação pública – B4bNão se aplicaNão se aplicaIntermediário",Mercado_Receita!$L$2:$L$886)+SUMIF(Mercado_Receita!$S$2:$S$886,"44621B4ConvencionalIluminação públicaIluminação pública – B4bNão se aplicaNão se aplicaNão se aplica",Mercado_Receita!$L$2:$L$886)</f>
        <v>0</v>
      </c>
      <c r="N60" s="13">
        <f>SUMIF(Mercado_Receita!$S$2:$S$886,"44652B4ConvencionalIluminação públicaIluminação pública – B4bNão se aplicaNão se aplicaPonta",Mercado_Receita!$L$2:$L$886)+SUMIF(Mercado_Receita!$S$2:$S$886,"44652B4ConvencionalIluminação públicaIluminação pública – B4bNão se aplicaNão se aplicaFora ponta",Mercado_Receita!$L$2:$L$886)+SUMIF(Mercado_Receita!$S$2:$S$886,"44652B4ConvencionalIluminação públicaIluminação pública – B4bNão se aplicaNão se aplicaIntermediário",Mercado_Receita!$L$2:$L$886)+SUMIF(Mercado_Receita!$S$2:$S$886,"44652B4ConvencionalIluminação públicaIluminação pública – B4bNão se aplicaNão se aplicaNão se aplica",Mercado_Receita!$L$2:$L$886)</f>
        <v>0</v>
      </c>
      <c r="O60" s="13">
        <f>SUMIF(Mercado_Receita!$S$2:$S$886,"44682B4ConvencionalIluminação públicaIluminação pública – B4bNão se aplicaNão se aplicaPonta",Mercado_Receita!$L$2:$L$886)+SUMIF(Mercado_Receita!$S$2:$S$886,"44682B4ConvencionalIluminação públicaIluminação pública – B4bNão se aplicaNão se aplicaFora ponta",Mercado_Receita!$L$2:$L$886)+SUMIF(Mercado_Receita!$S$2:$S$886,"44682B4ConvencionalIluminação públicaIluminação pública – B4bNão se aplicaNão se aplicaIntermediário",Mercado_Receita!$L$2:$L$886)+SUMIF(Mercado_Receita!$S$2:$S$886,"44682B4ConvencionalIluminação públicaIluminação pública – B4bNão se aplicaNão se aplicaNão se aplica",Mercado_Receita!$L$2:$L$886)</f>
        <v>0</v>
      </c>
      <c r="P60" s="13">
        <f>SUMIF(Mercado_Receita!$S$2:$S$886,"44713B4ConvencionalIluminação públicaIluminação pública – B4bNão se aplicaNão se aplicaPonta",Mercado_Receita!$L$2:$L$886)+SUMIF(Mercado_Receita!$S$2:$S$886,"44713B4ConvencionalIluminação públicaIluminação pública – B4bNão se aplicaNão se aplicaFora ponta",Mercado_Receita!$L$2:$L$886)+SUMIF(Mercado_Receita!$S$2:$S$886,"44713B4ConvencionalIluminação públicaIluminação pública – B4bNão se aplicaNão se aplicaIntermediário",Mercado_Receita!$L$2:$L$886)+SUMIF(Mercado_Receita!$S$2:$S$886,"44713B4ConvencionalIluminação públicaIluminação pública – B4bNão se aplicaNão se aplicaNão se aplica",Mercado_Receita!$L$2:$L$886)</f>
        <v>0</v>
      </c>
      <c r="Q60" s="13">
        <f>SUMIF(Mercado_Receita!$S$2:$S$886,"44743B4ConvencionalIluminação públicaIluminação pública – B4bNão se aplicaNão se aplicaPonta",Mercado_Receita!$L$2:$L$886)+SUMIF(Mercado_Receita!$S$2:$S$886,"44743B4ConvencionalIluminação públicaIluminação pública – B4bNão se aplicaNão se aplicaFora ponta",Mercado_Receita!$L$2:$L$886)+SUMIF(Mercado_Receita!$S$2:$S$886,"44743B4ConvencionalIluminação públicaIluminação pública – B4bNão se aplicaNão se aplicaIntermediário",Mercado_Receita!$L$2:$L$886)+SUMIF(Mercado_Receita!$S$2:$S$886,"44743B4ConvencionalIluminação públicaIluminação pública – B4bNão se aplicaNão se aplicaNão se aplica",Mercado_Receita!$L$2:$L$886)</f>
        <v>0</v>
      </c>
      <c r="R60" s="13">
        <f>SUMIF(Mercado_Receita!$S$2:$S$886,"44774B4ConvencionalIluminação públicaIluminação pública – B4bNão se aplicaNão se aplicaPonta",Mercado_Receita!$L$2:$L$886)+SUMIF(Mercado_Receita!$S$2:$S$886,"44774B4ConvencionalIluminação públicaIluminação pública – B4bNão se aplicaNão se aplicaFora ponta",Mercado_Receita!$L$2:$L$886)+SUMIF(Mercado_Receita!$S$2:$S$886,"44774B4ConvencionalIluminação públicaIluminação pública – B4bNão se aplicaNão se aplicaIntermediário",Mercado_Receita!$L$2:$L$886)+SUMIF(Mercado_Receita!$S$2:$S$886,"44774B4ConvencionalIluminação públicaIluminação pública – B4bNão se aplicaNão se aplicaNão se aplica",Mercado_Receita!$L$2:$L$886)</f>
        <v>0</v>
      </c>
      <c r="S60" s="13">
        <f>SUMIF(Mercado_Receita!$S$2:$S$886,"44805B4ConvencionalIluminação públicaIluminação pública – B4bNão se aplicaNão se aplicaPonta",Mercado_Receita!$L$2:$L$886)+SUMIF(Mercado_Receita!$S$2:$S$886,"44805B4ConvencionalIluminação públicaIluminação pública – B4bNão se aplicaNão se aplicaFora ponta",Mercado_Receita!$L$2:$L$886)+SUMIF(Mercado_Receita!$S$2:$S$886,"44805B4ConvencionalIluminação públicaIluminação pública – B4bNão se aplicaNão se aplicaIntermediário",Mercado_Receita!$L$2:$L$886)+SUMIF(Mercado_Receita!$S$2:$S$886,"44805B4ConvencionalIluminação públicaIluminação pública – B4bNão se aplicaNão se aplicaNão se aplica",Mercado_Receita!$L$2:$L$886)</f>
        <v>0</v>
      </c>
      <c r="T60" s="13">
        <f>SUMIF(Mercado_Receita!$S$2:$S$886,"44835B4ConvencionalIluminação públicaIluminação pública – B4bNão se aplicaNão se aplicaPonta",Mercado_Receita!$L$2:$L$886)+SUMIF(Mercado_Receita!$S$2:$S$886,"44835B4ConvencionalIluminação públicaIluminação pública – B4bNão se aplicaNão se aplicaFora ponta",Mercado_Receita!$L$2:$L$886)+SUMIF(Mercado_Receita!$S$2:$S$886,"44835B4ConvencionalIluminação públicaIluminação pública – B4bNão se aplicaNão se aplicaIntermediário",Mercado_Receita!$L$2:$L$886)+SUMIF(Mercado_Receita!$S$2:$S$886,"44835B4ConvencionalIluminação públicaIluminação pública – B4bNão se aplicaNão se aplicaNão se aplica",Mercado_Receita!$L$2:$L$886)</f>
        <v>0</v>
      </c>
      <c r="U60" s="13">
        <f t="shared" si="1"/>
        <v>0</v>
      </c>
      <c r="V60" s="13"/>
      <c r="W60" s="13"/>
    </row>
    <row r="61" spans="1:23" ht="11.25" customHeight="1" x14ac:dyDescent="0.3">
      <c r="A61" s="124" t="s">
        <v>614</v>
      </c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3"/>
      <c r="W61" s="13"/>
    </row>
  </sheetData>
  <mergeCells count="73">
    <mergeCell ref="A59:A60"/>
    <mergeCell ref="B59:B60"/>
    <mergeCell ref="C59:C60"/>
    <mergeCell ref="A61:U61"/>
    <mergeCell ref="C51:C53"/>
    <mergeCell ref="B51:B53"/>
    <mergeCell ref="A39:A53"/>
    <mergeCell ref="F54:F56"/>
    <mergeCell ref="E54:E56"/>
    <mergeCell ref="D54:D56"/>
    <mergeCell ref="C54:C56"/>
    <mergeCell ref="B54:B56"/>
    <mergeCell ref="A54:A58"/>
    <mergeCell ref="F43:F45"/>
    <mergeCell ref="E43:E45"/>
    <mergeCell ref="D43:D45"/>
    <mergeCell ref="C43:C45"/>
    <mergeCell ref="B43:B45"/>
    <mergeCell ref="F47:F49"/>
    <mergeCell ref="E47:E49"/>
    <mergeCell ref="D47:D49"/>
    <mergeCell ref="C47:C49"/>
    <mergeCell ref="B47:B49"/>
    <mergeCell ref="C34:C38"/>
    <mergeCell ref="B34:B38"/>
    <mergeCell ref="A26:A38"/>
    <mergeCell ref="F39:F41"/>
    <mergeCell ref="E39:E41"/>
    <mergeCell ref="D39:D41"/>
    <mergeCell ref="C39:C41"/>
    <mergeCell ref="B39:B41"/>
    <mergeCell ref="F26:F28"/>
    <mergeCell ref="E26:E28"/>
    <mergeCell ref="D26:D28"/>
    <mergeCell ref="C26:C28"/>
    <mergeCell ref="B26:B28"/>
    <mergeCell ref="C29:C33"/>
    <mergeCell ref="B29:B33"/>
    <mergeCell ref="A14:A23"/>
    <mergeCell ref="D24:D25"/>
    <mergeCell ref="C24:C25"/>
    <mergeCell ref="B24:B25"/>
    <mergeCell ref="A24:A25"/>
    <mergeCell ref="C19:C23"/>
    <mergeCell ref="C12:C13"/>
    <mergeCell ref="B12:B13"/>
    <mergeCell ref="F19:F21"/>
    <mergeCell ref="E19:E21"/>
    <mergeCell ref="F22:F23"/>
    <mergeCell ref="E22:E23"/>
    <mergeCell ref="D19:D23"/>
    <mergeCell ref="B19:B23"/>
    <mergeCell ref="C2:C5"/>
    <mergeCell ref="B2:B5"/>
    <mergeCell ref="A2:A13"/>
    <mergeCell ref="F14:F16"/>
    <mergeCell ref="E14:E16"/>
    <mergeCell ref="D14:D17"/>
    <mergeCell ref="C14:C17"/>
    <mergeCell ref="B14:B17"/>
    <mergeCell ref="F10:F11"/>
    <mergeCell ref="E10:E11"/>
    <mergeCell ref="D7:D11"/>
    <mergeCell ref="C7:C11"/>
    <mergeCell ref="B7:B11"/>
    <mergeCell ref="F12:F13"/>
    <mergeCell ref="E12:E13"/>
    <mergeCell ref="D12:D13"/>
    <mergeCell ref="F7:F9"/>
    <mergeCell ref="E7:E9"/>
    <mergeCell ref="F2:F4"/>
    <mergeCell ref="E2:E4"/>
    <mergeCell ref="D2:D5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719BF-CB9C-488E-B4CC-06FEDB780827}">
  <sheetPr codeName="Planilha5"/>
  <dimension ref="A1:AD42"/>
  <sheetViews>
    <sheetView showGridLines="0" workbookViewId="0">
      <selection sqref="A1:W42"/>
    </sheetView>
  </sheetViews>
  <sheetFormatPr defaultRowHeight="11.25" customHeight="1" x14ac:dyDescent="0.3"/>
  <cols>
    <col min="1" max="1" width="9" style="9" bestFit="1" customWidth="1"/>
    <col min="2" max="2" width="26.33203125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20" width="6.77734375" style="9" bestFit="1" customWidth="1"/>
    <col min="21" max="21" width="13.6640625" style="9" bestFit="1" customWidth="1"/>
    <col min="22" max="16384" width="8.88671875" style="9"/>
  </cols>
  <sheetData>
    <row r="1" spans="1:30" ht="11.25" customHeight="1" x14ac:dyDescent="0.3">
      <c r="A1" s="10" t="s">
        <v>69</v>
      </c>
      <c r="B1" s="10" t="s">
        <v>70</v>
      </c>
      <c r="C1" s="10" t="s">
        <v>71</v>
      </c>
      <c r="D1" s="10" t="s">
        <v>72</v>
      </c>
      <c r="E1" s="10" t="s">
        <v>73</v>
      </c>
      <c r="F1" s="10" t="s">
        <v>74</v>
      </c>
      <c r="G1" s="10" t="s">
        <v>75</v>
      </c>
      <c r="H1" s="10" t="s">
        <v>76</v>
      </c>
      <c r="I1" s="11">
        <v>44501</v>
      </c>
      <c r="J1" s="11">
        <v>44531</v>
      </c>
      <c r="K1" s="11">
        <v>44562</v>
      </c>
      <c r="L1" s="11">
        <v>44593</v>
      </c>
      <c r="M1" s="11">
        <v>44621</v>
      </c>
      <c r="N1" s="11">
        <v>44652</v>
      </c>
      <c r="O1" s="11">
        <v>44682</v>
      </c>
      <c r="P1" s="11">
        <v>44713</v>
      </c>
      <c r="Q1" s="11">
        <v>44743</v>
      </c>
      <c r="R1" s="11">
        <v>44774</v>
      </c>
      <c r="S1" s="11">
        <v>44805</v>
      </c>
      <c r="T1" s="11">
        <v>44835</v>
      </c>
      <c r="U1" s="10" t="s">
        <v>77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122" t="s">
        <v>45</v>
      </c>
      <c r="B2" s="122" t="s">
        <v>78</v>
      </c>
      <c r="C2" s="122" t="s">
        <v>25</v>
      </c>
      <c r="D2" s="122" t="s">
        <v>25</v>
      </c>
      <c r="E2" s="122" t="s">
        <v>25</v>
      </c>
      <c r="F2" s="122" t="s">
        <v>25</v>
      </c>
      <c r="G2" s="13" t="s">
        <v>80</v>
      </c>
      <c r="H2" s="13" t="s">
        <v>79</v>
      </c>
      <c r="I2" s="13">
        <f>SUMIF(Mercado_Receita!$T$2:$T$886,"44501A3aEnergia horáriaNão se aplicaNão se aplicaNão se aplicaNão se aplicaPonta",Mercado_Receita!$N$2:$N$886)</f>
        <v>0</v>
      </c>
      <c r="J2" s="13">
        <f>SUMIF(Mercado_Receita!$T$2:$T$886,"44531A3aEnergia horáriaNão se aplicaNão se aplicaNão se aplicaNão se aplicaPonta",Mercado_Receita!$N$2:$N$886)</f>
        <v>0</v>
      </c>
      <c r="K2" s="13">
        <f>SUMIF(Mercado_Receita!$T$2:$T$886,"44562A3aEnergia horáriaNão se aplicaNão se aplicaNão se aplicaNão se aplicaPonta",Mercado_Receita!$N$2:$N$886)</f>
        <v>0</v>
      </c>
      <c r="L2" s="13">
        <f>SUMIF(Mercado_Receita!$T$2:$T$886,"44593A3aEnergia horáriaNão se aplicaNão se aplicaNão se aplicaNão se aplicaPonta",Mercado_Receita!$N$2:$N$886)</f>
        <v>5.6000000000000001E-2</v>
      </c>
      <c r="M2" s="13">
        <f>SUMIF(Mercado_Receita!$T$2:$T$886,"44621A3aEnergia horáriaNão se aplicaNão se aplicaNão se aplicaNão se aplicaPonta",Mercado_Receita!$N$2:$N$886)</f>
        <v>6.8000000000000005E-2</v>
      </c>
      <c r="N2" s="13">
        <f>SUMIF(Mercado_Receita!$T$2:$T$886,"44652A3aEnergia horáriaNão se aplicaNão se aplicaNão se aplicaNão se aplicaPonta",Mercado_Receita!$N$2:$N$886)</f>
        <v>7.2999999999999995E-2</v>
      </c>
      <c r="O2" s="13">
        <f>SUMIF(Mercado_Receita!$T$2:$T$886,"44682A3aEnergia horáriaNão se aplicaNão se aplicaNão se aplicaNão se aplicaPonta",Mercado_Receita!$N$2:$N$886)</f>
        <v>0.1</v>
      </c>
      <c r="P2" s="13">
        <f>SUMIF(Mercado_Receita!$T$2:$T$886,"44713A3aEnergia horáriaNão se aplicaNão se aplicaNão se aplicaNão se aplicaPonta",Mercado_Receita!$N$2:$N$886)</f>
        <v>0.53400000000000003</v>
      </c>
      <c r="Q2" s="13">
        <f>SUMIF(Mercado_Receita!$T$2:$T$886,"44743A3aEnergia horáriaNão se aplicaNão se aplicaNão se aplicaNão se aplicaPonta",Mercado_Receita!$N$2:$N$886)</f>
        <v>0.53900000000000003</v>
      </c>
      <c r="R2" s="13">
        <f>SUMIF(Mercado_Receita!$T$2:$T$886,"44774A3aEnergia horáriaNão se aplicaNão se aplicaNão se aplicaNão se aplicaPonta",Mercado_Receita!$N$2:$N$886)</f>
        <v>0.184</v>
      </c>
      <c r="S2" s="13">
        <f>SUMIF(Mercado_Receita!$T$2:$T$886,"44805A3aEnergia horáriaNão se aplicaNão se aplicaNão se aplicaNão se aplicaPonta",Mercado_Receita!$N$2:$N$886)</f>
        <v>2.4329999999999998</v>
      </c>
      <c r="T2" s="13">
        <f>SUMIF(Mercado_Receita!$T$2:$T$886,"44835A3aEnergia horáriaNão se aplicaNão se aplicaNão se aplicaNão se aplicaPonta",Mercado_Receita!$N$2:$N$886)</f>
        <v>2.4329999999999998</v>
      </c>
      <c r="U2" s="13">
        <f t="shared" ref="U2:U41" si="0">SUM(I2:T2)</f>
        <v>6.42</v>
      </c>
      <c r="V2" s="13"/>
      <c r="W2" s="13"/>
    </row>
    <row r="3" spans="1:30" ht="11.25" customHeight="1" x14ac:dyDescent="0.3">
      <c r="A3" s="123"/>
      <c r="B3" s="123"/>
      <c r="C3" s="123"/>
      <c r="D3" s="123"/>
      <c r="E3" s="123"/>
      <c r="F3" s="123"/>
      <c r="G3" s="13" t="s">
        <v>81</v>
      </c>
      <c r="H3" s="13" t="s">
        <v>79</v>
      </c>
      <c r="I3" s="13">
        <f>SUMIF(Mercado_Receita!$T$2:$T$886,"44501A3aEnergia horáriaNão se aplicaNão se aplicaNão se aplicaNão se aplicaFora ponta",Mercado_Receita!$N$2:$N$886)</f>
        <v>0</v>
      </c>
      <c r="J3" s="13">
        <f>SUMIF(Mercado_Receita!$T$2:$T$886,"44531A3aEnergia horáriaNão se aplicaNão se aplicaNão se aplicaNão se aplicaFora ponta",Mercado_Receita!$N$2:$N$886)</f>
        <v>0</v>
      </c>
      <c r="K3" s="13">
        <f>SUMIF(Mercado_Receita!$T$2:$T$886,"44562A3aEnergia horáriaNão se aplicaNão se aplicaNão se aplicaNão se aplicaFora ponta",Mercado_Receita!$N$2:$N$886)</f>
        <v>0</v>
      </c>
      <c r="L3" s="13">
        <f>SUMIF(Mercado_Receita!$T$2:$T$886,"44593A3aEnergia horáriaNão se aplicaNão se aplicaNão se aplicaNão se aplicaFora ponta",Mercado_Receita!$N$2:$N$886)</f>
        <v>0.42099999999999999</v>
      </c>
      <c r="M3" s="13">
        <f>SUMIF(Mercado_Receita!$T$2:$T$886,"44621A3aEnergia horáriaNão se aplicaNão se aplicaNão se aplicaNão se aplicaFora ponta",Mercado_Receita!$N$2:$N$886)</f>
        <v>0.45</v>
      </c>
      <c r="N3" s="13">
        <f>SUMIF(Mercado_Receita!$T$2:$T$886,"44652A3aEnergia horáriaNão se aplicaNão se aplicaNão se aplicaNão se aplicaFora ponta",Mercado_Receita!$N$2:$N$886)</f>
        <v>0.48299999999999998</v>
      </c>
      <c r="O3" s="13">
        <f>SUMIF(Mercado_Receita!$T$2:$T$886,"44682A3aEnergia horáriaNão se aplicaNão se aplicaNão se aplicaNão se aplicaFora ponta",Mercado_Receita!$N$2:$N$886)</f>
        <v>0.58699999999999997</v>
      </c>
      <c r="P3" s="13">
        <f>SUMIF(Mercado_Receita!$T$2:$T$886,"44713A3aEnergia horáriaNão se aplicaNão se aplicaNão se aplicaNão se aplicaFora ponta",Mercado_Receita!$N$2:$N$886)</f>
        <v>419.56600000000003</v>
      </c>
      <c r="Q3" s="13">
        <f>SUMIF(Mercado_Receita!$T$2:$T$886,"44743A3aEnergia horáriaNão se aplicaNão se aplicaNão se aplicaNão se aplicaFora ponta",Mercado_Receita!$N$2:$N$886)</f>
        <v>419.952</v>
      </c>
      <c r="R3" s="13">
        <f>SUMIF(Mercado_Receita!$T$2:$T$886,"44774A3aEnergia horáriaNão se aplicaNão se aplicaNão se aplicaNão se aplicaFora ponta",Mercado_Receita!$N$2:$N$886)</f>
        <v>923.93500000000006</v>
      </c>
      <c r="S3" s="13">
        <f>SUMIF(Mercado_Receita!$T$2:$T$886,"44805A3aEnergia horáriaNão se aplicaNão se aplicaNão se aplicaNão se aplicaFora ponta",Mercado_Receita!$N$2:$N$886)</f>
        <v>20.187999999999999</v>
      </c>
      <c r="T3" s="13">
        <f>SUMIF(Mercado_Receita!$T$2:$T$886,"44835A3aEnergia horáriaNão se aplicaNão se aplicaNão se aplicaNão se aplicaFora ponta",Mercado_Receita!$N$2:$N$886)</f>
        <v>20.187999999999999</v>
      </c>
      <c r="U3" s="13">
        <f t="shared" si="0"/>
        <v>1805.7700000000004</v>
      </c>
      <c r="V3" s="13"/>
      <c r="W3" s="13"/>
    </row>
    <row r="4" spans="1:30" ht="11.25" customHeight="1" x14ac:dyDescent="0.3">
      <c r="A4" s="123"/>
      <c r="B4" s="12" t="s">
        <v>82</v>
      </c>
      <c r="C4" s="12" t="s">
        <v>25</v>
      </c>
      <c r="D4" s="12" t="s">
        <v>25</v>
      </c>
      <c r="E4" s="12" t="s">
        <v>25</v>
      </c>
      <c r="F4" s="12" t="s">
        <v>25</v>
      </c>
      <c r="G4" s="13" t="s">
        <v>83</v>
      </c>
      <c r="H4" s="13" t="s">
        <v>79</v>
      </c>
      <c r="I4" s="13">
        <f>SUMIF(Mercado_Receita!$T$2:$T$886,"44501A3aEnergia convencionalNão se aplicaNão se aplicaNão se aplicaNão se aplicaNão se aplica",Mercado_Receita!$N$2:$N$886)</f>
        <v>0</v>
      </c>
      <c r="J4" s="13">
        <f>SUMIF(Mercado_Receita!$T$2:$T$886,"44531A3aEnergia convencionalNão se aplicaNão se aplicaNão se aplicaNão se aplicaNão se aplica",Mercado_Receita!$N$2:$N$886)</f>
        <v>0</v>
      </c>
      <c r="K4" s="13">
        <f>SUMIF(Mercado_Receita!$T$2:$T$886,"44562A3aEnergia convencionalNão se aplicaNão se aplicaNão se aplicaNão se aplicaNão se aplica",Mercado_Receita!$N$2:$N$886)</f>
        <v>0</v>
      </c>
      <c r="L4" s="13">
        <f>SUMIF(Mercado_Receita!$T$2:$T$886,"44593A3aEnergia convencionalNão se aplicaNão se aplicaNão se aplicaNão se aplicaNão se aplica",Mercado_Receita!$N$2:$N$886)</f>
        <v>0</v>
      </c>
      <c r="M4" s="13">
        <f>SUMIF(Mercado_Receita!$T$2:$T$886,"44621A3aEnergia convencionalNão se aplicaNão se aplicaNão se aplicaNão se aplicaNão se aplica",Mercado_Receita!$N$2:$N$886)</f>
        <v>0</v>
      </c>
      <c r="N4" s="13">
        <f>SUMIF(Mercado_Receita!$T$2:$T$886,"44652A3aEnergia convencionalNão se aplicaNão se aplicaNão se aplicaNão se aplicaNão se aplica",Mercado_Receita!$N$2:$N$886)</f>
        <v>0</v>
      </c>
      <c r="O4" s="13">
        <f>SUMIF(Mercado_Receita!$T$2:$T$886,"44682A3aEnergia convencionalNão se aplicaNão se aplicaNão se aplicaNão se aplicaNão se aplica",Mercado_Receita!$N$2:$N$886)</f>
        <v>0</v>
      </c>
      <c r="P4" s="13">
        <f>SUMIF(Mercado_Receita!$T$2:$T$886,"44713A3aEnergia convencionalNão se aplicaNão se aplicaNão se aplicaNão se aplicaNão se aplica",Mercado_Receita!$N$2:$N$886)</f>
        <v>0</v>
      </c>
      <c r="Q4" s="13">
        <f>SUMIF(Mercado_Receita!$T$2:$T$886,"44743A3aEnergia convencionalNão se aplicaNão se aplicaNão se aplicaNão se aplicaNão se aplica",Mercado_Receita!$N$2:$N$886)</f>
        <v>0</v>
      </c>
      <c r="R4" s="13">
        <f>SUMIF(Mercado_Receita!$T$2:$T$886,"44774A3aEnergia convencionalNão se aplicaNão se aplicaNão se aplicaNão se aplicaNão se aplica",Mercado_Receita!$N$2:$N$886)</f>
        <v>0</v>
      </c>
      <c r="S4" s="13">
        <f>SUMIF(Mercado_Receita!$T$2:$T$886,"44805A3aEnergia convencionalNão se aplicaNão se aplicaNão se aplicaNão se aplicaNão se aplica",Mercado_Receita!$N$2:$N$886)</f>
        <v>0</v>
      </c>
      <c r="T4" s="13">
        <f>SUMIF(Mercado_Receita!$T$2:$T$886,"44835A3aEnergia convencionalNão se aplicaNão se aplicaNão se aplicaNão se aplicaNão se aplica",Mercado_Receita!$N$2:$N$886)</f>
        <v>0</v>
      </c>
      <c r="U4" s="13">
        <f t="shared" si="0"/>
        <v>0</v>
      </c>
      <c r="V4" s="13"/>
      <c r="W4" s="13"/>
    </row>
    <row r="5" spans="1:30" ht="11.25" customHeight="1" x14ac:dyDescent="0.3">
      <c r="A5" s="122" t="s">
        <v>39</v>
      </c>
      <c r="B5" s="122" t="s">
        <v>78</v>
      </c>
      <c r="C5" s="122" t="s">
        <v>25</v>
      </c>
      <c r="D5" s="122" t="s">
        <v>25</v>
      </c>
      <c r="E5" s="122" t="s">
        <v>25</v>
      </c>
      <c r="F5" s="122" t="s">
        <v>25</v>
      </c>
      <c r="G5" s="13" t="s">
        <v>80</v>
      </c>
      <c r="H5" s="13" t="s">
        <v>79</v>
      </c>
      <c r="I5" s="13">
        <f>SUMIF(Mercado_Receita!$T$2:$T$886,"44501A4Energia horáriaNão se aplicaNão se aplicaNão se aplicaNão se aplicaPonta",Mercado_Receita!$N$2:$N$886)</f>
        <v>104.515</v>
      </c>
      <c r="J5" s="13">
        <f>SUMIF(Mercado_Receita!$T$2:$T$886,"44531A4Energia horáriaNão se aplicaNão se aplicaNão se aplicaNão se aplicaPonta",Mercado_Receita!$N$2:$N$886)</f>
        <v>104.63400000000001</v>
      </c>
      <c r="K5" s="13">
        <f>SUMIF(Mercado_Receita!$T$2:$T$886,"44562A4Energia horáriaNão se aplicaNão se aplicaNão se aplicaNão se aplicaPonta",Mercado_Receita!$N$2:$N$886)</f>
        <v>92.701000000000022</v>
      </c>
      <c r="L5" s="13">
        <f>SUMIF(Mercado_Receita!$T$2:$T$886,"44593A4Energia horáriaNão se aplicaNão se aplicaNão se aplicaNão se aplicaPonta",Mercado_Receita!$N$2:$N$886)</f>
        <v>93.282000000000011</v>
      </c>
      <c r="M5" s="13">
        <f>SUMIF(Mercado_Receita!$T$2:$T$886,"44621A4Energia horáriaNão se aplicaNão se aplicaNão se aplicaNão se aplicaPonta",Mercado_Receita!$N$2:$N$886)</f>
        <v>116.55699999999999</v>
      </c>
      <c r="N5" s="13">
        <f>SUMIF(Mercado_Receita!$T$2:$T$886,"44652A4Energia horáriaNão se aplicaNão se aplicaNão se aplicaNão se aplicaPonta",Mercado_Receita!$N$2:$N$886)</f>
        <v>97.746000000000009</v>
      </c>
      <c r="O5" s="13">
        <f>SUMIF(Mercado_Receita!$T$2:$T$886,"44682A4Energia horáriaNão se aplicaNão se aplicaNão se aplicaNão se aplicaPonta",Mercado_Receita!$N$2:$N$886)</f>
        <v>96.264999999999986</v>
      </c>
      <c r="P5" s="13">
        <f>SUMIF(Mercado_Receita!$T$2:$T$886,"44713A4Energia horáriaNão se aplicaNão se aplicaNão se aplicaNão se aplicaPonta",Mercado_Receita!$N$2:$N$886)</f>
        <v>90.498999999999995</v>
      </c>
      <c r="Q5" s="13">
        <f>SUMIF(Mercado_Receita!$T$2:$T$886,"44743A4Energia horáriaNão se aplicaNão se aplicaNão se aplicaNão se aplicaPonta",Mercado_Receita!$N$2:$N$886)</f>
        <v>81.364999999999995</v>
      </c>
      <c r="R5" s="13">
        <f>SUMIF(Mercado_Receita!$T$2:$T$886,"44774A4Energia horáriaNão se aplicaNão se aplicaNão se aplicaNão se aplicaPonta",Mercado_Receita!$N$2:$N$886)</f>
        <v>103.30800000000002</v>
      </c>
      <c r="S5" s="13">
        <f>SUMIF(Mercado_Receita!$T$2:$T$886,"44805A4Energia horáriaNão se aplicaNão se aplicaNão se aplicaNão se aplicaPonta",Mercado_Receita!$N$2:$N$886)</f>
        <v>101.57799999999999</v>
      </c>
      <c r="T5" s="13">
        <f>SUMIF(Mercado_Receita!$T$2:$T$886,"44835A4Energia horáriaNão se aplicaNão se aplicaNão se aplicaNão se aplicaPonta",Mercado_Receita!$N$2:$N$886)</f>
        <v>101.57799999999999</v>
      </c>
      <c r="U5" s="13">
        <f t="shared" si="0"/>
        <v>1184.028</v>
      </c>
      <c r="V5" s="13"/>
      <c r="W5" s="13"/>
    </row>
    <row r="6" spans="1:30" ht="11.25" customHeight="1" x14ac:dyDescent="0.3">
      <c r="A6" s="123"/>
      <c r="B6" s="123"/>
      <c r="C6" s="123"/>
      <c r="D6" s="123"/>
      <c r="E6" s="123"/>
      <c r="F6" s="123"/>
      <c r="G6" s="13" t="s">
        <v>81</v>
      </c>
      <c r="H6" s="13" t="s">
        <v>79</v>
      </c>
      <c r="I6" s="13">
        <f>SUMIF(Mercado_Receita!$T$2:$T$886,"44501A4Energia horáriaNão se aplicaNão se aplicaNão se aplicaNão se aplicaFora ponta",Mercado_Receita!$N$2:$N$886)</f>
        <v>1478.326</v>
      </c>
      <c r="J6" s="13">
        <f>SUMIF(Mercado_Receita!$T$2:$T$886,"44531A4Energia horáriaNão se aplicaNão se aplicaNão se aplicaNão se aplicaFora ponta",Mercado_Receita!$N$2:$N$886)</f>
        <v>1365.2489999999996</v>
      </c>
      <c r="K6" s="13">
        <f>SUMIF(Mercado_Receita!$T$2:$T$886,"44562A4Energia horáriaNão se aplicaNão se aplicaNão se aplicaNão se aplicaFora ponta",Mercado_Receita!$N$2:$N$886)</f>
        <v>1361.7190000000001</v>
      </c>
      <c r="L6" s="13">
        <f>SUMIF(Mercado_Receita!$T$2:$T$886,"44593A4Energia horáriaNão se aplicaNão se aplicaNão se aplicaNão se aplicaFora ponta",Mercado_Receita!$N$2:$N$886)</f>
        <v>1318.8389999999999</v>
      </c>
      <c r="M6" s="13">
        <f>SUMIF(Mercado_Receita!$T$2:$T$886,"44621A4Energia horáriaNão se aplicaNão se aplicaNão se aplicaNão se aplicaFora ponta",Mercado_Receita!$N$2:$N$886)</f>
        <v>1610.9250000000002</v>
      </c>
      <c r="N6" s="13">
        <f>SUMIF(Mercado_Receita!$T$2:$T$886,"44652A4Energia horáriaNão se aplicaNão se aplicaNão se aplicaNão se aplicaFora ponta",Mercado_Receita!$N$2:$N$886)</f>
        <v>1703.4690000000001</v>
      </c>
      <c r="O6" s="13">
        <f>SUMIF(Mercado_Receita!$T$2:$T$886,"44682A4Energia horáriaNão se aplicaNão se aplicaNão se aplicaNão se aplicaFora ponta",Mercado_Receita!$N$2:$N$886)</f>
        <v>1622.568</v>
      </c>
      <c r="P6" s="13">
        <f>SUMIF(Mercado_Receita!$T$2:$T$886,"44713A4Energia horáriaNão se aplicaNão se aplicaNão se aplicaNão se aplicaFora ponta",Mercado_Receita!$N$2:$N$886)</f>
        <v>1473.3919999999996</v>
      </c>
      <c r="Q6" s="13">
        <f>SUMIF(Mercado_Receita!$T$2:$T$886,"44743A4Energia horáriaNão se aplicaNão se aplicaNão se aplicaNão se aplicaFora ponta",Mercado_Receita!$N$2:$N$886)</f>
        <v>1504.3460000000002</v>
      </c>
      <c r="R6" s="13">
        <f>SUMIF(Mercado_Receita!$T$2:$T$886,"44774A4Energia horáriaNão se aplicaNão se aplicaNão se aplicaNão se aplicaFora ponta",Mercado_Receita!$N$2:$N$886)</f>
        <v>1689.2169999999999</v>
      </c>
      <c r="S6" s="13">
        <f>SUMIF(Mercado_Receita!$T$2:$T$886,"44805A4Energia horáriaNão se aplicaNão se aplicaNão se aplicaNão se aplicaFora ponta",Mercado_Receita!$N$2:$N$886)</f>
        <v>1728.3959999999997</v>
      </c>
      <c r="T6" s="13">
        <f>SUMIF(Mercado_Receita!$T$2:$T$886,"44835A4Energia horáriaNão se aplicaNão se aplicaNão se aplicaNão se aplicaFora ponta",Mercado_Receita!$N$2:$N$886)</f>
        <v>1728.3959999999997</v>
      </c>
      <c r="U6" s="13">
        <f t="shared" si="0"/>
        <v>18584.842000000001</v>
      </c>
      <c r="V6" s="13"/>
      <c r="W6" s="13"/>
    </row>
    <row r="7" spans="1:30" ht="11.25" customHeight="1" x14ac:dyDescent="0.3">
      <c r="A7" s="122" t="s">
        <v>22</v>
      </c>
      <c r="B7" s="122" t="s">
        <v>78</v>
      </c>
      <c r="C7" s="122" t="s">
        <v>24</v>
      </c>
      <c r="D7" s="122" t="s">
        <v>24</v>
      </c>
      <c r="E7" s="122" t="s">
        <v>25</v>
      </c>
      <c r="F7" s="122" t="s">
        <v>25</v>
      </c>
      <c r="G7" s="13" t="s">
        <v>80</v>
      </c>
      <c r="H7" s="13" t="s">
        <v>79</v>
      </c>
      <c r="I7" s="13">
        <f>SUMIF(Mercado_Receita!$T$2:$T$886,"44501B1Energia horáriaResidencialResidencialNão se aplicaNão se aplicaPonta",Mercado_Receita!$N$2:$N$886)</f>
        <v>0.53500000000000003</v>
      </c>
      <c r="J7" s="13">
        <f>SUMIF(Mercado_Receita!$T$2:$T$886,"44531B1Energia horáriaResidencialResidencialNão se aplicaNão se aplicaPonta",Mercado_Receita!$N$2:$N$886)</f>
        <v>0.55100000000000005</v>
      </c>
      <c r="K7" s="13">
        <f>SUMIF(Mercado_Receita!$T$2:$T$886,"44562B1Energia horáriaResidencialResidencialNão se aplicaNão se aplicaPonta",Mercado_Receita!$N$2:$N$886)</f>
        <v>0.56399999999999995</v>
      </c>
      <c r="L7" s="13">
        <f>SUMIF(Mercado_Receita!$T$2:$T$886,"44593B1Energia horáriaResidencialResidencialNão se aplicaNão se aplicaPonta",Mercado_Receita!$N$2:$N$886)</f>
        <v>0.57899999999999996</v>
      </c>
      <c r="M7" s="13">
        <f>SUMIF(Mercado_Receita!$T$2:$T$886,"44621B1Energia horáriaResidencialResidencialNão se aplicaNão se aplicaPonta",Mercado_Receita!$N$2:$N$886)</f>
        <v>0.49299999999999999</v>
      </c>
      <c r="N7" s="13">
        <f>SUMIF(Mercado_Receita!$T$2:$T$886,"44652B1Energia horáriaResidencialResidencialNão se aplicaNão se aplicaPonta",Mercado_Receita!$N$2:$N$886)</f>
        <v>0.57999999999999996</v>
      </c>
      <c r="O7" s="13">
        <f>SUMIF(Mercado_Receita!$T$2:$T$886,"44682B1Energia horáriaResidencialResidencialNão se aplicaNão se aplicaPonta",Mercado_Receita!$N$2:$N$886)</f>
        <v>0.36099999999999999</v>
      </c>
      <c r="P7" s="13">
        <f>SUMIF(Mercado_Receita!$T$2:$T$886,"44713B1Energia horáriaResidencialResidencialNão se aplicaNão se aplicaPonta",Mercado_Receita!$N$2:$N$886)</f>
        <v>0.32800000000000001</v>
      </c>
      <c r="Q7" s="13">
        <f>SUMIF(Mercado_Receita!$T$2:$T$886,"44743B1Energia horáriaResidencialResidencialNão se aplicaNão se aplicaPonta",Mercado_Receita!$N$2:$N$886)</f>
        <v>0.32200000000000001</v>
      </c>
      <c r="R7" s="13">
        <f>SUMIF(Mercado_Receita!$T$2:$T$886,"44774B1Energia horáriaResidencialResidencialNão se aplicaNão se aplicaPonta",Mercado_Receita!$N$2:$N$886)</f>
        <v>0.33700000000000002</v>
      </c>
      <c r="S7" s="13">
        <f>SUMIF(Mercado_Receita!$T$2:$T$886,"44805B1Energia horáriaResidencialResidencialNão se aplicaNão se aplicaPonta",Mercado_Receita!$N$2:$N$886)</f>
        <v>0.27500000000000002</v>
      </c>
      <c r="T7" s="13">
        <f>SUMIF(Mercado_Receita!$T$2:$T$886,"44835B1Energia horáriaResidencialResidencialNão se aplicaNão se aplicaPonta",Mercado_Receita!$N$2:$N$886)</f>
        <v>0.27500000000000002</v>
      </c>
      <c r="U7" s="13">
        <f t="shared" si="0"/>
        <v>5.2</v>
      </c>
      <c r="V7" s="13"/>
      <c r="W7" s="13"/>
    </row>
    <row r="8" spans="1:30" ht="11.25" customHeight="1" x14ac:dyDescent="0.3">
      <c r="A8" s="123"/>
      <c r="B8" s="123"/>
      <c r="C8" s="123"/>
      <c r="D8" s="123"/>
      <c r="E8" s="123"/>
      <c r="F8" s="123"/>
      <c r="G8" s="13" t="s">
        <v>91</v>
      </c>
      <c r="H8" s="13" t="s">
        <v>79</v>
      </c>
      <c r="I8" s="13">
        <f>SUMIF(Mercado_Receita!$T$2:$T$886,"44501B1Energia horáriaResidencialResidencialNão se aplicaNão se aplicaIntermediário",Mercado_Receita!$N$2:$N$886)</f>
        <v>0.34100000000000003</v>
      </c>
      <c r="J8" s="13">
        <f>SUMIF(Mercado_Receita!$T$2:$T$886,"44531B1Energia horáriaResidencialResidencialNão se aplicaNão se aplicaIntermediário",Mercado_Receita!$N$2:$N$886)</f>
        <v>0.36499999999999999</v>
      </c>
      <c r="K8" s="13">
        <f>SUMIF(Mercado_Receita!$T$2:$T$886,"44562B1Energia horáriaResidencialResidencialNão se aplicaNão se aplicaIntermediário",Mercado_Receita!$N$2:$N$886)</f>
        <v>0.373</v>
      </c>
      <c r="L8" s="13">
        <f>SUMIF(Mercado_Receita!$T$2:$T$886,"44593B1Energia horáriaResidencialResidencialNão se aplicaNão se aplicaIntermediário",Mercado_Receita!$N$2:$N$886)</f>
        <v>0.38600000000000001</v>
      </c>
      <c r="M8" s="13">
        <f>SUMIF(Mercado_Receita!$T$2:$T$886,"44621B1Energia horáriaResidencialResidencialNão se aplicaNão se aplicaIntermediário",Mercado_Receita!$N$2:$N$886)</f>
        <v>0.32900000000000001</v>
      </c>
      <c r="N8" s="13">
        <f>SUMIF(Mercado_Receita!$T$2:$T$886,"44652B1Energia horáriaResidencialResidencialNão se aplicaNão se aplicaIntermediário",Mercado_Receita!$N$2:$N$886)</f>
        <v>0.38300000000000001</v>
      </c>
      <c r="O8" s="13">
        <f>SUMIF(Mercado_Receita!$T$2:$T$886,"44682B1Energia horáriaResidencialResidencialNão se aplicaNão se aplicaIntermediário",Mercado_Receita!$N$2:$N$886)</f>
        <v>0.23699999999999999</v>
      </c>
      <c r="P8" s="13">
        <f>SUMIF(Mercado_Receita!$T$2:$T$886,"44713B1Energia horáriaResidencialResidencialNão se aplicaNão se aplicaIntermediário",Mercado_Receita!$N$2:$N$886)</f>
        <v>0.216</v>
      </c>
      <c r="Q8" s="13">
        <f>SUMIF(Mercado_Receita!$T$2:$T$886,"44743B1Energia horáriaResidencialResidencialNão se aplicaNão se aplicaIntermediário",Mercado_Receita!$N$2:$N$886)</f>
        <v>0.2</v>
      </c>
      <c r="R8" s="13">
        <f>SUMIF(Mercado_Receita!$T$2:$T$886,"44774B1Energia horáriaResidencialResidencialNão se aplicaNão se aplicaIntermediário",Mercado_Receita!$N$2:$N$886)</f>
        <v>0.21299999999999999</v>
      </c>
      <c r="S8" s="13">
        <f>SUMIF(Mercado_Receita!$T$2:$T$886,"44805B1Energia horáriaResidencialResidencialNão se aplicaNão se aplicaIntermediário",Mercado_Receita!$N$2:$N$886)</f>
        <v>0.17599999999999999</v>
      </c>
      <c r="T8" s="13">
        <f>SUMIF(Mercado_Receita!$T$2:$T$886,"44835B1Energia horáriaResidencialResidencialNão se aplicaNão se aplicaIntermediário",Mercado_Receita!$N$2:$N$886)</f>
        <v>0.17599999999999999</v>
      </c>
      <c r="U8" s="13">
        <f t="shared" si="0"/>
        <v>3.3950000000000005</v>
      </c>
      <c r="V8" s="13"/>
      <c r="W8" s="13"/>
    </row>
    <row r="9" spans="1:30" ht="11.25" customHeight="1" x14ac:dyDescent="0.3">
      <c r="A9" s="123"/>
      <c r="B9" s="123"/>
      <c r="C9" s="123"/>
      <c r="D9" s="123"/>
      <c r="E9" s="123"/>
      <c r="F9" s="123"/>
      <c r="G9" s="13" t="s">
        <v>81</v>
      </c>
      <c r="H9" s="13" t="s">
        <v>79</v>
      </c>
      <c r="I9" s="13">
        <f>SUMIF(Mercado_Receita!$T$2:$T$886,"44501B1Energia horáriaResidencialResidencialNão se aplicaNão se aplicaFora ponta",Mercado_Receita!$N$2:$N$886)</f>
        <v>5.0039999999999996</v>
      </c>
      <c r="J9" s="13">
        <f>SUMIF(Mercado_Receita!$T$2:$T$886,"44531B1Energia horáriaResidencialResidencialNão se aplicaNão se aplicaFora ponta",Mercado_Receita!$N$2:$N$886)</f>
        <v>5.3209999999999997</v>
      </c>
      <c r="K9" s="13">
        <f>SUMIF(Mercado_Receita!$T$2:$T$886,"44562B1Energia horáriaResidencialResidencialNão se aplicaNão se aplicaFora ponta",Mercado_Receita!$N$2:$N$886)</f>
        <v>5.5810000000000004</v>
      </c>
      <c r="L9" s="13">
        <f>SUMIF(Mercado_Receita!$T$2:$T$886,"44593B1Energia horáriaResidencialResidencialNão se aplicaNão se aplicaFora ponta",Mercado_Receita!$N$2:$N$886)</f>
        <v>5.8360000000000003</v>
      </c>
      <c r="M9" s="13">
        <f>SUMIF(Mercado_Receita!$T$2:$T$886,"44621B1Energia horáriaResidencialResidencialNão se aplicaNão se aplicaFora ponta",Mercado_Receita!$N$2:$N$886)</f>
        <v>4.88</v>
      </c>
      <c r="N9" s="13">
        <f>SUMIF(Mercado_Receita!$T$2:$T$886,"44652B1Energia horáriaResidencialResidencialNão se aplicaNão se aplicaFora ponta",Mercado_Receita!$N$2:$N$886)</f>
        <v>5.3840000000000003</v>
      </c>
      <c r="O9" s="13">
        <f>SUMIF(Mercado_Receita!$T$2:$T$886,"44682B1Energia horáriaResidencialResidencialNão se aplicaNão se aplicaFora ponta",Mercado_Receita!$N$2:$N$886)</f>
        <v>3.298</v>
      </c>
      <c r="P9" s="13">
        <f>SUMIF(Mercado_Receita!$T$2:$T$886,"44713B1Energia horáriaResidencialResidencialNão se aplicaNão se aplicaFora ponta",Mercado_Receita!$N$2:$N$886)</f>
        <v>2.508</v>
      </c>
      <c r="Q9" s="13">
        <f>SUMIF(Mercado_Receita!$T$2:$T$886,"44743B1Energia horáriaResidencialResidencialNão se aplicaNão se aplicaFora ponta",Mercado_Receita!$N$2:$N$886)</f>
        <v>2.6120000000000001</v>
      </c>
      <c r="R9" s="13">
        <f>SUMIF(Mercado_Receita!$T$2:$T$886,"44774B1Energia horáriaResidencialResidencialNão se aplicaNão se aplicaFora ponta",Mercado_Receita!$N$2:$N$886)</f>
        <v>2.7879999999999998</v>
      </c>
      <c r="S9" s="13">
        <f>SUMIF(Mercado_Receita!$T$2:$T$886,"44805B1Energia horáriaResidencialResidencialNão se aplicaNão se aplicaFora ponta",Mercado_Receita!$N$2:$N$886)</f>
        <v>2.456</v>
      </c>
      <c r="T9" s="13">
        <f>SUMIF(Mercado_Receita!$T$2:$T$886,"44835B1Energia horáriaResidencialResidencialNão se aplicaNão se aplicaFora ponta",Mercado_Receita!$N$2:$N$886)</f>
        <v>2.456</v>
      </c>
      <c r="U9" s="13">
        <f t="shared" si="0"/>
        <v>48.124000000000009</v>
      </c>
      <c r="V9" s="13"/>
      <c r="W9" s="13"/>
    </row>
    <row r="10" spans="1:30" ht="11.25" customHeight="1" x14ac:dyDescent="0.3">
      <c r="A10" s="123"/>
      <c r="B10" s="122" t="s">
        <v>82</v>
      </c>
      <c r="C10" s="122" t="s">
        <v>24</v>
      </c>
      <c r="D10" s="12" t="s">
        <v>24</v>
      </c>
      <c r="E10" s="12" t="s">
        <v>25</v>
      </c>
      <c r="F10" s="12" t="s">
        <v>25</v>
      </c>
      <c r="G10" s="13" t="s">
        <v>83</v>
      </c>
      <c r="H10" s="13" t="s">
        <v>79</v>
      </c>
      <c r="I10" s="13">
        <f>SUMIF(Mercado_Receita!$T$2:$T$886,"44501B1Energia convencionalResidencialResidencialNão se aplicaNão se aplicaNão se aplica",Mercado_Receita!$N$2:$N$886)</f>
        <v>4142.9870000000001</v>
      </c>
      <c r="J10" s="13">
        <f>SUMIF(Mercado_Receita!$T$2:$T$886,"44531B1Energia convencionalResidencialResidencialNão se aplicaNão se aplicaNão se aplica",Mercado_Receita!$N$2:$N$886)</f>
        <v>3945.7979999999998</v>
      </c>
      <c r="K10" s="13">
        <f>SUMIF(Mercado_Receita!$T$2:$T$886,"44562B1Energia convencionalResidencialResidencialNão se aplicaNão se aplicaNão se aplica",Mercado_Receita!$N$2:$N$886)</f>
        <v>4028.8340000000003</v>
      </c>
      <c r="L10" s="13">
        <f>SUMIF(Mercado_Receita!$T$2:$T$886,"44593B1Energia convencionalResidencialResidencialNão se aplicaNão se aplicaNão se aplica",Mercado_Receita!$N$2:$N$886)</f>
        <v>3989.8110000000001</v>
      </c>
      <c r="M10" s="13">
        <f>SUMIF(Mercado_Receita!$T$2:$T$886,"44621B1Energia convencionalResidencialResidencialNão se aplicaNão se aplicaNão se aplica",Mercado_Receita!$N$2:$N$886)</f>
        <v>3682.9969999999998</v>
      </c>
      <c r="N10" s="13">
        <f>SUMIF(Mercado_Receita!$T$2:$T$886,"44652B1Energia convencionalResidencialResidencialNão se aplicaNão se aplicaNão se aplica",Mercado_Receita!$N$2:$N$886)</f>
        <v>4249.1100000000006</v>
      </c>
      <c r="O10" s="13">
        <f>SUMIF(Mercado_Receita!$T$2:$T$886,"44682B1Energia convencionalResidencialResidencialNão se aplicaNão se aplicaNão se aplica",Mercado_Receita!$N$2:$N$886)</f>
        <v>3897.9989999999998</v>
      </c>
      <c r="P10" s="13">
        <f>SUMIF(Mercado_Receita!$T$2:$T$886,"44713B1Energia convencionalResidencialResidencialNão se aplicaNão se aplicaNão se aplica",Mercado_Receita!$N$2:$N$886)</f>
        <v>3436.7649999999999</v>
      </c>
      <c r="Q10" s="13">
        <f>SUMIF(Mercado_Receita!$T$2:$T$886,"44743B1Energia convencionalResidencialResidencialNão se aplicaNão se aplicaNão se aplica",Mercado_Receita!$N$2:$N$886)</f>
        <v>3614.172</v>
      </c>
      <c r="R10" s="13">
        <f>SUMIF(Mercado_Receita!$T$2:$T$886,"44774B1Energia convencionalResidencialResidencialNão se aplicaNão se aplicaNão se aplica",Mercado_Receita!$N$2:$N$886)</f>
        <v>3478.5920000000001</v>
      </c>
      <c r="S10" s="13">
        <f>SUMIF(Mercado_Receita!$T$2:$T$886,"44805B1Energia convencionalResidencialResidencialNão se aplicaNão se aplicaNão se aplica",Mercado_Receita!$N$2:$N$886)</f>
        <v>4144.6459999999997</v>
      </c>
      <c r="T10" s="13">
        <f>SUMIF(Mercado_Receita!$T$2:$T$886,"44835B1Energia convencionalResidencialResidencialNão se aplicaNão se aplicaNão se aplica",Mercado_Receita!$N$2:$N$886)</f>
        <v>4144.6459999999997</v>
      </c>
      <c r="U10" s="13">
        <f t="shared" si="0"/>
        <v>46756.356999999996</v>
      </c>
      <c r="V10" s="13"/>
      <c r="W10" s="13"/>
    </row>
    <row r="11" spans="1:30" ht="11.25" customHeight="1" x14ac:dyDescent="0.3">
      <c r="A11" s="123"/>
      <c r="B11" s="123"/>
      <c r="C11" s="123"/>
      <c r="D11" s="12" t="s">
        <v>29</v>
      </c>
      <c r="E11" s="12" t="s">
        <v>25</v>
      </c>
      <c r="F11" s="12" t="s">
        <v>25</v>
      </c>
      <c r="G11" s="13" t="s">
        <v>83</v>
      </c>
      <c r="H11" s="13" t="s">
        <v>79</v>
      </c>
      <c r="I11" s="13">
        <f>SUMIF(Mercado_Receita!$T$2:$T$886,"44501B1Energia convencionalResidencialResidencial baixa renda – faixa 01Não se aplicaNão se aplicaNão se aplica",Mercado_Receita!$N$2:$N$886)</f>
        <v>74.97</v>
      </c>
      <c r="J11" s="13">
        <f>SUMIF(Mercado_Receita!$T$2:$T$886,"44531B1Energia convencionalResidencialResidencial baixa renda – faixa 01Não se aplicaNão se aplicaNão se aplica",Mercado_Receita!$N$2:$N$886)</f>
        <v>78.33</v>
      </c>
      <c r="K11" s="13">
        <f>SUMIF(Mercado_Receita!$T$2:$T$886,"44562B1Energia convencionalResidencialResidencial baixa renda – faixa 01Não se aplicaNão se aplicaNão se aplica",Mercado_Receita!$N$2:$N$886)</f>
        <v>80.010000000000005</v>
      </c>
      <c r="L11" s="13">
        <f>SUMIF(Mercado_Receita!$T$2:$T$886,"44593B1Energia convencionalResidencialResidencial baixa renda – faixa 01Não se aplicaNão se aplicaNão se aplica",Mercado_Receita!$N$2:$N$886)</f>
        <v>82.56</v>
      </c>
      <c r="M11" s="13">
        <f>SUMIF(Mercado_Receita!$T$2:$T$886,"44621B1Energia convencionalResidencialResidencial baixa renda – faixa 01Não se aplicaNão se aplicaNão se aplica",Mercado_Receita!$N$2:$N$886)</f>
        <v>86.88</v>
      </c>
      <c r="N11" s="13">
        <f>SUMIF(Mercado_Receita!$T$2:$T$886,"44652B1Energia convencionalResidencialResidencial baixa renda – faixa 01Não se aplicaNão se aplicaNão se aplica",Mercado_Receita!$N$2:$N$886)</f>
        <v>97.29</v>
      </c>
      <c r="O11" s="13">
        <f>SUMIF(Mercado_Receita!$T$2:$T$886,"44682B1Energia convencionalResidencialResidencial baixa renda – faixa 01Não se aplicaNão se aplicaNão se aplica",Mercado_Receita!$N$2:$N$886)</f>
        <v>105.64</v>
      </c>
      <c r="P11" s="13">
        <f>SUMIF(Mercado_Receita!$T$2:$T$886,"44713B1Energia convencionalResidencialResidencial baixa renda – faixa 01Não se aplicaNão se aplicaNão se aplica",Mercado_Receita!$N$2:$N$886)</f>
        <v>101.1</v>
      </c>
      <c r="Q11" s="13">
        <f>SUMIF(Mercado_Receita!$T$2:$T$886,"44743B1Energia convencionalResidencialResidencial baixa renda – faixa 01Não se aplicaNão se aplicaNão se aplica",Mercado_Receita!$N$2:$N$886)</f>
        <v>101.31</v>
      </c>
      <c r="R11" s="13">
        <f>SUMIF(Mercado_Receita!$T$2:$T$886,"44774B1Energia convencionalResidencialResidencial baixa renda – faixa 01Não se aplicaNão se aplicaNão se aplica",Mercado_Receita!$N$2:$N$886)</f>
        <v>100.56</v>
      </c>
      <c r="S11" s="13">
        <f>SUMIF(Mercado_Receita!$T$2:$T$886,"44805B1Energia convencionalResidencialResidencial baixa renda – faixa 01Não se aplicaNão se aplicaNão se aplica",Mercado_Receita!$N$2:$N$886)</f>
        <v>100.83</v>
      </c>
      <c r="T11" s="13">
        <f>SUMIF(Mercado_Receita!$T$2:$T$886,"44835B1Energia convencionalResidencialResidencial baixa renda – faixa 01Não se aplicaNão se aplicaNão se aplica",Mercado_Receita!$N$2:$N$886)</f>
        <v>100.83</v>
      </c>
      <c r="U11" s="13">
        <f t="shared" si="0"/>
        <v>1110.3100000000002</v>
      </c>
      <c r="V11" s="13"/>
      <c r="W11" s="13"/>
    </row>
    <row r="12" spans="1:30" ht="11.25" customHeight="1" x14ac:dyDescent="0.3">
      <c r="A12" s="123"/>
      <c r="B12" s="123"/>
      <c r="C12" s="123"/>
      <c r="D12" s="12" t="s">
        <v>30</v>
      </c>
      <c r="E12" s="12" t="s">
        <v>25</v>
      </c>
      <c r="F12" s="12" t="s">
        <v>25</v>
      </c>
      <c r="G12" s="13" t="s">
        <v>83</v>
      </c>
      <c r="H12" s="13" t="s">
        <v>79</v>
      </c>
      <c r="I12" s="13">
        <f>SUMIF(Mercado_Receita!$T$2:$T$886,"44501B1Energia convencionalResidencialResidencial baixa renda – faixa 02Não se aplicaNão se aplicaNão se aplica",Mercado_Receita!$N$2:$N$886)</f>
        <v>153.358</v>
      </c>
      <c r="J12" s="13">
        <f>SUMIF(Mercado_Receita!$T$2:$T$886,"44531B1Energia convencionalResidencialResidencial baixa renda – faixa 02Não se aplicaNão se aplicaNão se aplica",Mercado_Receita!$N$2:$N$886)</f>
        <v>158.65600000000001</v>
      </c>
      <c r="K12" s="13">
        <f>SUMIF(Mercado_Receita!$T$2:$T$886,"44562B1Energia convencionalResidencialResidencial baixa renda – faixa 02Não se aplicaNão se aplicaNão se aplica",Mercado_Receita!$N$2:$N$886)</f>
        <v>164.26400000000001</v>
      </c>
      <c r="L12" s="13">
        <f>SUMIF(Mercado_Receita!$T$2:$T$886,"44593B1Energia convencionalResidencialResidencial baixa renda – faixa 02Não se aplicaNão se aplicaNão se aplica",Mercado_Receita!$N$2:$N$886)</f>
        <v>168.87899999999999</v>
      </c>
      <c r="M12" s="13">
        <f>SUMIF(Mercado_Receita!$T$2:$T$886,"44621B1Energia convencionalResidencialResidencial baixa renda – faixa 02Não se aplicaNão se aplicaNão se aplica",Mercado_Receita!$N$2:$N$886)</f>
        <v>173.79900000000001</v>
      </c>
      <c r="N12" s="13">
        <f>SUMIF(Mercado_Receita!$T$2:$T$886,"44652B1Energia convencionalResidencialResidencial baixa renda – faixa 02Não se aplicaNão se aplicaNão se aplica",Mercado_Receita!$N$2:$N$886)</f>
        <v>202.85900000000001</v>
      </c>
      <c r="O12" s="13">
        <f>SUMIF(Mercado_Receita!$T$2:$T$886,"44682B1Energia convencionalResidencialResidencial baixa renda – faixa 02Não se aplicaNão se aplicaNão se aplica",Mercado_Receita!$N$2:$N$886)</f>
        <v>215.45599999999999</v>
      </c>
      <c r="P12" s="13">
        <f>SUMIF(Mercado_Receita!$T$2:$T$886,"44713B1Energia convencionalResidencialResidencial baixa renda – faixa 02Não se aplicaNão se aplicaNão se aplica",Mercado_Receita!$N$2:$N$886)</f>
        <v>200.75899999999999</v>
      </c>
      <c r="Q12" s="13">
        <f>SUMIF(Mercado_Receita!$T$2:$T$886,"44743B1Energia convencionalResidencialResidencial baixa renda – faixa 02Não se aplicaNão se aplicaNão se aplica",Mercado_Receita!$N$2:$N$886)</f>
        <v>204.48699999999999</v>
      </c>
      <c r="R12" s="13">
        <f>SUMIF(Mercado_Receita!$T$2:$T$886,"44774B1Energia convencionalResidencialResidencial baixa renda – faixa 02Não se aplicaNão se aplicaNão se aplica",Mercado_Receita!$N$2:$N$886)</f>
        <v>199.404</v>
      </c>
      <c r="S12" s="13">
        <f>SUMIF(Mercado_Receita!$T$2:$T$886,"44805B1Energia convencionalResidencialResidencial baixa renda – faixa 02Não se aplicaNão se aplicaNão se aplica",Mercado_Receita!$N$2:$N$886)</f>
        <v>210.55099999999999</v>
      </c>
      <c r="T12" s="13">
        <f>SUMIF(Mercado_Receita!$T$2:$T$886,"44835B1Energia convencionalResidencialResidencial baixa renda – faixa 02Não se aplicaNão se aplicaNão se aplica",Mercado_Receita!$N$2:$N$886)</f>
        <v>210.55099999999999</v>
      </c>
      <c r="U12" s="13">
        <f t="shared" si="0"/>
        <v>2263.0230000000001</v>
      </c>
      <c r="V12" s="13"/>
      <c r="W12" s="13"/>
    </row>
    <row r="13" spans="1:30" ht="11.25" customHeight="1" x14ac:dyDescent="0.3">
      <c r="A13" s="123"/>
      <c r="B13" s="123"/>
      <c r="C13" s="123"/>
      <c r="D13" s="12" t="s">
        <v>31</v>
      </c>
      <c r="E13" s="12" t="s">
        <v>25</v>
      </c>
      <c r="F13" s="12" t="s">
        <v>25</v>
      </c>
      <c r="G13" s="13" t="s">
        <v>83</v>
      </c>
      <c r="H13" s="13" t="s">
        <v>79</v>
      </c>
      <c r="I13" s="13">
        <f>SUMIF(Mercado_Receita!$T$2:$T$886,"44501B1Energia convencionalResidencialResidencial baixa renda – faixa 03Não se aplicaNão se aplicaNão se aplica",Mercado_Receita!$N$2:$N$886)</f>
        <v>109.375</v>
      </c>
      <c r="J13" s="13">
        <f>SUMIF(Mercado_Receita!$T$2:$T$886,"44531B1Energia convencionalResidencialResidencial baixa renda – faixa 03Não se aplicaNão se aplicaNão se aplica",Mercado_Receita!$N$2:$N$886)</f>
        <v>109.339</v>
      </c>
      <c r="K13" s="13">
        <f>SUMIF(Mercado_Receita!$T$2:$T$886,"44562B1Energia convencionalResidencialResidencial baixa renda – faixa 03Não se aplicaNão se aplicaNão se aplica",Mercado_Receita!$N$2:$N$886)</f>
        <v>118.824</v>
      </c>
      <c r="L13" s="13">
        <f>SUMIF(Mercado_Receita!$T$2:$T$886,"44593B1Energia convencionalResidencialResidencial baixa renda – faixa 03Não se aplicaNão se aplicaNão se aplica",Mercado_Receita!$N$2:$N$886)</f>
        <v>119.429</v>
      </c>
      <c r="M13" s="13">
        <f>SUMIF(Mercado_Receita!$T$2:$T$886,"44621B1Energia convencionalResidencialResidencial baixa renda – faixa 03Não se aplicaNão se aplicaNão se aplica",Mercado_Receita!$N$2:$N$886)</f>
        <v>109.42</v>
      </c>
      <c r="N13" s="13">
        <f>SUMIF(Mercado_Receita!$T$2:$T$886,"44652B1Energia convencionalResidencialResidencial baixa renda – faixa 03Não se aplicaNão se aplicaNão se aplica",Mercado_Receita!$N$2:$N$886)</f>
        <v>159.411</v>
      </c>
      <c r="O13" s="13">
        <f>SUMIF(Mercado_Receita!$T$2:$T$886,"44682B1Energia convencionalResidencialResidencial baixa renda – faixa 03Não se aplicaNão se aplicaNão se aplica",Mercado_Receita!$N$2:$N$886)</f>
        <v>151.39599999999999</v>
      </c>
      <c r="P13" s="13">
        <f>SUMIF(Mercado_Receita!$T$2:$T$886,"44713B1Energia convencionalResidencialResidencial baixa renda – faixa 03Não se aplicaNão se aplicaNão se aplica",Mercado_Receita!$N$2:$N$886)</f>
        <v>119.86199999999999</v>
      </c>
      <c r="Q13" s="13">
        <f>SUMIF(Mercado_Receita!$T$2:$T$886,"44743B1Energia convencionalResidencialResidencial baixa renda – faixa 03Não se aplicaNão se aplicaNão se aplica",Mercado_Receita!$N$2:$N$886)</f>
        <v>138.29599999999999</v>
      </c>
      <c r="R13" s="13">
        <f>SUMIF(Mercado_Receita!$T$2:$T$886,"44774B1Energia convencionalResidencialResidencial baixa renda – faixa 03Não se aplicaNão se aplicaNão se aplica",Mercado_Receita!$N$2:$N$886)</f>
        <v>122.026</v>
      </c>
      <c r="S13" s="13">
        <f>SUMIF(Mercado_Receita!$T$2:$T$886,"44805B1Energia convencionalResidencialResidencial baixa renda – faixa 03Não se aplicaNão se aplicaNão se aplica",Mercado_Receita!$N$2:$N$886)</f>
        <v>166.53799999999998</v>
      </c>
      <c r="T13" s="13">
        <f>SUMIF(Mercado_Receita!$T$2:$T$886,"44835B1Energia convencionalResidencialResidencial baixa renda – faixa 03Não se aplicaNão se aplicaNão se aplica",Mercado_Receita!$N$2:$N$886)</f>
        <v>166.53799999999998</v>
      </c>
      <c r="U13" s="13">
        <f t="shared" si="0"/>
        <v>1590.454</v>
      </c>
      <c r="V13" s="13"/>
      <c r="W13" s="13"/>
    </row>
    <row r="14" spans="1:30" ht="11.25" customHeight="1" x14ac:dyDescent="0.3">
      <c r="A14" s="123"/>
      <c r="B14" s="123"/>
      <c r="C14" s="123"/>
      <c r="D14" s="12" t="s">
        <v>32</v>
      </c>
      <c r="E14" s="12" t="s">
        <v>25</v>
      </c>
      <c r="F14" s="12" t="s">
        <v>25</v>
      </c>
      <c r="G14" s="13" t="s">
        <v>83</v>
      </c>
      <c r="H14" s="13" t="s">
        <v>79</v>
      </c>
      <c r="I14" s="13">
        <f>SUMIF(Mercado_Receita!$T$2:$T$886,"44501B1Energia convencionalResidencialResidencial baixa renda – faixa 04Não se aplicaNão se aplicaNão se aplica",Mercado_Receita!$N$2:$N$886)</f>
        <v>18.216000000000001</v>
      </c>
      <c r="J14" s="13">
        <f>SUMIF(Mercado_Receita!$T$2:$T$886,"44531B1Energia convencionalResidencialResidencial baixa renda – faixa 04Não se aplicaNão se aplicaNão se aplica",Mercado_Receita!$N$2:$N$886)</f>
        <v>17.201000000000001</v>
      </c>
      <c r="K14" s="13">
        <f>SUMIF(Mercado_Receita!$T$2:$T$886,"44562B1Energia convencionalResidencialResidencial baixa renda – faixa 04Não se aplicaNão se aplicaNão se aplica",Mercado_Receita!$N$2:$N$886)</f>
        <v>19.754999999999999</v>
      </c>
      <c r="L14" s="13">
        <f>SUMIF(Mercado_Receita!$T$2:$T$886,"44593B1Energia convencionalResidencialResidencial baixa renda – faixa 04Não se aplicaNão se aplicaNão se aplica",Mercado_Receita!$N$2:$N$886)</f>
        <v>20.62</v>
      </c>
      <c r="M14" s="13">
        <f>SUMIF(Mercado_Receita!$T$2:$T$886,"44621B1Energia convencionalResidencialResidencial baixa renda – faixa 04Não se aplicaNão se aplicaNão se aplica",Mercado_Receita!$N$2:$N$886)</f>
        <v>15.47</v>
      </c>
      <c r="N14" s="13">
        <f>SUMIF(Mercado_Receita!$T$2:$T$886,"44652B1Energia convencionalResidencialResidencial baixa renda – faixa 04Não se aplicaNão se aplicaNão se aplica",Mercado_Receita!$N$2:$N$886)</f>
        <v>38.283999999999999</v>
      </c>
      <c r="O14" s="13">
        <f>SUMIF(Mercado_Receita!$T$2:$T$886,"44682B1Energia convencionalResidencialResidencial baixa renda – faixa 04Não se aplicaNão se aplicaNão se aplica",Mercado_Receita!$N$2:$N$886)</f>
        <v>30.593</v>
      </c>
      <c r="P14" s="13">
        <f>SUMIF(Mercado_Receita!$T$2:$T$886,"44713B1Energia convencionalResidencialResidencial baixa renda – faixa 04Não se aplicaNão se aplicaNão se aplica",Mercado_Receita!$N$2:$N$886)</f>
        <v>15.170999999999999</v>
      </c>
      <c r="Q14" s="13">
        <f>SUMIF(Mercado_Receita!$T$2:$T$886,"44743B1Energia convencionalResidencialResidencial baixa renda – faixa 04Não se aplicaNão se aplicaNão se aplica",Mercado_Receita!$N$2:$N$886)</f>
        <v>20.350999999999999</v>
      </c>
      <c r="R14" s="13">
        <f>SUMIF(Mercado_Receita!$T$2:$T$886,"44774B1Energia convencionalResidencialResidencial baixa renda – faixa 04Não se aplicaNão se aplicaNão se aplica",Mercado_Receita!$N$2:$N$886)</f>
        <v>15.516</v>
      </c>
      <c r="S14" s="13">
        <f>SUMIF(Mercado_Receita!$T$2:$T$886,"44805B1Energia convencionalResidencialResidencial baixa renda – faixa 04Não se aplicaNão se aplicaNão se aplica",Mercado_Receita!$N$2:$N$886)</f>
        <v>36.475000000000001</v>
      </c>
      <c r="T14" s="13">
        <f>SUMIF(Mercado_Receita!$T$2:$T$886,"44835B1Energia convencionalResidencialResidencial baixa renda – faixa 04Não se aplicaNão se aplicaNão se aplica",Mercado_Receita!$N$2:$N$886)</f>
        <v>36.475000000000001</v>
      </c>
      <c r="U14" s="13">
        <f t="shared" si="0"/>
        <v>284.12699999999995</v>
      </c>
      <c r="V14" s="13"/>
      <c r="W14" s="13"/>
    </row>
    <row r="15" spans="1:30" ht="11.25" customHeight="1" x14ac:dyDescent="0.3">
      <c r="A15" s="123"/>
      <c r="B15" s="122" t="s">
        <v>92</v>
      </c>
      <c r="C15" s="122" t="s">
        <v>24</v>
      </c>
      <c r="D15" s="12" t="s">
        <v>24</v>
      </c>
      <c r="E15" s="12" t="s">
        <v>25</v>
      </c>
      <c r="F15" s="12" t="s">
        <v>25</v>
      </c>
      <c r="G15" s="13" t="s">
        <v>83</v>
      </c>
      <c r="H15" s="13" t="s">
        <v>79</v>
      </c>
      <c r="I15" s="13">
        <f>SUMIF(Mercado_Receita!$T$2:$T$886,"44501B1Energia convencional pré-pagamentoResidencialResidencialNão se aplicaNão se aplicaNão se aplica",Mercado_Receita!$N$2:$N$886)</f>
        <v>0</v>
      </c>
      <c r="J15" s="13">
        <f>SUMIF(Mercado_Receita!$T$2:$T$886,"44531B1Energia convencional pré-pagamentoResidencialResidencialNão se aplicaNão se aplicaNão se aplica",Mercado_Receita!$N$2:$N$886)</f>
        <v>0</v>
      </c>
      <c r="K15" s="13">
        <f>SUMIF(Mercado_Receita!$T$2:$T$886,"44562B1Energia convencional pré-pagamentoResidencialResidencialNão se aplicaNão se aplicaNão se aplica",Mercado_Receita!$N$2:$N$886)</f>
        <v>0</v>
      </c>
      <c r="L15" s="13">
        <f>SUMIF(Mercado_Receita!$T$2:$T$886,"44593B1Energia convencional pré-pagamentoResidencialResidencialNão se aplicaNão se aplicaNão se aplica",Mercado_Receita!$N$2:$N$886)</f>
        <v>0</v>
      </c>
      <c r="M15" s="13">
        <f>SUMIF(Mercado_Receita!$T$2:$T$886,"44621B1Energia convencional pré-pagamentoResidencialResidencialNão se aplicaNão se aplicaNão se aplica",Mercado_Receita!$N$2:$N$886)</f>
        <v>0</v>
      </c>
      <c r="N15" s="13">
        <f>SUMIF(Mercado_Receita!$T$2:$T$886,"44652B1Energia convencional pré-pagamentoResidencialResidencialNão se aplicaNão se aplicaNão se aplica",Mercado_Receita!$N$2:$N$886)</f>
        <v>0</v>
      </c>
      <c r="O15" s="13">
        <f>SUMIF(Mercado_Receita!$T$2:$T$886,"44682B1Energia convencional pré-pagamentoResidencialResidencialNão se aplicaNão se aplicaNão se aplica",Mercado_Receita!$N$2:$N$886)</f>
        <v>0</v>
      </c>
      <c r="P15" s="13">
        <f>SUMIF(Mercado_Receita!$T$2:$T$886,"44713B1Energia convencional pré-pagamentoResidencialResidencialNão se aplicaNão se aplicaNão se aplica",Mercado_Receita!$N$2:$N$886)</f>
        <v>0</v>
      </c>
      <c r="Q15" s="13">
        <f>SUMIF(Mercado_Receita!$T$2:$T$886,"44743B1Energia convencional pré-pagamentoResidencialResidencialNão se aplicaNão se aplicaNão se aplica",Mercado_Receita!$N$2:$N$886)</f>
        <v>0</v>
      </c>
      <c r="R15" s="13">
        <f>SUMIF(Mercado_Receita!$T$2:$T$886,"44774B1Energia convencional pré-pagamentoResidencialResidencialNão se aplicaNão se aplicaNão se aplica",Mercado_Receita!$N$2:$N$886)</f>
        <v>0</v>
      </c>
      <c r="S15" s="13">
        <f>SUMIF(Mercado_Receita!$T$2:$T$886,"44805B1Energia convencional pré-pagamentoResidencialResidencialNão se aplicaNão se aplicaNão se aplica",Mercado_Receita!$N$2:$N$886)</f>
        <v>0</v>
      </c>
      <c r="T15" s="13">
        <f>SUMIF(Mercado_Receita!$T$2:$T$886,"44835B1Energia convencional pré-pagamentoResidencialResidencialNão se aplicaNão se aplicaNão se aplica",Mercado_Receita!$N$2:$N$886)</f>
        <v>0</v>
      </c>
      <c r="U15" s="13">
        <f t="shared" si="0"/>
        <v>0</v>
      </c>
      <c r="V15" s="13"/>
      <c r="W15" s="13"/>
    </row>
    <row r="16" spans="1:30" ht="11.25" customHeight="1" x14ac:dyDescent="0.3">
      <c r="A16" s="123"/>
      <c r="B16" s="123"/>
      <c r="C16" s="123"/>
      <c r="D16" s="12" t="s">
        <v>29</v>
      </c>
      <c r="E16" s="12" t="s">
        <v>25</v>
      </c>
      <c r="F16" s="12" t="s">
        <v>25</v>
      </c>
      <c r="G16" s="13" t="s">
        <v>83</v>
      </c>
      <c r="H16" s="13" t="s">
        <v>79</v>
      </c>
      <c r="I16" s="13">
        <f>SUMIF(Mercado_Receita!$T$2:$T$886,"44501B1Energia convencional pré-pagamentoResidencialResidencial baixa renda – faixa 01Não se aplicaNão se aplicaNão se aplica",Mercado_Receita!$N$2:$N$886)</f>
        <v>0</v>
      </c>
      <c r="J16" s="13">
        <f>SUMIF(Mercado_Receita!$T$2:$T$886,"44531B1Energia convencional pré-pagamentoResidencialResidencial baixa renda – faixa 01Não se aplicaNão se aplicaNão se aplica",Mercado_Receita!$N$2:$N$886)</f>
        <v>0</v>
      </c>
      <c r="K16" s="13">
        <f>SUMIF(Mercado_Receita!$T$2:$T$886,"44562B1Energia convencional pré-pagamentoResidencialResidencial baixa renda – faixa 01Não se aplicaNão se aplicaNão se aplica",Mercado_Receita!$N$2:$N$886)</f>
        <v>0</v>
      </c>
      <c r="L16" s="13">
        <f>SUMIF(Mercado_Receita!$T$2:$T$886,"44593B1Energia convencional pré-pagamentoResidencialResidencial baixa renda – faixa 01Não se aplicaNão se aplicaNão se aplica",Mercado_Receita!$N$2:$N$886)</f>
        <v>0</v>
      </c>
      <c r="M16" s="13">
        <f>SUMIF(Mercado_Receita!$T$2:$T$886,"44621B1Energia convencional pré-pagamentoResidencialResidencial baixa renda – faixa 01Não se aplicaNão se aplicaNão se aplica",Mercado_Receita!$N$2:$N$886)</f>
        <v>0</v>
      </c>
      <c r="N16" s="13">
        <f>SUMIF(Mercado_Receita!$T$2:$T$886,"44652B1Energia convencional pré-pagamentoResidencialResidencial baixa renda – faixa 01Não se aplicaNão se aplicaNão se aplica",Mercado_Receita!$N$2:$N$886)</f>
        <v>0</v>
      </c>
      <c r="O16" s="13">
        <f>SUMIF(Mercado_Receita!$T$2:$T$886,"44682B1Energia convencional pré-pagamentoResidencialResidencial baixa renda – faixa 01Não se aplicaNão se aplicaNão se aplica",Mercado_Receita!$N$2:$N$886)</f>
        <v>0</v>
      </c>
      <c r="P16" s="13">
        <f>SUMIF(Mercado_Receita!$T$2:$T$886,"44713B1Energia convencional pré-pagamentoResidencialResidencial baixa renda – faixa 01Não se aplicaNão se aplicaNão se aplica",Mercado_Receita!$N$2:$N$886)</f>
        <v>0</v>
      </c>
      <c r="Q16" s="13">
        <f>SUMIF(Mercado_Receita!$T$2:$T$886,"44743B1Energia convencional pré-pagamentoResidencialResidencial baixa renda – faixa 01Não se aplicaNão se aplicaNão se aplica",Mercado_Receita!$N$2:$N$886)</f>
        <v>0</v>
      </c>
      <c r="R16" s="13">
        <f>SUMIF(Mercado_Receita!$T$2:$T$886,"44774B1Energia convencional pré-pagamentoResidencialResidencial baixa renda – faixa 01Não se aplicaNão se aplicaNão se aplica",Mercado_Receita!$N$2:$N$886)</f>
        <v>0</v>
      </c>
      <c r="S16" s="13">
        <f>SUMIF(Mercado_Receita!$T$2:$T$886,"44805B1Energia convencional pré-pagamentoResidencialResidencial baixa renda – faixa 01Não se aplicaNão se aplicaNão se aplica",Mercado_Receita!$N$2:$N$886)</f>
        <v>0</v>
      </c>
      <c r="T16" s="13">
        <f>SUMIF(Mercado_Receita!$T$2:$T$886,"44835B1Energia convencional pré-pagamentoResidencialResidencial baixa renda – faixa 01Não se aplicaNão se aplicaNão se aplica",Mercado_Receita!$N$2:$N$886)</f>
        <v>0</v>
      </c>
      <c r="U16" s="13">
        <f t="shared" si="0"/>
        <v>0</v>
      </c>
      <c r="V16" s="13"/>
      <c r="W16" s="13"/>
    </row>
    <row r="17" spans="1:23" ht="11.25" customHeight="1" x14ac:dyDescent="0.3">
      <c r="A17" s="123"/>
      <c r="B17" s="123"/>
      <c r="C17" s="123"/>
      <c r="D17" s="12" t="s">
        <v>30</v>
      </c>
      <c r="E17" s="12" t="s">
        <v>25</v>
      </c>
      <c r="F17" s="12" t="s">
        <v>25</v>
      </c>
      <c r="G17" s="13" t="s">
        <v>83</v>
      </c>
      <c r="H17" s="13" t="s">
        <v>79</v>
      </c>
      <c r="I17" s="13">
        <f>SUMIF(Mercado_Receita!$T$2:$T$886,"44501B1Energia convencional pré-pagamentoResidencialResidencial baixa renda – faixa 02Não se aplicaNão se aplicaNão se aplica",Mercado_Receita!$N$2:$N$886)</f>
        <v>0</v>
      </c>
      <c r="J17" s="13">
        <f>SUMIF(Mercado_Receita!$T$2:$T$886,"44531B1Energia convencional pré-pagamentoResidencialResidencial baixa renda – faixa 02Não se aplicaNão se aplicaNão se aplica",Mercado_Receita!$N$2:$N$886)</f>
        <v>0</v>
      </c>
      <c r="K17" s="13">
        <f>SUMIF(Mercado_Receita!$T$2:$T$886,"44562B1Energia convencional pré-pagamentoResidencialResidencial baixa renda – faixa 02Não se aplicaNão se aplicaNão se aplica",Mercado_Receita!$N$2:$N$886)</f>
        <v>0</v>
      </c>
      <c r="L17" s="13">
        <f>SUMIF(Mercado_Receita!$T$2:$T$886,"44593B1Energia convencional pré-pagamentoResidencialResidencial baixa renda – faixa 02Não se aplicaNão se aplicaNão se aplica",Mercado_Receita!$N$2:$N$886)</f>
        <v>0</v>
      </c>
      <c r="M17" s="13">
        <f>SUMIF(Mercado_Receita!$T$2:$T$886,"44621B1Energia convencional pré-pagamentoResidencialResidencial baixa renda – faixa 02Não se aplicaNão se aplicaNão se aplica",Mercado_Receita!$N$2:$N$886)</f>
        <v>0</v>
      </c>
      <c r="N17" s="13">
        <f>SUMIF(Mercado_Receita!$T$2:$T$886,"44652B1Energia convencional pré-pagamentoResidencialResidencial baixa renda – faixa 02Não se aplicaNão se aplicaNão se aplica",Mercado_Receita!$N$2:$N$886)</f>
        <v>0</v>
      </c>
      <c r="O17" s="13">
        <f>SUMIF(Mercado_Receita!$T$2:$T$886,"44682B1Energia convencional pré-pagamentoResidencialResidencial baixa renda – faixa 02Não se aplicaNão se aplicaNão se aplica",Mercado_Receita!$N$2:$N$886)</f>
        <v>0</v>
      </c>
      <c r="P17" s="13">
        <f>SUMIF(Mercado_Receita!$T$2:$T$886,"44713B1Energia convencional pré-pagamentoResidencialResidencial baixa renda – faixa 02Não se aplicaNão se aplicaNão se aplica",Mercado_Receita!$N$2:$N$886)</f>
        <v>0</v>
      </c>
      <c r="Q17" s="13">
        <f>SUMIF(Mercado_Receita!$T$2:$T$886,"44743B1Energia convencional pré-pagamentoResidencialResidencial baixa renda – faixa 02Não se aplicaNão se aplicaNão se aplica",Mercado_Receita!$N$2:$N$886)</f>
        <v>0</v>
      </c>
      <c r="R17" s="13">
        <f>SUMIF(Mercado_Receita!$T$2:$T$886,"44774B1Energia convencional pré-pagamentoResidencialResidencial baixa renda – faixa 02Não se aplicaNão se aplicaNão se aplica",Mercado_Receita!$N$2:$N$886)</f>
        <v>0</v>
      </c>
      <c r="S17" s="13">
        <f>SUMIF(Mercado_Receita!$T$2:$T$886,"44805B1Energia convencional pré-pagamentoResidencialResidencial baixa renda – faixa 02Não se aplicaNão se aplicaNão se aplica",Mercado_Receita!$N$2:$N$886)</f>
        <v>0</v>
      </c>
      <c r="T17" s="13">
        <f>SUMIF(Mercado_Receita!$T$2:$T$886,"44835B1Energia convencional pré-pagamentoResidencialResidencial baixa renda – faixa 02Não se aplicaNão se aplicaNão se aplica",Mercado_Receita!$N$2:$N$886)</f>
        <v>0</v>
      </c>
      <c r="U17" s="13">
        <f t="shared" si="0"/>
        <v>0</v>
      </c>
      <c r="V17" s="13"/>
      <c r="W17" s="13"/>
    </row>
    <row r="18" spans="1:23" ht="11.25" customHeight="1" x14ac:dyDescent="0.3">
      <c r="A18" s="123"/>
      <c r="B18" s="123"/>
      <c r="C18" s="123"/>
      <c r="D18" s="12" t="s">
        <v>31</v>
      </c>
      <c r="E18" s="12" t="s">
        <v>25</v>
      </c>
      <c r="F18" s="12" t="s">
        <v>25</v>
      </c>
      <c r="G18" s="13" t="s">
        <v>83</v>
      </c>
      <c r="H18" s="13" t="s">
        <v>79</v>
      </c>
      <c r="I18" s="13">
        <f>SUMIF(Mercado_Receita!$T$2:$T$886,"44501B1Energia convencional pré-pagamentoResidencialResidencial baixa renda – faixa 03Não se aplicaNão se aplicaNão se aplica",Mercado_Receita!$N$2:$N$886)</f>
        <v>0</v>
      </c>
      <c r="J18" s="13">
        <f>SUMIF(Mercado_Receita!$T$2:$T$886,"44531B1Energia convencional pré-pagamentoResidencialResidencial baixa renda – faixa 03Não se aplicaNão se aplicaNão se aplica",Mercado_Receita!$N$2:$N$886)</f>
        <v>0</v>
      </c>
      <c r="K18" s="13">
        <f>SUMIF(Mercado_Receita!$T$2:$T$886,"44562B1Energia convencional pré-pagamentoResidencialResidencial baixa renda – faixa 03Não se aplicaNão se aplicaNão se aplica",Mercado_Receita!$N$2:$N$886)</f>
        <v>0</v>
      </c>
      <c r="L18" s="13">
        <f>SUMIF(Mercado_Receita!$T$2:$T$886,"44593B1Energia convencional pré-pagamentoResidencialResidencial baixa renda – faixa 03Não se aplicaNão se aplicaNão se aplica",Mercado_Receita!$N$2:$N$886)</f>
        <v>0</v>
      </c>
      <c r="M18" s="13">
        <f>SUMIF(Mercado_Receita!$T$2:$T$886,"44621B1Energia convencional pré-pagamentoResidencialResidencial baixa renda – faixa 03Não se aplicaNão se aplicaNão se aplica",Mercado_Receita!$N$2:$N$886)</f>
        <v>0</v>
      </c>
      <c r="N18" s="13">
        <f>SUMIF(Mercado_Receita!$T$2:$T$886,"44652B1Energia convencional pré-pagamentoResidencialResidencial baixa renda – faixa 03Não se aplicaNão se aplicaNão se aplica",Mercado_Receita!$N$2:$N$886)</f>
        <v>0</v>
      </c>
      <c r="O18" s="13">
        <f>SUMIF(Mercado_Receita!$T$2:$T$886,"44682B1Energia convencional pré-pagamentoResidencialResidencial baixa renda – faixa 03Não se aplicaNão se aplicaNão se aplica",Mercado_Receita!$N$2:$N$886)</f>
        <v>0</v>
      </c>
      <c r="P18" s="13">
        <f>SUMIF(Mercado_Receita!$T$2:$T$886,"44713B1Energia convencional pré-pagamentoResidencialResidencial baixa renda – faixa 03Não se aplicaNão se aplicaNão se aplica",Mercado_Receita!$N$2:$N$886)</f>
        <v>0</v>
      </c>
      <c r="Q18" s="13">
        <f>SUMIF(Mercado_Receita!$T$2:$T$886,"44743B1Energia convencional pré-pagamentoResidencialResidencial baixa renda – faixa 03Não se aplicaNão se aplicaNão se aplica",Mercado_Receita!$N$2:$N$886)</f>
        <v>0</v>
      </c>
      <c r="R18" s="13">
        <f>SUMIF(Mercado_Receita!$T$2:$T$886,"44774B1Energia convencional pré-pagamentoResidencialResidencial baixa renda – faixa 03Não se aplicaNão se aplicaNão se aplica",Mercado_Receita!$N$2:$N$886)</f>
        <v>0</v>
      </c>
      <c r="S18" s="13">
        <f>SUMIF(Mercado_Receita!$T$2:$T$886,"44805B1Energia convencional pré-pagamentoResidencialResidencial baixa renda – faixa 03Não se aplicaNão se aplicaNão se aplica",Mercado_Receita!$N$2:$N$886)</f>
        <v>0</v>
      </c>
      <c r="T18" s="13">
        <f>SUMIF(Mercado_Receita!$T$2:$T$886,"44835B1Energia convencional pré-pagamentoResidencialResidencial baixa renda – faixa 03Não se aplicaNão se aplicaNão se aplica",Mercado_Receita!$N$2:$N$886)</f>
        <v>0</v>
      </c>
      <c r="U18" s="13">
        <f t="shared" si="0"/>
        <v>0</v>
      </c>
      <c r="V18" s="13"/>
      <c r="W18" s="13"/>
    </row>
    <row r="19" spans="1:23" ht="11.25" customHeight="1" x14ac:dyDescent="0.3">
      <c r="A19" s="123"/>
      <c r="B19" s="123"/>
      <c r="C19" s="123"/>
      <c r="D19" s="12" t="s">
        <v>32</v>
      </c>
      <c r="E19" s="12" t="s">
        <v>25</v>
      </c>
      <c r="F19" s="12" t="s">
        <v>25</v>
      </c>
      <c r="G19" s="13" t="s">
        <v>83</v>
      </c>
      <c r="H19" s="13" t="s">
        <v>79</v>
      </c>
      <c r="I19" s="13">
        <f>SUMIF(Mercado_Receita!$T$2:$T$886,"44501B1Energia convencional pré-pagamentoResidencialResidencial baixa renda – faixa 04Não se aplicaNão se aplicaNão se aplica",Mercado_Receita!$N$2:$N$886)</f>
        <v>0</v>
      </c>
      <c r="J19" s="13">
        <f>SUMIF(Mercado_Receita!$T$2:$T$886,"44531B1Energia convencional pré-pagamentoResidencialResidencial baixa renda – faixa 04Não se aplicaNão se aplicaNão se aplica",Mercado_Receita!$N$2:$N$886)</f>
        <v>0</v>
      </c>
      <c r="K19" s="13">
        <f>SUMIF(Mercado_Receita!$T$2:$T$886,"44562B1Energia convencional pré-pagamentoResidencialResidencial baixa renda – faixa 04Não se aplicaNão se aplicaNão se aplica",Mercado_Receita!$N$2:$N$886)</f>
        <v>0</v>
      </c>
      <c r="L19" s="13">
        <f>SUMIF(Mercado_Receita!$T$2:$T$886,"44593B1Energia convencional pré-pagamentoResidencialResidencial baixa renda – faixa 04Não se aplicaNão se aplicaNão se aplica",Mercado_Receita!$N$2:$N$886)</f>
        <v>0</v>
      </c>
      <c r="M19" s="13">
        <f>SUMIF(Mercado_Receita!$T$2:$T$886,"44621B1Energia convencional pré-pagamentoResidencialResidencial baixa renda – faixa 04Não se aplicaNão se aplicaNão se aplica",Mercado_Receita!$N$2:$N$886)</f>
        <v>0</v>
      </c>
      <c r="N19" s="13">
        <f>SUMIF(Mercado_Receita!$T$2:$T$886,"44652B1Energia convencional pré-pagamentoResidencialResidencial baixa renda – faixa 04Não se aplicaNão se aplicaNão se aplica",Mercado_Receita!$N$2:$N$886)</f>
        <v>0</v>
      </c>
      <c r="O19" s="13">
        <f>SUMIF(Mercado_Receita!$T$2:$T$886,"44682B1Energia convencional pré-pagamentoResidencialResidencial baixa renda – faixa 04Não se aplicaNão se aplicaNão se aplica",Mercado_Receita!$N$2:$N$886)</f>
        <v>0</v>
      </c>
      <c r="P19" s="13">
        <f>SUMIF(Mercado_Receita!$T$2:$T$886,"44713B1Energia convencional pré-pagamentoResidencialResidencial baixa renda – faixa 04Não se aplicaNão se aplicaNão se aplica",Mercado_Receita!$N$2:$N$886)</f>
        <v>0</v>
      </c>
      <c r="Q19" s="13">
        <f>SUMIF(Mercado_Receita!$T$2:$T$886,"44743B1Energia convencional pré-pagamentoResidencialResidencial baixa renda – faixa 04Não se aplicaNão se aplicaNão se aplica",Mercado_Receita!$N$2:$N$886)</f>
        <v>0</v>
      </c>
      <c r="R19" s="13">
        <f>SUMIF(Mercado_Receita!$T$2:$T$886,"44774B1Energia convencional pré-pagamentoResidencialResidencial baixa renda – faixa 04Não se aplicaNão se aplicaNão se aplica",Mercado_Receita!$N$2:$N$886)</f>
        <v>0</v>
      </c>
      <c r="S19" s="13">
        <f>SUMIF(Mercado_Receita!$T$2:$T$886,"44805B1Energia convencional pré-pagamentoResidencialResidencial baixa renda – faixa 04Não se aplicaNão se aplicaNão se aplica",Mercado_Receita!$N$2:$N$886)</f>
        <v>0</v>
      </c>
      <c r="T19" s="13">
        <f>SUMIF(Mercado_Receita!$T$2:$T$886,"44835B1Energia convencional pré-pagamentoResidencialResidencial baixa renda – faixa 04Não se aplicaNão se aplicaNão se aplica",Mercado_Receita!$N$2:$N$886)</f>
        <v>0</v>
      </c>
      <c r="U19" s="13">
        <f t="shared" si="0"/>
        <v>0</v>
      </c>
      <c r="V19" s="13"/>
      <c r="W19" s="13"/>
    </row>
    <row r="20" spans="1:23" ht="11.25" customHeight="1" x14ac:dyDescent="0.3">
      <c r="A20" s="122" t="s">
        <v>43</v>
      </c>
      <c r="B20" s="122" t="s">
        <v>78</v>
      </c>
      <c r="C20" s="122" t="s">
        <v>44</v>
      </c>
      <c r="D20" s="122" t="s">
        <v>25</v>
      </c>
      <c r="E20" s="122" t="s">
        <v>25</v>
      </c>
      <c r="F20" s="122" t="s">
        <v>25</v>
      </c>
      <c r="G20" s="13" t="s">
        <v>80</v>
      </c>
      <c r="H20" s="13" t="s">
        <v>79</v>
      </c>
      <c r="I20" s="13">
        <f>SUMIF(Mercado_Receita!$T$2:$T$886,"44501B2Energia horáriaRuralNão se aplicaNão se aplicaNão se aplicaPonta",Mercado_Receita!$N$2:$N$886)</f>
        <v>0</v>
      </c>
      <c r="J20" s="13">
        <f>SUMIF(Mercado_Receita!$T$2:$T$886,"44531B2Energia horáriaRuralNão se aplicaNão se aplicaNão se aplicaPonta",Mercado_Receita!$N$2:$N$886)</f>
        <v>0</v>
      </c>
      <c r="K20" s="13">
        <f>SUMIF(Mercado_Receita!$T$2:$T$886,"44562B2Energia horáriaRuralNão se aplicaNão se aplicaNão se aplicaPonta",Mercado_Receita!$N$2:$N$886)</f>
        <v>0</v>
      </c>
      <c r="L20" s="13">
        <f>SUMIF(Mercado_Receita!$T$2:$T$886,"44593B2Energia horáriaRuralNão se aplicaNão se aplicaNão se aplicaPonta",Mercado_Receita!$N$2:$N$886)</f>
        <v>0</v>
      </c>
      <c r="M20" s="13">
        <f>SUMIF(Mercado_Receita!$T$2:$T$886,"44621B2Energia horáriaRuralNão se aplicaNão se aplicaNão se aplicaPonta",Mercado_Receita!$N$2:$N$886)</f>
        <v>0</v>
      </c>
      <c r="N20" s="13">
        <f>SUMIF(Mercado_Receita!$T$2:$T$886,"44652B2Energia horáriaRuralNão se aplicaNão se aplicaNão se aplicaPonta",Mercado_Receita!$N$2:$N$886)</f>
        <v>0</v>
      </c>
      <c r="O20" s="13">
        <f>SUMIF(Mercado_Receita!$T$2:$T$886,"44682B2Energia horáriaRuralNão se aplicaNão se aplicaNão se aplicaPonta",Mercado_Receita!$N$2:$N$886)</f>
        <v>0</v>
      </c>
      <c r="P20" s="13">
        <f>SUMIF(Mercado_Receita!$T$2:$T$886,"44713B2Energia horáriaRuralNão se aplicaNão se aplicaNão se aplicaPonta",Mercado_Receita!$N$2:$N$886)</f>
        <v>0</v>
      </c>
      <c r="Q20" s="13">
        <f>SUMIF(Mercado_Receita!$T$2:$T$886,"44743B2Energia horáriaRuralNão se aplicaNão se aplicaNão se aplicaPonta",Mercado_Receita!$N$2:$N$886)</f>
        <v>0</v>
      </c>
      <c r="R20" s="13">
        <f>SUMIF(Mercado_Receita!$T$2:$T$886,"44774B2Energia horáriaRuralNão se aplicaNão se aplicaNão se aplicaPonta",Mercado_Receita!$N$2:$N$886)</f>
        <v>0</v>
      </c>
      <c r="S20" s="13">
        <f>SUMIF(Mercado_Receita!$T$2:$T$886,"44805B2Energia horáriaRuralNão se aplicaNão se aplicaNão se aplicaPonta",Mercado_Receita!$N$2:$N$886)</f>
        <v>0</v>
      </c>
      <c r="T20" s="13">
        <f>SUMIF(Mercado_Receita!$T$2:$T$886,"44835B2Energia horáriaRuralNão se aplicaNão se aplicaNão se aplicaPonta",Mercado_Receita!$N$2:$N$886)</f>
        <v>0</v>
      </c>
      <c r="U20" s="13">
        <f t="shared" si="0"/>
        <v>0</v>
      </c>
      <c r="V20" s="13"/>
      <c r="W20" s="13"/>
    </row>
    <row r="21" spans="1:23" ht="11.25" customHeight="1" x14ac:dyDescent="0.3">
      <c r="A21" s="123"/>
      <c r="B21" s="123"/>
      <c r="C21" s="123"/>
      <c r="D21" s="123"/>
      <c r="E21" s="123"/>
      <c r="F21" s="123"/>
      <c r="G21" s="13" t="s">
        <v>91</v>
      </c>
      <c r="H21" s="13" t="s">
        <v>79</v>
      </c>
      <c r="I21" s="13">
        <f>SUMIF(Mercado_Receita!$T$2:$T$886,"44501B2Energia horáriaRuralNão se aplicaNão se aplicaNão se aplicaIntermediário",Mercado_Receita!$N$2:$N$886)</f>
        <v>0</v>
      </c>
      <c r="J21" s="13">
        <f>SUMIF(Mercado_Receita!$T$2:$T$886,"44531B2Energia horáriaRuralNão se aplicaNão se aplicaNão se aplicaIntermediário",Mercado_Receita!$N$2:$N$886)</f>
        <v>0</v>
      </c>
      <c r="K21" s="13">
        <f>SUMIF(Mercado_Receita!$T$2:$T$886,"44562B2Energia horáriaRuralNão se aplicaNão se aplicaNão se aplicaIntermediário",Mercado_Receita!$N$2:$N$886)</f>
        <v>0</v>
      </c>
      <c r="L21" s="13">
        <f>SUMIF(Mercado_Receita!$T$2:$T$886,"44593B2Energia horáriaRuralNão se aplicaNão se aplicaNão se aplicaIntermediário",Mercado_Receita!$N$2:$N$886)</f>
        <v>0</v>
      </c>
      <c r="M21" s="13">
        <f>SUMIF(Mercado_Receita!$T$2:$T$886,"44621B2Energia horáriaRuralNão se aplicaNão se aplicaNão se aplicaIntermediário",Mercado_Receita!$N$2:$N$886)</f>
        <v>0</v>
      </c>
      <c r="N21" s="13">
        <f>SUMIF(Mercado_Receita!$T$2:$T$886,"44652B2Energia horáriaRuralNão se aplicaNão se aplicaNão se aplicaIntermediário",Mercado_Receita!$N$2:$N$886)</f>
        <v>0</v>
      </c>
      <c r="O21" s="13">
        <f>SUMIF(Mercado_Receita!$T$2:$T$886,"44682B2Energia horáriaRuralNão se aplicaNão se aplicaNão se aplicaIntermediário",Mercado_Receita!$N$2:$N$886)</f>
        <v>0</v>
      </c>
      <c r="P21" s="13">
        <f>SUMIF(Mercado_Receita!$T$2:$T$886,"44713B2Energia horáriaRuralNão se aplicaNão se aplicaNão se aplicaIntermediário",Mercado_Receita!$N$2:$N$886)</f>
        <v>0</v>
      </c>
      <c r="Q21" s="13">
        <f>SUMIF(Mercado_Receita!$T$2:$T$886,"44743B2Energia horáriaRuralNão se aplicaNão se aplicaNão se aplicaIntermediário",Mercado_Receita!$N$2:$N$886)</f>
        <v>0</v>
      </c>
      <c r="R21" s="13">
        <f>SUMIF(Mercado_Receita!$T$2:$T$886,"44774B2Energia horáriaRuralNão se aplicaNão se aplicaNão se aplicaIntermediário",Mercado_Receita!$N$2:$N$886)</f>
        <v>0</v>
      </c>
      <c r="S21" s="13">
        <f>SUMIF(Mercado_Receita!$T$2:$T$886,"44805B2Energia horáriaRuralNão se aplicaNão se aplicaNão se aplicaIntermediário",Mercado_Receita!$N$2:$N$886)</f>
        <v>0</v>
      </c>
      <c r="T21" s="13">
        <f>SUMIF(Mercado_Receita!$T$2:$T$886,"44835B2Energia horáriaRuralNão se aplicaNão se aplicaNão se aplicaIntermediário",Mercado_Receita!$N$2:$N$886)</f>
        <v>0</v>
      </c>
      <c r="U21" s="13">
        <f t="shared" si="0"/>
        <v>0</v>
      </c>
      <c r="V21" s="13"/>
      <c r="W21" s="13"/>
    </row>
    <row r="22" spans="1:23" ht="11.25" customHeight="1" x14ac:dyDescent="0.3">
      <c r="A22" s="123"/>
      <c r="B22" s="123"/>
      <c r="C22" s="123"/>
      <c r="D22" s="123"/>
      <c r="E22" s="123"/>
      <c r="F22" s="123"/>
      <c r="G22" s="13" t="s">
        <v>81</v>
      </c>
      <c r="H22" s="13" t="s">
        <v>79</v>
      </c>
      <c r="I22" s="13">
        <f>SUMIF(Mercado_Receita!$T$2:$T$886,"44501B2Energia horáriaRuralNão se aplicaNão se aplicaNão se aplicaFora ponta",Mercado_Receita!$N$2:$N$886)</f>
        <v>0</v>
      </c>
      <c r="J22" s="13">
        <f>SUMIF(Mercado_Receita!$T$2:$T$886,"44531B2Energia horáriaRuralNão se aplicaNão se aplicaNão se aplicaFora ponta",Mercado_Receita!$N$2:$N$886)</f>
        <v>0</v>
      </c>
      <c r="K22" s="13">
        <f>SUMIF(Mercado_Receita!$T$2:$T$886,"44562B2Energia horáriaRuralNão se aplicaNão se aplicaNão se aplicaFora ponta",Mercado_Receita!$N$2:$N$886)</f>
        <v>0</v>
      </c>
      <c r="L22" s="13">
        <f>SUMIF(Mercado_Receita!$T$2:$T$886,"44593B2Energia horáriaRuralNão se aplicaNão se aplicaNão se aplicaFora ponta",Mercado_Receita!$N$2:$N$886)</f>
        <v>0</v>
      </c>
      <c r="M22" s="13">
        <f>SUMIF(Mercado_Receita!$T$2:$T$886,"44621B2Energia horáriaRuralNão se aplicaNão se aplicaNão se aplicaFora ponta",Mercado_Receita!$N$2:$N$886)</f>
        <v>0</v>
      </c>
      <c r="N22" s="13">
        <f>SUMIF(Mercado_Receita!$T$2:$T$886,"44652B2Energia horáriaRuralNão se aplicaNão se aplicaNão se aplicaFora ponta",Mercado_Receita!$N$2:$N$886)</f>
        <v>0</v>
      </c>
      <c r="O22" s="13">
        <f>SUMIF(Mercado_Receita!$T$2:$T$886,"44682B2Energia horáriaRuralNão se aplicaNão se aplicaNão se aplicaFora ponta",Mercado_Receita!$N$2:$N$886)</f>
        <v>0</v>
      </c>
      <c r="P22" s="13">
        <f>SUMIF(Mercado_Receita!$T$2:$T$886,"44713B2Energia horáriaRuralNão se aplicaNão se aplicaNão se aplicaFora ponta",Mercado_Receita!$N$2:$N$886)</f>
        <v>0</v>
      </c>
      <c r="Q22" s="13">
        <f>SUMIF(Mercado_Receita!$T$2:$T$886,"44743B2Energia horáriaRuralNão se aplicaNão se aplicaNão se aplicaFora ponta",Mercado_Receita!$N$2:$N$886)</f>
        <v>0</v>
      </c>
      <c r="R22" s="13">
        <f>SUMIF(Mercado_Receita!$T$2:$T$886,"44774B2Energia horáriaRuralNão se aplicaNão se aplicaNão se aplicaFora ponta",Mercado_Receita!$N$2:$N$886)</f>
        <v>0</v>
      </c>
      <c r="S22" s="13">
        <f>SUMIF(Mercado_Receita!$T$2:$T$886,"44805B2Energia horáriaRuralNão se aplicaNão se aplicaNão se aplicaFora ponta",Mercado_Receita!$N$2:$N$886)</f>
        <v>0</v>
      </c>
      <c r="T22" s="13">
        <f>SUMIF(Mercado_Receita!$T$2:$T$886,"44835B2Energia horáriaRuralNão se aplicaNão se aplicaNão se aplicaFora ponta",Mercado_Receita!$N$2:$N$886)</f>
        <v>0</v>
      </c>
      <c r="U22" s="13">
        <f t="shared" si="0"/>
        <v>0</v>
      </c>
      <c r="V22" s="13"/>
      <c r="W22" s="13"/>
    </row>
    <row r="23" spans="1:23" ht="11.25" customHeight="1" x14ac:dyDescent="0.3">
      <c r="A23" s="123"/>
      <c r="B23" s="12" t="s">
        <v>82</v>
      </c>
      <c r="C23" s="12" t="s">
        <v>44</v>
      </c>
      <c r="D23" s="12" t="s">
        <v>25</v>
      </c>
      <c r="E23" s="12" t="s">
        <v>25</v>
      </c>
      <c r="F23" s="12" t="s">
        <v>25</v>
      </c>
      <c r="G23" s="13" t="s">
        <v>83</v>
      </c>
      <c r="H23" s="13" t="s">
        <v>79</v>
      </c>
      <c r="I23" s="13">
        <f>SUMIF(Mercado_Receita!$T$2:$T$886,"44501B2Energia convencionalRuralNão se aplicaNão se aplicaNão se aplicaNão se aplica",Mercado_Receita!$N$2:$N$886)</f>
        <v>1459.4560000000001</v>
      </c>
      <c r="J23" s="13">
        <f>SUMIF(Mercado_Receita!$T$2:$T$886,"44531B2Energia convencionalRuralNão se aplicaNão se aplicaNão se aplicaNão se aplica",Mercado_Receita!$N$2:$N$886)</f>
        <v>1326.5069999999998</v>
      </c>
      <c r="K23" s="13">
        <f>SUMIF(Mercado_Receita!$T$2:$T$886,"44562B2Energia convencionalRuralNão se aplicaNão se aplicaNão se aplicaNão se aplica",Mercado_Receita!$N$2:$N$886)</f>
        <v>1219.4020000000003</v>
      </c>
      <c r="L23" s="13">
        <f>SUMIF(Mercado_Receita!$T$2:$T$886,"44593B2Energia convencionalRuralNão se aplicaNão se aplicaNão se aplicaNão se aplica",Mercado_Receita!$N$2:$N$886)</f>
        <v>1282.1589999999999</v>
      </c>
      <c r="M23" s="13">
        <f>SUMIF(Mercado_Receita!$T$2:$T$886,"44621B2Energia convencionalRuralNão se aplicaNão se aplicaNão se aplicaNão se aplica",Mercado_Receita!$N$2:$N$886)</f>
        <v>1182.1589999999999</v>
      </c>
      <c r="N23" s="13">
        <f>SUMIF(Mercado_Receita!$T$2:$T$886,"44652B2Energia convencionalRuralNão se aplicaNão se aplicaNão se aplicaNão se aplica",Mercado_Receita!$N$2:$N$886)</f>
        <v>1405.52</v>
      </c>
      <c r="O23" s="13">
        <f>SUMIF(Mercado_Receita!$T$2:$T$886,"44682B2Energia convencionalRuralNão se aplicaNão se aplicaNão se aplicaNão se aplica",Mercado_Receita!$N$2:$N$886)</f>
        <v>1545.5359999999998</v>
      </c>
      <c r="P23" s="13">
        <f>SUMIF(Mercado_Receita!$T$2:$T$886,"44713B2Energia convencionalRuralNão se aplicaNão se aplicaNão se aplicaNão se aplica",Mercado_Receita!$N$2:$N$886)</f>
        <v>1423.2280000000001</v>
      </c>
      <c r="Q23" s="13">
        <f>SUMIF(Mercado_Receita!$T$2:$T$886,"44743B2Energia convencionalRuralNão se aplicaNão se aplicaNão se aplicaNão se aplica",Mercado_Receita!$N$2:$N$886)</f>
        <v>1408.5940000000001</v>
      </c>
      <c r="R23" s="13">
        <f>SUMIF(Mercado_Receita!$T$2:$T$886,"44774B2Energia convencionalRuralNão se aplicaNão se aplicaNão se aplicaNão se aplica",Mercado_Receita!$N$2:$N$886)</f>
        <v>1619.1109999999999</v>
      </c>
      <c r="S23" s="13">
        <f>SUMIF(Mercado_Receita!$T$2:$T$886,"44805B2Energia convencionalRuralNão se aplicaNão se aplicaNão se aplicaNão se aplica",Mercado_Receita!$N$2:$N$886)</f>
        <v>1871.153</v>
      </c>
      <c r="T23" s="13">
        <f>SUMIF(Mercado_Receita!$T$2:$T$886,"44835B2Energia convencionalRuralNão se aplicaNão se aplicaNão se aplicaNão se aplica",Mercado_Receita!$N$2:$N$886)</f>
        <v>1871.153</v>
      </c>
      <c r="U23" s="13">
        <f t="shared" si="0"/>
        <v>17613.978000000003</v>
      </c>
      <c r="V23" s="13"/>
      <c r="W23" s="13"/>
    </row>
    <row r="24" spans="1:23" ht="11.25" customHeight="1" x14ac:dyDescent="0.3">
      <c r="A24" s="123"/>
      <c r="B24" s="122" t="s">
        <v>78</v>
      </c>
      <c r="C24" s="122" t="s">
        <v>44</v>
      </c>
      <c r="D24" s="122" t="s">
        <v>94</v>
      </c>
      <c r="E24" s="122" t="s">
        <v>25</v>
      </c>
      <c r="F24" s="122" t="s">
        <v>25</v>
      </c>
      <c r="G24" s="13" t="s">
        <v>80</v>
      </c>
      <c r="H24" s="13" t="s">
        <v>79</v>
      </c>
      <c r="I24" s="13">
        <f>SUMIF(Mercado_Receita!$T$2:$T$886,"44501B2Energia horáriaRuralCooperativa de eletrificação ruralNão se aplicaNão se aplicaPonta",Mercado_Receita!$N$2:$N$886)</f>
        <v>0</v>
      </c>
      <c r="J24" s="13">
        <f>SUMIF(Mercado_Receita!$T$2:$T$886,"44531B2Energia horáriaRuralCooperativa de eletrificação ruralNão se aplicaNão se aplicaPonta",Mercado_Receita!$N$2:$N$886)</f>
        <v>0</v>
      </c>
      <c r="K24" s="13">
        <f>SUMIF(Mercado_Receita!$T$2:$T$886,"44562B2Energia horáriaRuralCooperativa de eletrificação ruralNão se aplicaNão se aplicaPonta",Mercado_Receita!$N$2:$N$886)</f>
        <v>0</v>
      </c>
      <c r="L24" s="13">
        <f>SUMIF(Mercado_Receita!$T$2:$T$886,"44593B2Energia horáriaRuralCooperativa de eletrificação ruralNão se aplicaNão se aplicaPonta",Mercado_Receita!$N$2:$N$886)</f>
        <v>0</v>
      </c>
      <c r="M24" s="13">
        <f>SUMIF(Mercado_Receita!$T$2:$T$886,"44621B2Energia horáriaRuralCooperativa de eletrificação ruralNão se aplicaNão se aplicaPonta",Mercado_Receita!$N$2:$N$886)</f>
        <v>0</v>
      </c>
      <c r="N24" s="13">
        <f>SUMIF(Mercado_Receita!$T$2:$T$886,"44652B2Energia horáriaRuralCooperativa de eletrificação ruralNão se aplicaNão se aplicaPonta",Mercado_Receita!$N$2:$N$886)</f>
        <v>0</v>
      </c>
      <c r="O24" s="13">
        <f>SUMIF(Mercado_Receita!$T$2:$T$886,"44682B2Energia horáriaRuralCooperativa de eletrificação ruralNão se aplicaNão se aplicaPonta",Mercado_Receita!$N$2:$N$886)</f>
        <v>0</v>
      </c>
      <c r="P24" s="13">
        <f>SUMIF(Mercado_Receita!$T$2:$T$886,"44713B2Energia horáriaRuralCooperativa de eletrificação ruralNão se aplicaNão se aplicaPonta",Mercado_Receita!$N$2:$N$886)</f>
        <v>0</v>
      </c>
      <c r="Q24" s="13">
        <f>SUMIF(Mercado_Receita!$T$2:$T$886,"44743B2Energia horáriaRuralCooperativa de eletrificação ruralNão se aplicaNão se aplicaPonta",Mercado_Receita!$N$2:$N$886)</f>
        <v>0</v>
      </c>
      <c r="R24" s="13">
        <f>SUMIF(Mercado_Receita!$T$2:$T$886,"44774B2Energia horáriaRuralCooperativa de eletrificação ruralNão se aplicaNão se aplicaPonta",Mercado_Receita!$N$2:$N$886)</f>
        <v>0</v>
      </c>
      <c r="S24" s="13">
        <f>SUMIF(Mercado_Receita!$T$2:$T$886,"44805B2Energia horáriaRuralCooperativa de eletrificação ruralNão se aplicaNão se aplicaPonta",Mercado_Receita!$N$2:$N$886)</f>
        <v>0</v>
      </c>
      <c r="T24" s="13">
        <f>SUMIF(Mercado_Receita!$T$2:$T$886,"44835B2Energia horáriaRuralCooperativa de eletrificação ruralNão se aplicaNão se aplicaPonta",Mercado_Receita!$N$2:$N$886)</f>
        <v>0</v>
      </c>
      <c r="U24" s="13">
        <f t="shared" si="0"/>
        <v>0</v>
      </c>
      <c r="V24" s="13"/>
      <c r="W24" s="13"/>
    </row>
    <row r="25" spans="1:23" ht="11.25" customHeight="1" x14ac:dyDescent="0.3">
      <c r="A25" s="123"/>
      <c r="B25" s="123"/>
      <c r="C25" s="123"/>
      <c r="D25" s="123"/>
      <c r="E25" s="123"/>
      <c r="F25" s="123"/>
      <c r="G25" s="13" t="s">
        <v>91</v>
      </c>
      <c r="H25" s="13" t="s">
        <v>79</v>
      </c>
      <c r="I25" s="13">
        <f>SUMIF(Mercado_Receita!$T$2:$T$886,"44501B2Energia horáriaRuralCooperativa de eletrificação ruralNão se aplicaNão se aplicaIntermediário",Mercado_Receita!$N$2:$N$886)</f>
        <v>0</v>
      </c>
      <c r="J25" s="13">
        <f>SUMIF(Mercado_Receita!$T$2:$T$886,"44531B2Energia horáriaRuralCooperativa de eletrificação ruralNão se aplicaNão se aplicaIntermediário",Mercado_Receita!$N$2:$N$886)</f>
        <v>0</v>
      </c>
      <c r="K25" s="13">
        <f>SUMIF(Mercado_Receita!$T$2:$T$886,"44562B2Energia horáriaRuralCooperativa de eletrificação ruralNão se aplicaNão se aplicaIntermediário",Mercado_Receita!$N$2:$N$886)</f>
        <v>0</v>
      </c>
      <c r="L25" s="13">
        <f>SUMIF(Mercado_Receita!$T$2:$T$886,"44593B2Energia horáriaRuralCooperativa de eletrificação ruralNão se aplicaNão se aplicaIntermediário",Mercado_Receita!$N$2:$N$886)</f>
        <v>0</v>
      </c>
      <c r="M25" s="13">
        <f>SUMIF(Mercado_Receita!$T$2:$T$886,"44621B2Energia horáriaRuralCooperativa de eletrificação ruralNão se aplicaNão se aplicaIntermediário",Mercado_Receita!$N$2:$N$886)</f>
        <v>0</v>
      </c>
      <c r="N25" s="13">
        <f>SUMIF(Mercado_Receita!$T$2:$T$886,"44652B2Energia horáriaRuralCooperativa de eletrificação ruralNão se aplicaNão se aplicaIntermediário",Mercado_Receita!$N$2:$N$886)</f>
        <v>0</v>
      </c>
      <c r="O25" s="13">
        <f>SUMIF(Mercado_Receita!$T$2:$T$886,"44682B2Energia horáriaRuralCooperativa de eletrificação ruralNão se aplicaNão se aplicaIntermediário",Mercado_Receita!$N$2:$N$886)</f>
        <v>0</v>
      </c>
      <c r="P25" s="13">
        <f>SUMIF(Mercado_Receita!$T$2:$T$886,"44713B2Energia horáriaRuralCooperativa de eletrificação ruralNão se aplicaNão se aplicaIntermediário",Mercado_Receita!$N$2:$N$886)</f>
        <v>0</v>
      </c>
      <c r="Q25" s="13">
        <f>SUMIF(Mercado_Receita!$T$2:$T$886,"44743B2Energia horáriaRuralCooperativa de eletrificação ruralNão se aplicaNão se aplicaIntermediário",Mercado_Receita!$N$2:$N$886)</f>
        <v>0</v>
      </c>
      <c r="R25" s="13">
        <f>SUMIF(Mercado_Receita!$T$2:$T$886,"44774B2Energia horáriaRuralCooperativa de eletrificação ruralNão se aplicaNão se aplicaIntermediário",Mercado_Receita!$N$2:$N$886)</f>
        <v>0</v>
      </c>
      <c r="S25" s="13">
        <f>SUMIF(Mercado_Receita!$T$2:$T$886,"44805B2Energia horáriaRuralCooperativa de eletrificação ruralNão se aplicaNão se aplicaIntermediário",Mercado_Receita!$N$2:$N$886)</f>
        <v>0</v>
      </c>
      <c r="T25" s="13">
        <f>SUMIF(Mercado_Receita!$T$2:$T$886,"44835B2Energia horáriaRuralCooperativa de eletrificação ruralNão se aplicaNão se aplicaIntermediário",Mercado_Receita!$N$2:$N$886)</f>
        <v>0</v>
      </c>
      <c r="U25" s="13">
        <f t="shared" si="0"/>
        <v>0</v>
      </c>
      <c r="V25" s="13"/>
      <c r="W25" s="13"/>
    </row>
    <row r="26" spans="1:23" ht="11.25" customHeight="1" x14ac:dyDescent="0.3">
      <c r="A26" s="123"/>
      <c r="B26" s="123"/>
      <c r="C26" s="123"/>
      <c r="D26" s="123"/>
      <c r="E26" s="123"/>
      <c r="F26" s="123"/>
      <c r="G26" s="13" t="s">
        <v>81</v>
      </c>
      <c r="H26" s="13" t="s">
        <v>79</v>
      </c>
      <c r="I26" s="13">
        <f>SUMIF(Mercado_Receita!$T$2:$T$886,"44501B2Energia horáriaRuralCooperativa de eletrificação ruralNão se aplicaNão se aplicaFora ponta",Mercado_Receita!$N$2:$N$886)</f>
        <v>0</v>
      </c>
      <c r="J26" s="13">
        <f>SUMIF(Mercado_Receita!$T$2:$T$886,"44531B2Energia horáriaRuralCooperativa de eletrificação ruralNão se aplicaNão se aplicaFora ponta",Mercado_Receita!$N$2:$N$886)</f>
        <v>0</v>
      </c>
      <c r="K26" s="13">
        <f>SUMIF(Mercado_Receita!$T$2:$T$886,"44562B2Energia horáriaRuralCooperativa de eletrificação ruralNão se aplicaNão se aplicaFora ponta",Mercado_Receita!$N$2:$N$886)</f>
        <v>0</v>
      </c>
      <c r="L26" s="13">
        <f>SUMIF(Mercado_Receita!$T$2:$T$886,"44593B2Energia horáriaRuralCooperativa de eletrificação ruralNão se aplicaNão se aplicaFora ponta",Mercado_Receita!$N$2:$N$886)</f>
        <v>0</v>
      </c>
      <c r="M26" s="13">
        <f>SUMIF(Mercado_Receita!$T$2:$T$886,"44621B2Energia horáriaRuralCooperativa de eletrificação ruralNão se aplicaNão se aplicaFora ponta",Mercado_Receita!$N$2:$N$886)</f>
        <v>0</v>
      </c>
      <c r="N26" s="13">
        <f>SUMIF(Mercado_Receita!$T$2:$T$886,"44652B2Energia horáriaRuralCooperativa de eletrificação ruralNão se aplicaNão se aplicaFora ponta",Mercado_Receita!$N$2:$N$886)</f>
        <v>0</v>
      </c>
      <c r="O26" s="13">
        <f>SUMIF(Mercado_Receita!$T$2:$T$886,"44682B2Energia horáriaRuralCooperativa de eletrificação ruralNão se aplicaNão se aplicaFora ponta",Mercado_Receita!$N$2:$N$886)</f>
        <v>0</v>
      </c>
      <c r="P26" s="13">
        <f>SUMIF(Mercado_Receita!$T$2:$T$886,"44713B2Energia horáriaRuralCooperativa de eletrificação ruralNão se aplicaNão se aplicaFora ponta",Mercado_Receita!$N$2:$N$886)</f>
        <v>0</v>
      </c>
      <c r="Q26" s="13">
        <f>SUMIF(Mercado_Receita!$T$2:$T$886,"44743B2Energia horáriaRuralCooperativa de eletrificação ruralNão se aplicaNão se aplicaFora ponta",Mercado_Receita!$N$2:$N$886)</f>
        <v>0</v>
      </c>
      <c r="R26" s="13">
        <f>SUMIF(Mercado_Receita!$T$2:$T$886,"44774B2Energia horáriaRuralCooperativa de eletrificação ruralNão se aplicaNão se aplicaFora ponta",Mercado_Receita!$N$2:$N$886)</f>
        <v>0</v>
      </c>
      <c r="S26" s="13">
        <f>SUMIF(Mercado_Receita!$T$2:$T$886,"44805B2Energia horáriaRuralCooperativa de eletrificação ruralNão se aplicaNão se aplicaFora ponta",Mercado_Receita!$N$2:$N$886)</f>
        <v>0</v>
      </c>
      <c r="T26" s="13">
        <f>SUMIF(Mercado_Receita!$T$2:$T$886,"44835B2Energia horáriaRuralCooperativa de eletrificação ruralNão se aplicaNão se aplicaFora ponta",Mercado_Receita!$N$2:$N$886)</f>
        <v>0</v>
      </c>
      <c r="U26" s="13">
        <f t="shared" si="0"/>
        <v>0</v>
      </c>
      <c r="V26" s="13"/>
      <c r="W26" s="13"/>
    </row>
    <row r="27" spans="1:23" ht="11.25" customHeight="1" x14ac:dyDescent="0.3">
      <c r="A27" s="123"/>
      <c r="B27" s="12" t="s">
        <v>82</v>
      </c>
      <c r="C27" s="12" t="s">
        <v>44</v>
      </c>
      <c r="D27" s="12" t="s">
        <v>94</v>
      </c>
      <c r="E27" s="12" t="s">
        <v>25</v>
      </c>
      <c r="F27" s="12" t="s">
        <v>25</v>
      </c>
      <c r="G27" s="13" t="s">
        <v>83</v>
      </c>
      <c r="H27" s="13" t="s">
        <v>79</v>
      </c>
      <c r="I27" s="13">
        <f>SUMIF(Mercado_Receita!$T$2:$T$886,"44501B2Energia convencionalRuralCooperativa de eletrificação ruralNão se aplicaNão se aplicaNão se aplica",Mercado_Receita!$N$2:$N$886)</f>
        <v>0</v>
      </c>
      <c r="J27" s="13">
        <f>SUMIF(Mercado_Receita!$T$2:$T$886,"44531B2Energia convencionalRuralCooperativa de eletrificação ruralNão se aplicaNão se aplicaNão se aplica",Mercado_Receita!$N$2:$N$886)</f>
        <v>0</v>
      </c>
      <c r="K27" s="13">
        <f>SUMIF(Mercado_Receita!$T$2:$T$886,"44562B2Energia convencionalRuralCooperativa de eletrificação ruralNão se aplicaNão se aplicaNão se aplica",Mercado_Receita!$N$2:$N$886)</f>
        <v>0</v>
      </c>
      <c r="L27" s="13">
        <f>SUMIF(Mercado_Receita!$T$2:$T$886,"44593B2Energia convencionalRuralCooperativa de eletrificação ruralNão se aplicaNão se aplicaNão se aplica",Mercado_Receita!$N$2:$N$886)</f>
        <v>0</v>
      </c>
      <c r="M27" s="13">
        <f>SUMIF(Mercado_Receita!$T$2:$T$886,"44621B2Energia convencionalRuralCooperativa de eletrificação ruralNão se aplicaNão se aplicaNão se aplica",Mercado_Receita!$N$2:$N$886)</f>
        <v>0</v>
      </c>
      <c r="N27" s="13">
        <f>SUMIF(Mercado_Receita!$T$2:$T$886,"44652B2Energia convencionalRuralCooperativa de eletrificação ruralNão se aplicaNão se aplicaNão se aplica",Mercado_Receita!$N$2:$N$886)</f>
        <v>0</v>
      </c>
      <c r="O27" s="13">
        <f>SUMIF(Mercado_Receita!$T$2:$T$886,"44682B2Energia convencionalRuralCooperativa de eletrificação ruralNão se aplicaNão se aplicaNão se aplica",Mercado_Receita!$N$2:$N$886)</f>
        <v>0</v>
      </c>
      <c r="P27" s="13">
        <f>SUMIF(Mercado_Receita!$T$2:$T$886,"44713B2Energia convencionalRuralCooperativa de eletrificação ruralNão se aplicaNão se aplicaNão se aplica",Mercado_Receita!$N$2:$N$886)</f>
        <v>0</v>
      </c>
      <c r="Q27" s="13">
        <f>SUMIF(Mercado_Receita!$T$2:$T$886,"44743B2Energia convencionalRuralCooperativa de eletrificação ruralNão se aplicaNão se aplicaNão se aplica",Mercado_Receita!$N$2:$N$886)</f>
        <v>0</v>
      </c>
      <c r="R27" s="13">
        <f>SUMIF(Mercado_Receita!$T$2:$T$886,"44774B2Energia convencionalRuralCooperativa de eletrificação ruralNão se aplicaNão se aplicaNão se aplica",Mercado_Receita!$N$2:$N$886)</f>
        <v>0</v>
      </c>
      <c r="S27" s="13">
        <f>SUMIF(Mercado_Receita!$T$2:$T$886,"44805B2Energia convencionalRuralCooperativa de eletrificação ruralNão se aplicaNão se aplicaNão se aplica",Mercado_Receita!$N$2:$N$886)</f>
        <v>0</v>
      </c>
      <c r="T27" s="13">
        <f>SUMIF(Mercado_Receita!$T$2:$T$886,"44835B2Energia convencionalRuralCooperativa de eletrificação ruralNão se aplicaNão se aplicaNão se aplica",Mercado_Receita!$N$2:$N$886)</f>
        <v>0</v>
      </c>
      <c r="U27" s="13">
        <f t="shared" si="0"/>
        <v>0</v>
      </c>
      <c r="V27" s="13"/>
      <c r="W27" s="13"/>
    </row>
    <row r="28" spans="1:23" ht="11.25" customHeight="1" x14ac:dyDescent="0.3">
      <c r="A28" s="123"/>
      <c r="B28" s="122" t="s">
        <v>78</v>
      </c>
      <c r="C28" s="122" t="s">
        <v>44</v>
      </c>
      <c r="D28" s="122" t="s">
        <v>95</v>
      </c>
      <c r="E28" s="122" t="s">
        <v>25</v>
      </c>
      <c r="F28" s="122" t="s">
        <v>25</v>
      </c>
      <c r="G28" s="13" t="s">
        <v>80</v>
      </c>
      <c r="H28" s="13" t="s">
        <v>79</v>
      </c>
      <c r="I28" s="13">
        <f>SUMIF(Mercado_Receita!$T$2:$T$886,"44501B2Energia horáriaRuralServiço público de irrigação ruralNão se aplicaNão se aplicaPonta",Mercado_Receita!$N$2:$N$886)</f>
        <v>0</v>
      </c>
      <c r="J28" s="13">
        <f>SUMIF(Mercado_Receita!$T$2:$T$886,"44531B2Energia horáriaRuralServiço público de irrigação ruralNão se aplicaNão se aplicaPonta",Mercado_Receita!$N$2:$N$886)</f>
        <v>0</v>
      </c>
      <c r="K28" s="13">
        <f>SUMIF(Mercado_Receita!$T$2:$T$886,"44562B2Energia horáriaRuralServiço público de irrigação ruralNão se aplicaNão se aplicaPonta",Mercado_Receita!$N$2:$N$886)</f>
        <v>0</v>
      </c>
      <c r="L28" s="13">
        <f>SUMIF(Mercado_Receita!$T$2:$T$886,"44593B2Energia horáriaRuralServiço público de irrigação ruralNão se aplicaNão se aplicaPonta",Mercado_Receita!$N$2:$N$886)</f>
        <v>0</v>
      </c>
      <c r="M28" s="13">
        <f>SUMIF(Mercado_Receita!$T$2:$T$886,"44621B2Energia horáriaRuralServiço público de irrigação ruralNão se aplicaNão se aplicaPonta",Mercado_Receita!$N$2:$N$886)</f>
        <v>0</v>
      </c>
      <c r="N28" s="13">
        <f>SUMIF(Mercado_Receita!$T$2:$T$886,"44652B2Energia horáriaRuralServiço público de irrigação ruralNão se aplicaNão se aplicaPonta",Mercado_Receita!$N$2:$N$886)</f>
        <v>0</v>
      </c>
      <c r="O28" s="13">
        <f>SUMIF(Mercado_Receita!$T$2:$T$886,"44682B2Energia horáriaRuralServiço público de irrigação ruralNão se aplicaNão se aplicaPonta",Mercado_Receita!$N$2:$N$886)</f>
        <v>0</v>
      </c>
      <c r="P28" s="13">
        <f>SUMIF(Mercado_Receita!$T$2:$T$886,"44713B2Energia horáriaRuralServiço público de irrigação ruralNão se aplicaNão se aplicaPonta",Mercado_Receita!$N$2:$N$886)</f>
        <v>0</v>
      </c>
      <c r="Q28" s="13">
        <f>SUMIF(Mercado_Receita!$T$2:$T$886,"44743B2Energia horáriaRuralServiço público de irrigação ruralNão se aplicaNão se aplicaPonta",Mercado_Receita!$N$2:$N$886)</f>
        <v>0</v>
      </c>
      <c r="R28" s="13">
        <f>SUMIF(Mercado_Receita!$T$2:$T$886,"44774B2Energia horáriaRuralServiço público de irrigação ruralNão se aplicaNão se aplicaPonta",Mercado_Receita!$N$2:$N$886)</f>
        <v>0</v>
      </c>
      <c r="S28" s="13">
        <f>SUMIF(Mercado_Receita!$T$2:$T$886,"44805B2Energia horáriaRuralServiço público de irrigação ruralNão se aplicaNão se aplicaPonta",Mercado_Receita!$N$2:$N$886)</f>
        <v>0</v>
      </c>
      <c r="T28" s="13">
        <f>SUMIF(Mercado_Receita!$T$2:$T$886,"44835B2Energia horáriaRuralServiço público de irrigação ruralNão se aplicaNão se aplicaPonta",Mercado_Receita!$N$2:$N$886)</f>
        <v>0</v>
      </c>
      <c r="U28" s="13">
        <f t="shared" si="0"/>
        <v>0</v>
      </c>
      <c r="V28" s="13"/>
      <c r="W28" s="13"/>
    </row>
    <row r="29" spans="1:23" ht="11.25" customHeight="1" x14ac:dyDescent="0.3">
      <c r="A29" s="123"/>
      <c r="B29" s="123"/>
      <c r="C29" s="123"/>
      <c r="D29" s="123"/>
      <c r="E29" s="123"/>
      <c r="F29" s="123"/>
      <c r="G29" s="13" t="s">
        <v>91</v>
      </c>
      <c r="H29" s="13" t="s">
        <v>79</v>
      </c>
      <c r="I29" s="13">
        <f>SUMIF(Mercado_Receita!$T$2:$T$886,"44501B2Energia horáriaRuralServiço público de irrigação ruralNão se aplicaNão se aplicaIntermediário",Mercado_Receita!$N$2:$N$886)</f>
        <v>0</v>
      </c>
      <c r="J29" s="13">
        <f>SUMIF(Mercado_Receita!$T$2:$T$886,"44531B2Energia horáriaRuralServiço público de irrigação ruralNão se aplicaNão se aplicaIntermediário",Mercado_Receita!$N$2:$N$886)</f>
        <v>0</v>
      </c>
      <c r="K29" s="13">
        <f>SUMIF(Mercado_Receita!$T$2:$T$886,"44562B2Energia horáriaRuralServiço público de irrigação ruralNão se aplicaNão se aplicaIntermediário",Mercado_Receita!$N$2:$N$886)</f>
        <v>0</v>
      </c>
      <c r="L29" s="13">
        <f>SUMIF(Mercado_Receita!$T$2:$T$886,"44593B2Energia horáriaRuralServiço público de irrigação ruralNão se aplicaNão se aplicaIntermediário",Mercado_Receita!$N$2:$N$886)</f>
        <v>0</v>
      </c>
      <c r="M29" s="13">
        <f>SUMIF(Mercado_Receita!$T$2:$T$886,"44621B2Energia horáriaRuralServiço público de irrigação ruralNão se aplicaNão se aplicaIntermediário",Mercado_Receita!$N$2:$N$886)</f>
        <v>0</v>
      </c>
      <c r="N29" s="13">
        <f>SUMIF(Mercado_Receita!$T$2:$T$886,"44652B2Energia horáriaRuralServiço público de irrigação ruralNão se aplicaNão se aplicaIntermediário",Mercado_Receita!$N$2:$N$886)</f>
        <v>0</v>
      </c>
      <c r="O29" s="13">
        <f>SUMIF(Mercado_Receita!$T$2:$T$886,"44682B2Energia horáriaRuralServiço público de irrigação ruralNão se aplicaNão se aplicaIntermediário",Mercado_Receita!$N$2:$N$886)</f>
        <v>0</v>
      </c>
      <c r="P29" s="13">
        <f>SUMIF(Mercado_Receita!$T$2:$T$886,"44713B2Energia horáriaRuralServiço público de irrigação ruralNão se aplicaNão se aplicaIntermediário",Mercado_Receita!$N$2:$N$886)</f>
        <v>0</v>
      </c>
      <c r="Q29" s="13">
        <f>SUMIF(Mercado_Receita!$T$2:$T$886,"44743B2Energia horáriaRuralServiço público de irrigação ruralNão se aplicaNão se aplicaIntermediário",Mercado_Receita!$N$2:$N$886)</f>
        <v>0</v>
      </c>
      <c r="R29" s="13">
        <f>SUMIF(Mercado_Receita!$T$2:$T$886,"44774B2Energia horáriaRuralServiço público de irrigação ruralNão se aplicaNão se aplicaIntermediário",Mercado_Receita!$N$2:$N$886)</f>
        <v>0</v>
      </c>
      <c r="S29" s="13">
        <f>SUMIF(Mercado_Receita!$T$2:$T$886,"44805B2Energia horáriaRuralServiço público de irrigação ruralNão se aplicaNão se aplicaIntermediário",Mercado_Receita!$N$2:$N$886)</f>
        <v>0</v>
      </c>
      <c r="T29" s="13">
        <f>SUMIF(Mercado_Receita!$T$2:$T$886,"44835B2Energia horáriaRuralServiço público de irrigação ruralNão se aplicaNão se aplicaIntermediário",Mercado_Receita!$N$2:$N$886)</f>
        <v>0</v>
      </c>
      <c r="U29" s="13">
        <f t="shared" si="0"/>
        <v>0</v>
      </c>
      <c r="V29" s="13"/>
      <c r="W29" s="13"/>
    </row>
    <row r="30" spans="1:23" ht="11.25" customHeight="1" x14ac:dyDescent="0.3">
      <c r="A30" s="123"/>
      <c r="B30" s="123"/>
      <c r="C30" s="123"/>
      <c r="D30" s="123"/>
      <c r="E30" s="123"/>
      <c r="F30" s="123"/>
      <c r="G30" s="13" t="s">
        <v>81</v>
      </c>
      <c r="H30" s="13" t="s">
        <v>79</v>
      </c>
      <c r="I30" s="13">
        <f>SUMIF(Mercado_Receita!$T$2:$T$886,"44501B2Energia horáriaRuralServiço público de irrigação ruralNão se aplicaNão se aplicaFora ponta",Mercado_Receita!$N$2:$N$886)</f>
        <v>0</v>
      </c>
      <c r="J30" s="13">
        <f>SUMIF(Mercado_Receita!$T$2:$T$886,"44531B2Energia horáriaRuralServiço público de irrigação ruralNão se aplicaNão se aplicaFora ponta",Mercado_Receita!$N$2:$N$886)</f>
        <v>0</v>
      </c>
      <c r="K30" s="13">
        <f>SUMIF(Mercado_Receita!$T$2:$T$886,"44562B2Energia horáriaRuralServiço público de irrigação ruralNão se aplicaNão se aplicaFora ponta",Mercado_Receita!$N$2:$N$886)</f>
        <v>0</v>
      </c>
      <c r="L30" s="13">
        <f>SUMIF(Mercado_Receita!$T$2:$T$886,"44593B2Energia horáriaRuralServiço público de irrigação ruralNão se aplicaNão se aplicaFora ponta",Mercado_Receita!$N$2:$N$886)</f>
        <v>0</v>
      </c>
      <c r="M30" s="13">
        <f>SUMIF(Mercado_Receita!$T$2:$T$886,"44621B2Energia horáriaRuralServiço público de irrigação ruralNão se aplicaNão se aplicaFora ponta",Mercado_Receita!$N$2:$N$886)</f>
        <v>0</v>
      </c>
      <c r="N30" s="13">
        <f>SUMIF(Mercado_Receita!$T$2:$T$886,"44652B2Energia horáriaRuralServiço público de irrigação ruralNão se aplicaNão se aplicaFora ponta",Mercado_Receita!$N$2:$N$886)</f>
        <v>0</v>
      </c>
      <c r="O30" s="13">
        <f>SUMIF(Mercado_Receita!$T$2:$T$886,"44682B2Energia horáriaRuralServiço público de irrigação ruralNão se aplicaNão se aplicaFora ponta",Mercado_Receita!$N$2:$N$886)</f>
        <v>0</v>
      </c>
      <c r="P30" s="13">
        <f>SUMIF(Mercado_Receita!$T$2:$T$886,"44713B2Energia horáriaRuralServiço público de irrigação ruralNão se aplicaNão se aplicaFora ponta",Mercado_Receita!$N$2:$N$886)</f>
        <v>0</v>
      </c>
      <c r="Q30" s="13">
        <f>SUMIF(Mercado_Receita!$T$2:$T$886,"44743B2Energia horáriaRuralServiço público de irrigação ruralNão se aplicaNão se aplicaFora ponta",Mercado_Receita!$N$2:$N$886)</f>
        <v>0</v>
      </c>
      <c r="R30" s="13">
        <f>SUMIF(Mercado_Receita!$T$2:$T$886,"44774B2Energia horáriaRuralServiço público de irrigação ruralNão se aplicaNão se aplicaFora ponta",Mercado_Receita!$N$2:$N$886)</f>
        <v>0</v>
      </c>
      <c r="S30" s="13">
        <f>SUMIF(Mercado_Receita!$T$2:$T$886,"44805B2Energia horáriaRuralServiço público de irrigação ruralNão se aplicaNão se aplicaFora ponta",Mercado_Receita!$N$2:$N$886)</f>
        <v>0</v>
      </c>
      <c r="T30" s="13">
        <f>SUMIF(Mercado_Receita!$T$2:$T$886,"44835B2Energia horáriaRuralServiço público de irrigação ruralNão se aplicaNão se aplicaFora ponta",Mercado_Receita!$N$2:$N$886)</f>
        <v>0</v>
      </c>
      <c r="U30" s="13">
        <f t="shared" si="0"/>
        <v>0</v>
      </c>
      <c r="V30" s="13"/>
      <c r="W30" s="13"/>
    </row>
    <row r="31" spans="1:23" ht="11.25" customHeight="1" x14ac:dyDescent="0.3">
      <c r="A31" s="123"/>
      <c r="B31" s="12" t="s">
        <v>82</v>
      </c>
      <c r="C31" s="12" t="s">
        <v>44</v>
      </c>
      <c r="D31" s="12" t="s">
        <v>95</v>
      </c>
      <c r="E31" s="12" t="s">
        <v>25</v>
      </c>
      <c r="F31" s="12" t="s">
        <v>25</v>
      </c>
      <c r="G31" s="13" t="s">
        <v>83</v>
      </c>
      <c r="H31" s="13" t="s">
        <v>79</v>
      </c>
      <c r="I31" s="13">
        <f>SUMIF(Mercado_Receita!$T$2:$T$886,"44501B2Energia convencionalRuralServiço público de irrigação ruralNão se aplicaNão se aplicaNão se aplica",Mercado_Receita!$N$2:$N$886)</f>
        <v>0</v>
      </c>
      <c r="J31" s="13">
        <f>SUMIF(Mercado_Receita!$T$2:$T$886,"44531B2Energia convencionalRuralServiço público de irrigação ruralNão se aplicaNão se aplicaNão se aplica",Mercado_Receita!$N$2:$N$886)</f>
        <v>0</v>
      </c>
      <c r="K31" s="13">
        <f>SUMIF(Mercado_Receita!$T$2:$T$886,"44562B2Energia convencionalRuralServiço público de irrigação ruralNão se aplicaNão se aplicaNão se aplica",Mercado_Receita!$N$2:$N$886)</f>
        <v>0</v>
      </c>
      <c r="L31" s="13">
        <f>SUMIF(Mercado_Receita!$T$2:$T$886,"44593B2Energia convencionalRuralServiço público de irrigação ruralNão se aplicaNão se aplicaNão se aplica",Mercado_Receita!$N$2:$N$886)</f>
        <v>0</v>
      </c>
      <c r="M31" s="13">
        <f>SUMIF(Mercado_Receita!$T$2:$T$886,"44621B2Energia convencionalRuralServiço público de irrigação ruralNão se aplicaNão se aplicaNão se aplica",Mercado_Receita!$N$2:$N$886)</f>
        <v>0</v>
      </c>
      <c r="N31" s="13">
        <f>SUMIF(Mercado_Receita!$T$2:$T$886,"44652B2Energia convencionalRuralServiço público de irrigação ruralNão se aplicaNão se aplicaNão se aplica",Mercado_Receita!$N$2:$N$886)</f>
        <v>0</v>
      </c>
      <c r="O31" s="13">
        <f>SUMIF(Mercado_Receita!$T$2:$T$886,"44682B2Energia convencionalRuralServiço público de irrigação ruralNão se aplicaNão se aplicaNão se aplica",Mercado_Receita!$N$2:$N$886)</f>
        <v>0</v>
      </c>
      <c r="P31" s="13">
        <f>SUMIF(Mercado_Receita!$T$2:$T$886,"44713B2Energia convencionalRuralServiço público de irrigação ruralNão se aplicaNão se aplicaNão se aplica",Mercado_Receita!$N$2:$N$886)</f>
        <v>0</v>
      </c>
      <c r="Q31" s="13">
        <f>SUMIF(Mercado_Receita!$T$2:$T$886,"44743B2Energia convencionalRuralServiço público de irrigação ruralNão se aplicaNão se aplicaNão se aplica",Mercado_Receita!$N$2:$N$886)</f>
        <v>0</v>
      </c>
      <c r="R31" s="13">
        <f>SUMIF(Mercado_Receita!$T$2:$T$886,"44774B2Energia convencionalRuralServiço público de irrigação ruralNão se aplicaNão se aplicaNão se aplica",Mercado_Receita!$N$2:$N$886)</f>
        <v>0</v>
      </c>
      <c r="S31" s="13">
        <f>SUMIF(Mercado_Receita!$T$2:$T$886,"44805B2Energia convencionalRuralServiço público de irrigação ruralNão se aplicaNão se aplicaNão se aplica",Mercado_Receita!$N$2:$N$886)</f>
        <v>0</v>
      </c>
      <c r="T31" s="13">
        <f>SUMIF(Mercado_Receita!$T$2:$T$886,"44835B2Energia convencionalRuralServiço público de irrigação ruralNão se aplicaNão se aplicaNão se aplica",Mercado_Receita!$N$2:$N$886)</f>
        <v>0</v>
      </c>
      <c r="U31" s="13">
        <f t="shared" si="0"/>
        <v>0</v>
      </c>
      <c r="V31" s="13"/>
      <c r="W31" s="13"/>
    </row>
    <row r="32" spans="1:23" ht="11.25" customHeight="1" x14ac:dyDescent="0.3">
      <c r="A32" s="123"/>
      <c r="B32" s="122" t="s">
        <v>92</v>
      </c>
      <c r="C32" s="122" t="s">
        <v>44</v>
      </c>
      <c r="D32" s="12" t="s">
        <v>25</v>
      </c>
      <c r="E32" s="12" t="s">
        <v>25</v>
      </c>
      <c r="F32" s="12" t="s">
        <v>25</v>
      </c>
      <c r="G32" s="13" t="s">
        <v>83</v>
      </c>
      <c r="H32" s="13" t="s">
        <v>79</v>
      </c>
      <c r="I32" s="13">
        <f>SUMIF(Mercado_Receita!$T$2:$T$886,"44501B2Energia convencional pré-pagamentoRuralNão se aplicaNão se aplicaNão se aplicaNão se aplica",Mercado_Receita!$N$2:$N$886)</f>
        <v>0</v>
      </c>
      <c r="J32" s="13">
        <f>SUMIF(Mercado_Receita!$T$2:$T$886,"44531B2Energia convencional pré-pagamentoRuralNão se aplicaNão se aplicaNão se aplicaNão se aplica",Mercado_Receita!$N$2:$N$886)</f>
        <v>0</v>
      </c>
      <c r="K32" s="13">
        <f>SUMIF(Mercado_Receita!$T$2:$T$886,"44562B2Energia convencional pré-pagamentoRuralNão se aplicaNão se aplicaNão se aplicaNão se aplica",Mercado_Receita!$N$2:$N$886)</f>
        <v>0</v>
      </c>
      <c r="L32" s="13">
        <f>SUMIF(Mercado_Receita!$T$2:$T$886,"44593B2Energia convencional pré-pagamentoRuralNão se aplicaNão se aplicaNão se aplicaNão se aplica",Mercado_Receita!$N$2:$N$886)</f>
        <v>0</v>
      </c>
      <c r="M32" s="13">
        <f>SUMIF(Mercado_Receita!$T$2:$T$886,"44621B2Energia convencional pré-pagamentoRuralNão se aplicaNão se aplicaNão se aplicaNão se aplica",Mercado_Receita!$N$2:$N$886)</f>
        <v>0</v>
      </c>
      <c r="N32" s="13">
        <f>SUMIF(Mercado_Receita!$T$2:$T$886,"44652B2Energia convencional pré-pagamentoRuralNão se aplicaNão se aplicaNão se aplicaNão se aplica",Mercado_Receita!$N$2:$N$886)</f>
        <v>0</v>
      </c>
      <c r="O32" s="13">
        <f>SUMIF(Mercado_Receita!$T$2:$T$886,"44682B2Energia convencional pré-pagamentoRuralNão se aplicaNão se aplicaNão se aplicaNão se aplica",Mercado_Receita!$N$2:$N$886)</f>
        <v>0</v>
      </c>
      <c r="P32" s="13">
        <f>SUMIF(Mercado_Receita!$T$2:$T$886,"44713B2Energia convencional pré-pagamentoRuralNão se aplicaNão se aplicaNão se aplicaNão se aplica",Mercado_Receita!$N$2:$N$886)</f>
        <v>0</v>
      </c>
      <c r="Q32" s="13">
        <f>SUMIF(Mercado_Receita!$T$2:$T$886,"44743B2Energia convencional pré-pagamentoRuralNão se aplicaNão se aplicaNão se aplicaNão se aplica",Mercado_Receita!$N$2:$N$886)</f>
        <v>0</v>
      </c>
      <c r="R32" s="13">
        <f>SUMIF(Mercado_Receita!$T$2:$T$886,"44774B2Energia convencional pré-pagamentoRuralNão se aplicaNão se aplicaNão se aplicaNão se aplica",Mercado_Receita!$N$2:$N$886)</f>
        <v>0</v>
      </c>
      <c r="S32" s="13">
        <f>SUMIF(Mercado_Receita!$T$2:$T$886,"44805B2Energia convencional pré-pagamentoRuralNão se aplicaNão se aplicaNão se aplicaNão se aplica",Mercado_Receita!$N$2:$N$886)</f>
        <v>0</v>
      </c>
      <c r="T32" s="13">
        <f>SUMIF(Mercado_Receita!$T$2:$T$886,"44835B2Energia convencional pré-pagamentoRuralNão se aplicaNão se aplicaNão se aplicaNão se aplica",Mercado_Receita!$N$2:$N$886)</f>
        <v>0</v>
      </c>
      <c r="U32" s="13">
        <f t="shared" si="0"/>
        <v>0</v>
      </c>
      <c r="V32" s="13"/>
      <c r="W32" s="13"/>
    </row>
    <row r="33" spans="1:23" ht="11.25" customHeight="1" x14ac:dyDescent="0.3">
      <c r="A33" s="123"/>
      <c r="B33" s="123"/>
      <c r="C33" s="123"/>
      <c r="D33" s="12" t="s">
        <v>94</v>
      </c>
      <c r="E33" s="12" t="s">
        <v>25</v>
      </c>
      <c r="F33" s="12" t="s">
        <v>25</v>
      </c>
      <c r="G33" s="13" t="s">
        <v>83</v>
      </c>
      <c r="H33" s="13" t="s">
        <v>79</v>
      </c>
      <c r="I33" s="13">
        <f>SUMIF(Mercado_Receita!$T$2:$T$886,"44501B2Energia convencional pré-pagamentoRuralCooperativa de eletrificação ruralNão se aplicaNão se aplicaNão se aplica",Mercado_Receita!$N$2:$N$886)</f>
        <v>0</v>
      </c>
      <c r="J33" s="13">
        <f>SUMIF(Mercado_Receita!$T$2:$T$886,"44531B2Energia convencional pré-pagamentoRuralCooperativa de eletrificação ruralNão se aplicaNão se aplicaNão se aplica",Mercado_Receita!$N$2:$N$886)</f>
        <v>0</v>
      </c>
      <c r="K33" s="13">
        <f>SUMIF(Mercado_Receita!$T$2:$T$886,"44562B2Energia convencional pré-pagamentoRuralCooperativa de eletrificação ruralNão se aplicaNão se aplicaNão se aplica",Mercado_Receita!$N$2:$N$886)</f>
        <v>0</v>
      </c>
      <c r="L33" s="13">
        <f>SUMIF(Mercado_Receita!$T$2:$T$886,"44593B2Energia convencional pré-pagamentoRuralCooperativa de eletrificação ruralNão se aplicaNão se aplicaNão se aplica",Mercado_Receita!$N$2:$N$886)</f>
        <v>0</v>
      </c>
      <c r="M33" s="13">
        <f>SUMIF(Mercado_Receita!$T$2:$T$886,"44621B2Energia convencional pré-pagamentoRuralCooperativa de eletrificação ruralNão se aplicaNão se aplicaNão se aplica",Mercado_Receita!$N$2:$N$886)</f>
        <v>0</v>
      </c>
      <c r="N33" s="13">
        <f>SUMIF(Mercado_Receita!$T$2:$T$886,"44652B2Energia convencional pré-pagamentoRuralCooperativa de eletrificação ruralNão se aplicaNão se aplicaNão se aplica",Mercado_Receita!$N$2:$N$886)</f>
        <v>0</v>
      </c>
      <c r="O33" s="13">
        <f>SUMIF(Mercado_Receita!$T$2:$T$886,"44682B2Energia convencional pré-pagamentoRuralCooperativa de eletrificação ruralNão se aplicaNão se aplicaNão se aplica",Mercado_Receita!$N$2:$N$886)</f>
        <v>0</v>
      </c>
      <c r="P33" s="13">
        <f>SUMIF(Mercado_Receita!$T$2:$T$886,"44713B2Energia convencional pré-pagamentoRuralCooperativa de eletrificação ruralNão se aplicaNão se aplicaNão se aplica",Mercado_Receita!$N$2:$N$886)</f>
        <v>0</v>
      </c>
      <c r="Q33" s="13">
        <f>SUMIF(Mercado_Receita!$T$2:$T$886,"44743B2Energia convencional pré-pagamentoRuralCooperativa de eletrificação ruralNão se aplicaNão se aplicaNão se aplica",Mercado_Receita!$N$2:$N$886)</f>
        <v>0</v>
      </c>
      <c r="R33" s="13">
        <f>SUMIF(Mercado_Receita!$T$2:$T$886,"44774B2Energia convencional pré-pagamentoRuralCooperativa de eletrificação ruralNão se aplicaNão se aplicaNão se aplica",Mercado_Receita!$N$2:$N$886)</f>
        <v>0</v>
      </c>
      <c r="S33" s="13">
        <f>SUMIF(Mercado_Receita!$T$2:$T$886,"44805B2Energia convencional pré-pagamentoRuralCooperativa de eletrificação ruralNão se aplicaNão se aplicaNão se aplica",Mercado_Receita!$N$2:$N$886)</f>
        <v>0</v>
      </c>
      <c r="T33" s="13">
        <f>SUMIF(Mercado_Receita!$T$2:$T$886,"44835B2Energia convencional pré-pagamentoRuralCooperativa de eletrificação ruralNão se aplicaNão se aplicaNão se aplica",Mercado_Receita!$N$2:$N$886)</f>
        <v>0</v>
      </c>
      <c r="U33" s="13">
        <f t="shared" si="0"/>
        <v>0</v>
      </c>
      <c r="V33" s="13"/>
      <c r="W33" s="13"/>
    </row>
    <row r="34" spans="1:23" ht="11.25" customHeight="1" x14ac:dyDescent="0.3">
      <c r="A34" s="123"/>
      <c r="B34" s="123"/>
      <c r="C34" s="123"/>
      <c r="D34" s="12" t="s">
        <v>95</v>
      </c>
      <c r="E34" s="12" t="s">
        <v>25</v>
      </c>
      <c r="F34" s="12" t="s">
        <v>25</v>
      </c>
      <c r="G34" s="13" t="s">
        <v>83</v>
      </c>
      <c r="H34" s="13" t="s">
        <v>79</v>
      </c>
      <c r="I34" s="13">
        <f>SUMIF(Mercado_Receita!$T$2:$T$886,"44501B2Energia convencional pré-pagamentoRuralServiço público de irrigação ruralNão se aplicaNão se aplicaNão se aplica",Mercado_Receita!$N$2:$N$886)</f>
        <v>0</v>
      </c>
      <c r="J34" s="13">
        <f>SUMIF(Mercado_Receita!$T$2:$T$886,"44531B2Energia convencional pré-pagamentoRuralServiço público de irrigação ruralNão se aplicaNão se aplicaNão se aplica",Mercado_Receita!$N$2:$N$886)</f>
        <v>0</v>
      </c>
      <c r="K34" s="13">
        <f>SUMIF(Mercado_Receita!$T$2:$T$886,"44562B2Energia convencional pré-pagamentoRuralServiço público de irrigação ruralNão se aplicaNão se aplicaNão se aplica",Mercado_Receita!$N$2:$N$886)</f>
        <v>0</v>
      </c>
      <c r="L34" s="13">
        <f>SUMIF(Mercado_Receita!$T$2:$T$886,"44593B2Energia convencional pré-pagamentoRuralServiço público de irrigação ruralNão se aplicaNão se aplicaNão se aplica",Mercado_Receita!$N$2:$N$886)</f>
        <v>0</v>
      </c>
      <c r="M34" s="13">
        <f>SUMIF(Mercado_Receita!$T$2:$T$886,"44621B2Energia convencional pré-pagamentoRuralServiço público de irrigação ruralNão se aplicaNão se aplicaNão se aplica",Mercado_Receita!$N$2:$N$886)</f>
        <v>0</v>
      </c>
      <c r="N34" s="13">
        <f>SUMIF(Mercado_Receita!$T$2:$T$886,"44652B2Energia convencional pré-pagamentoRuralServiço público de irrigação ruralNão se aplicaNão se aplicaNão se aplica",Mercado_Receita!$N$2:$N$886)</f>
        <v>0</v>
      </c>
      <c r="O34" s="13">
        <f>SUMIF(Mercado_Receita!$T$2:$T$886,"44682B2Energia convencional pré-pagamentoRuralServiço público de irrigação ruralNão se aplicaNão se aplicaNão se aplica",Mercado_Receita!$N$2:$N$886)</f>
        <v>0</v>
      </c>
      <c r="P34" s="13">
        <f>SUMIF(Mercado_Receita!$T$2:$T$886,"44713B2Energia convencional pré-pagamentoRuralServiço público de irrigação ruralNão se aplicaNão se aplicaNão se aplica",Mercado_Receita!$N$2:$N$886)</f>
        <v>0</v>
      </c>
      <c r="Q34" s="13">
        <f>SUMIF(Mercado_Receita!$T$2:$T$886,"44743B2Energia convencional pré-pagamentoRuralServiço público de irrigação ruralNão se aplicaNão se aplicaNão se aplica",Mercado_Receita!$N$2:$N$886)</f>
        <v>0</v>
      </c>
      <c r="R34" s="13">
        <f>SUMIF(Mercado_Receita!$T$2:$T$886,"44774B2Energia convencional pré-pagamentoRuralServiço público de irrigação ruralNão se aplicaNão se aplicaNão se aplica",Mercado_Receita!$N$2:$N$886)</f>
        <v>0</v>
      </c>
      <c r="S34" s="13">
        <f>SUMIF(Mercado_Receita!$T$2:$T$886,"44805B2Energia convencional pré-pagamentoRuralServiço público de irrigação ruralNão se aplicaNão se aplicaNão se aplica",Mercado_Receita!$N$2:$N$886)</f>
        <v>0</v>
      </c>
      <c r="T34" s="13">
        <f>SUMIF(Mercado_Receita!$T$2:$T$886,"44835B2Energia convencional pré-pagamentoRuralServiço público de irrigação ruralNão se aplicaNão se aplicaNão se aplica",Mercado_Receita!$N$2:$N$886)</f>
        <v>0</v>
      </c>
      <c r="U34" s="13">
        <f t="shared" si="0"/>
        <v>0</v>
      </c>
      <c r="V34" s="13"/>
      <c r="W34" s="13"/>
    </row>
    <row r="35" spans="1:23" ht="11.25" customHeight="1" x14ac:dyDescent="0.3">
      <c r="A35" s="122" t="s">
        <v>37</v>
      </c>
      <c r="B35" s="122" t="s">
        <v>78</v>
      </c>
      <c r="C35" s="122" t="s">
        <v>25</v>
      </c>
      <c r="D35" s="122" t="s">
        <v>25</v>
      </c>
      <c r="E35" s="122" t="s">
        <v>25</v>
      </c>
      <c r="F35" s="122" t="s">
        <v>25</v>
      </c>
      <c r="G35" s="13" t="s">
        <v>80</v>
      </c>
      <c r="H35" s="13" t="s">
        <v>79</v>
      </c>
      <c r="I35" s="13">
        <f>SUMIF(Mercado_Receita!$T$2:$T$886,"44501B3Energia horáriaNão se aplicaNão se aplicaNão se aplicaNão se aplicaPonta",Mercado_Receita!$N$2:$N$886)</f>
        <v>0.85699999999999998</v>
      </c>
      <c r="J35" s="13">
        <f>SUMIF(Mercado_Receita!$T$2:$T$886,"44531B3Energia horáriaNão se aplicaNão se aplicaNão se aplicaNão se aplicaPonta",Mercado_Receita!$N$2:$N$886)</f>
        <v>0.80800000000000005</v>
      </c>
      <c r="K35" s="13">
        <f>SUMIF(Mercado_Receita!$T$2:$T$886,"44562B3Energia horáriaNão se aplicaNão se aplicaNão se aplicaNão se aplicaPonta",Mercado_Receita!$N$2:$N$886)</f>
        <v>0.95199999999999996</v>
      </c>
      <c r="L35" s="13">
        <f>SUMIF(Mercado_Receita!$T$2:$T$886,"44593B3Energia horáriaNão se aplicaNão se aplicaNão se aplicaNão se aplicaPonta",Mercado_Receita!$N$2:$N$886)</f>
        <v>1</v>
      </c>
      <c r="M35" s="13">
        <f>SUMIF(Mercado_Receita!$T$2:$T$886,"44621B3Energia horáriaNão se aplicaNão se aplicaNão se aplicaNão se aplicaPonta",Mercado_Receita!$N$2:$N$886)</f>
        <v>0.77499999999999991</v>
      </c>
      <c r="N35" s="13">
        <f>SUMIF(Mercado_Receita!$T$2:$T$886,"44652B3Energia horáriaNão se aplicaNão se aplicaNão se aplicaNão se aplicaPonta",Mercado_Receita!$N$2:$N$886)</f>
        <v>1.0329999999999999</v>
      </c>
      <c r="O35" s="13">
        <f>SUMIF(Mercado_Receita!$T$2:$T$886,"44682B3Energia horáriaNão se aplicaNão se aplicaNão se aplicaNão se aplicaPonta",Mercado_Receita!$N$2:$N$886)</f>
        <v>0.94799999999999995</v>
      </c>
      <c r="P35" s="13">
        <f>SUMIF(Mercado_Receita!$T$2:$T$886,"44713B3Energia horáriaNão se aplicaNão se aplicaNão se aplicaNão se aplicaPonta",Mercado_Receita!$N$2:$N$886)</f>
        <v>0.84600000000000009</v>
      </c>
      <c r="Q35" s="13">
        <f>SUMIF(Mercado_Receita!$T$2:$T$886,"44743B3Energia horáriaNão se aplicaNão se aplicaNão se aplicaNão se aplicaPonta",Mercado_Receita!$N$2:$N$886)</f>
        <v>0.79400000000000004</v>
      </c>
      <c r="R35" s="13">
        <f>SUMIF(Mercado_Receita!$T$2:$T$886,"44774B3Energia horáriaNão se aplicaNão se aplicaNão se aplicaNão se aplicaPonta",Mercado_Receita!$N$2:$N$886)</f>
        <v>0.747</v>
      </c>
      <c r="S35" s="13">
        <f>SUMIF(Mercado_Receita!$T$2:$T$886,"44805B3Energia horáriaNão se aplicaNão se aplicaNão se aplicaNão se aplicaPonta",Mercado_Receita!$N$2:$N$886)</f>
        <v>0.85400000000000009</v>
      </c>
      <c r="T35" s="13">
        <f>SUMIF(Mercado_Receita!$T$2:$T$886,"44835B3Energia horáriaNão se aplicaNão se aplicaNão se aplicaNão se aplicaPonta",Mercado_Receita!$N$2:$N$886)</f>
        <v>0.85400000000000009</v>
      </c>
      <c r="U35" s="13">
        <f t="shared" si="0"/>
        <v>10.468</v>
      </c>
      <c r="V35" s="13"/>
      <c r="W35" s="13"/>
    </row>
    <row r="36" spans="1:23" ht="11.25" customHeight="1" x14ac:dyDescent="0.3">
      <c r="A36" s="123"/>
      <c r="B36" s="123"/>
      <c r="C36" s="123"/>
      <c r="D36" s="123"/>
      <c r="E36" s="123"/>
      <c r="F36" s="123"/>
      <c r="G36" s="13" t="s">
        <v>91</v>
      </c>
      <c r="H36" s="13" t="s">
        <v>79</v>
      </c>
      <c r="I36" s="13">
        <f>SUMIF(Mercado_Receita!$T$2:$T$886,"44501B3Energia horáriaNão se aplicaNão se aplicaNão se aplicaNão se aplicaIntermediário",Mercado_Receita!$N$2:$N$886)</f>
        <v>0.89600000000000002</v>
      </c>
      <c r="J36" s="13">
        <f>SUMIF(Mercado_Receita!$T$2:$T$886,"44531B3Energia horáriaNão se aplicaNão se aplicaNão se aplicaNão se aplicaIntermediário",Mercado_Receita!$N$2:$N$886)</f>
        <v>0.76899999999999991</v>
      </c>
      <c r="K36" s="13">
        <f>SUMIF(Mercado_Receita!$T$2:$T$886,"44562B3Energia horáriaNão se aplicaNão se aplicaNão se aplicaNão se aplicaIntermediário",Mercado_Receita!$N$2:$N$886)</f>
        <v>0.90199999999999991</v>
      </c>
      <c r="L36" s="13">
        <f>SUMIF(Mercado_Receita!$T$2:$T$886,"44593B3Energia horáriaNão se aplicaNão se aplicaNão se aplicaNão se aplicaIntermediário",Mercado_Receita!$N$2:$N$886)</f>
        <v>0.89300000000000002</v>
      </c>
      <c r="M36" s="13">
        <f>SUMIF(Mercado_Receita!$T$2:$T$886,"44621B3Energia horáriaNão se aplicaNão se aplicaNão se aplicaNão se aplicaIntermediário",Mercado_Receita!$N$2:$N$886)</f>
        <v>0.71399999999999997</v>
      </c>
      <c r="N36" s="13">
        <f>SUMIF(Mercado_Receita!$T$2:$T$886,"44652B3Energia horáriaNão se aplicaNão se aplicaNão se aplicaNão se aplicaIntermediário",Mercado_Receita!$N$2:$N$886)</f>
        <v>0.99</v>
      </c>
      <c r="O36" s="13">
        <f>SUMIF(Mercado_Receita!$T$2:$T$886,"44682B3Energia horáriaNão se aplicaNão se aplicaNão se aplicaNão se aplicaIntermediário",Mercado_Receita!$N$2:$N$886)</f>
        <v>0.873</v>
      </c>
      <c r="P36" s="13">
        <f>SUMIF(Mercado_Receita!$T$2:$T$886,"44713B3Energia horáriaNão se aplicaNão se aplicaNão se aplicaNão se aplicaIntermediário",Mercado_Receita!$N$2:$N$886)</f>
        <v>0.71399999999999997</v>
      </c>
      <c r="Q36" s="13">
        <f>SUMIF(Mercado_Receita!$T$2:$T$886,"44743B3Energia horáriaNão se aplicaNão se aplicaNão se aplicaNão se aplicaIntermediário",Mercado_Receita!$N$2:$N$886)</f>
        <v>0.73499999999999999</v>
      </c>
      <c r="R36" s="13">
        <f>SUMIF(Mercado_Receita!$T$2:$T$886,"44774B3Energia horáriaNão se aplicaNão se aplicaNão se aplicaNão se aplicaIntermediário",Mercado_Receita!$N$2:$N$886)</f>
        <v>0.65900000000000003</v>
      </c>
      <c r="S36" s="13">
        <f>SUMIF(Mercado_Receita!$T$2:$T$886,"44805B3Energia horáriaNão se aplicaNão se aplicaNão se aplicaNão se aplicaIntermediário",Mercado_Receita!$N$2:$N$886)</f>
        <v>0.77300000000000002</v>
      </c>
      <c r="T36" s="13">
        <f>SUMIF(Mercado_Receita!$T$2:$T$886,"44835B3Energia horáriaNão se aplicaNão se aplicaNão se aplicaNão se aplicaIntermediário",Mercado_Receita!$N$2:$N$886)</f>
        <v>0.77300000000000002</v>
      </c>
      <c r="U36" s="13">
        <f t="shared" si="0"/>
        <v>9.6909999999999989</v>
      </c>
      <c r="V36" s="13"/>
      <c r="W36" s="13"/>
    </row>
    <row r="37" spans="1:23" ht="11.25" customHeight="1" x14ac:dyDescent="0.3">
      <c r="A37" s="123"/>
      <c r="B37" s="123"/>
      <c r="C37" s="123"/>
      <c r="D37" s="123"/>
      <c r="E37" s="123"/>
      <c r="F37" s="123"/>
      <c r="G37" s="13" t="s">
        <v>81</v>
      </c>
      <c r="H37" s="13" t="s">
        <v>79</v>
      </c>
      <c r="I37" s="13">
        <f>SUMIF(Mercado_Receita!$T$2:$T$886,"44501B3Energia horáriaNão se aplicaNão se aplicaNão se aplicaNão se aplicaFora ponta",Mercado_Receita!$N$2:$N$886)</f>
        <v>14.590999999999999</v>
      </c>
      <c r="J37" s="13">
        <f>SUMIF(Mercado_Receita!$T$2:$T$886,"44531B3Energia horáriaNão se aplicaNão se aplicaNão se aplicaNão se aplicaFora ponta",Mercado_Receita!$N$2:$N$886)</f>
        <v>12.911</v>
      </c>
      <c r="K37" s="13">
        <f>SUMIF(Mercado_Receita!$T$2:$T$886,"44562B3Energia horáriaNão se aplicaNão se aplicaNão se aplicaNão se aplicaFora ponta",Mercado_Receita!$N$2:$N$886)</f>
        <v>14.027999999999999</v>
      </c>
      <c r="L37" s="13">
        <f>SUMIF(Mercado_Receita!$T$2:$T$886,"44593B3Energia horáriaNão se aplicaNão se aplicaNão se aplicaNão se aplicaFora ponta",Mercado_Receita!$N$2:$N$886)</f>
        <v>12.882</v>
      </c>
      <c r="M37" s="13">
        <f>SUMIF(Mercado_Receita!$T$2:$T$886,"44621B3Energia horáriaNão se aplicaNão se aplicaNão se aplicaNão se aplicaFora ponta",Mercado_Receita!$N$2:$N$886)</f>
        <v>11.161999999999999</v>
      </c>
      <c r="N37" s="13">
        <f>SUMIF(Mercado_Receita!$T$2:$T$886,"44652B3Energia horáriaNão se aplicaNão se aplicaNão se aplicaNão se aplicaFora ponta",Mercado_Receita!$N$2:$N$886)</f>
        <v>14.654</v>
      </c>
      <c r="O37" s="13">
        <f>SUMIF(Mercado_Receita!$T$2:$T$886,"44682B3Energia horáriaNão se aplicaNão se aplicaNão se aplicaNão se aplicaFora ponta",Mercado_Receita!$N$2:$N$886)</f>
        <v>15.506</v>
      </c>
      <c r="P37" s="13">
        <f>SUMIF(Mercado_Receita!$T$2:$T$886,"44713B3Energia horáriaNão se aplicaNão se aplicaNão se aplicaNão se aplicaFora ponta",Mercado_Receita!$N$2:$N$886)</f>
        <v>10.407</v>
      </c>
      <c r="Q37" s="13">
        <f>SUMIF(Mercado_Receita!$T$2:$T$886,"44743B3Energia horáriaNão se aplicaNão se aplicaNão se aplicaNão se aplicaFora ponta",Mercado_Receita!$N$2:$N$886)</f>
        <v>10.599</v>
      </c>
      <c r="R37" s="13">
        <f>SUMIF(Mercado_Receita!$T$2:$T$886,"44774B3Energia horáriaNão se aplicaNão se aplicaNão se aplicaNão se aplicaFora ponta",Mercado_Receita!$N$2:$N$886)</f>
        <v>9.4079999999999995</v>
      </c>
      <c r="S37" s="13">
        <f>SUMIF(Mercado_Receita!$T$2:$T$886,"44805B3Energia horáriaNão se aplicaNão se aplicaNão se aplicaNão se aplicaFora ponta",Mercado_Receita!$N$2:$N$886)</f>
        <v>12.09</v>
      </c>
      <c r="T37" s="13">
        <f>SUMIF(Mercado_Receita!$T$2:$T$886,"44835B3Energia horáriaNão se aplicaNão se aplicaNão se aplicaNão se aplicaFora ponta",Mercado_Receita!$N$2:$N$886)</f>
        <v>12.09</v>
      </c>
      <c r="U37" s="13">
        <f t="shared" si="0"/>
        <v>150.328</v>
      </c>
      <c r="V37" s="13"/>
      <c r="W37" s="13"/>
    </row>
    <row r="38" spans="1:23" ht="11.25" customHeight="1" x14ac:dyDescent="0.3">
      <c r="A38" s="123"/>
      <c r="B38" s="12" t="s">
        <v>82</v>
      </c>
      <c r="C38" s="12" t="s">
        <v>25</v>
      </c>
      <c r="D38" s="12" t="s">
        <v>25</v>
      </c>
      <c r="E38" s="12" t="s">
        <v>25</v>
      </c>
      <c r="F38" s="12" t="s">
        <v>25</v>
      </c>
      <c r="G38" s="13" t="s">
        <v>83</v>
      </c>
      <c r="H38" s="13" t="s">
        <v>79</v>
      </c>
      <c r="I38" s="13">
        <f>SUMIF(Mercado_Receita!$T$2:$T$886,"44501B3Energia convencionalNão se aplicaNão se aplicaNão se aplicaNão se aplicaNão se aplica",Mercado_Receita!$N$2:$N$886)</f>
        <v>2137.5079999999998</v>
      </c>
      <c r="J38" s="13">
        <f>SUMIF(Mercado_Receita!$T$2:$T$886,"44531B3Energia convencionalNão se aplicaNão se aplicaNão se aplicaNão se aplicaNão se aplica",Mercado_Receita!$N$2:$N$886)</f>
        <v>2056.9969999999998</v>
      </c>
      <c r="K38" s="13">
        <f>SUMIF(Mercado_Receita!$T$2:$T$886,"44562B3Energia convencionalNão se aplicaNão se aplicaNão se aplicaNão se aplicaNão se aplica",Mercado_Receita!$N$2:$N$886)</f>
        <v>2032.7070000000001</v>
      </c>
      <c r="L38" s="13">
        <f>SUMIF(Mercado_Receita!$T$2:$T$886,"44593B3Energia convencionalNão se aplicaNão se aplicaNão se aplicaNão se aplicaNão se aplica",Mercado_Receita!$N$2:$N$886)</f>
        <v>2001.9289999999999</v>
      </c>
      <c r="M38" s="13">
        <f>SUMIF(Mercado_Receita!$T$2:$T$886,"44621B3Energia convencionalNão se aplicaNão se aplicaNão se aplicaNão se aplicaNão se aplica",Mercado_Receita!$N$2:$N$886)</f>
        <v>1872.2609999999997</v>
      </c>
      <c r="N38" s="13">
        <f>SUMIF(Mercado_Receita!$T$2:$T$886,"44652B3Energia convencionalNão se aplicaNão se aplicaNão se aplicaNão se aplicaNão se aplica",Mercado_Receita!$N$2:$N$886)</f>
        <v>2285.8789999999999</v>
      </c>
      <c r="O38" s="13">
        <f>SUMIF(Mercado_Receita!$T$2:$T$886,"44682B3Energia convencionalNão se aplicaNão se aplicaNão se aplicaNão se aplicaNão se aplica",Mercado_Receita!$N$2:$N$886)</f>
        <v>2150.8269999999998</v>
      </c>
      <c r="P38" s="13">
        <f>SUMIF(Mercado_Receita!$T$2:$T$886,"44713B3Energia convencionalNão se aplicaNão se aplicaNão se aplicaNão se aplicaNão se aplica",Mercado_Receita!$N$2:$N$886)</f>
        <v>1815.0880000000002</v>
      </c>
      <c r="Q38" s="13">
        <f>SUMIF(Mercado_Receita!$T$2:$T$886,"44743B3Energia convencionalNão se aplicaNão se aplicaNão se aplicaNão se aplicaNão se aplica",Mercado_Receita!$N$2:$N$886)</f>
        <v>1859.3380000000002</v>
      </c>
      <c r="R38" s="13">
        <f>SUMIF(Mercado_Receita!$T$2:$T$886,"44774B3Energia convencionalNão se aplicaNão se aplicaNão se aplicaNão se aplicaNão se aplica",Mercado_Receita!$N$2:$N$886)</f>
        <v>1733.8509999999997</v>
      </c>
      <c r="S38" s="13">
        <f>SUMIF(Mercado_Receita!$T$2:$T$886,"44805B3Energia convencionalNão se aplicaNão se aplicaNão se aplicaNão se aplicaNão se aplica",Mercado_Receita!$N$2:$N$886)</f>
        <v>2120.453</v>
      </c>
      <c r="T38" s="13">
        <f>SUMIF(Mercado_Receita!$T$2:$T$886,"44835B3Energia convencionalNão se aplicaNão se aplicaNão se aplicaNão se aplicaNão se aplica",Mercado_Receita!$N$2:$N$886)</f>
        <v>2120.453</v>
      </c>
      <c r="U38" s="13">
        <f t="shared" si="0"/>
        <v>24187.291000000001</v>
      </c>
      <c r="V38" s="13"/>
      <c r="W38" s="13"/>
    </row>
    <row r="39" spans="1:23" ht="11.25" customHeight="1" x14ac:dyDescent="0.3">
      <c r="A39" s="123"/>
      <c r="B39" s="12" t="s">
        <v>92</v>
      </c>
      <c r="C39" s="12" t="s">
        <v>25</v>
      </c>
      <c r="D39" s="12" t="s">
        <v>25</v>
      </c>
      <c r="E39" s="12" t="s">
        <v>25</v>
      </c>
      <c r="F39" s="12" t="s">
        <v>25</v>
      </c>
      <c r="G39" s="13" t="s">
        <v>83</v>
      </c>
      <c r="H39" s="13" t="s">
        <v>79</v>
      </c>
      <c r="I39" s="13">
        <f>SUMIF(Mercado_Receita!$T$2:$T$886,"44501B3Energia convencional pré-pagamentoNão se aplicaNão se aplicaNão se aplicaNão se aplicaNão se aplica",Mercado_Receita!$N$2:$N$886)</f>
        <v>0</v>
      </c>
      <c r="J39" s="13">
        <f>SUMIF(Mercado_Receita!$T$2:$T$886,"44531B3Energia convencional pré-pagamentoNão se aplicaNão se aplicaNão se aplicaNão se aplicaNão se aplica",Mercado_Receita!$N$2:$N$886)</f>
        <v>0</v>
      </c>
      <c r="K39" s="13">
        <f>SUMIF(Mercado_Receita!$T$2:$T$886,"44562B3Energia convencional pré-pagamentoNão se aplicaNão se aplicaNão se aplicaNão se aplicaNão se aplica",Mercado_Receita!$N$2:$N$886)</f>
        <v>0</v>
      </c>
      <c r="L39" s="13">
        <f>SUMIF(Mercado_Receita!$T$2:$T$886,"44593B3Energia convencional pré-pagamentoNão se aplicaNão se aplicaNão se aplicaNão se aplicaNão se aplica",Mercado_Receita!$N$2:$N$886)</f>
        <v>0</v>
      </c>
      <c r="M39" s="13">
        <f>SUMIF(Mercado_Receita!$T$2:$T$886,"44621B3Energia convencional pré-pagamentoNão se aplicaNão se aplicaNão se aplicaNão se aplicaNão se aplica",Mercado_Receita!$N$2:$N$886)</f>
        <v>0</v>
      </c>
      <c r="N39" s="13">
        <f>SUMIF(Mercado_Receita!$T$2:$T$886,"44652B3Energia convencional pré-pagamentoNão se aplicaNão se aplicaNão se aplicaNão se aplicaNão se aplica",Mercado_Receita!$N$2:$N$886)</f>
        <v>0</v>
      </c>
      <c r="O39" s="13">
        <f>SUMIF(Mercado_Receita!$T$2:$T$886,"44682B3Energia convencional pré-pagamentoNão se aplicaNão se aplicaNão se aplicaNão se aplicaNão se aplica",Mercado_Receita!$N$2:$N$886)</f>
        <v>0</v>
      </c>
      <c r="P39" s="13">
        <f>SUMIF(Mercado_Receita!$T$2:$T$886,"44713B3Energia convencional pré-pagamentoNão se aplicaNão se aplicaNão se aplicaNão se aplicaNão se aplica",Mercado_Receita!$N$2:$N$886)</f>
        <v>0</v>
      </c>
      <c r="Q39" s="13">
        <f>SUMIF(Mercado_Receita!$T$2:$T$886,"44743B3Energia convencional pré-pagamentoNão se aplicaNão se aplicaNão se aplicaNão se aplicaNão se aplica",Mercado_Receita!$N$2:$N$886)</f>
        <v>0</v>
      </c>
      <c r="R39" s="13">
        <f>SUMIF(Mercado_Receita!$T$2:$T$886,"44774B3Energia convencional pré-pagamentoNão se aplicaNão se aplicaNão se aplicaNão se aplicaNão se aplica",Mercado_Receita!$N$2:$N$886)</f>
        <v>0</v>
      </c>
      <c r="S39" s="13">
        <f>SUMIF(Mercado_Receita!$T$2:$T$886,"44805B3Energia convencional pré-pagamentoNão se aplicaNão se aplicaNão se aplicaNão se aplicaNão se aplica",Mercado_Receita!$N$2:$N$886)</f>
        <v>0</v>
      </c>
      <c r="T39" s="13">
        <f>SUMIF(Mercado_Receita!$T$2:$T$886,"44835B3Energia convencional pré-pagamentoNão se aplicaNão se aplicaNão se aplicaNão se aplicaNão se aplica",Mercado_Receita!$N$2:$N$886)</f>
        <v>0</v>
      </c>
      <c r="U39" s="13">
        <f t="shared" si="0"/>
        <v>0</v>
      </c>
      <c r="V39" s="13"/>
      <c r="W39" s="13"/>
    </row>
    <row r="40" spans="1:23" ht="11.25" customHeight="1" x14ac:dyDescent="0.3">
      <c r="A40" s="122" t="s">
        <v>47</v>
      </c>
      <c r="B40" s="122" t="s">
        <v>82</v>
      </c>
      <c r="C40" s="122" t="s">
        <v>48</v>
      </c>
      <c r="D40" s="12" t="s">
        <v>49</v>
      </c>
      <c r="E40" s="12" t="s">
        <v>25</v>
      </c>
      <c r="F40" s="12" t="s">
        <v>25</v>
      </c>
      <c r="G40" s="13" t="s">
        <v>83</v>
      </c>
      <c r="H40" s="13" t="s">
        <v>79</v>
      </c>
      <c r="I40" s="13">
        <f>SUMIF(Mercado_Receita!$T$2:$T$886,"44501B4Energia convencionalIluminação públicaIluminação pública – B4aNão se aplicaNão se aplicaNão se aplica",Mercado_Receita!$N$2:$N$886)</f>
        <v>388.404</v>
      </c>
      <c r="J40" s="13">
        <f>SUMIF(Mercado_Receita!$T$2:$T$886,"44531B4Energia convencionalIluminação públicaIluminação pública – B4aNão se aplicaNão se aplicaNão se aplica",Mercado_Receita!$N$2:$N$886)</f>
        <v>392.16199999999998</v>
      </c>
      <c r="K40" s="13">
        <f>SUMIF(Mercado_Receita!$T$2:$T$886,"44562B4Energia convencionalIluminação públicaIluminação pública – B4aNão se aplicaNão se aplicaNão se aplica",Mercado_Receita!$N$2:$N$886)</f>
        <v>398.52600000000001</v>
      </c>
      <c r="L40" s="13">
        <f>SUMIF(Mercado_Receita!$T$2:$T$886,"44593B4Energia convencionalIluminação públicaIluminação pública – B4aNão se aplicaNão se aplicaNão se aplica",Mercado_Receita!$N$2:$N$886)</f>
        <v>372.46199999999999</v>
      </c>
      <c r="M40" s="13">
        <f>SUMIF(Mercado_Receita!$T$2:$T$886,"44621B4Energia convencionalIluminação públicaIluminação pública – B4aNão se aplicaNão se aplicaNão se aplica",Mercado_Receita!$N$2:$N$886)</f>
        <v>428.50099999999998</v>
      </c>
      <c r="N40" s="13">
        <f>SUMIF(Mercado_Receita!$T$2:$T$886,"44652B4Energia convencionalIluminação públicaIluminação pública – B4aNão se aplicaNão se aplicaNão se aplica",Mercado_Receita!$N$2:$N$886)</f>
        <v>430.83100000000002</v>
      </c>
      <c r="O40" s="13">
        <f>SUMIF(Mercado_Receita!$T$2:$T$886,"44682B4Energia convencionalIluminação públicaIluminação pública – B4aNão se aplicaNão se aplicaNão se aplica",Mercado_Receita!$N$2:$N$886)</f>
        <v>457.91300000000001</v>
      </c>
      <c r="P40" s="13">
        <f>SUMIF(Mercado_Receita!$T$2:$T$886,"44713B4Energia convencionalIluminação públicaIluminação pública – B4aNão se aplicaNão se aplicaNão se aplica",Mercado_Receita!$N$2:$N$886)</f>
        <v>450.31200000000001</v>
      </c>
      <c r="Q40" s="13">
        <f>SUMIF(Mercado_Receita!$T$2:$T$886,"44743B4Energia convencionalIluminação públicaIluminação pública – B4aNão se aplicaNão se aplicaNão se aplica",Mercado_Receita!$N$2:$N$886)</f>
        <v>467.81</v>
      </c>
      <c r="R40" s="13">
        <f>SUMIF(Mercado_Receita!$T$2:$T$886,"44774B4Energia convencionalIluminação públicaIluminação pública – B4aNão se aplicaNão se aplicaNão se aplica",Mercado_Receita!$N$2:$N$886)</f>
        <v>459.02600000000001</v>
      </c>
      <c r="S40" s="13">
        <f>SUMIF(Mercado_Receita!$T$2:$T$886,"44805B4Energia convencionalIluminação públicaIluminação pública – B4aNão se aplicaNão se aplicaNão se aplica",Mercado_Receita!$N$2:$N$886)</f>
        <v>429.27</v>
      </c>
      <c r="T40" s="13">
        <f>SUMIF(Mercado_Receita!$T$2:$T$886,"44835B4Energia convencionalIluminação públicaIluminação pública – B4aNão se aplicaNão se aplicaNão se aplica",Mercado_Receita!$N$2:$N$886)</f>
        <v>429.27</v>
      </c>
      <c r="U40" s="13">
        <f t="shared" si="0"/>
        <v>5104.487000000001</v>
      </c>
      <c r="V40" s="13"/>
      <c r="W40" s="13"/>
    </row>
    <row r="41" spans="1:23" ht="11.25" customHeight="1" x14ac:dyDescent="0.3">
      <c r="A41" s="123"/>
      <c r="B41" s="123"/>
      <c r="C41" s="123"/>
      <c r="D41" s="13" t="s">
        <v>96</v>
      </c>
      <c r="E41" s="13" t="s">
        <v>25</v>
      </c>
      <c r="F41" s="13" t="s">
        <v>25</v>
      </c>
      <c r="G41" s="13" t="s">
        <v>83</v>
      </c>
      <c r="H41" s="13" t="s">
        <v>79</v>
      </c>
      <c r="I41" s="13">
        <f>SUMIF(Mercado_Receita!$T$2:$T$886,"44501B4Energia convencionalIluminação públicaIluminação pública – B4bNão se aplicaNão se aplicaNão se aplica",Mercado_Receita!$N$2:$N$886)</f>
        <v>0</v>
      </c>
      <c r="J41" s="13">
        <f>SUMIF(Mercado_Receita!$T$2:$T$886,"44531B4Energia convencionalIluminação públicaIluminação pública – B4bNão se aplicaNão se aplicaNão se aplica",Mercado_Receita!$N$2:$N$886)</f>
        <v>0</v>
      </c>
      <c r="K41" s="13">
        <f>SUMIF(Mercado_Receita!$T$2:$T$886,"44562B4Energia convencionalIluminação públicaIluminação pública – B4bNão se aplicaNão se aplicaNão se aplica",Mercado_Receita!$N$2:$N$886)</f>
        <v>0</v>
      </c>
      <c r="L41" s="13">
        <f>SUMIF(Mercado_Receita!$T$2:$T$886,"44593B4Energia convencionalIluminação públicaIluminação pública – B4bNão se aplicaNão se aplicaNão se aplica",Mercado_Receita!$N$2:$N$886)</f>
        <v>0</v>
      </c>
      <c r="M41" s="13">
        <f>SUMIF(Mercado_Receita!$T$2:$T$886,"44621B4Energia convencionalIluminação públicaIluminação pública – B4bNão se aplicaNão se aplicaNão se aplica",Mercado_Receita!$N$2:$N$886)</f>
        <v>0</v>
      </c>
      <c r="N41" s="13">
        <f>SUMIF(Mercado_Receita!$T$2:$T$886,"44652B4Energia convencionalIluminação públicaIluminação pública – B4bNão se aplicaNão se aplicaNão se aplica",Mercado_Receita!$N$2:$N$886)</f>
        <v>0</v>
      </c>
      <c r="O41" s="13">
        <f>SUMIF(Mercado_Receita!$T$2:$T$886,"44682B4Energia convencionalIluminação públicaIluminação pública – B4bNão se aplicaNão se aplicaNão se aplica",Mercado_Receita!$N$2:$N$886)</f>
        <v>0</v>
      </c>
      <c r="P41" s="13">
        <f>SUMIF(Mercado_Receita!$T$2:$T$886,"44713B4Energia convencionalIluminação públicaIluminação pública – B4bNão se aplicaNão se aplicaNão se aplica",Mercado_Receita!$N$2:$N$886)</f>
        <v>0</v>
      </c>
      <c r="Q41" s="13">
        <f>SUMIF(Mercado_Receita!$T$2:$T$886,"44743B4Energia convencionalIluminação públicaIluminação pública – B4bNão se aplicaNão se aplicaNão se aplica",Mercado_Receita!$N$2:$N$886)</f>
        <v>0</v>
      </c>
      <c r="R41" s="13">
        <f>SUMIF(Mercado_Receita!$T$2:$T$886,"44774B4Energia convencionalIluminação públicaIluminação pública – B4bNão se aplicaNão se aplicaNão se aplica",Mercado_Receita!$N$2:$N$886)</f>
        <v>0</v>
      </c>
      <c r="S41" s="13">
        <f>SUMIF(Mercado_Receita!$T$2:$T$886,"44805B4Energia convencionalIluminação públicaIluminação pública – B4bNão se aplicaNão se aplicaNão se aplica",Mercado_Receita!$N$2:$N$886)</f>
        <v>0</v>
      </c>
      <c r="T41" s="13">
        <f>SUMIF(Mercado_Receita!$T$2:$T$886,"44835B4Energia convencionalIluminação públicaIluminação pública – B4bNão se aplicaNão se aplicaNão se aplica",Mercado_Receita!$N$2:$N$886)</f>
        <v>0</v>
      </c>
      <c r="U41" s="13">
        <f t="shared" si="0"/>
        <v>0</v>
      </c>
      <c r="V41" s="13"/>
      <c r="W41" s="13"/>
    </row>
    <row r="42" spans="1:23" ht="11.25" customHeight="1" x14ac:dyDescent="0.3">
      <c r="A42" s="124" t="s">
        <v>614</v>
      </c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3"/>
      <c r="W42" s="13"/>
    </row>
  </sheetData>
  <mergeCells count="50">
    <mergeCell ref="A5:A6"/>
    <mergeCell ref="F2:F3"/>
    <mergeCell ref="E2:E3"/>
    <mergeCell ref="D2:D3"/>
    <mergeCell ref="C2:C3"/>
    <mergeCell ref="B2:B3"/>
    <mergeCell ref="A2:A4"/>
    <mergeCell ref="F5:F6"/>
    <mergeCell ref="E5:E6"/>
    <mergeCell ref="D5:D6"/>
    <mergeCell ref="C5:C6"/>
    <mergeCell ref="B5:B6"/>
    <mergeCell ref="C15:C19"/>
    <mergeCell ref="B15:B19"/>
    <mergeCell ref="A7:A19"/>
    <mergeCell ref="F20:F22"/>
    <mergeCell ref="E20:E22"/>
    <mergeCell ref="D20:D22"/>
    <mergeCell ref="C20:C22"/>
    <mergeCell ref="B20:B22"/>
    <mergeCell ref="F7:F9"/>
    <mergeCell ref="E7:E9"/>
    <mergeCell ref="D7:D9"/>
    <mergeCell ref="C7:C9"/>
    <mergeCell ref="B7:B9"/>
    <mergeCell ref="C10:C14"/>
    <mergeCell ref="B10:B14"/>
    <mergeCell ref="C24:C26"/>
    <mergeCell ref="B24:B26"/>
    <mergeCell ref="F28:F30"/>
    <mergeCell ref="E28:E30"/>
    <mergeCell ref="D28:D30"/>
    <mergeCell ref="C28:C30"/>
    <mergeCell ref="B28:B30"/>
    <mergeCell ref="A40:A41"/>
    <mergeCell ref="B40:B41"/>
    <mergeCell ref="C40:C41"/>
    <mergeCell ref="A42:U42"/>
    <mergeCell ref="C32:C34"/>
    <mergeCell ref="B32:B34"/>
    <mergeCell ref="A20:A34"/>
    <mergeCell ref="F35:F37"/>
    <mergeCell ref="E35:E37"/>
    <mergeCell ref="D35:D37"/>
    <mergeCell ref="C35:C37"/>
    <mergeCell ref="B35:B37"/>
    <mergeCell ref="A35:A39"/>
    <mergeCell ref="F24:F26"/>
    <mergeCell ref="E24:E26"/>
    <mergeCell ref="D24:D26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E254-775B-4328-9D6D-0382DF95B7DC}">
  <sheetPr codeName="Planilha6"/>
  <dimension ref="A1:AD200"/>
  <sheetViews>
    <sheetView showGridLines="0" topLeftCell="A35" workbookViewId="0">
      <selection activeCell="H49" sqref="H49"/>
    </sheetView>
  </sheetViews>
  <sheetFormatPr defaultRowHeight="12" customHeight="1" x14ac:dyDescent="0.2"/>
  <cols>
    <col min="1" max="1" width="9.88671875" style="14" bestFit="1" customWidth="1"/>
    <col min="2" max="2" width="13.88671875" style="14" bestFit="1" customWidth="1"/>
    <col min="3" max="3" width="18.109375" style="14" bestFit="1" customWidth="1"/>
    <col min="4" max="4" width="14" style="14" bestFit="1" customWidth="1"/>
    <col min="5" max="5" width="13.88671875" style="14" bestFit="1" customWidth="1"/>
    <col min="6" max="6" width="9.5546875" style="14" bestFit="1" customWidth="1"/>
    <col min="7" max="7" width="8.88671875" style="14"/>
    <col min="8" max="8" width="11" style="14" bestFit="1" customWidth="1"/>
    <col min="9" max="11" width="8.88671875" style="14"/>
    <col min="12" max="12" width="31.44140625" style="14" bestFit="1" customWidth="1"/>
    <col min="13" max="13" width="9.88671875" style="14" bestFit="1" customWidth="1"/>
    <col min="14" max="14" width="33.21875" style="14" bestFit="1" customWidth="1"/>
    <col min="15" max="15" width="30.77734375" style="14" customWidth="1"/>
    <col min="16" max="16" width="12" style="14" bestFit="1" customWidth="1"/>
    <col min="17" max="17" width="8.44140625" style="14" bestFit="1" customWidth="1"/>
    <col min="18" max="18" width="9.109375" style="14" bestFit="1" customWidth="1"/>
    <col min="19" max="19" width="11.88671875" style="14" bestFit="1" customWidth="1"/>
    <col min="20" max="20" width="14.33203125" style="14" bestFit="1" customWidth="1"/>
    <col min="21" max="21" width="10.21875" style="14" bestFit="1" customWidth="1"/>
    <col min="22" max="22" width="12.5546875" style="14" bestFit="1" customWidth="1"/>
    <col min="23" max="23" width="5" style="14" bestFit="1" customWidth="1"/>
    <col min="24" max="24" width="52.21875" style="14" bestFit="1" customWidth="1"/>
    <col min="25" max="26" width="5" style="14" bestFit="1" customWidth="1"/>
    <col min="27" max="27" width="2" style="14" bestFit="1" customWidth="1"/>
    <col min="28" max="16384" width="8.88671875" style="14"/>
  </cols>
  <sheetData>
    <row r="1" spans="1:30" ht="12" customHeight="1" x14ac:dyDescent="0.2">
      <c r="A1" s="10" t="s">
        <v>654</v>
      </c>
      <c r="B1" s="10" t="s">
        <v>655</v>
      </c>
      <c r="C1" s="10" t="s">
        <v>656</v>
      </c>
      <c r="D1" s="10" t="s">
        <v>657</v>
      </c>
      <c r="E1" s="10" t="s">
        <v>658</v>
      </c>
      <c r="F1" s="10" t="s">
        <v>659</v>
      </c>
      <c r="G1" s="7"/>
      <c r="H1" s="7"/>
      <c r="I1" s="7"/>
      <c r="J1" s="7"/>
      <c r="K1" s="7"/>
      <c r="L1" s="136" t="s">
        <v>660</v>
      </c>
      <c r="M1" s="136"/>
      <c r="N1" s="7"/>
      <c r="O1" s="131" t="s">
        <v>747</v>
      </c>
      <c r="P1" s="132"/>
      <c r="Q1" s="132"/>
      <c r="R1" s="132"/>
      <c r="S1" s="132"/>
      <c r="T1" s="132"/>
      <c r="U1" s="132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26" t="s">
        <v>615</v>
      </c>
      <c r="B2" s="126" t="s">
        <v>616</v>
      </c>
      <c r="C2" s="16" t="s">
        <v>701</v>
      </c>
      <c r="D2" s="13">
        <v>1551829.9039835632</v>
      </c>
      <c r="E2" s="13">
        <v>-14425.698031375883</v>
      </c>
      <c r="F2" s="13">
        <v>107454.95932846866</v>
      </c>
      <c r="G2" s="15"/>
      <c r="H2" s="15"/>
      <c r="I2" s="15"/>
      <c r="J2" s="15"/>
      <c r="K2" s="15"/>
      <c r="L2" s="23" t="s">
        <v>661</v>
      </c>
      <c r="M2" s="96">
        <v>0.11305310665393997</v>
      </c>
      <c r="N2" s="15"/>
      <c r="O2" s="28" t="s">
        <v>748</v>
      </c>
      <c r="P2" s="28" t="s">
        <v>749</v>
      </c>
      <c r="Q2" s="28" t="s">
        <v>45</v>
      </c>
      <c r="R2" s="28" t="s">
        <v>39</v>
      </c>
      <c r="S2" s="28" t="s">
        <v>750</v>
      </c>
      <c r="T2" s="28" t="s">
        <v>88</v>
      </c>
      <c r="U2" s="28"/>
      <c r="V2" s="15"/>
      <c r="W2" s="15"/>
      <c r="X2" s="23" t="s">
        <v>714</v>
      </c>
      <c r="Y2" s="15"/>
      <c r="Z2" s="15"/>
      <c r="AA2" s="15" t="s">
        <v>758</v>
      </c>
      <c r="AB2" s="15"/>
      <c r="AC2" s="15"/>
      <c r="AD2" s="15"/>
    </row>
    <row r="3" spans="1:30" ht="12" customHeight="1" x14ac:dyDescent="0.2">
      <c r="A3" s="127"/>
      <c r="B3" s="127"/>
      <c r="C3" s="16" t="s">
        <v>617</v>
      </c>
      <c r="D3" s="13">
        <v>115619.58079800264</v>
      </c>
      <c r="E3" s="13">
        <v>541.0626507235047</v>
      </c>
      <c r="F3" s="13">
        <v>0</v>
      </c>
      <c r="G3" s="15"/>
      <c r="H3" s="15"/>
      <c r="I3" s="15"/>
      <c r="J3" s="15"/>
      <c r="K3" s="15"/>
      <c r="L3" s="23" t="s">
        <v>662</v>
      </c>
      <c r="M3" s="96"/>
      <c r="N3" s="15"/>
      <c r="O3" s="29">
        <v>1</v>
      </c>
      <c r="P3" s="29">
        <v>1</v>
      </c>
      <c r="Q3" s="29">
        <v>0.65</v>
      </c>
      <c r="R3" s="29">
        <v>0.65</v>
      </c>
      <c r="S3" s="29">
        <v>1</v>
      </c>
      <c r="T3" s="29">
        <v>1</v>
      </c>
      <c r="U3" s="29" t="s">
        <v>751</v>
      </c>
      <c r="V3" s="15"/>
      <c r="W3" s="15"/>
      <c r="X3" s="23" t="s">
        <v>715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27"/>
      <c r="B4" s="127"/>
      <c r="C4" s="16" t="s">
        <v>618</v>
      </c>
      <c r="D4" s="13">
        <f>$M$22-D$30</f>
        <v>392972.65161152824</v>
      </c>
      <c r="E4" s="13">
        <f>IF((D4+D$30)&lt;&gt;0,$M$20*D4/(D4+D$30),0)</f>
        <v>6.7265974004737262E-3</v>
      </c>
      <c r="F4" s="13">
        <f>IF((D4+D$30)&lt;&gt;0,$M$21*D4/(D4+D$30),0)</f>
        <v>0</v>
      </c>
      <c r="G4" s="15"/>
      <c r="H4" s="15"/>
      <c r="I4" s="15"/>
      <c r="J4" s="15"/>
      <c r="K4" s="15"/>
      <c r="L4" s="23" t="s">
        <v>663</v>
      </c>
      <c r="M4" s="96">
        <v>6.5159999743421348E-2</v>
      </c>
      <c r="N4" s="15"/>
      <c r="O4" s="29">
        <v>1</v>
      </c>
      <c r="P4" s="29">
        <v>1</v>
      </c>
      <c r="Q4" s="29">
        <v>0.65</v>
      </c>
      <c r="R4" s="29">
        <v>0.65</v>
      </c>
      <c r="S4" s="29">
        <v>1</v>
      </c>
      <c r="T4" s="29">
        <v>1</v>
      </c>
      <c r="U4" s="29" t="s">
        <v>60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27"/>
      <c r="B5" s="127"/>
      <c r="C5" s="16" t="s">
        <v>619</v>
      </c>
      <c r="D5" s="13">
        <v>0</v>
      </c>
      <c r="E5" s="13">
        <v>0</v>
      </c>
      <c r="F5" s="13">
        <v>0</v>
      </c>
      <c r="G5" s="15"/>
      <c r="H5" s="15"/>
      <c r="I5" s="15"/>
      <c r="J5" s="15"/>
      <c r="K5" s="15"/>
      <c r="L5" s="23" t="s">
        <v>664</v>
      </c>
      <c r="M5" s="96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27"/>
      <c r="B6" s="127"/>
      <c r="C6" s="16" t="s">
        <v>620</v>
      </c>
      <c r="D6" s="13">
        <v>0</v>
      </c>
      <c r="E6" s="13">
        <v>0</v>
      </c>
      <c r="F6" s="13">
        <v>0</v>
      </c>
      <c r="G6" s="15"/>
      <c r="H6" s="15"/>
      <c r="I6" s="15"/>
      <c r="J6" s="15"/>
      <c r="K6" s="15"/>
      <c r="L6" s="23" t="s">
        <v>665</v>
      </c>
      <c r="M6" s="96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27"/>
      <c r="B7" s="127"/>
      <c r="C7" s="16" t="s">
        <v>621</v>
      </c>
      <c r="D7" s="13">
        <v>10880845.732772296</v>
      </c>
      <c r="E7" s="13">
        <v>196810.8238506862</v>
      </c>
      <c r="F7" s="13">
        <v>3370480.3417000002</v>
      </c>
      <c r="G7" s="15"/>
      <c r="H7" s="15"/>
      <c r="I7" s="15"/>
      <c r="J7" s="15"/>
      <c r="K7" s="15"/>
      <c r="L7" s="23" t="s">
        <v>666</v>
      </c>
      <c r="M7" s="23">
        <f>M8+M9+M10+M11</f>
        <v>17481.028528867504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27"/>
      <c r="B8" s="127"/>
      <c r="C8" s="16" t="s">
        <v>622</v>
      </c>
      <c r="D8" s="13">
        <v>1792323.8549367813</v>
      </c>
      <c r="E8" s="13">
        <v>48819.572107194923</v>
      </c>
      <c r="F8" s="13">
        <v>637363.97290000005</v>
      </c>
      <c r="G8" s="15"/>
      <c r="H8" s="15"/>
      <c r="I8" s="15"/>
      <c r="J8" s="15"/>
      <c r="K8" s="15"/>
      <c r="L8" s="97" t="s">
        <v>667</v>
      </c>
      <c r="M8" s="23">
        <v>12880.425981167502</v>
      </c>
      <c r="N8" s="15"/>
      <c r="O8" s="23" t="s">
        <v>700</v>
      </c>
      <c r="P8" s="29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27"/>
      <c r="B9" s="127"/>
      <c r="C9" s="16" t="s">
        <v>623</v>
      </c>
      <c r="D9" s="13"/>
      <c r="E9" s="13"/>
      <c r="F9" s="13"/>
      <c r="G9" s="15"/>
      <c r="H9" s="15"/>
      <c r="I9" s="15"/>
      <c r="J9" s="15"/>
      <c r="K9" s="15"/>
      <c r="L9" s="98" t="s">
        <v>668</v>
      </c>
      <c r="M9" s="23">
        <v>902.14894770000149</v>
      </c>
      <c r="N9" s="15"/>
      <c r="O9" s="23" t="s">
        <v>705</v>
      </c>
      <c r="P9" s="29">
        <f>SUM(Mercado_Receita!$J$2:$J$886)</f>
        <v>184311</v>
      </c>
      <c r="Q9" s="29">
        <v>184311</v>
      </c>
      <c r="R9" s="29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27"/>
      <c r="B10" s="128"/>
      <c r="C10" s="16" t="s">
        <v>624</v>
      </c>
      <c r="D10" s="13">
        <f>SUM(D$2:D9)</f>
        <v>14733591.724102173</v>
      </c>
      <c r="E10" s="13">
        <f>SUM(E$2:E9)</f>
        <v>231745.76730382614</v>
      </c>
      <c r="F10" s="13">
        <f>SUM(F$2:F9)</f>
        <v>4115299.2739284686</v>
      </c>
      <c r="G10" s="15"/>
      <c r="H10" s="15"/>
      <c r="I10" s="15"/>
      <c r="J10" s="15"/>
      <c r="K10" s="15"/>
      <c r="L10" s="97" t="s">
        <v>669</v>
      </c>
      <c r="M10" s="23">
        <v>378.98795258382069</v>
      </c>
      <c r="N10" s="15"/>
      <c r="O10" s="23" t="s">
        <v>706</v>
      </c>
      <c r="P10" s="29">
        <f>SUM(Mercado_Receita!$L$2:$L$886)</f>
        <v>128652.73100000017</v>
      </c>
      <c r="Q10" s="29">
        <v>128652.745</v>
      </c>
      <c r="R10" s="29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27"/>
      <c r="B11" s="126" t="s">
        <v>625</v>
      </c>
      <c r="C11" s="16" t="s">
        <v>626</v>
      </c>
      <c r="D11" s="13">
        <v>4617355</v>
      </c>
      <c r="E11" s="13">
        <v>-31105.252549044439</v>
      </c>
      <c r="F11" s="13">
        <f>IF((+$D$11+$D$12+$D$16+$D$17+$D$39)&lt;&gt;0,$M$19*$D$11/(+$D$11+$D$12+$D$16+$D$17+$D$39),0)</f>
        <v>434116.13274168264</v>
      </c>
      <c r="G11" s="15"/>
      <c r="H11" s="15"/>
      <c r="I11" s="15"/>
      <c r="J11" s="15"/>
      <c r="K11" s="15"/>
      <c r="L11" s="97" t="s">
        <v>670</v>
      </c>
      <c r="M11" s="23">
        <v>3319.4656474161789</v>
      </c>
      <c r="N11" s="15"/>
      <c r="O11" s="23" t="s">
        <v>707</v>
      </c>
      <c r="P11" s="29">
        <f>SUM(Mercado_Receita!$N$2:$N$886)</f>
        <v>120718.29300000015</v>
      </c>
      <c r="Q11" s="29">
        <v>120718.307</v>
      </c>
      <c r="R11" s="29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27"/>
      <c r="B12" s="127"/>
      <c r="C12" s="16" t="s">
        <v>627</v>
      </c>
      <c r="D12" s="13">
        <v>2192014.5200000005</v>
      </c>
      <c r="E12" s="13">
        <v>-28744.987272467522</v>
      </c>
      <c r="F12" s="13">
        <f>IF((+$D$11+$D$12+$D$16+$D$17+$D$39)&lt;&gt;0,$M$19*$D$12/(+$D$11+$D$12+$D$16+$D$17+$D$39),0)</f>
        <v>206089.60461909813</v>
      </c>
      <c r="G12" s="15"/>
      <c r="H12" s="15"/>
      <c r="I12" s="15"/>
      <c r="J12" s="15"/>
      <c r="K12" s="15"/>
      <c r="L12" s="23" t="s">
        <v>671</v>
      </c>
      <c r="M12" s="23">
        <v>138199.33552886764</v>
      </c>
      <c r="N12" s="15"/>
      <c r="O12" s="23" t="s">
        <v>708</v>
      </c>
      <c r="P12" s="29">
        <f>SUMIF('MERCADO TUSD'!$H$2:$H$60,"kW",'MERCADO TUSD'!$U$2:$U$60)</f>
        <v>184311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27"/>
      <c r="B13" s="127"/>
      <c r="C13" s="16" t="s">
        <v>628</v>
      </c>
      <c r="D13" s="13">
        <f>-$M$51+0</f>
        <v>0</v>
      </c>
      <c r="E13" s="13">
        <v>0</v>
      </c>
      <c r="F13" s="13">
        <v>0</v>
      </c>
      <c r="G13" s="15"/>
      <c r="H13" s="15"/>
      <c r="I13" s="15"/>
      <c r="J13" s="15"/>
      <c r="K13" s="15"/>
      <c r="L13" s="23" t="s">
        <v>672</v>
      </c>
      <c r="M13" s="23">
        <v>2914.507113187814</v>
      </c>
      <c r="N13" s="15"/>
      <c r="O13" s="23" t="s">
        <v>709</v>
      </c>
      <c r="P13" s="29">
        <f>SUMIF('MERCADO TUSD'!$H$2:$H$60,"MWh",'MERCADO TUSD'!$U$2:$U$60)</f>
        <v>128652.73099999997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27"/>
      <c r="B14" s="127"/>
      <c r="C14" s="16" t="s">
        <v>629</v>
      </c>
      <c r="D14" s="13">
        <v>0</v>
      </c>
      <c r="E14" s="13">
        <v>0</v>
      </c>
      <c r="F14" s="13">
        <v>0</v>
      </c>
      <c r="G14" s="15"/>
      <c r="H14" s="15"/>
      <c r="I14" s="15"/>
      <c r="J14" s="15"/>
      <c r="K14" s="15"/>
      <c r="L14" s="23" t="s">
        <v>673</v>
      </c>
      <c r="M14" s="23">
        <v>203.06635812300641</v>
      </c>
      <c r="N14" s="15"/>
      <c r="O14" s="23" t="s">
        <v>710</v>
      </c>
      <c r="P14" s="29">
        <f>SUMIF('MERCADO TE'!$H$2:$H$41,"MWh",'MERCADO TE'!$U$2:$U$41)</f>
        <v>120718.29299999998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27"/>
      <c r="B15" s="127"/>
      <c r="C15" s="16" t="s">
        <v>630</v>
      </c>
      <c r="D15" s="13">
        <v>0</v>
      </c>
      <c r="E15" s="13">
        <v>0</v>
      </c>
      <c r="F15" s="13">
        <v>0</v>
      </c>
      <c r="G15" s="15"/>
      <c r="H15" s="15"/>
      <c r="I15" s="15"/>
      <c r="J15" s="15"/>
      <c r="K15" s="15"/>
      <c r="L15" s="23" t="s">
        <v>674</v>
      </c>
      <c r="M15" s="23">
        <f>M14*M12</f>
        <v>28063635.76086656</v>
      </c>
      <c r="N15" s="15"/>
      <c r="O15" s="23" t="s">
        <v>711</v>
      </c>
      <c r="P15" s="29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27"/>
      <c r="B16" s="127"/>
      <c r="C16" s="16" t="s">
        <v>631</v>
      </c>
      <c r="D16" s="13">
        <v>0</v>
      </c>
      <c r="E16" s="13">
        <v>0</v>
      </c>
      <c r="F16" s="13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23" t="s">
        <v>675</v>
      </c>
      <c r="M16" s="23">
        <v>2336835.8154063122</v>
      </c>
      <c r="N16" s="15"/>
      <c r="O16" s="23" t="s">
        <v>712</v>
      </c>
      <c r="P16" s="29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27"/>
      <c r="B17" s="127"/>
      <c r="C17" s="16" t="s">
        <v>632</v>
      </c>
      <c r="D17" s="13">
        <v>0</v>
      </c>
      <c r="E17" s="13">
        <v>0</v>
      </c>
      <c r="F17" s="13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23" t="s">
        <v>676</v>
      </c>
      <c r="M17" s="23">
        <v>-1431466.7574000002</v>
      </c>
      <c r="N17" s="15"/>
      <c r="O17" s="23" t="s">
        <v>713</v>
      </c>
      <c r="P17" s="29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27"/>
      <c r="B18" s="128"/>
      <c r="C18" s="16" t="s">
        <v>624</v>
      </c>
      <c r="D18" s="13">
        <f>SUM(D$11:D17)</f>
        <v>6809369.5200000005</v>
      </c>
      <c r="E18" s="13">
        <f>SUM(E$11:E17)</f>
        <v>-59850.239821511961</v>
      </c>
      <c r="F18" s="13">
        <f>SUM(F$11:F17)</f>
        <v>640205.73736078083</v>
      </c>
      <c r="G18" s="15"/>
      <c r="H18" s="15"/>
      <c r="I18" s="15"/>
      <c r="J18" s="15"/>
      <c r="K18" s="15"/>
      <c r="L18" s="23" t="s">
        <v>677</v>
      </c>
      <c r="M18" s="23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27"/>
      <c r="B19" s="126" t="s">
        <v>633</v>
      </c>
      <c r="C19" s="16" t="s">
        <v>634</v>
      </c>
      <c r="D19" s="13">
        <v>28301549.061569352</v>
      </c>
      <c r="E19" s="13">
        <v>0</v>
      </c>
      <c r="F19" s="13">
        <v>0</v>
      </c>
      <c r="G19" s="15"/>
      <c r="H19" s="15"/>
      <c r="I19" s="15"/>
      <c r="J19" s="15"/>
      <c r="K19" s="15"/>
      <c r="L19" s="23" t="s">
        <v>678</v>
      </c>
      <c r="M19" s="23">
        <v>684907.76060000015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27"/>
      <c r="B20" s="128"/>
      <c r="C20" s="16" t="s">
        <v>624</v>
      </c>
      <c r="D20" s="13">
        <f>SUM(D$19:D19)</f>
        <v>28301549.061569352</v>
      </c>
      <c r="E20" s="13">
        <f>SUM(E$19:E19)</f>
        <v>0</v>
      </c>
      <c r="F20" s="13">
        <f>SUM(F$19:F19)</f>
        <v>0</v>
      </c>
      <c r="G20" s="15"/>
      <c r="H20" s="15"/>
      <c r="I20" s="15"/>
      <c r="J20" s="15"/>
      <c r="K20" s="15"/>
      <c r="L20" s="23" t="s">
        <v>679</v>
      </c>
      <c r="M20" s="23">
        <v>1.159689007181286E-2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27"/>
      <c r="B21" s="126" t="s">
        <v>635</v>
      </c>
      <c r="C21" s="16" t="s">
        <v>636</v>
      </c>
      <c r="D21" s="13"/>
      <c r="E21" s="13">
        <f>IF($D$47&lt;&gt;0,(1-$D$46/$D$47)*-3475806.49401687,0)+0</f>
        <v>-2279498.7846037233</v>
      </c>
      <c r="F21" s="13"/>
      <c r="G21" s="15"/>
      <c r="H21" s="15"/>
      <c r="I21" s="15"/>
      <c r="J21" s="15"/>
      <c r="K21" s="15"/>
      <c r="L21" s="23" t="s">
        <v>680</v>
      </c>
      <c r="M21" s="23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27"/>
      <c r="B22" s="127"/>
      <c r="C22" s="16" t="s">
        <v>637</v>
      </c>
      <c r="D22" s="13"/>
      <c r="E22" s="13"/>
      <c r="F22" s="13"/>
      <c r="G22" s="15"/>
      <c r="H22" s="15"/>
      <c r="I22" s="15"/>
      <c r="J22" s="15"/>
      <c r="K22" s="15"/>
      <c r="L22" s="23" t="s">
        <v>702</v>
      </c>
      <c r="M22" s="23">
        <v>677498.64762929874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27"/>
      <c r="B23" s="128"/>
      <c r="C23" s="16" t="s">
        <v>624</v>
      </c>
      <c r="D23" s="13">
        <f>SUM(D$21:D22)</f>
        <v>0</v>
      </c>
      <c r="E23" s="13">
        <f>SUM(E$21:E22)</f>
        <v>-2279498.7846037233</v>
      </c>
      <c r="F23" s="13">
        <f>SUM(F$21:F22)</f>
        <v>0</v>
      </c>
      <c r="G23" s="15"/>
      <c r="H23" s="15"/>
      <c r="I23" s="15"/>
      <c r="J23" s="15"/>
      <c r="K23" s="15"/>
      <c r="L23" s="23" t="s">
        <v>681</v>
      </c>
      <c r="M23" s="23">
        <v>16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27"/>
      <c r="B24" s="126" t="s">
        <v>638</v>
      </c>
      <c r="C24" s="16" t="s">
        <v>639</v>
      </c>
      <c r="D24" s="13">
        <f>$M$14*$M$8</f>
        <v>2615581.195068636</v>
      </c>
      <c r="E24" s="13">
        <f>$M$16*$M$8/$M$12</f>
        <v>217797.28994568801</v>
      </c>
      <c r="F24" s="13">
        <f>$M$17*$M$8/$M$12</f>
        <v>-133415.26963667042</v>
      </c>
      <c r="G24" s="15"/>
      <c r="H24" s="15"/>
      <c r="I24" s="15"/>
      <c r="J24" s="15"/>
      <c r="K24" s="15"/>
      <c r="L24" s="23" t="s">
        <v>682</v>
      </c>
      <c r="M24" s="23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27"/>
      <c r="B25" s="127"/>
      <c r="C25" s="16" t="s">
        <v>640</v>
      </c>
      <c r="D25" s="13">
        <f>$M$14*$M$10</f>
        <v>76959.703303691102</v>
      </c>
      <c r="E25" s="13">
        <f>$M$16*$M$10/$M$12</f>
        <v>6408.371051975043</v>
      </c>
      <c r="F25" s="13">
        <f>$M$17*$M$10/$M$12</f>
        <v>-3925.5518378777251</v>
      </c>
      <c r="G25" s="15"/>
      <c r="H25" s="15"/>
      <c r="I25" s="15"/>
      <c r="J25" s="15"/>
      <c r="K25" s="15"/>
      <c r="L25" s="23" t="s">
        <v>683</v>
      </c>
      <c r="M25" s="23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27"/>
      <c r="B26" s="127"/>
      <c r="C26" s="16" t="s">
        <v>641</v>
      </c>
      <c r="D26" s="13">
        <f>$M$14*$M$9</f>
        <v>183196.10129394187</v>
      </c>
      <c r="E26" s="13">
        <f>$M$16*$M$9/$M$12</f>
        <v>15254.588336107561</v>
      </c>
      <c r="F26" s="13">
        <f>$M$17*$M$9/$M$12</f>
        <v>-9344.4460055757027</v>
      </c>
      <c r="G26" s="15"/>
      <c r="H26" s="15"/>
      <c r="I26" s="15"/>
      <c r="J26" s="15"/>
      <c r="K26" s="15"/>
      <c r="L26" s="23" t="s">
        <v>684</v>
      </c>
      <c r="M26" s="23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27"/>
      <c r="B27" s="127"/>
      <c r="C27" s="16" t="s">
        <v>642</v>
      </c>
      <c r="D27" s="13">
        <v>47732.749843158228</v>
      </c>
      <c r="E27" s="13">
        <v>-3749.3210909030186</v>
      </c>
      <c r="F27" s="13">
        <v>0</v>
      </c>
      <c r="G27" s="15"/>
      <c r="H27" s="15"/>
      <c r="I27" s="15"/>
      <c r="J27" s="15"/>
      <c r="K27" s="15"/>
      <c r="L27" s="23" t="s">
        <v>685</v>
      </c>
      <c r="M27" s="23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27"/>
      <c r="B28" s="128"/>
      <c r="C28" s="16" t="s">
        <v>624</v>
      </c>
      <c r="D28" s="13">
        <f>SUM(D$24:D27)</f>
        <v>2923469.7495094272</v>
      </c>
      <c r="E28" s="13">
        <f>SUM(E$24:E27)</f>
        <v>235710.92824286758</v>
      </c>
      <c r="F28" s="13">
        <f>SUM(F$24:F27)</f>
        <v>-146685.26748012385</v>
      </c>
      <c r="G28" s="15"/>
      <c r="H28" s="15"/>
      <c r="I28" s="15"/>
      <c r="J28" s="15"/>
      <c r="K28" s="15"/>
      <c r="L28" s="23" t="s">
        <v>686</v>
      </c>
      <c r="M28" s="23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28"/>
      <c r="B29" s="129" t="s">
        <v>624</v>
      </c>
      <c r="C29" s="130"/>
      <c r="D29" s="13">
        <f>SUMIF(C$2:C28,"SUBTOTAL",D$2:D28)</f>
        <v>52767980.055180952</v>
      </c>
      <c r="E29" s="13">
        <f>SUMIF(C$2:C28,"SUBTOTAL",E$2:E28)</f>
        <v>-1871892.3288785417</v>
      </c>
      <c r="F29" s="13">
        <f>SUMIF(C$2:C28,"SUBTOTAL",F$2:F28)</f>
        <v>4608819.7438091254</v>
      </c>
      <c r="G29" s="15"/>
      <c r="H29" s="15"/>
      <c r="I29" s="15"/>
      <c r="J29" s="15"/>
      <c r="K29" s="15"/>
      <c r="L29" s="23" t="s">
        <v>687</v>
      </c>
      <c r="M29" s="23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26" t="s">
        <v>643</v>
      </c>
      <c r="B30" s="126" t="s">
        <v>616</v>
      </c>
      <c r="C30" s="16" t="s">
        <v>618</v>
      </c>
      <c r="D30" s="13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284525.99601777049</v>
      </c>
      <c r="E30" s="13">
        <f>IF((D30+D$4)&lt;&gt;0,$M$20*D30/(D30+D$4),0)</f>
        <v>4.8702926713391345E-3</v>
      </c>
      <c r="F30" s="13">
        <f>IF((D30+D$4)&lt;&gt;0,$M$21*D30/(D30+D$4),0)</f>
        <v>0</v>
      </c>
      <c r="G30" s="15"/>
      <c r="H30" s="15"/>
      <c r="I30" s="15"/>
      <c r="J30" s="15"/>
      <c r="K30" s="15"/>
      <c r="L30" s="23" t="s">
        <v>688</v>
      </c>
      <c r="M30" s="23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27"/>
      <c r="B31" s="127"/>
      <c r="C31" s="16" t="s">
        <v>644</v>
      </c>
      <c r="D31" s="13">
        <v>2475580.2399999998</v>
      </c>
      <c r="E31" s="13">
        <v>162608.95868575876</v>
      </c>
      <c r="F31" s="13">
        <v>20328.808799999999</v>
      </c>
      <c r="G31" s="15"/>
      <c r="H31" s="15"/>
      <c r="I31" s="15"/>
      <c r="J31" s="15"/>
      <c r="K31" s="15"/>
      <c r="L31" s="23" t="s">
        <v>689</v>
      </c>
      <c r="M31" s="23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27"/>
      <c r="B32" s="127"/>
      <c r="C32" s="16" t="s">
        <v>645</v>
      </c>
      <c r="D32" s="13">
        <v>0</v>
      </c>
      <c r="E32" s="13">
        <v>0</v>
      </c>
      <c r="F32" s="13">
        <v>0</v>
      </c>
      <c r="G32" s="15"/>
      <c r="H32" s="15"/>
      <c r="I32" s="15"/>
      <c r="J32" s="15"/>
      <c r="K32" s="15"/>
      <c r="L32" s="23" t="s">
        <v>690</v>
      </c>
      <c r="M32" s="23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27"/>
      <c r="B33" s="127"/>
      <c r="C33" s="16" t="s">
        <v>704</v>
      </c>
      <c r="D33" s="13">
        <v>647468.58264426538</v>
      </c>
      <c r="E33" s="13">
        <v>-12123.931476909624</v>
      </c>
      <c r="F33" s="13">
        <v>44833.335171531602</v>
      </c>
      <c r="G33" s="15"/>
      <c r="H33" s="15"/>
      <c r="I33" s="15"/>
      <c r="J33" s="15"/>
      <c r="K33" s="15"/>
      <c r="L33" s="23" t="s">
        <v>691</v>
      </c>
      <c r="M33" s="23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27"/>
      <c r="B34" s="127"/>
      <c r="C34" s="16" t="s">
        <v>646</v>
      </c>
      <c r="D34" s="13">
        <v>-2067541.67</v>
      </c>
      <c r="E34" s="13"/>
      <c r="F34" s="13"/>
      <c r="G34" s="15"/>
      <c r="H34" s="15"/>
      <c r="I34" s="15"/>
      <c r="J34" s="15"/>
      <c r="K34" s="15"/>
      <c r="L34" s="23" t="s">
        <v>692</v>
      </c>
      <c r="M34" s="23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27"/>
      <c r="B35" s="128"/>
      <c r="C35" s="16" t="s">
        <v>624</v>
      </c>
      <c r="D35" s="13">
        <f>SUM(D$30:D34)</f>
        <v>1340033.1486620354</v>
      </c>
      <c r="E35" s="13">
        <f>SUM(E$30:E34)</f>
        <v>150485.03207914182</v>
      </c>
      <c r="F35" s="13">
        <f>SUM(F$30:F34)</f>
        <v>65162.143971531601</v>
      </c>
      <c r="G35" s="15"/>
      <c r="H35" s="15"/>
      <c r="I35" s="15"/>
      <c r="J35" s="15"/>
      <c r="K35" s="15"/>
      <c r="L35" s="23" t="s">
        <v>693</v>
      </c>
      <c r="M35" s="23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27"/>
      <c r="B36" s="126" t="s">
        <v>647</v>
      </c>
      <c r="C36" s="16" t="s">
        <v>648</v>
      </c>
      <c r="D36" s="13">
        <f>$M$14*($M$12-$M$7)</f>
        <v>24513826.961265057</v>
      </c>
      <c r="E36" s="13">
        <f>$M$16*($M$12-$M$7)/$M$12</f>
        <v>2041246.1629664556</v>
      </c>
      <c r="F36" s="13">
        <f>$M$17*($M$12-$M$7)/$M$12</f>
        <v>-1250398.5118221636</v>
      </c>
      <c r="G36" s="15"/>
      <c r="H36" s="15"/>
      <c r="I36" s="15"/>
      <c r="J36" s="15"/>
      <c r="K36" s="15"/>
      <c r="L36" s="23" t="s">
        <v>694</v>
      </c>
      <c r="M36" s="23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27"/>
      <c r="B37" s="128"/>
      <c r="C37" s="16" t="s">
        <v>624</v>
      </c>
      <c r="D37" s="13">
        <f>SUM(D$36:D36)</f>
        <v>24513826.961265057</v>
      </c>
      <c r="E37" s="13">
        <f>SUM(E$36:E36)</f>
        <v>2041246.1629664556</v>
      </c>
      <c r="F37" s="13">
        <f>SUM(F$36:F36)</f>
        <v>-1250398.5118221636</v>
      </c>
      <c r="G37" s="15"/>
      <c r="H37" s="15"/>
      <c r="I37" s="15"/>
      <c r="J37" s="15"/>
      <c r="K37" s="15"/>
      <c r="L37" s="23" t="s">
        <v>695</v>
      </c>
      <c r="M37" s="23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27"/>
      <c r="B38" s="126" t="s">
        <v>625</v>
      </c>
      <c r="C38" s="16" t="s">
        <v>649</v>
      </c>
      <c r="D38" s="13">
        <v>689862.60845790023</v>
      </c>
      <c r="E38" s="13">
        <v>-8497.6257817691003</v>
      </c>
      <c r="F38" s="13">
        <v>59395.178999999996</v>
      </c>
      <c r="G38" s="15"/>
      <c r="H38" s="15"/>
      <c r="I38" s="15"/>
      <c r="J38" s="15"/>
      <c r="K38" s="15"/>
      <c r="L38" s="23" t="s">
        <v>696</v>
      </c>
      <c r="M38" s="23">
        <f>IFERROR(VLOOKUP("Convencional1RuralNão se aplicaRURALB2",Descontos!B1:U88,VLOOKUP("Convencional1RuralNão se aplicaRURALB2",Descontos!B1:U88,20,FALSE)+12,FALSE),100)</f>
        <v>0.06</v>
      </c>
      <c r="N38" s="15" t="s">
        <v>752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27"/>
      <c r="B39" s="127"/>
      <c r="C39" s="16" t="s">
        <v>650</v>
      </c>
      <c r="D39" s="13">
        <v>475460.58518987527</v>
      </c>
      <c r="E39" s="13">
        <v>7300.1092293118591</v>
      </c>
      <c r="F39" s="13">
        <f>IF((+$D$11+$D$12+$D$16+$D$17+$D$39)&lt;&gt;0,$M$19*$D$39/(+$D$11+$D$12+$D$16+$D$17+$D$39),0)</f>
        <v>44702.023239219423</v>
      </c>
      <c r="G39" s="15"/>
      <c r="H39" s="15"/>
      <c r="I39" s="15"/>
      <c r="J39" s="15"/>
      <c r="K39" s="15"/>
      <c r="L39" s="23" t="s">
        <v>697</v>
      </c>
      <c r="M39" s="23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769</v>
      </c>
      <c r="P39" s="15" t="s">
        <v>770</v>
      </c>
      <c r="Q39" s="15" t="s">
        <v>771</v>
      </c>
      <c r="R39" s="15" t="s">
        <v>772</v>
      </c>
      <c r="S39" s="15" t="s">
        <v>1</v>
      </c>
      <c r="T39" s="15" t="s">
        <v>773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3">
      <c r="A40" s="127"/>
      <c r="B40" s="127"/>
      <c r="C40" s="16" t="s">
        <v>651</v>
      </c>
      <c r="D40" s="13"/>
      <c r="E40" s="13">
        <v>0</v>
      </c>
      <c r="F40" s="13">
        <v>0</v>
      </c>
      <c r="G40" s="15"/>
      <c r="H40" s="15"/>
      <c r="I40" s="15"/>
      <c r="J40" s="15"/>
      <c r="K40" s="15"/>
      <c r="L40" s="23" t="s">
        <v>698</v>
      </c>
      <c r="M40" s="23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33"/>
      <c r="P40" s="33"/>
      <c r="Q40" s="33"/>
      <c r="R40" s="33"/>
      <c r="S40" s="33"/>
      <c r="T40" s="33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3">
      <c r="A41" s="127"/>
      <c r="B41" s="128"/>
      <c r="C41" s="16" t="s">
        <v>624</v>
      </c>
      <c r="D41" s="13">
        <f>SUM(D$38:D40)</f>
        <v>1165323.1936477756</v>
      </c>
      <c r="E41" s="13">
        <f>SUM(E$38:E40)</f>
        <v>-1197.5165524572412</v>
      </c>
      <c r="F41" s="13">
        <f>SUM(F$38:F40)</f>
        <v>104097.20223921942</v>
      </c>
      <c r="G41" s="15"/>
      <c r="H41" s="15"/>
      <c r="I41" s="15"/>
      <c r="J41" s="15"/>
      <c r="K41" s="15"/>
      <c r="L41" s="15"/>
      <c r="M41" s="15"/>
      <c r="N41" s="15"/>
      <c r="O41" s="33"/>
      <c r="P41" s="33"/>
      <c r="Q41" s="33"/>
      <c r="R41" s="33"/>
      <c r="S41" s="33"/>
      <c r="T41" s="33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3">
      <c r="A42" s="127"/>
      <c r="B42" s="126" t="s">
        <v>635</v>
      </c>
      <c r="C42" s="16" t="s">
        <v>636</v>
      </c>
      <c r="D42" s="13"/>
      <c r="E42" s="13">
        <f>IF($D$47&lt;&gt;0,($D$46/$D$47)* -3475806.49401687,0)+0</f>
        <v>-1196307.7094131464</v>
      </c>
      <c r="F42" s="13"/>
      <c r="G42" s="15"/>
      <c r="H42" s="15"/>
      <c r="I42" s="15"/>
      <c r="J42" s="15"/>
      <c r="K42" s="15"/>
      <c r="L42" s="15"/>
      <c r="M42" s="15"/>
      <c r="N42" s="15"/>
      <c r="O42" s="33"/>
      <c r="P42" s="33"/>
      <c r="Q42" s="33"/>
      <c r="R42" s="33"/>
      <c r="S42" s="33"/>
      <c r="T42" s="33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3">
      <c r="A43" s="127"/>
      <c r="B43" s="128"/>
      <c r="C43" s="16" t="s">
        <v>624</v>
      </c>
      <c r="D43" s="13">
        <f>SUM(D$42:D42)</f>
        <v>0</v>
      </c>
      <c r="E43" s="13">
        <f>SUM(E$42:E42)</f>
        <v>-1196307.7094131464</v>
      </c>
      <c r="F43" s="13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33"/>
      <c r="P43" s="33"/>
      <c r="Q43" s="33"/>
      <c r="R43" s="33"/>
      <c r="S43" s="33"/>
      <c r="T43" s="33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3">
      <c r="A44" s="127"/>
      <c r="B44" s="126" t="s">
        <v>638</v>
      </c>
      <c r="C44" s="16" t="s">
        <v>652</v>
      </c>
      <c r="D44" s="13">
        <f>$M$14*$M$11</f>
        <v>674071.7999352311</v>
      </c>
      <c r="E44" s="13">
        <f>$M$16*$M$11/$M$12</f>
        <v>56129.403106085883</v>
      </c>
      <c r="F44" s="13">
        <f>$M$17*$M$11/$M$12</f>
        <v>-34382.978097712883</v>
      </c>
      <c r="G44" s="15"/>
      <c r="H44" s="15"/>
      <c r="I44" s="15"/>
      <c r="J44" s="15"/>
      <c r="K44" s="15"/>
      <c r="L44" s="15"/>
      <c r="M44" s="15"/>
      <c r="N44" s="15"/>
      <c r="O44" s="33"/>
      <c r="P44" s="33"/>
      <c r="Q44" s="33"/>
      <c r="R44" s="33"/>
      <c r="S44" s="33"/>
      <c r="T44" s="33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3">
      <c r="A45" s="127"/>
      <c r="B45" s="128"/>
      <c r="C45" s="16" t="s">
        <v>624</v>
      </c>
      <c r="D45" s="13">
        <f>SUM(D$44:D44)</f>
        <v>674071.7999352311</v>
      </c>
      <c r="E45" s="13">
        <f>SUM(E$44:E44)</f>
        <v>56129.403106085883</v>
      </c>
      <c r="F45" s="13">
        <f>SUM(F$44:F44)</f>
        <v>-34382.978097712883</v>
      </c>
      <c r="G45" s="15"/>
      <c r="H45" s="15"/>
      <c r="I45" s="15"/>
      <c r="J45" s="15"/>
      <c r="K45" s="15"/>
      <c r="L45" s="15"/>
      <c r="M45" s="15"/>
      <c r="N45" s="15"/>
      <c r="O45" s="33"/>
      <c r="P45" s="33"/>
      <c r="Q45" s="33"/>
      <c r="R45" s="33"/>
      <c r="S45" s="33"/>
      <c r="T45" s="33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3">
      <c r="A46" s="128"/>
      <c r="B46" s="129" t="s">
        <v>624</v>
      </c>
      <c r="C46" s="130"/>
      <c r="D46" s="13">
        <f>SUMIF(C$30:C45,"SUBTOTAL",D$30:D45)</f>
        <v>27693255.1035101</v>
      </c>
      <c r="E46" s="13">
        <f>SUMIF(C$30:C45,"SUBTOTAL",E$30:E45)</f>
        <v>1050355.3721860799</v>
      </c>
      <c r="F46" s="13">
        <f>SUMIF(C$30:C45,"SUBTOTAL",F$30:F45)</f>
        <v>-1115522.1437091255</v>
      </c>
      <c r="G46" s="15"/>
      <c r="H46" s="15"/>
      <c r="I46" s="15"/>
      <c r="J46" s="15"/>
      <c r="K46" s="15"/>
      <c r="L46" s="15"/>
      <c r="M46" s="15"/>
      <c r="N46" s="15"/>
      <c r="O46" s="33"/>
      <c r="P46" s="33"/>
      <c r="Q46" s="33"/>
      <c r="R46" s="33"/>
      <c r="S46" s="33"/>
      <c r="T46" s="33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3">
      <c r="A47" s="129" t="s">
        <v>653</v>
      </c>
      <c r="B47" s="135"/>
      <c r="C47" s="130"/>
      <c r="D47" s="13">
        <f>SUMIF(C$2:C46,"SUBTOTAL",D$2:D46)</f>
        <v>80461235.158691064</v>
      </c>
      <c r="E47" s="13">
        <f>SUMIF(C$2:C46,"SUBTOTAL",E$2:E46)</f>
        <v>-821536.95669246209</v>
      </c>
      <c r="F47" s="13">
        <f>SUMIF(C$2:C46,"SUBTOTAL",F$2:F46)</f>
        <v>3493297.6000999999</v>
      </c>
      <c r="G47" s="15"/>
      <c r="H47" s="15"/>
      <c r="I47" s="15"/>
      <c r="J47" s="15"/>
      <c r="K47" s="15"/>
      <c r="L47" s="15"/>
      <c r="M47" s="15"/>
      <c r="N47" s="15"/>
      <c r="O47" s="33"/>
      <c r="P47" s="33"/>
      <c r="Q47" s="33"/>
      <c r="R47" s="33"/>
      <c r="S47" s="33"/>
      <c r="T47" s="33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3">
      <c r="A48" s="133" t="s">
        <v>745</v>
      </c>
      <c r="B48" s="134"/>
      <c r="C48" s="134"/>
      <c r="D48" s="26">
        <f ca="1">'TUSD BE'!$AM$65+'TUSD BE'!$AM$69+'TE BE'!$AB$46</f>
        <v>80461235.158691049</v>
      </c>
      <c r="E48" s="26">
        <f ca="1">'TUSD BF'!$AM$65+'TE BF'!$AB$46</f>
        <v>-821536.95669246232</v>
      </c>
      <c r="F48" s="26">
        <f ca="1">'TUSD CVA'!$AM$65+'TE CVA'!$AB$46</f>
        <v>3493297.6001000013</v>
      </c>
      <c r="H48" s="94">
        <f ca="1">D48+E48+F48</f>
        <v>83132995.802098587</v>
      </c>
      <c r="L48" s="93"/>
      <c r="M48" s="23"/>
      <c r="O48" s="33"/>
      <c r="P48" s="33"/>
      <c r="Q48" s="33"/>
      <c r="R48" s="33"/>
      <c r="S48" s="33"/>
      <c r="T48" s="33"/>
    </row>
    <row r="49" spans="1:20" ht="12" customHeight="1" x14ac:dyDescent="0.3">
      <c r="A49" s="133" t="s">
        <v>746</v>
      </c>
      <c r="B49" s="134"/>
      <c r="C49" s="134"/>
      <c r="D49" s="27" t="str">
        <f ca="1">IF(ABS(D48-D47)&gt;1,"ERRO","OK")</f>
        <v>OK</v>
      </c>
      <c r="E49" s="27" t="str">
        <f ca="1">IF(ABS(E48-E47)&gt;1,"ERRO","OK")</f>
        <v>OK</v>
      </c>
      <c r="F49" s="27" t="str">
        <f ca="1">IF(ABS(F48-F47)&gt;1,"ERRO","OK")</f>
        <v>OK</v>
      </c>
      <c r="H49" s="99">
        <v>83132995.802098587</v>
      </c>
      <c r="L49" s="93"/>
      <c r="M49" s="23"/>
      <c r="O49" s="33"/>
      <c r="P49" s="33"/>
      <c r="Q49" s="33"/>
      <c r="R49" s="33"/>
      <c r="S49" s="33"/>
      <c r="T49" s="33"/>
    </row>
    <row r="50" spans="1:20" ht="12" customHeight="1" x14ac:dyDescent="0.3">
      <c r="L50" s="93"/>
      <c r="M50" s="23"/>
      <c r="O50" s="33"/>
      <c r="P50" s="33"/>
      <c r="Q50" s="33"/>
      <c r="R50" s="33"/>
      <c r="S50" s="33"/>
      <c r="T50" s="33"/>
    </row>
    <row r="51" spans="1:20" ht="12" customHeight="1" x14ac:dyDescent="0.3">
      <c r="L51" s="50" t="s">
        <v>699</v>
      </c>
      <c r="M51" s="56">
        <v>0</v>
      </c>
      <c r="O51" s="33"/>
      <c r="P51" s="33"/>
      <c r="Q51" s="33"/>
      <c r="R51" s="33"/>
      <c r="S51" s="33"/>
      <c r="T51" s="33"/>
    </row>
    <row r="52" spans="1:20" ht="12" customHeight="1" x14ac:dyDescent="0.3">
      <c r="O52" s="33"/>
      <c r="P52" s="33"/>
      <c r="Q52" s="33"/>
      <c r="R52" s="33"/>
      <c r="S52" s="33"/>
      <c r="T52" s="33"/>
    </row>
    <row r="53" spans="1:20" ht="12" customHeight="1" x14ac:dyDescent="0.3">
      <c r="O53" s="33"/>
      <c r="P53" s="33"/>
      <c r="Q53" s="33"/>
      <c r="R53" s="33"/>
      <c r="S53" s="33"/>
      <c r="T53" s="33"/>
    </row>
    <row r="54" spans="1:20" ht="12" customHeight="1" x14ac:dyDescent="0.3">
      <c r="O54" s="33"/>
      <c r="P54" s="33"/>
      <c r="Q54" s="33"/>
      <c r="R54" s="33"/>
      <c r="S54" s="33"/>
      <c r="T54" s="33"/>
    </row>
    <row r="55" spans="1:20" ht="12" customHeight="1" x14ac:dyDescent="0.3">
      <c r="O55" s="33"/>
      <c r="P55" s="33"/>
      <c r="Q55" s="33"/>
      <c r="R55" s="33"/>
      <c r="S55" s="33"/>
      <c r="T55" s="33"/>
    </row>
    <row r="56" spans="1:20" ht="12" customHeight="1" x14ac:dyDescent="0.3">
      <c r="O56" s="33"/>
      <c r="P56" s="33"/>
      <c r="Q56" s="33"/>
      <c r="R56" s="33"/>
      <c r="S56" s="33"/>
      <c r="T56" s="33"/>
    </row>
    <row r="57" spans="1:20" ht="12" customHeight="1" x14ac:dyDescent="0.3">
      <c r="O57" s="33"/>
      <c r="P57" s="33"/>
      <c r="Q57" s="33"/>
      <c r="R57" s="33"/>
      <c r="S57" s="33"/>
      <c r="T57" s="33"/>
    </row>
    <row r="58" spans="1:20" ht="12" customHeight="1" x14ac:dyDescent="0.3">
      <c r="O58" s="33"/>
      <c r="P58" s="33"/>
      <c r="Q58" s="33"/>
      <c r="R58" s="33"/>
      <c r="S58" s="33"/>
      <c r="T58" s="33"/>
    </row>
    <row r="59" spans="1:20" ht="12" customHeight="1" x14ac:dyDescent="0.3">
      <c r="O59" s="33"/>
      <c r="P59" s="33"/>
      <c r="Q59" s="33"/>
      <c r="R59" s="33"/>
      <c r="S59" s="33"/>
      <c r="T59" s="33"/>
    </row>
    <row r="60" spans="1:20" ht="12" customHeight="1" x14ac:dyDescent="0.3">
      <c r="O60" s="33"/>
      <c r="P60" s="33"/>
      <c r="Q60" s="33"/>
      <c r="R60" s="33"/>
      <c r="S60" s="33"/>
      <c r="T60" s="33"/>
    </row>
    <row r="61" spans="1:20" ht="12" customHeight="1" x14ac:dyDescent="0.3">
      <c r="O61" s="33"/>
      <c r="P61" s="33"/>
      <c r="Q61" s="33"/>
      <c r="R61" s="33"/>
      <c r="S61" s="33"/>
      <c r="T61" s="33"/>
    </row>
    <row r="62" spans="1:20" ht="12" customHeight="1" x14ac:dyDescent="0.3">
      <c r="O62" s="33"/>
      <c r="P62" s="33"/>
      <c r="Q62" s="33"/>
      <c r="R62" s="33"/>
      <c r="S62" s="33"/>
      <c r="T62" s="33"/>
    </row>
    <row r="63" spans="1:20" ht="12" customHeight="1" x14ac:dyDescent="0.3">
      <c r="O63" s="33"/>
      <c r="P63" s="33"/>
      <c r="Q63" s="33"/>
      <c r="R63" s="33"/>
      <c r="S63" s="33"/>
      <c r="T63" s="33"/>
    </row>
    <row r="64" spans="1:20" ht="12" customHeight="1" x14ac:dyDescent="0.3">
      <c r="O64" s="33"/>
      <c r="P64" s="33"/>
      <c r="Q64" s="33"/>
      <c r="R64" s="33"/>
      <c r="S64" s="33"/>
      <c r="T64" s="33"/>
    </row>
    <row r="65" spans="15:20" ht="12" customHeight="1" x14ac:dyDescent="0.3">
      <c r="O65" s="33"/>
      <c r="P65" s="33"/>
      <c r="Q65" s="33"/>
      <c r="R65" s="33"/>
      <c r="S65" s="33"/>
      <c r="T65" s="33"/>
    </row>
    <row r="66" spans="15:20" ht="12" customHeight="1" x14ac:dyDescent="0.3">
      <c r="O66" s="33"/>
      <c r="P66" s="33"/>
      <c r="Q66" s="33"/>
      <c r="R66" s="33"/>
      <c r="S66" s="33"/>
      <c r="T66" s="33"/>
    </row>
    <row r="67" spans="15:20" ht="12" customHeight="1" x14ac:dyDescent="0.3">
      <c r="O67" s="33"/>
      <c r="P67" s="33"/>
      <c r="Q67" s="33"/>
      <c r="R67" s="33"/>
      <c r="S67" s="33"/>
      <c r="T67" s="33"/>
    </row>
    <row r="68" spans="15:20" ht="12" customHeight="1" x14ac:dyDescent="0.3">
      <c r="O68" s="33"/>
      <c r="P68" s="33"/>
      <c r="Q68" s="33"/>
      <c r="R68" s="33"/>
      <c r="S68" s="33"/>
      <c r="T68" s="33"/>
    </row>
    <row r="69" spans="15:20" ht="12" customHeight="1" x14ac:dyDescent="0.3">
      <c r="O69" s="33"/>
      <c r="P69" s="33"/>
      <c r="Q69" s="33"/>
      <c r="R69" s="33"/>
      <c r="S69" s="33"/>
      <c r="T69" s="33"/>
    </row>
    <row r="70" spans="15:20" ht="12" customHeight="1" x14ac:dyDescent="0.3">
      <c r="O70" s="33"/>
      <c r="P70" s="33"/>
      <c r="Q70" s="33"/>
      <c r="R70" s="33"/>
      <c r="S70" s="33"/>
      <c r="T70" s="33"/>
    </row>
    <row r="71" spans="15:20" ht="12" customHeight="1" x14ac:dyDescent="0.3">
      <c r="O71" s="33"/>
      <c r="P71" s="33"/>
      <c r="Q71" s="33"/>
      <c r="R71" s="33"/>
      <c r="S71" s="33"/>
      <c r="T71" s="33"/>
    </row>
    <row r="72" spans="15:20" ht="12" customHeight="1" x14ac:dyDescent="0.3">
      <c r="O72" s="33"/>
      <c r="P72" s="33"/>
      <c r="Q72" s="33"/>
      <c r="R72" s="33"/>
      <c r="S72" s="33"/>
      <c r="T72" s="33"/>
    </row>
    <row r="73" spans="15:20" ht="12" customHeight="1" x14ac:dyDescent="0.3">
      <c r="O73" s="33"/>
      <c r="P73" s="33"/>
      <c r="Q73" s="33"/>
      <c r="R73" s="33"/>
      <c r="S73" s="33"/>
      <c r="T73" s="33"/>
    </row>
    <row r="74" spans="15:20" ht="12" customHeight="1" x14ac:dyDescent="0.3">
      <c r="O74" s="33"/>
      <c r="P74" s="33"/>
      <c r="Q74" s="33"/>
      <c r="R74" s="33"/>
      <c r="S74" s="33"/>
      <c r="T74" s="33"/>
    </row>
    <row r="75" spans="15:20" ht="12" customHeight="1" x14ac:dyDescent="0.3">
      <c r="O75" s="33"/>
      <c r="P75" s="33"/>
      <c r="Q75" s="33"/>
      <c r="R75" s="33"/>
      <c r="S75" s="33"/>
      <c r="T75" s="33"/>
    </row>
    <row r="76" spans="15:20" ht="12" customHeight="1" x14ac:dyDescent="0.3">
      <c r="O76" s="33"/>
      <c r="P76" s="33"/>
      <c r="Q76" s="33"/>
      <c r="R76" s="33"/>
      <c r="S76" s="33"/>
      <c r="T76" s="33"/>
    </row>
    <row r="77" spans="15:20" ht="12" customHeight="1" x14ac:dyDescent="0.3">
      <c r="O77" s="33"/>
      <c r="P77" s="33"/>
      <c r="Q77" s="33"/>
      <c r="R77" s="33"/>
      <c r="S77" s="33"/>
      <c r="T77" s="33"/>
    </row>
    <row r="78" spans="15:20" ht="12" customHeight="1" x14ac:dyDescent="0.3">
      <c r="O78" s="33"/>
      <c r="P78" s="33"/>
      <c r="Q78" s="33"/>
      <c r="R78" s="33"/>
      <c r="S78" s="33"/>
      <c r="T78" s="33"/>
    </row>
    <row r="79" spans="15:20" ht="12" customHeight="1" x14ac:dyDescent="0.3">
      <c r="O79" s="33"/>
      <c r="P79" s="33"/>
      <c r="Q79" s="33"/>
      <c r="R79" s="33"/>
      <c r="S79" s="33"/>
      <c r="T79" s="33"/>
    </row>
    <row r="80" spans="15:20" ht="12" customHeight="1" x14ac:dyDescent="0.3">
      <c r="O80" s="33"/>
      <c r="P80" s="33"/>
      <c r="Q80" s="33"/>
      <c r="R80" s="33"/>
      <c r="S80" s="33"/>
      <c r="T80" s="33"/>
    </row>
    <row r="81" spans="15:20" ht="12" customHeight="1" x14ac:dyDescent="0.3">
      <c r="O81" s="33"/>
      <c r="P81" s="33"/>
      <c r="Q81" s="33"/>
      <c r="R81" s="33"/>
      <c r="S81" s="33"/>
      <c r="T81" s="33"/>
    </row>
    <row r="82" spans="15:20" ht="12" customHeight="1" x14ac:dyDescent="0.3">
      <c r="O82" s="33"/>
      <c r="P82" s="33"/>
      <c r="Q82" s="33"/>
      <c r="R82" s="33"/>
      <c r="S82" s="33"/>
      <c r="T82" s="33"/>
    </row>
    <row r="83" spans="15:20" ht="12" customHeight="1" x14ac:dyDescent="0.3">
      <c r="O83" s="33"/>
      <c r="P83" s="33"/>
      <c r="Q83" s="33"/>
      <c r="R83" s="33"/>
      <c r="S83" s="33"/>
      <c r="T83" s="33"/>
    </row>
    <row r="84" spans="15:20" ht="12" customHeight="1" x14ac:dyDescent="0.3">
      <c r="O84" s="33"/>
      <c r="P84" s="33"/>
      <c r="Q84" s="33"/>
      <c r="R84" s="33"/>
      <c r="S84" s="33"/>
      <c r="T84" s="33"/>
    </row>
    <row r="85" spans="15:20" ht="12" customHeight="1" x14ac:dyDescent="0.3">
      <c r="O85" s="33"/>
      <c r="P85" s="33"/>
      <c r="Q85" s="33"/>
      <c r="R85" s="33"/>
      <c r="S85" s="33"/>
      <c r="T85" s="33"/>
    </row>
    <row r="86" spans="15:20" ht="12" customHeight="1" x14ac:dyDescent="0.3">
      <c r="O86" s="33"/>
      <c r="P86" s="33"/>
      <c r="Q86" s="33"/>
      <c r="R86" s="33"/>
      <c r="S86" s="33"/>
      <c r="T86" s="33"/>
    </row>
    <row r="87" spans="15:20" ht="12" customHeight="1" x14ac:dyDescent="0.3">
      <c r="O87" s="33"/>
      <c r="P87" s="33"/>
      <c r="Q87" s="33"/>
      <c r="R87" s="33"/>
      <c r="S87" s="33"/>
      <c r="T87" s="33"/>
    </row>
    <row r="88" spans="15:20" ht="12" customHeight="1" x14ac:dyDescent="0.3">
      <c r="O88" s="33"/>
      <c r="P88" s="33"/>
      <c r="Q88" s="33"/>
      <c r="R88" s="33"/>
      <c r="S88" s="33"/>
      <c r="T88" s="33"/>
    </row>
    <row r="89" spans="15:20" ht="12" customHeight="1" x14ac:dyDescent="0.3">
      <c r="O89" s="33"/>
      <c r="P89" s="33"/>
      <c r="Q89" s="33"/>
      <c r="R89" s="33"/>
      <c r="S89" s="33"/>
      <c r="T89" s="33"/>
    </row>
    <row r="90" spans="15:20" ht="12" customHeight="1" x14ac:dyDescent="0.3">
      <c r="O90" s="33"/>
      <c r="P90" s="33"/>
      <c r="Q90" s="33"/>
      <c r="R90" s="33"/>
      <c r="S90" s="33"/>
      <c r="T90" s="33"/>
    </row>
    <row r="91" spans="15:20" ht="12" customHeight="1" x14ac:dyDescent="0.3">
      <c r="O91" s="33"/>
      <c r="P91" s="33"/>
      <c r="Q91" s="33"/>
      <c r="R91" s="33"/>
      <c r="S91" s="33"/>
      <c r="T91" s="33"/>
    </row>
    <row r="92" spans="15:20" ht="12" customHeight="1" x14ac:dyDescent="0.3">
      <c r="O92" s="33"/>
      <c r="P92" s="33"/>
      <c r="Q92" s="33"/>
      <c r="R92" s="33"/>
      <c r="S92" s="33"/>
      <c r="T92" s="33"/>
    </row>
    <row r="93" spans="15:20" ht="12" customHeight="1" x14ac:dyDescent="0.3">
      <c r="O93" s="33"/>
      <c r="P93" s="33"/>
      <c r="Q93" s="33"/>
      <c r="R93" s="33"/>
      <c r="S93" s="33"/>
      <c r="T93" s="33"/>
    </row>
    <row r="94" spans="15:20" ht="12" customHeight="1" x14ac:dyDescent="0.3">
      <c r="O94" s="33"/>
      <c r="P94" s="33"/>
      <c r="Q94" s="33"/>
      <c r="R94" s="33"/>
      <c r="S94" s="33"/>
      <c r="T94" s="33"/>
    </row>
    <row r="95" spans="15:20" ht="12" customHeight="1" x14ac:dyDescent="0.3">
      <c r="O95" s="33"/>
      <c r="P95" s="33"/>
      <c r="Q95" s="33"/>
      <c r="R95" s="33"/>
      <c r="S95" s="33"/>
      <c r="T95" s="33"/>
    </row>
    <row r="96" spans="15:20" ht="12" customHeight="1" x14ac:dyDescent="0.3">
      <c r="O96" s="33"/>
      <c r="P96" s="33"/>
      <c r="Q96" s="33"/>
      <c r="R96" s="33"/>
      <c r="S96" s="33"/>
      <c r="T96" s="33"/>
    </row>
    <row r="97" spans="15:30" ht="12" customHeight="1" x14ac:dyDescent="0.3">
      <c r="O97" s="33"/>
      <c r="P97" s="33"/>
      <c r="Q97" s="33"/>
      <c r="R97" s="33"/>
      <c r="S97" s="33"/>
      <c r="T97" s="33"/>
    </row>
    <row r="98" spans="15:30" ht="12" customHeight="1" x14ac:dyDescent="0.3">
      <c r="O98" s="33"/>
      <c r="P98" s="33"/>
      <c r="Q98" s="33"/>
      <c r="R98" s="33"/>
      <c r="S98" s="33"/>
      <c r="T98" s="33"/>
    </row>
    <row r="99" spans="15:30" ht="12" customHeight="1" x14ac:dyDescent="0.3">
      <c r="O99" s="32"/>
      <c r="P99" s="32"/>
      <c r="Q99" s="32"/>
      <c r="R99" s="32"/>
      <c r="S99" s="32"/>
      <c r="T99" s="32"/>
    </row>
    <row r="100" spans="15:30" ht="12" customHeight="1" x14ac:dyDescent="0.3"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</row>
    <row r="101" spans="15:30" ht="12" customHeight="1" x14ac:dyDescent="0.3">
      <c r="O101" s="33" t="s">
        <v>769</v>
      </c>
      <c r="P101" s="33" t="s">
        <v>774</v>
      </c>
      <c r="Q101" s="33" t="s">
        <v>775</v>
      </c>
      <c r="R101" s="33" t="s">
        <v>776</v>
      </c>
      <c r="S101" s="33" t="s">
        <v>777</v>
      </c>
      <c r="T101" s="33" t="s">
        <v>778</v>
      </c>
      <c r="U101" s="33" t="s">
        <v>779</v>
      </c>
      <c r="V101" s="33" t="s">
        <v>780</v>
      </c>
      <c r="W101" s="33"/>
      <c r="X101" s="33"/>
      <c r="Y101" s="33"/>
      <c r="Z101" s="33"/>
      <c r="AA101" s="33"/>
      <c r="AB101" s="33"/>
      <c r="AC101" s="33"/>
      <c r="AD101" s="33"/>
    </row>
    <row r="102" spans="15:30" ht="12" customHeight="1" x14ac:dyDescent="0.3">
      <c r="O102" s="33" t="s">
        <v>38</v>
      </c>
      <c r="P102" s="33" t="s">
        <v>23</v>
      </c>
      <c r="Q102" s="33" t="s">
        <v>43</v>
      </c>
      <c r="R102" s="33" t="s">
        <v>44</v>
      </c>
      <c r="S102" s="33" t="s">
        <v>25</v>
      </c>
      <c r="T102" s="33" t="s">
        <v>44</v>
      </c>
      <c r="U102" s="33">
        <v>4</v>
      </c>
      <c r="V102" s="33">
        <v>0.3</v>
      </c>
      <c r="W102" s="33">
        <v>0.24</v>
      </c>
      <c r="X102" s="33">
        <v>0.18</v>
      </c>
      <c r="Y102" s="33">
        <v>0.12</v>
      </c>
      <c r="Z102" s="33">
        <v>0.06</v>
      </c>
      <c r="AA102" s="33">
        <v>0</v>
      </c>
      <c r="AB102" s="33"/>
      <c r="AC102" s="33"/>
      <c r="AD102" s="33"/>
    </row>
    <row r="103" spans="15:30" ht="12" customHeight="1" x14ac:dyDescent="0.3"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</row>
    <row r="104" spans="15:30" ht="12" customHeight="1" x14ac:dyDescent="0.3"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</row>
    <row r="105" spans="15:30" ht="12" customHeight="1" x14ac:dyDescent="0.3"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</row>
    <row r="106" spans="15:30" ht="12" customHeight="1" x14ac:dyDescent="0.3"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</row>
    <row r="107" spans="15:30" ht="12" customHeight="1" x14ac:dyDescent="0.3"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</row>
    <row r="108" spans="15:30" ht="12" customHeight="1" x14ac:dyDescent="0.3"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</row>
    <row r="109" spans="15:30" ht="12" customHeight="1" x14ac:dyDescent="0.3"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</row>
    <row r="110" spans="15:30" ht="12" customHeight="1" x14ac:dyDescent="0.3"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</row>
    <row r="111" spans="15:30" ht="12" customHeight="1" x14ac:dyDescent="0.3"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</row>
    <row r="112" spans="15:30" ht="12" customHeight="1" x14ac:dyDescent="0.3"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</row>
    <row r="113" spans="15:30" ht="12" customHeight="1" x14ac:dyDescent="0.3"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</row>
    <row r="114" spans="15:30" ht="12" customHeight="1" x14ac:dyDescent="0.3"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</row>
    <row r="115" spans="15:30" ht="12" customHeight="1" x14ac:dyDescent="0.3"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</row>
    <row r="116" spans="15:30" ht="12" customHeight="1" x14ac:dyDescent="0.3"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</row>
    <row r="117" spans="15:30" ht="12" customHeight="1" x14ac:dyDescent="0.3"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</row>
    <row r="118" spans="15:30" ht="12" customHeight="1" x14ac:dyDescent="0.3"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</row>
    <row r="119" spans="15:30" ht="12" customHeight="1" x14ac:dyDescent="0.3"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</row>
    <row r="120" spans="15:30" ht="12" customHeight="1" x14ac:dyDescent="0.3"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</row>
    <row r="121" spans="15:30" ht="12" customHeight="1" x14ac:dyDescent="0.3"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</row>
    <row r="122" spans="15:30" ht="12" customHeight="1" x14ac:dyDescent="0.3"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</row>
    <row r="123" spans="15:30" ht="12" customHeight="1" x14ac:dyDescent="0.3"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</row>
    <row r="124" spans="15:30" ht="12" customHeight="1" x14ac:dyDescent="0.3"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</row>
    <row r="125" spans="15:30" ht="12" customHeight="1" x14ac:dyDescent="0.3"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</row>
    <row r="126" spans="15:30" ht="12" customHeight="1" x14ac:dyDescent="0.3"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</row>
    <row r="127" spans="15:30" ht="12" customHeight="1" x14ac:dyDescent="0.3"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</row>
    <row r="128" spans="15:30" ht="12" customHeight="1" x14ac:dyDescent="0.3"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</row>
    <row r="129" spans="15:30" ht="12" customHeight="1" x14ac:dyDescent="0.3"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</row>
    <row r="130" spans="15:30" ht="12" customHeight="1" x14ac:dyDescent="0.3"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</row>
    <row r="131" spans="15:30" ht="12" customHeight="1" x14ac:dyDescent="0.3"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</row>
    <row r="132" spans="15:30" ht="12" customHeight="1" x14ac:dyDescent="0.3"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</row>
    <row r="133" spans="15:30" ht="12" customHeight="1" x14ac:dyDescent="0.3"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</row>
    <row r="134" spans="15:30" ht="12" customHeight="1" x14ac:dyDescent="0.3"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</row>
    <row r="135" spans="15:30" ht="12" customHeight="1" x14ac:dyDescent="0.3"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</row>
    <row r="136" spans="15:30" ht="12" customHeight="1" x14ac:dyDescent="0.3"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</row>
    <row r="137" spans="15:30" ht="12" customHeight="1" x14ac:dyDescent="0.3"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</row>
    <row r="138" spans="15:30" ht="12" customHeight="1" x14ac:dyDescent="0.3"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</row>
    <row r="139" spans="15:30" ht="12" customHeight="1" x14ac:dyDescent="0.3"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</row>
    <row r="140" spans="15:30" ht="12" customHeight="1" x14ac:dyDescent="0.3"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</row>
    <row r="141" spans="15:30" ht="12" customHeight="1" x14ac:dyDescent="0.3"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</row>
    <row r="142" spans="15:30" ht="12" customHeight="1" x14ac:dyDescent="0.3"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</row>
    <row r="143" spans="15:30" ht="12" customHeight="1" x14ac:dyDescent="0.3"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</row>
    <row r="144" spans="15:30" ht="12" customHeight="1" x14ac:dyDescent="0.3"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</row>
    <row r="145" spans="15:30" ht="12" customHeight="1" x14ac:dyDescent="0.3"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</row>
    <row r="146" spans="15:30" ht="12" customHeight="1" x14ac:dyDescent="0.3"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</row>
    <row r="147" spans="15:30" ht="12" customHeight="1" x14ac:dyDescent="0.3"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</row>
    <row r="148" spans="15:30" ht="12" customHeight="1" x14ac:dyDescent="0.3"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</row>
    <row r="149" spans="15:30" ht="12" customHeight="1" x14ac:dyDescent="0.3"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</row>
    <row r="150" spans="15:30" ht="12" customHeight="1" x14ac:dyDescent="0.3"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</row>
    <row r="151" spans="15:30" ht="12" customHeight="1" x14ac:dyDescent="0.3"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</row>
    <row r="152" spans="15:30" ht="12" customHeight="1" x14ac:dyDescent="0.3"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</row>
    <row r="153" spans="15:30" ht="12" customHeight="1" x14ac:dyDescent="0.3"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</row>
    <row r="154" spans="15:30" ht="12" customHeight="1" x14ac:dyDescent="0.3"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</row>
    <row r="155" spans="15:30" ht="12" customHeight="1" x14ac:dyDescent="0.3"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</row>
    <row r="156" spans="15:30" ht="12" customHeight="1" x14ac:dyDescent="0.3"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</row>
    <row r="157" spans="15:30" ht="12" customHeight="1" x14ac:dyDescent="0.3"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</row>
    <row r="158" spans="15:30" ht="12" customHeight="1" x14ac:dyDescent="0.3"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</row>
    <row r="159" spans="15:30" ht="12" customHeight="1" x14ac:dyDescent="0.3"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</row>
    <row r="160" spans="15:30" ht="12" customHeight="1" x14ac:dyDescent="0.3"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</row>
    <row r="161" spans="15:30" ht="12" customHeight="1" x14ac:dyDescent="0.3"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</row>
    <row r="162" spans="15:30" ht="12" customHeight="1" x14ac:dyDescent="0.3"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</row>
    <row r="163" spans="15:30" ht="12" customHeight="1" x14ac:dyDescent="0.3"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</row>
    <row r="164" spans="15:30" ht="12" customHeight="1" x14ac:dyDescent="0.3"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</row>
    <row r="165" spans="15:30" ht="12" customHeight="1" x14ac:dyDescent="0.3"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</row>
    <row r="166" spans="15:30" ht="12" customHeight="1" x14ac:dyDescent="0.3"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</row>
    <row r="167" spans="15:30" ht="12" customHeight="1" x14ac:dyDescent="0.3"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</row>
    <row r="168" spans="15:30" ht="12" customHeight="1" x14ac:dyDescent="0.3"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</row>
    <row r="169" spans="15:30" ht="12" customHeight="1" x14ac:dyDescent="0.3"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</row>
    <row r="170" spans="15:30" ht="12" customHeight="1" x14ac:dyDescent="0.3"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</row>
    <row r="171" spans="15:30" ht="12" customHeight="1" x14ac:dyDescent="0.3"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</row>
    <row r="172" spans="15:30" ht="12" customHeight="1" x14ac:dyDescent="0.3"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</row>
    <row r="173" spans="15:30" ht="12" customHeight="1" x14ac:dyDescent="0.3"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</row>
    <row r="174" spans="15:30" ht="12" customHeight="1" x14ac:dyDescent="0.3"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</row>
    <row r="175" spans="15:30" ht="12" customHeight="1" x14ac:dyDescent="0.3"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</row>
    <row r="176" spans="15:30" ht="12" customHeight="1" x14ac:dyDescent="0.3"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</row>
    <row r="177" spans="15:30" ht="12" customHeight="1" x14ac:dyDescent="0.3"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</row>
    <row r="178" spans="15:30" ht="12" customHeight="1" x14ac:dyDescent="0.3"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</row>
    <row r="179" spans="15:30" ht="12" customHeight="1" x14ac:dyDescent="0.3"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</row>
    <row r="180" spans="15:30" ht="12" customHeight="1" x14ac:dyDescent="0.3"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</row>
    <row r="181" spans="15:30" ht="12" customHeight="1" x14ac:dyDescent="0.3"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</row>
    <row r="182" spans="15:30" ht="12" customHeight="1" x14ac:dyDescent="0.3"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</row>
    <row r="183" spans="15:30" ht="12" customHeight="1" x14ac:dyDescent="0.3"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</row>
    <row r="184" spans="15:30" ht="12" customHeight="1" x14ac:dyDescent="0.3"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</row>
    <row r="185" spans="15:30" ht="12" customHeight="1" x14ac:dyDescent="0.3"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</row>
    <row r="186" spans="15:30" ht="12" customHeight="1" x14ac:dyDescent="0.3"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</row>
    <row r="187" spans="15:30" ht="12" customHeight="1" x14ac:dyDescent="0.3"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</row>
    <row r="188" spans="15:30" ht="12" customHeight="1" x14ac:dyDescent="0.3"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</row>
    <row r="189" spans="15:30" ht="12" customHeight="1" x14ac:dyDescent="0.3"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</row>
    <row r="190" spans="15:30" ht="12" customHeight="1" x14ac:dyDescent="0.3"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</row>
    <row r="191" spans="15:30" ht="12" customHeight="1" x14ac:dyDescent="0.3"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</row>
    <row r="192" spans="15:30" ht="12" customHeight="1" x14ac:dyDescent="0.3"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</row>
    <row r="193" spans="15:30" ht="12" customHeight="1" x14ac:dyDescent="0.3"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</row>
    <row r="194" spans="15:30" ht="12" customHeight="1" x14ac:dyDescent="0.3"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</row>
    <row r="195" spans="15:30" ht="12" customHeight="1" x14ac:dyDescent="0.3"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</row>
    <row r="196" spans="15:30" ht="12" customHeight="1" x14ac:dyDescent="0.3"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</row>
    <row r="197" spans="15:30" ht="12" customHeight="1" x14ac:dyDescent="0.3"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</row>
    <row r="198" spans="15:30" ht="12" customHeight="1" x14ac:dyDescent="0.3"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</row>
    <row r="199" spans="15:30" ht="12" customHeight="1" x14ac:dyDescent="0.3"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</row>
    <row r="200" spans="15:30" ht="12" customHeight="1" x14ac:dyDescent="0.3"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</row>
  </sheetData>
  <mergeCells count="19">
    <mergeCell ref="A48:C48"/>
    <mergeCell ref="A49:C49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  <mergeCell ref="B42:B43"/>
    <mergeCell ref="B44:B45"/>
    <mergeCell ref="B46:C46"/>
    <mergeCell ref="O1:U1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F6D3D-D273-459B-9946-1DCDE855EE00}">
  <sheetPr codeName="Planilha7"/>
  <dimension ref="A1:AP63"/>
  <sheetViews>
    <sheetView showGridLines="0" topLeftCell="C47" workbookViewId="0">
      <selection activeCell="K74" sqref="K74:P74"/>
    </sheetView>
  </sheetViews>
  <sheetFormatPr defaultRowHeight="11.25" customHeight="1" x14ac:dyDescent="0.3"/>
  <cols>
    <col min="1" max="1" width="9" style="9" bestFit="1" customWidth="1"/>
    <col min="2" max="2" width="21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9" width="8.44140625" style="9" bestFit="1" customWidth="1"/>
    <col min="10" max="10" width="8.88671875" style="9"/>
    <col min="11" max="11" width="14.109375" style="9" bestFit="1" customWidth="1"/>
    <col min="12" max="12" width="13" style="9" bestFit="1" customWidth="1"/>
    <col min="13" max="13" width="10.109375" style="9" bestFit="1" customWidth="1"/>
    <col min="14" max="14" width="11.33203125" style="9" bestFit="1" customWidth="1"/>
    <col min="15" max="15" width="10.5546875" style="9" bestFit="1" customWidth="1"/>
    <col min="16" max="16" width="8.77734375" style="9" bestFit="1" customWidth="1"/>
    <col min="17" max="17" width="10.5546875" style="9" bestFit="1" customWidth="1"/>
    <col min="18" max="18" width="9.6640625" style="9" bestFit="1" customWidth="1"/>
    <col min="19" max="19" width="8.44140625" style="9" bestFit="1" customWidth="1"/>
    <col min="20" max="20" width="10.5546875" style="9" bestFit="1" customWidth="1"/>
    <col min="21" max="22" width="9.6640625" style="9" bestFit="1" customWidth="1"/>
    <col min="23" max="24" width="9.5546875" style="9" bestFit="1" customWidth="1"/>
    <col min="25" max="25" width="5" style="9" bestFit="1" customWidth="1"/>
    <col min="26" max="26" width="7.44140625" style="9" bestFit="1" customWidth="1"/>
    <col min="27" max="27" width="9.5546875" style="9" bestFit="1" customWidth="1"/>
    <col min="28" max="28" width="9.6640625" style="9" bestFit="1" customWidth="1"/>
    <col min="29" max="29" width="11.33203125" style="9" bestFit="1" customWidth="1"/>
    <col min="30" max="30" width="10.5546875" style="9" bestFit="1" customWidth="1"/>
    <col min="31" max="31" width="8.21875" style="9" bestFit="1" customWidth="1"/>
    <col min="32" max="32" width="7.109375" style="9" bestFit="1" customWidth="1"/>
    <col min="33" max="33" width="9" style="9" bestFit="1" customWidth="1"/>
    <col min="34" max="34" width="14.88671875" style="9" bestFit="1" customWidth="1"/>
    <col min="35" max="35" width="17.5546875" style="9" bestFit="1" customWidth="1"/>
    <col min="36" max="36" width="18.5546875" style="9" bestFit="1" customWidth="1"/>
    <col min="37" max="37" width="7.6640625" style="9" bestFit="1" customWidth="1"/>
    <col min="38" max="38" width="9.6640625" style="9" bestFit="1" customWidth="1"/>
    <col min="39" max="39" width="10.5546875" style="9" bestFit="1" customWidth="1"/>
    <col min="40" max="41" width="8.88671875" style="9"/>
    <col min="42" max="42" width="7.6640625" style="9" bestFit="1" customWidth="1"/>
    <col min="43" max="16384" width="8.88671875" style="9"/>
  </cols>
  <sheetData>
    <row r="1" spans="1:42" ht="11.25" customHeight="1" x14ac:dyDescent="0.3">
      <c r="A1" s="139" t="s">
        <v>69</v>
      </c>
      <c r="B1" s="139" t="s">
        <v>70</v>
      </c>
      <c r="C1" s="139" t="s">
        <v>71</v>
      </c>
      <c r="D1" s="139" t="s">
        <v>72</v>
      </c>
      <c r="E1" s="139" t="s">
        <v>73</v>
      </c>
      <c r="F1" s="139" t="s">
        <v>15</v>
      </c>
      <c r="G1" s="139" t="s">
        <v>75</v>
      </c>
      <c r="H1" s="139" t="s">
        <v>76</v>
      </c>
      <c r="I1" s="139" t="s">
        <v>716</v>
      </c>
      <c r="J1" s="131"/>
      <c r="L1" s="138" t="s">
        <v>717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P1" s="138" t="s">
        <v>718</v>
      </c>
    </row>
    <row r="2" spans="1:42" ht="11.25" customHeight="1" x14ac:dyDescent="0.3">
      <c r="A2" s="139"/>
      <c r="B2" s="139"/>
      <c r="C2" s="139"/>
      <c r="D2" s="139"/>
      <c r="E2" s="139"/>
      <c r="F2" s="139"/>
      <c r="G2" s="139"/>
      <c r="H2" s="139"/>
      <c r="I2" s="139"/>
      <c r="J2" s="131"/>
      <c r="L2" s="138" t="s">
        <v>615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P2" s="140"/>
    </row>
    <row r="3" spans="1:42" ht="11.25" customHeight="1" x14ac:dyDescent="0.3">
      <c r="A3" s="139"/>
      <c r="B3" s="139"/>
      <c r="C3" s="139"/>
      <c r="D3" s="139"/>
      <c r="E3" s="139"/>
      <c r="F3" s="139"/>
      <c r="G3" s="139"/>
      <c r="H3" s="139"/>
      <c r="I3" s="139"/>
      <c r="J3" s="131"/>
      <c r="L3" s="138" t="s">
        <v>616</v>
      </c>
      <c r="M3" s="138"/>
      <c r="N3" s="138"/>
      <c r="O3" s="138"/>
      <c r="P3" s="138"/>
      <c r="Q3" s="138"/>
      <c r="R3" s="138"/>
      <c r="S3" s="138"/>
      <c r="T3" s="138"/>
      <c r="U3" s="138" t="s">
        <v>625</v>
      </c>
      <c r="V3" s="138"/>
      <c r="W3" s="138"/>
      <c r="X3" s="138"/>
      <c r="Y3" s="138"/>
      <c r="Z3" s="138"/>
      <c r="AA3" s="138"/>
      <c r="AB3" s="138"/>
      <c r="AC3" s="138" t="s">
        <v>633</v>
      </c>
      <c r="AD3" s="138"/>
      <c r="AE3" s="138" t="s">
        <v>635</v>
      </c>
      <c r="AF3" s="138"/>
      <c r="AG3" s="138"/>
      <c r="AH3" s="138" t="s">
        <v>638</v>
      </c>
      <c r="AI3" s="138"/>
      <c r="AJ3" s="138"/>
      <c r="AK3" s="138"/>
      <c r="AL3" s="138"/>
      <c r="AM3" s="138" t="s">
        <v>624</v>
      </c>
      <c r="AP3" s="140"/>
    </row>
    <row r="4" spans="1:42" ht="11.25" customHeight="1" x14ac:dyDescent="0.3">
      <c r="A4" s="139"/>
      <c r="B4" s="139"/>
      <c r="C4" s="139"/>
      <c r="D4" s="139"/>
      <c r="E4" s="139"/>
      <c r="F4" s="139"/>
      <c r="G4" s="139"/>
      <c r="H4" s="139"/>
      <c r="I4" s="139"/>
      <c r="J4" s="131"/>
      <c r="L4" s="10" t="s">
        <v>701</v>
      </c>
      <c r="M4" s="10" t="s">
        <v>617</v>
      </c>
      <c r="N4" s="10" t="s">
        <v>618</v>
      </c>
      <c r="O4" s="10" t="s">
        <v>619</v>
      </c>
      <c r="P4" s="10" t="s">
        <v>620</v>
      </c>
      <c r="Q4" s="10" t="s">
        <v>621</v>
      </c>
      <c r="R4" s="10" t="s">
        <v>622</v>
      </c>
      <c r="S4" s="10" t="s">
        <v>623</v>
      </c>
      <c r="T4" s="10" t="s">
        <v>624</v>
      </c>
      <c r="U4" s="10" t="s">
        <v>626</v>
      </c>
      <c r="V4" s="10" t="s">
        <v>627</v>
      </c>
      <c r="W4" s="10" t="s">
        <v>628</v>
      </c>
      <c r="X4" s="10" t="s">
        <v>629</v>
      </c>
      <c r="Y4" s="10" t="s">
        <v>630</v>
      </c>
      <c r="Z4" s="10" t="s">
        <v>631</v>
      </c>
      <c r="AA4" s="10" t="s">
        <v>632</v>
      </c>
      <c r="AB4" s="10" t="s">
        <v>624</v>
      </c>
      <c r="AC4" s="10" t="s">
        <v>634</v>
      </c>
      <c r="AD4" s="10" t="s">
        <v>624</v>
      </c>
      <c r="AE4" s="10" t="s">
        <v>636</v>
      </c>
      <c r="AF4" s="10" t="s">
        <v>637</v>
      </c>
      <c r="AG4" s="10" t="s">
        <v>624</v>
      </c>
      <c r="AH4" s="10" t="s">
        <v>639</v>
      </c>
      <c r="AI4" s="10" t="s">
        <v>640</v>
      </c>
      <c r="AJ4" s="10" t="s">
        <v>641</v>
      </c>
      <c r="AK4" s="10" t="s">
        <v>642</v>
      </c>
      <c r="AL4" s="10" t="s">
        <v>624</v>
      </c>
      <c r="AM4" s="141"/>
      <c r="AP4" s="140"/>
    </row>
    <row r="5" spans="1:42" ht="11.25" customHeight="1" x14ac:dyDescent="0.3">
      <c r="A5" s="137" t="s">
        <v>45</v>
      </c>
      <c r="B5" s="137" t="s">
        <v>42</v>
      </c>
      <c r="C5" s="137" t="s">
        <v>25</v>
      </c>
      <c r="D5" s="137" t="s">
        <v>25</v>
      </c>
      <c r="E5" s="137" t="s">
        <v>25</v>
      </c>
      <c r="F5" s="137" t="s">
        <v>25</v>
      </c>
      <c r="G5" s="18" t="s">
        <v>85</v>
      </c>
      <c r="H5" s="18" t="s">
        <v>84</v>
      </c>
      <c r="I5" s="18">
        <f>'MERCADO TUSD'!$U$2</f>
        <v>4216</v>
      </c>
      <c r="J5" s="15"/>
      <c r="L5" s="13"/>
      <c r="M5" s="13"/>
      <c r="N5" s="13"/>
      <c r="O5" s="13"/>
      <c r="P5" s="13"/>
      <c r="Q5" s="13"/>
      <c r="R5" s="13"/>
      <c r="S5" s="13"/>
      <c r="T5" s="13"/>
      <c r="U5" s="13">
        <v>9.1266999999999996</v>
      </c>
      <c r="V5" s="13">
        <v>4.8106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/>
      <c r="AC5" s="13">
        <v>55.993600000000001</v>
      </c>
      <c r="AD5" s="13"/>
      <c r="AE5" s="13"/>
      <c r="AF5" s="13"/>
      <c r="AG5" s="13"/>
      <c r="AH5" s="13"/>
      <c r="AI5" s="13"/>
      <c r="AJ5" s="13"/>
      <c r="AK5" s="13"/>
      <c r="AL5" s="13"/>
      <c r="AM5" s="13"/>
      <c r="AP5" s="13">
        <v>1</v>
      </c>
    </row>
    <row r="6" spans="1:42" ht="11.25" customHeight="1" x14ac:dyDescent="0.3">
      <c r="A6" s="137"/>
      <c r="B6" s="137"/>
      <c r="C6" s="137"/>
      <c r="D6" s="137"/>
      <c r="E6" s="137"/>
      <c r="F6" s="137"/>
      <c r="G6" s="18" t="s">
        <v>86</v>
      </c>
      <c r="H6" s="18" t="s">
        <v>84</v>
      </c>
      <c r="I6" s="18">
        <f>'MERCADO TUSD'!$U$3</f>
        <v>4234</v>
      </c>
      <c r="J6" s="15"/>
      <c r="L6" s="13"/>
      <c r="M6" s="13"/>
      <c r="N6" s="13"/>
      <c r="O6" s="13"/>
      <c r="P6" s="13"/>
      <c r="Q6" s="13"/>
      <c r="R6" s="13"/>
      <c r="S6" s="13"/>
      <c r="T6" s="13"/>
      <c r="U6" s="13">
        <v>5.2652000000000001</v>
      </c>
      <c r="V6" s="13">
        <v>2.8746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/>
      <c r="AC6" s="13">
        <v>20.6831</v>
      </c>
      <c r="AD6" s="13"/>
      <c r="AE6" s="13"/>
      <c r="AF6" s="13"/>
      <c r="AG6" s="13"/>
      <c r="AH6" s="13"/>
      <c r="AI6" s="13"/>
      <c r="AJ6" s="13"/>
      <c r="AK6" s="13"/>
      <c r="AL6" s="13"/>
      <c r="AM6" s="13"/>
      <c r="AP6" s="13">
        <v>1</v>
      </c>
    </row>
    <row r="7" spans="1:42" ht="11.25" customHeight="1" x14ac:dyDescent="0.3">
      <c r="A7" s="137"/>
      <c r="B7" s="137"/>
      <c r="C7" s="137"/>
      <c r="D7" s="137"/>
      <c r="E7" s="137"/>
      <c r="F7" s="137"/>
      <c r="G7" s="18" t="s">
        <v>83</v>
      </c>
      <c r="H7" s="18" t="s">
        <v>79</v>
      </c>
      <c r="I7" s="18">
        <f>'MERCADO TUSD'!$U$4</f>
        <v>1760.1130000000001</v>
      </c>
      <c r="J7" s="15"/>
      <c r="L7" s="13"/>
      <c r="M7" s="13"/>
      <c r="N7" s="13"/>
      <c r="O7" s="13"/>
      <c r="P7" s="13"/>
      <c r="Q7" s="13"/>
      <c r="R7" s="13"/>
      <c r="S7" s="13"/>
      <c r="T7" s="13"/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/>
      <c r="AC7" s="13">
        <v>0</v>
      </c>
      <c r="AD7" s="13"/>
      <c r="AE7" s="13"/>
      <c r="AF7" s="13"/>
      <c r="AG7" s="13"/>
      <c r="AH7" s="13"/>
      <c r="AI7" s="13"/>
      <c r="AJ7" s="13"/>
      <c r="AK7" s="13"/>
      <c r="AL7" s="13"/>
      <c r="AM7" s="13"/>
      <c r="AP7" s="13">
        <v>1</v>
      </c>
    </row>
    <row r="8" spans="1:42" ht="11.25" customHeight="1" x14ac:dyDescent="0.3">
      <c r="A8" s="137"/>
      <c r="B8" s="137"/>
      <c r="C8" s="137"/>
      <c r="D8" s="137"/>
      <c r="E8" s="17" t="s">
        <v>87</v>
      </c>
      <c r="F8" s="17" t="s">
        <v>25</v>
      </c>
      <c r="G8" s="18" t="s">
        <v>83</v>
      </c>
      <c r="H8" s="18" t="s">
        <v>79</v>
      </c>
      <c r="I8" s="18">
        <f>'MERCADO TUSD'!$U$5</f>
        <v>0</v>
      </c>
      <c r="J8" s="15"/>
      <c r="L8" s="13"/>
      <c r="M8" s="13"/>
      <c r="N8" s="13"/>
      <c r="O8" s="13"/>
      <c r="P8" s="13"/>
      <c r="Q8" s="13"/>
      <c r="R8" s="13"/>
      <c r="S8" s="13"/>
      <c r="T8" s="13"/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/>
      <c r="AC8" s="13">
        <v>0</v>
      </c>
      <c r="AD8" s="13"/>
      <c r="AE8" s="13"/>
      <c r="AF8" s="13"/>
      <c r="AG8" s="13"/>
      <c r="AH8" s="13"/>
      <c r="AI8" s="13"/>
      <c r="AJ8" s="13"/>
      <c r="AK8" s="13"/>
      <c r="AL8" s="13"/>
      <c r="AM8" s="13"/>
      <c r="AP8" s="13">
        <v>1</v>
      </c>
    </row>
    <row r="9" spans="1:42" ht="11.25" customHeight="1" x14ac:dyDescent="0.3">
      <c r="A9" s="137"/>
      <c r="B9" s="17" t="s">
        <v>60</v>
      </c>
      <c r="C9" s="17" t="s">
        <v>25</v>
      </c>
      <c r="D9" s="17" t="s">
        <v>25</v>
      </c>
      <c r="E9" s="17" t="s">
        <v>25</v>
      </c>
      <c r="F9" s="17" t="s">
        <v>25</v>
      </c>
      <c r="G9" s="18" t="s">
        <v>9</v>
      </c>
      <c r="H9" s="18" t="s">
        <v>84</v>
      </c>
      <c r="I9" s="18">
        <f>'MERCADO TUSD'!$U$6</f>
        <v>36120</v>
      </c>
      <c r="J9" s="15"/>
      <c r="L9" s="13"/>
      <c r="M9" s="13"/>
      <c r="N9" s="13"/>
      <c r="O9" s="13"/>
      <c r="P9" s="13"/>
      <c r="Q9" s="13"/>
      <c r="R9" s="13"/>
      <c r="S9" s="13"/>
      <c r="T9" s="13"/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/>
      <c r="AC9" s="13">
        <v>17.3431</v>
      </c>
      <c r="AD9" s="13"/>
      <c r="AE9" s="13"/>
      <c r="AF9" s="13"/>
      <c r="AG9" s="13"/>
      <c r="AH9" s="13"/>
      <c r="AI9" s="13"/>
      <c r="AJ9" s="13"/>
      <c r="AK9" s="13"/>
      <c r="AL9" s="13"/>
      <c r="AM9" s="13"/>
      <c r="AP9" s="13"/>
    </row>
    <row r="10" spans="1:42" ht="11.25" customHeight="1" x14ac:dyDescent="0.3">
      <c r="A10" s="137"/>
      <c r="B10" s="137" t="s">
        <v>40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18" t="s">
        <v>9</v>
      </c>
      <c r="H10" s="18" t="s">
        <v>84</v>
      </c>
      <c r="I10" s="18">
        <f>'MERCADO TUSD'!$U$7</f>
        <v>685</v>
      </c>
      <c r="J10" s="15"/>
      <c r="L10" s="13"/>
      <c r="M10" s="13"/>
      <c r="N10" s="13"/>
      <c r="O10" s="13"/>
      <c r="P10" s="13"/>
      <c r="Q10" s="13"/>
      <c r="R10" s="13"/>
      <c r="S10" s="13"/>
      <c r="T10" s="13"/>
      <c r="U10" s="13">
        <v>5.2652000000000001</v>
      </c>
      <c r="V10" s="13">
        <v>2.8746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/>
      <c r="AC10" s="13">
        <v>20.6831</v>
      </c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P10" s="13">
        <v>1</v>
      </c>
    </row>
    <row r="11" spans="1:42" ht="11.25" customHeight="1" x14ac:dyDescent="0.3">
      <c r="A11" s="137"/>
      <c r="B11" s="137"/>
      <c r="C11" s="137"/>
      <c r="D11" s="137"/>
      <c r="E11" s="137"/>
      <c r="F11" s="137"/>
      <c r="G11" s="18" t="s">
        <v>80</v>
      </c>
      <c r="H11" s="18" t="s">
        <v>79</v>
      </c>
      <c r="I11" s="18">
        <f>'MERCADO TUSD'!$U$8</f>
        <v>5.4909999999999997</v>
      </c>
      <c r="J11" s="15"/>
      <c r="L11" s="13"/>
      <c r="M11" s="13"/>
      <c r="N11" s="13"/>
      <c r="O11" s="13"/>
      <c r="P11" s="13"/>
      <c r="Q11" s="13"/>
      <c r="R11" s="13"/>
      <c r="S11" s="13"/>
      <c r="T11" s="13"/>
      <c r="U11" s="13">
        <v>219.49700000000001</v>
      </c>
      <c r="V11" s="13">
        <v>115.69410000000001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/>
      <c r="AC11" s="13">
        <v>1346.6467</v>
      </c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P11" s="13">
        <v>1</v>
      </c>
    </row>
    <row r="12" spans="1:42" ht="11.25" customHeight="1" x14ac:dyDescent="0.3">
      <c r="A12" s="137"/>
      <c r="B12" s="137"/>
      <c r="C12" s="137"/>
      <c r="D12" s="137"/>
      <c r="E12" s="137"/>
      <c r="F12" s="137"/>
      <c r="G12" s="18" t="s">
        <v>81</v>
      </c>
      <c r="H12" s="18" t="s">
        <v>79</v>
      </c>
      <c r="I12" s="18">
        <f>'MERCADO TUSD'!$U$9</f>
        <v>46.585999999999999</v>
      </c>
      <c r="J12" s="15"/>
      <c r="L12" s="13"/>
      <c r="M12" s="13"/>
      <c r="N12" s="13"/>
      <c r="O12" s="13"/>
      <c r="P12" s="13"/>
      <c r="Q12" s="13"/>
      <c r="R12" s="13"/>
      <c r="S12" s="13"/>
      <c r="T12" s="13"/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/>
      <c r="AC12" s="13">
        <v>0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P12" s="13">
        <v>1</v>
      </c>
    </row>
    <row r="13" spans="1:42" ht="11.25" customHeight="1" x14ac:dyDescent="0.3">
      <c r="A13" s="137"/>
      <c r="B13" s="137"/>
      <c r="C13" s="137"/>
      <c r="D13" s="137"/>
      <c r="E13" s="137" t="s">
        <v>87</v>
      </c>
      <c r="F13" s="137" t="s">
        <v>25</v>
      </c>
      <c r="G13" s="18" t="s">
        <v>80</v>
      </c>
      <c r="H13" s="18" t="s">
        <v>79</v>
      </c>
      <c r="I13" s="18">
        <f>'MERCADO TUSD'!$U$10</f>
        <v>0</v>
      </c>
      <c r="J13" s="15"/>
      <c r="L13" s="13"/>
      <c r="M13" s="13"/>
      <c r="N13" s="13"/>
      <c r="O13" s="13"/>
      <c r="P13" s="13"/>
      <c r="Q13" s="13"/>
      <c r="R13" s="13"/>
      <c r="S13" s="13"/>
      <c r="T13" s="13"/>
      <c r="U13" s="13">
        <v>219.49700000000001</v>
      </c>
      <c r="V13" s="13">
        <v>115.69410000000001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/>
      <c r="AC13" s="13">
        <v>1346.6467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P13" s="13">
        <v>1</v>
      </c>
    </row>
    <row r="14" spans="1:42" ht="11.25" customHeight="1" x14ac:dyDescent="0.3">
      <c r="A14" s="137"/>
      <c r="B14" s="137"/>
      <c r="C14" s="137"/>
      <c r="D14" s="137"/>
      <c r="E14" s="137"/>
      <c r="F14" s="137"/>
      <c r="G14" s="18" t="s">
        <v>81</v>
      </c>
      <c r="H14" s="18" t="s">
        <v>79</v>
      </c>
      <c r="I14" s="18">
        <f>'MERCADO TUSD'!$U$11</f>
        <v>0</v>
      </c>
      <c r="J14" s="15"/>
      <c r="L14" s="13"/>
      <c r="M14" s="13"/>
      <c r="N14" s="13"/>
      <c r="O14" s="13"/>
      <c r="P14" s="13"/>
      <c r="Q14" s="13"/>
      <c r="R14" s="13"/>
      <c r="S14" s="13"/>
      <c r="T14" s="13"/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/>
      <c r="AC14" s="13">
        <v>0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P14" s="13">
        <v>1</v>
      </c>
    </row>
    <row r="15" spans="1:42" ht="11.25" customHeight="1" x14ac:dyDescent="0.3">
      <c r="A15" s="137"/>
      <c r="B15" s="137" t="s">
        <v>23</v>
      </c>
      <c r="C15" s="137" t="s">
        <v>25</v>
      </c>
      <c r="D15" s="137" t="s">
        <v>25</v>
      </c>
      <c r="E15" s="137" t="s">
        <v>25</v>
      </c>
      <c r="F15" s="137" t="s">
        <v>25</v>
      </c>
      <c r="G15" s="18" t="s">
        <v>9</v>
      </c>
      <c r="H15" s="18" t="s">
        <v>84</v>
      </c>
      <c r="I15" s="18">
        <f>'MERCADO TUSD'!$U$12</f>
        <v>0</v>
      </c>
      <c r="J15" s="15"/>
      <c r="L15" s="13"/>
      <c r="M15" s="13"/>
      <c r="N15" s="13"/>
      <c r="O15" s="13"/>
      <c r="P15" s="13"/>
      <c r="Q15" s="13"/>
      <c r="R15" s="13"/>
      <c r="S15" s="13"/>
      <c r="T15" s="13"/>
      <c r="U15" s="13">
        <v>11.836399999999999</v>
      </c>
      <c r="V15" s="13">
        <v>6.3381999999999996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/>
      <c r="AC15" s="13">
        <v>60.9985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P15" s="13">
        <v>1</v>
      </c>
    </row>
    <row r="16" spans="1:42" ht="11.25" customHeight="1" x14ac:dyDescent="0.3">
      <c r="A16" s="137"/>
      <c r="B16" s="137"/>
      <c r="C16" s="137"/>
      <c r="D16" s="137"/>
      <c r="E16" s="137"/>
      <c r="F16" s="137"/>
      <c r="G16" s="18" t="s">
        <v>83</v>
      </c>
      <c r="H16" s="18" t="s">
        <v>79</v>
      </c>
      <c r="I16" s="18">
        <f>'MERCADO TUSD'!$U$13</f>
        <v>0</v>
      </c>
      <c r="J16" s="15"/>
      <c r="L16" s="13"/>
      <c r="M16" s="13"/>
      <c r="N16" s="13"/>
      <c r="O16" s="13"/>
      <c r="P16" s="13"/>
      <c r="Q16" s="13"/>
      <c r="R16" s="13"/>
      <c r="S16" s="13"/>
      <c r="T16" s="13"/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/>
      <c r="AC16" s="13">
        <v>0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P16" s="13">
        <v>1</v>
      </c>
    </row>
    <row r="17" spans="1:42" ht="11.25" customHeight="1" x14ac:dyDescent="0.3">
      <c r="A17" s="137" t="s">
        <v>39</v>
      </c>
      <c r="B17" s="137" t="s">
        <v>42</v>
      </c>
      <c r="C17" s="137" t="s">
        <v>25</v>
      </c>
      <c r="D17" s="137" t="s">
        <v>25</v>
      </c>
      <c r="E17" s="137" t="s">
        <v>25</v>
      </c>
      <c r="F17" s="137" t="s">
        <v>25</v>
      </c>
      <c r="G17" s="18" t="s">
        <v>85</v>
      </c>
      <c r="H17" s="18" t="s">
        <v>84</v>
      </c>
      <c r="I17" s="18">
        <f>'MERCADO TUSD'!$U$14</f>
        <v>6798</v>
      </c>
      <c r="J17" s="15"/>
      <c r="L17" s="13"/>
      <c r="M17" s="13"/>
      <c r="N17" s="13"/>
      <c r="O17" s="13"/>
      <c r="P17" s="13"/>
      <c r="Q17" s="13"/>
      <c r="R17" s="13"/>
      <c r="S17" s="13"/>
      <c r="T17" s="13"/>
      <c r="U17" s="13">
        <v>9.1266999999999996</v>
      </c>
      <c r="V17" s="13">
        <v>4.8106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/>
      <c r="AC17" s="13">
        <v>55.993600000000001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P17" s="13">
        <v>1</v>
      </c>
    </row>
    <row r="18" spans="1:42" ht="11.25" customHeight="1" x14ac:dyDescent="0.3">
      <c r="A18" s="137"/>
      <c r="B18" s="137"/>
      <c r="C18" s="137"/>
      <c r="D18" s="137"/>
      <c r="E18" s="137"/>
      <c r="F18" s="137"/>
      <c r="G18" s="18" t="s">
        <v>86</v>
      </c>
      <c r="H18" s="18" t="s">
        <v>84</v>
      </c>
      <c r="I18" s="18">
        <f>'MERCADO TUSD'!$U$15</f>
        <v>6877</v>
      </c>
      <c r="J18" s="15"/>
      <c r="L18" s="13"/>
      <c r="M18" s="13"/>
      <c r="N18" s="13"/>
      <c r="O18" s="13"/>
      <c r="P18" s="13"/>
      <c r="Q18" s="13"/>
      <c r="R18" s="13"/>
      <c r="S18" s="13"/>
      <c r="T18" s="13"/>
      <c r="U18" s="13">
        <v>5.2652000000000001</v>
      </c>
      <c r="V18" s="13">
        <v>2.8746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/>
      <c r="AC18" s="13">
        <v>20.6831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P18" s="13">
        <v>1</v>
      </c>
    </row>
    <row r="19" spans="1:42" ht="11.25" customHeight="1" x14ac:dyDescent="0.3">
      <c r="A19" s="137"/>
      <c r="B19" s="137"/>
      <c r="C19" s="137"/>
      <c r="D19" s="137"/>
      <c r="E19" s="137"/>
      <c r="F19" s="137"/>
      <c r="G19" s="18" t="s">
        <v>83</v>
      </c>
      <c r="H19" s="18" t="s">
        <v>79</v>
      </c>
      <c r="I19" s="18">
        <f>'MERCADO TUSD'!$U$16</f>
        <v>3550.4059999999995</v>
      </c>
      <c r="J19" s="15"/>
      <c r="L19" s="13"/>
      <c r="M19" s="13"/>
      <c r="N19" s="13"/>
      <c r="O19" s="13"/>
      <c r="P19" s="13"/>
      <c r="Q19" s="13"/>
      <c r="R19" s="13"/>
      <c r="S19" s="13"/>
      <c r="T19" s="13"/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/>
      <c r="AC19" s="13">
        <v>0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P19" s="13">
        <v>1</v>
      </c>
    </row>
    <row r="20" spans="1:42" ht="11.25" customHeight="1" x14ac:dyDescent="0.3">
      <c r="A20" s="137"/>
      <c r="B20" s="137"/>
      <c r="C20" s="137"/>
      <c r="D20" s="137"/>
      <c r="E20" s="17" t="s">
        <v>87</v>
      </c>
      <c r="F20" s="17" t="s">
        <v>25</v>
      </c>
      <c r="G20" s="18" t="s">
        <v>83</v>
      </c>
      <c r="H20" s="18" t="s">
        <v>79</v>
      </c>
      <c r="I20" s="18">
        <f>'MERCADO TUSD'!$U$17</f>
        <v>0</v>
      </c>
      <c r="J20" s="15"/>
      <c r="L20" s="13"/>
      <c r="M20" s="13"/>
      <c r="N20" s="13"/>
      <c r="O20" s="13"/>
      <c r="P20" s="13"/>
      <c r="Q20" s="13"/>
      <c r="R20" s="13"/>
      <c r="S20" s="13"/>
      <c r="T20" s="13"/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/>
      <c r="AC20" s="13">
        <v>0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P20" s="13">
        <v>1</v>
      </c>
    </row>
    <row r="21" spans="1:42" ht="11.25" customHeight="1" x14ac:dyDescent="0.3">
      <c r="A21" s="137"/>
      <c r="B21" s="17" t="s">
        <v>60</v>
      </c>
      <c r="C21" s="17" t="s">
        <v>25</v>
      </c>
      <c r="D21" s="17" t="s">
        <v>25</v>
      </c>
      <c r="E21" s="17" t="s">
        <v>25</v>
      </c>
      <c r="F21" s="17" t="s">
        <v>25</v>
      </c>
      <c r="G21" s="18" t="s">
        <v>9</v>
      </c>
      <c r="H21" s="18" t="s">
        <v>84</v>
      </c>
      <c r="I21" s="18">
        <f>'MERCADO TUSD'!$U$18</f>
        <v>0</v>
      </c>
      <c r="J21" s="15"/>
      <c r="L21" s="13"/>
      <c r="M21" s="13"/>
      <c r="N21" s="13"/>
      <c r="O21" s="13"/>
      <c r="P21" s="13"/>
      <c r="Q21" s="13"/>
      <c r="R21" s="13"/>
      <c r="S21" s="13"/>
      <c r="T21" s="13"/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/>
      <c r="AC21" s="13">
        <v>17.3431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P21" s="13"/>
    </row>
    <row r="22" spans="1:42" ht="11.25" customHeight="1" x14ac:dyDescent="0.3">
      <c r="A22" s="137"/>
      <c r="B22" s="137" t="s">
        <v>40</v>
      </c>
      <c r="C22" s="137" t="s">
        <v>25</v>
      </c>
      <c r="D22" s="137" t="s">
        <v>25</v>
      </c>
      <c r="E22" s="137" t="s">
        <v>25</v>
      </c>
      <c r="F22" s="137" t="s">
        <v>25</v>
      </c>
      <c r="G22" s="18" t="s">
        <v>9</v>
      </c>
      <c r="H22" s="18" t="s">
        <v>84</v>
      </c>
      <c r="I22" s="18">
        <f>'MERCADO TUSD'!$U$19</f>
        <v>125381</v>
      </c>
      <c r="J22" s="15"/>
      <c r="L22" s="13"/>
      <c r="M22" s="13"/>
      <c r="N22" s="13"/>
      <c r="O22" s="13"/>
      <c r="P22" s="13"/>
      <c r="Q22" s="13"/>
      <c r="R22" s="13"/>
      <c r="S22" s="13"/>
      <c r="T22" s="13"/>
      <c r="U22" s="13">
        <v>5.2652000000000001</v>
      </c>
      <c r="V22" s="13">
        <v>2.8746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/>
      <c r="AC22" s="13">
        <v>20.6831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P22" s="13">
        <v>1</v>
      </c>
    </row>
    <row r="23" spans="1:42" ht="11.25" customHeight="1" x14ac:dyDescent="0.3">
      <c r="A23" s="137"/>
      <c r="B23" s="137"/>
      <c r="C23" s="137"/>
      <c r="D23" s="137"/>
      <c r="E23" s="137"/>
      <c r="F23" s="137"/>
      <c r="G23" s="18" t="s">
        <v>80</v>
      </c>
      <c r="H23" s="18" t="s">
        <v>79</v>
      </c>
      <c r="I23" s="18">
        <f>'MERCADO TUSD'!$U$20</f>
        <v>1113.1679999999999</v>
      </c>
      <c r="J23" s="15"/>
      <c r="L23" s="13"/>
      <c r="M23" s="13"/>
      <c r="N23" s="13"/>
      <c r="O23" s="13"/>
      <c r="P23" s="13"/>
      <c r="Q23" s="13"/>
      <c r="R23" s="13"/>
      <c r="S23" s="13"/>
      <c r="T23" s="13"/>
      <c r="U23" s="13">
        <v>219.49700000000001</v>
      </c>
      <c r="V23" s="13">
        <v>115.69410000000001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/>
      <c r="AC23" s="13">
        <v>1346.6467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P23" s="13">
        <v>1</v>
      </c>
    </row>
    <row r="24" spans="1:42" ht="11.25" customHeight="1" x14ac:dyDescent="0.3">
      <c r="A24" s="137"/>
      <c r="B24" s="137"/>
      <c r="C24" s="137"/>
      <c r="D24" s="137"/>
      <c r="E24" s="137"/>
      <c r="F24" s="137"/>
      <c r="G24" s="18" t="s">
        <v>81</v>
      </c>
      <c r="H24" s="18" t="s">
        <v>79</v>
      </c>
      <c r="I24" s="18">
        <f>'MERCADO TUSD'!$U$21</f>
        <v>23039.734000000004</v>
      </c>
      <c r="J24" s="15"/>
      <c r="L24" s="13"/>
      <c r="M24" s="13"/>
      <c r="N24" s="13"/>
      <c r="O24" s="13"/>
      <c r="P24" s="13"/>
      <c r="Q24" s="13"/>
      <c r="R24" s="13"/>
      <c r="S24" s="13"/>
      <c r="T24" s="13"/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/>
      <c r="AC24" s="13">
        <v>0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P24" s="13">
        <v>1</v>
      </c>
    </row>
    <row r="25" spans="1:42" ht="11.25" customHeight="1" x14ac:dyDescent="0.3">
      <c r="A25" s="137"/>
      <c r="B25" s="137"/>
      <c r="C25" s="137"/>
      <c r="D25" s="137"/>
      <c r="E25" s="137" t="s">
        <v>87</v>
      </c>
      <c r="F25" s="137" t="s">
        <v>25</v>
      </c>
      <c r="G25" s="18" t="s">
        <v>80</v>
      </c>
      <c r="H25" s="18" t="s">
        <v>79</v>
      </c>
      <c r="I25" s="18">
        <f>'MERCADO TUSD'!$U$22</f>
        <v>0</v>
      </c>
      <c r="J25" s="15"/>
      <c r="L25" s="13"/>
      <c r="M25" s="13"/>
      <c r="N25" s="13"/>
      <c r="O25" s="13"/>
      <c r="P25" s="13"/>
      <c r="Q25" s="13"/>
      <c r="R25" s="13"/>
      <c r="S25" s="13"/>
      <c r="T25" s="13"/>
      <c r="U25" s="13">
        <v>219.49700000000001</v>
      </c>
      <c r="V25" s="13">
        <v>115.69410000000001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/>
      <c r="AC25" s="13">
        <v>1346.6467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P25" s="13">
        <v>1</v>
      </c>
    </row>
    <row r="26" spans="1:42" ht="11.25" customHeight="1" x14ac:dyDescent="0.3">
      <c r="A26" s="137"/>
      <c r="B26" s="137"/>
      <c r="C26" s="137"/>
      <c r="D26" s="137"/>
      <c r="E26" s="137"/>
      <c r="F26" s="137"/>
      <c r="G26" s="18" t="s">
        <v>81</v>
      </c>
      <c r="H26" s="18" t="s">
        <v>79</v>
      </c>
      <c r="I26" s="18">
        <f>'MERCADO TUSD'!$U$23</f>
        <v>0</v>
      </c>
      <c r="J26" s="15"/>
      <c r="L26" s="13"/>
      <c r="M26" s="13"/>
      <c r="N26" s="13"/>
      <c r="O26" s="13"/>
      <c r="P26" s="13"/>
      <c r="Q26" s="13"/>
      <c r="R26" s="13"/>
      <c r="S26" s="13"/>
      <c r="T26" s="13"/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/>
      <c r="AC26" s="13">
        <v>0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P26" s="13">
        <v>1</v>
      </c>
    </row>
    <row r="27" spans="1:42" ht="11.25" customHeight="1" x14ac:dyDescent="0.3">
      <c r="A27" s="137" t="s">
        <v>88</v>
      </c>
      <c r="B27" s="137" t="s">
        <v>60</v>
      </c>
      <c r="C27" s="137" t="s">
        <v>25</v>
      </c>
      <c r="D27" s="137" t="s">
        <v>25</v>
      </c>
      <c r="E27" s="17" t="s">
        <v>89</v>
      </c>
      <c r="F27" s="17" t="s">
        <v>25</v>
      </c>
      <c r="G27" s="18" t="s">
        <v>9</v>
      </c>
      <c r="H27" s="18" t="s">
        <v>84</v>
      </c>
      <c r="I27" s="18">
        <f>'MERCADO TUSD'!$U$24+0.00000001</f>
        <v>1E-8</v>
      </c>
      <c r="J27" s="15"/>
      <c r="L27" s="13"/>
      <c r="M27" s="13"/>
      <c r="N27" s="13"/>
      <c r="O27" s="13"/>
      <c r="P27" s="13"/>
      <c r="Q27" s="13"/>
      <c r="R27" s="13"/>
      <c r="S27" s="13"/>
      <c r="T27" s="13"/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/>
      <c r="AC27" s="13">
        <v>5.2133000000000003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P27" s="13"/>
    </row>
    <row r="28" spans="1:42" ht="11.25" customHeight="1" x14ac:dyDescent="0.3">
      <c r="A28" s="137"/>
      <c r="B28" s="137"/>
      <c r="C28" s="137"/>
      <c r="D28" s="137"/>
      <c r="E28" s="17" t="s">
        <v>90</v>
      </c>
      <c r="F28" s="17" t="s">
        <v>25</v>
      </c>
      <c r="G28" s="18" t="s">
        <v>9</v>
      </c>
      <c r="H28" s="18" t="s">
        <v>84</v>
      </c>
      <c r="I28" s="18">
        <f>'MERCADO TUSD'!$U$25+0.00000001</f>
        <v>1E-8</v>
      </c>
      <c r="J28" s="15"/>
      <c r="L28" s="13"/>
      <c r="M28" s="13"/>
      <c r="N28" s="13"/>
      <c r="O28" s="13"/>
      <c r="P28" s="13"/>
      <c r="Q28" s="13"/>
      <c r="R28" s="13"/>
      <c r="S28" s="13"/>
      <c r="T28" s="13"/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/>
      <c r="AC28" s="13">
        <v>19.2332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P28" s="13"/>
    </row>
    <row r="29" spans="1:42" ht="11.25" customHeight="1" x14ac:dyDescent="0.3">
      <c r="A29" s="137" t="s">
        <v>22</v>
      </c>
      <c r="B29" s="137" t="s">
        <v>33</v>
      </c>
      <c r="C29" s="137" t="s">
        <v>24</v>
      </c>
      <c r="D29" s="137" t="s">
        <v>24</v>
      </c>
      <c r="E29" s="137" t="s">
        <v>25</v>
      </c>
      <c r="F29" s="137" t="s">
        <v>25</v>
      </c>
      <c r="G29" s="18" t="s">
        <v>80</v>
      </c>
      <c r="H29" s="18" t="s">
        <v>79</v>
      </c>
      <c r="I29" s="18">
        <f>'MERCADO TUSD'!$U$26</f>
        <v>5.2</v>
      </c>
      <c r="J29" s="15"/>
      <c r="L29" s="13"/>
      <c r="M29" s="13"/>
      <c r="N29" s="13"/>
      <c r="O29" s="13"/>
      <c r="P29" s="13"/>
      <c r="Q29" s="13"/>
      <c r="R29" s="13"/>
      <c r="S29" s="13"/>
      <c r="T29" s="13"/>
      <c r="U29" s="13">
        <v>96.237700000000004</v>
      </c>
      <c r="V29" s="13">
        <v>51.510800000000003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/>
      <c r="AC29" s="13">
        <v>720.17010000000005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P29" s="13">
        <v>1</v>
      </c>
    </row>
    <row r="30" spans="1:42" ht="11.25" customHeight="1" x14ac:dyDescent="0.3">
      <c r="A30" s="137"/>
      <c r="B30" s="137"/>
      <c r="C30" s="137"/>
      <c r="D30" s="137"/>
      <c r="E30" s="137"/>
      <c r="F30" s="137"/>
      <c r="G30" s="18" t="s">
        <v>91</v>
      </c>
      <c r="H30" s="18" t="s">
        <v>79</v>
      </c>
      <c r="I30" s="18">
        <f>'MERCADO TUSD'!$U$27</f>
        <v>3.3950000000000005</v>
      </c>
      <c r="J30" s="15"/>
      <c r="L30" s="13"/>
      <c r="M30" s="13"/>
      <c r="N30" s="13"/>
      <c r="O30" s="13"/>
      <c r="P30" s="13"/>
      <c r="Q30" s="13"/>
      <c r="R30" s="13"/>
      <c r="S30" s="13"/>
      <c r="T30" s="13"/>
      <c r="U30" s="13">
        <v>57.742600000000003</v>
      </c>
      <c r="V30" s="13">
        <v>30.906500000000001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/>
      <c r="AC30" s="13">
        <v>432.10210000000001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P30" s="13">
        <v>1</v>
      </c>
    </row>
    <row r="31" spans="1:42" ht="11.25" customHeight="1" x14ac:dyDescent="0.3">
      <c r="A31" s="137"/>
      <c r="B31" s="137"/>
      <c r="C31" s="137"/>
      <c r="D31" s="137"/>
      <c r="E31" s="137"/>
      <c r="F31" s="137"/>
      <c r="G31" s="18" t="s">
        <v>81</v>
      </c>
      <c r="H31" s="18" t="s">
        <v>79</v>
      </c>
      <c r="I31" s="18">
        <f>'MERCADO TUSD'!$U$28</f>
        <v>48.124000000000009</v>
      </c>
      <c r="J31" s="15"/>
      <c r="L31" s="13"/>
      <c r="M31" s="13"/>
      <c r="N31" s="13"/>
      <c r="O31" s="13"/>
      <c r="P31" s="13"/>
      <c r="Q31" s="13"/>
      <c r="R31" s="13"/>
      <c r="S31" s="13"/>
      <c r="T31" s="13"/>
      <c r="U31" s="13">
        <v>19.247499999999999</v>
      </c>
      <c r="V31" s="13">
        <v>10.302199999999999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/>
      <c r="AC31" s="13">
        <v>144.03399999999999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P31" s="13">
        <v>1</v>
      </c>
    </row>
    <row r="32" spans="1:42" ht="11.25" customHeight="1" x14ac:dyDescent="0.3">
      <c r="A32" s="137"/>
      <c r="B32" s="137" t="s">
        <v>23</v>
      </c>
      <c r="C32" s="137" t="s">
        <v>24</v>
      </c>
      <c r="D32" s="17" t="s">
        <v>24</v>
      </c>
      <c r="E32" s="17" t="s">
        <v>25</v>
      </c>
      <c r="F32" s="17" t="s">
        <v>25</v>
      </c>
      <c r="G32" s="18" t="s">
        <v>83</v>
      </c>
      <c r="H32" s="18" t="s">
        <v>79</v>
      </c>
      <c r="I32" s="18">
        <f>'MERCADO TUSD'!$U$29</f>
        <v>46756.356999999996</v>
      </c>
      <c r="J32" s="15"/>
      <c r="L32" s="13"/>
      <c r="M32" s="13"/>
      <c r="N32" s="13"/>
      <c r="O32" s="13"/>
      <c r="P32" s="13"/>
      <c r="Q32" s="13"/>
      <c r="R32" s="13"/>
      <c r="S32" s="13"/>
      <c r="T32" s="13"/>
      <c r="U32" s="13">
        <v>29.611599999999999</v>
      </c>
      <c r="V32" s="13">
        <v>15.849500000000001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/>
      <c r="AC32" s="13">
        <v>221.5908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P32" s="13">
        <v>1</v>
      </c>
    </row>
    <row r="33" spans="1:42" ht="11.25" customHeight="1" x14ac:dyDescent="0.3">
      <c r="A33" s="137"/>
      <c r="B33" s="137"/>
      <c r="C33" s="137"/>
      <c r="D33" s="17" t="s">
        <v>29</v>
      </c>
      <c r="E33" s="17" t="s">
        <v>25</v>
      </c>
      <c r="F33" s="17" t="s">
        <v>25</v>
      </c>
      <c r="G33" s="18" t="s">
        <v>83</v>
      </c>
      <c r="H33" s="18" t="s">
        <v>79</v>
      </c>
      <c r="I33" s="18">
        <f>'MERCADO TUSD'!$U$30</f>
        <v>1110.3100000000002</v>
      </c>
      <c r="J33" s="15"/>
      <c r="L33" s="13"/>
      <c r="M33" s="13"/>
      <c r="N33" s="13"/>
      <c r="O33" s="13"/>
      <c r="P33" s="13"/>
      <c r="Q33" s="13"/>
      <c r="R33" s="13"/>
      <c r="S33" s="13"/>
      <c r="T33" s="13"/>
      <c r="U33" s="13">
        <f>(1 - CUSTOS!$M$24)*29.6116</f>
        <v>29.611599999999999</v>
      </c>
      <c r="V33" s="13">
        <f>(1 - CUSTOS!$M$24)*15.8495</f>
        <v>15.849500000000001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/>
      <c r="AC33" s="13">
        <f>(1 - CUSTOS!$M$24)*221.5908</f>
        <v>221.5908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P33" s="13">
        <f>IF((1 - CUSTOS!$M$24)&lt;&gt;0,1/(1 - CUSTOS!$M$24),1)</f>
        <v>1</v>
      </c>
    </row>
    <row r="34" spans="1:42" ht="11.25" customHeight="1" x14ac:dyDescent="0.3">
      <c r="A34" s="137"/>
      <c r="B34" s="137"/>
      <c r="C34" s="137"/>
      <c r="D34" s="17" t="s">
        <v>30</v>
      </c>
      <c r="E34" s="17" t="s">
        <v>25</v>
      </c>
      <c r="F34" s="17" t="s">
        <v>25</v>
      </c>
      <c r="G34" s="18" t="s">
        <v>83</v>
      </c>
      <c r="H34" s="18" t="s">
        <v>79</v>
      </c>
      <c r="I34" s="18">
        <f>'MERCADO TUSD'!$U$31</f>
        <v>2263.0230000000001</v>
      </c>
      <c r="J34" s="15"/>
      <c r="L34" s="13"/>
      <c r="M34" s="13"/>
      <c r="N34" s="13"/>
      <c r="O34" s="13"/>
      <c r="P34" s="13"/>
      <c r="Q34" s="13"/>
      <c r="R34" s="13"/>
      <c r="S34" s="13"/>
      <c r="T34" s="13"/>
      <c r="U34" s="13">
        <f>(1 - CUSTOS!$M$25)*29.6116</f>
        <v>29.611599999999999</v>
      </c>
      <c r="V34" s="13">
        <f>(1 - CUSTOS!$M$25)*15.8495</f>
        <v>15.849500000000001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/>
      <c r="AC34" s="13">
        <f>(1 - CUSTOS!$M$25)*221.5908</f>
        <v>221.5908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P34" s="13">
        <f>IF((1 - CUSTOS!$M$25)&lt;&gt;0,1/(1 - CUSTOS!$M$25),1)</f>
        <v>1</v>
      </c>
    </row>
    <row r="35" spans="1:42" ht="11.25" customHeight="1" x14ac:dyDescent="0.3">
      <c r="A35" s="137"/>
      <c r="B35" s="137"/>
      <c r="C35" s="137"/>
      <c r="D35" s="17" t="s">
        <v>31</v>
      </c>
      <c r="E35" s="17" t="s">
        <v>25</v>
      </c>
      <c r="F35" s="17" t="s">
        <v>25</v>
      </c>
      <c r="G35" s="18" t="s">
        <v>83</v>
      </c>
      <c r="H35" s="18" t="s">
        <v>79</v>
      </c>
      <c r="I35" s="18">
        <f>'MERCADO TUSD'!$U$32</f>
        <v>1590.454</v>
      </c>
      <c r="J35" s="15"/>
      <c r="L35" s="13"/>
      <c r="M35" s="13"/>
      <c r="N35" s="13"/>
      <c r="O35" s="13"/>
      <c r="P35" s="13"/>
      <c r="Q35" s="13"/>
      <c r="R35" s="13"/>
      <c r="S35" s="13"/>
      <c r="T35" s="13"/>
      <c r="U35" s="13">
        <f>(1 - CUSTOS!$M$26)*29.6116</f>
        <v>29.611599999999999</v>
      </c>
      <c r="V35" s="13">
        <f>(1 - CUSTOS!$M$26)*15.8495</f>
        <v>15.849500000000001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/>
      <c r="AC35" s="13">
        <f>(1 - CUSTOS!$M$26)*221.5908</f>
        <v>221.5908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P35" s="13">
        <f>IF((1 - CUSTOS!$M$26)&lt;&gt;0,1/(1 - CUSTOS!$M$26),1)</f>
        <v>1</v>
      </c>
    </row>
    <row r="36" spans="1:42" ht="11.25" customHeight="1" x14ac:dyDescent="0.3">
      <c r="A36" s="137"/>
      <c r="B36" s="137"/>
      <c r="C36" s="137"/>
      <c r="D36" s="17" t="s">
        <v>32</v>
      </c>
      <c r="E36" s="17" t="s">
        <v>25</v>
      </c>
      <c r="F36" s="17" t="s">
        <v>25</v>
      </c>
      <c r="G36" s="18" t="s">
        <v>83</v>
      </c>
      <c r="H36" s="18" t="s">
        <v>79</v>
      </c>
      <c r="I36" s="18">
        <f>'MERCADO TUSD'!$U$33</f>
        <v>284.12699999999995</v>
      </c>
      <c r="J36" s="15"/>
      <c r="L36" s="13"/>
      <c r="M36" s="13"/>
      <c r="N36" s="13"/>
      <c r="O36" s="13"/>
      <c r="P36" s="13"/>
      <c r="Q36" s="13"/>
      <c r="R36" s="13"/>
      <c r="S36" s="13"/>
      <c r="T36" s="13"/>
      <c r="U36" s="13">
        <f>(1 - CUSTOS!$M$27)*29.6116</f>
        <v>29.611599999999999</v>
      </c>
      <c r="V36" s="13">
        <f>(1 - CUSTOS!$M$27)*15.8495</f>
        <v>15.849500000000001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/>
      <c r="AC36" s="13">
        <f>(1 - CUSTOS!$M$27)*221.5908</f>
        <v>221.5908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P36" s="13">
        <f>IF((1 - CUSTOS!$M$27)&lt;&gt;0,1/(1 - CUSTOS!$M$27),1)</f>
        <v>1</v>
      </c>
    </row>
    <row r="37" spans="1:42" ht="11.25" customHeight="1" x14ac:dyDescent="0.3">
      <c r="A37" s="137"/>
      <c r="B37" s="137" t="s">
        <v>93</v>
      </c>
      <c r="C37" s="137" t="s">
        <v>24</v>
      </c>
      <c r="D37" s="17" t="s">
        <v>24</v>
      </c>
      <c r="E37" s="17" t="s">
        <v>25</v>
      </c>
      <c r="F37" s="17" t="s">
        <v>25</v>
      </c>
      <c r="G37" s="18" t="s">
        <v>83</v>
      </c>
      <c r="H37" s="18" t="s">
        <v>79</v>
      </c>
      <c r="I37" s="18">
        <f>'MERCADO TUSD'!$U$34</f>
        <v>0</v>
      </c>
      <c r="J37" s="15"/>
      <c r="L37" s="13"/>
      <c r="M37" s="13"/>
      <c r="N37" s="13"/>
      <c r="O37" s="13"/>
      <c r="P37" s="13"/>
      <c r="Q37" s="13"/>
      <c r="R37" s="13"/>
      <c r="S37" s="13"/>
      <c r="T37" s="13"/>
      <c r="U37" s="13">
        <v>29.611599999999999</v>
      </c>
      <c r="V37" s="13">
        <v>15.849500000000001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/>
      <c r="AC37" s="13">
        <v>221.5908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P37" s="13">
        <v>1</v>
      </c>
    </row>
    <row r="38" spans="1:42" ht="11.25" customHeight="1" x14ac:dyDescent="0.3">
      <c r="A38" s="137"/>
      <c r="B38" s="137"/>
      <c r="C38" s="137"/>
      <c r="D38" s="17" t="s">
        <v>29</v>
      </c>
      <c r="E38" s="17" t="s">
        <v>25</v>
      </c>
      <c r="F38" s="17" t="s">
        <v>25</v>
      </c>
      <c r="G38" s="18" t="s">
        <v>83</v>
      </c>
      <c r="H38" s="18" t="s">
        <v>79</v>
      </c>
      <c r="I38" s="18">
        <f>'MERCADO TUSD'!$U$35</f>
        <v>0</v>
      </c>
      <c r="J38" s="15"/>
      <c r="L38" s="13"/>
      <c r="M38" s="13"/>
      <c r="N38" s="13"/>
      <c r="O38" s="13"/>
      <c r="P38" s="13"/>
      <c r="Q38" s="13"/>
      <c r="R38" s="13"/>
      <c r="S38" s="13"/>
      <c r="T38" s="13"/>
      <c r="U38" s="13">
        <f>(1 - CUSTOS!$M$24)*29.6116</f>
        <v>29.611599999999999</v>
      </c>
      <c r="V38" s="13">
        <f>(1 - CUSTOS!$M$24)*15.8495</f>
        <v>15.849500000000001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/>
      <c r="AC38" s="13">
        <f>(1 - CUSTOS!$M$24)*221.5908</f>
        <v>221.5908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P38" s="13">
        <f>IF((1 - CUSTOS!$M$24)&lt;&gt;0,1/(1 - CUSTOS!$M$24),1)</f>
        <v>1</v>
      </c>
    </row>
    <row r="39" spans="1:42" ht="11.25" customHeight="1" x14ac:dyDescent="0.3">
      <c r="A39" s="137"/>
      <c r="B39" s="137"/>
      <c r="C39" s="137"/>
      <c r="D39" s="17" t="s">
        <v>30</v>
      </c>
      <c r="E39" s="17" t="s">
        <v>25</v>
      </c>
      <c r="F39" s="17" t="s">
        <v>25</v>
      </c>
      <c r="G39" s="18" t="s">
        <v>83</v>
      </c>
      <c r="H39" s="18" t="s">
        <v>79</v>
      </c>
      <c r="I39" s="18">
        <f>'MERCADO TUSD'!$U$36</f>
        <v>0</v>
      </c>
      <c r="J39" s="15"/>
      <c r="L39" s="13"/>
      <c r="M39" s="13"/>
      <c r="N39" s="13"/>
      <c r="O39" s="13"/>
      <c r="P39" s="13"/>
      <c r="Q39" s="13"/>
      <c r="R39" s="13"/>
      <c r="S39" s="13"/>
      <c r="T39" s="13"/>
      <c r="U39" s="13">
        <f>(1 - CUSTOS!$M$25)*29.6116</f>
        <v>29.611599999999999</v>
      </c>
      <c r="V39" s="13">
        <f>(1 - CUSTOS!$M$25)*15.8495</f>
        <v>15.849500000000001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/>
      <c r="AC39" s="13">
        <f>(1 - CUSTOS!$M$25)*221.5908</f>
        <v>221.5908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P39" s="13">
        <f>IF((1 - CUSTOS!$M$25)&lt;&gt;0,1/(1 - CUSTOS!$M$25),1)</f>
        <v>1</v>
      </c>
    </row>
    <row r="40" spans="1:42" ht="11.25" customHeight="1" x14ac:dyDescent="0.3">
      <c r="A40" s="137"/>
      <c r="B40" s="137"/>
      <c r="C40" s="137"/>
      <c r="D40" s="17" t="s">
        <v>31</v>
      </c>
      <c r="E40" s="17" t="s">
        <v>25</v>
      </c>
      <c r="F40" s="17" t="s">
        <v>25</v>
      </c>
      <c r="G40" s="18" t="s">
        <v>83</v>
      </c>
      <c r="H40" s="18" t="s">
        <v>79</v>
      </c>
      <c r="I40" s="18">
        <f>'MERCADO TUSD'!$U$37</f>
        <v>0</v>
      </c>
      <c r="J40" s="15"/>
      <c r="L40" s="13"/>
      <c r="M40" s="13"/>
      <c r="N40" s="13"/>
      <c r="O40" s="13"/>
      <c r="P40" s="13"/>
      <c r="Q40" s="13"/>
      <c r="R40" s="13"/>
      <c r="S40" s="13"/>
      <c r="T40" s="13"/>
      <c r="U40" s="13">
        <f>(1 - CUSTOS!$M$26)*29.6116</f>
        <v>29.611599999999999</v>
      </c>
      <c r="V40" s="13">
        <f>(1 - CUSTOS!$M$26)*15.8495</f>
        <v>15.849500000000001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/>
      <c r="AC40" s="13">
        <f>(1 - CUSTOS!$M$26)*221.5908</f>
        <v>221.5908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P40" s="13">
        <f>IF((1 - CUSTOS!$M$26)&lt;&gt;0,1/(1 - CUSTOS!$M$26),1)</f>
        <v>1</v>
      </c>
    </row>
    <row r="41" spans="1:42" ht="11.25" customHeight="1" x14ac:dyDescent="0.3">
      <c r="A41" s="137"/>
      <c r="B41" s="137"/>
      <c r="C41" s="137"/>
      <c r="D41" s="17" t="s">
        <v>32</v>
      </c>
      <c r="E41" s="17" t="s">
        <v>25</v>
      </c>
      <c r="F41" s="17" t="s">
        <v>25</v>
      </c>
      <c r="G41" s="18" t="s">
        <v>83</v>
      </c>
      <c r="H41" s="18" t="s">
        <v>79</v>
      </c>
      <c r="I41" s="18">
        <f>'MERCADO TUSD'!$U$38</f>
        <v>0</v>
      </c>
      <c r="J41" s="15"/>
      <c r="L41" s="13"/>
      <c r="M41" s="13"/>
      <c r="N41" s="13"/>
      <c r="O41" s="13"/>
      <c r="P41" s="13"/>
      <c r="Q41" s="13"/>
      <c r="R41" s="13"/>
      <c r="S41" s="13"/>
      <c r="T41" s="13"/>
      <c r="U41" s="13">
        <f>(1 - CUSTOS!$M$27)*29.6116</f>
        <v>29.611599999999999</v>
      </c>
      <c r="V41" s="13">
        <f>(1 - CUSTOS!$M$27)*15.8495</f>
        <v>15.849500000000001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/>
      <c r="AC41" s="13">
        <f>(1 - CUSTOS!$M$27)*221.5908</f>
        <v>221.5908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P41" s="13">
        <f>IF((1 - CUSTOS!$M$27)&lt;&gt;0,1/(1 - CUSTOS!$M$27),1)</f>
        <v>1</v>
      </c>
    </row>
    <row r="42" spans="1:42" ht="11.25" customHeight="1" x14ac:dyDescent="0.3">
      <c r="A42" s="137" t="s">
        <v>43</v>
      </c>
      <c r="B42" s="137" t="s">
        <v>33</v>
      </c>
      <c r="C42" s="137" t="s">
        <v>44</v>
      </c>
      <c r="D42" s="137" t="s">
        <v>25</v>
      </c>
      <c r="E42" s="137" t="s">
        <v>25</v>
      </c>
      <c r="F42" s="137" t="s">
        <v>25</v>
      </c>
      <c r="G42" s="18" t="s">
        <v>80</v>
      </c>
      <c r="H42" s="18" t="s">
        <v>79</v>
      </c>
      <c r="I42" s="18">
        <f>'MERCADO TUSD'!$U$39</f>
        <v>0</v>
      </c>
      <c r="J42" s="15"/>
      <c r="L42" s="13"/>
      <c r="M42" s="13"/>
      <c r="N42" s="13"/>
      <c r="O42" s="13"/>
      <c r="P42" s="13"/>
      <c r="Q42" s="13"/>
      <c r="R42" s="13"/>
      <c r="S42" s="13"/>
      <c r="T42" s="13"/>
      <c r="U42" s="13">
        <f>(1 - CUSTOS!$M$28)*97.7183</f>
        <v>97.718299999999999</v>
      </c>
      <c r="V42" s="13">
        <f>(1 - CUSTOS!$M$28)*52.3033</f>
        <v>52.3033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/>
      <c r="AC42" s="13">
        <f>(1 - CUSTOS!$M$28)*731.2497</f>
        <v>731.24969999999996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P42" s="13">
        <f>IF((1 - CUSTOS!$M$28)&lt;&gt;0,1/(1 - CUSTOS!$M$28),1)</f>
        <v>1</v>
      </c>
    </row>
    <row r="43" spans="1:42" ht="11.25" customHeight="1" x14ac:dyDescent="0.3">
      <c r="A43" s="137"/>
      <c r="B43" s="137"/>
      <c r="C43" s="137"/>
      <c r="D43" s="137"/>
      <c r="E43" s="137"/>
      <c r="F43" s="137"/>
      <c r="G43" s="18" t="s">
        <v>91</v>
      </c>
      <c r="H43" s="18" t="s">
        <v>79</v>
      </c>
      <c r="I43" s="18">
        <f>'MERCADO TUSD'!$U$40</f>
        <v>0</v>
      </c>
      <c r="J43" s="15"/>
      <c r="L43" s="13"/>
      <c r="M43" s="13"/>
      <c r="N43" s="13"/>
      <c r="O43" s="13"/>
      <c r="P43" s="13"/>
      <c r="Q43" s="13"/>
      <c r="R43" s="13"/>
      <c r="S43" s="13"/>
      <c r="T43" s="13"/>
      <c r="U43" s="13">
        <f>(1 - CUSTOS!$M$28)*58.631</f>
        <v>58.631</v>
      </c>
      <c r="V43" s="13">
        <f>(1 - CUSTOS!$M$28)*31.382</f>
        <v>31.382000000000001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/>
      <c r="AC43" s="13">
        <f>(1 - CUSTOS!$M$28)*438.7498</f>
        <v>438.74979999999999</v>
      </c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P43" s="13">
        <f>IF((1 - CUSTOS!$M$28)&lt;&gt;0,1/(1 - CUSTOS!$M$28),1)</f>
        <v>1</v>
      </c>
    </row>
    <row r="44" spans="1:42" ht="11.25" customHeight="1" x14ac:dyDescent="0.3">
      <c r="A44" s="137"/>
      <c r="B44" s="137"/>
      <c r="C44" s="137"/>
      <c r="D44" s="137"/>
      <c r="E44" s="137"/>
      <c r="F44" s="137"/>
      <c r="G44" s="18" t="s">
        <v>81</v>
      </c>
      <c r="H44" s="18" t="s">
        <v>79</v>
      </c>
      <c r="I44" s="18">
        <f>'MERCADO TUSD'!$U$41</f>
        <v>0</v>
      </c>
      <c r="J44" s="15"/>
      <c r="L44" s="13"/>
      <c r="M44" s="13"/>
      <c r="N44" s="13"/>
      <c r="O44" s="13"/>
      <c r="P44" s="13"/>
      <c r="Q44" s="13"/>
      <c r="R44" s="13"/>
      <c r="S44" s="13"/>
      <c r="T44" s="13"/>
      <c r="U44" s="13">
        <f>(1 - CUSTOS!$M$28)*19.5437</f>
        <v>19.543700000000001</v>
      </c>
      <c r="V44" s="13">
        <f>(1 - CUSTOS!$M$28)*10.4607</f>
        <v>10.460699999999999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/>
      <c r="AC44" s="13">
        <f>(1 - CUSTOS!$M$28)*146.2499</f>
        <v>146.2499</v>
      </c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P44" s="13">
        <f>IF((1 - CUSTOS!$M$28)&lt;&gt;0,1/(1 - CUSTOS!$M$28),1)</f>
        <v>1</v>
      </c>
    </row>
    <row r="45" spans="1:42" ht="11.25" customHeight="1" x14ac:dyDescent="0.3">
      <c r="A45" s="137"/>
      <c r="B45" s="17" t="s">
        <v>23</v>
      </c>
      <c r="C45" s="17" t="s">
        <v>44</v>
      </c>
      <c r="D45" s="17" t="s">
        <v>25</v>
      </c>
      <c r="E45" s="17" t="s">
        <v>25</v>
      </c>
      <c r="F45" s="17" t="s">
        <v>25</v>
      </c>
      <c r="G45" s="18" t="s">
        <v>83</v>
      </c>
      <c r="H45" s="18" t="s">
        <v>79</v>
      </c>
      <c r="I45" s="18">
        <f>'MERCADO TUSD'!$U$42</f>
        <v>17613.978000000003</v>
      </c>
      <c r="J45" s="15"/>
      <c r="L45" s="13"/>
      <c r="M45" s="13"/>
      <c r="N45" s="13"/>
      <c r="O45" s="13"/>
      <c r="P45" s="13"/>
      <c r="Q45" s="13"/>
      <c r="R45" s="13"/>
      <c r="S45" s="13"/>
      <c r="T45" s="13"/>
      <c r="U45" s="13">
        <f>(1 - CUSTOS!$M$28)*29.6116</f>
        <v>29.611599999999999</v>
      </c>
      <c r="V45" s="13">
        <f>(1 - CUSTOS!$M$28)*15.8495</f>
        <v>15.849500000000001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/>
      <c r="AC45" s="13">
        <f>(1 - CUSTOS!$M$28)*221.5908</f>
        <v>221.5908</v>
      </c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P45" s="13">
        <f>IF((1 - CUSTOS!$M$28)&lt;&gt;0,1/(1 - CUSTOS!$M$28),1)</f>
        <v>1</v>
      </c>
    </row>
    <row r="46" spans="1:42" ht="11.25" customHeight="1" x14ac:dyDescent="0.3">
      <c r="A46" s="137"/>
      <c r="B46" s="137" t="s">
        <v>33</v>
      </c>
      <c r="C46" s="137" t="s">
        <v>44</v>
      </c>
      <c r="D46" s="137" t="s">
        <v>94</v>
      </c>
      <c r="E46" s="137" t="s">
        <v>25</v>
      </c>
      <c r="F46" s="137" t="s">
        <v>25</v>
      </c>
      <c r="G46" s="18" t="s">
        <v>80</v>
      </c>
      <c r="H46" s="18" t="s">
        <v>79</v>
      </c>
      <c r="I46" s="18">
        <f>'MERCADO TUSD'!$U$43</f>
        <v>0</v>
      </c>
      <c r="J46" s="15"/>
      <c r="L46" s="13"/>
      <c r="M46" s="13"/>
      <c r="N46" s="13"/>
      <c r="O46" s="13"/>
      <c r="P46" s="13"/>
      <c r="Q46" s="13"/>
      <c r="R46" s="13"/>
      <c r="S46" s="13"/>
      <c r="T46" s="13"/>
      <c r="U46" s="13">
        <f>(1 - CUSTOS!$M$29)*97.7183</f>
        <v>97.718299999999999</v>
      </c>
      <c r="V46" s="13">
        <f>(1 - CUSTOS!$M$29)*52.3033</f>
        <v>52.3033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/>
      <c r="AC46" s="13">
        <f>(1 - CUSTOS!$M$29)*731.2497</f>
        <v>731.24969999999996</v>
      </c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P46" s="13">
        <f>IF((1 - CUSTOS!$M$29)&lt;&gt;0,1/(1 - CUSTOS!$M$29),1)</f>
        <v>1</v>
      </c>
    </row>
    <row r="47" spans="1:42" ht="11.25" customHeight="1" x14ac:dyDescent="0.3">
      <c r="A47" s="137"/>
      <c r="B47" s="137"/>
      <c r="C47" s="137"/>
      <c r="D47" s="137"/>
      <c r="E47" s="137"/>
      <c r="F47" s="137"/>
      <c r="G47" s="18" t="s">
        <v>91</v>
      </c>
      <c r="H47" s="18" t="s">
        <v>79</v>
      </c>
      <c r="I47" s="18">
        <f>'MERCADO TUSD'!$U$44</f>
        <v>0</v>
      </c>
      <c r="J47" s="15"/>
      <c r="L47" s="13"/>
      <c r="M47" s="13"/>
      <c r="N47" s="13"/>
      <c r="O47" s="13"/>
      <c r="P47" s="13"/>
      <c r="Q47" s="13"/>
      <c r="R47" s="13"/>
      <c r="S47" s="13"/>
      <c r="T47" s="13"/>
      <c r="U47" s="13">
        <f>(1 - CUSTOS!$M$29)*58.631</f>
        <v>58.631</v>
      </c>
      <c r="V47" s="13">
        <f>(1 - CUSTOS!$M$29)*31.382</f>
        <v>31.382000000000001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/>
      <c r="AC47" s="13">
        <f>(1 - CUSTOS!$M$29)*438.7498</f>
        <v>438.74979999999999</v>
      </c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P47" s="13">
        <f>IF((1 - CUSTOS!$M$29)&lt;&gt;0,1/(1 - CUSTOS!$M$29),1)</f>
        <v>1</v>
      </c>
    </row>
    <row r="48" spans="1:42" ht="11.25" customHeight="1" x14ac:dyDescent="0.3">
      <c r="A48" s="137"/>
      <c r="B48" s="137"/>
      <c r="C48" s="137"/>
      <c r="D48" s="137"/>
      <c r="E48" s="137"/>
      <c r="F48" s="137"/>
      <c r="G48" s="18" t="s">
        <v>81</v>
      </c>
      <c r="H48" s="18" t="s">
        <v>79</v>
      </c>
      <c r="I48" s="18">
        <f>'MERCADO TUSD'!$U$45</f>
        <v>0</v>
      </c>
      <c r="J48" s="15"/>
      <c r="L48" s="13"/>
      <c r="M48" s="13"/>
      <c r="N48" s="13"/>
      <c r="O48" s="13"/>
      <c r="P48" s="13"/>
      <c r="Q48" s="13"/>
      <c r="R48" s="13"/>
      <c r="S48" s="13"/>
      <c r="T48" s="13"/>
      <c r="U48" s="13">
        <f>(1 - CUSTOS!$M$29)*19.5437</f>
        <v>19.543700000000001</v>
      </c>
      <c r="V48" s="13">
        <f>(1 - CUSTOS!$M$29)*10.4607</f>
        <v>10.460699999999999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/>
      <c r="AC48" s="13">
        <f>(1 - CUSTOS!$M$29)*146.2499</f>
        <v>146.2499</v>
      </c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P48" s="13">
        <f>IF((1 - CUSTOS!$M$29)&lt;&gt;0,1/(1 - CUSTOS!$M$29),1)</f>
        <v>1</v>
      </c>
    </row>
    <row r="49" spans="1:42" ht="11.25" customHeight="1" x14ac:dyDescent="0.3">
      <c r="A49" s="137"/>
      <c r="B49" s="17" t="s">
        <v>23</v>
      </c>
      <c r="C49" s="17" t="s">
        <v>44</v>
      </c>
      <c r="D49" s="17" t="s">
        <v>94</v>
      </c>
      <c r="E49" s="17" t="s">
        <v>25</v>
      </c>
      <c r="F49" s="17" t="s">
        <v>25</v>
      </c>
      <c r="G49" s="18" t="s">
        <v>83</v>
      </c>
      <c r="H49" s="18" t="s">
        <v>79</v>
      </c>
      <c r="I49" s="18">
        <f>'MERCADO TUSD'!$U$46</f>
        <v>0</v>
      </c>
      <c r="J49" s="15"/>
      <c r="L49" s="13"/>
      <c r="M49" s="13"/>
      <c r="N49" s="13"/>
      <c r="O49" s="13"/>
      <c r="P49" s="13"/>
      <c r="Q49" s="13"/>
      <c r="R49" s="13"/>
      <c r="S49" s="13"/>
      <c r="T49" s="13"/>
      <c r="U49" s="13">
        <f>(1 - CUSTOS!$M$29)*29.6116</f>
        <v>29.611599999999999</v>
      </c>
      <c r="V49" s="13">
        <f>(1 - CUSTOS!$M$29)*15.8495</f>
        <v>15.849500000000001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/>
      <c r="AC49" s="13">
        <f>(1 - CUSTOS!$M$29)*221.5908</f>
        <v>221.5908</v>
      </c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P49" s="13">
        <f>IF((1 - CUSTOS!$M$29)&lt;&gt;0,1/(1 - CUSTOS!$M$29),1)</f>
        <v>1</v>
      </c>
    </row>
    <row r="50" spans="1:42" ht="11.25" customHeight="1" x14ac:dyDescent="0.3">
      <c r="A50" s="137"/>
      <c r="B50" s="137" t="s">
        <v>33</v>
      </c>
      <c r="C50" s="137" t="s">
        <v>44</v>
      </c>
      <c r="D50" s="137" t="s">
        <v>95</v>
      </c>
      <c r="E50" s="137" t="s">
        <v>25</v>
      </c>
      <c r="F50" s="137" t="s">
        <v>25</v>
      </c>
      <c r="G50" s="18" t="s">
        <v>80</v>
      </c>
      <c r="H50" s="18" t="s">
        <v>79</v>
      </c>
      <c r="I50" s="18">
        <f>'MERCADO TUSD'!$U$47</f>
        <v>0</v>
      </c>
      <c r="J50" s="15"/>
      <c r="L50" s="13"/>
      <c r="M50" s="13"/>
      <c r="N50" s="13"/>
      <c r="O50" s="13"/>
      <c r="P50" s="13"/>
      <c r="Q50" s="13"/>
      <c r="R50" s="13"/>
      <c r="S50" s="13"/>
      <c r="T50" s="13"/>
      <c r="U50" s="13">
        <f>(1 - CUSTOS!$M$30)*97.7183</f>
        <v>97.718299999999999</v>
      </c>
      <c r="V50" s="13">
        <f>(1 - CUSTOS!$M$30)*52.3033</f>
        <v>52.3033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/>
      <c r="AC50" s="13">
        <f>(1 - CUSTOS!$M$30)*731.2497</f>
        <v>731.24969999999996</v>
      </c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P50" s="13">
        <f>IF((1 - CUSTOS!$M$30)&lt;&gt;0,1/(1 - CUSTOS!$M$30),1)</f>
        <v>1</v>
      </c>
    </row>
    <row r="51" spans="1:42" ht="11.25" customHeight="1" x14ac:dyDescent="0.3">
      <c r="A51" s="137"/>
      <c r="B51" s="137"/>
      <c r="C51" s="137"/>
      <c r="D51" s="137"/>
      <c r="E51" s="137"/>
      <c r="F51" s="137"/>
      <c r="G51" s="18" t="s">
        <v>91</v>
      </c>
      <c r="H51" s="18" t="s">
        <v>79</v>
      </c>
      <c r="I51" s="18">
        <f>'MERCADO TUSD'!$U$48</f>
        <v>0</v>
      </c>
      <c r="J51" s="15"/>
      <c r="L51" s="13"/>
      <c r="M51" s="13"/>
      <c r="N51" s="13"/>
      <c r="O51" s="13"/>
      <c r="P51" s="13"/>
      <c r="Q51" s="13"/>
      <c r="R51" s="13"/>
      <c r="S51" s="13"/>
      <c r="T51" s="13"/>
      <c r="U51" s="13">
        <f>(1 - CUSTOS!$M$30)*58.631</f>
        <v>58.631</v>
      </c>
      <c r="V51" s="13">
        <f>(1 - CUSTOS!$M$30)*31.382</f>
        <v>31.382000000000001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/>
      <c r="AC51" s="13">
        <f>(1 - CUSTOS!$M$30)*438.7498</f>
        <v>438.74979999999999</v>
      </c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P51" s="13">
        <f>IF((1 - CUSTOS!$M$30)&lt;&gt;0,1/(1 - CUSTOS!$M$30),1)</f>
        <v>1</v>
      </c>
    </row>
    <row r="52" spans="1:42" ht="11.25" customHeight="1" x14ac:dyDescent="0.3">
      <c r="A52" s="137"/>
      <c r="B52" s="137"/>
      <c r="C52" s="137"/>
      <c r="D52" s="137"/>
      <c r="E52" s="137"/>
      <c r="F52" s="137"/>
      <c r="G52" s="18" t="s">
        <v>81</v>
      </c>
      <c r="H52" s="18" t="s">
        <v>79</v>
      </c>
      <c r="I52" s="18">
        <f>'MERCADO TUSD'!$U$49</f>
        <v>0</v>
      </c>
      <c r="J52" s="15"/>
      <c r="L52" s="13"/>
      <c r="M52" s="13"/>
      <c r="N52" s="13"/>
      <c r="O52" s="13"/>
      <c r="P52" s="13"/>
      <c r="Q52" s="13"/>
      <c r="R52" s="13"/>
      <c r="S52" s="13"/>
      <c r="T52" s="13"/>
      <c r="U52" s="13">
        <f>(1 - CUSTOS!$M$30)*19.5437</f>
        <v>19.543700000000001</v>
      </c>
      <c r="V52" s="13">
        <f>(1 - CUSTOS!$M$30)*10.4607</f>
        <v>10.460699999999999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/>
      <c r="AC52" s="13">
        <f>(1 - CUSTOS!$M$30)*146.2499</f>
        <v>146.2499</v>
      </c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P52" s="13">
        <f>IF((1 - CUSTOS!$M$30)&lt;&gt;0,1/(1 - CUSTOS!$M$30),1)</f>
        <v>1</v>
      </c>
    </row>
    <row r="53" spans="1:42" ht="11.25" customHeight="1" x14ac:dyDescent="0.3">
      <c r="A53" s="137"/>
      <c r="B53" s="17" t="s">
        <v>23</v>
      </c>
      <c r="C53" s="17" t="s">
        <v>44</v>
      </c>
      <c r="D53" s="17" t="s">
        <v>95</v>
      </c>
      <c r="E53" s="17" t="s">
        <v>25</v>
      </c>
      <c r="F53" s="17" t="s">
        <v>25</v>
      </c>
      <c r="G53" s="18" t="s">
        <v>83</v>
      </c>
      <c r="H53" s="18" t="s">
        <v>79</v>
      </c>
      <c r="I53" s="18">
        <f>'MERCADO TUSD'!$U$50</f>
        <v>0</v>
      </c>
      <c r="J53" s="15"/>
      <c r="L53" s="13"/>
      <c r="M53" s="13"/>
      <c r="N53" s="13"/>
      <c r="O53" s="13"/>
      <c r="P53" s="13"/>
      <c r="Q53" s="13"/>
      <c r="R53" s="13"/>
      <c r="S53" s="13"/>
      <c r="T53" s="13"/>
      <c r="U53" s="13">
        <f>(1 - CUSTOS!$M$30)*29.6116</f>
        <v>29.611599999999999</v>
      </c>
      <c r="V53" s="13">
        <f>(1 - CUSTOS!$M$30)*15.8495</f>
        <v>15.849500000000001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/>
      <c r="AC53" s="13">
        <f>(1 - CUSTOS!$M$30)*221.5908</f>
        <v>221.5908</v>
      </c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P53" s="13">
        <f>IF((1 - CUSTOS!$M$30)&lt;&gt;0,1/(1 - CUSTOS!$M$30),1)</f>
        <v>1</v>
      </c>
    </row>
    <row r="54" spans="1:42" ht="11.25" customHeight="1" x14ac:dyDescent="0.3">
      <c r="A54" s="137"/>
      <c r="B54" s="137" t="s">
        <v>93</v>
      </c>
      <c r="C54" s="137" t="s">
        <v>44</v>
      </c>
      <c r="D54" s="17" t="s">
        <v>25</v>
      </c>
      <c r="E54" s="17" t="s">
        <v>25</v>
      </c>
      <c r="F54" s="17" t="s">
        <v>25</v>
      </c>
      <c r="G54" s="18" t="s">
        <v>83</v>
      </c>
      <c r="H54" s="18" t="s">
        <v>79</v>
      </c>
      <c r="I54" s="18">
        <f>'MERCADO TUSD'!$U$51</f>
        <v>0</v>
      </c>
      <c r="J54" s="15"/>
      <c r="L54" s="13"/>
      <c r="M54" s="13"/>
      <c r="N54" s="13"/>
      <c r="O54" s="13"/>
      <c r="P54" s="13"/>
      <c r="Q54" s="13"/>
      <c r="R54" s="13"/>
      <c r="S54" s="13"/>
      <c r="T54" s="13"/>
      <c r="U54" s="13">
        <f>(1 - CUSTOS!$M$28)*29.6116</f>
        <v>29.611599999999999</v>
      </c>
      <c r="V54" s="13">
        <f>(1 - CUSTOS!$M$28)*15.8495</f>
        <v>15.849500000000001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/>
      <c r="AC54" s="13">
        <f>(1 - CUSTOS!$M$28)*221.5908</f>
        <v>221.5908</v>
      </c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P54" s="13">
        <f>IF((1 - CUSTOS!$M$28)&lt;&gt;0,1/(1 - CUSTOS!$M$28),1)</f>
        <v>1</v>
      </c>
    </row>
    <row r="55" spans="1:42" ht="11.25" customHeight="1" x14ac:dyDescent="0.3">
      <c r="A55" s="137"/>
      <c r="B55" s="137"/>
      <c r="C55" s="137"/>
      <c r="D55" s="17" t="s">
        <v>94</v>
      </c>
      <c r="E55" s="17" t="s">
        <v>25</v>
      </c>
      <c r="F55" s="17" t="s">
        <v>25</v>
      </c>
      <c r="G55" s="18" t="s">
        <v>83</v>
      </c>
      <c r="H55" s="18" t="s">
        <v>79</v>
      </c>
      <c r="I55" s="18">
        <f>'MERCADO TUSD'!$U$52</f>
        <v>0</v>
      </c>
      <c r="J55" s="15"/>
      <c r="L55" s="13"/>
      <c r="M55" s="13"/>
      <c r="N55" s="13"/>
      <c r="O55" s="13"/>
      <c r="P55" s="13"/>
      <c r="Q55" s="13"/>
      <c r="R55" s="13"/>
      <c r="S55" s="13"/>
      <c r="T55" s="13"/>
      <c r="U55" s="13">
        <f>(1 - CUSTOS!$M$29)*29.6116</f>
        <v>29.611599999999999</v>
      </c>
      <c r="V55" s="13">
        <f>(1 - CUSTOS!$M$29)*15.8495</f>
        <v>15.849500000000001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/>
      <c r="AC55" s="13">
        <f>(1 - CUSTOS!$M$29)*221.5908</f>
        <v>221.5908</v>
      </c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P55" s="13">
        <f>IF((1 - CUSTOS!$M$29)&lt;&gt;0,1/(1 - CUSTOS!$M$29),1)</f>
        <v>1</v>
      </c>
    </row>
    <row r="56" spans="1:42" ht="11.25" customHeight="1" x14ac:dyDescent="0.3">
      <c r="A56" s="137"/>
      <c r="B56" s="137"/>
      <c r="C56" s="137"/>
      <c r="D56" s="17" t="s">
        <v>95</v>
      </c>
      <c r="E56" s="17" t="s">
        <v>25</v>
      </c>
      <c r="F56" s="17" t="s">
        <v>25</v>
      </c>
      <c r="G56" s="18" t="s">
        <v>83</v>
      </c>
      <c r="H56" s="18" t="s">
        <v>79</v>
      </c>
      <c r="I56" s="18">
        <f>'MERCADO TUSD'!$U$53</f>
        <v>0</v>
      </c>
      <c r="J56" s="15"/>
      <c r="L56" s="13"/>
      <c r="M56" s="13"/>
      <c r="N56" s="13"/>
      <c r="O56" s="13"/>
      <c r="P56" s="13"/>
      <c r="Q56" s="13"/>
      <c r="R56" s="13"/>
      <c r="S56" s="13"/>
      <c r="T56" s="13"/>
      <c r="U56" s="13">
        <f>(1 - CUSTOS!$M$30)*29.6116</f>
        <v>29.611599999999999</v>
      </c>
      <c r="V56" s="13">
        <f>(1 - CUSTOS!$M$30)*15.8495</f>
        <v>15.849500000000001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/>
      <c r="AC56" s="13">
        <f>(1 - CUSTOS!$M$30)*221.5908</f>
        <v>221.5908</v>
      </c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P56" s="13">
        <f>IF((1 - CUSTOS!$M$30)&lt;&gt;0,1/(1 - CUSTOS!$M$30),1)</f>
        <v>1</v>
      </c>
    </row>
    <row r="57" spans="1:42" ht="11.25" customHeight="1" x14ac:dyDescent="0.3">
      <c r="A57" s="137" t="s">
        <v>37</v>
      </c>
      <c r="B57" s="137" t="s">
        <v>33</v>
      </c>
      <c r="C57" s="137" t="s">
        <v>25</v>
      </c>
      <c r="D57" s="137" t="s">
        <v>25</v>
      </c>
      <c r="E57" s="137" t="s">
        <v>25</v>
      </c>
      <c r="F57" s="137" t="s">
        <v>25</v>
      </c>
      <c r="G57" s="18" t="s">
        <v>80</v>
      </c>
      <c r="H57" s="18" t="s">
        <v>79</v>
      </c>
      <c r="I57" s="18">
        <f>'MERCADO TUSD'!$U$54</f>
        <v>10.468</v>
      </c>
      <c r="J57" s="15"/>
      <c r="L57" s="13"/>
      <c r="M57" s="13"/>
      <c r="N57" s="13"/>
      <c r="O57" s="13"/>
      <c r="P57" s="13"/>
      <c r="Q57" s="13"/>
      <c r="R57" s="13"/>
      <c r="S57" s="13"/>
      <c r="T57" s="13"/>
      <c r="U57" s="13">
        <f>(1 - CUSTOS!$M$31)*102.1601</f>
        <v>102.1601</v>
      </c>
      <c r="V57" s="13">
        <f>(1 - CUSTOS!$M$31)*54.6807</f>
        <v>54.680700000000002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/>
      <c r="AC57" s="13">
        <f>(1 - CUSTOS!$M$31)*764.4883</f>
        <v>764.48829999999998</v>
      </c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P57" s="13">
        <f>IF((1 - CUSTOS!$M$31)&lt;&gt;0,1/(1 - CUSTOS!$M$31),1)</f>
        <v>1</v>
      </c>
    </row>
    <row r="58" spans="1:42" ht="11.25" customHeight="1" x14ac:dyDescent="0.3">
      <c r="A58" s="137"/>
      <c r="B58" s="137"/>
      <c r="C58" s="137"/>
      <c r="D58" s="137"/>
      <c r="E58" s="137"/>
      <c r="F58" s="137"/>
      <c r="G58" s="18" t="s">
        <v>91</v>
      </c>
      <c r="H58" s="18" t="s">
        <v>79</v>
      </c>
      <c r="I58" s="18">
        <f>'MERCADO TUSD'!$U$55</f>
        <v>9.6909999999999989</v>
      </c>
      <c r="J58" s="15"/>
      <c r="L58" s="13"/>
      <c r="M58" s="13"/>
      <c r="N58" s="13"/>
      <c r="O58" s="13"/>
      <c r="P58" s="13"/>
      <c r="Q58" s="13"/>
      <c r="R58" s="13"/>
      <c r="S58" s="13"/>
      <c r="T58" s="13"/>
      <c r="U58" s="13">
        <f>(1 - CUSTOS!$M$31)*61.296</f>
        <v>61.295999999999999</v>
      </c>
      <c r="V58" s="13">
        <f>(1 - CUSTOS!$M$31)*32.8084</f>
        <v>32.808399999999999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/>
      <c r="AC58" s="13">
        <f>(1 - CUSTOS!$M$31)*458.693</f>
        <v>458.69299999999998</v>
      </c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P58" s="13">
        <f>IF((1 - CUSTOS!$M$31)&lt;&gt;0,1/(1 - CUSTOS!$M$31),1)</f>
        <v>1</v>
      </c>
    </row>
    <row r="59" spans="1:42" ht="11.25" customHeight="1" x14ac:dyDescent="0.3">
      <c r="A59" s="137"/>
      <c r="B59" s="137"/>
      <c r="C59" s="137"/>
      <c r="D59" s="137"/>
      <c r="E59" s="137"/>
      <c r="F59" s="137"/>
      <c r="G59" s="18" t="s">
        <v>81</v>
      </c>
      <c r="H59" s="18" t="s">
        <v>79</v>
      </c>
      <c r="I59" s="18">
        <f>'MERCADO TUSD'!$U$56</f>
        <v>150.328</v>
      </c>
      <c r="J59" s="15"/>
      <c r="L59" s="13"/>
      <c r="M59" s="13"/>
      <c r="N59" s="13"/>
      <c r="O59" s="13"/>
      <c r="P59" s="13"/>
      <c r="Q59" s="13"/>
      <c r="R59" s="13"/>
      <c r="S59" s="13"/>
      <c r="T59" s="13"/>
      <c r="U59" s="13">
        <f>(1 - CUSTOS!$M$31)*20.432</f>
        <v>20.431999999999999</v>
      </c>
      <c r="V59" s="13">
        <f>(1 - CUSTOS!$M$31)*10.9361</f>
        <v>10.9361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/>
      <c r="AC59" s="13">
        <f>(1 - CUSTOS!$M$31)*152.8977</f>
        <v>152.89769999999999</v>
      </c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P59" s="13">
        <f>IF((1 - CUSTOS!$M$31)&lt;&gt;0,1/(1 - CUSTOS!$M$31),1)</f>
        <v>1</v>
      </c>
    </row>
    <row r="60" spans="1:42" ht="11.25" customHeight="1" x14ac:dyDescent="0.3">
      <c r="A60" s="137"/>
      <c r="B60" s="17" t="s">
        <v>23</v>
      </c>
      <c r="C60" s="17" t="s">
        <v>25</v>
      </c>
      <c r="D60" s="17" t="s">
        <v>25</v>
      </c>
      <c r="E60" s="17" t="s">
        <v>25</v>
      </c>
      <c r="F60" s="17" t="s">
        <v>25</v>
      </c>
      <c r="G60" s="18" t="s">
        <v>83</v>
      </c>
      <c r="H60" s="18" t="s">
        <v>79</v>
      </c>
      <c r="I60" s="18">
        <f>'MERCADO TUSD'!$U$57</f>
        <v>24187.291000000001</v>
      </c>
      <c r="J60" s="15"/>
      <c r="L60" s="13"/>
      <c r="M60" s="13"/>
      <c r="N60" s="13"/>
      <c r="O60" s="13"/>
      <c r="P60" s="13"/>
      <c r="Q60" s="13"/>
      <c r="R60" s="13"/>
      <c r="S60" s="13"/>
      <c r="T60" s="13"/>
      <c r="U60" s="13">
        <f>(1 - CUSTOS!$M$31)*29.6116</f>
        <v>29.611599999999999</v>
      </c>
      <c r="V60" s="13">
        <f>(1 - CUSTOS!$M$31)*15.8495</f>
        <v>15.849500000000001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/>
      <c r="AC60" s="13">
        <f>(1 - CUSTOS!$M$31)*221.5908</f>
        <v>221.5908</v>
      </c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P60" s="13">
        <f>IF((1 - CUSTOS!$M$31)&lt;&gt;0,1/(1 - CUSTOS!$M$31),1)</f>
        <v>1</v>
      </c>
    </row>
    <row r="61" spans="1:42" ht="11.25" customHeight="1" x14ac:dyDescent="0.3">
      <c r="A61" s="137"/>
      <c r="B61" s="17" t="s">
        <v>93</v>
      </c>
      <c r="C61" s="17" t="s">
        <v>25</v>
      </c>
      <c r="D61" s="17" t="s">
        <v>25</v>
      </c>
      <c r="E61" s="17" t="s">
        <v>25</v>
      </c>
      <c r="F61" s="17" t="s">
        <v>25</v>
      </c>
      <c r="G61" s="18" t="s">
        <v>83</v>
      </c>
      <c r="H61" s="18" t="s">
        <v>79</v>
      </c>
      <c r="I61" s="18">
        <f>'MERCADO TUSD'!$U$58</f>
        <v>0</v>
      </c>
      <c r="J61" s="15"/>
      <c r="L61" s="13"/>
      <c r="M61" s="13"/>
      <c r="N61" s="13"/>
      <c r="O61" s="13"/>
      <c r="P61" s="13"/>
      <c r="Q61" s="13"/>
      <c r="R61" s="13"/>
      <c r="S61" s="13"/>
      <c r="T61" s="13"/>
      <c r="U61" s="13">
        <f>(1 - CUSTOS!$M$31)*29.6116</f>
        <v>29.611599999999999</v>
      </c>
      <c r="V61" s="13">
        <f>(1 - CUSTOS!$M$31)*15.8495</f>
        <v>15.849500000000001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/>
      <c r="AC61" s="13">
        <f>(1 - CUSTOS!$M$31)*221.5908</f>
        <v>221.5908</v>
      </c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P61" s="13">
        <f>IF((1 - CUSTOS!$M$31)&lt;&gt;0,1/(1 - CUSTOS!$M$31),1)</f>
        <v>1</v>
      </c>
    </row>
    <row r="62" spans="1:42" ht="11.25" customHeight="1" x14ac:dyDescent="0.3">
      <c r="A62" s="137" t="s">
        <v>47</v>
      </c>
      <c r="B62" s="137" t="s">
        <v>23</v>
      </c>
      <c r="C62" s="137" t="s">
        <v>48</v>
      </c>
      <c r="D62" s="17" t="s">
        <v>49</v>
      </c>
      <c r="E62" s="17" t="s">
        <v>25</v>
      </c>
      <c r="F62" s="17" t="s">
        <v>25</v>
      </c>
      <c r="G62" s="18" t="s">
        <v>83</v>
      </c>
      <c r="H62" s="18" t="s">
        <v>79</v>
      </c>
      <c r="I62" s="18">
        <f>'MERCADO TUSD'!$U$59</f>
        <v>5104.487000000001</v>
      </c>
      <c r="J62" s="15"/>
      <c r="L62" s="13"/>
      <c r="M62" s="13"/>
      <c r="N62" s="13"/>
      <c r="O62" s="13"/>
      <c r="P62" s="13"/>
      <c r="Q62" s="13"/>
      <c r="R62" s="13"/>
      <c r="S62" s="13"/>
      <c r="T62" s="13"/>
      <c r="U62" s="13">
        <f>(1 - CUSTOS!$M$32)*29.6116</f>
        <v>16.286380000000001</v>
      </c>
      <c r="V62" s="13">
        <f>(1 - CUSTOS!$M$32)*15.8495</f>
        <v>8.7172250000000009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/>
      <c r="AC62" s="13">
        <f>(1 - CUSTOS!$M$32)*221.5908</f>
        <v>121.87494000000001</v>
      </c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P62" s="13">
        <f>IF((1 - CUSTOS!$M$32)&lt;&gt;0,1/(1 - CUSTOS!$M$32),1)</f>
        <v>1.8181818181818181</v>
      </c>
    </row>
    <row r="63" spans="1:42" ht="11.25" customHeight="1" x14ac:dyDescent="0.3">
      <c r="A63" s="137"/>
      <c r="B63" s="137"/>
      <c r="C63" s="137"/>
      <c r="D63" s="18" t="s">
        <v>96</v>
      </c>
      <c r="E63" s="18" t="s">
        <v>25</v>
      </c>
      <c r="F63" s="18" t="s">
        <v>25</v>
      </c>
      <c r="G63" s="18" t="s">
        <v>83</v>
      </c>
      <c r="H63" s="18" t="s">
        <v>79</v>
      </c>
      <c r="I63" s="18">
        <f>'MERCADO TUSD'!$U$60</f>
        <v>0</v>
      </c>
      <c r="J63" s="15"/>
      <c r="L63" s="13"/>
      <c r="M63" s="13"/>
      <c r="N63" s="13"/>
      <c r="O63" s="13"/>
      <c r="P63" s="13"/>
      <c r="Q63" s="13"/>
      <c r="R63" s="13"/>
      <c r="S63" s="13"/>
      <c r="T63" s="13"/>
      <c r="U63" s="13">
        <f>(1 - CUSTOS!$M$33)*29.6116</f>
        <v>17.766959999999997</v>
      </c>
      <c r="V63" s="13">
        <f>(1 - CUSTOS!$M$33)*15.8495</f>
        <v>9.5097000000000005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/>
      <c r="AC63" s="13">
        <f>(1 - CUSTOS!$M$33)*221.5908</f>
        <v>132.95447999999999</v>
      </c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P63" s="13">
        <f>IF((1 - CUSTOS!$M$33)&lt;&gt;0,1/(1 - CUSTOS!$M$33),1)</f>
        <v>1.6666666666666667</v>
      </c>
    </row>
  </sheetData>
  <mergeCells count="91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C5:C8"/>
    <mergeCell ref="D5:D8"/>
    <mergeCell ref="E5:E7"/>
    <mergeCell ref="B15:B16"/>
    <mergeCell ref="C15:C16"/>
    <mergeCell ref="D15:D16"/>
    <mergeCell ref="E15:E16"/>
    <mergeCell ref="J1:J4"/>
    <mergeCell ref="L1:AM1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G1:G4"/>
    <mergeCell ref="H1:H4"/>
    <mergeCell ref="I1:I4"/>
    <mergeCell ref="A5:A16"/>
    <mergeCell ref="B5:B8"/>
    <mergeCell ref="A17:A26"/>
    <mergeCell ref="B17:B20"/>
    <mergeCell ref="C17:C20"/>
    <mergeCell ref="D17:D20"/>
    <mergeCell ref="E17:E19"/>
    <mergeCell ref="F15:F16"/>
    <mergeCell ref="F17:F19"/>
    <mergeCell ref="B22:B26"/>
    <mergeCell ref="C22:C26"/>
    <mergeCell ref="D22:D26"/>
    <mergeCell ref="E22:E24"/>
    <mergeCell ref="F22:F24"/>
    <mergeCell ref="E25:E26"/>
    <mergeCell ref="F25:F26"/>
    <mergeCell ref="A27:A28"/>
    <mergeCell ref="B27:B28"/>
    <mergeCell ref="C27:C28"/>
    <mergeCell ref="D27:D28"/>
    <mergeCell ref="A29:A41"/>
    <mergeCell ref="B29:B31"/>
    <mergeCell ref="C29:C31"/>
    <mergeCell ref="D29:D31"/>
    <mergeCell ref="E29:E31"/>
    <mergeCell ref="F29:F31"/>
    <mergeCell ref="B32:B36"/>
    <mergeCell ref="C32:C36"/>
    <mergeCell ref="B37:B41"/>
    <mergeCell ref="C37:C41"/>
    <mergeCell ref="D50:D52"/>
    <mergeCell ref="E50:E52"/>
    <mergeCell ref="F50:F52"/>
    <mergeCell ref="D42:D44"/>
    <mergeCell ref="E42:E44"/>
    <mergeCell ref="F42:F44"/>
    <mergeCell ref="D46:D48"/>
    <mergeCell ref="E46:E48"/>
    <mergeCell ref="F46:F48"/>
    <mergeCell ref="B54:B56"/>
    <mergeCell ref="C54:C56"/>
    <mergeCell ref="A57:A61"/>
    <mergeCell ref="B57:B59"/>
    <mergeCell ref="C57:C59"/>
    <mergeCell ref="A42:A56"/>
    <mergeCell ref="B42:B44"/>
    <mergeCell ref="C42:C44"/>
    <mergeCell ref="B50:B52"/>
    <mergeCell ref="C50:C52"/>
    <mergeCell ref="B46:B48"/>
    <mergeCell ref="C46:C48"/>
    <mergeCell ref="E57:E59"/>
    <mergeCell ref="F57:F59"/>
    <mergeCell ref="A62:A63"/>
    <mergeCell ref="B62:B63"/>
    <mergeCell ref="C62:C63"/>
    <mergeCell ref="D57:D59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EEEB4-8FD5-4524-B080-72118389DDFC}">
  <sheetPr codeName="Planilha8"/>
  <dimension ref="A1:AP83"/>
  <sheetViews>
    <sheetView showGridLines="0" topLeftCell="C47" workbookViewId="0">
      <selection activeCell="K74" sqref="K74:P74"/>
    </sheetView>
  </sheetViews>
  <sheetFormatPr defaultRowHeight="11.25" customHeight="1" x14ac:dyDescent="0.3"/>
  <cols>
    <col min="1" max="1" width="9" style="9" bestFit="1" customWidth="1"/>
    <col min="2" max="2" width="21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9" width="8.44140625" style="9" bestFit="1" customWidth="1"/>
    <col min="10" max="10" width="8.88671875" style="9"/>
    <col min="11" max="11" width="14.109375" style="9" bestFit="1" customWidth="1"/>
    <col min="12" max="12" width="13" style="9" bestFit="1" customWidth="1"/>
    <col min="13" max="13" width="10.109375" style="9" bestFit="1" customWidth="1"/>
    <col min="14" max="14" width="11.33203125" style="9" bestFit="1" customWidth="1"/>
    <col min="15" max="15" width="10.5546875" style="9" bestFit="1" customWidth="1"/>
    <col min="16" max="16" width="8.77734375" style="9" bestFit="1" customWidth="1"/>
    <col min="17" max="17" width="10.5546875" style="9" bestFit="1" customWidth="1"/>
    <col min="18" max="18" width="9.6640625" style="9" bestFit="1" customWidth="1"/>
    <col min="19" max="19" width="8.44140625" style="9" bestFit="1" customWidth="1"/>
    <col min="20" max="20" width="10.5546875" style="9" bestFit="1" customWidth="1"/>
    <col min="21" max="22" width="9.6640625" style="9" bestFit="1" customWidth="1"/>
    <col min="23" max="24" width="9.5546875" style="9" bestFit="1" customWidth="1"/>
    <col min="25" max="25" width="5" style="9" bestFit="1" customWidth="1"/>
    <col min="26" max="26" width="7.44140625" style="9" bestFit="1" customWidth="1"/>
    <col min="27" max="27" width="9.5546875" style="9" bestFit="1" customWidth="1"/>
    <col min="28" max="28" width="9.6640625" style="9" bestFit="1" customWidth="1"/>
    <col min="29" max="29" width="11.33203125" style="9" bestFit="1" customWidth="1"/>
    <col min="30" max="30" width="10.5546875" style="9" bestFit="1" customWidth="1"/>
    <col min="31" max="31" width="8.21875" style="9" bestFit="1" customWidth="1"/>
    <col min="32" max="32" width="7.109375" style="9" bestFit="1" customWidth="1"/>
    <col min="33" max="33" width="9" style="9" bestFit="1" customWidth="1"/>
    <col min="34" max="34" width="14.88671875" style="9" bestFit="1" customWidth="1"/>
    <col min="35" max="35" width="17.5546875" style="9" bestFit="1" customWidth="1"/>
    <col min="36" max="36" width="18.5546875" style="9" bestFit="1" customWidth="1"/>
    <col min="37" max="37" width="7.6640625" style="9" bestFit="1" customWidth="1"/>
    <col min="38" max="38" width="9.6640625" style="9" bestFit="1" customWidth="1"/>
    <col min="39" max="39" width="10.5546875" style="9" bestFit="1" customWidth="1"/>
    <col min="40" max="41" width="8.88671875" style="9"/>
    <col min="42" max="42" width="7.6640625" style="9" bestFit="1" customWidth="1"/>
    <col min="43" max="16384" width="8.88671875" style="9"/>
  </cols>
  <sheetData>
    <row r="1" spans="1:42" ht="11.25" customHeight="1" x14ac:dyDescent="0.3">
      <c r="A1" s="139" t="s">
        <v>69</v>
      </c>
      <c r="B1" s="139" t="s">
        <v>70</v>
      </c>
      <c r="C1" s="139" t="s">
        <v>71</v>
      </c>
      <c r="D1" s="139" t="s">
        <v>72</v>
      </c>
      <c r="E1" s="139" t="s">
        <v>73</v>
      </c>
      <c r="F1" s="139" t="s">
        <v>15</v>
      </c>
      <c r="G1" s="139" t="s">
        <v>75</v>
      </c>
      <c r="H1" s="139" t="s">
        <v>76</v>
      </c>
      <c r="I1" s="139" t="s">
        <v>716</v>
      </c>
      <c r="J1" s="131"/>
      <c r="L1" s="138" t="s">
        <v>717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P1" s="138" t="s">
        <v>718</v>
      </c>
    </row>
    <row r="2" spans="1:42" ht="11.25" customHeight="1" x14ac:dyDescent="0.3">
      <c r="A2" s="139"/>
      <c r="B2" s="139"/>
      <c r="C2" s="139"/>
      <c r="D2" s="139"/>
      <c r="E2" s="139"/>
      <c r="F2" s="139"/>
      <c r="G2" s="139"/>
      <c r="H2" s="139"/>
      <c r="I2" s="139"/>
      <c r="J2" s="131"/>
      <c r="L2" s="138" t="s">
        <v>615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P2" s="140"/>
    </row>
    <row r="3" spans="1:42" ht="11.25" customHeight="1" x14ac:dyDescent="0.3">
      <c r="A3" s="139"/>
      <c r="B3" s="139"/>
      <c r="C3" s="139"/>
      <c r="D3" s="139"/>
      <c r="E3" s="139"/>
      <c r="F3" s="139"/>
      <c r="G3" s="139"/>
      <c r="H3" s="139"/>
      <c r="I3" s="139"/>
      <c r="J3" s="131"/>
      <c r="L3" s="138" t="s">
        <v>616</v>
      </c>
      <c r="M3" s="138"/>
      <c r="N3" s="138"/>
      <c r="O3" s="138"/>
      <c r="P3" s="138"/>
      <c r="Q3" s="138"/>
      <c r="R3" s="138"/>
      <c r="S3" s="138"/>
      <c r="T3" s="138"/>
      <c r="U3" s="138" t="s">
        <v>625</v>
      </c>
      <c r="V3" s="138"/>
      <c r="W3" s="138"/>
      <c r="X3" s="138"/>
      <c r="Y3" s="138"/>
      <c r="Z3" s="138"/>
      <c r="AA3" s="138"/>
      <c r="AB3" s="138"/>
      <c r="AC3" s="138" t="s">
        <v>633</v>
      </c>
      <c r="AD3" s="138"/>
      <c r="AE3" s="138" t="s">
        <v>635</v>
      </c>
      <c r="AF3" s="138"/>
      <c r="AG3" s="138"/>
      <c r="AH3" s="138" t="s">
        <v>638</v>
      </c>
      <c r="AI3" s="138"/>
      <c r="AJ3" s="138"/>
      <c r="AK3" s="138"/>
      <c r="AL3" s="138"/>
      <c r="AM3" s="138" t="s">
        <v>624</v>
      </c>
      <c r="AP3" s="140"/>
    </row>
    <row r="4" spans="1:42" ht="11.25" customHeight="1" x14ac:dyDescent="0.3">
      <c r="A4" s="139"/>
      <c r="B4" s="139"/>
      <c r="C4" s="139"/>
      <c r="D4" s="139"/>
      <c r="E4" s="139"/>
      <c r="F4" s="139"/>
      <c r="G4" s="139"/>
      <c r="H4" s="139"/>
      <c r="I4" s="139"/>
      <c r="J4" s="131"/>
      <c r="L4" s="10" t="s">
        <v>701</v>
      </c>
      <c r="M4" s="10" t="s">
        <v>617</v>
      </c>
      <c r="N4" s="10" t="s">
        <v>618</v>
      </c>
      <c r="O4" s="10" t="s">
        <v>619</v>
      </c>
      <c r="P4" s="10" t="s">
        <v>620</v>
      </c>
      <c r="Q4" s="10" t="s">
        <v>621</v>
      </c>
      <c r="R4" s="10" t="s">
        <v>622</v>
      </c>
      <c r="S4" s="10" t="s">
        <v>623</v>
      </c>
      <c r="T4" s="10" t="s">
        <v>624</v>
      </c>
      <c r="U4" s="10" t="s">
        <v>626</v>
      </c>
      <c r="V4" s="10" t="s">
        <v>627</v>
      </c>
      <c r="W4" s="10" t="s">
        <v>628</v>
      </c>
      <c r="X4" s="10" t="s">
        <v>629</v>
      </c>
      <c r="Y4" s="10" t="s">
        <v>630</v>
      </c>
      <c r="Z4" s="10" t="s">
        <v>631</v>
      </c>
      <c r="AA4" s="10" t="s">
        <v>632</v>
      </c>
      <c r="AB4" s="10" t="s">
        <v>624</v>
      </c>
      <c r="AC4" s="10" t="s">
        <v>634</v>
      </c>
      <c r="AD4" s="10" t="s">
        <v>624</v>
      </c>
      <c r="AE4" s="10" t="s">
        <v>636</v>
      </c>
      <c r="AF4" s="10" t="s">
        <v>637</v>
      </c>
      <c r="AG4" s="10" t="s">
        <v>624</v>
      </c>
      <c r="AH4" s="10" t="s">
        <v>639</v>
      </c>
      <c r="AI4" s="10" t="s">
        <v>640</v>
      </c>
      <c r="AJ4" s="10" t="s">
        <v>641</v>
      </c>
      <c r="AK4" s="10" t="s">
        <v>642</v>
      </c>
      <c r="AL4" s="10" t="s">
        <v>624</v>
      </c>
      <c r="AM4" s="141"/>
      <c r="AP4" s="140"/>
    </row>
    <row r="5" spans="1:42" ht="11.25" customHeight="1" x14ac:dyDescent="0.3">
      <c r="A5" s="137" t="s">
        <v>45</v>
      </c>
      <c r="B5" s="137" t="s">
        <v>42</v>
      </c>
      <c r="C5" s="137" t="s">
        <v>25</v>
      </c>
      <c r="D5" s="137" t="s">
        <v>25</v>
      </c>
      <c r="E5" s="137" t="s">
        <v>25</v>
      </c>
      <c r="F5" s="137" t="s">
        <v>25</v>
      </c>
      <c r="G5" s="18" t="s">
        <v>85</v>
      </c>
      <c r="H5" s="18" t="s">
        <v>84</v>
      </c>
      <c r="I5" s="18">
        <f>'MERCADO TUSD'!$U$2</f>
        <v>4216</v>
      </c>
      <c r="J5" s="15"/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/>
      <c r="U5" s="13">
        <f>TRANSICAO!$U$5*CUSTOS!$Q$3</f>
        <v>5.9323550000000003</v>
      </c>
      <c r="V5" s="13">
        <f>TRANSICAO!$V$5*CUSTOS!$Q$3</f>
        <v>3.1268899999999999</v>
      </c>
      <c r="W5" s="13">
        <f>TRANSICAO!$W$5*CUSTOS!$Q$3</f>
        <v>0</v>
      </c>
      <c r="X5" s="13">
        <f>TRANSICAO!$X$5*CUSTOS!$Q$3</f>
        <v>0</v>
      </c>
      <c r="Y5" s="13">
        <f>TRANSICAO!$Y$5*CUSTOS!$Q$3</f>
        <v>0</v>
      </c>
      <c r="Z5" s="13">
        <f>TRANSICAO!$Z$5*CUSTOS!$Q$3</f>
        <v>0</v>
      </c>
      <c r="AA5" s="13">
        <f>TRANSICAO!$AA$5*CUSTOS!$Q$3</f>
        <v>0</v>
      </c>
      <c r="AB5" s="13">
        <f>TRANSICAO!$AB$5*CUSTOS!$Q$3</f>
        <v>0</v>
      </c>
      <c r="AC5" s="13">
        <f>TRANSICAO!$AC$5*CUSTOS!$Q$3</f>
        <v>36.39584</v>
      </c>
      <c r="AD5" s="13">
        <f>TRANSICAO!$AD$5*CUSTOS!$Q$3</f>
        <v>0</v>
      </c>
      <c r="AE5" s="13">
        <v>0</v>
      </c>
      <c r="AF5" s="13">
        <v>0</v>
      </c>
      <c r="AG5" s="13"/>
      <c r="AH5" s="13">
        <v>0</v>
      </c>
      <c r="AI5" s="13">
        <v>0</v>
      </c>
      <c r="AJ5" s="13">
        <v>0</v>
      </c>
      <c r="AK5" s="13">
        <f t="shared" ref="AK5:AK36" si="0">AJ5</f>
        <v>0</v>
      </c>
      <c r="AL5" s="13"/>
      <c r="AM5" s="13"/>
      <c r="AP5" s="13">
        <v>1</v>
      </c>
    </row>
    <row r="6" spans="1:42" ht="11.25" customHeight="1" x14ac:dyDescent="0.3">
      <c r="A6" s="137"/>
      <c r="B6" s="137"/>
      <c r="C6" s="137"/>
      <c r="D6" s="137"/>
      <c r="E6" s="137"/>
      <c r="F6" s="137"/>
      <c r="G6" s="18" t="s">
        <v>86</v>
      </c>
      <c r="H6" s="18" t="s">
        <v>84</v>
      </c>
      <c r="I6" s="18">
        <f>'MERCADO TUSD'!$U$3</f>
        <v>4234</v>
      </c>
      <c r="J6" s="15"/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/>
      <c r="U6" s="13">
        <f>TRANSICAO!$U$6*CUSTOS!$Q$3</f>
        <v>3.42238</v>
      </c>
      <c r="V6" s="13">
        <f>TRANSICAO!$V$6*CUSTOS!$Q$3</f>
        <v>1.86849</v>
      </c>
      <c r="W6" s="13">
        <f>TRANSICAO!$W$6*CUSTOS!$Q$3</f>
        <v>0</v>
      </c>
      <c r="X6" s="13">
        <f>TRANSICAO!$X$6*CUSTOS!$Q$3</f>
        <v>0</v>
      </c>
      <c r="Y6" s="13">
        <f>TRANSICAO!$Y$6*CUSTOS!$Q$3</f>
        <v>0</v>
      </c>
      <c r="Z6" s="13">
        <f>TRANSICAO!$Z$6*CUSTOS!$Q$3</f>
        <v>0</v>
      </c>
      <c r="AA6" s="13">
        <f>TRANSICAO!$AA$6*CUSTOS!$Q$3</f>
        <v>0</v>
      </c>
      <c r="AB6" s="13">
        <f>TRANSICAO!$AB$6*CUSTOS!$Q$3</f>
        <v>0</v>
      </c>
      <c r="AC6" s="13">
        <f>TRANSICAO!$AC$6*CUSTOS!$Q$3</f>
        <v>13.444015</v>
      </c>
      <c r="AD6" s="13">
        <f>TRANSICAO!$AD$6*CUSTOS!$Q$3</f>
        <v>0</v>
      </c>
      <c r="AE6" s="13">
        <v>0</v>
      </c>
      <c r="AF6" s="13">
        <v>0</v>
      </c>
      <c r="AG6" s="13"/>
      <c r="AH6" s="13">
        <v>0</v>
      </c>
      <c r="AI6" s="13">
        <v>0</v>
      </c>
      <c r="AJ6" s="13">
        <v>0</v>
      </c>
      <c r="AK6" s="13">
        <f t="shared" si="0"/>
        <v>0</v>
      </c>
      <c r="AL6" s="13"/>
      <c r="AM6" s="13"/>
      <c r="AP6" s="13">
        <v>1</v>
      </c>
    </row>
    <row r="7" spans="1:42" ht="11.25" customHeight="1" x14ac:dyDescent="0.3">
      <c r="A7" s="137"/>
      <c r="B7" s="137"/>
      <c r="C7" s="137"/>
      <c r="D7" s="137"/>
      <c r="E7" s="137"/>
      <c r="F7" s="137"/>
      <c r="G7" s="18" t="s">
        <v>83</v>
      </c>
      <c r="H7" s="18" t="s">
        <v>79</v>
      </c>
      <c r="I7" s="18">
        <f>'MERCADO TUSD'!$U$4</f>
        <v>1760.1130000000001</v>
      </c>
      <c r="J7" s="15"/>
      <c r="L7" s="13">
        <f>0.84</f>
        <v>0.84</v>
      </c>
      <c r="M7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7" s="13">
        <f ca="1">(+M7+O7+R7+U7+V7+W7+X7+Y7+Z7+AA7+AC7+AH7+AI7+AJ7+AK7)*CUSTOS!$M$5</f>
        <v>0.26504216277978149</v>
      </c>
      <c r="O7" s="13">
        <v>1</v>
      </c>
      <c r="P7" s="13">
        <v>1</v>
      </c>
      <c r="Q7" s="13">
        <f>0.84</f>
        <v>0.84</v>
      </c>
      <c r="R7" s="13">
        <v>1</v>
      </c>
      <c r="S7" s="13">
        <v>1</v>
      </c>
      <c r="T7" s="13"/>
      <c r="U7" s="13">
        <f>TRANSICAO!$U$7*CUSTOS!$Q$3</f>
        <v>0</v>
      </c>
      <c r="V7" s="13">
        <f>TRANSICAO!$V$7*CUSTOS!$Q$3</f>
        <v>0</v>
      </c>
      <c r="W7" s="13">
        <f>TRANSICAO!$W$7*CUSTOS!$Q$3</f>
        <v>0</v>
      </c>
      <c r="X7" s="13">
        <f>TRANSICAO!$X$7*CUSTOS!$Q$3</f>
        <v>0</v>
      </c>
      <c r="Y7" s="13">
        <f>TRANSICAO!$Y$7*CUSTOS!$Q$3</f>
        <v>0</v>
      </c>
      <c r="Z7" s="13">
        <f>TRANSICAO!$Z$7*CUSTOS!$Q$3</f>
        <v>0</v>
      </c>
      <c r="AA7" s="13">
        <f>TRANSICAO!$AA$7*CUSTOS!$Q$3</f>
        <v>0</v>
      </c>
      <c r="AB7" s="13">
        <f>TRANSICAO!$AB$7*CUSTOS!$Q$3</f>
        <v>0</v>
      </c>
      <c r="AC7" s="13">
        <f>TRANSICAO!$AC$7*CUSTOS!$Q$3</f>
        <v>0</v>
      </c>
      <c r="AD7" s="13">
        <f>TRANSICAO!$AD$7*CUSTOS!$Q$3</f>
        <v>0</v>
      </c>
      <c r="AE7" s="13">
        <v>0</v>
      </c>
      <c r="AF7" s="13">
        <v>0</v>
      </c>
      <c r="AG7" s="13"/>
      <c r="AH7" s="13">
        <v>10.9956</v>
      </c>
      <c r="AI7" s="13">
        <v>10.9956</v>
      </c>
      <c r="AJ7" s="13">
        <f ca="1">$N$75</f>
        <v>1.0058028288412295</v>
      </c>
      <c r="AK7" s="13">
        <f t="shared" ca="1" si="0"/>
        <v>1.0058028288412295</v>
      </c>
      <c r="AL7" s="13"/>
      <c r="AM7" s="13"/>
      <c r="AP7" s="13">
        <v>1</v>
      </c>
    </row>
    <row r="8" spans="1:42" ht="11.25" customHeight="1" x14ac:dyDescent="0.3">
      <c r="A8" s="137"/>
      <c r="B8" s="137"/>
      <c r="C8" s="137"/>
      <c r="D8" s="137"/>
      <c r="E8" s="17" t="s">
        <v>87</v>
      </c>
      <c r="F8" s="17" t="s">
        <v>25</v>
      </c>
      <c r="G8" s="18" t="s">
        <v>83</v>
      </c>
      <c r="H8" s="18" t="s">
        <v>79</v>
      </c>
      <c r="I8" s="18">
        <f>'MERCADO TUSD'!$U$5</f>
        <v>0</v>
      </c>
      <c r="J8" s="15"/>
      <c r="L8" s="13">
        <v>0</v>
      </c>
      <c r="M8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8" s="13">
        <f ca="1">(+M8+O8+R8+U8+V8+W8+X8+Y8+Z8+AA8+AC8+AH8+AI8+AJ8+AK8)*CUSTOS!$M$5</f>
        <v>0.25504216277978148</v>
      </c>
      <c r="O8" s="13">
        <v>1</v>
      </c>
      <c r="P8" s="13">
        <v>0</v>
      </c>
      <c r="Q8" s="13">
        <v>0</v>
      </c>
      <c r="R8" s="13">
        <v>0</v>
      </c>
      <c r="S8" s="13">
        <v>0</v>
      </c>
      <c r="T8" s="13"/>
      <c r="U8" s="13">
        <f>TRANSICAO!$U$8*CUSTOS!$Q$3</f>
        <v>0</v>
      </c>
      <c r="V8" s="13">
        <f>TRANSICAO!$V$8*CUSTOS!$Q$3</f>
        <v>0</v>
      </c>
      <c r="W8" s="13">
        <f>TRANSICAO!$W$8*CUSTOS!$Q$3</f>
        <v>0</v>
      </c>
      <c r="X8" s="13">
        <f>TRANSICAO!$X$8*CUSTOS!$Q$3</f>
        <v>0</v>
      </c>
      <c r="Y8" s="13">
        <f>TRANSICAO!$Y$8*CUSTOS!$Q$3</f>
        <v>0</v>
      </c>
      <c r="Z8" s="13">
        <f>TRANSICAO!$Z$8*CUSTOS!$Q$3</f>
        <v>0</v>
      </c>
      <c r="AA8" s="13">
        <f>TRANSICAO!$AA$8*CUSTOS!$Q$3</f>
        <v>0</v>
      </c>
      <c r="AB8" s="13">
        <f>TRANSICAO!$AB$8*CUSTOS!$Q$3</f>
        <v>0</v>
      </c>
      <c r="AC8" s="13">
        <f>TRANSICAO!$AC$8*CUSTOS!$Q$3</f>
        <v>0</v>
      </c>
      <c r="AD8" s="13">
        <f>TRANSICAO!$AD$8*CUSTOS!$Q$3</f>
        <v>0</v>
      </c>
      <c r="AE8" s="13">
        <v>0</v>
      </c>
      <c r="AF8" s="13">
        <v>0</v>
      </c>
      <c r="AG8" s="13"/>
      <c r="AH8" s="13">
        <v>10.9956</v>
      </c>
      <c r="AI8" s="13">
        <v>10.9956</v>
      </c>
      <c r="AJ8" s="13">
        <f ca="1">$N$75</f>
        <v>1.0058028288412295</v>
      </c>
      <c r="AK8" s="13">
        <f t="shared" ca="1" si="0"/>
        <v>1.0058028288412295</v>
      </c>
      <c r="AL8" s="13"/>
      <c r="AM8" s="13"/>
      <c r="AP8" s="13">
        <v>1</v>
      </c>
    </row>
    <row r="9" spans="1:42" ht="11.25" customHeight="1" x14ac:dyDescent="0.3">
      <c r="A9" s="137"/>
      <c r="B9" s="17" t="s">
        <v>60</v>
      </c>
      <c r="C9" s="17" t="s">
        <v>25</v>
      </c>
      <c r="D9" s="17" t="s">
        <v>25</v>
      </c>
      <c r="E9" s="17" t="s">
        <v>25</v>
      </c>
      <c r="F9" s="17" t="s">
        <v>25</v>
      </c>
      <c r="G9" s="18" t="s">
        <v>9</v>
      </c>
      <c r="H9" s="18" t="s">
        <v>84</v>
      </c>
      <c r="I9" s="18">
        <f>'MERCADO TUSD'!$U$6</f>
        <v>36120</v>
      </c>
      <c r="J9" s="15"/>
      <c r="L9" s="13">
        <v>0</v>
      </c>
      <c r="M9" s="13">
        <v>6.9400000000000003E-2</v>
      </c>
      <c r="N9" s="13">
        <f>0.1742</f>
        <v>0.17419999999999999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/>
      <c r="U9" s="13">
        <f>TRANSICAO!$U$9*CUSTOS!$Q$4</f>
        <v>0</v>
      </c>
      <c r="V9" s="13">
        <f>TRANSICAO!$V$9*CUSTOS!$Q$4</f>
        <v>0</v>
      </c>
      <c r="W9" s="13">
        <f>TRANSICAO!$W$9*CUSTOS!$Q$4</f>
        <v>0</v>
      </c>
      <c r="X9" s="13">
        <f>TRANSICAO!$X$9*CUSTOS!$Q$4</f>
        <v>0</v>
      </c>
      <c r="Y9" s="13">
        <f>TRANSICAO!$Y$9*CUSTOS!$Q$4</f>
        <v>0</v>
      </c>
      <c r="Z9" s="13">
        <f>TRANSICAO!$Z$9*CUSTOS!$Q$4</f>
        <v>0</v>
      </c>
      <c r="AA9" s="13">
        <f>TRANSICAO!$AA$9*CUSTOS!$Q$4</f>
        <v>0</v>
      </c>
      <c r="AB9" s="13">
        <f>TRANSICAO!$AB$9*CUSTOS!$Q$4</f>
        <v>0</v>
      </c>
      <c r="AC9" s="13">
        <f>TRANSICAO!$AC$9*CUSTOS!$Q$4</f>
        <v>11.273015000000001</v>
      </c>
      <c r="AD9" s="13">
        <f>TRANSICAO!$AD$9*CUSTOS!$Q$4</f>
        <v>0</v>
      </c>
      <c r="AE9" s="13">
        <v>0</v>
      </c>
      <c r="AF9" s="13">
        <v>0</v>
      </c>
      <c r="AG9" s="13"/>
      <c r="AH9" s="13">
        <v>6.4999999999999997E-3</v>
      </c>
      <c r="AI9" s="13">
        <v>0</v>
      </c>
      <c r="AJ9" s="13">
        <v>0</v>
      </c>
      <c r="AK9" s="13">
        <f t="shared" si="0"/>
        <v>0</v>
      </c>
      <c r="AL9" s="13"/>
      <c r="AM9" s="13"/>
      <c r="AP9" s="13"/>
    </row>
    <row r="10" spans="1:42" ht="11.25" customHeight="1" x14ac:dyDescent="0.3">
      <c r="A10" s="137"/>
      <c r="B10" s="137" t="s">
        <v>40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18" t="s">
        <v>9</v>
      </c>
      <c r="H10" s="18" t="s">
        <v>84</v>
      </c>
      <c r="I10" s="18">
        <f>'MERCADO TUSD'!$U$7</f>
        <v>685</v>
      </c>
      <c r="J10" s="15"/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/>
      <c r="U10" s="13">
        <f>TRANSICAO!$U$10*CUSTOS!$Q$3</f>
        <v>3.42238</v>
      </c>
      <c r="V10" s="13">
        <f>TRANSICAO!$V$10*CUSTOS!$Q$3</f>
        <v>1.86849</v>
      </c>
      <c r="W10" s="13">
        <f>TRANSICAO!$W$10*CUSTOS!$Q$3</f>
        <v>0</v>
      </c>
      <c r="X10" s="13">
        <f>TRANSICAO!$X$10*CUSTOS!$Q$3</f>
        <v>0</v>
      </c>
      <c r="Y10" s="13">
        <f>TRANSICAO!$Y$10*CUSTOS!$Q$3</f>
        <v>0</v>
      </c>
      <c r="Z10" s="13">
        <f>TRANSICAO!$Z$10*CUSTOS!$Q$3</f>
        <v>0</v>
      </c>
      <c r="AA10" s="13">
        <f>TRANSICAO!$AA$10*CUSTOS!$Q$3</f>
        <v>0</v>
      </c>
      <c r="AB10" s="13">
        <f>TRANSICAO!$AB$10*CUSTOS!$Q$3</f>
        <v>0</v>
      </c>
      <c r="AC10" s="13">
        <f>TRANSICAO!$AC$10*CUSTOS!$Q$3</f>
        <v>13.444015</v>
      </c>
      <c r="AD10" s="13">
        <f>TRANSICAO!$AD$10*CUSTOS!$Q$3</f>
        <v>0</v>
      </c>
      <c r="AE10" s="13">
        <v>0</v>
      </c>
      <c r="AF10" s="13">
        <v>0</v>
      </c>
      <c r="AG10" s="13"/>
      <c r="AH10" s="13">
        <v>0</v>
      </c>
      <c r="AI10" s="13">
        <v>0</v>
      </c>
      <c r="AJ10" s="13">
        <v>0</v>
      </c>
      <c r="AK10" s="13">
        <f t="shared" si="0"/>
        <v>0</v>
      </c>
      <c r="AL10" s="13"/>
      <c r="AM10" s="13"/>
      <c r="AP10" s="13">
        <v>1</v>
      </c>
    </row>
    <row r="11" spans="1:42" ht="11.25" customHeight="1" x14ac:dyDescent="0.3">
      <c r="A11" s="137"/>
      <c r="B11" s="137"/>
      <c r="C11" s="137"/>
      <c r="D11" s="137"/>
      <c r="E11" s="137"/>
      <c r="F11" s="137"/>
      <c r="G11" s="18" t="s">
        <v>80</v>
      </c>
      <c r="H11" s="18" t="s">
        <v>79</v>
      </c>
      <c r="I11" s="18">
        <f>'MERCADO TUSD'!$U$8</f>
        <v>5.4909999999999997</v>
      </c>
      <c r="J11" s="15"/>
      <c r="L11" s="13">
        <f>0.84</f>
        <v>0.84</v>
      </c>
      <c r="M11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11" s="13">
        <f ca="1">(+M11+O11+R11+U11+V11+W11+X11+Y11+Z11+AA11+AC11+AH11+AI11+AJ11+AK11)*CUSTOS!$M$5</f>
        <v>11.196987862779784</v>
      </c>
      <c r="O11" s="13">
        <v>1</v>
      </c>
      <c r="P11" s="13">
        <v>1</v>
      </c>
      <c r="Q11" s="13">
        <f>0.84</f>
        <v>0.84</v>
      </c>
      <c r="R11" s="13">
        <v>1</v>
      </c>
      <c r="S11" s="13">
        <v>1</v>
      </c>
      <c r="T11" s="13"/>
      <c r="U11" s="13">
        <f>TRANSICAO!$U$11*CUSTOS!$Q$3</f>
        <v>142.67305000000002</v>
      </c>
      <c r="V11" s="13">
        <f>TRANSICAO!$V$11*CUSTOS!$Q$3</f>
        <v>75.201165000000003</v>
      </c>
      <c r="W11" s="13">
        <f>TRANSICAO!$W$11*CUSTOS!$Q$3</f>
        <v>0</v>
      </c>
      <c r="X11" s="13">
        <f>TRANSICAO!$X$11*CUSTOS!$Q$3</f>
        <v>0</v>
      </c>
      <c r="Y11" s="13">
        <f>TRANSICAO!$Y$11*CUSTOS!$Q$3</f>
        <v>0</v>
      </c>
      <c r="Z11" s="13">
        <f>TRANSICAO!$Z$11*CUSTOS!$Q$3</f>
        <v>0</v>
      </c>
      <c r="AA11" s="13">
        <f>TRANSICAO!$AA$11*CUSTOS!$Q$3</f>
        <v>0</v>
      </c>
      <c r="AB11" s="13">
        <f>TRANSICAO!$AB$11*CUSTOS!$Q$3</f>
        <v>0</v>
      </c>
      <c r="AC11" s="13">
        <f>TRANSICAO!$AC$11*CUSTOS!$Q$3</f>
        <v>875.32035500000006</v>
      </c>
      <c r="AD11" s="13">
        <f>TRANSICAO!$AD$11*CUSTOS!$Q$3</f>
        <v>0</v>
      </c>
      <c r="AE11" s="13">
        <v>0</v>
      </c>
      <c r="AF11" s="13">
        <v>0</v>
      </c>
      <c r="AG11" s="13"/>
      <c r="AH11" s="13">
        <v>10.9956</v>
      </c>
      <c r="AI11" s="13">
        <v>10.9956</v>
      </c>
      <c r="AJ11" s="13">
        <f ca="1">$N$75</f>
        <v>1.0058028288412295</v>
      </c>
      <c r="AK11" s="13">
        <f t="shared" ca="1" si="0"/>
        <v>1.0058028288412295</v>
      </c>
      <c r="AL11" s="13"/>
      <c r="AM11" s="13"/>
      <c r="AP11" s="13">
        <v>1</v>
      </c>
    </row>
    <row r="12" spans="1:42" ht="11.25" customHeight="1" x14ac:dyDescent="0.3">
      <c r="A12" s="137"/>
      <c r="B12" s="137"/>
      <c r="C12" s="137"/>
      <c r="D12" s="137"/>
      <c r="E12" s="137"/>
      <c r="F12" s="137"/>
      <c r="G12" s="18" t="s">
        <v>81</v>
      </c>
      <c r="H12" s="18" t="s">
        <v>79</v>
      </c>
      <c r="I12" s="18">
        <f>'MERCADO TUSD'!$U$9</f>
        <v>46.585999999999999</v>
      </c>
      <c r="J12" s="15"/>
      <c r="L12" s="13">
        <f>0.84</f>
        <v>0.84</v>
      </c>
      <c r="M12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12" s="13">
        <f ca="1">(+M12+O12+R12+U12+V12+W12+X12+Y12+Z12+AA12+AC12+AH12+AI12+AJ12+AK12)*CUSTOS!$M$5</f>
        <v>0.26504216277978149</v>
      </c>
      <c r="O12" s="13">
        <v>1</v>
      </c>
      <c r="P12" s="13">
        <v>1</v>
      </c>
      <c r="Q12" s="13">
        <f>0.84</f>
        <v>0.84</v>
      </c>
      <c r="R12" s="13">
        <v>1</v>
      </c>
      <c r="S12" s="13">
        <v>1</v>
      </c>
      <c r="T12" s="13"/>
      <c r="U12" s="13">
        <f>TRANSICAO!$U$12*CUSTOS!$Q$3</f>
        <v>0</v>
      </c>
      <c r="V12" s="13">
        <f>TRANSICAO!$V$12*CUSTOS!$Q$3</f>
        <v>0</v>
      </c>
      <c r="W12" s="13">
        <f>TRANSICAO!$W$12*CUSTOS!$Q$3</f>
        <v>0</v>
      </c>
      <c r="X12" s="13">
        <f>TRANSICAO!$X$12*CUSTOS!$Q$3</f>
        <v>0</v>
      </c>
      <c r="Y12" s="13">
        <f>TRANSICAO!$Y$12*CUSTOS!$Q$3</f>
        <v>0</v>
      </c>
      <c r="Z12" s="13">
        <f>TRANSICAO!$Z$12*CUSTOS!$Q$3</f>
        <v>0</v>
      </c>
      <c r="AA12" s="13">
        <f>TRANSICAO!$AA$12*CUSTOS!$Q$3</f>
        <v>0</v>
      </c>
      <c r="AB12" s="13">
        <f>TRANSICAO!$AB$12*CUSTOS!$Q$3</f>
        <v>0</v>
      </c>
      <c r="AC12" s="13">
        <f>TRANSICAO!$AC$12*CUSTOS!$Q$3</f>
        <v>0</v>
      </c>
      <c r="AD12" s="13">
        <f>TRANSICAO!$AD$12*CUSTOS!$Q$3</f>
        <v>0</v>
      </c>
      <c r="AE12" s="13">
        <v>0</v>
      </c>
      <c r="AF12" s="13">
        <v>0</v>
      </c>
      <c r="AG12" s="13"/>
      <c r="AH12" s="13">
        <v>10.9956</v>
      </c>
      <c r="AI12" s="13">
        <v>10.9956</v>
      </c>
      <c r="AJ12" s="13">
        <f ca="1">$N$75</f>
        <v>1.0058028288412295</v>
      </c>
      <c r="AK12" s="13">
        <f t="shared" ca="1" si="0"/>
        <v>1.0058028288412295</v>
      </c>
      <c r="AL12" s="13"/>
      <c r="AM12" s="13"/>
      <c r="AP12" s="13">
        <v>1</v>
      </c>
    </row>
    <row r="13" spans="1:42" ht="11.25" customHeight="1" x14ac:dyDescent="0.3">
      <c r="A13" s="137"/>
      <c r="B13" s="137"/>
      <c r="C13" s="137"/>
      <c r="D13" s="137"/>
      <c r="E13" s="137" t="s">
        <v>87</v>
      </c>
      <c r="F13" s="137" t="s">
        <v>25</v>
      </c>
      <c r="G13" s="18" t="s">
        <v>80</v>
      </c>
      <c r="H13" s="18" t="s">
        <v>79</v>
      </c>
      <c r="I13" s="18">
        <f>'MERCADO TUSD'!$U$10</f>
        <v>0</v>
      </c>
      <c r="J13" s="15"/>
      <c r="L13" s="13">
        <v>0</v>
      </c>
      <c r="M13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13" s="13">
        <f ca="1">(+M13+O13+R13+U13+V13+W13+X13+Y13+Z13+AA13+AC13+AH13+AI13+AJ13+AK13)*CUSTOS!$M$5</f>
        <v>11.186987862779784</v>
      </c>
      <c r="O13" s="13">
        <v>1</v>
      </c>
      <c r="P13" s="13">
        <v>0</v>
      </c>
      <c r="Q13" s="13">
        <v>0</v>
      </c>
      <c r="R13" s="13">
        <v>0</v>
      </c>
      <c r="S13" s="13">
        <v>0</v>
      </c>
      <c r="T13" s="13"/>
      <c r="U13" s="13">
        <f>TRANSICAO!$U$13*CUSTOS!$Q$3</f>
        <v>142.67305000000002</v>
      </c>
      <c r="V13" s="13">
        <f>TRANSICAO!$V$13*CUSTOS!$Q$3</f>
        <v>75.201165000000003</v>
      </c>
      <c r="W13" s="13">
        <f>TRANSICAO!$W$13*CUSTOS!$Q$3</f>
        <v>0</v>
      </c>
      <c r="X13" s="13">
        <f>TRANSICAO!$X$13*CUSTOS!$Q$3</f>
        <v>0</v>
      </c>
      <c r="Y13" s="13">
        <f>TRANSICAO!$Y$13*CUSTOS!$Q$3</f>
        <v>0</v>
      </c>
      <c r="Z13" s="13">
        <f>TRANSICAO!$Z$13*CUSTOS!$Q$3</f>
        <v>0</v>
      </c>
      <c r="AA13" s="13">
        <f>TRANSICAO!$AA$13*CUSTOS!$Q$3</f>
        <v>0</v>
      </c>
      <c r="AB13" s="13">
        <f>TRANSICAO!$AB$13*CUSTOS!$Q$3</f>
        <v>0</v>
      </c>
      <c r="AC13" s="13">
        <f>TRANSICAO!$AC$13*CUSTOS!$Q$3</f>
        <v>875.32035500000006</v>
      </c>
      <c r="AD13" s="13">
        <f>TRANSICAO!$AD$13*CUSTOS!$Q$3</f>
        <v>0</v>
      </c>
      <c r="AE13" s="13">
        <v>0</v>
      </c>
      <c r="AF13" s="13">
        <v>0</v>
      </c>
      <c r="AG13" s="13"/>
      <c r="AH13" s="13">
        <v>10.9956</v>
      </c>
      <c r="AI13" s="13">
        <v>10.9956</v>
      </c>
      <c r="AJ13" s="13">
        <f ca="1">$N$75</f>
        <v>1.0058028288412295</v>
      </c>
      <c r="AK13" s="13">
        <f t="shared" ca="1" si="0"/>
        <v>1.0058028288412295</v>
      </c>
      <c r="AL13" s="13"/>
      <c r="AM13" s="13"/>
      <c r="AP13" s="13">
        <v>1</v>
      </c>
    </row>
    <row r="14" spans="1:42" ht="11.25" customHeight="1" x14ac:dyDescent="0.3">
      <c r="A14" s="137"/>
      <c r="B14" s="137"/>
      <c r="C14" s="137"/>
      <c r="D14" s="137"/>
      <c r="E14" s="137"/>
      <c r="F14" s="137"/>
      <c r="G14" s="18" t="s">
        <v>81</v>
      </c>
      <c r="H14" s="18" t="s">
        <v>79</v>
      </c>
      <c r="I14" s="18">
        <f>'MERCADO TUSD'!$U$11</f>
        <v>0</v>
      </c>
      <c r="J14" s="15"/>
      <c r="L14" s="13">
        <v>0</v>
      </c>
      <c r="M14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14" s="13">
        <f ca="1">(+M14+O14+R14+U14+V14+W14+X14+Y14+Z14+AA14+AC14+AH14+AI14+AJ14+AK14)*CUSTOS!$M$5</f>
        <v>0.25504216277978148</v>
      </c>
      <c r="O14" s="13">
        <v>1</v>
      </c>
      <c r="P14" s="13">
        <v>0</v>
      </c>
      <c r="Q14" s="13">
        <v>0</v>
      </c>
      <c r="R14" s="13">
        <v>0</v>
      </c>
      <c r="S14" s="13">
        <v>0</v>
      </c>
      <c r="T14" s="13"/>
      <c r="U14" s="13">
        <f>TRANSICAO!$U$14*CUSTOS!$Q$3</f>
        <v>0</v>
      </c>
      <c r="V14" s="13">
        <f>TRANSICAO!$V$14*CUSTOS!$Q$3</f>
        <v>0</v>
      </c>
      <c r="W14" s="13">
        <f>TRANSICAO!$W$14*CUSTOS!$Q$3</f>
        <v>0</v>
      </c>
      <c r="X14" s="13">
        <f>TRANSICAO!$X$14*CUSTOS!$Q$3</f>
        <v>0</v>
      </c>
      <c r="Y14" s="13">
        <f>TRANSICAO!$Y$14*CUSTOS!$Q$3</f>
        <v>0</v>
      </c>
      <c r="Z14" s="13">
        <f>TRANSICAO!$Z$14*CUSTOS!$Q$3</f>
        <v>0</v>
      </c>
      <c r="AA14" s="13">
        <f>TRANSICAO!$AA$14*CUSTOS!$Q$3</f>
        <v>0</v>
      </c>
      <c r="AB14" s="13">
        <f>TRANSICAO!$AB$14*CUSTOS!$Q$3</f>
        <v>0</v>
      </c>
      <c r="AC14" s="13">
        <f>TRANSICAO!$AC$14*CUSTOS!$Q$3</f>
        <v>0</v>
      </c>
      <c r="AD14" s="13">
        <f>TRANSICAO!$AD$14*CUSTOS!$Q$3</f>
        <v>0</v>
      </c>
      <c r="AE14" s="13">
        <v>0</v>
      </c>
      <c r="AF14" s="13">
        <v>0</v>
      </c>
      <c r="AG14" s="13"/>
      <c r="AH14" s="13">
        <v>10.9956</v>
      </c>
      <c r="AI14" s="13">
        <v>10.9956</v>
      </c>
      <c r="AJ14" s="13">
        <f ca="1">$N$75</f>
        <v>1.0058028288412295</v>
      </c>
      <c r="AK14" s="13">
        <f t="shared" ca="1" si="0"/>
        <v>1.0058028288412295</v>
      </c>
      <c r="AL14" s="13"/>
      <c r="AM14" s="13"/>
      <c r="AP14" s="13">
        <v>1</v>
      </c>
    </row>
    <row r="15" spans="1:42" ht="11.25" customHeight="1" x14ac:dyDescent="0.3">
      <c r="A15" s="137"/>
      <c r="B15" s="137" t="s">
        <v>23</v>
      </c>
      <c r="C15" s="137" t="s">
        <v>25</v>
      </c>
      <c r="D15" s="137" t="s">
        <v>25</v>
      </c>
      <c r="E15" s="137" t="s">
        <v>25</v>
      </c>
      <c r="F15" s="137" t="s">
        <v>25</v>
      </c>
      <c r="G15" s="18" t="s">
        <v>9</v>
      </c>
      <c r="H15" s="18" t="s">
        <v>84</v>
      </c>
      <c r="I15" s="18">
        <f>'MERCADO TUSD'!$U$12</f>
        <v>0</v>
      </c>
      <c r="J15" s="15"/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/>
      <c r="U15" s="13">
        <f>TRANSICAO!$U$15*CUSTOS!$Q$3</f>
        <v>7.6936599999999995</v>
      </c>
      <c r="V15" s="13">
        <f>TRANSICAO!$V$15*CUSTOS!$Q$3</f>
        <v>4.1198300000000003</v>
      </c>
      <c r="W15" s="13">
        <f>TRANSICAO!$W$15*CUSTOS!$Q$3</f>
        <v>0</v>
      </c>
      <c r="X15" s="13">
        <f>TRANSICAO!$X$15*CUSTOS!$Q$3</f>
        <v>0</v>
      </c>
      <c r="Y15" s="13">
        <f>TRANSICAO!$Y$15*CUSTOS!$Q$3</f>
        <v>0</v>
      </c>
      <c r="Z15" s="13">
        <f>TRANSICAO!$Z$15*CUSTOS!$Q$3</f>
        <v>0</v>
      </c>
      <c r="AA15" s="13">
        <f>TRANSICAO!$AA$15*CUSTOS!$Q$3</f>
        <v>0</v>
      </c>
      <c r="AB15" s="13">
        <f>TRANSICAO!$AB$15*CUSTOS!$Q$3</f>
        <v>0</v>
      </c>
      <c r="AC15" s="13">
        <f>TRANSICAO!$AC$15*CUSTOS!$Q$3</f>
        <v>39.649025000000002</v>
      </c>
      <c r="AD15" s="13">
        <f>TRANSICAO!$AD$15*CUSTOS!$Q$3</f>
        <v>0</v>
      </c>
      <c r="AE15" s="13">
        <v>0</v>
      </c>
      <c r="AF15" s="13">
        <v>0</v>
      </c>
      <c r="AG15" s="13"/>
      <c r="AH15" s="13">
        <v>0</v>
      </c>
      <c r="AI15" s="13">
        <v>0</v>
      </c>
      <c r="AJ15" s="13">
        <v>0</v>
      </c>
      <c r="AK15" s="13">
        <f t="shared" si="0"/>
        <v>0</v>
      </c>
      <c r="AL15" s="13"/>
      <c r="AM15" s="13"/>
      <c r="AP15" s="13">
        <v>1</v>
      </c>
    </row>
    <row r="16" spans="1:42" ht="11.25" customHeight="1" x14ac:dyDescent="0.3">
      <c r="A16" s="137"/>
      <c r="B16" s="137"/>
      <c r="C16" s="137"/>
      <c r="D16" s="137"/>
      <c r="E16" s="137"/>
      <c r="F16" s="137"/>
      <c r="G16" s="18" t="s">
        <v>83</v>
      </c>
      <c r="H16" s="18" t="s">
        <v>79</v>
      </c>
      <c r="I16" s="18">
        <f>'MERCADO TUSD'!$U$13</f>
        <v>0</v>
      </c>
      <c r="J16" s="15"/>
      <c r="L16" s="13">
        <f>0.84</f>
        <v>0.84</v>
      </c>
      <c r="M16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16" s="13">
        <f ca="1">(+M16+O16+R16+U16+V16+W16+X16+Y16+Z16+AA16+AC16+AH16+AI16+AJ16+AK16)*CUSTOS!$M$5</f>
        <v>0.26504216277978149</v>
      </c>
      <c r="O16" s="13">
        <v>1</v>
      </c>
      <c r="P16" s="13">
        <v>1</v>
      </c>
      <c r="Q16" s="13">
        <f>0.84</f>
        <v>0.84</v>
      </c>
      <c r="R16" s="13">
        <v>1</v>
      </c>
      <c r="S16" s="13">
        <v>1</v>
      </c>
      <c r="T16" s="13"/>
      <c r="U16" s="13">
        <f>TRANSICAO!$U$16*CUSTOS!$Q$3</f>
        <v>0</v>
      </c>
      <c r="V16" s="13">
        <f>TRANSICAO!$V$16*CUSTOS!$Q$3</f>
        <v>0</v>
      </c>
      <c r="W16" s="13">
        <f>TRANSICAO!$W$16*CUSTOS!$Q$3</f>
        <v>0</v>
      </c>
      <c r="X16" s="13">
        <f>TRANSICAO!$X$16*CUSTOS!$Q$3</f>
        <v>0</v>
      </c>
      <c r="Y16" s="13">
        <f>TRANSICAO!$Y$16*CUSTOS!$Q$3</f>
        <v>0</v>
      </c>
      <c r="Z16" s="13">
        <f>TRANSICAO!$Z$16*CUSTOS!$Q$3</f>
        <v>0</v>
      </c>
      <c r="AA16" s="13">
        <f>TRANSICAO!$AA$16*CUSTOS!$Q$3</f>
        <v>0</v>
      </c>
      <c r="AB16" s="13">
        <f>TRANSICAO!$AB$16*CUSTOS!$Q$3</f>
        <v>0</v>
      </c>
      <c r="AC16" s="13">
        <f>TRANSICAO!$AC$16*CUSTOS!$Q$3</f>
        <v>0</v>
      </c>
      <c r="AD16" s="13">
        <f>TRANSICAO!$AD$16*CUSTOS!$Q$3</f>
        <v>0</v>
      </c>
      <c r="AE16" s="13">
        <v>0</v>
      </c>
      <c r="AF16" s="13">
        <v>0</v>
      </c>
      <c r="AG16" s="13"/>
      <c r="AH16" s="13">
        <v>10.9956</v>
      </c>
      <c r="AI16" s="13">
        <v>10.9956</v>
      </c>
      <c r="AJ16" s="13">
        <f ca="1">$N$75</f>
        <v>1.0058028288412295</v>
      </c>
      <c r="AK16" s="13">
        <f t="shared" ca="1" si="0"/>
        <v>1.0058028288412295</v>
      </c>
      <c r="AL16" s="13"/>
      <c r="AM16" s="13"/>
      <c r="AP16" s="13">
        <v>1</v>
      </c>
    </row>
    <row r="17" spans="1:42" ht="11.25" customHeight="1" x14ac:dyDescent="0.3">
      <c r="A17" s="137" t="s">
        <v>39</v>
      </c>
      <c r="B17" s="137" t="s">
        <v>42</v>
      </c>
      <c r="C17" s="137" t="s">
        <v>25</v>
      </c>
      <c r="D17" s="137" t="s">
        <v>25</v>
      </c>
      <c r="E17" s="137" t="s">
        <v>25</v>
      </c>
      <c r="F17" s="137" t="s">
        <v>25</v>
      </c>
      <c r="G17" s="18" t="s">
        <v>85</v>
      </c>
      <c r="H17" s="18" t="s">
        <v>84</v>
      </c>
      <c r="I17" s="18">
        <f>'MERCADO TUSD'!$U$14</f>
        <v>6798</v>
      </c>
      <c r="J17" s="15"/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/>
      <c r="U17" s="13">
        <f>TRANSICAO!$U$17*CUSTOS!$R$3</f>
        <v>5.9323550000000003</v>
      </c>
      <c r="V17" s="13">
        <f>TRANSICAO!$V$17*CUSTOS!$R$3</f>
        <v>3.1268899999999999</v>
      </c>
      <c r="W17" s="13">
        <f>TRANSICAO!$W$17*CUSTOS!$R$3</f>
        <v>0</v>
      </c>
      <c r="X17" s="13">
        <f>TRANSICAO!$X$17*CUSTOS!$R$3</f>
        <v>0</v>
      </c>
      <c r="Y17" s="13">
        <f>TRANSICAO!$Y$17*CUSTOS!$R$3</f>
        <v>0</v>
      </c>
      <c r="Z17" s="13">
        <f>TRANSICAO!$Z$17*CUSTOS!$R$3</f>
        <v>0</v>
      </c>
      <c r="AA17" s="13">
        <f>TRANSICAO!$AA$17*CUSTOS!$R$3</f>
        <v>0</v>
      </c>
      <c r="AB17" s="13">
        <f>TRANSICAO!$AB$17*CUSTOS!$R$3</f>
        <v>0</v>
      </c>
      <c r="AC17" s="13">
        <f>TRANSICAO!$AC$17*CUSTOS!$R$3</f>
        <v>36.39584</v>
      </c>
      <c r="AD17" s="13">
        <f>TRANSICAO!$AD$17*CUSTOS!$R$3</f>
        <v>0</v>
      </c>
      <c r="AE17" s="13">
        <v>0</v>
      </c>
      <c r="AF17" s="13">
        <v>0</v>
      </c>
      <c r="AG17" s="13"/>
      <c r="AH17" s="13">
        <v>0</v>
      </c>
      <c r="AI17" s="13">
        <v>0</v>
      </c>
      <c r="AJ17" s="13">
        <v>0</v>
      </c>
      <c r="AK17" s="13">
        <f t="shared" si="0"/>
        <v>0</v>
      </c>
      <c r="AL17" s="13"/>
      <c r="AM17" s="13"/>
      <c r="AP17" s="13">
        <v>1</v>
      </c>
    </row>
    <row r="18" spans="1:42" ht="11.25" customHeight="1" x14ac:dyDescent="0.3">
      <c r="A18" s="137"/>
      <c r="B18" s="137"/>
      <c r="C18" s="137"/>
      <c r="D18" s="137"/>
      <c r="E18" s="137"/>
      <c r="F18" s="137"/>
      <c r="G18" s="18" t="s">
        <v>86</v>
      </c>
      <c r="H18" s="18" t="s">
        <v>84</v>
      </c>
      <c r="I18" s="18">
        <f>'MERCADO TUSD'!$U$15</f>
        <v>6877</v>
      </c>
      <c r="J18" s="15"/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/>
      <c r="U18" s="13">
        <f>TRANSICAO!$U$18*CUSTOS!$R$3</f>
        <v>3.42238</v>
      </c>
      <c r="V18" s="13">
        <f>TRANSICAO!$V$18*CUSTOS!$R$3</f>
        <v>1.86849</v>
      </c>
      <c r="W18" s="13">
        <f>TRANSICAO!$W$18*CUSTOS!$R$3</f>
        <v>0</v>
      </c>
      <c r="X18" s="13">
        <f>TRANSICAO!$X$18*CUSTOS!$R$3</f>
        <v>0</v>
      </c>
      <c r="Y18" s="13">
        <f>TRANSICAO!$Y$18*CUSTOS!$R$3</f>
        <v>0</v>
      </c>
      <c r="Z18" s="13">
        <f>TRANSICAO!$Z$18*CUSTOS!$R$3</f>
        <v>0</v>
      </c>
      <c r="AA18" s="13">
        <f>TRANSICAO!$AA$18*CUSTOS!$R$3</f>
        <v>0</v>
      </c>
      <c r="AB18" s="13">
        <f>TRANSICAO!$AB$18*CUSTOS!$R$3</f>
        <v>0</v>
      </c>
      <c r="AC18" s="13">
        <f>TRANSICAO!$AC$18*CUSTOS!$R$3</f>
        <v>13.444015</v>
      </c>
      <c r="AD18" s="13">
        <f>TRANSICAO!$AD$18*CUSTOS!$R$3</f>
        <v>0</v>
      </c>
      <c r="AE18" s="13">
        <v>0</v>
      </c>
      <c r="AF18" s="13">
        <v>0</v>
      </c>
      <c r="AG18" s="13"/>
      <c r="AH18" s="13">
        <v>0</v>
      </c>
      <c r="AI18" s="13">
        <v>0</v>
      </c>
      <c r="AJ18" s="13">
        <v>0</v>
      </c>
      <c r="AK18" s="13">
        <f t="shared" si="0"/>
        <v>0</v>
      </c>
      <c r="AL18" s="13"/>
      <c r="AM18" s="13"/>
      <c r="AP18" s="13">
        <v>1</v>
      </c>
    </row>
    <row r="19" spans="1:42" ht="11.25" customHeight="1" x14ac:dyDescent="0.3">
      <c r="A19" s="137"/>
      <c r="B19" s="137"/>
      <c r="C19" s="137"/>
      <c r="D19" s="137"/>
      <c r="E19" s="137"/>
      <c r="F19" s="137"/>
      <c r="G19" s="18" t="s">
        <v>83</v>
      </c>
      <c r="H19" s="18" t="s">
        <v>79</v>
      </c>
      <c r="I19" s="18">
        <f>'MERCADO TUSD'!$U$16</f>
        <v>3550.4059999999995</v>
      </c>
      <c r="J19" s="15"/>
      <c r="L19" s="13">
        <f>0.84</f>
        <v>0.84</v>
      </c>
      <c r="M19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19" s="13">
        <f ca="1">(+M19+O19+R19+U19+V19+W19+X19+Y19+Z19+AA19+AC19+AH19+AI19+AJ19+AK19)*CUSTOS!$M$5</f>
        <v>0.26504216277978149</v>
      </c>
      <c r="O19" s="13">
        <v>1</v>
      </c>
      <c r="P19" s="13">
        <v>1</v>
      </c>
      <c r="Q19" s="13">
        <f>0.84</f>
        <v>0.84</v>
      </c>
      <c r="R19" s="13">
        <v>1</v>
      </c>
      <c r="S19" s="13">
        <v>1</v>
      </c>
      <c r="T19" s="13"/>
      <c r="U19" s="13">
        <f>TRANSICAO!$U$19*CUSTOS!$R$3</f>
        <v>0</v>
      </c>
      <c r="V19" s="13">
        <f>TRANSICAO!$V$19*CUSTOS!$R$3</f>
        <v>0</v>
      </c>
      <c r="W19" s="13">
        <f>TRANSICAO!$W$19*CUSTOS!$R$3</f>
        <v>0</v>
      </c>
      <c r="X19" s="13">
        <f>TRANSICAO!$X$19*CUSTOS!$R$3</f>
        <v>0</v>
      </c>
      <c r="Y19" s="13">
        <f>TRANSICAO!$Y$19*CUSTOS!$R$3</f>
        <v>0</v>
      </c>
      <c r="Z19" s="13">
        <f>TRANSICAO!$Z$19*CUSTOS!$R$3</f>
        <v>0</v>
      </c>
      <c r="AA19" s="13">
        <f>TRANSICAO!$AA$19*CUSTOS!$R$3</f>
        <v>0</v>
      </c>
      <c r="AB19" s="13">
        <f>TRANSICAO!$AB$19*CUSTOS!$R$3</f>
        <v>0</v>
      </c>
      <c r="AC19" s="13">
        <f>TRANSICAO!$AC$19*CUSTOS!$R$3</f>
        <v>0</v>
      </c>
      <c r="AD19" s="13">
        <f>TRANSICAO!$AD$19*CUSTOS!$R$3</f>
        <v>0</v>
      </c>
      <c r="AE19" s="13">
        <v>0</v>
      </c>
      <c r="AF19" s="13">
        <v>0</v>
      </c>
      <c r="AG19" s="13"/>
      <c r="AH19" s="13">
        <v>10.9956</v>
      </c>
      <c r="AI19" s="13">
        <v>10.9956</v>
      </c>
      <c r="AJ19" s="13">
        <f ca="1">$N$76</f>
        <v>1.0058028288412295</v>
      </c>
      <c r="AK19" s="13">
        <f t="shared" ca="1" si="0"/>
        <v>1.0058028288412295</v>
      </c>
      <c r="AL19" s="13"/>
      <c r="AM19" s="13"/>
      <c r="AP19" s="13">
        <v>1</v>
      </c>
    </row>
    <row r="20" spans="1:42" ht="11.25" customHeight="1" x14ac:dyDescent="0.3">
      <c r="A20" s="137"/>
      <c r="B20" s="137"/>
      <c r="C20" s="137"/>
      <c r="D20" s="137"/>
      <c r="E20" s="17" t="s">
        <v>87</v>
      </c>
      <c r="F20" s="17" t="s">
        <v>25</v>
      </c>
      <c r="G20" s="18" t="s">
        <v>83</v>
      </c>
      <c r="H20" s="18" t="s">
        <v>79</v>
      </c>
      <c r="I20" s="18">
        <f>'MERCADO TUSD'!$U$17</f>
        <v>0</v>
      </c>
      <c r="J20" s="15"/>
      <c r="L20" s="13">
        <v>0</v>
      </c>
      <c r="M20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20" s="13">
        <f ca="1">(+M20+O20+R20+U20+V20+W20+X20+Y20+Z20+AA20+AC20+AH20+AI20+AJ20+AK20)*CUSTOS!$M$5</f>
        <v>0.25504216277978148</v>
      </c>
      <c r="O20" s="13">
        <v>1</v>
      </c>
      <c r="P20" s="13">
        <v>0</v>
      </c>
      <c r="Q20" s="13">
        <v>0</v>
      </c>
      <c r="R20" s="13">
        <v>0</v>
      </c>
      <c r="S20" s="13">
        <v>0</v>
      </c>
      <c r="T20" s="13"/>
      <c r="U20" s="13">
        <f>TRANSICAO!$U$20*CUSTOS!$R$3</f>
        <v>0</v>
      </c>
      <c r="V20" s="13">
        <f>TRANSICAO!$V$20*CUSTOS!$R$3</f>
        <v>0</v>
      </c>
      <c r="W20" s="13">
        <f>TRANSICAO!$W$20*CUSTOS!$R$3</f>
        <v>0</v>
      </c>
      <c r="X20" s="13">
        <f>TRANSICAO!$X$20*CUSTOS!$R$3</f>
        <v>0</v>
      </c>
      <c r="Y20" s="13">
        <f>TRANSICAO!$Y$20*CUSTOS!$R$3</f>
        <v>0</v>
      </c>
      <c r="Z20" s="13">
        <f>TRANSICAO!$Z$20*CUSTOS!$R$3</f>
        <v>0</v>
      </c>
      <c r="AA20" s="13">
        <f>TRANSICAO!$AA$20*CUSTOS!$R$3</f>
        <v>0</v>
      </c>
      <c r="AB20" s="13">
        <f>TRANSICAO!$AB$20*CUSTOS!$R$3</f>
        <v>0</v>
      </c>
      <c r="AC20" s="13">
        <f>TRANSICAO!$AC$20*CUSTOS!$R$3</f>
        <v>0</v>
      </c>
      <c r="AD20" s="13">
        <f>TRANSICAO!$AD$20*CUSTOS!$R$3</f>
        <v>0</v>
      </c>
      <c r="AE20" s="13">
        <v>0</v>
      </c>
      <c r="AF20" s="13">
        <v>0</v>
      </c>
      <c r="AG20" s="13"/>
      <c r="AH20" s="13">
        <v>10.9956</v>
      </c>
      <c r="AI20" s="13">
        <v>10.9956</v>
      </c>
      <c r="AJ20" s="13">
        <f ca="1">$N$76</f>
        <v>1.0058028288412295</v>
      </c>
      <c r="AK20" s="13">
        <f t="shared" ca="1" si="0"/>
        <v>1.0058028288412295</v>
      </c>
      <c r="AL20" s="13"/>
      <c r="AM20" s="13"/>
      <c r="AP20" s="13">
        <v>1</v>
      </c>
    </row>
    <row r="21" spans="1:42" ht="11.25" customHeight="1" x14ac:dyDescent="0.3">
      <c r="A21" s="137"/>
      <c r="B21" s="17" t="s">
        <v>60</v>
      </c>
      <c r="C21" s="17" t="s">
        <v>25</v>
      </c>
      <c r="D21" s="17" t="s">
        <v>25</v>
      </c>
      <c r="E21" s="17" t="s">
        <v>25</v>
      </c>
      <c r="F21" s="17" t="s">
        <v>25</v>
      </c>
      <c r="G21" s="18" t="s">
        <v>9</v>
      </c>
      <c r="H21" s="18" t="s">
        <v>84</v>
      </c>
      <c r="I21" s="18">
        <f>'MERCADO TUSD'!$U$18</f>
        <v>0</v>
      </c>
      <c r="J21" s="15"/>
      <c r="L21" s="13">
        <v>0</v>
      </c>
      <c r="M21" s="13">
        <v>6.9400000000000003E-2</v>
      </c>
      <c r="N21" s="13">
        <f>0.1742</f>
        <v>0.17419999999999999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/>
      <c r="U21" s="13">
        <f>TRANSICAO!$U$21*CUSTOS!$R$4</f>
        <v>0</v>
      </c>
      <c r="V21" s="13">
        <f>TRANSICAO!$V$21*CUSTOS!$R$4</f>
        <v>0</v>
      </c>
      <c r="W21" s="13">
        <f>TRANSICAO!$W$21*CUSTOS!$R$4</f>
        <v>0</v>
      </c>
      <c r="X21" s="13">
        <f>TRANSICAO!$X$21*CUSTOS!$R$4</f>
        <v>0</v>
      </c>
      <c r="Y21" s="13">
        <f>TRANSICAO!$Y$21*CUSTOS!$R$4</f>
        <v>0</v>
      </c>
      <c r="Z21" s="13">
        <f>TRANSICAO!$Z$21*CUSTOS!$R$4</f>
        <v>0</v>
      </c>
      <c r="AA21" s="13">
        <f>TRANSICAO!$AA$21*CUSTOS!$R$4</f>
        <v>0</v>
      </c>
      <c r="AB21" s="13">
        <f>TRANSICAO!$AB$21*CUSTOS!$R$4</f>
        <v>0</v>
      </c>
      <c r="AC21" s="13">
        <f>TRANSICAO!$AC$21*CUSTOS!$R$4</f>
        <v>11.273015000000001</v>
      </c>
      <c r="AD21" s="13">
        <f>TRANSICAO!$AD$21*CUSTOS!$R$4</f>
        <v>0</v>
      </c>
      <c r="AE21" s="13">
        <v>0</v>
      </c>
      <c r="AF21" s="13">
        <v>0</v>
      </c>
      <c r="AG21" s="13"/>
      <c r="AH21" s="13">
        <v>6.4999999999999997E-3</v>
      </c>
      <c r="AI21" s="13">
        <v>0</v>
      </c>
      <c r="AJ21" s="13">
        <v>0</v>
      </c>
      <c r="AK21" s="13">
        <f t="shared" si="0"/>
        <v>0</v>
      </c>
      <c r="AL21" s="13"/>
      <c r="AM21" s="13"/>
      <c r="AP21" s="13"/>
    </row>
    <row r="22" spans="1:42" ht="11.25" customHeight="1" x14ac:dyDescent="0.3">
      <c r="A22" s="137"/>
      <c r="B22" s="137" t="s">
        <v>40</v>
      </c>
      <c r="C22" s="137" t="s">
        <v>25</v>
      </c>
      <c r="D22" s="137" t="s">
        <v>25</v>
      </c>
      <c r="E22" s="137" t="s">
        <v>25</v>
      </c>
      <c r="F22" s="137" t="s">
        <v>25</v>
      </c>
      <c r="G22" s="18" t="s">
        <v>9</v>
      </c>
      <c r="H22" s="18" t="s">
        <v>84</v>
      </c>
      <c r="I22" s="18">
        <f>'MERCADO TUSD'!$U$19</f>
        <v>125381</v>
      </c>
      <c r="J22" s="15"/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/>
      <c r="U22" s="13">
        <f>TRANSICAO!$U$22*CUSTOS!$R$3</f>
        <v>3.42238</v>
      </c>
      <c r="V22" s="13">
        <f>TRANSICAO!$V$22*CUSTOS!$R$3</f>
        <v>1.86849</v>
      </c>
      <c r="W22" s="13">
        <f>TRANSICAO!$W$22*CUSTOS!$R$3</f>
        <v>0</v>
      </c>
      <c r="X22" s="13">
        <f>TRANSICAO!$X$22*CUSTOS!$R$3</f>
        <v>0</v>
      </c>
      <c r="Y22" s="13">
        <f>TRANSICAO!$Y$22*CUSTOS!$R$3</f>
        <v>0</v>
      </c>
      <c r="Z22" s="13">
        <f>TRANSICAO!$Z$22*CUSTOS!$R$3</f>
        <v>0</v>
      </c>
      <c r="AA22" s="13">
        <f>TRANSICAO!$AA$22*CUSTOS!$R$3</f>
        <v>0</v>
      </c>
      <c r="AB22" s="13">
        <f>TRANSICAO!$AB$22*CUSTOS!$R$3</f>
        <v>0</v>
      </c>
      <c r="AC22" s="13">
        <f>TRANSICAO!$AC$22*CUSTOS!$R$3</f>
        <v>13.444015</v>
      </c>
      <c r="AD22" s="13">
        <f>TRANSICAO!$AD$22*CUSTOS!$R$3</f>
        <v>0</v>
      </c>
      <c r="AE22" s="13">
        <v>0</v>
      </c>
      <c r="AF22" s="13">
        <v>0</v>
      </c>
      <c r="AG22" s="13"/>
      <c r="AH22" s="13">
        <v>0</v>
      </c>
      <c r="AI22" s="13">
        <v>0</v>
      </c>
      <c r="AJ22" s="13">
        <v>0</v>
      </c>
      <c r="AK22" s="13">
        <f t="shared" si="0"/>
        <v>0</v>
      </c>
      <c r="AL22" s="13"/>
      <c r="AM22" s="13"/>
      <c r="AP22" s="13">
        <v>1</v>
      </c>
    </row>
    <row r="23" spans="1:42" ht="11.25" customHeight="1" x14ac:dyDescent="0.3">
      <c r="A23" s="137"/>
      <c r="B23" s="137"/>
      <c r="C23" s="137"/>
      <c r="D23" s="137"/>
      <c r="E23" s="137"/>
      <c r="F23" s="137"/>
      <c r="G23" s="18" t="s">
        <v>80</v>
      </c>
      <c r="H23" s="18" t="s">
        <v>79</v>
      </c>
      <c r="I23" s="18">
        <f>'MERCADO TUSD'!$U$20</f>
        <v>1113.1679999999999</v>
      </c>
      <c r="J23" s="15"/>
      <c r="L23" s="13">
        <f>0.84</f>
        <v>0.84</v>
      </c>
      <c r="M23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23" s="13">
        <f ca="1">(+M23+O23+R23+U23+V23+W23+X23+Y23+Z23+AA23+AC23+AH23+AI23+AJ23+AK23)*CUSTOS!$M$5</f>
        <v>11.196987862779784</v>
      </c>
      <c r="O23" s="13">
        <v>1</v>
      </c>
      <c r="P23" s="13">
        <v>1</v>
      </c>
      <c r="Q23" s="13">
        <f>0.84</f>
        <v>0.84</v>
      </c>
      <c r="R23" s="13">
        <v>1</v>
      </c>
      <c r="S23" s="13">
        <v>1</v>
      </c>
      <c r="T23" s="13"/>
      <c r="U23" s="13">
        <f>TRANSICAO!$U$23*CUSTOS!$R$3</f>
        <v>142.67305000000002</v>
      </c>
      <c r="V23" s="13">
        <f>TRANSICAO!$V$23*CUSTOS!$R$3</f>
        <v>75.201165000000003</v>
      </c>
      <c r="W23" s="13">
        <f>TRANSICAO!$W$23*CUSTOS!$R$3</f>
        <v>0</v>
      </c>
      <c r="X23" s="13">
        <f>TRANSICAO!$X$23*CUSTOS!$R$3</f>
        <v>0</v>
      </c>
      <c r="Y23" s="13">
        <f>TRANSICAO!$Y$23*CUSTOS!$R$3</f>
        <v>0</v>
      </c>
      <c r="Z23" s="13">
        <f>TRANSICAO!$Z$23*CUSTOS!$R$3</f>
        <v>0</v>
      </c>
      <c r="AA23" s="13">
        <f>TRANSICAO!$AA$23*CUSTOS!$R$3</f>
        <v>0</v>
      </c>
      <c r="AB23" s="13">
        <f>TRANSICAO!$AB$23*CUSTOS!$R$3</f>
        <v>0</v>
      </c>
      <c r="AC23" s="13">
        <f>TRANSICAO!$AC$23*CUSTOS!$R$3</f>
        <v>875.32035500000006</v>
      </c>
      <c r="AD23" s="13">
        <f>TRANSICAO!$AD$23*CUSTOS!$R$3</f>
        <v>0</v>
      </c>
      <c r="AE23" s="13">
        <v>0</v>
      </c>
      <c r="AF23" s="13">
        <v>0</v>
      </c>
      <c r="AG23" s="13"/>
      <c r="AH23" s="13">
        <v>10.9956</v>
      </c>
      <c r="AI23" s="13">
        <v>10.9956</v>
      </c>
      <c r="AJ23" s="13">
        <f ca="1">$N$76</f>
        <v>1.0058028288412295</v>
      </c>
      <c r="AK23" s="13">
        <f t="shared" ca="1" si="0"/>
        <v>1.0058028288412295</v>
      </c>
      <c r="AL23" s="13"/>
      <c r="AM23" s="13"/>
      <c r="AP23" s="13">
        <v>1</v>
      </c>
    </row>
    <row r="24" spans="1:42" ht="11.25" customHeight="1" x14ac:dyDescent="0.3">
      <c r="A24" s="137"/>
      <c r="B24" s="137"/>
      <c r="C24" s="137"/>
      <c r="D24" s="137"/>
      <c r="E24" s="137"/>
      <c r="F24" s="137"/>
      <c r="G24" s="18" t="s">
        <v>81</v>
      </c>
      <c r="H24" s="18" t="s">
        <v>79</v>
      </c>
      <c r="I24" s="18">
        <f>'MERCADO TUSD'!$U$21</f>
        <v>23039.734000000004</v>
      </c>
      <c r="J24" s="15"/>
      <c r="L24" s="13">
        <f>0.84</f>
        <v>0.84</v>
      </c>
      <c r="M24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24" s="13">
        <f ca="1">(+M24+O24+R24+U24+V24+W24+X24+Y24+Z24+AA24+AC24+AH24+AI24+AJ24+AK24)*CUSTOS!$M$5</f>
        <v>0.26504216277978149</v>
      </c>
      <c r="O24" s="13">
        <v>1</v>
      </c>
      <c r="P24" s="13">
        <v>1</v>
      </c>
      <c r="Q24" s="13">
        <f>0.84</f>
        <v>0.84</v>
      </c>
      <c r="R24" s="13">
        <v>1</v>
      </c>
      <c r="S24" s="13">
        <v>1</v>
      </c>
      <c r="T24" s="13"/>
      <c r="U24" s="13">
        <f>TRANSICAO!$U$24*CUSTOS!$R$3</f>
        <v>0</v>
      </c>
      <c r="V24" s="13">
        <f>TRANSICAO!$V$24*CUSTOS!$R$3</f>
        <v>0</v>
      </c>
      <c r="W24" s="13">
        <f>TRANSICAO!$W$24*CUSTOS!$R$3</f>
        <v>0</v>
      </c>
      <c r="X24" s="13">
        <f>TRANSICAO!$X$24*CUSTOS!$R$3</f>
        <v>0</v>
      </c>
      <c r="Y24" s="13">
        <f>TRANSICAO!$Y$24*CUSTOS!$R$3</f>
        <v>0</v>
      </c>
      <c r="Z24" s="13">
        <f>TRANSICAO!$Z$24*CUSTOS!$R$3</f>
        <v>0</v>
      </c>
      <c r="AA24" s="13">
        <f>TRANSICAO!$AA$24*CUSTOS!$R$3</f>
        <v>0</v>
      </c>
      <c r="AB24" s="13">
        <f>TRANSICAO!$AB$24*CUSTOS!$R$3</f>
        <v>0</v>
      </c>
      <c r="AC24" s="13">
        <f>TRANSICAO!$AC$24*CUSTOS!$R$3</f>
        <v>0</v>
      </c>
      <c r="AD24" s="13">
        <f>TRANSICAO!$AD$24*CUSTOS!$R$3</f>
        <v>0</v>
      </c>
      <c r="AE24" s="13">
        <v>0</v>
      </c>
      <c r="AF24" s="13">
        <v>0</v>
      </c>
      <c r="AG24" s="13"/>
      <c r="AH24" s="13">
        <v>10.9956</v>
      </c>
      <c r="AI24" s="13">
        <v>10.9956</v>
      </c>
      <c r="AJ24" s="13">
        <f ca="1">$N$76</f>
        <v>1.0058028288412295</v>
      </c>
      <c r="AK24" s="13">
        <f t="shared" ca="1" si="0"/>
        <v>1.0058028288412295</v>
      </c>
      <c r="AL24" s="13"/>
      <c r="AM24" s="13"/>
      <c r="AP24" s="13">
        <v>1</v>
      </c>
    </row>
    <row r="25" spans="1:42" ht="11.25" customHeight="1" x14ac:dyDescent="0.3">
      <c r="A25" s="137"/>
      <c r="B25" s="137"/>
      <c r="C25" s="137"/>
      <c r="D25" s="137"/>
      <c r="E25" s="137" t="s">
        <v>87</v>
      </c>
      <c r="F25" s="137" t="s">
        <v>25</v>
      </c>
      <c r="G25" s="18" t="s">
        <v>80</v>
      </c>
      <c r="H25" s="18" t="s">
        <v>79</v>
      </c>
      <c r="I25" s="18">
        <f>'MERCADO TUSD'!$U$22</f>
        <v>0</v>
      </c>
      <c r="J25" s="15"/>
      <c r="L25" s="13">
        <v>0</v>
      </c>
      <c r="M25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25" s="13">
        <f ca="1">(+M25+O25+R25+U25+V25+W25+X25+Y25+Z25+AA25+AC25+AH25+AI25+AJ25+AK25)*CUSTOS!$M$5</f>
        <v>11.186987862779784</v>
      </c>
      <c r="O25" s="13">
        <v>1</v>
      </c>
      <c r="P25" s="13">
        <v>0</v>
      </c>
      <c r="Q25" s="13">
        <v>0</v>
      </c>
      <c r="R25" s="13">
        <v>0</v>
      </c>
      <c r="S25" s="13">
        <v>0</v>
      </c>
      <c r="T25" s="13"/>
      <c r="U25" s="13">
        <f>TRANSICAO!$U$25*CUSTOS!$R$3</f>
        <v>142.67305000000002</v>
      </c>
      <c r="V25" s="13">
        <f>TRANSICAO!$V$25*CUSTOS!$R$3</f>
        <v>75.201165000000003</v>
      </c>
      <c r="W25" s="13">
        <f>TRANSICAO!$W$25*CUSTOS!$R$3</f>
        <v>0</v>
      </c>
      <c r="X25" s="13">
        <f>TRANSICAO!$X$25*CUSTOS!$R$3</f>
        <v>0</v>
      </c>
      <c r="Y25" s="13">
        <f>TRANSICAO!$Y$25*CUSTOS!$R$3</f>
        <v>0</v>
      </c>
      <c r="Z25" s="13">
        <f>TRANSICAO!$Z$25*CUSTOS!$R$3</f>
        <v>0</v>
      </c>
      <c r="AA25" s="13">
        <f>TRANSICAO!$AA$25*CUSTOS!$R$3</f>
        <v>0</v>
      </c>
      <c r="AB25" s="13">
        <f>TRANSICAO!$AB$25*CUSTOS!$R$3</f>
        <v>0</v>
      </c>
      <c r="AC25" s="13">
        <f>TRANSICAO!$AC$25*CUSTOS!$R$3</f>
        <v>875.32035500000006</v>
      </c>
      <c r="AD25" s="13">
        <f>TRANSICAO!$AD$25*CUSTOS!$R$3</f>
        <v>0</v>
      </c>
      <c r="AE25" s="13">
        <v>0</v>
      </c>
      <c r="AF25" s="13">
        <v>0</v>
      </c>
      <c r="AG25" s="13"/>
      <c r="AH25" s="13">
        <v>10.9956</v>
      </c>
      <c r="AI25" s="13">
        <v>10.9956</v>
      </c>
      <c r="AJ25" s="13">
        <f ca="1">$N$76</f>
        <v>1.0058028288412295</v>
      </c>
      <c r="AK25" s="13">
        <f t="shared" ca="1" si="0"/>
        <v>1.0058028288412295</v>
      </c>
      <c r="AL25" s="13"/>
      <c r="AM25" s="13"/>
      <c r="AP25" s="13">
        <v>1</v>
      </c>
    </row>
    <row r="26" spans="1:42" ht="11.25" customHeight="1" x14ac:dyDescent="0.3">
      <c r="A26" s="137"/>
      <c r="B26" s="137"/>
      <c r="C26" s="137"/>
      <c r="D26" s="137"/>
      <c r="E26" s="137"/>
      <c r="F26" s="137"/>
      <c r="G26" s="18" t="s">
        <v>81</v>
      </c>
      <c r="H26" s="18" t="s">
        <v>79</v>
      </c>
      <c r="I26" s="18">
        <f>'MERCADO TUSD'!$U$23</f>
        <v>0</v>
      </c>
      <c r="J26" s="15"/>
      <c r="L26" s="13">
        <v>0</v>
      </c>
      <c r="M26" s="13">
        <f>IF(AND((+$I$7+$I$8+$I$11+$I$12+$I$13+$I$14+$I$16+$I$19+$I$20+$I$23+$I$24+$I$25+$I$26)&lt;&gt;0,SUMPRODUCT($I$5:$I$63,$AC$5:$AC$63,$AP$5:$AP$63)&lt;&gt;0),$M$68*SUMPRODUCT($I$5:$I$26,$AC$5:$AC$26,$AP$5:$AP$26)/SUMPRODUCT($I$5:$I$63,$AC$5:$AC$63,$AP$5:$AP$63)/(+$I$7+$I$8+$I$11+$I$12+$I$13+$I$14+$I$16+$I$19+$I$20+$I$23+$I$24+$I$25+$I$26),0)</f>
        <v>0.50141062029568995</v>
      </c>
      <c r="N26" s="13">
        <f ca="1">(+M26+O26+R26+U26+V26+W26+X26+Y26+Z26+AA26+AC26+AH26+AI26+AJ26+AK26)*CUSTOS!$M$5</f>
        <v>0.25504216277978148</v>
      </c>
      <c r="O26" s="13">
        <v>1</v>
      </c>
      <c r="P26" s="13">
        <v>0</v>
      </c>
      <c r="Q26" s="13">
        <v>0</v>
      </c>
      <c r="R26" s="13">
        <v>0</v>
      </c>
      <c r="S26" s="13">
        <v>0</v>
      </c>
      <c r="T26" s="13"/>
      <c r="U26" s="13">
        <f>TRANSICAO!$U$26*CUSTOS!$R$3</f>
        <v>0</v>
      </c>
      <c r="V26" s="13">
        <f>TRANSICAO!$V$26*CUSTOS!$R$3</f>
        <v>0</v>
      </c>
      <c r="W26" s="13">
        <f>TRANSICAO!$W$26*CUSTOS!$R$3</f>
        <v>0</v>
      </c>
      <c r="X26" s="13">
        <f>TRANSICAO!$X$26*CUSTOS!$R$3</f>
        <v>0</v>
      </c>
      <c r="Y26" s="13">
        <f>TRANSICAO!$Y$26*CUSTOS!$R$3</f>
        <v>0</v>
      </c>
      <c r="Z26" s="13">
        <f>TRANSICAO!$Z$26*CUSTOS!$R$3</f>
        <v>0</v>
      </c>
      <c r="AA26" s="13">
        <f>TRANSICAO!$AA$26*CUSTOS!$R$3</f>
        <v>0</v>
      </c>
      <c r="AB26" s="13">
        <f>TRANSICAO!$AB$26*CUSTOS!$R$3</f>
        <v>0</v>
      </c>
      <c r="AC26" s="13">
        <f>TRANSICAO!$AC$26*CUSTOS!$R$3</f>
        <v>0</v>
      </c>
      <c r="AD26" s="13">
        <f>TRANSICAO!$AD$26*CUSTOS!$R$3</f>
        <v>0</v>
      </c>
      <c r="AE26" s="13">
        <v>0</v>
      </c>
      <c r="AF26" s="13">
        <v>0</v>
      </c>
      <c r="AG26" s="13"/>
      <c r="AH26" s="13">
        <v>10.9956</v>
      </c>
      <c r="AI26" s="13">
        <v>10.9956</v>
      </c>
      <c r="AJ26" s="13">
        <f ca="1">$N$76</f>
        <v>1.0058028288412295</v>
      </c>
      <c r="AK26" s="13">
        <f t="shared" ca="1" si="0"/>
        <v>1.0058028288412295</v>
      </c>
      <c r="AL26" s="13"/>
      <c r="AM26" s="13"/>
      <c r="AP26" s="13">
        <v>1</v>
      </c>
    </row>
    <row r="27" spans="1:42" ht="11.25" customHeight="1" x14ac:dyDescent="0.3">
      <c r="A27" s="137" t="s">
        <v>88</v>
      </c>
      <c r="B27" s="137" t="s">
        <v>60</v>
      </c>
      <c r="C27" s="137" t="s">
        <v>25</v>
      </c>
      <c r="D27" s="137" t="s">
        <v>25</v>
      </c>
      <c r="E27" s="17" t="s">
        <v>89</v>
      </c>
      <c r="F27" s="17" t="s">
        <v>25</v>
      </c>
      <c r="G27" s="18" t="s">
        <v>9</v>
      </c>
      <c r="H27" s="18" t="s">
        <v>84</v>
      </c>
      <c r="I27" s="18">
        <f>'MERCADO TUSD'!$U$24+0.00000001</f>
        <v>1E-8</v>
      </c>
      <c r="J27" s="15"/>
      <c r="L27" s="13">
        <v>0</v>
      </c>
      <c r="M27" s="13">
        <v>2.0899999999999998E-2</v>
      </c>
      <c r="N27" s="13">
        <f>0.0523</f>
        <v>5.2299999999999999E-2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/>
      <c r="U27" s="13">
        <f>TRANSICAO!$U$27*CUSTOS!$T$4</f>
        <v>0</v>
      </c>
      <c r="V27" s="13">
        <f>TRANSICAO!$V$27*CUSTOS!$T$4</f>
        <v>0</v>
      </c>
      <c r="W27" s="13">
        <f>TRANSICAO!$W$27*CUSTOS!$T$4</f>
        <v>0</v>
      </c>
      <c r="X27" s="13">
        <f>TRANSICAO!$X$27*CUSTOS!$T$4</f>
        <v>0</v>
      </c>
      <c r="Y27" s="13">
        <f>TRANSICAO!$Y$27*CUSTOS!$T$4</f>
        <v>0</v>
      </c>
      <c r="Z27" s="13">
        <f>TRANSICAO!$Z$27*CUSTOS!$T$4</f>
        <v>0</v>
      </c>
      <c r="AA27" s="13">
        <f>TRANSICAO!$AA$27*CUSTOS!$T$4</f>
        <v>0</v>
      </c>
      <c r="AB27" s="13">
        <f>TRANSICAO!$AB$27*CUSTOS!$T$4</f>
        <v>0</v>
      </c>
      <c r="AC27" s="13">
        <f>TRANSICAO!$AC$27*CUSTOS!$T$4</f>
        <v>5.2133000000000003</v>
      </c>
      <c r="AD27" s="13">
        <f>TRANSICAO!$AD$27*CUSTOS!$T$4</f>
        <v>0</v>
      </c>
      <c r="AE27" s="13">
        <v>0</v>
      </c>
      <c r="AF27" s="13">
        <v>0</v>
      </c>
      <c r="AG27" s="13"/>
      <c r="AH27" s="13">
        <v>0</v>
      </c>
      <c r="AI27" s="13">
        <v>0</v>
      </c>
      <c r="AJ27" s="13">
        <v>0</v>
      </c>
      <c r="AK27" s="13">
        <f t="shared" si="0"/>
        <v>0</v>
      </c>
      <c r="AL27" s="13"/>
      <c r="AM27" s="13"/>
      <c r="AP27" s="13"/>
    </row>
    <row r="28" spans="1:42" ht="11.25" customHeight="1" x14ac:dyDescent="0.3">
      <c r="A28" s="137"/>
      <c r="B28" s="137"/>
      <c r="C28" s="137"/>
      <c r="D28" s="137"/>
      <c r="E28" s="17" t="s">
        <v>90</v>
      </c>
      <c r="F28" s="17" t="s">
        <v>25</v>
      </c>
      <c r="G28" s="18" t="s">
        <v>9</v>
      </c>
      <c r="H28" s="18" t="s">
        <v>84</v>
      </c>
      <c r="I28" s="18">
        <f>'MERCADO TUSD'!$U$25+0.00000001</f>
        <v>1E-8</v>
      </c>
      <c r="J28" s="15"/>
      <c r="L28" s="13">
        <v>0</v>
      </c>
      <c r="M28" s="13">
        <v>2.0899999999999998E-2</v>
      </c>
      <c r="N28" s="13">
        <f>0.0523</f>
        <v>5.2299999999999999E-2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/>
      <c r="U28" s="13">
        <f>TRANSICAO!$U$28*CUSTOS!$T$4</f>
        <v>0</v>
      </c>
      <c r="V28" s="13">
        <f>TRANSICAO!$V$28*CUSTOS!$T$4</f>
        <v>0</v>
      </c>
      <c r="W28" s="13">
        <f>TRANSICAO!$W$28*CUSTOS!$T$4</f>
        <v>0</v>
      </c>
      <c r="X28" s="13">
        <f>TRANSICAO!$X$28*CUSTOS!$T$4</f>
        <v>0</v>
      </c>
      <c r="Y28" s="13">
        <f>TRANSICAO!$Y$28*CUSTOS!$T$4</f>
        <v>0</v>
      </c>
      <c r="Z28" s="13">
        <f>TRANSICAO!$Z$28*CUSTOS!$T$4</f>
        <v>0</v>
      </c>
      <c r="AA28" s="13">
        <f>TRANSICAO!$AA$28*CUSTOS!$T$4</f>
        <v>0</v>
      </c>
      <c r="AB28" s="13">
        <f>TRANSICAO!$AB$28*CUSTOS!$T$4</f>
        <v>0</v>
      </c>
      <c r="AC28" s="13">
        <f>TRANSICAO!$AC$28*CUSTOS!$T$4</f>
        <v>19.2332</v>
      </c>
      <c r="AD28" s="13">
        <f>TRANSICAO!$AD$28*CUSTOS!$T$4</f>
        <v>0</v>
      </c>
      <c r="AE28" s="13">
        <v>0</v>
      </c>
      <c r="AF28" s="13">
        <v>0</v>
      </c>
      <c r="AG28" s="13"/>
      <c r="AH28" s="13">
        <v>0</v>
      </c>
      <c r="AI28" s="13">
        <v>0</v>
      </c>
      <c r="AJ28" s="13">
        <v>0</v>
      </c>
      <c r="AK28" s="13">
        <f t="shared" si="0"/>
        <v>0</v>
      </c>
      <c r="AL28" s="13"/>
      <c r="AM28" s="13"/>
      <c r="AP28" s="13"/>
    </row>
    <row r="29" spans="1:42" ht="11.25" customHeight="1" x14ac:dyDescent="0.3">
      <c r="A29" s="137" t="s">
        <v>22</v>
      </c>
      <c r="B29" s="137" t="s">
        <v>33</v>
      </c>
      <c r="C29" s="137" t="s">
        <v>24</v>
      </c>
      <c r="D29" s="137" t="s">
        <v>24</v>
      </c>
      <c r="E29" s="137" t="s">
        <v>25</v>
      </c>
      <c r="F29" s="137" t="s">
        <v>25</v>
      </c>
      <c r="G29" s="18" t="s">
        <v>80</v>
      </c>
      <c r="H29" s="18" t="s">
        <v>79</v>
      </c>
      <c r="I29" s="18">
        <f>'MERCADO TUSD'!$U$26</f>
        <v>5.2</v>
      </c>
      <c r="J29" s="15"/>
      <c r="L29" s="13">
        <f>1</f>
        <v>1</v>
      </c>
      <c r="M29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</f>
        <v>1.0169761005684559</v>
      </c>
      <c r="N29" s="13">
        <f ca="1">(+M29+O29+R29+U29+V29+W29+X29+Y29+Z29+AA29+AC29+AH29+AI29+AJ29+AK29)*CUSTOS!$M$5</f>
        <v>9.1948288177900075</v>
      </c>
      <c r="O29" s="13">
        <v>1</v>
      </c>
      <c r="P29" s="13">
        <v>1</v>
      </c>
      <c r="Q29" s="13">
        <f>1</f>
        <v>1</v>
      </c>
      <c r="R29" s="13">
        <v>1</v>
      </c>
      <c r="S29" s="13">
        <v>1</v>
      </c>
      <c r="T29" s="13"/>
      <c r="U29" s="13">
        <f>TRANSICAO!$U$29*CUSTOS!$T$3</f>
        <v>96.237700000000004</v>
      </c>
      <c r="V29" s="13">
        <f>TRANSICAO!$V$29*CUSTOS!$T$3</f>
        <v>51.510800000000003</v>
      </c>
      <c r="W29" s="13">
        <f>TRANSICAO!$W$29*CUSTOS!$T$3</f>
        <v>0</v>
      </c>
      <c r="X29" s="13">
        <f>TRANSICAO!$X$29*CUSTOS!$T$3</f>
        <v>0</v>
      </c>
      <c r="Y29" s="13">
        <f>TRANSICAO!$Y$29*CUSTOS!$T$3</f>
        <v>0</v>
      </c>
      <c r="Z29" s="13">
        <f>TRANSICAO!$Z$29*CUSTOS!$T$3</f>
        <v>0</v>
      </c>
      <c r="AA29" s="13">
        <f>TRANSICAO!$AA$29*CUSTOS!$T$3</f>
        <v>0</v>
      </c>
      <c r="AB29" s="13">
        <f>TRANSICAO!$AB$29*CUSTOS!$T$3</f>
        <v>0</v>
      </c>
      <c r="AC29" s="13">
        <f>TRANSICAO!$AC$29*CUSTOS!$T$3</f>
        <v>720.17010000000005</v>
      </c>
      <c r="AD29" s="13">
        <f>TRANSICAO!$AD$29*CUSTOS!$T$3</f>
        <v>0</v>
      </c>
      <c r="AE29" s="13">
        <v>0</v>
      </c>
      <c r="AF29" s="13">
        <v>0</v>
      </c>
      <c r="AG29" s="13"/>
      <c r="AH29" s="13">
        <v>22.725200000000001</v>
      </c>
      <c r="AI29" s="13">
        <v>22.725200000000001</v>
      </c>
      <c r="AJ29" s="13">
        <f ca="1">$N$77</f>
        <v>1.5484528392161621</v>
      </c>
      <c r="AK29" s="13">
        <f t="shared" ca="1" si="0"/>
        <v>1.5484528392161621</v>
      </c>
      <c r="AL29" s="13"/>
      <c r="AM29" s="13"/>
      <c r="AP29" s="13">
        <v>1</v>
      </c>
    </row>
    <row r="30" spans="1:42" ht="11.25" customHeight="1" x14ac:dyDescent="0.3">
      <c r="A30" s="137"/>
      <c r="B30" s="137"/>
      <c r="C30" s="137"/>
      <c r="D30" s="137"/>
      <c r="E30" s="137"/>
      <c r="F30" s="137"/>
      <c r="G30" s="18" t="s">
        <v>91</v>
      </c>
      <c r="H30" s="18" t="s">
        <v>79</v>
      </c>
      <c r="I30" s="18">
        <f>'MERCADO TUSD'!$U$27</f>
        <v>3.3950000000000005</v>
      </c>
      <c r="J30" s="15"/>
      <c r="L30" s="13">
        <f>1</f>
        <v>1</v>
      </c>
      <c r="M30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</f>
        <v>1.0169761005684559</v>
      </c>
      <c r="N30" s="13">
        <f ca="1">(+M30+O30+R30+U30+V30+W30+X30+Y30+Z30+AA30+AC30+AH30+AI30+AJ30+AK30)*CUSTOS!$M$5</f>
        <v>5.7231548177900065</v>
      </c>
      <c r="O30" s="13">
        <v>1</v>
      </c>
      <c r="P30" s="13">
        <v>1</v>
      </c>
      <c r="Q30" s="13">
        <f>1</f>
        <v>1</v>
      </c>
      <c r="R30" s="13">
        <v>1</v>
      </c>
      <c r="S30" s="13">
        <v>1</v>
      </c>
      <c r="T30" s="13"/>
      <c r="U30" s="13">
        <f>TRANSICAO!$U$30*CUSTOS!$T$3</f>
        <v>57.742600000000003</v>
      </c>
      <c r="V30" s="13">
        <f>TRANSICAO!$V$30*CUSTOS!$T$3</f>
        <v>30.906500000000001</v>
      </c>
      <c r="W30" s="13">
        <f>TRANSICAO!$W$30*CUSTOS!$T$3</f>
        <v>0</v>
      </c>
      <c r="X30" s="13">
        <f>TRANSICAO!$X$30*CUSTOS!$T$3</f>
        <v>0</v>
      </c>
      <c r="Y30" s="13">
        <f>TRANSICAO!$Y$30*CUSTOS!$T$3</f>
        <v>0</v>
      </c>
      <c r="Z30" s="13">
        <f>TRANSICAO!$Z$30*CUSTOS!$T$3</f>
        <v>0</v>
      </c>
      <c r="AA30" s="13">
        <f>TRANSICAO!$AA$30*CUSTOS!$T$3</f>
        <v>0</v>
      </c>
      <c r="AB30" s="13">
        <f>TRANSICAO!$AB$30*CUSTOS!$T$3</f>
        <v>0</v>
      </c>
      <c r="AC30" s="13">
        <f>TRANSICAO!$AC$30*CUSTOS!$T$3</f>
        <v>432.10210000000001</v>
      </c>
      <c r="AD30" s="13">
        <f>TRANSICAO!$AD$30*CUSTOS!$T$3</f>
        <v>0</v>
      </c>
      <c r="AE30" s="13">
        <v>0</v>
      </c>
      <c r="AF30" s="13">
        <v>0</v>
      </c>
      <c r="AG30" s="13"/>
      <c r="AH30" s="13">
        <v>22.725200000000001</v>
      </c>
      <c r="AI30" s="13">
        <v>22.725200000000001</v>
      </c>
      <c r="AJ30" s="13">
        <f ca="1">$N$77</f>
        <v>1.5484528392161621</v>
      </c>
      <c r="AK30" s="13">
        <f t="shared" ca="1" si="0"/>
        <v>1.5484528392161621</v>
      </c>
      <c r="AL30" s="13"/>
      <c r="AM30" s="13"/>
      <c r="AP30" s="13">
        <v>1</v>
      </c>
    </row>
    <row r="31" spans="1:42" ht="11.25" customHeight="1" x14ac:dyDescent="0.3">
      <c r="A31" s="137"/>
      <c r="B31" s="137"/>
      <c r="C31" s="137"/>
      <c r="D31" s="137"/>
      <c r="E31" s="137"/>
      <c r="F31" s="137"/>
      <c r="G31" s="18" t="s">
        <v>81</v>
      </c>
      <c r="H31" s="18" t="s">
        <v>79</v>
      </c>
      <c r="I31" s="18">
        <f>'MERCADO TUSD'!$U$28</f>
        <v>48.124000000000009</v>
      </c>
      <c r="J31" s="15"/>
      <c r="L31" s="13">
        <f>1</f>
        <v>1</v>
      </c>
      <c r="M31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</f>
        <v>1.0169761005684559</v>
      </c>
      <c r="N31" s="13">
        <f ca="1">(+M31+O31+R31+U31+V31+W31+X31+Y31+Z31+AA31+AC31+AH31+AI31+AJ31+AK31)*CUSTOS!$M$5</f>
        <v>2.2514798177900079</v>
      </c>
      <c r="O31" s="13">
        <v>1</v>
      </c>
      <c r="P31" s="13">
        <v>1</v>
      </c>
      <c r="Q31" s="13">
        <f>1</f>
        <v>1</v>
      </c>
      <c r="R31" s="13">
        <v>1</v>
      </c>
      <c r="S31" s="13">
        <v>1</v>
      </c>
      <c r="T31" s="13"/>
      <c r="U31" s="13">
        <f>TRANSICAO!$U$31*CUSTOS!$T$3</f>
        <v>19.247499999999999</v>
      </c>
      <c r="V31" s="13">
        <f>TRANSICAO!$V$31*CUSTOS!$T$3</f>
        <v>10.302199999999999</v>
      </c>
      <c r="W31" s="13">
        <f>TRANSICAO!$W$31*CUSTOS!$T$3</f>
        <v>0</v>
      </c>
      <c r="X31" s="13">
        <f>TRANSICAO!$X$31*CUSTOS!$T$3</f>
        <v>0</v>
      </c>
      <c r="Y31" s="13">
        <f>TRANSICAO!$Y$31*CUSTOS!$T$3</f>
        <v>0</v>
      </c>
      <c r="Z31" s="13">
        <f>TRANSICAO!$Z$31*CUSTOS!$T$3</f>
        <v>0</v>
      </c>
      <c r="AA31" s="13">
        <f>TRANSICAO!$AA$31*CUSTOS!$T$3</f>
        <v>0</v>
      </c>
      <c r="AB31" s="13">
        <f>TRANSICAO!$AB$31*CUSTOS!$T$3</f>
        <v>0</v>
      </c>
      <c r="AC31" s="13">
        <f>TRANSICAO!$AC$31*CUSTOS!$T$3</f>
        <v>144.03399999999999</v>
      </c>
      <c r="AD31" s="13">
        <f>TRANSICAO!$AD$31*CUSTOS!$T$3</f>
        <v>0</v>
      </c>
      <c r="AE31" s="13">
        <v>0</v>
      </c>
      <c r="AF31" s="13">
        <v>0</v>
      </c>
      <c r="AG31" s="13"/>
      <c r="AH31" s="13">
        <v>22.725200000000001</v>
      </c>
      <c r="AI31" s="13">
        <v>22.725200000000001</v>
      </c>
      <c r="AJ31" s="13">
        <f ca="1">$N$77</f>
        <v>1.5484528392161621</v>
      </c>
      <c r="AK31" s="13">
        <f t="shared" ca="1" si="0"/>
        <v>1.5484528392161621</v>
      </c>
      <c r="AL31" s="13"/>
      <c r="AM31" s="13"/>
      <c r="AP31" s="13">
        <v>1</v>
      </c>
    </row>
    <row r="32" spans="1:42" ht="11.25" customHeight="1" x14ac:dyDescent="0.3">
      <c r="A32" s="137"/>
      <c r="B32" s="137" t="s">
        <v>23</v>
      </c>
      <c r="C32" s="137" t="s">
        <v>24</v>
      </c>
      <c r="D32" s="17" t="s">
        <v>24</v>
      </c>
      <c r="E32" s="17" t="s">
        <v>25</v>
      </c>
      <c r="F32" s="17" t="s">
        <v>25</v>
      </c>
      <c r="G32" s="18" t="s">
        <v>83</v>
      </c>
      <c r="H32" s="18" t="s">
        <v>79</v>
      </c>
      <c r="I32" s="18">
        <f>'MERCADO TUSD'!$U$29</f>
        <v>46756.356999999996</v>
      </c>
      <c r="J32" s="15"/>
      <c r="L32" s="13">
        <f>1</f>
        <v>1</v>
      </c>
      <c r="M32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</f>
        <v>1.0169761005684559</v>
      </c>
      <c r="N32" s="13">
        <f ca="1">(+M32+O32+R32+U32+V32+W32+X32+Y32+Z32+AA32+AC32+AH32+AI32+AJ32+AK32)*CUSTOS!$M$5</f>
        <v>3.1861618177900075</v>
      </c>
      <c r="O32" s="13">
        <v>1</v>
      </c>
      <c r="P32" s="13">
        <v>1</v>
      </c>
      <c r="Q32" s="13">
        <f>1</f>
        <v>1</v>
      </c>
      <c r="R32" s="13">
        <v>1</v>
      </c>
      <c r="S32" s="13">
        <v>1</v>
      </c>
      <c r="T32" s="13"/>
      <c r="U32" s="13">
        <f>TRANSICAO!$U$32*CUSTOS!$T$3</f>
        <v>29.611599999999999</v>
      </c>
      <c r="V32" s="13">
        <f>TRANSICAO!$V$32*CUSTOS!$T$3</f>
        <v>15.849500000000001</v>
      </c>
      <c r="W32" s="13">
        <f>TRANSICAO!$W$32*CUSTOS!$T$3</f>
        <v>0</v>
      </c>
      <c r="X32" s="13">
        <f>TRANSICAO!$X$32*CUSTOS!$T$3</f>
        <v>0</v>
      </c>
      <c r="Y32" s="13">
        <f>TRANSICAO!$Y$32*CUSTOS!$T$3</f>
        <v>0</v>
      </c>
      <c r="Z32" s="13">
        <f>TRANSICAO!$Z$32*CUSTOS!$T$3</f>
        <v>0</v>
      </c>
      <c r="AA32" s="13">
        <f>TRANSICAO!$AA$32*CUSTOS!$T$3</f>
        <v>0</v>
      </c>
      <c r="AB32" s="13">
        <f>TRANSICAO!$AB$32*CUSTOS!$T$3</f>
        <v>0</v>
      </c>
      <c r="AC32" s="13">
        <f>TRANSICAO!$AC$32*CUSTOS!$T$3</f>
        <v>221.5908</v>
      </c>
      <c r="AD32" s="13">
        <f>TRANSICAO!$AD$32*CUSTOS!$T$3</f>
        <v>0</v>
      </c>
      <c r="AE32" s="13">
        <v>0</v>
      </c>
      <c r="AF32" s="13">
        <v>0</v>
      </c>
      <c r="AG32" s="13"/>
      <c r="AH32" s="13">
        <v>22.725200000000001</v>
      </c>
      <c r="AI32" s="13">
        <v>22.725200000000001</v>
      </c>
      <c r="AJ32" s="13">
        <f ca="1">$N$77</f>
        <v>1.5484528392161621</v>
      </c>
      <c r="AK32" s="13">
        <f t="shared" ca="1" si="0"/>
        <v>1.5484528392161621</v>
      </c>
      <c r="AL32" s="13"/>
      <c r="AM32" s="13"/>
      <c r="AP32" s="13">
        <v>1</v>
      </c>
    </row>
    <row r="33" spans="1:42" ht="11.25" customHeight="1" x14ac:dyDescent="0.3">
      <c r="A33" s="137"/>
      <c r="B33" s="137"/>
      <c r="C33" s="137"/>
      <c r="D33" s="17" t="s">
        <v>29</v>
      </c>
      <c r="E33" s="17" t="s">
        <v>25</v>
      </c>
      <c r="F33" s="17" t="s">
        <v>25</v>
      </c>
      <c r="G33" s="18" t="s">
        <v>83</v>
      </c>
      <c r="H33" s="18" t="s">
        <v>79</v>
      </c>
      <c r="I33" s="18">
        <f>'MERCADO TUSD'!$U$30</f>
        <v>1110.3100000000002</v>
      </c>
      <c r="J33" s="15"/>
      <c r="L33" s="13">
        <v>0</v>
      </c>
      <c r="M33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CUSTOS!$M$24)</f>
        <v>1.0169761005684559</v>
      </c>
      <c r="N33" s="13">
        <f ca="1">(+M33+O33+R33+U33+V33+W33+X33+Y33+Z33+AA33+AC33+AH33+AI33+AJ33+AK33)*CUSTOS!$M$5</f>
        <v>3.1761618177900073</v>
      </c>
      <c r="O33" s="13">
        <f>1 - CUSTOS!$M$24</f>
        <v>1</v>
      </c>
      <c r="P33" s="13">
        <v>0</v>
      </c>
      <c r="Q33" s="13">
        <v>0</v>
      </c>
      <c r="R33" s="13">
        <v>0</v>
      </c>
      <c r="S33" s="13">
        <f>1 - CUSTOS!$M$24</f>
        <v>1</v>
      </c>
      <c r="T33" s="13"/>
      <c r="U33" s="13">
        <f>TRANSICAO!$U$33*CUSTOS!$T$3</f>
        <v>29.611599999999999</v>
      </c>
      <c r="V33" s="13">
        <f>TRANSICAO!$V$33*CUSTOS!$T$3</f>
        <v>15.849500000000001</v>
      </c>
      <c r="W33" s="13">
        <f>TRANSICAO!$W$33*CUSTOS!$T$3</f>
        <v>0</v>
      </c>
      <c r="X33" s="13">
        <f>TRANSICAO!$X$33*CUSTOS!$T$3</f>
        <v>0</v>
      </c>
      <c r="Y33" s="13">
        <f>TRANSICAO!$Y$33*CUSTOS!$T$3</f>
        <v>0</v>
      </c>
      <c r="Z33" s="13">
        <f>TRANSICAO!$Z$33*CUSTOS!$T$3</f>
        <v>0</v>
      </c>
      <c r="AA33" s="13">
        <f>TRANSICAO!$AA$33*CUSTOS!$T$3</f>
        <v>0</v>
      </c>
      <c r="AB33" s="13">
        <f>TRANSICAO!$AB$33*CUSTOS!$T$3</f>
        <v>0</v>
      </c>
      <c r="AC33" s="13">
        <f>TRANSICAO!$AC$33*CUSTOS!$T$3</f>
        <v>221.5908</v>
      </c>
      <c r="AD33" s="13">
        <f>TRANSICAO!$AD$33*CUSTOS!$T$3</f>
        <v>0</v>
      </c>
      <c r="AE33" s="13">
        <v>0</v>
      </c>
      <c r="AF33" s="13">
        <v>0</v>
      </c>
      <c r="AG33" s="13"/>
      <c r="AH33" s="13">
        <f>(1 - CUSTOS!$M$24)*22.7252</f>
        <v>22.725200000000001</v>
      </c>
      <c r="AI33" s="13">
        <f>(1 - CUSTOS!$M$24)*22.7252</f>
        <v>22.725200000000001</v>
      </c>
      <c r="AJ33" s="13">
        <f ca="1">$N$77*(1-CUSTOS!$M$24)</f>
        <v>1.5484528392161621</v>
      </c>
      <c r="AK33" s="13">
        <f t="shared" ca="1" si="0"/>
        <v>1.5484528392161621</v>
      </c>
      <c r="AL33" s="13"/>
      <c r="AM33" s="13"/>
      <c r="AP33" s="13">
        <f>IF((1 - CUSTOS!$M$24)&lt;&gt;0,1/(1 - CUSTOS!$M$24),1)</f>
        <v>1</v>
      </c>
    </row>
    <row r="34" spans="1:42" ht="11.25" customHeight="1" x14ac:dyDescent="0.3">
      <c r="A34" s="137"/>
      <c r="B34" s="137"/>
      <c r="C34" s="137"/>
      <c r="D34" s="17" t="s">
        <v>30</v>
      </c>
      <c r="E34" s="17" t="s">
        <v>25</v>
      </c>
      <c r="F34" s="17" t="s">
        <v>25</v>
      </c>
      <c r="G34" s="18" t="s">
        <v>83</v>
      </c>
      <c r="H34" s="18" t="s">
        <v>79</v>
      </c>
      <c r="I34" s="18">
        <f>'MERCADO TUSD'!$U$31</f>
        <v>2263.0230000000001</v>
      </c>
      <c r="J34" s="15"/>
      <c r="L34" s="13">
        <v>0</v>
      </c>
      <c r="M34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CUSTOS!$M$25)</f>
        <v>1.0169761005684559</v>
      </c>
      <c r="N34" s="13">
        <f ca="1">(+M34+O34+R34+U34+V34+W34+X34+Y34+Z34+AA34+AC34+AH34+AI34+AJ34+AK34)*CUSTOS!$M$5</f>
        <v>3.1761618177900073</v>
      </c>
      <c r="O34" s="13">
        <f>1 - CUSTOS!$M$25</f>
        <v>1</v>
      </c>
      <c r="P34" s="13">
        <v>0</v>
      </c>
      <c r="Q34" s="13">
        <v>0</v>
      </c>
      <c r="R34" s="13">
        <v>0</v>
      </c>
      <c r="S34" s="13">
        <f>1 - CUSTOS!$M$25</f>
        <v>1</v>
      </c>
      <c r="T34" s="13"/>
      <c r="U34" s="13">
        <f>TRANSICAO!$U$34*CUSTOS!$T$3</f>
        <v>29.611599999999999</v>
      </c>
      <c r="V34" s="13">
        <f>TRANSICAO!$V$34*CUSTOS!$T$3</f>
        <v>15.849500000000001</v>
      </c>
      <c r="W34" s="13">
        <f>TRANSICAO!$W$34*CUSTOS!$T$3</f>
        <v>0</v>
      </c>
      <c r="X34" s="13">
        <f>TRANSICAO!$X$34*CUSTOS!$T$3</f>
        <v>0</v>
      </c>
      <c r="Y34" s="13">
        <f>TRANSICAO!$Y$34*CUSTOS!$T$3</f>
        <v>0</v>
      </c>
      <c r="Z34" s="13">
        <f>TRANSICAO!$Z$34*CUSTOS!$T$3</f>
        <v>0</v>
      </c>
      <c r="AA34" s="13">
        <f>TRANSICAO!$AA$34*CUSTOS!$T$3</f>
        <v>0</v>
      </c>
      <c r="AB34" s="13">
        <f>TRANSICAO!$AB$34*CUSTOS!$T$3</f>
        <v>0</v>
      </c>
      <c r="AC34" s="13">
        <f>TRANSICAO!$AC$34*CUSTOS!$T$3</f>
        <v>221.5908</v>
      </c>
      <c r="AD34" s="13">
        <f>TRANSICAO!$AD$34*CUSTOS!$T$3</f>
        <v>0</v>
      </c>
      <c r="AE34" s="13">
        <v>0</v>
      </c>
      <c r="AF34" s="13">
        <v>0</v>
      </c>
      <c r="AG34" s="13"/>
      <c r="AH34" s="13">
        <f>(1 - CUSTOS!$M$25)*22.7252</f>
        <v>22.725200000000001</v>
      </c>
      <c r="AI34" s="13">
        <f>(1 - CUSTOS!$M$25)*22.7252</f>
        <v>22.725200000000001</v>
      </c>
      <c r="AJ34" s="13">
        <f ca="1">$N$77*(1-CUSTOS!$M$25)</f>
        <v>1.5484528392161621</v>
      </c>
      <c r="AK34" s="13">
        <f t="shared" ca="1" si="0"/>
        <v>1.5484528392161621</v>
      </c>
      <c r="AL34" s="13"/>
      <c r="AM34" s="13"/>
      <c r="AP34" s="13">
        <f>IF((1 - CUSTOS!$M$25)&lt;&gt;0,1/(1 - CUSTOS!$M$25),1)</f>
        <v>1</v>
      </c>
    </row>
    <row r="35" spans="1:42" ht="11.25" customHeight="1" x14ac:dyDescent="0.3">
      <c r="A35" s="137"/>
      <c r="B35" s="137"/>
      <c r="C35" s="137"/>
      <c r="D35" s="17" t="s">
        <v>31</v>
      </c>
      <c r="E35" s="17" t="s">
        <v>25</v>
      </c>
      <c r="F35" s="17" t="s">
        <v>25</v>
      </c>
      <c r="G35" s="18" t="s">
        <v>83</v>
      </c>
      <c r="H35" s="18" t="s">
        <v>79</v>
      </c>
      <c r="I35" s="18">
        <f>'MERCADO TUSD'!$U$32</f>
        <v>1590.454</v>
      </c>
      <c r="J35" s="15"/>
      <c r="L35" s="13">
        <v>0</v>
      </c>
      <c r="M35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CUSTOS!$M$26)</f>
        <v>1.0169761005684559</v>
      </c>
      <c r="N35" s="13">
        <f ca="1">(+M35+O35+R35+U35+V35+W35+X35+Y35+Z35+AA35+AC35+AH35+AI35+AJ35+AK35)*CUSTOS!$M$5</f>
        <v>3.1761618177900073</v>
      </c>
      <c r="O35" s="13">
        <f>1 - CUSTOS!$M$26</f>
        <v>1</v>
      </c>
      <c r="P35" s="13">
        <v>0</v>
      </c>
      <c r="Q35" s="13">
        <v>0</v>
      </c>
      <c r="R35" s="13">
        <v>0</v>
      </c>
      <c r="S35" s="13">
        <f>1 - CUSTOS!$M$26</f>
        <v>1</v>
      </c>
      <c r="T35" s="13"/>
      <c r="U35" s="13">
        <f>TRANSICAO!$U$35*CUSTOS!$T$3</f>
        <v>29.611599999999999</v>
      </c>
      <c r="V35" s="13">
        <f>TRANSICAO!$V$35*CUSTOS!$T$3</f>
        <v>15.849500000000001</v>
      </c>
      <c r="W35" s="13">
        <f>TRANSICAO!$W$35*CUSTOS!$T$3</f>
        <v>0</v>
      </c>
      <c r="X35" s="13">
        <f>TRANSICAO!$X$35*CUSTOS!$T$3</f>
        <v>0</v>
      </c>
      <c r="Y35" s="13">
        <f>TRANSICAO!$Y$35*CUSTOS!$T$3</f>
        <v>0</v>
      </c>
      <c r="Z35" s="13">
        <f>TRANSICAO!$Z$35*CUSTOS!$T$3</f>
        <v>0</v>
      </c>
      <c r="AA35" s="13">
        <f>TRANSICAO!$AA$35*CUSTOS!$T$3</f>
        <v>0</v>
      </c>
      <c r="AB35" s="13">
        <f>TRANSICAO!$AB$35*CUSTOS!$T$3</f>
        <v>0</v>
      </c>
      <c r="AC35" s="13">
        <f>TRANSICAO!$AC$35*CUSTOS!$T$3</f>
        <v>221.5908</v>
      </c>
      <c r="AD35" s="13">
        <f>TRANSICAO!$AD$35*CUSTOS!$T$3</f>
        <v>0</v>
      </c>
      <c r="AE35" s="13">
        <v>0</v>
      </c>
      <c r="AF35" s="13">
        <v>0</v>
      </c>
      <c r="AG35" s="13"/>
      <c r="AH35" s="13">
        <f>(1 - CUSTOS!$M$26)*22.7252</f>
        <v>22.725200000000001</v>
      </c>
      <c r="AI35" s="13">
        <f>(1 - CUSTOS!$M$26)*22.7252</f>
        <v>22.725200000000001</v>
      </c>
      <c r="AJ35" s="13">
        <f ca="1">$N$77*(1-CUSTOS!$M$26)</f>
        <v>1.5484528392161621</v>
      </c>
      <c r="AK35" s="13">
        <f t="shared" ca="1" si="0"/>
        <v>1.5484528392161621</v>
      </c>
      <c r="AL35" s="13"/>
      <c r="AM35" s="13"/>
      <c r="AP35" s="13">
        <f>IF((1 - CUSTOS!$M$26)&lt;&gt;0,1/(1 - CUSTOS!$M$26),1)</f>
        <v>1</v>
      </c>
    </row>
    <row r="36" spans="1:42" ht="11.25" customHeight="1" x14ac:dyDescent="0.3">
      <c r="A36" s="137"/>
      <c r="B36" s="137"/>
      <c r="C36" s="137"/>
      <c r="D36" s="17" t="s">
        <v>32</v>
      </c>
      <c r="E36" s="17" t="s">
        <v>25</v>
      </c>
      <c r="F36" s="17" t="s">
        <v>25</v>
      </c>
      <c r="G36" s="18" t="s">
        <v>83</v>
      </c>
      <c r="H36" s="18" t="s">
        <v>79</v>
      </c>
      <c r="I36" s="18">
        <f>'MERCADO TUSD'!$U$33</f>
        <v>284.12699999999995</v>
      </c>
      <c r="J36" s="15"/>
      <c r="L36" s="13">
        <v>0</v>
      </c>
      <c r="M36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CUSTOS!$M$27)</f>
        <v>1.0169761005684559</v>
      </c>
      <c r="N36" s="13">
        <f ca="1">(+M36+O36+R36+U36+V36+W36+X36+Y36+Z36+AA36+AC36+AH36+AI36+AJ36+AK36)*CUSTOS!$M$5</f>
        <v>3.1761618177900073</v>
      </c>
      <c r="O36" s="13">
        <f>1 - CUSTOS!$M$27</f>
        <v>1</v>
      </c>
      <c r="P36" s="13">
        <v>0</v>
      </c>
      <c r="Q36" s="13">
        <v>0</v>
      </c>
      <c r="R36" s="13">
        <v>0</v>
      </c>
      <c r="S36" s="13">
        <f>1 - CUSTOS!$M$27</f>
        <v>1</v>
      </c>
      <c r="T36" s="13"/>
      <c r="U36" s="13">
        <f>TRANSICAO!$U$36*CUSTOS!$T$3</f>
        <v>29.611599999999999</v>
      </c>
      <c r="V36" s="13">
        <f>TRANSICAO!$V$36*CUSTOS!$T$3</f>
        <v>15.849500000000001</v>
      </c>
      <c r="W36" s="13">
        <f>TRANSICAO!$W$36*CUSTOS!$T$3</f>
        <v>0</v>
      </c>
      <c r="X36" s="13">
        <f>TRANSICAO!$X$36*CUSTOS!$T$3</f>
        <v>0</v>
      </c>
      <c r="Y36" s="13">
        <f>TRANSICAO!$Y$36*CUSTOS!$T$3</f>
        <v>0</v>
      </c>
      <c r="Z36" s="13">
        <f>TRANSICAO!$Z$36*CUSTOS!$T$3</f>
        <v>0</v>
      </c>
      <c r="AA36" s="13">
        <f>TRANSICAO!$AA$36*CUSTOS!$T$3</f>
        <v>0</v>
      </c>
      <c r="AB36" s="13">
        <f>TRANSICAO!$AB$36*CUSTOS!$T$3</f>
        <v>0</v>
      </c>
      <c r="AC36" s="13">
        <f>TRANSICAO!$AC$36*CUSTOS!$T$3</f>
        <v>221.5908</v>
      </c>
      <c r="AD36" s="13">
        <f>TRANSICAO!$AD$36*CUSTOS!$T$3</f>
        <v>0</v>
      </c>
      <c r="AE36" s="13">
        <v>0</v>
      </c>
      <c r="AF36" s="13">
        <v>0</v>
      </c>
      <c r="AG36" s="13"/>
      <c r="AH36" s="13">
        <f>(1 - CUSTOS!$M$27)*22.7252</f>
        <v>22.725200000000001</v>
      </c>
      <c r="AI36" s="13">
        <f>(1 - CUSTOS!$M$27)*22.7252</f>
        <v>22.725200000000001</v>
      </c>
      <c r="AJ36" s="13">
        <f ca="1">$N$77*(1-CUSTOS!$M$27)</f>
        <v>1.5484528392161621</v>
      </c>
      <c r="AK36" s="13">
        <f t="shared" ca="1" si="0"/>
        <v>1.5484528392161621</v>
      </c>
      <c r="AL36" s="13"/>
      <c r="AM36" s="13"/>
      <c r="AP36" s="13">
        <f>IF((1 - CUSTOS!$M$27)&lt;&gt;0,1/(1 - CUSTOS!$M$27),1)</f>
        <v>1</v>
      </c>
    </row>
    <row r="37" spans="1:42" ht="11.25" customHeight="1" x14ac:dyDescent="0.3">
      <c r="A37" s="137"/>
      <c r="B37" s="137" t="s">
        <v>93</v>
      </c>
      <c r="C37" s="137" t="s">
        <v>24</v>
      </c>
      <c r="D37" s="17" t="s">
        <v>24</v>
      </c>
      <c r="E37" s="17" t="s">
        <v>25</v>
      </c>
      <c r="F37" s="17" t="s">
        <v>25</v>
      </c>
      <c r="G37" s="18" t="s">
        <v>83</v>
      </c>
      <c r="H37" s="18" t="s">
        <v>79</v>
      </c>
      <c r="I37" s="18">
        <f>'MERCADO TUSD'!$U$34</f>
        <v>0</v>
      </c>
      <c r="J37" s="15"/>
      <c r="L37" s="13">
        <f>1</f>
        <v>1</v>
      </c>
      <c r="M37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</f>
        <v>1.0169761005684559</v>
      </c>
      <c r="N37" s="13">
        <f ca="1">(+M37+O37+R37+U37+V37+W37+X37+Y37+Z37+AA37+AC37+AH37+AI37+AJ37+AK37)*CUSTOS!$M$5</f>
        <v>3.1861618177900075</v>
      </c>
      <c r="O37" s="13">
        <v>1</v>
      </c>
      <c r="P37" s="13">
        <v>1</v>
      </c>
      <c r="Q37" s="13">
        <f>1</f>
        <v>1</v>
      </c>
      <c r="R37" s="13">
        <v>1</v>
      </c>
      <c r="S37" s="13">
        <v>1</v>
      </c>
      <c r="T37" s="13"/>
      <c r="U37" s="13">
        <f>TRANSICAO!$U$37*CUSTOS!$T$3</f>
        <v>29.611599999999999</v>
      </c>
      <c r="V37" s="13">
        <f>TRANSICAO!$V$37*CUSTOS!$T$3</f>
        <v>15.849500000000001</v>
      </c>
      <c r="W37" s="13">
        <f>TRANSICAO!$W$37*CUSTOS!$T$3</f>
        <v>0</v>
      </c>
      <c r="X37" s="13">
        <f>TRANSICAO!$X$37*CUSTOS!$T$3</f>
        <v>0</v>
      </c>
      <c r="Y37" s="13">
        <f>TRANSICAO!$Y$37*CUSTOS!$T$3</f>
        <v>0</v>
      </c>
      <c r="Z37" s="13">
        <f>TRANSICAO!$Z$37*CUSTOS!$T$3</f>
        <v>0</v>
      </c>
      <c r="AA37" s="13">
        <f>TRANSICAO!$AA$37*CUSTOS!$T$3</f>
        <v>0</v>
      </c>
      <c r="AB37" s="13">
        <f>TRANSICAO!$AB$37*CUSTOS!$T$3</f>
        <v>0</v>
      </c>
      <c r="AC37" s="13">
        <f>TRANSICAO!$AC$37*CUSTOS!$T$3</f>
        <v>221.5908</v>
      </c>
      <c r="AD37" s="13">
        <f>TRANSICAO!$AD$37*CUSTOS!$T$3</f>
        <v>0</v>
      </c>
      <c r="AE37" s="13">
        <v>0</v>
      </c>
      <c r="AF37" s="13">
        <v>0</v>
      </c>
      <c r="AG37" s="13"/>
      <c r="AH37" s="13">
        <v>22.725200000000001</v>
      </c>
      <c r="AI37" s="13">
        <v>22.725200000000001</v>
      </c>
      <c r="AJ37" s="13">
        <f ca="1">$N$77</f>
        <v>1.5484528392161621</v>
      </c>
      <c r="AK37" s="13">
        <f t="shared" ref="AK37:AK63" ca="1" si="1">AJ37</f>
        <v>1.5484528392161621</v>
      </c>
      <c r="AL37" s="13"/>
      <c r="AM37" s="13"/>
      <c r="AP37" s="13">
        <v>1</v>
      </c>
    </row>
    <row r="38" spans="1:42" ht="11.25" customHeight="1" x14ac:dyDescent="0.3">
      <c r="A38" s="137"/>
      <c r="B38" s="137"/>
      <c r="C38" s="137"/>
      <c r="D38" s="17" t="s">
        <v>29</v>
      </c>
      <c r="E38" s="17" t="s">
        <v>25</v>
      </c>
      <c r="F38" s="17" t="s">
        <v>25</v>
      </c>
      <c r="G38" s="18" t="s">
        <v>83</v>
      </c>
      <c r="H38" s="18" t="s">
        <v>79</v>
      </c>
      <c r="I38" s="18">
        <f>'MERCADO TUSD'!$U$35</f>
        <v>0</v>
      </c>
      <c r="J38" s="15"/>
      <c r="L38" s="13">
        <v>0</v>
      </c>
      <c r="M38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CUSTOS!$M$24)</f>
        <v>1.0169761005684559</v>
      </c>
      <c r="N38" s="13">
        <f ca="1">(+M38+O38+R38+U38+V38+W38+X38+Y38+Z38+AA38+AC38+AH38+AI38+AJ38+AK38)*CUSTOS!$M$5</f>
        <v>3.1761618177900073</v>
      </c>
      <c r="O38" s="13">
        <f>1 - CUSTOS!$M$24</f>
        <v>1</v>
      </c>
      <c r="P38" s="13">
        <v>0</v>
      </c>
      <c r="Q38" s="13">
        <v>0</v>
      </c>
      <c r="R38" s="13">
        <v>0</v>
      </c>
      <c r="S38" s="13">
        <f>1 - CUSTOS!$M$24</f>
        <v>1</v>
      </c>
      <c r="T38" s="13"/>
      <c r="U38" s="13">
        <f>TRANSICAO!$U$38*CUSTOS!$T$3</f>
        <v>29.611599999999999</v>
      </c>
      <c r="V38" s="13">
        <f>TRANSICAO!$V$38*CUSTOS!$T$3</f>
        <v>15.849500000000001</v>
      </c>
      <c r="W38" s="13">
        <f>TRANSICAO!$W$38*CUSTOS!$T$3</f>
        <v>0</v>
      </c>
      <c r="X38" s="13">
        <f>TRANSICAO!$X$38*CUSTOS!$T$3</f>
        <v>0</v>
      </c>
      <c r="Y38" s="13">
        <f>TRANSICAO!$Y$38*CUSTOS!$T$3</f>
        <v>0</v>
      </c>
      <c r="Z38" s="13">
        <f>TRANSICAO!$Z$38*CUSTOS!$T$3</f>
        <v>0</v>
      </c>
      <c r="AA38" s="13">
        <f>TRANSICAO!$AA$38*CUSTOS!$T$3</f>
        <v>0</v>
      </c>
      <c r="AB38" s="13">
        <f>TRANSICAO!$AB$38*CUSTOS!$T$3</f>
        <v>0</v>
      </c>
      <c r="AC38" s="13">
        <f>TRANSICAO!$AC$38*CUSTOS!$T$3</f>
        <v>221.5908</v>
      </c>
      <c r="AD38" s="13">
        <f>TRANSICAO!$AD$38*CUSTOS!$T$3</f>
        <v>0</v>
      </c>
      <c r="AE38" s="13">
        <v>0</v>
      </c>
      <c r="AF38" s="13">
        <v>0</v>
      </c>
      <c r="AG38" s="13"/>
      <c r="AH38" s="13">
        <f>(1 - CUSTOS!$M$24)*22.7252</f>
        <v>22.725200000000001</v>
      </c>
      <c r="AI38" s="13">
        <f>(1 - CUSTOS!$M$24)*22.7252</f>
        <v>22.725200000000001</v>
      </c>
      <c r="AJ38" s="13">
        <f ca="1">$N$77*(1-CUSTOS!$M$24)</f>
        <v>1.5484528392161621</v>
      </c>
      <c r="AK38" s="13">
        <f t="shared" ca="1" si="1"/>
        <v>1.5484528392161621</v>
      </c>
      <c r="AL38" s="13"/>
      <c r="AM38" s="13"/>
      <c r="AP38" s="13">
        <f>IF((1 - CUSTOS!$M$24)&lt;&gt;0,1/(1 - CUSTOS!$M$24),1)</f>
        <v>1</v>
      </c>
    </row>
    <row r="39" spans="1:42" ht="11.25" customHeight="1" x14ac:dyDescent="0.3">
      <c r="A39" s="137"/>
      <c r="B39" s="137"/>
      <c r="C39" s="137"/>
      <c r="D39" s="17" t="s">
        <v>30</v>
      </c>
      <c r="E39" s="17" t="s">
        <v>25</v>
      </c>
      <c r="F39" s="17" t="s">
        <v>25</v>
      </c>
      <c r="G39" s="18" t="s">
        <v>83</v>
      </c>
      <c r="H39" s="18" t="s">
        <v>79</v>
      </c>
      <c r="I39" s="18">
        <f>'MERCADO TUSD'!$U$36</f>
        <v>0</v>
      </c>
      <c r="J39" s="15"/>
      <c r="L39" s="13">
        <v>0</v>
      </c>
      <c r="M39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CUSTOS!$M$25)</f>
        <v>1.0169761005684559</v>
      </c>
      <c r="N39" s="13">
        <f ca="1">(+M39+O39+R39+U39+V39+W39+X39+Y39+Z39+AA39+AC39+AH39+AI39+AJ39+AK39)*CUSTOS!$M$5</f>
        <v>3.1761618177900073</v>
      </c>
      <c r="O39" s="13">
        <f>1 - CUSTOS!$M$25</f>
        <v>1</v>
      </c>
      <c r="P39" s="13">
        <v>0</v>
      </c>
      <c r="Q39" s="13">
        <v>0</v>
      </c>
      <c r="R39" s="13">
        <v>0</v>
      </c>
      <c r="S39" s="13">
        <f>1 - CUSTOS!$M$25</f>
        <v>1</v>
      </c>
      <c r="T39" s="13"/>
      <c r="U39" s="13">
        <f>TRANSICAO!$U$39*CUSTOS!$T$3</f>
        <v>29.611599999999999</v>
      </c>
      <c r="V39" s="13">
        <f>TRANSICAO!$V$39*CUSTOS!$T$3</f>
        <v>15.849500000000001</v>
      </c>
      <c r="W39" s="13">
        <f>TRANSICAO!$W$39*CUSTOS!$T$3</f>
        <v>0</v>
      </c>
      <c r="X39" s="13">
        <f>TRANSICAO!$X$39*CUSTOS!$T$3</f>
        <v>0</v>
      </c>
      <c r="Y39" s="13">
        <f>TRANSICAO!$Y$39*CUSTOS!$T$3</f>
        <v>0</v>
      </c>
      <c r="Z39" s="13">
        <f>TRANSICAO!$Z$39*CUSTOS!$T$3</f>
        <v>0</v>
      </c>
      <c r="AA39" s="13">
        <f>TRANSICAO!$AA$39*CUSTOS!$T$3</f>
        <v>0</v>
      </c>
      <c r="AB39" s="13">
        <f>TRANSICAO!$AB$39*CUSTOS!$T$3</f>
        <v>0</v>
      </c>
      <c r="AC39" s="13">
        <f>TRANSICAO!$AC$39*CUSTOS!$T$3</f>
        <v>221.5908</v>
      </c>
      <c r="AD39" s="13">
        <f>TRANSICAO!$AD$39*CUSTOS!$T$3</f>
        <v>0</v>
      </c>
      <c r="AE39" s="13">
        <v>0</v>
      </c>
      <c r="AF39" s="13">
        <v>0</v>
      </c>
      <c r="AG39" s="13"/>
      <c r="AH39" s="13">
        <f>(1 - CUSTOS!$M$25)*22.7252</f>
        <v>22.725200000000001</v>
      </c>
      <c r="AI39" s="13">
        <f>(1 - CUSTOS!$M$25)*22.7252</f>
        <v>22.725200000000001</v>
      </c>
      <c r="AJ39" s="13">
        <f ca="1">$N$77*(1-CUSTOS!$M$25)</f>
        <v>1.5484528392161621</v>
      </c>
      <c r="AK39" s="13">
        <f t="shared" ca="1" si="1"/>
        <v>1.5484528392161621</v>
      </c>
      <c r="AL39" s="13"/>
      <c r="AM39" s="13"/>
      <c r="AP39" s="13">
        <f>IF((1 - CUSTOS!$M$25)&lt;&gt;0,1/(1 - CUSTOS!$M$25),1)</f>
        <v>1</v>
      </c>
    </row>
    <row r="40" spans="1:42" ht="11.25" customHeight="1" x14ac:dyDescent="0.3">
      <c r="A40" s="137"/>
      <c r="B40" s="137"/>
      <c r="C40" s="137"/>
      <c r="D40" s="17" t="s">
        <v>31</v>
      </c>
      <c r="E40" s="17" t="s">
        <v>25</v>
      </c>
      <c r="F40" s="17" t="s">
        <v>25</v>
      </c>
      <c r="G40" s="18" t="s">
        <v>83</v>
      </c>
      <c r="H40" s="18" t="s">
        <v>79</v>
      </c>
      <c r="I40" s="18">
        <f>'MERCADO TUSD'!$U$37</f>
        <v>0</v>
      </c>
      <c r="J40" s="15"/>
      <c r="L40" s="13">
        <v>0</v>
      </c>
      <c r="M40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CUSTOS!$M$26)</f>
        <v>1.0169761005684559</v>
      </c>
      <c r="N40" s="13">
        <f ca="1">(+M40+O40+R40+U40+V40+W40+X40+Y40+Z40+AA40+AC40+AH40+AI40+AJ40+AK40)*CUSTOS!$M$5</f>
        <v>3.1761618177900073</v>
      </c>
      <c r="O40" s="13">
        <f>1 - CUSTOS!$M$26</f>
        <v>1</v>
      </c>
      <c r="P40" s="13">
        <v>0</v>
      </c>
      <c r="Q40" s="13">
        <v>0</v>
      </c>
      <c r="R40" s="13">
        <v>0</v>
      </c>
      <c r="S40" s="13">
        <f>1 - CUSTOS!$M$26</f>
        <v>1</v>
      </c>
      <c r="T40" s="13"/>
      <c r="U40" s="13">
        <f>TRANSICAO!$U$40*CUSTOS!$T$3</f>
        <v>29.611599999999999</v>
      </c>
      <c r="V40" s="13">
        <f>TRANSICAO!$V$40*CUSTOS!$T$3</f>
        <v>15.849500000000001</v>
      </c>
      <c r="W40" s="13">
        <f>TRANSICAO!$W$40*CUSTOS!$T$3</f>
        <v>0</v>
      </c>
      <c r="X40" s="13">
        <f>TRANSICAO!$X$40*CUSTOS!$T$3</f>
        <v>0</v>
      </c>
      <c r="Y40" s="13">
        <f>TRANSICAO!$Y$40*CUSTOS!$T$3</f>
        <v>0</v>
      </c>
      <c r="Z40" s="13">
        <f>TRANSICAO!$Z$40*CUSTOS!$T$3</f>
        <v>0</v>
      </c>
      <c r="AA40" s="13">
        <f>TRANSICAO!$AA$40*CUSTOS!$T$3</f>
        <v>0</v>
      </c>
      <c r="AB40" s="13">
        <f>TRANSICAO!$AB$40*CUSTOS!$T$3</f>
        <v>0</v>
      </c>
      <c r="AC40" s="13">
        <f>TRANSICAO!$AC$40*CUSTOS!$T$3</f>
        <v>221.5908</v>
      </c>
      <c r="AD40" s="13">
        <f>TRANSICAO!$AD$40*CUSTOS!$T$3</f>
        <v>0</v>
      </c>
      <c r="AE40" s="13">
        <v>0</v>
      </c>
      <c r="AF40" s="13">
        <v>0</v>
      </c>
      <c r="AG40" s="13"/>
      <c r="AH40" s="13">
        <f>(1 - CUSTOS!$M$26)*22.7252</f>
        <v>22.725200000000001</v>
      </c>
      <c r="AI40" s="13">
        <f>(1 - CUSTOS!$M$26)*22.7252</f>
        <v>22.725200000000001</v>
      </c>
      <c r="AJ40" s="13">
        <f ca="1">$N$77*(1-CUSTOS!$M$26)</f>
        <v>1.5484528392161621</v>
      </c>
      <c r="AK40" s="13">
        <f t="shared" ca="1" si="1"/>
        <v>1.5484528392161621</v>
      </c>
      <c r="AL40" s="13"/>
      <c r="AM40" s="13"/>
      <c r="AP40" s="13">
        <f>IF((1 - CUSTOS!$M$26)&lt;&gt;0,1/(1 - CUSTOS!$M$26),1)</f>
        <v>1</v>
      </c>
    </row>
    <row r="41" spans="1:42" ht="11.25" customHeight="1" x14ac:dyDescent="0.3">
      <c r="A41" s="137"/>
      <c r="B41" s="137"/>
      <c r="C41" s="137"/>
      <c r="D41" s="17" t="s">
        <v>32</v>
      </c>
      <c r="E41" s="17" t="s">
        <v>25</v>
      </c>
      <c r="F41" s="17" t="s">
        <v>25</v>
      </c>
      <c r="G41" s="18" t="s">
        <v>83</v>
      </c>
      <c r="H41" s="18" t="s">
        <v>79</v>
      </c>
      <c r="I41" s="18">
        <f>'MERCADO TUSD'!$U$38</f>
        <v>0</v>
      </c>
      <c r="J41" s="15"/>
      <c r="L41" s="13">
        <v>0</v>
      </c>
      <c r="M41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CUSTOS!$M$27)</f>
        <v>1.0169761005684559</v>
      </c>
      <c r="N41" s="13">
        <f ca="1">(+M41+O41+R41+U41+V41+W41+X41+Y41+Z41+AA41+AC41+AH41+AI41+AJ41+AK41)*CUSTOS!$M$5</f>
        <v>3.1761618177900073</v>
      </c>
      <c r="O41" s="13">
        <f>1 - CUSTOS!$M$27</f>
        <v>1</v>
      </c>
      <c r="P41" s="13">
        <v>0</v>
      </c>
      <c r="Q41" s="13">
        <v>0</v>
      </c>
      <c r="R41" s="13">
        <v>0</v>
      </c>
      <c r="S41" s="13">
        <f>1 - CUSTOS!$M$27</f>
        <v>1</v>
      </c>
      <c r="T41" s="13"/>
      <c r="U41" s="13">
        <f>TRANSICAO!$U$41*CUSTOS!$T$3</f>
        <v>29.611599999999999</v>
      </c>
      <c r="V41" s="13">
        <f>TRANSICAO!$V$41*CUSTOS!$T$3</f>
        <v>15.849500000000001</v>
      </c>
      <c r="W41" s="13">
        <f>TRANSICAO!$W$41*CUSTOS!$T$3</f>
        <v>0</v>
      </c>
      <c r="X41" s="13">
        <f>TRANSICAO!$X$41*CUSTOS!$T$3</f>
        <v>0</v>
      </c>
      <c r="Y41" s="13">
        <f>TRANSICAO!$Y$41*CUSTOS!$T$3</f>
        <v>0</v>
      </c>
      <c r="Z41" s="13">
        <f>TRANSICAO!$Z$41*CUSTOS!$T$3</f>
        <v>0</v>
      </c>
      <c r="AA41" s="13">
        <f>TRANSICAO!$AA$41*CUSTOS!$T$3</f>
        <v>0</v>
      </c>
      <c r="AB41" s="13">
        <f>TRANSICAO!$AB$41*CUSTOS!$T$3</f>
        <v>0</v>
      </c>
      <c r="AC41" s="13">
        <f>TRANSICAO!$AC$41*CUSTOS!$T$3</f>
        <v>221.5908</v>
      </c>
      <c r="AD41" s="13">
        <f>TRANSICAO!$AD$41*CUSTOS!$T$3</f>
        <v>0</v>
      </c>
      <c r="AE41" s="13">
        <v>0</v>
      </c>
      <c r="AF41" s="13">
        <v>0</v>
      </c>
      <c r="AG41" s="13"/>
      <c r="AH41" s="13">
        <f>(1 - CUSTOS!$M$27)*22.7252</f>
        <v>22.725200000000001</v>
      </c>
      <c r="AI41" s="13">
        <f>(1 - CUSTOS!$M$27)*22.7252</f>
        <v>22.725200000000001</v>
      </c>
      <c r="AJ41" s="13">
        <f ca="1">$N$77*(1-CUSTOS!$M$27)</f>
        <v>1.5484528392161621</v>
      </c>
      <c r="AK41" s="13">
        <f t="shared" ca="1" si="1"/>
        <v>1.5484528392161621</v>
      </c>
      <c r="AL41" s="13"/>
      <c r="AM41" s="13"/>
      <c r="AP41" s="13">
        <f>IF((1 - CUSTOS!$M$27)&lt;&gt;0,1/(1 - CUSTOS!$M$27),1)</f>
        <v>1</v>
      </c>
    </row>
    <row r="42" spans="1:42" ht="11.25" customHeight="1" x14ac:dyDescent="0.3">
      <c r="A42" s="137" t="s">
        <v>43</v>
      </c>
      <c r="B42" s="137" t="s">
        <v>33</v>
      </c>
      <c r="C42" s="137" t="s">
        <v>44</v>
      </c>
      <c r="D42" s="137" t="s">
        <v>25</v>
      </c>
      <c r="E42" s="137" t="s">
        <v>25</v>
      </c>
      <c r="F42" s="137" t="s">
        <v>25</v>
      </c>
      <c r="G42" s="18" t="s">
        <v>80</v>
      </c>
      <c r="H42" s="18" t="s">
        <v>79</v>
      </c>
      <c r="I42" s="18">
        <f>'MERCADO TUSD'!$U$39</f>
        <v>0</v>
      </c>
      <c r="J42" s="15"/>
      <c r="L42" s="13">
        <f>1*(1 - CUSTOS!$M$28)</f>
        <v>1</v>
      </c>
      <c r="M42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CUSTOS!$M$28)</f>
        <v>1.0169761005684559</v>
      </c>
      <c r="N42" s="13">
        <f ca="1">(+M42+O42+R42+U42+V42+W42+X42+Y42+Z42+AA42+AC42+AH42+AI42+AJ42+AK42)*CUSTOS!$M$5</f>
        <v>9.3283558177900066</v>
      </c>
      <c r="O42" s="13">
        <f>1 - CUSTOS!$M$28</f>
        <v>1</v>
      </c>
      <c r="P42" s="13">
        <f>1 - CUSTOS!$M$28</f>
        <v>1</v>
      </c>
      <c r="Q42" s="13">
        <f>1*(1 - CUSTOS!$M$28)</f>
        <v>1</v>
      </c>
      <c r="R42" s="13">
        <f>1 - CUSTOS!$M$28</f>
        <v>1</v>
      </c>
      <c r="S42" s="13">
        <f>1 - CUSTOS!$M$28</f>
        <v>1</v>
      </c>
      <c r="T42" s="13"/>
      <c r="U42" s="13">
        <f>TRANSICAO!$U$42*CUSTOS!$T$3</f>
        <v>97.718299999999999</v>
      </c>
      <c r="V42" s="13">
        <f>TRANSICAO!$V$42*CUSTOS!$T$3</f>
        <v>52.3033</v>
      </c>
      <c r="W42" s="13">
        <f>TRANSICAO!$W$42*CUSTOS!$T$3</f>
        <v>0</v>
      </c>
      <c r="X42" s="13">
        <f>TRANSICAO!$X$42*CUSTOS!$T$3</f>
        <v>0</v>
      </c>
      <c r="Y42" s="13">
        <f>TRANSICAO!$Y$42*CUSTOS!$T$3</f>
        <v>0</v>
      </c>
      <c r="Z42" s="13">
        <f>TRANSICAO!$Z$42*CUSTOS!$T$3</f>
        <v>0</v>
      </c>
      <c r="AA42" s="13">
        <f>TRANSICAO!$AA$42*CUSTOS!$T$3</f>
        <v>0</v>
      </c>
      <c r="AB42" s="13">
        <f>TRANSICAO!$AB$42*CUSTOS!$T$3</f>
        <v>0</v>
      </c>
      <c r="AC42" s="13">
        <f>TRANSICAO!$AC$42*CUSTOS!$T$3</f>
        <v>731.24969999999996</v>
      </c>
      <c r="AD42" s="13">
        <f>TRANSICAO!$AD$42*CUSTOS!$T$3</f>
        <v>0</v>
      </c>
      <c r="AE42" s="13">
        <v>0</v>
      </c>
      <c r="AF42" s="13">
        <v>0</v>
      </c>
      <c r="AG42" s="13"/>
      <c r="AH42" s="13">
        <f>(1 - CUSTOS!$M$28)*22.7252</f>
        <v>22.725200000000001</v>
      </c>
      <c r="AI42" s="13">
        <f>(1 - CUSTOS!$M$28)*22.7252</f>
        <v>22.725200000000001</v>
      </c>
      <c r="AJ42" s="13">
        <f ca="1">$N$77*(1-CUSTOS!$M$28)</f>
        <v>1.5484528392161621</v>
      </c>
      <c r="AK42" s="13">
        <f t="shared" ca="1" si="1"/>
        <v>1.5484528392161621</v>
      </c>
      <c r="AL42" s="13"/>
      <c r="AM42" s="13"/>
      <c r="AP42" s="13">
        <f>IF((1 - CUSTOS!$M$28)&lt;&gt;0,1/(1 - CUSTOS!$M$28),1)</f>
        <v>1</v>
      </c>
    </row>
    <row r="43" spans="1:42" ht="11.25" customHeight="1" x14ac:dyDescent="0.3">
      <c r="A43" s="137"/>
      <c r="B43" s="137"/>
      <c r="C43" s="137"/>
      <c r="D43" s="137"/>
      <c r="E43" s="137"/>
      <c r="F43" s="137"/>
      <c r="G43" s="18" t="s">
        <v>91</v>
      </c>
      <c r="H43" s="18" t="s">
        <v>79</v>
      </c>
      <c r="I43" s="18">
        <f>'MERCADO TUSD'!$U$40</f>
        <v>0</v>
      </c>
      <c r="J43" s="15"/>
      <c r="L43" s="13">
        <f>1*(1 - CUSTOS!$M$28)</f>
        <v>1</v>
      </c>
      <c r="M43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CUSTOS!$M$28)</f>
        <v>1.0169761005684559</v>
      </c>
      <c r="N43" s="13">
        <f ca="1">(+M43+O43+R43+U43+V43+W43+X43+Y43+Z43+AA43+AC43+AH43+AI43+AJ43+AK43)*CUSTOS!$M$5</f>
        <v>5.8032708177900068</v>
      </c>
      <c r="O43" s="13">
        <f>1 - CUSTOS!$M$28</f>
        <v>1</v>
      </c>
      <c r="P43" s="13">
        <f>1 - CUSTOS!$M$28</f>
        <v>1</v>
      </c>
      <c r="Q43" s="13">
        <f>1*(1 - CUSTOS!$M$28)</f>
        <v>1</v>
      </c>
      <c r="R43" s="13">
        <f>1 - CUSTOS!$M$28</f>
        <v>1</v>
      </c>
      <c r="S43" s="13">
        <f>1 - CUSTOS!$M$28</f>
        <v>1</v>
      </c>
      <c r="T43" s="13"/>
      <c r="U43" s="13">
        <f>TRANSICAO!$U$43*CUSTOS!$T$3</f>
        <v>58.631</v>
      </c>
      <c r="V43" s="13">
        <f>TRANSICAO!$V$43*CUSTOS!$T$3</f>
        <v>31.382000000000001</v>
      </c>
      <c r="W43" s="13">
        <f>TRANSICAO!$W$43*CUSTOS!$T$3</f>
        <v>0</v>
      </c>
      <c r="X43" s="13">
        <f>TRANSICAO!$X$43*CUSTOS!$T$3</f>
        <v>0</v>
      </c>
      <c r="Y43" s="13">
        <f>TRANSICAO!$Y$43*CUSTOS!$T$3</f>
        <v>0</v>
      </c>
      <c r="Z43" s="13">
        <f>TRANSICAO!$Z$43*CUSTOS!$T$3</f>
        <v>0</v>
      </c>
      <c r="AA43" s="13">
        <f>TRANSICAO!$AA$43*CUSTOS!$T$3</f>
        <v>0</v>
      </c>
      <c r="AB43" s="13">
        <f>TRANSICAO!$AB$43*CUSTOS!$T$3</f>
        <v>0</v>
      </c>
      <c r="AC43" s="13">
        <f>TRANSICAO!$AC$43*CUSTOS!$T$3</f>
        <v>438.74979999999999</v>
      </c>
      <c r="AD43" s="13">
        <f>TRANSICAO!$AD$43*CUSTOS!$T$3</f>
        <v>0</v>
      </c>
      <c r="AE43" s="13">
        <v>0</v>
      </c>
      <c r="AF43" s="13">
        <v>0</v>
      </c>
      <c r="AG43" s="13"/>
      <c r="AH43" s="13">
        <f>(1 - CUSTOS!$M$28)*22.7252</f>
        <v>22.725200000000001</v>
      </c>
      <c r="AI43" s="13">
        <f>(1 - CUSTOS!$M$28)*22.7252</f>
        <v>22.725200000000001</v>
      </c>
      <c r="AJ43" s="13">
        <f ca="1">$N$77*(1-CUSTOS!$M$28)</f>
        <v>1.5484528392161621</v>
      </c>
      <c r="AK43" s="13">
        <f t="shared" ca="1" si="1"/>
        <v>1.5484528392161621</v>
      </c>
      <c r="AL43" s="13"/>
      <c r="AM43" s="13"/>
      <c r="AP43" s="13">
        <f>IF((1 - CUSTOS!$M$28)&lt;&gt;0,1/(1 - CUSTOS!$M$28),1)</f>
        <v>1</v>
      </c>
    </row>
    <row r="44" spans="1:42" ht="11.25" customHeight="1" x14ac:dyDescent="0.3">
      <c r="A44" s="137"/>
      <c r="B44" s="137"/>
      <c r="C44" s="137"/>
      <c r="D44" s="137"/>
      <c r="E44" s="137"/>
      <c r="F44" s="137"/>
      <c r="G44" s="18" t="s">
        <v>81</v>
      </c>
      <c r="H44" s="18" t="s">
        <v>79</v>
      </c>
      <c r="I44" s="18">
        <f>'MERCADO TUSD'!$U$41</f>
        <v>0</v>
      </c>
      <c r="J44" s="15"/>
      <c r="L44" s="13">
        <f>1*(1 - CUSTOS!$M$28)</f>
        <v>1</v>
      </c>
      <c r="M44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CUSTOS!$M$28)</f>
        <v>1.0169761005684559</v>
      </c>
      <c r="N44" s="13">
        <f ca="1">(+M44+O44+R44+U44+V44+W44+X44+Y44+Z44+AA44+AC44+AH44+AI44+AJ44+AK44)*CUSTOS!$M$5</f>
        <v>2.2781858177900078</v>
      </c>
      <c r="O44" s="13">
        <f>1 - CUSTOS!$M$28</f>
        <v>1</v>
      </c>
      <c r="P44" s="13">
        <f>1 - CUSTOS!$M$28</f>
        <v>1</v>
      </c>
      <c r="Q44" s="13">
        <f>1*(1 - CUSTOS!$M$28)</f>
        <v>1</v>
      </c>
      <c r="R44" s="13">
        <f>1 - CUSTOS!$M$28</f>
        <v>1</v>
      </c>
      <c r="S44" s="13">
        <f>1 - CUSTOS!$M$28</f>
        <v>1</v>
      </c>
      <c r="T44" s="13"/>
      <c r="U44" s="13">
        <f>TRANSICAO!$U$44*CUSTOS!$T$3</f>
        <v>19.543700000000001</v>
      </c>
      <c r="V44" s="13">
        <f>TRANSICAO!$V$44*CUSTOS!$T$3</f>
        <v>10.460699999999999</v>
      </c>
      <c r="W44" s="13">
        <f>TRANSICAO!$W$44*CUSTOS!$T$3</f>
        <v>0</v>
      </c>
      <c r="X44" s="13">
        <f>TRANSICAO!$X$44*CUSTOS!$T$3</f>
        <v>0</v>
      </c>
      <c r="Y44" s="13">
        <f>TRANSICAO!$Y$44*CUSTOS!$T$3</f>
        <v>0</v>
      </c>
      <c r="Z44" s="13">
        <f>TRANSICAO!$Z$44*CUSTOS!$T$3</f>
        <v>0</v>
      </c>
      <c r="AA44" s="13">
        <f>TRANSICAO!$AA$44*CUSTOS!$T$3</f>
        <v>0</v>
      </c>
      <c r="AB44" s="13">
        <f>TRANSICAO!$AB$44*CUSTOS!$T$3</f>
        <v>0</v>
      </c>
      <c r="AC44" s="13">
        <f>TRANSICAO!$AC$44*CUSTOS!$T$3</f>
        <v>146.2499</v>
      </c>
      <c r="AD44" s="13">
        <f>TRANSICAO!$AD$44*CUSTOS!$T$3</f>
        <v>0</v>
      </c>
      <c r="AE44" s="13">
        <v>0</v>
      </c>
      <c r="AF44" s="13">
        <v>0</v>
      </c>
      <c r="AG44" s="13"/>
      <c r="AH44" s="13">
        <f>(1 - CUSTOS!$M$28)*22.7252</f>
        <v>22.725200000000001</v>
      </c>
      <c r="AI44" s="13">
        <f>(1 - CUSTOS!$M$28)*22.7252</f>
        <v>22.725200000000001</v>
      </c>
      <c r="AJ44" s="13">
        <f ca="1">$N$77*(1-CUSTOS!$M$28)</f>
        <v>1.5484528392161621</v>
      </c>
      <c r="AK44" s="13">
        <f t="shared" ca="1" si="1"/>
        <v>1.5484528392161621</v>
      </c>
      <c r="AL44" s="13"/>
      <c r="AM44" s="13"/>
      <c r="AP44" s="13">
        <f>IF((1 - CUSTOS!$M$28)&lt;&gt;0,1/(1 - CUSTOS!$M$28),1)</f>
        <v>1</v>
      </c>
    </row>
    <row r="45" spans="1:42" ht="11.25" customHeight="1" x14ac:dyDescent="0.3">
      <c r="A45" s="137"/>
      <c r="B45" s="17" t="s">
        <v>23</v>
      </c>
      <c r="C45" s="17" t="s">
        <v>44</v>
      </c>
      <c r="D45" s="17" t="s">
        <v>25</v>
      </c>
      <c r="E45" s="17" t="s">
        <v>25</v>
      </c>
      <c r="F45" s="17" t="s">
        <v>25</v>
      </c>
      <c r="G45" s="18" t="s">
        <v>83</v>
      </c>
      <c r="H45" s="18" t="s">
        <v>79</v>
      </c>
      <c r="I45" s="18">
        <f>'MERCADO TUSD'!$U$42</f>
        <v>17613.978000000003</v>
      </c>
      <c r="J45" s="15"/>
      <c r="L45" s="13">
        <f>1*(1 - CUSTOS!$M$28)</f>
        <v>1</v>
      </c>
      <c r="M45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CUSTOS!$M$28)</f>
        <v>1.0169761005684559</v>
      </c>
      <c r="N45" s="13">
        <f ca="1">(+M45+O45+R45+U45+V45+W45+X45+Y45+Z45+AA45+AC45+AH45+AI45+AJ45+AK45)*CUSTOS!$M$5</f>
        <v>3.1861618177900075</v>
      </c>
      <c r="O45" s="13">
        <f>1 - CUSTOS!$M$28</f>
        <v>1</v>
      </c>
      <c r="P45" s="13">
        <f>1 - CUSTOS!$M$28</f>
        <v>1</v>
      </c>
      <c r="Q45" s="13">
        <f>1*(1 - CUSTOS!$M$28)</f>
        <v>1</v>
      </c>
      <c r="R45" s="13">
        <f>1 - CUSTOS!$M$28</f>
        <v>1</v>
      </c>
      <c r="S45" s="13">
        <f>1 - CUSTOS!$M$28</f>
        <v>1</v>
      </c>
      <c r="T45" s="13"/>
      <c r="U45" s="13">
        <f>TRANSICAO!$U$45*CUSTOS!$T$3</f>
        <v>29.611599999999999</v>
      </c>
      <c r="V45" s="13">
        <f>TRANSICAO!$V$45*CUSTOS!$T$3</f>
        <v>15.849500000000001</v>
      </c>
      <c r="W45" s="13">
        <f>TRANSICAO!$W$45*CUSTOS!$T$3</f>
        <v>0</v>
      </c>
      <c r="X45" s="13">
        <f>TRANSICAO!$X$45*CUSTOS!$T$3</f>
        <v>0</v>
      </c>
      <c r="Y45" s="13">
        <f>TRANSICAO!$Y$45*CUSTOS!$T$3</f>
        <v>0</v>
      </c>
      <c r="Z45" s="13">
        <f>TRANSICAO!$Z$45*CUSTOS!$T$3</f>
        <v>0</v>
      </c>
      <c r="AA45" s="13">
        <f>TRANSICAO!$AA$45*CUSTOS!$T$3</f>
        <v>0</v>
      </c>
      <c r="AB45" s="13">
        <f>TRANSICAO!$AB$45*CUSTOS!$T$3</f>
        <v>0</v>
      </c>
      <c r="AC45" s="13">
        <f>TRANSICAO!$AC$45*CUSTOS!$T$3</f>
        <v>221.5908</v>
      </c>
      <c r="AD45" s="13">
        <f>TRANSICAO!$AD$45*CUSTOS!$T$3</f>
        <v>0</v>
      </c>
      <c r="AE45" s="13">
        <v>0</v>
      </c>
      <c r="AF45" s="13">
        <v>0</v>
      </c>
      <c r="AG45" s="13"/>
      <c r="AH45" s="13">
        <f>(1 - CUSTOS!$M$28)*22.7252</f>
        <v>22.725200000000001</v>
      </c>
      <c r="AI45" s="13">
        <f>(1 - CUSTOS!$M$28)*22.7252</f>
        <v>22.725200000000001</v>
      </c>
      <c r="AJ45" s="13">
        <f ca="1">$N$77*(1-CUSTOS!$M$28)</f>
        <v>1.5484528392161621</v>
      </c>
      <c r="AK45" s="13">
        <f t="shared" ca="1" si="1"/>
        <v>1.5484528392161621</v>
      </c>
      <c r="AL45" s="13"/>
      <c r="AM45" s="13"/>
      <c r="AP45" s="13">
        <f>IF((1 - CUSTOS!$M$28)&lt;&gt;0,1/(1 - CUSTOS!$M$28),1)</f>
        <v>1</v>
      </c>
    </row>
    <row r="46" spans="1:42" ht="11.25" customHeight="1" x14ac:dyDescent="0.3">
      <c r="A46" s="137"/>
      <c r="B46" s="137" t="s">
        <v>33</v>
      </c>
      <c r="C46" s="137" t="s">
        <v>44</v>
      </c>
      <c r="D46" s="137" t="s">
        <v>94</v>
      </c>
      <c r="E46" s="137" t="s">
        <v>25</v>
      </c>
      <c r="F46" s="137" t="s">
        <v>25</v>
      </c>
      <c r="G46" s="18" t="s">
        <v>80</v>
      </c>
      <c r="H46" s="18" t="s">
        <v>79</v>
      </c>
      <c r="I46" s="18">
        <f>'MERCADO TUSD'!$U$43</f>
        <v>0</v>
      </c>
      <c r="J46" s="15"/>
      <c r="L46" s="13">
        <f>1*(1 - CUSTOS!$M$29)</f>
        <v>1</v>
      </c>
      <c r="M46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CUSTOS!$M$29)</f>
        <v>1.0169761005684559</v>
      </c>
      <c r="N46" s="13">
        <f ca="1">(+M46+O46+R46+U46+V46+W46+X46+Y46+Z46+AA46+AC46+AH46+AI46+AJ46+AK46)*CUSTOS!$M$5</f>
        <v>9.3283558177900066</v>
      </c>
      <c r="O46" s="13">
        <f>1 - CUSTOS!$M$29</f>
        <v>1</v>
      </c>
      <c r="P46" s="13">
        <f>1 - CUSTOS!$M$29</f>
        <v>1</v>
      </c>
      <c r="Q46" s="13">
        <f>1*(1 - CUSTOS!$M$29)</f>
        <v>1</v>
      </c>
      <c r="R46" s="13">
        <f>1 - CUSTOS!$M$29</f>
        <v>1</v>
      </c>
      <c r="S46" s="13">
        <f>1 - CUSTOS!$M$29</f>
        <v>1</v>
      </c>
      <c r="T46" s="13"/>
      <c r="U46" s="13">
        <f>TRANSICAO!$U$46*CUSTOS!$T$3</f>
        <v>97.718299999999999</v>
      </c>
      <c r="V46" s="13">
        <f>TRANSICAO!$V$46*CUSTOS!$T$3</f>
        <v>52.3033</v>
      </c>
      <c r="W46" s="13">
        <f>TRANSICAO!$W$46*CUSTOS!$T$3</f>
        <v>0</v>
      </c>
      <c r="X46" s="13">
        <f>TRANSICAO!$X$46*CUSTOS!$T$3</f>
        <v>0</v>
      </c>
      <c r="Y46" s="13">
        <f>TRANSICAO!$Y$46*CUSTOS!$T$3</f>
        <v>0</v>
      </c>
      <c r="Z46" s="13">
        <f>TRANSICAO!$Z$46*CUSTOS!$T$3</f>
        <v>0</v>
      </c>
      <c r="AA46" s="13">
        <f>TRANSICAO!$AA$46*CUSTOS!$T$3</f>
        <v>0</v>
      </c>
      <c r="AB46" s="13">
        <f>TRANSICAO!$AB$46*CUSTOS!$T$3</f>
        <v>0</v>
      </c>
      <c r="AC46" s="13">
        <f>TRANSICAO!$AC$46*CUSTOS!$T$3</f>
        <v>731.24969999999996</v>
      </c>
      <c r="AD46" s="13">
        <f>TRANSICAO!$AD$46*CUSTOS!$T$3</f>
        <v>0</v>
      </c>
      <c r="AE46" s="13">
        <v>0</v>
      </c>
      <c r="AF46" s="13">
        <v>0</v>
      </c>
      <c r="AG46" s="13"/>
      <c r="AH46" s="13">
        <f>(1 - CUSTOS!$M$29)*22.7252</f>
        <v>22.725200000000001</v>
      </c>
      <c r="AI46" s="13">
        <f>(1 - CUSTOS!$M$29)*22.7252</f>
        <v>22.725200000000001</v>
      </c>
      <c r="AJ46" s="13">
        <f ca="1">$N$77*(1-CUSTOS!$M$29)</f>
        <v>1.5484528392161621</v>
      </c>
      <c r="AK46" s="13">
        <f t="shared" ca="1" si="1"/>
        <v>1.5484528392161621</v>
      </c>
      <c r="AL46" s="13"/>
      <c r="AM46" s="13"/>
      <c r="AP46" s="13">
        <f>IF((1 - CUSTOS!$M$29)&lt;&gt;0,1/(1 - CUSTOS!$M$29),1)</f>
        <v>1</v>
      </c>
    </row>
    <row r="47" spans="1:42" ht="11.25" customHeight="1" x14ac:dyDescent="0.3">
      <c r="A47" s="137"/>
      <c r="B47" s="137"/>
      <c r="C47" s="137"/>
      <c r="D47" s="137"/>
      <c r="E47" s="137"/>
      <c r="F47" s="137"/>
      <c r="G47" s="18" t="s">
        <v>91</v>
      </c>
      <c r="H47" s="18" t="s">
        <v>79</v>
      </c>
      <c r="I47" s="18">
        <f>'MERCADO TUSD'!$U$44</f>
        <v>0</v>
      </c>
      <c r="J47" s="15"/>
      <c r="L47" s="13">
        <f>1*(1 - CUSTOS!$M$29)</f>
        <v>1</v>
      </c>
      <c r="M47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CUSTOS!$M$29)</f>
        <v>1.0169761005684559</v>
      </c>
      <c r="N47" s="13">
        <f ca="1">(+M47+O47+R47+U47+V47+W47+X47+Y47+Z47+AA47+AC47+AH47+AI47+AJ47+AK47)*CUSTOS!$M$5</f>
        <v>5.8032708177900068</v>
      </c>
      <c r="O47" s="13">
        <f>1 - CUSTOS!$M$29</f>
        <v>1</v>
      </c>
      <c r="P47" s="13">
        <f>1 - CUSTOS!$M$29</f>
        <v>1</v>
      </c>
      <c r="Q47" s="13">
        <f>1*(1 - CUSTOS!$M$29)</f>
        <v>1</v>
      </c>
      <c r="R47" s="13">
        <f>1 - CUSTOS!$M$29</f>
        <v>1</v>
      </c>
      <c r="S47" s="13">
        <f>1 - CUSTOS!$M$29</f>
        <v>1</v>
      </c>
      <c r="T47" s="13"/>
      <c r="U47" s="13">
        <f>TRANSICAO!$U$47*CUSTOS!$T$3</f>
        <v>58.631</v>
      </c>
      <c r="V47" s="13">
        <f>TRANSICAO!$V$47*CUSTOS!$T$3</f>
        <v>31.382000000000001</v>
      </c>
      <c r="W47" s="13">
        <f>TRANSICAO!$W$47*CUSTOS!$T$3</f>
        <v>0</v>
      </c>
      <c r="X47" s="13">
        <f>TRANSICAO!$X$47*CUSTOS!$T$3</f>
        <v>0</v>
      </c>
      <c r="Y47" s="13">
        <f>TRANSICAO!$Y$47*CUSTOS!$T$3</f>
        <v>0</v>
      </c>
      <c r="Z47" s="13">
        <f>TRANSICAO!$Z$47*CUSTOS!$T$3</f>
        <v>0</v>
      </c>
      <c r="AA47" s="13">
        <f>TRANSICAO!$AA$47*CUSTOS!$T$3</f>
        <v>0</v>
      </c>
      <c r="AB47" s="13">
        <f>TRANSICAO!$AB$47*CUSTOS!$T$3</f>
        <v>0</v>
      </c>
      <c r="AC47" s="13">
        <f>TRANSICAO!$AC$47*CUSTOS!$T$3</f>
        <v>438.74979999999999</v>
      </c>
      <c r="AD47" s="13">
        <f>TRANSICAO!$AD$47*CUSTOS!$T$3</f>
        <v>0</v>
      </c>
      <c r="AE47" s="13">
        <v>0</v>
      </c>
      <c r="AF47" s="13">
        <v>0</v>
      </c>
      <c r="AG47" s="13"/>
      <c r="AH47" s="13">
        <f>(1 - CUSTOS!$M$29)*22.7252</f>
        <v>22.725200000000001</v>
      </c>
      <c r="AI47" s="13">
        <f>(1 - CUSTOS!$M$29)*22.7252</f>
        <v>22.725200000000001</v>
      </c>
      <c r="AJ47" s="13">
        <f ca="1">$N$77*(1-CUSTOS!$M$29)</f>
        <v>1.5484528392161621</v>
      </c>
      <c r="AK47" s="13">
        <f t="shared" ca="1" si="1"/>
        <v>1.5484528392161621</v>
      </c>
      <c r="AL47" s="13"/>
      <c r="AM47" s="13"/>
      <c r="AP47" s="13">
        <f>IF((1 - CUSTOS!$M$29)&lt;&gt;0,1/(1 - CUSTOS!$M$29),1)</f>
        <v>1</v>
      </c>
    </row>
    <row r="48" spans="1:42" ht="11.25" customHeight="1" x14ac:dyDescent="0.3">
      <c r="A48" s="137"/>
      <c r="B48" s="137"/>
      <c r="C48" s="137"/>
      <c r="D48" s="137"/>
      <c r="E48" s="137"/>
      <c r="F48" s="137"/>
      <c r="G48" s="18" t="s">
        <v>81</v>
      </c>
      <c r="H48" s="18" t="s">
        <v>79</v>
      </c>
      <c r="I48" s="18">
        <f>'MERCADO TUSD'!$U$45</f>
        <v>0</v>
      </c>
      <c r="J48" s="15"/>
      <c r="L48" s="13">
        <f>1*(1 - CUSTOS!$M$29)</f>
        <v>1</v>
      </c>
      <c r="M48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CUSTOS!$M$29)</f>
        <v>1.0169761005684559</v>
      </c>
      <c r="N48" s="13">
        <f ca="1">(+M48+O48+R48+U48+V48+W48+X48+Y48+Z48+AA48+AC48+AH48+AI48+AJ48+AK48)*CUSTOS!$M$5</f>
        <v>2.2781858177900078</v>
      </c>
      <c r="O48" s="13">
        <f>1 - CUSTOS!$M$29</f>
        <v>1</v>
      </c>
      <c r="P48" s="13">
        <f>1 - CUSTOS!$M$29</f>
        <v>1</v>
      </c>
      <c r="Q48" s="13">
        <f>1*(1 - CUSTOS!$M$29)</f>
        <v>1</v>
      </c>
      <c r="R48" s="13">
        <f>1 - CUSTOS!$M$29</f>
        <v>1</v>
      </c>
      <c r="S48" s="13">
        <f>1 - CUSTOS!$M$29</f>
        <v>1</v>
      </c>
      <c r="T48" s="13"/>
      <c r="U48" s="13">
        <f>TRANSICAO!$U$48*CUSTOS!$T$3</f>
        <v>19.543700000000001</v>
      </c>
      <c r="V48" s="13">
        <f>TRANSICAO!$V$48*CUSTOS!$T$3</f>
        <v>10.460699999999999</v>
      </c>
      <c r="W48" s="13">
        <f>TRANSICAO!$W$48*CUSTOS!$T$3</f>
        <v>0</v>
      </c>
      <c r="X48" s="13">
        <f>TRANSICAO!$X$48*CUSTOS!$T$3</f>
        <v>0</v>
      </c>
      <c r="Y48" s="13">
        <f>TRANSICAO!$Y$48*CUSTOS!$T$3</f>
        <v>0</v>
      </c>
      <c r="Z48" s="13">
        <f>TRANSICAO!$Z$48*CUSTOS!$T$3</f>
        <v>0</v>
      </c>
      <c r="AA48" s="13">
        <f>TRANSICAO!$AA$48*CUSTOS!$T$3</f>
        <v>0</v>
      </c>
      <c r="AB48" s="13">
        <f>TRANSICAO!$AB$48*CUSTOS!$T$3</f>
        <v>0</v>
      </c>
      <c r="AC48" s="13">
        <f>TRANSICAO!$AC$48*CUSTOS!$T$3</f>
        <v>146.2499</v>
      </c>
      <c r="AD48" s="13">
        <f>TRANSICAO!$AD$48*CUSTOS!$T$3</f>
        <v>0</v>
      </c>
      <c r="AE48" s="13">
        <v>0</v>
      </c>
      <c r="AF48" s="13">
        <v>0</v>
      </c>
      <c r="AG48" s="13"/>
      <c r="AH48" s="13">
        <f>(1 - CUSTOS!$M$29)*22.7252</f>
        <v>22.725200000000001</v>
      </c>
      <c r="AI48" s="13">
        <f>(1 - CUSTOS!$M$29)*22.7252</f>
        <v>22.725200000000001</v>
      </c>
      <c r="AJ48" s="13">
        <f ca="1">$N$77*(1-CUSTOS!$M$29)</f>
        <v>1.5484528392161621</v>
      </c>
      <c r="AK48" s="13">
        <f t="shared" ca="1" si="1"/>
        <v>1.5484528392161621</v>
      </c>
      <c r="AL48" s="13"/>
      <c r="AM48" s="13"/>
      <c r="AP48" s="13">
        <f>IF((1 - CUSTOS!$M$29)&lt;&gt;0,1/(1 - CUSTOS!$M$29),1)</f>
        <v>1</v>
      </c>
    </row>
    <row r="49" spans="1:42" ht="11.25" customHeight="1" x14ac:dyDescent="0.3">
      <c r="A49" s="137"/>
      <c r="B49" s="17" t="s">
        <v>23</v>
      </c>
      <c r="C49" s="17" t="s">
        <v>44</v>
      </c>
      <c r="D49" s="17" t="s">
        <v>94</v>
      </c>
      <c r="E49" s="17" t="s">
        <v>25</v>
      </c>
      <c r="F49" s="17" t="s">
        <v>25</v>
      </c>
      <c r="G49" s="18" t="s">
        <v>83</v>
      </c>
      <c r="H49" s="18" t="s">
        <v>79</v>
      </c>
      <c r="I49" s="18">
        <f>'MERCADO TUSD'!$U$46</f>
        <v>0</v>
      </c>
      <c r="J49" s="15"/>
      <c r="L49" s="13">
        <f>1*(1 - CUSTOS!$M$29)</f>
        <v>1</v>
      </c>
      <c r="M49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CUSTOS!$M$29)</f>
        <v>1.0169761005684559</v>
      </c>
      <c r="N49" s="13">
        <f ca="1">(+M49+O49+R49+U49+V49+W49+X49+Y49+Z49+AA49+AC49+AH49+AI49+AJ49+AK49)*CUSTOS!$M$5</f>
        <v>3.1861618177900075</v>
      </c>
      <c r="O49" s="13">
        <f>1 - CUSTOS!$M$29</f>
        <v>1</v>
      </c>
      <c r="P49" s="13">
        <f>1 - CUSTOS!$M$29</f>
        <v>1</v>
      </c>
      <c r="Q49" s="13">
        <f>1*(1 - CUSTOS!$M$29)</f>
        <v>1</v>
      </c>
      <c r="R49" s="13">
        <f>1 - CUSTOS!$M$29</f>
        <v>1</v>
      </c>
      <c r="S49" s="13">
        <f>1 - CUSTOS!$M$29</f>
        <v>1</v>
      </c>
      <c r="T49" s="13"/>
      <c r="U49" s="13">
        <f>TRANSICAO!$U$49*CUSTOS!$T$3</f>
        <v>29.611599999999999</v>
      </c>
      <c r="V49" s="13">
        <f>TRANSICAO!$V$49*CUSTOS!$T$3</f>
        <v>15.849500000000001</v>
      </c>
      <c r="W49" s="13">
        <f>TRANSICAO!$W$49*CUSTOS!$T$3</f>
        <v>0</v>
      </c>
      <c r="X49" s="13">
        <f>TRANSICAO!$X$49*CUSTOS!$T$3</f>
        <v>0</v>
      </c>
      <c r="Y49" s="13">
        <f>TRANSICAO!$Y$49*CUSTOS!$T$3</f>
        <v>0</v>
      </c>
      <c r="Z49" s="13">
        <f>TRANSICAO!$Z$49*CUSTOS!$T$3</f>
        <v>0</v>
      </c>
      <c r="AA49" s="13">
        <f>TRANSICAO!$AA$49*CUSTOS!$T$3</f>
        <v>0</v>
      </c>
      <c r="AB49" s="13">
        <f>TRANSICAO!$AB$49*CUSTOS!$T$3</f>
        <v>0</v>
      </c>
      <c r="AC49" s="13">
        <f>TRANSICAO!$AC$49*CUSTOS!$T$3</f>
        <v>221.5908</v>
      </c>
      <c r="AD49" s="13">
        <f>TRANSICAO!$AD$49*CUSTOS!$T$3</f>
        <v>0</v>
      </c>
      <c r="AE49" s="13">
        <v>0</v>
      </c>
      <c r="AF49" s="13">
        <v>0</v>
      </c>
      <c r="AG49" s="13"/>
      <c r="AH49" s="13">
        <f>(1 - CUSTOS!$M$29)*22.7252</f>
        <v>22.725200000000001</v>
      </c>
      <c r="AI49" s="13">
        <f>(1 - CUSTOS!$M$29)*22.7252</f>
        <v>22.725200000000001</v>
      </c>
      <c r="AJ49" s="13">
        <f ca="1">$N$77*(1-CUSTOS!$M$29)</f>
        <v>1.5484528392161621</v>
      </c>
      <c r="AK49" s="13">
        <f t="shared" ca="1" si="1"/>
        <v>1.5484528392161621</v>
      </c>
      <c r="AL49" s="13"/>
      <c r="AM49" s="13"/>
      <c r="AP49" s="13">
        <f>IF((1 - CUSTOS!$M$29)&lt;&gt;0,1/(1 - CUSTOS!$M$29),1)</f>
        <v>1</v>
      </c>
    </row>
    <row r="50" spans="1:42" ht="11.25" customHeight="1" x14ac:dyDescent="0.3">
      <c r="A50" s="137"/>
      <c r="B50" s="137" t="s">
        <v>33</v>
      </c>
      <c r="C50" s="137" t="s">
        <v>44</v>
      </c>
      <c r="D50" s="137" t="s">
        <v>95</v>
      </c>
      <c r="E50" s="137" t="s">
        <v>25</v>
      </c>
      <c r="F50" s="137" t="s">
        <v>25</v>
      </c>
      <c r="G50" s="18" t="s">
        <v>80</v>
      </c>
      <c r="H50" s="18" t="s">
        <v>79</v>
      </c>
      <c r="I50" s="18">
        <f>'MERCADO TUSD'!$U$47</f>
        <v>0</v>
      </c>
      <c r="J50" s="15"/>
      <c r="L50" s="13">
        <f>1*(1 - CUSTOS!$M$30)</f>
        <v>1</v>
      </c>
      <c r="M50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CUSTOS!$M$30)</f>
        <v>1.0169761005684559</v>
      </c>
      <c r="N50" s="13">
        <f ca="1">(+M50+O50+R50+U50+V50+W50+X50+Y50+Z50+AA50+AC50+AH50+AI50+AJ50+AK50)*CUSTOS!$M$5</f>
        <v>9.3283558177900066</v>
      </c>
      <c r="O50" s="13">
        <f>1 - CUSTOS!$M$30</f>
        <v>1</v>
      </c>
      <c r="P50" s="13">
        <f>1 - CUSTOS!$M$30</f>
        <v>1</v>
      </c>
      <c r="Q50" s="13">
        <f>1*(1 - CUSTOS!$M$30)</f>
        <v>1</v>
      </c>
      <c r="R50" s="13">
        <f>1 - CUSTOS!$M$30</f>
        <v>1</v>
      </c>
      <c r="S50" s="13">
        <f>1 - CUSTOS!$M$30</f>
        <v>1</v>
      </c>
      <c r="T50" s="13"/>
      <c r="U50" s="13">
        <f>TRANSICAO!$U$50*CUSTOS!$T$3</f>
        <v>97.718299999999999</v>
      </c>
      <c r="V50" s="13">
        <f>TRANSICAO!$V$50*CUSTOS!$T$3</f>
        <v>52.3033</v>
      </c>
      <c r="W50" s="13">
        <f>TRANSICAO!$W$50*CUSTOS!$T$3</f>
        <v>0</v>
      </c>
      <c r="X50" s="13">
        <f>TRANSICAO!$X$50*CUSTOS!$T$3</f>
        <v>0</v>
      </c>
      <c r="Y50" s="13">
        <f>TRANSICAO!$Y$50*CUSTOS!$T$3</f>
        <v>0</v>
      </c>
      <c r="Z50" s="13">
        <f>TRANSICAO!$Z$50*CUSTOS!$T$3</f>
        <v>0</v>
      </c>
      <c r="AA50" s="13">
        <f>TRANSICAO!$AA$50*CUSTOS!$T$3</f>
        <v>0</v>
      </c>
      <c r="AB50" s="13">
        <f>TRANSICAO!$AB$50*CUSTOS!$T$3</f>
        <v>0</v>
      </c>
      <c r="AC50" s="13">
        <f>TRANSICAO!$AC$50*CUSTOS!$T$3</f>
        <v>731.24969999999996</v>
      </c>
      <c r="AD50" s="13">
        <f>TRANSICAO!$AD$50*CUSTOS!$T$3</f>
        <v>0</v>
      </c>
      <c r="AE50" s="13">
        <v>0</v>
      </c>
      <c r="AF50" s="13">
        <v>0</v>
      </c>
      <c r="AG50" s="13"/>
      <c r="AH50" s="13">
        <f>(1 - CUSTOS!$M$30)*22.7252</f>
        <v>22.725200000000001</v>
      </c>
      <c r="AI50" s="13">
        <f>(1 - CUSTOS!$M$30)*22.7252</f>
        <v>22.725200000000001</v>
      </c>
      <c r="AJ50" s="13">
        <f ca="1">$N$77*(1-CUSTOS!$M$30)</f>
        <v>1.5484528392161621</v>
      </c>
      <c r="AK50" s="13">
        <f t="shared" ca="1" si="1"/>
        <v>1.5484528392161621</v>
      </c>
      <c r="AL50" s="13"/>
      <c r="AM50" s="13"/>
      <c r="AP50" s="13">
        <f>IF((1 - CUSTOS!$M$30)&lt;&gt;0,1/(1 - CUSTOS!$M$30),1)</f>
        <v>1</v>
      </c>
    </row>
    <row r="51" spans="1:42" ht="11.25" customHeight="1" x14ac:dyDescent="0.3">
      <c r="A51" s="137"/>
      <c r="B51" s="137"/>
      <c r="C51" s="137"/>
      <c r="D51" s="137"/>
      <c r="E51" s="137"/>
      <c r="F51" s="137"/>
      <c r="G51" s="18" t="s">
        <v>91</v>
      </c>
      <c r="H51" s="18" t="s">
        <v>79</v>
      </c>
      <c r="I51" s="18">
        <f>'MERCADO TUSD'!$U$48</f>
        <v>0</v>
      </c>
      <c r="J51" s="15"/>
      <c r="L51" s="13">
        <f>1*(1 - CUSTOS!$M$30)</f>
        <v>1</v>
      </c>
      <c r="M51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CUSTOS!$M$30)</f>
        <v>1.0169761005684559</v>
      </c>
      <c r="N51" s="13">
        <f ca="1">(+M51+O51+R51+U51+V51+W51+X51+Y51+Z51+AA51+AC51+AH51+AI51+AJ51+AK51)*CUSTOS!$M$5</f>
        <v>5.8032708177900068</v>
      </c>
      <c r="O51" s="13">
        <f>1 - CUSTOS!$M$30</f>
        <v>1</v>
      </c>
      <c r="P51" s="13">
        <f>1 - CUSTOS!$M$30</f>
        <v>1</v>
      </c>
      <c r="Q51" s="13">
        <f>1*(1 - CUSTOS!$M$30)</f>
        <v>1</v>
      </c>
      <c r="R51" s="13">
        <f>1 - CUSTOS!$M$30</f>
        <v>1</v>
      </c>
      <c r="S51" s="13">
        <f>1 - CUSTOS!$M$30</f>
        <v>1</v>
      </c>
      <c r="T51" s="13"/>
      <c r="U51" s="13">
        <f>TRANSICAO!$U$51*CUSTOS!$T$3</f>
        <v>58.631</v>
      </c>
      <c r="V51" s="13">
        <f>TRANSICAO!$V$51*CUSTOS!$T$3</f>
        <v>31.382000000000001</v>
      </c>
      <c r="W51" s="13">
        <f>TRANSICAO!$W$51*CUSTOS!$T$3</f>
        <v>0</v>
      </c>
      <c r="X51" s="13">
        <f>TRANSICAO!$X$51*CUSTOS!$T$3</f>
        <v>0</v>
      </c>
      <c r="Y51" s="13">
        <f>TRANSICAO!$Y$51*CUSTOS!$T$3</f>
        <v>0</v>
      </c>
      <c r="Z51" s="13">
        <f>TRANSICAO!$Z$51*CUSTOS!$T$3</f>
        <v>0</v>
      </c>
      <c r="AA51" s="13">
        <f>TRANSICAO!$AA$51*CUSTOS!$T$3</f>
        <v>0</v>
      </c>
      <c r="AB51" s="13">
        <f>TRANSICAO!$AB$51*CUSTOS!$T$3</f>
        <v>0</v>
      </c>
      <c r="AC51" s="13">
        <f>TRANSICAO!$AC$51*CUSTOS!$T$3</f>
        <v>438.74979999999999</v>
      </c>
      <c r="AD51" s="13">
        <f>TRANSICAO!$AD$51*CUSTOS!$T$3</f>
        <v>0</v>
      </c>
      <c r="AE51" s="13">
        <v>0</v>
      </c>
      <c r="AF51" s="13">
        <v>0</v>
      </c>
      <c r="AG51" s="13"/>
      <c r="AH51" s="13">
        <f>(1 - CUSTOS!$M$30)*22.7252</f>
        <v>22.725200000000001</v>
      </c>
      <c r="AI51" s="13">
        <f>(1 - CUSTOS!$M$30)*22.7252</f>
        <v>22.725200000000001</v>
      </c>
      <c r="AJ51" s="13">
        <f ca="1">$N$77*(1-CUSTOS!$M$30)</f>
        <v>1.5484528392161621</v>
      </c>
      <c r="AK51" s="13">
        <f t="shared" ca="1" si="1"/>
        <v>1.5484528392161621</v>
      </c>
      <c r="AL51" s="13"/>
      <c r="AM51" s="13"/>
      <c r="AP51" s="13">
        <f>IF((1 - CUSTOS!$M$30)&lt;&gt;0,1/(1 - CUSTOS!$M$30),1)</f>
        <v>1</v>
      </c>
    </row>
    <row r="52" spans="1:42" ht="11.25" customHeight="1" x14ac:dyDescent="0.3">
      <c r="A52" s="137"/>
      <c r="B52" s="137"/>
      <c r="C52" s="137"/>
      <c r="D52" s="137"/>
      <c r="E52" s="137"/>
      <c r="F52" s="137"/>
      <c r="G52" s="18" t="s">
        <v>81</v>
      </c>
      <c r="H52" s="18" t="s">
        <v>79</v>
      </c>
      <c r="I52" s="18">
        <f>'MERCADO TUSD'!$U$49</f>
        <v>0</v>
      </c>
      <c r="J52" s="15"/>
      <c r="L52" s="13">
        <f>1*(1 - CUSTOS!$M$30)</f>
        <v>1</v>
      </c>
      <c r="M52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CUSTOS!$M$30)</f>
        <v>1.0169761005684559</v>
      </c>
      <c r="N52" s="13">
        <f ca="1">(+M52+O52+R52+U52+V52+W52+X52+Y52+Z52+AA52+AC52+AH52+AI52+AJ52+AK52)*CUSTOS!$M$5</f>
        <v>2.2781858177900078</v>
      </c>
      <c r="O52" s="13">
        <f>1 - CUSTOS!$M$30</f>
        <v>1</v>
      </c>
      <c r="P52" s="13">
        <f>1 - CUSTOS!$M$30</f>
        <v>1</v>
      </c>
      <c r="Q52" s="13">
        <f>1*(1 - CUSTOS!$M$30)</f>
        <v>1</v>
      </c>
      <c r="R52" s="13">
        <f>1 - CUSTOS!$M$30</f>
        <v>1</v>
      </c>
      <c r="S52" s="13">
        <f>1 - CUSTOS!$M$30</f>
        <v>1</v>
      </c>
      <c r="T52" s="13"/>
      <c r="U52" s="13">
        <f>TRANSICAO!$U$52*CUSTOS!$T$3</f>
        <v>19.543700000000001</v>
      </c>
      <c r="V52" s="13">
        <f>TRANSICAO!$V$52*CUSTOS!$T$3</f>
        <v>10.460699999999999</v>
      </c>
      <c r="W52" s="13">
        <f>TRANSICAO!$W$52*CUSTOS!$T$3</f>
        <v>0</v>
      </c>
      <c r="X52" s="13">
        <f>TRANSICAO!$X$52*CUSTOS!$T$3</f>
        <v>0</v>
      </c>
      <c r="Y52" s="13">
        <f>TRANSICAO!$Y$52*CUSTOS!$T$3</f>
        <v>0</v>
      </c>
      <c r="Z52" s="13">
        <f>TRANSICAO!$Z$52*CUSTOS!$T$3</f>
        <v>0</v>
      </c>
      <c r="AA52" s="13">
        <f>TRANSICAO!$AA$52*CUSTOS!$T$3</f>
        <v>0</v>
      </c>
      <c r="AB52" s="13">
        <f>TRANSICAO!$AB$52*CUSTOS!$T$3</f>
        <v>0</v>
      </c>
      <c r="AC52" s="13">
        <f>TRANSICAO!$AC$52*CUSTOS!$T$3</f>
        <v>146.2499</v>
      </c>
      <c r="AD52" s="13">
        <f>TRANSICAO!$AD$52*CUSTOS!$T$3</f>
        <v>0</v>
      </c>
      <c r="AE52" s="13">
        <v>0</v>
      </c>
      <c r="AF52" s="13">
        <v>0</v>
      </c>
      <c r="AG52" s="13"/>
      <c r="AH52" s="13">
        <f>(1 - CUSTOS!$M$30)*22.7252</f>
        <v>22.725200000000001</v>
      </c>
      <c r="AI52" s="13">
        <f>(1 - CUSTOS!$M$30)*22.7252</f>
        <v>22.725200000000001</v>
      </c>
      <c r="AJ52" s="13">
        <f ca="1">$N$77*(1-CUSTOS!$M$30)</f>
        <v>1.5484528392161621</v>
      </c>
      <c r="AK52" s="13">
        <f t="shared" ca="1" si="1"/>
        <v>1.5484528392161621</v>
      </c>
      <c r="AL52" s="13"/>
      <c r="AM52" s="13"/>
      <c r="AP52" s="13">
        <f>IF((1 - CUSTOS!$M$30)&lt;&gt;0,1/(1 - CUSTOS!$M$30),1)</f>
        <v>1</v>
      </c>
    </row>
    <row r="53" spans="1:42" ht="11.25" customHeight="1" x14ac:dyDescent="0.3">
      <c r="A53" s="137"/>
      <c r="B53" s="17" t="s">
        <v>23</v>
      </c>
      <c r="C53" s="17" t="s">
        <v>44</v>
      </c>
      <c r="D53" s="17" t="s">
        <v>95</v>
      </c>
      <c r="E53" s="17" t="s">
        <v>25</v>
      </c>
      <c r="F53" s="17" t="s">
        <v>25</v>
      </c>
      <c r="G53" s="18" t="s">
        <v>83</v>
      </c>
      <c r="H53" s="18" t="s">
        <v>79</v>
      </c>
      <c r="I53" s="18">
        <f>'MERCADO TUSD'!$U$50</f>
        <v>0</v>
      </c>
      <c r="J53" s="15"/>
      <c r="L53" s="13">
        <f>1*(1 - CUSTOS!$M$30)</f>
        <v>1</v>
      </c>
      <c r="M53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CUSTOS!$M$30)</f>
        <v>1.0169761005684559</v>
      </c>
      <c r="N53" s="13">
        <f ca="1">(+M53+O53+R53+U53+V53+W53+X53+Y53+Z53+AA53+AC53+AH53+AI53+AJ53+AK53)*CUSTOS!$M$5</f>
        <v>3.1861618177900075</v>
      </c>
      <c r="O53" s="13">
        <f>1 - CUSTOS!$M$30</f>
        <v>1</v>
      </c>
      <c r="P53" s="13">
        <f>1 - CUSTOS!$M$30</f>
        <v>1</v>
      </c>
      <c r="Q53" s="13">
        <f>1*(1 - CUSTOS!$M$30)</f>
        <v>1</v>
      </c>
      <c r="R53" s="13">
        <f>1 - CUSTOS!$M$30</f>
        <v>1</v>
      </c>
      <c r="S53" s="13">
        <f>1 - CUSTOS!$M$30</f>
        <v>1</v>
      </c>
      <c r="T53" s="13"/>
      <c r="U53" s="13">
        <f>TRANSICAO!$U$53*CUSTOS!$T$3</f>
        <v>29.611599999999999</v>
      </c>
      <c r="V53" s="13">
        <f>TRANSICAO!$V$53*CUSTOS!$T$3</f>
        <v>15.849500000000001</v>
      </c>
      <c r="W53" s="13">
        <f>TRANSICAO!$W$53*CUSTOS!$T$3</f>
        <v>0</v>
      </c>
      <c r="X53" s="13">
        <f>TRANSICAO!$X$53*CUSTOS!$T$3</f>
        <v>0</v>
      </c>
      <c r="Y53" s="13">
        <f>TRANSICAO!$Y$53*CUSTOS!$T$3</f>
        <v>0</v>
      </c>
      <c r="Z53" s="13">
        <f>TRANSICAO!$Z$53*CUSTOS!$T$3</f>
        <v>0</v>
      </c>
      <c r="AA53" s="13">
        <f>TRANSICAO!$AA$53*CUSTOS!$T$3</f>
        <v>0</v>
      </c>
      <c r="AB53" s="13">
        <f>TRANSICAO!$AB$53*CUSTOS!$T$3</f>
        <v>0</v>
      </c>
      <c r="AC53" s="13">
        <f>TRANSICAO!$AC$53*CUSTOS!$T$3</f>
        <v>221.5908</v>
      </c>
      <c r="AD53" s="13">
        <f>TRANSICAO!$AD$53*CUSTOS!$T$3</f>
        <v>0</v>
      </c>
      <c r="AE53" s="13">
        <v>0</v>
      </c>
      <c r="AF53" s="13">
        <v>0</v>
      </c>
      <c r="AG53" s="13"/>
      <c r="AH53" s="13">
        <f>(1 - CUSTOS!$M$30)*22.7252</f>
        <v>22.725200000000001</v>
      </c>
      <c r="AI53" s="13">
        <f>(1 - CUSTOS!$M$30)*22.7252</f>
        <v>22.725200000000001</v>
      </c>
      <c r="AJ53" s="13">
        <f ca="1">$N$77*(1-CUSTOS!$M$30)</f>
        <v>1.5484528392161621</v>
      </c>
      <c r="AK53" s="13">
        <f t="shared" ca="1" si="1"/>
        <v>1.5484528392161621</v>
      </c>
      <c r="AL53" s="13"/>
      <c r="AM53" s="13"/>
      <c r="AP53" s="13">
        <f>IF((1 - CUSTOS!$M$30)&lt;&gt;0,1/(1 - CUSTOS!$M$30),1)</f>
        <v>1</v>
      </c>
    </row>
    <row r="54" spans="1:42" ht="11.25" customHeight="1" x14ac:dyDescent="0.3">
      <c r="A54" s="137"/>
      <c r="B54" s="137" t="s">
        <v>93</v>
      </c>
      <c r="C54" s="137" t="s">
        <v>44</v>
      </c>
      <c r="D54" s="17" t="s">
        <v>25</v>
      </c>
      <c r="E54" s="17" t="s">
        <v>25</v>
      </c>
      <c r="F54" s="17" t="s">
        <v>25</v>
      </c>
      <c r="G54" s="18" t="s">
        <v>83</v>
      </c>
      <c r="H54" s="18" t="s">
        <v>79</v>
      </c>
      <c r="I54" s="18">
        <f>'MERCADO TUSD'!$U$51</f>
        <v>0</v>
      </c>
      <c r="J54" s="15"/>
      <c r="L54" s="13">
        <f>1*(1 - CUSTOS!$M$28)</f>
        <v>1</v>
      </c>
      <c r="M54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CUSTOS!$M$28)</f>
        <v>1.0169761005684559</v>
      </c>
      <c r="N54" s="13">
        <f ca="1">(+M54+O54+R54+U54+V54+W54+X54+Y54+Z54+AA54+AC54+AH54+AI54+AJ54+AK54)*CUSTOS!$M$5</f>
        <v>3.1861618177900075</v>
      </c>
      <c r="O54" s="13">
        <f>1 - CUSTOS!$M$28</f>
        <v>1</v>
      </c>
      <c r="P54" s="13">
        <f>1 - CUSTOS!$M$28</f>
        <v>1</v>
      </c>
      <c r="Q54" s="13">
        <f>1*(1 - CUSTOS!$M$28)</f>
        <v>1</v>
      </c>
      <c r="R54" s="13">
        <f>1 - CUSTOS!$M$28</f>
        <v>1</v>
      </c>
      <c r="S54" s="13">
        <f>1 - CUSTOS!$M$28</f>
        <v>1</v>
      </c>
      <c r="T54" s="13"/>
      <c r="U54" s="13">
        <f>TRANSICAO!$U$54*CUSTOS!$T$3</f>
        <v>29.611599999999999</v>
      </c>
      <c r="V54" s="13">
        <f>TRANSICAO!$V$54*CUSTOS!$T$3</f>
        <v>15.849500000000001</v>
      </c>
      <c r="W54" s="13">
        <f>TRANSICAO!$W$54*CUSTOS!$T$3</f>
        <v>0</v>
      </c>
      <c r="X54" s="13">
        <f>TRANSICAO!$X$54*CUSTOS!$T$3</f>
        <v>0</v>
      </c>
      <c r="Y54" s="13">
        <f>TRANSICAO!$Y$54*CUSTOS!$T$3</f>
        <v>0</v>
      </c>
      <c r="Z54" s="13">
        <f>TRANSICAO!$Z$54*CUSTOS!$T$3</f>
        <v>0</v>
      </c>
      <c r="AA54" s="13">
        <f>TRANSICAO!$AA$54*CUSTOS!$T$3</f>
        <v>0</v>
      </c>
      <c r="AB54" s="13">
        <f>TRANSICAO!$AB$54*CUSTOS!$T$3</f>
        <v>0</v>
      </c>
      <c r="AC54" s="13">
        <f>TRANSICAO!$AC$54*CUSTOS!$T$3</f>
        <v>221.5908</v>
      </c>
      <c r="AD54" s="13">
        <f>TRANSICAO!$AD$54*CUSTOS!$T$3</f>
        <v>0</v>
      </c>
      <c r="AE54" s="13">
        <v>0</v>
      </c>
      <c r="AF54" s="13">
        <v>0</v>
      </c>
      <c r="AG54" s="13"/>
      <c r="AH54" s="13">
        <f>(1 - CUSTOS!$M$28)*22.7252</f>
        <v>22.725200000000001</v>
      </c>
      <c r="AI54" s="13">
        <f>(1 - CUSTOS!$M$28)*22.7252</f>
        <v>22.725200000000001</v>
      </c>
      <c r="AJ54" s="13">
        <f ca="1">$N$77*(1-CUSTOS!$M$28)</f>
        <v>1.5484528392161621</v>
      </c>
      <c r="AK54" s="13">
        <f t="shared" ca="1" si="1"/>
        <v>1.5484528392161621</v>
      </c>
      <c r="AL54" s="13"/>
      <c r="AM54" s="13"/>
      <c r="AP54" s="13">
        <f>IF((1 - CUSTOS!$M$28)&lt;&gt;0,1/(1 - CUSTOS!$M$28),1)</f>
        <v>1</v>
      </c>
    </row>
    <row r="55" spans="1:42" ht="11.25" customHeight="1" x14ac:dyDescent="0.3">
      <c r="A55" s="137"/>
      <c r="B55" s="137"/>
      <c r="C55" s="137"/>
      <c r="D55" s="17" t="s">
        <v>94</v>
      </c>
      <c r="E55" s="17" t="s">
        <v>25</v>
      </c>
      <c r="F55" s="17" t="s">
        <v>25</v>
      </c>
      <c r="G55" s="18" t="s">
        <v>83</v>
      </c>
      <c r="H55" s="18" t="s">
        <v>79</v>
      </c>
      <c r="I55" s="18">
        <f>'MERCADO TUSD'!$U$52</f>
        <v>0</v>
      </c>
      <c r="J55" s="15"/>
      <c r="L55" s="13">
        <f>1*(1 - CUSTOS!$M$29)</f>
        <v>1</v>
      </c>
      <c r="M55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CUSTOS!$M$29)</f>
        <v>1.0169761005684559</v>
      </c>
      <c r="N55" s="13">
        <f ca="1">(+M55+O55+R55+U55+V55+W55+X55+Y55+Z55+AA55+AC55+AH55+AI55+AJ55+AK55)*CUSTOS!$M$5</f>
        <v>3.1861618177900075</v>
      </c>
      <c r="O55" s="13">
        <f>1 - CUSTOS!$M$29</f>
        <v>1</v>
      </c>
      <c r="P55" s="13">
        <f>1 - CUSTOS!$M$29</f>
        <v>1</v>
      </c>
      <c r="Q55" s="13">
        <f>1*(1 - CUSTOS!$M$29)</f>
        <v>1</v>
      </c>
      <c r="R55" s="13">
        <f>1 - CUSTOS!$M$29</f>
        <v>1</v>
      </c>
      <c r="S55" s="13">
        <f>1 - CUSTOS!$M$29</f>
        <v>1</v>
      </c>
      <c r="T55" s="13"/>
      <c r="U55" s="13">
        <f>TRANSICAO!$U$55*CUSTOS!$T$3</f>
        <v>29.611599999999999</v>
      </c>
      <c r="V55" s="13">
        <f>TRANSICAO!$V$55*CUSTOS!$T$3</f>
        <v>15.849500000000001</v>
      </c>
      <c r="W55" s="13">
        <f>TRANSICAO!$W$55*CUSTOS!$T$3</f>
        <v>0</v>
      </c>
      <c r="X55" s="13">
        <f>TRANSICAO!$X$55*CUSTOS!$T$3</f>
        <v>0</v>
      </c>
      <c r="Y55" s="13">
        <f>TRANSICAO!$Y$55*CUSTOS!$T$3</f>
        <v>0</v>
      </c>
      <c r="Z55" s="13">
        <f>TRANSICAO!$Z$55*CUSTOS!$T$3</f>
        <v>0</v>
      </c>
      <c r="AA55" s="13">
        <f>TRANSICAO!$AA$55*CUSTOS!$T$3</f>
        <v>0</v>
      </c>
      <c r="AB55" s="13">
        <f>TRANSICAO!$AB$55*CUSTOS!$T$3</f>
        <v>0</v>
      </c>
      <c r="AC55" s="13">
        <f>TRANSICAO!$AC$55*CUSTOS!$T$3</f>
        <v>221.5908</v>
      </c>
      <c r="AD55" s="13">
        <f>TRANSICAO!$AD$55*CUSTOS!$T$3</f>
        <v>0</v>
      </c>
      <c r="AE55" s="13">
        <v>0</v>
      </c>
      <c r="AF55" s="13">
        <v>0</v>
      </c>
      <c r="AG55" s="13"/>
      <c r="AH55" s="13">
        <f>(1 - CUSTOS!$M$29)*22.7252</f>
        <v>22.725200000000001</v>
      </c>
      <c r="AI55" s="13">
        <f>(1 - CUSTOS!$M$29)*22.7252</f>
        <v>22.725200000000001</v>
      </c>
      <c r="AJ55" s="13">
        <f ca="1">$N$77*(1-CUSTOS!$M$29)</f>
        <v>1.5484528392161621</v>
      </c>
      <c r="AK55" s="13">
        <f t="shared" ca="1" si="1"/>
        <v>1.5484528392161621</v>
      </c>
      <c r="AL55" s="13"/>
      <c r="AM55" s="13"/>
      <c r="AP55" s="13">
        <f>IF((1 - CUSTOS!$M$29)&lt;&gt;0,1/(1 - CUSTOS!$M$29),1)</f>
        <v>1</v>
      </c>
    </row>
    <row r="56" spans="1:42" ht="11.25" customHeight="1" x14ac:dyDescent="0.3">
      <c r="A56" s="137"/>
      <c r="B56" s="137"/>
      <c r="C56" s="137"/>
      <c r="D56" s="17" t="s">
        <v>95</v>
      </c>
      <c r="E56" s="17" t="s">
        <v>25</v>
      </c>
      <c r="F56" s="17" t="s">
        <v>25</v>
      </c>
      <c r="G56" s="18" t="s">
        <v>83</v>
      </c>
      <c r="H56" s="18" t="s">
        <v>79</v>
      </c>
      <c r="I56" s="18">
        <f>'MERCADO TUSD'!$U$53</f>
        <v>0</v>
      </c>
      <c r="J56" s="15"/>
      <c r="L56" s="13">
        <f>1*(1 - CUSTOS!$M$30)</f>
        <v>1</v>
      </c>
      <c r="M56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CUSTOS!$M$30)</f>
        <v>1.0169761005684559</v>
      </c>
      <c r="N56" s="13">
        <f ca="1">(+M56+O56+R56+U56+V56+W56+X56+Y56+Z56+AA56+AC56+AH56+AI56+AJ56+AK56)*CUSTOS!$M$5</f>
        <v>3.1861618177900075</v>
      </c>
      <c r="O56" s="13">
        <f>1 - CUSTOS!$M$30</f>
        <v>1</v>
      </c>
      <c r="P56" s="13">
        <f>1 - CUSTOS!$M$30</f>
        <v>1</v>
      </c>
      <c r="Q56" s="13">
        <f>1*(1 - CUSTOS!$M$30)</f>
        <v>1</v>
      </c>
      <c r="R56" s="13">
        <f>1 - CUSTOS!$M$30</f>
        <v>1</v>
      </c>
      <c r="S56" s="13">
        <f>1 - CUSTOS!$M$30</f>
        <v>1</v>
      </c>
      <c r="T56" s="13"/>
      <c r="U56" s="13">
        <f>TRANSICAO!$U$56*CUSTOS!$T$3</f>
        <v>29.611599999999999</v>
      </c>
      <c r="V56" s="13">
        <f>TRANSICAO!$V$56*CUSTOS!$T$3</f>
        <v>15.849500000000001</v>
      </c>
      <c r="W56" s="13">
        <f>TRANSICAO!$W$56*CUSTOS!$T$3</f>
        <v>0</v>
      </c>
      <c r="X56" s="13">
        <f>TRANSICAO!$X$56*CUSTOS!$T$3</f>
        <v>0</v>
      </c>
      <c r="Y56" s="13">
        <f>TRANSICAO!$Y$56*CUSTOS!$T$3</f>
        <v>0</v>
      </c>
      <c r="Z56" s="13">
        <f>TRANSICAO!$Z$56*CUSTOS!$T$3</f>
        <v>0</v>
      </c>
      <c r="AA56" s="13">
        <f>TRANSICAO!$AA$56*CUSTOS!$T$3</f>
        <v>0</v>
      </c>
      <c r="AB56" s="13">
        <f>TRANSICAO!$AB$56*CUSTOS!$T$3</f>
        <v>0</v>
      </c>
      <c r="AC56" s="13">
        <f>TRANSICAO!$AC$56*CUSTOS!$T$3</f>
        <v>221.5908</v>
      </c>
      <c r="AD56" s="13">
        <f>TRANSICAO!$AD$56*CUSTOS!$T$3</f>
        <v>0</v>
      </c>
      <c r="AE56" s="13">
        <v>0</v>
      </c>
      <c r="AF56" s="13">
        <v>0</v>
      </c>
      <c r="AG56" s="13"/>
      <c r="AH56" s="13">
        <f>(1 - CUSTOS!$M$30)*22.7252</f>
        <v>22.725200000000001</v>
      </c>
      <c r="AI56" s="13">
        <f>(1 - CUSTOS!$M$30)*22.7252</f>
        <v>22.725200000000001</v>
      </c>
      <c r="AJ56" s="13">
        <f ca="1">$N$77*(1-CUSTOS!$M$30)</f>
        <v>1.5484528392161621</v>
      </c>
      <c r="AK56" s="13">
        <f t="shared" ca="1" si="1"/>
        <v>1.5484528392161621</v>
      </c>
      <c r="AL56" s="13"/>
      <c r="AM56" s="13"/>
      <c r="AP56" s="13">
        <f>IF((1 - CUSTOS!$M$30)&lt;&gt;0,1/(1 - CUSTOS!$M$30),1)</f>
        <v>1</v>
      </c>
    </row>
    <row r="57" spans="1:42" ht="11.25" customHeight="1" x14ac:dyDescent="0.3">
      <c r="A57" s="137" t="s">
        <v>37</v>
      </c>
      <c r="B57" s="137" t="s">
        <v>33</v>
      </c>
      <c r="C57" s="137" t="s">
        <v>25</v>
      </c>
      <c r="D57" s="137" t="s">
        <v>25</v>
      </c>
      <c r="E57" s="137" t="s">
        <v>25</v>
      </c>
      <c r="F57" s="137" t="s">
        <v>25</v>
      </c>
      <c r="G57" s="18" t="s">
        <v>80</v>
      </c>
      <c r="H57" s="18" t="s">
        <v>79</v>
      </c>
      <c r="I57" s="18">
        <f>'MERCADO TUSD'!$U$54</f>
        <v>10.468</v>
      </c>
      <c r="J57" s="15"/>
      <c r="L57" s="13">
        <f>1*(1 - CUSTOS!$M$31)</f>
        <v>1</v>
      </c>
      <c r="M57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CUSTOS!$M$31)</f>
        <v>1.0169761005684559</v>
      </c>
      <c r="N57" s="13">
        <f ca="1">(+M57+O57+R57+U57+V57+W57+X57+Y57+Z57+AA57+AC57+AH57+AI57+AJ57+AK57)*CUSTOS!$M$5</f>
        <v>9.728933817790006</v>
      </c>
      <c r="O57" s="13">
        <f>1 - CUSTOS!$M$31</f>
        <v>1</v>
      </c>
      <c r="P57" s="13">
        <f>1 - CUSTOS!$M$31</f>
        <v>1</v>
      </c>
      <c r="Q57" s="13">
        <f>1*(1 - CUSTOS!$M$31)</f>
        <v>1</v>
      </c>
      <c r="R57" s="13">
        <f>1 - CUSTOS!$M$31</f>
        <v>1</v>
      </c>
      <c r="S57" s="13">
        <f>1 - CUSTOS!$M$31</f>
        <v>1</v>
      </c>
      <c r="T57" s="13"/>
      <c r="U57" s="13">
        <f>TRANSICAO!$U$57*CUSTOS!$T$3</f>
        <v>102.1601</v>
      </c>
      <c r="V57" s="13">
        <f>TRANSICAO!$V$57*CUSTOS!$T$3</f>
        <v>54.680700000000002</v>
      </c>
      <c r="W57" s="13">
        <f>TRANSICAO!$W$57*CUSTOS!$T$3</f>
        <v>0</v>
      </c>
      <c r="X57" s="13">
        <f>TRANSICAO!$X$57*CUSTOS!$T$3</f>
        <v>0</v>
      </c>
      <c r="Y57" s="13">
        <f>TRANSICAO!$Y$57*CUSTOS!$T$3</f>
        <v>0</v>
      </c>
      <c r="Z57" s="13">
        <f>TRANSICAO!$Z$57*CUSTOS!$T$3</f>
        <v>0</v>
      </c>
      <c r="AA57" s="13">
        <f>TRANSICAO!$AA$57*CUSTOS!$T$3</f>
        <v>0</v>
      </c>
      <c r="AB57" s="13">
        <f>TRANSICAO!$AB$57*CUSTOS!$T$3</f>
        <v>0</v>
      </c>
      <c r="AC57" s="13">
        <f>TRANSICAO!$AC$57*CUSTOS!$T$3</f>
        <v>764.48829999999998</v>
      </c>
      <c r="AD57" s="13">
        <f>TRANSICAO!$AD$57*CUSTOS!$T$3</f>
        <v>0</v>
      </c>
      <c r="AE57" s="13">
        <v>0</v>
      </c>
      <c r="AF57" s="13">
        <v>0</v>
      </c>
      <c r="AG57" s="13"/>
      <c r="AH57" s="13">
        <f>(1 - CUSTOS!$M$31)*22.7252</f>
        <v>22.725200000000001</v>
      </c>
      <c r="AI57" s="13">
        <f>(1 - CUSTOS!$M$31)*22.7252</f>
        <v>22.725200000000001</v>
      </c>
      <c r="AJ57" s="13">
        <f ca="1">$N$77*(1-CUSTOS!$M$31)</f>
        <v>1.5484528392161621</v>
      </c>
      <c r="AK57" s="13">
        <f t="shared" ca="1" si="1"/>
        <v>1.5484528392161621</v>
      </c>
      <c r="AL57" s="13"/>
      <c r="AM57" s="13"/>
      <c r="AP57" s="13">
        <f>IF((1 - CUSTOS!$M$31)&lt;&gt;0,1/(1 - CUSTOS!$M$31),1)</f>
        <v>1</v>
      </c>
    </row>
    <row r="58" spans="1:42" ht="11.25" customHeight="1" x14ac:dyDescent="0.3">
      <c r="A58" s="137"/>
      <c r="B58" s="137"/>
      <c r="C58" s="137"/>
      <c r="D58" s="137"/>
      <c r="E58" s="137"/>
      <c r="F58" s="137"/>
      <c r="G58" s="18" t="s">
        <v>91</v>
      </c>
      <c r="H58" s="18" t="s">
        <v>79</v>
      </c>
      <c r="I58" s="18">
        <f>'MERCADO TUSD'!$U$55</f>
        <v>9.6909999999999989</v>
      </c>
      <c r="J58" s="15"/>
      <c r="L58" s="13">
        <f>1*(1 - CUSTOS!$M$31)</f>
        <v>1</v>
      </c>
      <c r="M58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CUSTOS!$M$31)</f>
        <v>1.0169761005684559</v>
      </c>
      <c r="N58" s="13">
        <f ca="1">(+M58+O58+R58+U58+V58+W58+X58+Y58+Z58+AA58+AC58+AH58+AI58+AJ58+AK58)*CUSTOS!$M$5</f>
        <v>6.0436168177900065</v>
      </c>
      <c r="O58" s="13">
        <f>1 - CUSTOS!$M$31</f>
        <v>1</v>
      </c>
      <c r="P58" s="13">
        <f>1 - CUSTOS!$M$31</f>
        <v>1</v>
      </c>
      <c r="Q58" s="13">
        <f>1*(1 - CUSTOS!$M$31)</f>
        <v>1</v>
      </c>
      <c r="R58" s="13">
        <f>1 - CUSTOS!$M$31</f>
        <v>1</v>
      </c>
      <c r="S58" s="13">
        <f>1 - CUSTOS!$M$31</f>
        <v>1</v>
      </c>
      <c r="T58" s="13"/>
      <c r="U58" s="13">
        <f>TRANSICAO!$U$58*CUSTOS!$T$3</f>
        <v>61.295999999999999</v>
      </c>
      <c r="V58" s="13">
        <f>TRANSICAO!$V$58*CUSTOS!$T$3</f>
        <v>32.808399999999999</v>
      </c>
      <c r="W58" s="13">
        <f>TRANSICAO!$W$58*CUSTOS!$T$3</f>
        <v>0</v>
      </c>
      <c r="X58" s="13">
        <f>TRANSICAO!$X$58*CUSTOS!$T$3</f>
        <v>0</v>
      </c>
      <c r="Y58" s="13">
        <f>TRANSICAO!$Y$58*CUSTOS!$T$3</f>
        <v>0</v>
      </c>
      <c r="Z58" s="13">
        <f>TRANSICAO!$Z$58*CUSTOS!$T$3</f>
        <v>0</v>
      </c>
      <c r="AA58" s="13">
        <f>TRANSICAO!$AA$58*CUSTOS!$T$3</f>
        <v>0</v>
      </c>
      <c r="AB58" s="13">
        <f>TRANSICAO!$AB$58*CUSTOS!$T$3</f>
        <v>0</v>
      </c>
      <c r="AC58" s="13">
        <f>TRANSICAO!$AC$58*CUSTOS!$T$3</f>
        <v>458.69299999999998</v>
      </c>
      <c r="AD58" s="13">
        <f>TRANSICAO!$AD$58*CUSTOS!$T$3</f>
        <v>0</v>
      </c>
      <c r="AE58" s="13">
        <v>0</v>
      </c>
      <c r="AF58" s="13">
        <v>0</v>
      </c>
      <c r="AG58" s="13"/>
      <c r="AH58" s="13">
        <f>(1 - CUSTOS!$M$31)*22.7252</f>
        <v>22.725200000000001</v>
      </c>
      <c r="AI58" s="13">
        <f>(1 - CUSTOS!$M$31)*22.7252</f>
        <v>22.725200000000001</v>
      </c>
      <c r="AJ58" s="13">
        <f ca="1">$N$77*(1-CUSTOS!$M$31)</f>
        <v>1.5484528392161621</v>
      </c>
      <c r="AK58" s="13">
        <f t="shared" ca="1" si="1"/>
        <v>1.5484528392161621</v>
      </c>
      <c r="AL58" s="13"/>
      <c r="AM58" s="13"/>
      <c r="AP58" s="13">
        <f>IF((1 - CUSTOS!$M$31)&lt;&gt;0,1/(1 - CUSTOS!$M$31),1)</f>
        <v>1</v>
      </c>
    </row>
    <row r="59" spans="1:42" ht="11.25" customHeight="1" x14ac:dyDescent="0.3">
      <c r="A59" s="137"/>
      <c r="B59" s="137"/>
      <c r="C59" s="137"/>
      <c r="D59" s="137"/>
      <c r="E59" s="137"/>
      <c r="F59" s="137"/>
      <c r="G59" s="18" t="s">
        <v>81</v>
      </c>
      <c r="H59" s="18" t="s">
        <v>79</v>
      </c>
      <c r="I59" s="18">
        <f>'MERCADO TUSD'!$U$56</f>
        <v>150.328</v>
      </c>
      <c r="J59" s="15"/>
      <c r="L59" s="13">
        <f>1*(1 - CUSTOS!$M$31)</f>
        <v>1</v>
      </c>
      <c r="M59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CUSTOS!$M$31)</f>
        <v>1.0169761005684559</v>
      </c>
      <c r="N59" s="13">
        <f ca="1">(+M59+O59+R59+U59+V59+W59+X59+Y59+Z59+AA59+AC59+AH59+AI59+AJ59+AK59)*CUSTOS!$M$5</f>
        <v>2.358300817790008</v>
      </c>
      <c r="O59" s="13">
        <f>1 - CUSTOS!$M$31</f>
        <v>1</v>
      </c>
      <c r="P59" s="13">
        <f>1 - CUSTOS!$M$31</f>
        <v>1</v>
      </c>
      <c r="Q59" s="13">
        <f>1*(1 - CUSTOS!$M$31)</f>
        <v>1</v>
      </c>
      <c r="R59" s="13">
        <f>1 - CUSTOS!$M$31</f>
        <v>1</v>
      </c>
      <c r="S59" s="13">
        <f>1 - CUSTOS!$M$31</f>
        <v>1</v>
      </c>
      <c r="T59" s="13"/>
      <c r="U59" s="13">
        <f>TRANSICAO!$U$59*CUSTOS!$T$3</f>
        <v>20.431999999999999</v>
      </c>
      <c r="V59" s="13">
        <f>TRANSICAO!$V$59*CUSTOS!$T$3</f>
        <v>10.9361</v>
      </c>
      <c r="W59" s="13">
        <f>TRANSICAO!$W$59*CUSTOS!$T$3</f>
        <v>0</v>
      </c>
      <c r="X59" s="13">
        <f>TRANSICAO!$X$59*CUSTOS!$T$3</f>
        <v>0</v>
      </c>
      <c r="Y59" s="13">
        <f>TRANSICAO!$Y$59*CUSTOS!$T$3</f>
        <v>0</v>
      </c>
      <c r="Z59" s="13">
        <f>TRANSICAO!$Z$59*CUSTOS!$T$3</f>
        <v>0</v>
      </c>
      <c r="AA59" s="13">
        <f>TRANSICAO!$AA$59*CUSTOS!$T$3</f>
        <v>0</v>
      </c>
      <c r="AB59" s="13">
        <f>TRANSICAO!$AB$59*CUSTOS!$T$3</f>
        <v>0</v>
      </c>
      <c r="AC59" s="13">
        <f>TRANSICAO!$AC$59*CUSTOS!$T$3</f>
        <v>152.89769999999999</v>
      </c>
      <c r="AD59" s="13">
        <f>TRANSICAO!$AD$59*CUSTOS!$T$3</f>
        <v>0</v>
      </c>
      <c r="AE59" s="13">
        <v>0</v>
      </c>
      <c r="AF59" s="13">
        <v>0</v>
      </c>
      <c r="AG59" s="13"/>
      <c r="AH59" s="13">
        <f>(1 - CUSTOS!$M$31)*22.7252</f>
        <v>22.725200000000001</v>
      </c>
      <c r="AI59" s="13">
        <f>(1 - CUSTOS!$M$31)*22.7252</f>
        <v>22.725200000000001</v>
      </c>
      <c r="AJ59" s="13">
        <f ca="1">$N$77*(1-CUSTOS!$M$31)</f>
        <v>1.5484528392161621</v>
      </c>
      <c r="AK59" s="13">
        <f t="shared" ca="1" si="1"/>
        <v>1.5484528392161621</v>
      </c>
      <c r="AL59" s="13"/>
      <c r="AM59" s="13"/>
      <c r="AP59" s="13">
        <f>IF((1 - CUSTOS!$M$31)&lt;&gt;0,1/(1 - CUSTOS!$M$31),1)</f>
        <v>1</v>
      </c>
    </row>
    <row r="60" spans="1:42" ht="11.25" customHeight="1" x14ac:dyDescent="0.3">
      <c r="A60" s="137"/>
      <c r="B60" s="17" t="s">
        <v>23</v>
      </c>
      <c r="C60" s="17" t="s">
        <v>25</v>
      </c>
      <c r="D60" s="17" t="s">
        <v>25</v>
      </c>
      <c r="E60" s="17" t="s">
        <v>25</v>
      </c>
      <c r="F60" s="17" t="s">
        <v>25</v>
      </c>
      <c r="G60" s="18" t="s">
        <v>83</v>
      </c>
      <c r="H60" s="18" t="s">
        <v>79</v>
      </c>
      <c r="I60" s="18">
        <f>'MERCADO TUSD'!$U$57</f>
        <v>24187.291000000001</v>
      </c>
      <c r="J60" s="15"/>
      <c r="L60" s="13">
        <f>1*(1 - CUSTOS!$M$31)</f>
        <v>1</v>
      </c>
      <c r="M60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CUSTOS!$M$31)</f>
        <v>1.0169761005684559</v>
      </c>
      <c r="N60" s="13">
        <f ca="1">(+M60+O60+R60+U60+V60+W60+X60+Y60+Z60+AA60+AC60+AH60+AI60+AJ60+AK60)*CUSTOS!$M$5</f>
        <v>3.1861618177900075</v>
      </c>
      <c r="O60" s="13">
        <f>1 - CUSTOS!$M$31</f>
        <v>1</v>
      </c>
      <c r="P60" s="13">
        <f>1 - CUSTOS!$M$31</f>
        <v>1</v>
      </c>
      <c r="Q60" s="13">
        <f>1*(1 - CUSTOS!$M$31)</f>
        <v>1</v>
      </c>
      <c r="R60" s="13">
        <f>1 - CUSTOS!$M$31</f>
        <v>1</v>
      </c>
      <c r="S60" s="13">
        <f>1 - CUSTOS!$M$31</f>
        <v>1</v>
      </c>
      <c r="T60" s="13"/>
      <c r="U60" s="13">
        <f>TRANSICAO!$U$60*CUSTOS!$T$3</f>
        <v>29.611599999999999</v>
      </c>
      <c r="V60" s="13">
        <f>TRANSICAO!$V$60*CUSTOS!$T$3</f>
        <v>15.849500000000001</v>
      </c>
      <c r="W60" s="13">
        <f>TRANSICAO!$W$60*CUSTOS!$T$3</f>
        <v>0</v>
      </c>
      <c r="X60" s="13">
        <f>TRANSICAO!$X$60*CUSTOS!$T$3</f>
        <v>0</v>
      </c>
      <c r="Y60" s="13">
        <f>TRANSICAO!$Y$60*CUSTOS!$T$3</f>
        <v>0</v>
      </c>
      <c r="Z60" s="13">
        <f>TRANSICAO!$Z$60*CUSTOS!$T$3</f>
        <v>0</v>
      </c>
      <c r="AA60" s="13">
        <f>TRANSICAO!$AA$60*CUSTOS!$T$3</f>
        <v>0</v>
      </c>
      <c r="AB60" s="13">
        <f>TRANSICAO!$AB$60*CUSTOS!$T$3</f>
        <v>0</v>
      </c>
      <c r="AC60" s="13">
        <f>TRANSICAO!$AC$60*CUSTOS!$T$3</f>
        <v>221.5908</v>
      </c>
      <c r="AD60" s="13">
        <f>TRANSICAO!$AD$60*CUSTOS!$T$3</f>
        <v>0</v>
      </c>
      <c r="AE60" s="13">
        <v>0</v>
      </c>
      <c r="AF60" s="13">
        <v>0</v>
      </c>
      <c r="AG60" s="13"/>
      <c r="AH60" s="13">
        <f>(1 - CUSTOS!$M$31)*22.7252</f>
        <v>22.725200000000001</v>
      </c>
      <c r="AI60" s="13">
        <f>(1 - CUSTOS!$M$31)*22.7252</f>
        <v>22.725200000000001</v>
      </c>
      <c r="AJ60" s="13">
        <f ca="1">$N$77*(1-CUSTOS!$M$31)</f>
        <v>1.5484528392161621</v>
      </c>
      <c r="AK60" s="13">
        <f t="shared" ca="1" si="1"/>
        <v>1.5484528392161621</v>
      </c>
      <c r="AL60" s="13"/>
      <c r="AM60" s="13"/>
      <c r="AP60" s="13">
        <f>IF((1 - CUSTOS!$M$31)&lt;&gt;0,1/(1 - CUSTOS!$M$31),1)</f>
        <v>1</v>
      </c>
    </row>
    <row r="61" spans="1:42" ht="11.25" customHeight="1" x14ac:dyDescent="0.3">
      <c r="A61" s="137"/>
      <c r="B61" s="17" t="s">
        <v>93</v>
      </c>
      <c r="C61" s="17" t="s">
        <v>25</v>
      </c>
      <c r="D61" s="17" t="s">
        <v>25</v>
      </c>
      <c r="E61" s="17" t="s">
        <v>25</v>
      </c>
      <c r="F61" s="17" t="s">
        <v>25</v>
      </c>
      <c r="G61" s="18" t="s">
        <v>83</v>
      </c>
      <c r="H61" s="18" t="s">
        <v>79</v>
      </c>
      <c r="I61" s="18">
        <f>'MERCADO TUSD'!$U$58</f>
        <v>0</v>
      </c>
      <c r="J61" s="15"/>
      <c r="L61" s="13">
        <f>1*(1 - CUSTOS!$M$31)</f>
        <v>1</v>
      </c>
      <c r="M61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CUSTOS!$M$31)</f>
        <v>1.0169761005684559</v>
      </c>
      <c r="N61" s="13">
        <f ca="1">(+M61+O61+R61+U61+V61+W61+X61+Y61+Z61+AA61+AC61+AH61+AI61+AJ61+AK61)*CUSTOS!$M$5</f>
        <v>3.1861618177900075</v>
      </c>
      <c r="O61" s="13">
        <f>1 - CUSTOS!$M$31</f>
        <v>1</v>
      </c>
      <c r="P61" s="13">
        <f>1 - CUSTOS!$M$31</f>
        <v>1</v>
      </c>
      <c r="Q61" s="13">
        <f>1*(1 - CUSTOS!$M$31)</f>
        <v>1</v>
      </c>
      <c r="R61" s="13">
        <f>1 - CUSTOS!$M$31</f>
        <v>1</v>
      </c>
      <c r="S61" s="13">
        <f>1 - CUSTOS!$M$31</f>
        <v>1</v>
      </c>
      <c r="T61" s="13"/>
      <c r="U61" s="13">
        <f>TRANSICAO!$U$61*CUSTOS!$T$3</f>
        <v>29.611599999999999</v>
      </c>
      <c r="V61" s="13">
        <f>TRANSICAO!$V$61*CUSTOS!$T$3</f>
        <v>15.849500000000001</v>
      </c>
      <c r="W61" s="13">
        <f>TRANSICAO!$W$61*CUSTOS!$T$3</f>
        <v>0</v>
      </c>
      <c r="X61" s="13">
        <f>TRANSICAO!$X$61*CUSTOS!$T$3</f>
        <v>0</v>
      </c>
      <c r="Y61" s="13">
        <f>TRANSICAO!$Y$61*CUSTOS!$T$3</f>
        <v>0</v>
      </c>
      <c r="Z61" s="13">
        <f>TRANSICAO!$Z$61*CUSTOS!$T$3</f>
        <v>0</v>
      </c>
      <c r="AA61" s="13">
        <f>TRANSICAO!$AA$61*CUSTOS!$T$3</f>
        <v>0</v>
      </c>
      <c r="AB61" s="13">
        <f>TRANSICAO!$AB$61*CUSTOS!$T$3</f>
        <v>0</v>
      </c>
      <c r="AC61" s="13">
        <f>TRANSICAO!$AC$61*CUSTOS!$T$3</f>
        <v>221.5908</v>
      </c>
      <c r="AD61" s="13">
        <f>TRANSICAO!$AD$61*CUSTOS!$T$3</f>
        <v>0</v>
      </c>
      <c r="AE61" s="13">
        <v>0</v>
      </c>
      <c r="AF61" s="13">
        <v>0</v>
      </c>
      <c r="AG61" s="13"/>
      <c r="AH61" s="13">
        <f>(1 - CUSTOS!$M$31)*22.7252</f>
        <v>22.725200000000001</v>
      </c>
      <c r="AI61" s="13">
        <f>(1 - CUSTOS!$M$31)*22.7252</f>
        <v>22.725200000000001</v>
      </c>
      <c r="AJ61" s="13">
        <f ca="1">$N$77*(1-CUSTOS!$M$31)</f>
        <v>1.5484528392161621</v>
      </c>
      <c r="AK61" s="13">
        <f t="shared" ca="1" si="1"/>
        <v>1.5484528392161621</v>
      </c>
      <c r="AL61" s="13"/>
      <c r="AM61" s="13"/>
      <c r="AP61" s="13">
        <f>IF((1 - CUSTOS!$M$31)&lt;&gt;0,1/(1 - CUSTOS!$M$31),1)</f>
        <v>1</v>
      </c>
    </row>
    <row r="62" spans="1:42" ht="11.25" customHeight="1" x14ac:dyDescent="0.3">
      <c r="A62" s="137" t="s">
        <v>47</v>
      </c>
      <c r="B62" s="137" t="s">
        <v>23</v>
      </c>
      <c r="C62" s="137" t="s">
        <v>48</v>
      </c>
      <c r="D62" s="17" t="s">
        <v>49</v>
      </c>
      <c r="E62" s="17" t="s">
        <v>25</v>
      </c>
      <c r="F62" s="17" t="s">
        <v>25</v>
      </c>
      <c r="G62" s="18" t="s">
        <v>83</v>
      </c>
      <c r="H62" s="18" t="s">
        <v>79</v>
      </c>
      <c r="I62" s="18">
        <f>'MERCADO TUSD'!$U$59</f>
        <v>5104.487000000001</v>
      </c>
      <c r="J62" s="15"/>
      <c r="L62" s="13">
        <f>1*(1 - CUSTOS!$M$32)</f>
        <v>0.55000000000000004</v>
      </c>
      <c r="M62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CUSTOS!$M$32)</f>
        <v>0.55933685531265076</v>
      </c>
      <c r="N62" s="13">
        <f ca="1">(+M62+O62+R62+U62+V62+W62+X62+Y62+Z62+AA62+AC62+AH62+AI62+AJ62+AK62)*CUSTOS!$M$5</f>
        <v>1.7523889997845044</v>
      </c>
      <c r="O62" s="13">
        <f>1 - CUSTOS!$M$32</f>
        <v>0.55000000000000004</v>
      </c>
      <c r="P62" s="13">
        <f>1 - CUSTOS!$M$32</f>
        <v>0.55000000000000004</v>
      </c>
      <c r="Q62" s="13">
        <f>1*(1 - CUSTOS!$M$32)</f>
        <v>0.55000000000000004</v>
      </c>
      <c r="R62" s="13">
        <f>1 - CUSTOS!$M$32</f>
        <v>0.55000000000000004</v>
      </c>
      <c r="S62" s="13">
        <f>1 - CUSTOS!$M$32</f>
        <v>0.55000000000000004</v>
      </c>
      <c r="T62" s="13"/>
      <c r="U62" s="13">
        <f>TRANSICAO!$U$62*CUSTOS!$T$3</f>
        <v>16.286380000000001</v>
      </c>
      <c r="V62" s="13">
        <f>TRANSICAO!$V$62*CUSTOS!$T$3</f>
        <v>8.7172250000000009</v>
      </c>
      <c r="W62" s="13">
        <f>TRANSICAO!$W$62*CUSTOS!$T$3</f>
        <v>0</v>
      </c>
      <c r="X62" s="13">
        <f>TRANSICAO!$X$62*CUSTOS!$T$3</f>
        <v>0</v>
      </c>
      <c r="Y62" s="13">
        <f>TRANSICAO!$Y$62*CUSTOS!$T$3</f>
        <v>0</v>
      </c>
      <c r="Z62" s="13">
        <f>TRANSICAO!$Z$62*CUSTOS!$T$3</f>
        <v>0</v>
      </c>
      <c r="AA62" s="13">
        <f>TRANSICAO!$AA$62*CUSTOS!$T$3</f>
        <v>0</v>
      </c>
      <c r="AB62" s="13">
        <f>TRANSICAO!$AB$62*CUSTOS!$T$3</f>
        <v>0</v>
      </c>
      <c r="AC62" s="13">
        <f>TRANSICAO!$AC$62*CUSTOS!$T$3</f>
        <v>121.87494000000001</v>
      </c>
      <c r="AD62" s="13">
        <f>TRANSICAO!$AD$62*CUSTOS!$T$3</f>
        <v>0</v>
      </c>
      <c r="AE62" s="13">
        <v>0</v>
      </c>
      <c r="AF62" s="13">
        <v>0</v>
      </c>
      <c r="AG62" s="13"/>
      <c r="AH62" s="13">
        <f>(1 - CUSTOS!$M$32)*22.7252</f>
        <v>12.498860000000002</v>
      </c>
      <c r="AI62" s="13">
        <f>(1 - CUSTOS!$M$32)*22.7252</f>
        <v>12.498860000000002</v>
      </c>
      <c r="AJ62" s="13">
        <f ca="1">$N$77*(1-CUSTOS!$M$32)</f>
        <v>0.8516490615688892</v>
      </c>
      <c r="AK62" s="13">
        <f t="shared" ca="1" si="1"/>
        <v>0.8516490615688892</v>
      </c>
      <c r="AL62" s="13"/>
      <c r="AM62" s="13"/>
      <c r="AP62" s="13">
        <f>IF((1 - CUSTOS!$M$32)&lt;&gt;0,1/(1 - CUSTOS!$M$32),1)</f>
        <v>1.8181818181818181</v>
      </c>
    </row>
    <row r="63" spans="1:42" ht="11.25" customHeight="1" x14ac:dyDescent="0.3">
      <c r="A63" s="137"/>
      <c r="B63" s="137"/>
      <c r="C63" s="137"/>
      <c r="D63" s="18" t="s">
        <v>96</v>
      </c>
      <c r="E63" s="18" t="s">
        <v>25</v>
      </c>
      <c r="F63" s="18" t="s">
        <v>25</v>
      </c>
      <c r="G63" s="18" t="s">
        <v>83</v>
      </c>
      <c r="H63" s="18" t="s">
        <v>79</v>
      </c>
      <c r="I63" s="18">
        <f>'MERCADO TUSD'!$U$60</f>
        <v>0</v>
      </c>
      <c r="J63" s="15"/>
      <c r="L63" s="13">
        <f>1*(1 - CUSTOS!$M$33)</f>
        <v>0.6</v>
      </c>
      <c r="M63" s="13">
        <f>IF(AND((+$I$29+$I$30+$I$31+$I$32+$I$33+$I$34+$I$35+$I$36+$I$37+$I$38+$I$39+$I$40+$I$41+$I$42+$I$43+$I$44+$I$45+$I$46+$I$47+$I$48+$I$49+$I$50+$I$51+$I$52+$I$53+$I$54+$I$55+$I$56+$I$57+$I$58+$I$59+$I$60+$I$61+$I$62+$I$63)&lt;&gt;0,SUMPRODUCT($I$5:$I$63,$AC$5:$AC$63,$AP$5:$AP$63)&lt;&gt;0),$M$68*SUMPRODUCT($I$29:$I$63,$AC$29:$AC$63,$AP$29:$AP$63)/SUMPRODUCT($I$5:$I$63,$AC$5:$AC$63,$AP$5:$AP$63)/(+$I$29+$I$30+$I$31+$I$32+$I$33+$I$34+$I$35+$I$36+$I$37+$I$38+$I$39+$I$40+$I$41+$I$42+$I$43+$I$44+$I$45+$I$46+$I$47+$I$48+$I$49+$I$50+$I$51+$I$52+$I$53+$I$54+$I$55+$I$56+$I$57+$I$58+$I$59+$I$60+$I$61+$I$62+$I$63),0)*(1 - CUSTOS!$M$33)</f>
        <v>0.61018566034107347</v>
      </c>
      <c r="N63" s="13">
        <f ca="1">(+M63+O63+R63+U63+V63+W63+X63+Y63+Z63+AA63+AC63+AH63+AI63+AJ63+AK63)*CUSTOS!$M$5</f>
        <v>1.9116970906740045</v>
      </c>
      <c r="O63" s="13">
        <f>1 - CUSTOS!$M$33</f>
        <v>0.6</v>
      </c>
      <c r="P63" s="13">
        <f>1 - CUSTOS!$M$33</f>
        <v>0.6</v>
      </c>
      <c r="Q63" s="13">
        <f>1*(1 - CUSTOS!$M$33)</f>
        <v>0.6</v>
      </c>
      <c r="R63" s="13">
        <f>1 - CUSTOS!$M$33</f>
        <v>0.6</v>
      </c>
      <c r="S63" s="13">
        <f>1 - CUSTOS!$M$33</f>
        <v>0.6</v>
      </c>
      <c r="T63" s="13"/>
      <c r="U63" s="13">
        <f>TRANSICAO!$U$63*CUSTOS!$T$3</f>
        <v>17.766959999999997</v>
      </c>
      <c r="V63" s="13">
        <f>TRANSICAO!$V$63*CUSTOS!$T$3</f>
        <v>9.5097000000000005</v>
      </c>
      <c r="W63" s="13">
        <f>TRANSICAO!$W$63*CUSTOS!$T$3</f>
        <v>0</v>
      </c>
      <c r="X63" s="13">
        <f>TRANSICAO!$X$63*CUSTOS!$T$3</f>
        <v>0</v>
      </c>
      <c r="Y63" s="13">
        <f>TRANSICAO!$Y$63*CUSTOS!$T$3</f>
        <v>0</v>
      </c>
      <c r="Z63" s="13">
        <f>TRANSICAO!$Z$63*CUSTOS!$T$3</f>
        <v>0</v>
      </c>
      <c r="AA63" s="13">
        <f>TRANSICAO!$AA$63*CUSTOS!$T$3</f>
        <v>0</v>
      </c>
      <c r="AB63" s="13">
        <f>TRANSICAO!$AB$63*CUSTOS!$T$3</f>
        <v>0</v>
      </c>
      <c r="AC63" s="13">
        <f>TRANSICAO!$AC$63*CUSTOS!$T$3</f>
        <v>132.95447999999999</v>
      </c>
      <c r="AD63" s="13">
        <f>TRANSICAO!$AD$63*CUSTOS!$T$3</f>
        <v>0</v>
      </c>
      <c r="AE63" s="13">
        <v>0</v>
      </c>
      <c r="AF63" s="13">
        <v>0</v>
      </c>
      <c r="AG63" s="13"/>
      <c r="AH63" s="13">
        <f>(1 - CUSTOS!$M$33)*22.7252</f>
        <v>13.635120000000001</v>
      </c>
      <c r="AI63" s="13">
        <f>(1 - CUSTOS!$M$33)*22.7252</f>
        <v>13.635120000000001</v>
      </c>
      <c r="AJ63" s="13">
        <f ca="1">$N$77*(1-CUSTOS!$M$33)</f>
        <v>0.92907170352969715</v>
      </c>
      <c r="AK63" s="13">
        <f t="shared" ca="1" si="1"/>
        <v>0.92907170352969715</v>
      </c>
      <c r="AL63" s="13"/>
      <c r="AM63" s="13"/>
      <c r="AP63" s="13">
        <f>IF((1 - CUSTOS!$M$33)&lt;&gt;0,1/(1 - CUSTOS!$M$33),1)</f>
        <v>1.6666666666666667</v>
      </c>
    </row>
    <row r="65" spans="11:39" ht="11.25" customHeight="1" x14ac:dyDescent="0.3">
      <c r="K65" s="16" t="s">
        <v>719</v>
      </c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</row>
    <row r="66" spans="11:39" ht="11.25" customHeight="1" x14ac:dyDescent="0.3">
      <c r="K66" s="16" t="s">
        <v>720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</row>
    <row r="67" spans="11:39" ht="11.25" customHeight="1" x14ac:dyDescent="0.3">
      <c r="K67" s="16" t="s">
        <v>721</v>
      </c>
      <c r="L67" s="13">
        <f>IF(ISERROR(+SUMPRODUCT($L$5:$L$8,$I$5:$I$8)+SUMPRODUCT($L$9:$L$9,$I$9:$I$9)+SUMPRODUCT($L$10:$L$14,$I$10:$I$14)+SUMPRODUCT($L$15:$L$16,$I$15:$I$16)+SUMPRODUCT($L$17:$L$20,$I$17:$I$20)+SUMPRODUCT($L$21:$L$21,$I$21:$I$21)+SUMPRODUCT($L$22:$L$26,$I$22:$I$26)+SUMPRODUCT($L$27:$L$28,$I$27:$I$28)+SUMPRODUCT($L$29:$L$31,$I$29:$I$31)+SUMPRODUCT($L$32:$L$36,$I$32:$I$36)+SUMPRODUCT($L$37:$L$41,$I$37:$I$41)+SUMPRODUCT($L$42:$L$44,$I$42:$I$44)+SUMPRODUCT($L$45:$L$45,$I$45:$I$45)+SUMPRODUCT($L$46:$L$48,$I$46:$I$48)+SUMPRODUCT($L$49:$L$49,$I$49:$I$49)+SUMPRODUCT($L$50:$L$52,$I$50:$I$52)+SUMPRODUCT($L$53:$L$53,$I$53:$I$53)+SUMPRODUCT($L$54:$L$56,$I$54:$I$56)+SUMPRODUCT($L$57:$L$59,$I$57:$I$59)+SUMPRODUCT($L$60:$L$60,$I$60:$I$60)+SUMPRODUCT($L$61:$L$61,$I$61:$I$61)+SUMPRODUCT($L$62:$L$63,$I$62:$I$63)),0,+SUMPRODUCT($L$5:$L$8,$I$5:$I$8)+SUMPRODUCT($L$9:$L$9,$I$9:$I$9)+SUMPRODUCT($L$10:$L$14,$I$10:$I$14)+SUMPRODUCT($L$15:$L$16,$I$15:$I$16)+SUMPRODUCT($L$17:$L$20,$I$17:$I$20)+SUMPRODUCT($L$21:$L$21,$I$21:$I$21)+SUMPRODUCT($L$22:$L$26,$I$22:$I$26)+SUMPRODUCT($L$27:$L$28,$I$27:$I$28)+SUMPRODUCT($L$29:$L$31,$I$29:$I$31)+SUMPRODUCT($L$32:$L$36,$I$32:$I$36)+SUMPRODUCT($L$37:$L$41,$I$37:$I$41)+SUMPRODUCT($L$42:$L$44,$I$42:$I$44)+SUMPRODUCT($L$45:$L$45,$I$45:$I$45)+SUMPRODUCT($L$46:$L$48,$I$46:$I$48)+SUMPRODUCT($L$49:$L$49,$I$49:$I$49)+SUMPRODUCT($L$50:$L$52,$I$50:$I$52)+SUMPRODUCT($L$53:$L$53,$I$53:$I$53)+SUMPRODUCT($L$54:$L$56,$I$54:$I$56)+SUMPRODUCT($L$57:$L$59,$I$57:$I$59)+SUMPRODUCT($L$60:$L$60,$I$60:$I$60)+SUMPRODUCT($L$61:$L$61,$I$61:$I$61)+SUMPRODUCT($L$62:$L$63,$I$62:$I$63))</f>
        <v>116385.31817</v>
      </c>
      <c r="M67" s="13">
        <f>IF(ISERROR(+SUMPRODUCT($M$5:$M$8,$I$5:$I$8)+SUMPRODUCT($M$9:$M$9,$I$9:$I$9)+SUMPRODUCT($M$10:$M$14,$I$10:$I$14)+SUMPRODUCT($M$15:$M$16,$I$15:$I$16)+SUMPRODUCT($M$17:$M$20,$I$17:$I$20)+SUMPRODUCT($M$21:$M$21,$I$21:$I$21)+SUMPRODUCT($M$22:$M$26,$I$22:$I$26)+SUMPRODUCT($M$27:$M$28,$I$27:$I$28)+SUMPRODUCT($M$29:$M$31,$I$29:$I$31)+SUMPRODUCT($M$32:$M$36,$I$32:$I$36)+SUMPRODUCT($M$37:$M$41,$I$37:$I$41)+SUMPRODUCT($M$42:$M$44,$I$42:$I$44)+SUMPRODUCT($M$45:$M$45,$I$45:$I$45)+SUMPRODUCT($M$46:$M$48,$I$46:$I$48)+SUMPRODUCT($M$49:$M$49,$I$49:$I$49)+SUMPRODUCT($M$50:$M$52,$I$50:$I$52)+SUMPRODUCT($M$53:$M$53,$I$53:$I$53)+SUMPRODUCT($M$54:$M$56,$I$54:$I$56)+SUMPRODUCT($M$57:$M$59,$I$57:$I$59)+SUMPRODUCT($M$60:$M$60,$I$60:$I$60)+SUMPRODUCT($M$61:$M$61,$I$61:$I$61)+SUMPRODUCT($M$62:$M$63,$I$62:$I$63)),0,+SUMPRODUCT($M$5:$M$8,$I$5:$I$8)+SUMPRODUCT($M$9:$M$9,$I$9:$I$9)+SUMPRODUCT($M$10:$M$14,$I$10:$I$14)+SUMPRODUCT($M$15:$M$16,$I$15:$I$16)+SUMPRODUCT($M$17:$M$20,$I$17:$I$20)+SUMPRODUCT($M$21:$M$21,$I$21:$I$21)+SUMPRODUCT($M$22:$M$26,$I$22:$I$26)+SUMPRODUCT($M$27:$M$28,$I$27:$I$28)+SUMPRODUCT($M$29:$M$31,$I$29:$I$31)+SUMPRODUCT($M$32:$M$36,$I$32:$I$36)+SUMPRODUCT($M$37:$M$41,$I$37:$I$41)+SUMPRODUCT($M$42:$M$44,$I$42:$I$44)+SUMPRODUCT($M$45:$M$45,$I$45:$I$45)+SUMPRODUCT($M$46:$M$48,$I$46:$I$48)+SUMPRODUCT($M$49:$M$49,$I$49:$I$49)+SUMPRODUCT($M$50:$M$52,$I$50:$I$52)+SUMPRODUCT($M$53:$M$53,$I$53:$I$53)+SUMPRODUCT($M$54:$M$56,$I$54:$I$56)+SUMPRODUCT($M$57:$M$59,$I$57:$I$59)+SUMPRODUCT($M$60:$M$60,$I$60:$I$60)+SUMPRODUCT($M$61:$M$61,$I$61:$I$61)+SUMPRODUCT($M$62:$M$63,$I$62:$I$63))</f>
        <v>115790.29521990499</v>
      </c>
      <c r="N67" s="13">
        <f ca="1">IF(ISERROR(+SUMPRODUCT($N$5:$N$8,$I$5:$I$8)+SUMPRODUCT($N$9:$N$9,$I$9:$I$9)+SUMPRODUCT($N$10:$N$14,$I$10:$I$14)+SUMPRODUCT($N$15:$N$16,$I$15:$I$16)+SUMPRODUCT($N$17:$N$20,$I$17:$I$20)+SUMPRODUCT($N$21:$N$21,$I$21:$I$21)+SUMPRODUCT($N$22:$N$26,$I$22:$I$26)+SUMPRODUCT($N$27:$N$28,$I$27:$I$28)+SUMPRODUCT($N$29:$N$31,$I$29:$I$31)+SUMPRODUCT($N$32:$N$36,$I$32:$I$36)+SUMPRODUCT($N$37:$N$41,$I$37:$I$41)+SUMPRODUCT($N$42:$N$44,$I$42:$I$44)+SUMPRODUCT($N$45:$N$45,$I$45:$I$45)+SUMPRODUCT($N$46:$N$48,$I$46:$I$48)+SUMPRODUCT($N$49:$N$49,$I$49:$I$49)+SUMPRODUCT($N$50:$N$52,$I$50:$I$52)+SUMPRODUCT($N$53:$N$53,$I$53:$I$53)+SUMPRODUCT($N$54:$N$56,$I$54:$I$56)+SUMPRODUCT($N$57:$N$59,$I$57:$I$59)+SUMPRODUCT($N$60:$N$60,$I$60:$I$60)+SUMPRODUCT($N$61:$N$61,$I$61:$I$61)+SUMPRODUCT($N$62:$N$63,$I$62:$I$63)),0,+SUMPRODUCT($N$5:$N$8,$I$5:$I$8)+SUMPRODUCT($N$9:$N$9,$I$9:$I$9)+SUMPRODUCT($N$10:$N$14,$I$10:$I$14)+SUMPRODUCT($N$15:$N$16,$I$15:$I$16)+SUMPRODUCT($N$17:$N$20,$I$17:$I$20)+SUMPRODUCT($N$21:$N$21,$I$21:$I$21)+SUMPRODUCT($N$22:$N$26,$I$22:$I$26)+SUMPRODUCT($N$27:$N$28,$I$27:$I$28)+SUMPRODUCT($N$29:$N$31,$I$29:$I$31)+SUMPRODUCT($N$32:$N$36,$I$32:$I$36)+SUMPRODUCT($N$37:$N$41,$I$37:$I$41)+SUMPRODUCT($N$42:$N$44,$I$42:$I$44)+SUMPRODUCT($N$45:$N$45,$I$45:$I$45)+SUMPRODUCT($N$46:$N$48,$I$46:$I$48)+SUMPRODUCT($N$49:$N$49,$I$49:$I$49)+SUMPRODUCT($N$50:$N$52,$I$50:$I$52)+SUMPRODUCT($N$53:$N$53,$I$53:$I$53)+SUMPRODUCT($N$54:$N$56,$I$54:$I$56)+SUMPRODUCT($N$57:$N$59,$I$57:$I$59)+SUMPRODUCT($N$60:$N$60,$I$60:$I$60)+SUMPRODUCT($N$61:$N$61,$I$61:$I$61)+SUMPRODUCT($N$62:$N$63,$I$62:$I$63))</f>
        <v>334806.7956941087</v>
      </c>
      <c r="O67" s="13">
        <f>IF(ISERROR(+SUMPRODUCT($O$5:$O$8,$I$5:$I$8)+SUMPRODUCT($O$9:$O$9,$I$9:$I$9)+SUMPRODUCT($O$10:$O$14,$I$10:$I$14)+SUMPRODUCT($O$15:$O$16,$I$15:$I$16)+SUMPRODUCT($O$17:$O$20,$I$17:$I$20)+SUMPRODUCT($O$21:$O$21,$I$21:$I$21)+SUMPRODUCT($O$22:$O$26,$I$22:$I$26)+SUMPRODUCT($O$27:$O$28,$I$27:$I$28)+SUMPRODUCT($O$29:$O$31,$I$29:$I$31)+SUMPRODUCT($O$32:$O$36,$I$32:$I$36)+SUMPRODUCT($O$37:$O$41,$I$37:$I$41)+SUMPRODUCT($O$42:$O$44,$I$42:$I$44)+SUMPRODUCT($O$45:$O$45,$I$45:$I$45)+SUMPRODUCT($O$46:$O$48,$I$46:$I$48)+SUMPRODUCT($O$49:$O$49,$I$49:$I$49)+SUMPRODUCT($O$50:$O$52,$I$50:$I$52)+SUMPRODUCT($O$53:$O$53,$I$53:$I$53)+SUMPRODUCT($O$54:$O$56,$I$54:$I$56)+SUMPRODUCT($O$57:$O$59,$I$57:$I$59)+SUMPRODUCT($O$60:$O$60,$I$60:$I$60)+SUMPRODUCT($O$61:$O$61,$I$61:$I$61)+SUMPRODUCT($O$62:$O$63,$I$62:$I$63)),0,+SUMPRODUCT($O$5:$O$8,$I$5:$I$8)+SUMPRODUCT($O$9:$O$9,$I$9:$I$9)+SUMPRODUCT($O$10:$O$14,$I$10:$I$14)+SUMPRODUCT($O$15:$O$16,$I$15:$I$16)+SUMPRODUCT($O$17:$O$20,$I$17:$I$20)+SUMPRODUCT($O$21:$O$21,$I$21:$I$21)+SUMPRODUCT($O$22:$O$26,$I$22:$I$26)+SUMPRODUCT($O$27:$O$28,$I$27:$I$28)+SUMPRODUCT($O$29:$O$31,$I$29:$I$31)+SUMPRODUCT($O$32:$O$36,$I$32:$I$36)+SUMPRODUCT($O$37:$O$41,$I$37:$I$41)+SUMPRODUCT($O$42:$O$44,$I$42:$I$44)+SUMPRODUCT($O$45:$O$45,$I$45:$I$45)+SUMPRODUCT($O$46:$O$48,$I$46:$I$48)+SUMPRODUCT($O$49:$O$49,$I$49:$I$49)+SUMPRODUCT($O$50:$O$52,$I$50:$I$52)+SUMPRODUCT($O$53:$O$53,$I$53:$I$53)+SUMPRODUCT($O$54:$O$56,$I$54:$I$56)+SUMPRODUCT($O$57:$O$59,$I$57:$I$59)+SUMPRODUCT($O$60:$O$60,$I$60:$I$60)+SUMPRODUCT($O$61:$O$61,$I$61:$I$61)+SUMPRODUCT($O$62:$O$63,$I$62:$I$63))</f>
        <v>126355.71184999999</v>
      </c>
      <c r="P67" s="13">
        <f>IF(ISERROR(+SUMPRODUCT($P$5:$P$8,$I$5:$I$8)+SUMPRODUCT($P$9:$P$9,$I$9:$I$9)+SUMPRODUCT($P$10:$P$14,$I$10:$I$14)+SUMPRODUCT($P$15:$P$16,$I$15:$I$16)+SUMPRODUCT($P$17:$P$20,$I$17:$I$20)+SUMPRODUCT($P$21:$P$21,$I$21:$I$21)+SUMPRODUCT($P$22:$P$26,$I$22:$I$26)+SUMPRODUCT($P$27:$P$28,$I$27:$I$28)+SUMPRODUCT($P$29:$P$31,$I$29:$I$31)+SUMPRODUCT($P$32:$P$36,$I$32:$I$36)+SUMPRODUCT($P$37:$P$41,$I$37:$I$41)+SUMPRODUCT($P$42:$P$44,$I$42:$I$44)+SUMPRODUCT($P$45:$P$45,$I$45:$I$45)+SUMPRODUCT($P$46:$P$48,$I$46:$I$48)+SUMPRODUCT($P$49:$P$49,$I$49:$I$49)+SUMPRODUCT($P$50:$P$52,$I$50:$I$52)+SUMPRODUCT($P$53:$P$53,$I$53:$I$53)+SUMPRODUCT($P$54:$P$56,$I$54:$I$56)+SUMPRODUCT($P$57:$P$59,$I$57:$I$59)+SUMPRODUCT($P$60:$P$60,$I$60:$I$60)+SUMPRODUCT($P$61:$P$61,$I$61:$I$61)+SUMPRODUCT($P$62:$P$63,$I$62:$I$63)),0,+SUMPRODUCT($P$5:$P$8,$I$5:$I$8)+SUMPRODUCT($P$9:$P$9,$I$9:$I$9)+SUMPRODUCT($P$10:$P$14,$I$10:$I$14)+SUMPRODUCT($P$15:$P$16,$I$15:$I$16)+SUMPRODUCT($P$17:$P$20,$I$17:$I$20)+SUMPRODUCT($P$21:$P$21,$I$21:$I$21)+SUMPRODUCT($P$22:$P$26,$I$22:$I$26)+SUMPRODUCT($P$27:$P$28,$I$27:$I$28)+SUMPRODUCT($P$29:$P$31,$I$29:$I$31)+SUMPRODUCT($P$32:$P$36,$I$32:$I$36)+SUMPRODUCT($P$37:$P$41,$I$37:$I$41)+SUMPRODUCT($P$42:$P$44,$I$42:$I$44)+SUMPRODUCT($P$45:$P$45,$I$45:$I$45)+SUMPRODUCT($P$46:$P$48,$I$46:$I$48)+SUMPRODUCT($P$49:$P$49,$I$49:$I$49)+SUMPRODUCT($P$50:$P$52,$I$50:$I$52)+SUMPRODUCT($P$53:$P$53,$I$53:$I$53)+SUMPRODUCT($P$54:$P$56,$I$54:$I$56)+SUMPRODUCT($P$57:$P$59,$I$57:$I$59)+SUMPRODUCT($P$60:$P$60,$I$60:$I$60)+SUMPRODUCT($P$61:$P$61,$I$61:$I$61)+SUMPRODUCT($P$62:$P$63,$I$62:$I$63))</f>
        <v>121107.79785</v>
      </c>
      <c r="Q67" s="13">
        <f>IF(ISERROR(+SUMPRODUCT($Q$5:$Q$8,$I$5:$I$8)+SUMPRODUCT($Q$9:$Q$9,$I$9:$I$9)+SUMPRODUCT($Q$10:$Q$14,$I$10:$I$14)+SUMPRODUCT($Q$15:$Q$16,$I$15:$I$16)+SUMPRODUCT($Q$17:$Q$20,$I$17:$I$20)+SUMPRODUCT($Q$21:$Q$21,$I$21:$I$21)+SUMPRODUCT($Q$22:$Q$26,$I$22:$I$26)+SUMPRODUCT($Q$27:$Q$28,$I$27:$I$28)+SUMPRODUCT($Q$29:$Q$31,$I$29:$I$31)+SUMPRODUCT($Q$32:$Q$36,$I$32:$I$36)+SUMPRODUCT($Q$37:$Q$41,$I$37:$I$41)+SUMPRODUCT($Q$42:$Q$44,$I$42:$I$44)+SUMPRODUCT($Q$45:$Q$45,$I$45:$I$45)+SUMPRODUCT($Q$46:$Q$48,$I$46:$I$48)+SUMPRODUCT($Q$49:$Q$49,$I$49:$I$49)+SUMPRODUCT($Q$50:$Q$52,$I$50:$I$52)+SUMPRODUCT($Q$53:$Q$53,$I$53:$I$53)+SUMPRODUCT($Q$54:$Q$56,$I$54:$I$56)+SUMPRODUCT($Q$57:$Q$59,$I$57:$I$59)+SUMPRODUCT($Q$60:$Q$60,$I$60:$I$60)+SUMPRODUCT($Q$61:$Q$61,$I$61:$I$61)+SUMPRODUCT($Q$62:$Q$63,$I$62:$I$63)),0,+SUMPRODUCT($Q$5:$Q$8,$I$5:$I$8)+SUMPRODUCT($Q$9:$Q$9,$I$9:$I$9)+SUMPRODUCT($Q$10:$Q$14,$I$10:$I$14)+SUMPRODUCT($Q$15:$Q$16,$I$15:$I$16)+SUMPRODUCT($Q$17:$Q$20,$I$17:$I$20)+SUMPRODUCT($Q$21:$Q$21,$I$21:$I$21)+SUMPRODUCT($Q$22:$Q$26,$I$22:$I$26)+SUMPRODUCT($Q$27:$Q$28,$I$27:$I$28)+SUMPRODUCT($Q$29:$Q$31,$I$29:$I$31)+SUMPRODUCT($Q$32:$Q$36,$I$32:$I$36)+SUMPRODUCT($Q$37:$Q$41,$I$37:$I$41)+SUMPRODUCT($Q$42:$Q$44,$I$42:$I$44)+SUMPRODUCT($Q$45:$Q$45,$I$45:$I$45)+SUMPRODUCT($Q$46:$Q$48,$I$46:$I$48)+SUMPRODUCT($Q$49:$Q$49,$I$49:$I$49)+SUMPRODUCT($Q$50:$Q$52,$I$50:$I$52)+SUMPRODUCT($Q$53:$Q$53,$I$53:$I$53)+SUMPRODUCT($Q$54:$Q$56,$I$54:$I$56)+SUMPRODUCT($Q$57:$Q$59,$I$57:$I$59)+SUMPRODUCT($Q$60:$Q$60,$I$60:$I$60)+SUMPRODUCT($Q$61:$Q$61,$I$61:$I$61)+SUMPRODUCT($Q$62:$Q$63,$I$62:$I$63))</f>
        <v>116385.31817</v>
      </c>
      <c r="R67" s="13">
        <f>IF(ISERROR(+SUMPRODUCT($R$5:$R$8,$I$5:$I$8)+SUMPRODUCT($R$9:$R$9,$I$9:$I$9)+SUMPRODUCT($R$10:$R$14,$I$10:$I$14)+SUMPRODUCT($R$15:$R$16,$I$15:$I$16)+SUMPRODUCT($R$17:$R$20,$I$17:$I$20)+SUMPRODUCT($R$21:$R$21,$I$21:$I$21)+SUMPRODUCT($R$22:$R$26,$I$22:$I$26)+SUMPRODUCT($R$27:$R$28,$I$27:$I$28)+SUMPRODUCT($R$29:$R$31,$I$29:$I$31)+SUMPRODUCT($R$32:$R$36,$I$32:$I$36)+SUMPRODUCT($R$37:$R$41,$I$37:$I$41)+SUMPRODUCT($R$42:$R$44,$I$42:$I$44)+SUMPRODUCT($R$45:$R$45,$I$45:$I$45)+SUMPRODUCT($R$46:$R$48,$I$46:$I$48)+SUMPRODUCT($R$49:$R$49,$I$49:$I$49)+SUMPRODUCT($R$50:$R$52,$I$50:$I$52)+SUMPRODUCT($R$53:$R$53,$I$53:$I$53)+SUMPRODUCT($R$54:$R$56,$I$54:$I$56)+SUMPRODUCT($R$57:$R$59,$I$57:$I$59)+SUMPRODUCT($R$60:$R$60,$I$60:$I$60)+SUMPRODUCT($R$61:$R$61,$I$61:$I$61)+SUMPRODUCT($R$62:$R$63,$I$62:$I$63)),0,+SUMPRODUCT($R$5:$R$8,$I$5:$I$8)+SUMPRODUCT($R$9:$R$9,$I$9:$I$9)+SUMPRODUCT($R$10:$R$14,$I$10:$I$14)+SUMPRODUCT($R$15:$R$16,$I$15:$I$16)+SUMPRODUCT($R$17:$R$20,$I$17:$I$20)+SUMPRODUCT($R$21:$R$21,$I$21:$I$21)+SUMPRODUCT($R$22:$R$26,$I$22:$I$26)+SUMPRODUCT($R$27:$R$28,$I$27:$I$28)+SUMPRODUCT($R$29:$R$31,$I$29:$I$31)+SUMPRODUCT($R$32:$R$36,$I$32:$I$36)+SUMPRODUCT($R$37:$R$41,$I$37:$I$41)+SUMPRODUCT($R$42:$R$44,$I$42:$I$44)+SUMPRODUCT($R$45:$R$45,$I$45:$I$45)+SUMPRODUCT($R$46:$R$48,$I$46:$I$48)+SUMPRODUCT($R$49:$R$49,$I$49:$I$49)+SUMPRODUCT($R$50:$R$52,$I$50:$I$52)+SUMPRODUCT($R$53:$R$53,$I$53:$I$53)+SUMPRODUCT($R$54:$R$56,$I$54:$I$56)+SUMPRODUCT($R$57:$R$59,$I$57:$I$59)+SUMPRODUCT($R$60:$R$60,$I$60:$I$60)+SUMPRODUCT($R$61:$R$61,$I$61:$I$61)+SUMPRODUCT($R$62:$R$63,$I$62:$I$63))</f>
        <v>121107.79785</v>
      </c>
      <c r="S67" s="13">
        <f>IF(ISERROR(+SUMPRODUCT($S$5:$S$8,$I$5:$I$8)+SUMPRODUCT($S$9:$S$9,$I$9:$I$9)+SUMPRODUCT($S$10:$S$14,$I$10:$I$14)+SUMPRODUCT($S$15:$S$16,$I$15:$I$16)+SUMPRODUCT($S$17:$S$20,$I$17:$I$20)+SUMPRODUCT($S$21:$S$21,$I$21:$I$21)+SUMPRODUCT($S$22:$S$26,$I$22:$I$26)+SUMPRODUCT($S$27:$S$28,$I$27:$I$28)+SUMPRODUCT($S$29:$S$31,$I$29:$I$31)+SUMPRODUCT($S$32:$S$36,$I$32:$I$36)+SUMPRODUCT($S$37:$S$41,$I$37:$I$41)+SUMPRODUCT($S$42:$S$44,$I$42:$I$44)+SUMPRODUCT($S$45:$S$45,$I$45:$I$45)+SUMPRODUCT($S$46:$S$48,$I$46:$I$48)+SUMPRODUCT($S$49:$S$49,$I$49:$I$49)+SUMPRODUCT($S$50:$S$52,$I$50:$I$52)+SUMPRODUCT($S$53:$S$53,$I$53:$I$53)+SUMPRODUCT($S$54:$S$56,$I$54:$I$56)+SUMPRODUCT($S$57:$S$59,$I$57:$I$59)+SUMPRODUCT($S$60:$S$60,$I$60:$I$60)+SUMPRODUCT($S$61:$S$61,$I$61:$I$61)+SUMPRODUCT($S$62:$S$63,$I$62:$I$63)),0,+SUMPRODUCT($S$5:$S$8,$I$5:$I$8)+SUMPRODUCT($S$9:$S$9,$I$9:$I$9)+SUMPRODUCT($S$10:$S$14,$I$10:$I$14)+SUMPRODUCT($S$15:$S$16,$I$15:$I$16)+SUMPRODUCT($S$17:$S$20,$I$17:$I$20)+SUMPRODUCT($S$21:$S$21,$I$21:$I$21)+SUMPRODUCT($S$22:$S$26,$I$22:$I$26)+SUMPRODUCT($S$27:$S$28,$I$27:$I$28)+SUMPRODUCT($S$29:$S$31,$I$29:$I$31)+SUMPRODUCT($S$32:$S$36,$I$32:$I$36)+SUMPRODUCT($S$37:$S$41,$I$37:$I$41)+SUMPRODUCT($S$42:$S$44,$I$42:$I$44)+SUMPRODUCT($S$45:$S$45,$I$45:$I$45)+SUMPRODUCT($S$46:$S$48,$I$46:$I$48)+SUMPRODUCT($S$49:$S$49,$I$49:$I$49)+SUMPRODUCT($S$50:$S$52,$I$50:$I$52)+SUMPRODUCT($S$53:$S$53,$I$53:$I$53)+SUMPRODUCT($S$54:$S$56,$I$54:$I$56)+SUMPRODUCT($S$57:$S$59,$I$57:$I$59)+SUMPRODUCT($S$60:$S$60,$I$60:$I$60)+SUMPRODUCT($S$61:$S$61,$I$61:$I$61)+SUMPRODUCT($S$62:$S$63,$I$62:$I$63))</f>
        <v>126355.71184999999</v>
      </c>
      <c r="T67" s="13"/>
      <c r="U67" s="13">
        <f>IF(ISERROR(+SUMPRODUCT($U$5:$U$8,$I$5:$I$8)+SUMPRODUCT($U$9:$U$9,$I$9:$I$9)+SUMPRODUCT($U$10:$U$14,$I$10:$I$14)+SUMPRODUCT($U$15:$U$16,$I$15:$I$16)+SUMPRODUCT($U$17:$U$20,$I$17:$I$20)+SUMPRODUCT($U$21:$U$21,$I$21:$I$21)+SUMPRODUCT($U$22:$U$26,$I$22:$I$26)+SUMPRODUCT($U$27:$U$28,$I$27:$I$28)+SUMPRODUCT($U$29:$U$31,$I$29:$I$31)+SUMPRODUCT($U$32:$U$36,$I$32:$I$36)+SUMPRODUCT($U$37:$U$41,$I$37:$I$41)+SUMPRODUCT($U$42:$U$44,$I$42:$I$44)+SUMPRODUCT($U$45:$U$45,$I$45:$I$45)+SUMPRODUCT($U$46:$U$48,$I$46:$I$48)+SUMPRODUCT($U$49:$U$49,$I$49:$I$49)+SUMPRODUCT($U$50:$U$52,$I$50:$I$52)+SUMPRODUCT($U$53:$U$53,$I$53:$I$53)+SUMPRODUCT($U$54:$U$56,$I$54:$I$56)+SUMPRODUCT($U$57:$U$59,$I$57:$I$59)+SUMPRODUCT($U$60:$U$60,$I$60:$I$60)+SUMPRODUCT($U$61:$U$61,$I$61:$I$61)+SUMPRODUCT($U$62:$U$63,$I$62:$I$63)),0,+SUMPRODUCT($U$5:$U$8,$I$5:$I$8)+SUMPRODUCT($U$9:$U$9,$I$9:$I$9)+SUMPRODUCT($U$10:$U$14,$I$10:$I$14)+SUMPRODUCT($U$15:$U$16,$I$15:$I$16)+SUMPRODUCT($U$17:$U$20,$I$17:$I$20)+SUMPRODUCT($U$21:$U$21,$I$21:$I$21)+SUMPRODUCT($U$22:$U$26,$I$22:$I$26)+SUMPRODUCT($U$27:$U$28,$I$27:$I$28)+SUMPRODUCT($U$29:$U$31,$I$29:$I$31)+SUMPRODUCT($U$32:$U$36,$I$32:$I$36)+SUMPRODUCT($U$37:$U$41,$I$37:$I$41)+SUMPRODUCT($U$42:$U$44,$I$42:$I$44)+SUMPRODUCT($U$45:$U$45,$I$45:$I$45)+SUMPRODUCT($U$46:$U$48,$I$46:$I$48)+SUMPRODUCT($U$49:$U$49,$I$49:$I$49)+SUMPRODUCT($U$50:$U$52,$I$50:$I$52)+SUMPRODUCT($U$53:$U$53,$I$53:$I$53)+SUMPRODUCT($U$54:$U$56,$I$54:$I$56)+SUMPRODUCT($U$57:$U$59,$I$57:$I$59)+SUMPRODUCT($U$60:$U$60,$I$60:$I$60)+SUMPRODUCT($U$61:$U$61,$I$61:$I$61)+SUMPRODUCT($U$62:$U$63,$I$62:$I$63))</f>
        <v>3561636.6859368095</v>
      </c>
      <c r="V67" s="13">
        <f>IF(ISERROR(+SUMPRODUCT($V$5:$V$8,$I$5:$I$8)+SUMPRODUCT($V$9:$V$9,$I$9:$I$9)+SUMPRODUCT($V$10:$V$14,$I$10:$I$14)+SUMPRODUCT($V$15:$V$16,$I$15:$I$16)+SUMPRODUCT($V$17:$V$20,$I$17:$I$20)+SUMPRODUCT($V$21:$V$21,$I$21:$I$21)+SUMPRODUCT($V$22:$V$26,$I$22:$I$26)+SUMPRODUCT($V$27:$V$28,$I$27:$I$28)+SUMPRODUCT($V$29:$V$31,$I$29:$I$31)+SUMPRODUCT($V$32:$V$36,$I$32:$I$36)+SUMPRODUCT($V$37:$V$41,$I$37:$I$41)+SUMPRODUCT($V$42:$V$44,$I$42:$I$44)+SUMPRODUCT($V$45:$V$45,$I$45:$I$45)+SUMPRODUCT($V$46:$V$48,$I$46:$I$48)+SUMPRODUCT($V$49:$V$49,$I$49:$I$49)+SUMPRODUCT($V$50:$V$52,$I$50:$I$52)+SUMPRODUCT($V$53:$V$53,$I$53:$I$53)+SUMPRODUCT($V$54:$V$56,$I$54:$I$56)+SUMPRODUCT($V$57:$V$59,$I$57:$I$59)+SUMPRODUCT($V$60:$V$60,$I$60:$I$60)+SUMPRODUCT($V$61:$V$61,$I$61:$I$61)+SUMPRODUCT($V$62:$V$63,$I$62:$I$63)),0,+SUMPRODUCT($V$5:$V$8,$I$5:$I$8)+SUMPRODUCT($V$9:$V$9,$I$9:$I$9)+SUMPRODUCT($V$10:$V$14,$I$10:$I$14)+SUMPRODUCT($V$15:$V$16,$I$15:$I$16)+SUMPRODUCT($V$17:$V$20,$I$17:$I$20)+SUMPRODUCT($V$21:$V$21,$I$21:$I$21)+SUMPRODUCT($V$22:$V$26,$I$22:$I$26)+SUMPRODUCT($V$27:$V$28,$I$27:$I$28)+SUMPRODUCT($V$29:$V$31,$I$29:$I$31)+SUMPRODUCT($V$32:$V$36,$I$32:$I$36)+SUMPRODUCT($V$37:$V$41,$I$37:$I$41)+SUMPRODUCT($V$42:$V$44,$I$42:$I$44)+SUMPRODUCT($V$45:$V$45,$I$45:$I$45)+SUMPRODUCT($V$46:$V$48,$I$46:$I$48)+SUMPRODUCT($V$49:$V$49,$I$49:$I$49)+SUMPRODUCT($V$50:$V$52,$I$50:$I$52)+SUMPRODUCT($V$53:$V$53,$I$53:$I$53)+SUMPRODUCT($V$54:$V$56,$I$54:$I$56)+SUMPRODUCT($V$57:$V$59,$I$57:$I$59)+SUMPRODUCT($V$60:$V$60,$I$60:$I$60)+SUMPRODUCT($V$61:$V$61,$I$61:$I$61)+SUMPRODUCT($V$62:$V$63,$I$62:$I$63))</f>
        <v>1909548.6597594102</v>
      </c>
      <c r="W67" s="13">
        <f>IF(ISERROR(+SUMPRODUCT($W$5:$W$8,$I$5:$I$8)+SUMPRODUCT($W$9:$W$9,$I$9:$I$9)+SUMPRODUCT($W$10:$W$14,$I$10:$I$14)+SUMPRODUCT($W$15:$W$16,$I$15:$I$16)+SUMPRODUCT($W$17:$W$20,$I$17:$I$20)+SUMPRODUCT($W$21:$W$21,$I$21:$I$21)+SUMPRODUCT($W$22:$W$26,$I$22:$I$26)+SUMPRODUCT($W$27:$W$28,$I$27:$I$28)+SUMPRODUCT($W$29:$W$31,$I$29:$I$31)+SUMPRODUCT($W$32:$W$36,$I$32:$I$36)+SUMPRODUCT($W$37:$W$41,$I$37:$I$41)+SUMPRODUCT($W$42:$W$44,$I$42:$I$44)+SUMPRODUCT($W$45:$W$45,$I$45:$I$45)+SUMPRODUCT($W$46:$W$48,$I$46:$I$48)+SUMPRODUCT($W$49:$W$49,$I$49:$I$49)+SUMPRODUCT($W$50:$W$52,$I$50:$I$52)+SUMPRODUCT($W$53:$W$53,$I$53:$I$53)+SUMPRODUCT($W$54:$W$56,$I$54:$I$56)+SUMPRODUCT($W$57:$W$59,$I$57:$I$59)+SUMPRODUCT($W$60:$W$60,$I$60:$I$60)+SUMPRODUCT($W$61:$W$61,$I$61:$I$61)+SUMPRODUCT($W$62:$W$63,$I$62:$I$63)),0,+SUMPRODUCT($W$5:$W$8,$I$5:$I$8)+SUMPRODUCT($W$9:$W$9,$I$9:$I$9)+SUMPRODUCT($W$10:$W$14,$I$10:$I$14)+SUMPRODUCT($W$15:$W$16,$I$15:$I$16)+SUMPRODUCT($W$17:$W$20,$I$17:$I$20)+SUMPRODUCT($W$21:$W$21,$I$21:$I$21)+SUMPRODUCT($W$22:$W$26,$I$22:$I$26)+SUMPRODUCT($W$27:$W$28,$I$27:$I$28)+SUMPRODUCT($W$29:$W$31,$I$29:$I$31)+SUMPRODUCT($W$32:$W$36,$I$32:$I$36)+SUMPRODUCT($W$37:$W$41,$I$37:$I$41)+SUMPRODUCT($W$42:$W$44,$I$42:$I$44)+SUMPRODUCT($W$45:$W$45,$I$45:$I$45)+SUMPRODUCT($W$46:$W$48,$I$46:$I$48)+SUMPRODUCT($W$49:$W$49,$I$49:$I$49)+SUMPRODUCT($W$50:$W$52,$I$50:$I$52)+SUMPRODUCT($W$53:$W$53,$I$53:$I$53)+SUMPRODUCT($W$54:$W$56,$I$54:$I$56)+SUMPRODUCT($W$57:$W$59,$I$57:$I$59)+SUMPRODUCT($W$60:$W$60,$I$60:$I$60)+SUMPRODUCT($W$61:$W$61,$I$61:$I$61)+SUMPRODUCT($W$62:$W$63,$I$62:$I$63))</f>
        <v>0</v>
      </c>
      <c r="X67" s="13">
        <f>IF(ISERROR(+SUMPRODUCT($X$5:$X$8,$I$5:$I$8)+SUMPRODUCT($X$9:$X$9,$I$9:$I$9)+SUMPRODUCT($X$10:$X$14,$I$10:$I$14)+SUMPRODUCT($X$15:$X$16,$I$15:$I$16)+SUMPRODUCT($X$17:$X$20,$I$17:$I$20)+SUMPRODUCT($X$21:$X$21,$I$21:$I$21)+SUMPRODUCT($X$22:$X$26,$I$22:$I$26)+SUMPRODUCT($X$27:$X$28,$I$27:$I$28)+SUMPRODUCT($X$29:$X$31,$I$29:$I$31)+SUMPRODUCT($X$32:$X$36,$I$32:$I$36)+SUMPRODUCT($X$37:$X$41,$I$37:$I$41)+SUMPRODUCT($X$42:$X$44,$I$42:$I$44)+SUMPRODUCT($X$45:$X$45,$I$45:$I$45)+SUMPRODUCT($X$46:$X$48,$I$46:$I$48)+SUMPRODUCT($X$49:$X$49,$I$49:$I$49)+SUMPRODUCT($X$50:$X$52,$I$50:$I$52)+SUMPRODUCT($X$53:$X$53,$I$53:$I$53)+SUMPRODUCT($X$54:$X$56,$I$54:$I$56)+SUMPRODUCT($X$57:$X$59,$I$57:$I$59)+SUMPRODUCT($X$60:$X$60,$I$60:$I$60)+SUMPRODUCT($X$61:$X$61,$I$61:$I$61)+SUMPRODUCT($X$62:$X$63,$I$62:$I$63)),0,+SUMPRODUCT($X$5:$X$8,$I$5:$I$8)+SUMPRODUCT($X$9:$X$9,$I$9:$I$9)+SUMPRODUCT($X$10:$X$14,$I$10:$I$14)+SUMPRODUCT($X$15:$X$16,$I$15:$I$16)+SUMPRODUCT($X$17:$X$20,$I$17:$I$20)+SUMPRODUCT($X$21:$X$21,$I$21:$I$21)+SUMPRODUCT($X$22:$X$26,$I$22:$I$26)+SUMPRODUCT($X$27:$X$28,$I$27:$I$28)+SUMPRODUCT($X$29:$X$31,$I$29:$I$31)+SUMPRODUCT($X$32:$X$36,$I$32:$I$36)+SUMPRODUCT($X$37:$X$41,$I$37:$I$41)+SUMPRODUCT($X$42:$X$44,$I$42:$I$44)+SUMPRODUCT($X$45:$X$45,$I$45:$I$45)+SUMPRODUCT($X$46:$X$48,$I$46:$I$48)+SUMPRODUCT($X$49:$X$49,$I$49:$I$49)+SUMPRODUCT($X$50:$X$52,$I$50:$I$52)+SUMPRODUCT($X$53:$X$53,$I$53:$I$53)+SUMPRODUCT($X$54:$X$56,$I$54:$I$56)+SUMPRODUCT($X$57:$X$59,$I$57:$I$59)+SUMPRODUCT($X$60:$X$60,$I$60:$I$60)+SUMPRODUCT($X$61:$X$61,$I$61:$I$61)+SUMPRODUCT($X$62:$X$63,$I$62:$I$63))</f>
        <v>0</v>
      </c>
      <c r="Y67" s="13">
        <f>IF(ISERROR(+SUMPRODUCT($Y$5:$Y$8,$I$5:$I$8)+SUMPRODUCT($Y$9:$Y$9,$I$9:$I$9)+SUMPRODUCT($Y$10:$Y$14,$I$10:$I$14)+SUMPRODUCT($Y$15:$Y$16,$I$15:$I$16)+SUMPRODUCT($Y$17:$Y$20,$I$17:$I$20)+SUMPRODUCT($Y$21:$Y$21,$I$21:$I$21)+SUMPRODUCT($Y$22:$Y$26,$I$22:$I$26)+SUMPRODUCT($Y$27:$Y$28,$I$27:$I$28)+SUMPRODUCT($Y$29:$Y$31,$I$29:$I$31)+SUMPRODUCT($Y$32:$Y$36,$I$32:$I$36)+SUMPRODUCT($Y$37:$Y$41,$I$37:$I$41)+SUMPRODUCT($Y$42:$Y$44,$I$42:$I$44)+SUMPRODUCT($Y$45:$Y$45,$I$45:$I$45)+SUMPRODUCT($Y$46:$Y$48,$I$46:$I$48)+SUMPRODUCT($Y$49:$Y$49,$I$49:$I$49)+SUMPRODUCT($Y$50:$Y$52,$I$50:$I$52)+SUMPRODUCT($Y$53:$Y$53,$I$53:$I$53)+SUMPRODUCT($Y$54:$Y$56,$I$54:$I$56)+SUMPRODUCT($Y$57:$Y$59,$I$57:$I$59)+SUMPRODUCT($Y$60:$Y$60,$I$60:$I$60)+SUMPRODUCT($Y$61:$Y$61,$I$61:$I$61)+SUMPRODUCT($Y$62:$Y$63,$I$62:$I$63)),0,+SUMPRODUCT($Y$5:$Y$8,$I$5:$I$8)+SUMPRODUCT($Y$9:$Y$9,$I$9:$I$9)+SUMPRODUCT($Y$10:$Y$14,$I$10:$I$14)+SUMPRODUCT($Y$15:$Y$16,$I$15:$I$16)+SUMPRODUCT($Y$17:$Y$20,$I$17:$I$20)+SUMPRODUCT($Y$21:$Y$21,$I$21:$I$21)+SUMPRODUCT($Y$22:$Y$26,$I$22:$I$26)+SUMPRODUCT($Y$27:$Y$28,$I$27:$I$28)+SUMPRODUCT($Y$29:$Y$31,$I$29:$I$31)+SUMPRODUCT($Y$32:$Y$36,$I$32:$I$36)+SUMPRODUCT($Y$37:$Y$41,$I$37:$I$41)+SUMPRODUCT($Y$42:$Y$44,$I$42:$I$44)+SUMPRODUCT($Y$45:$Y$45,$I$45:$I$45)+SUMPRODUCT($Y$46:$Y$48,$I$46:$I$48)+SUMPRODUCT($Y$49:$Y$49,$I$49:$I$49)+SUMPRODUCT($Y$50:$Y$52,$I$50:$I$52)+SUMPRODUCT($Y$53:$Y$53,$I$53:$I$53)+SUMPRODUCT($Y$54:$Y$56,$I$54:$I$56)+SUMPRODUCT($Y$57:$Y$59,$I$57:$I$59)+SUMPRODUCT($Y$60:$Y$60,$I$60:$I$60)+SUMPRODUCT($Y$61:$Y$61,$I$61:$I$61)+SUMPRODUCT($Y$62:$Y$63,$I$62:$I$63))</f>
        <v>0</v>
      </c>
      <c r="Z67" s="13">
        <f>IF(ISERROR(+SUMPRODUCT($Z$5:$Z$8,$I$5:$I$8)+SUMPRODUCT($Z$9:$Z$9,$I$9:$I$9)+SUMPRODUCT($Z$10:$Z$14,$I$10:$I$14)+SUMPRODUCT($Z$15:$Z$16,$I$15:$I$16)+SUMPRODUCT($Z$17:$Z$20,$I$17:$I$20)+SUMPRODUCT($Z$21:$Z$21,$I$21:$I$21)+SUMPRODUCT($Z$22:$Z$26,$I$22:$I$26)+SUMPRODUCT($Z$27:$Z$28,$I$27:$I$28)+SUMPRODUCT($Z$29:$Z$31,$I$29:$I$31)+SUMPRODUCT($Z$32:$Z$36,$I$32:$I$36)+SUMPRODUCT($Z$37:$Z$41,$I$37:$I$41)+SUMPRODUCT($Z$42:$Z$44,$I$42:$I$44)+SUMPRODUCT($Z$45:$Z$45,$I$45:$I$45)+SUMPRODUCT($Z$46:$Z$48,$I$46:$I$48)+SUMPRODUCT($Z$49:$Z$49,$I$49:$I$49)+SUMPRODUCT($Z$50:$Z$52,$I$50:$I$52)+SUMPRODUCT($Z$53:$Z$53,$I$53:$I$53)+SUMPRODUCT($Z$54:$Z$56,$I$54:$I$56)+SUMPRODUCT($Z$57:$Z$59,$I$57:$I$59)+SUMPRODUCT($Z$60:$Z$60,$I$60:$I$60)+SUMPRODUCT($Z$61:$Z$61,$I$61:$I$61)+SUMPRODUCT($Z$62:$Z$63,$I$62:$I$63)),0,+SUMPRODUCT($Z$5:$Z$8,$I$5:$I$8)+SUMPRODUCT($Z$9:$Z$9,$I$9:$I$9)+SUMPRODUCT($Z$10:$Z$14,$I$10:$I$14)+SUMPRODUCT($Z$15:$Z$16,$I$15:$I$16)+SUMPRODUCT($Z$17:$Z$20,$I$17:$I$20)+SUMPRODUCT($Z$21:$Z$21,$I$21:$I$21)+SUMPRODUCT($Z$22:$Z$26,$I$22:$I$26)+SUMPRODUCT($Z$27:$Z$28,$I$27:$I$28)+SUMPRODUCT($Z$29:$Z$31,$I$29:$I$31)+SUMPRODUCT($Z$32:$Z$36,$I$32:$I$36)+SUMPRODUCT($Z$37:$Z$41,$I$37:$I$41)+SUMPRODUCT($Z$42:$Z$44,$I$42:$I$44)+SUMPRODUCT($Z$45:$Z$45,$I$45:$I$45)+SUMPRODUCT($Z$46:$Z$48,$I$46:$I$48)+SUMPRODUCT($Z$49:$Z$49,$I$49:$I$49)+SUMPRODUCT($Z$50:$Z$52,$I$50:$I$52)+SUMPRODUCT($Z$53:$Z$53,$I$53:$I$53)+SUMPRODUCT($Z$54:$Z$56,$I$54:$I$56)+SUMPRODUCT($Z$57:$Z$59,$I$57:$I$59)+SUMPRODUCT($Z$60:$Z$60,$I$60:$I$60)+SUMPRODUCT($Z$61:$Z$61,$I$61:$I$61)+SUMPRODUCT($Z$62:$Z$63,$I$62:$I$63))</f>
        <v>0</v>
      </c>
      <c r="AA67" s="13">
        <f>IF(ISERROR(+SUMPRODUCT($AA$5:$AA$8,$I$5:$I$8)+SUMPRODUCT($AA$9:$AA$9,$I$9:$I$9)+SUMPRODUCT($AA$10:$AA$14,$I$10:$I$14)+SUMPRODUCT($AA$15:$AA$16,$I$15:$I$16)+SUMPRODUCT($AA$17:$AA$20,$I$17:$I$20)+SUMPRODUCT($AA$21:$AA$21,$I$21:$I$21)+SUMPRODUCT($AA$22:$AA$26,$I$22:$I$26)+SUMPRODUCT($AA$27:$AA$28,$I$27:$I$28)+SUMPRODUCT($AA$29:$AA$31,$I$29:$I$31)+SUMPRODUCT($AA$32:$AA$36,$I$32:$I$36)+SUMPRODUCT($AA$37:$AA$41,$I$37:$I$41)+SUMPRODUCT($AA$42:$AA$44,$I$42:$I$44)+SUMPRODUCT($AA$45:$AA$45,$I$45:$I$45)+SUMPRODUCT($AA$46:$AA$48,$I$46:$I$48)+SUMPRODUCT($AA$49:$AA$49,$I$49:$I$49)+SUMPRODUCT($AA$50:$AA$52,$I$50:$I$52)+SUMPRODUCT($AA$53:$AA$53,$I$53:$I$53)+SUMPRODUCT($AA$54:$AA$56,$I$54:$I$56)+SUMPRODUCT($AA$57:$AA$59,$I$57:$I$59)+SUMPRODUCT($AA$60:$AA$60,$I$60:$I$60)+SUMPRODUCT($AA$61:$AA$61,$I$61:$I$61)+SUMPRODUCT($AA$62:$AA$63,$I$62:$I$63)),0,+SUMPRODUCT($AA$5:$AA$8,$I$5:$I$8)+SUMPRODUCT($AA$9:$AA$9,$I$9:$I$9)+SUMPRODUCT($AA$10:$AA$14,$I$10:$I$14)+SUMPRODUCT($AA$15:$AA$16,$I$15:$I$16)+SUMPRODUCT($AA$17:$AA$20,$I$17:$I$20)+SUMPRODUCT($AA$21:$AA$21,$I$21:$I$21)+SUMPRODUCT($AA$22:$AA$26,$I$22:$I$26)+SUMPRODUCT($AA$27:$AA$28,$I$27:$I$28)+SUMPRODUCT($AA$29:$AA$31,$I$29:$I$31)+SUMPRODUCT($AA$32:$AA$36,$I$32:$I$36)+SUMPRODUCT($AA$37:$AA$41,$I$37:$I$41)+SUMPRODUCT($AA$42:$AA$44,$I$42:$I$44)+SUMPRODUCT($AA$45:$AA$45,$I$45:$I$45)+SUMPRODUCT($AA$46:$AA$48,$I$46:$I$48)+SUMPRODUCT($AA$49:$AA$49,$I$49:$I$49)+SUMPRODUCT($AA$50:$AA$52,$I$50:$I$52)+SUMPRODUCT($AA$53:$AA$53,$I$53:$I$53)+SUMPRODUCT($AA$54:$AA$56,$I$54:$I$56)+SUMPRODUCT($AA$57:$AA$59,$I$57:$I$59)+SUMPRODUCT($AA$60:$AA$60,$I$60:$I$60)+SUMPRODUCT($AA$61:$AA$61,$I$61:$I$61)+SUMPRODUCT($AA$62:$AA$63,$I$62:$I$63))</f>
        <v>0</v>
      </c>
      <c r="AB67" s="13"/>
      <c r="AC67" s="13">
        <f>IF(ISERROR(+SUMPRODUCT($AC$5:$AC$8,$I$5:$I$8)+SUMPRODUCT($AC$9:$AC$9,$I$9:$I$9)+SUMPRODUCT($AC$10:$AC$14,$I$10:$I$14)+SUMPRODUCT($AC$15:$AC$16,$I$15:$I$16)+SUMPRODUCT($AC$17:$AC$20,$I$17:$I$20)+SUMPRODUCT($AC$21:$AC$21,$I$21:$I$21)+SUMPRODUCT($AC$22:$AC$26,$I$22:$I$26)+SUMPRODUCT($AC$27:$AC$28,$I$27:$I$28)+SUMPRODUCT($AC$29:$AC$31,$I$29:$I$31)+SUMPRODUCT($AC$32:$AC$36,$I$32:$I$36)+SUMPRODUCT($AC$37:$AC$41,$I$37:$I$41)+SUMPRODUCT($AC$42:$AC$44,$I$42:$I$44)+SUMPRODUCT($AC$45:$AC$45,$I$45:$I$45)+SUMPRODUCT($AC$46:$AC$48,$I$46:$I$48)+SUMPRODUCT($AC$49:$AC$49,$I$49:$I$49)+SUMPRODUCT($AC$50:$AC$52,$I$50:$I$52)+SUMPRODUCT($AC$53:$AC$53,$I$53:$I$53)+SUMPRODUCT($AC$54:$AC$56,$I$54:$I$56)+SUMPRODUCT($AC$57:$AC$59,$I$57:$I$59)+SUMPRODUCT($AC$60:$AC$60,$I$60:$I$60)+SUMPRODUCT($AC$61:$AC$61,$I$61:$I$61)+SUMPRODUCT($AC$62:$AC$63,$I$62:$I$63)),0,+SUMPRODUCT($AC$5:$AC$8,$I$5:$I$8)+SUMPRODUCT($AC$9:$AC$9,$I$9:$I$9)+SUMPRODUCT($AC$10:$AC$14,$I$10:$I$14)+SUMPRODUCT($AC$15:$AC$16,$I$15:$I$16)+SUMPRODUCT($AC$17:$AC$20,$I$17:$I$20)+SUMPRODUCT($AC$21:$AC$21,$I$21:$I$21)+SUMPRODUCT($AC$22:$AC$26,$I$22:$I$26)+SUMPRODUCT($AC$27:$AC$28,$I$27:$I$28)+SUMPRODUCT($AC$29:$AC$31,$I$29:$I$31)+SUMPRODUCT($AC$32:$AC$36,$I$32:$I$36)+SUMPRODUCT($AC$37:$AC$41,$I$37:$I$41)+SUMPRODUCT($AC$42:$AC$44,$I$42:$I$44)+SUMPRODUCT($AC$45:$AC$45,$I$45:$I$45)+SUMPRODUCT($AC$46:$AC$48,$I$46:$I$48)+SUMPRODUCT($AC$49:$AC$49,$I$49:$I$49)+SUMPRODUCT($AC$50:$AC$52,$I$50:$I$52)+SUMPRODUCT($AC$53:$AC$53,$I$53:$I$53)+SUMPRODUCT($AC$54:$AC$56,$I$54:$I$56)+SUMPRODUCT($AC$57:$AC$59,$I$57:$I$59)+SUMPRODUCT($AC$60:$AC$60,$I$60:$I$60)+SUMPRODUCT($AC$61:$AC$61,$I$61:$I$61)+SUMPRODUCT($AC$62:$AC$63,$I$62:$I$63))</f>
        <v>25087569.448305476</v>
      </c>
      <c r="AD67" s="13"/>
      <c r="AE67" s="13">
        <f>IF(ISERROR(+SUMPRODUCT($AE$5:$AE$8,$I$5:$I$8)+SUMPRODUCT($AE$9:$AE$9,$I$9:$I$9)+SUMPRODUCT($AE$10:$AE$14,$I$10:$I$14)+SUMPRODUCT($AE$15:$AE$16,$I$15:$I$16)+SUMPRODUCT($AE$17:$AE$20,$I$17:$I$20)+SUMPRODUCT($AE$21:$AE$21,$I$21:$I$21)+SUMPRODUCT($AE$22:$AE$26,$I$22:$I$26)+SUMPRODUCT($AE$27:$AE$28,$I$27:$I$28)+SUMPRODUCT($AE$29:$AE$31,$I$29:$I$31)+SUMPRODUCT($AE$32:$AE$36,$I$32:$I$36)+SUMPRODUCT($AE$37:$AE$41,$I$37:$I$41)+SUMPRODUCT($AE$42:$AE$44,$I$42:$I$44)+SUMPRODUCT($AE$45:$AE$45,$I$45:$I$45)+SUMPRODUCT($AE$46:$AE$48,$I$46:$I$48)+SUMPRODUCT($AE$49:$AE$49,$I$49:$I$49)+SUMPRODUCT($AE$50:$AE$52,$I$50:$I$52)+SUMPRODUCT($AE$53:$AE$53,$I$53:$I$53)+SUMPRODUCT($AE$54:$AE$56,$I$54:$I$56)+SUMPRODUCT($AE$57:$AE$59,$I$57:$I$59)+SUMPRODUCT($AE$60:$AE$60,$I$60:$I$60)+SUMPRODUCT($AE$61:$AE$61,$I$61:$I$61)+SUMPRODUCT($AE$62:$AE$63,$I$62:$I$63)),0,+SUMPRODUCT($AE$5:$AE$8,$I$5:$I$8)+SUMPRODUCT($AE$9:$AE$9,$I$9:$I$9)+SUMPRODUCT($AE$10:$AE$14,$I$10:$I$14)+SUMPRODUCT($AE$15:$AE$16,$I$15:$I$16)+SUMPRODUCT($AE$17:$AE$20,$I$17:$I$20)+SUMPRODUCT($AE$21:$AE$21,$I$21:$I$21)+SUMPRODUCT($AE$22:$AE$26,$I$22:$I$26)+SUMPRODUCT($AE$27:$AE$28,$I$27:$I$28)+SUMPRODUCT($AE$29:$AE$31,$I$29:$I$31)+SUMPRODUCT($AE$32:$AE$36,$I$32:$I$36)+SUMPRODUCT($AE$37:$AE$41,$I$37:$I$41)+SUMPRODUCT($AE$42:$AE$44,$I$42:$I$44)+SUMPRODUCT($AE$45:$AE$45,$I$45:$I$45)+SUMPRODUCT($AE$46:$AE$48,$I$46:$I$48)+SUMPRODUCT($AE$49:$AE$49,$I$49:$I$49)+SUMPRODUCT($AE$50:$AE$52,$I$50:$I$52)+SUMPRODUCT($AE$53:$AE$53,$I$53:$I$53)+SUMPRODUCT($AE$54:$AE$56,$I$54:$I$56)+SUMPRODUCT($AE$57:$AE$59,$I$57:$I$59)+SUMPRODUCT($AE$60:$AE$60,$I$60:$I$60)+SUMPRODUCT($AE$61:$AE$61,$I$61:$I$61)+SUMPRODUCT($AE$62:$AE$63,$I$62:$I$63))</f>
        <v>0</v>
      </c>
      <c r="AF67" s="13">
        <f>IF(ISERROR(+SUMPRODUCT($AF$5:$AF$8,$I$5:$I$8)+SUMPRODUCT($AF$9:$AF$9,$I$9:$I$9)+SUMPRODUCT($AF$10:$AF$14,$I$10:$I$14)+SUMPRODUCT($AF$15:$AF$16,$I$15:$I$16)+SUMPRODUCT($AF$17:$AF$20,$I$17:$I$20)+SUMPRODUCT($AF$21:$AF$21,$I$21:$I$21)+SUMPRODUCT($AF$22:$AF$26,$I$22:$I$26)+SUMPRODUCT($AF$27:$AF$28,$I$27:$I$28)+SUMPRODUCT($AF$29:$AF$31,$I$29:$I$31)+SUMPRODUCT($AF$32:$AF$36,$I$32:$I$36)+SUMPRODUCT($AF$37:$AF$41,$I$37:$I$41)+SUMPRODUCT($AF$42:$AF$44,$I$42:$I$44)+SUMPRODUCT($AF$45:$AF$45,$I$45:$I$45)+SUMPRODUCT($AF$46:$AF$48,$I$46:$I$48)+SUMPRODUCT($AF$49:$AF$49,$I$49:$I$49)+SUMPRODUCT($AF$50:$AF$52,$I$50:$I$52)+SUMPRODUCT($AF$53:$AF$53,$I$53:$I$53)+SUMPRODUCT($AF$54:$AF$56,$I$54:$I$56)+SUMPRODUCT($AF$57:$AF$59,$I$57:$I$59)+SUMPRODUCT($AF$60:$AF$60,$I$60:$I$60)+SUMPRODUCT($AF$61:$AF$61,$I$61:$I$61)+SUMPRODUCT($AF$62:$AF$63,$I$62:$I$63)),0,+SUMPRODUCT($AF$5:$AF$8,$I$5:$I$8)+SUMPRODUCT($AF$9:$AF$9,$I$9:$I$9)+SUMPRODUCT($AF$10:$AF$14,$I$10:$I$14)+SUMPRODUCT($AF$15:$AF$16,$I$15:$I$16)+SUMPRODUCT($AF$17:$AF$20,$I$17:$I$20)+SUMPRODUCT($AF$21:$AF$21,$I$21:$I$21)+SUMPRODUCT($AF$22:$AF$26,$I$22:$I$26)+SUMPRODUCT($AF$27:$AF$28,$I$27:$I$28)+SUMPRODUCT($AF$29:$AF$31,$I$29:$I$31)+SUMPRODUCT($AF$32:$AF$36,$I$32:$I$36)+SUMPRODUCT($AF$37:$AF$41,$I$37:$I$41)+SUMPRODUCT($AF$42:$AF$44,$I$42:$I$44)+SUMPRODUCT($AF$45:$AF$45,$I$45:$I$45)+SUMPRODUCT($AF$46:$AF$48,$I$46:$I$48)+SUMPRODUCT($AF$49:$AF$49,$I$49:$I$49)+SUMPRODUCT($AF$50:$AF$52,$I$50:$I$52)+SUMPRODUCT($AF$53:$AF$53,$I$53:$I$53)+SUMPRODUCT($AF$54:$AF$56,$I$54:$I$56)+SUMPRODUCT($AF$57:$AF$59,$I$57:$I$59)+SUMPRODUCT($AF$60:$AF$60,$I$60:$I$60)+SUMPRODUCT($AF$61:$AF$61,$I$61:$I$61)+SUMPRODUCT($AF$62:$AF$63,$I$62:$I$63))</f>
        <v>0</v>
      </c>
      <c r="AG67" s="13"/>
      <c r="AH67" s="13">
        <f>IF(ISERROR(+SUMPRODUCT($AH$5:$AH$8,$I$5:$I$8)+SUMPRODUCT($AH$9:$AH$9,$I$9:$I$9)+SUMPRODUCT($AH$10:$AH$14,$I$10:$I$14)+SUMPRODUCT($AH$15:$AH$16,$I$15:$I$16)+SUMPRODUCT($AH$17:$AH$20,$I$17:$I$20)+SUMPRODUCT($AH$21:$AH$21,$I$21:$I$21)+SUMPRODUCT($AH$22:$AH$26,$I$22:$I$26)+SUMPRODUCT($AH$27:$AH$28,$I$27:$I$28)+SUMPRODUCT($AH$29:$AH$31,$I$29:$I$31)+SUMPRODUCT($AH$32:$AH$36,$I$32:$I$36)+SUMPRODUCT($AH$37:$AH$41,$I$37:$I$41)+SUMPRODUCT($AH$42:$AH$44,$I$42:$I$44)+SUMPRODUCT($AH$45:$AH$45,$I$45:$I$45)+SUMPRODUCT($AH$46:$AH$48,$I$46:$I$48)+SUMPRODUCT($AH$49:$AH$49,$I$49:$I$49)+SUMPRODUCT($AH$50:$AH$52,$I$50:$I$52)+SUMPRODUCT($AH$53:$AH$53,$I$53:$I$53)+SUMPRODUCT($AH$54:$AH$56,$I$54:$I$56)+SUMPRODUCT($AH$57:$AH$59,$I$57:$I$59)+SUMPRODUCT($AH$60:$AH$60,$I$60:$I$60)+SUMPRODUCT($AH$61:$AH$61,$I$61:$I$61)+SUMPRODUCT($AH$62:$AH$63,$I$62:$I$63)),0,+SUMPRODUCT($AH$5:$AH$8,$I$5:$I$8)+SUMPRODUCT($AH$9:$AH$9,$I$9:$I$9)+SUMPRODUCT($AH$10:$AH$14,$I$10:$I$14)+SUMPRODUCT($AH$15:$AH$16,$I$15:$I$16)+SUMPRODUCT($AH$17:$AH$20,$I$17:$I$20)+SUMPRODUCT($AH$21:$AH$21,$I$21:$I$21)+SUMPRODUCT($AH$22:$AH$26,$I$22:$I$26)+SUMPRODUCT($AH$27:$AH$28,$I$27:$I$28)+SUMPRODUCT($AH$29:$AH$31,$I$29:$I$31)+SUMPRODUCT($AH$32:$AH$36,$I$32:$I$36)+SUMPRODUCT($AH$37:$AH$41,$I$37:$I$41)+SUMPRODUCT($AH$42:$AH$44,$I$42:$I$44)+SUMPRODUCT($AH$45:$AH$45,$I$45:$I$45)+SUMPRODUCT($AH$46:$AH$48,$I$46:$I$48)+SUMPRODUCT($AH$49:$AH$49,$I$49:$I$49)+SUMPRODUCT($AH$50:$AH$52,$I$50:$I$52)+SUMPRODUCT($AH$53:$AH$53,$I$53:$I$53)+SUMPRODUCT($AH$54:$AH$56,$I$54:$I$56)+SUMPRODUCT($AH$57:$AH$59,$I$57:$I$59)+SUMPRODUCT($AH$60:$AH$60,$I$60:$I$60)+SUMPRODUCT($AH$61:$AH$61,$I$61:$I$61)+SUMPRODUCT($AH$62:$AH$63,$I$62:$I$63))</f>
        <v>2525488.61759282</v>
      </c>
      <c r="AI67" s="13">
        <f>IF(ISERROR(+SUMPRODUCT($AI$5:$AI$8,$I$5:$I$8)+SUMPRODUCT($AI$9:$AI$9,$I$9:$I$9)+SUMPRODUCT($AI$10:$AI$14,$I$10:$I$14)+SUMPRODUCT($AI$15:$AI$16,$I$15:$I$16)+SUMPRODUCT($AI$17:$AI$20,$I$17:$I$20)+SUMPRODUCT($AI$21:$AI$21,$I$21:$I$21)+SUMPRODUCT($AI$22:$AI$26,$I$22:$I$26)+SUMPRODUCT($AI$27:$AI$28,$I$27:$I$28)+SUMPRODUCT($AI$29:$AI$31,$I$29:$I$31)+SUMPRODUCT($AI$32:$AI$36,$I$32:$I$36)+SUMPRODUCT($AI$37:$AI$41,$I$37:$I$41)+SUMPRODUCT($AI$42:$AI$44,$I$42:$I$44)+SUMPRODUCT($AI$45:$AI$45,$I$45:$I$45)+SUMPRODUCT($AI$46:$AI$48,$I$46:$I$48)+SUMPRODUCT($AI$49:$AI$49,$I$49:$I$49)+SUMPRODUCT($AI$50:$AI$52,$I$50:$I$52)+SUMPRODUCT($AI$53:$AI$53,$I$53:$I$53)+SUMPRODUCT($AI$54:$AI$56,$I$54:$I$56)+SUMPRODUCT($AI$57:$AI$59,$I$57:$I$59)+SUMPRODUCT($AI$60:$AI$60,$I$60:$I$60)+SUMPRODUCT($AI$61:$AI$61,$I$61:$I$61)+SUMPRODUCT($AI$62:$AI$63,$I$62:$I$63)),0,+SUMPRODUCT($AI$5:$AI$8,$I$5:$I$8)+SUMPRODUCT($AI$9:$AI$9,$I$9:$I$9)+SUMPRODUCT($AI$10:$AI$14,$I$10:$I$14)+SUMPRODUCT($AI$15:$AI$16,$I$15:$I$16)+SUMPRODUCT($AI$17:$AI$20,$I$17:$I$20)+SUMPRODUCT($AI$21:$AI$21,$I$21:$I$21)+SUMPRODUCT($AI$22:$AI$26,$I$22:$I$26)+SUMPRODUCT($AI$27:$AI$28,$I$27:$I$28)+SUMPRODUCT($AI$29:$AI$31,$I$29:$I$31)+SUMPRODUCT($AI$32:$AI$36,$I$32:$I$36)+SUMPRODUCT($AI$37:$AI$41,$I$37:$I$41)+SUMPRODUCT($AI$42:$AI$44,$I$42:$I$44)+SUMPRODUCT($AI$45:$AI$45,$I$45:$I$45)+SUMPRODUCT($AI$46:$AI$48,$I$46:$I$48)+SUMPRODUCT($AI$49:$AI$49,$I$49:$I$49)+SUMPRODUCT($AI$50:$AI$52,$I$50:$I$52)+SUMPRODUCT($AI$53:$AI$53,$I$53:$I$53)+SUMPRODUCT($AI$54:$AI$56,$I$54:$I$56)+SUMPRODUCT($AI$57:$AI$59,$I$57:$I$59)+SUMPRODUCT($AI$60:$AI$60,$I$60:$I$60)+SUMPRODUCT($AI$61:$AI$61,$I$61:$I$61)+SUMPRODUCT($AI$62:$AI$63,$I$62:$I$63))</f>
        <v>2525253.8375928202</v>
      </c>
      <c r="AJ67" s="13">
        <f ca="1">IF(ISERROR(+SUMPRODUCT($AJ$5:$AJ$8,$I$5:$I$8)+SUMPRODUCT($AJ$9:$AJ$9,$I$9:$I$9)+SUMPRODUCT($AJ$10:$AJ$14,$I$10:$I$14)+SUMPRODUCT($AJ$15:$AJ$16,$I$15:$I$16)+SUMPRODUCT($AJ$17:$AJ$20,$I$17:$I$20)+SUMPRODUCT($AJ$21:$AJ$21,$I$21:$I$21)+SUMPRODUCT($AJ$22:$AJ$26,$I$22:$I$26)+SUMPRODUCT($AJ$27:$AJ$28,$I$27:$I$28)+SUMPRODUCT($AJ$29:$AJ$31,$I$29:$I$31)+SUMPRODUCT($AJ$32:$AJ$36,$I$32:$I$36)+SUMPRODUCT($AJ$37:$AJ$41,$I$37:$I$41)+SUMPRODUCT($AJ$42:$AJ$44,$I$42:$I$44)+SUMPRODUCT($AJ$45:$AJ$45,$I$45:$I$45)+SUMPRODUCT($AJ$46:$AJ$48,$I$46:$I$48)+SUMPRODUCT($AJ$49:$AJ$49,$I$49:$I$49)+SUMPRODUCT($AJ$50:$AJ$52,$I$50:$I$52)+SUMPRODUCT($AJ$53:$AJ$53,$I$53:$I$53)+SUMPRODUCT($AJ$54:$AJ$56,$I$54:$I$56)+SUMPRODUCT($AJ$57:$AJ$59,$I$57:$I$59)+SUMPRODUCT($AJ$60:$AJ$60,$I$60:$I$60)+SUMPRODUCT($AJ$61:$AJ$61,$I$61:$I$61)+SUMPRODUCT($AJ$62:$AJ$63,$I$62:$I$63)),0,+SUMPRODUCT($AJ$5:$AJ$8,$I$5:$I$8)+SUMPRODUCT($AJ$9:$AJ$9,$I$9:$I$9)+SUMPRODUCT($AJ$10:$AJ$14,$I$10:$I$14)+SUMPRODUCT($AJ$15:$AJ$16,$I$15:$I$16)+SUMPRODUCT($AJ$17:$AJ$20,$I$17:$I$20)+SUMPRODUCT($AJ$21:$AJ$21,$I$21:$I$21)+SUMPRODUCT($AJ$22:$AJ$26,$I$22:$I$26)+SUMPRODUCT($AJ$27:$AJ$28,$I$27:$I$28)+SUMPRODUCT($AJ$29:$AJ$31,$I$29:$I$31)+SUMPRODUCT($AJ$32:$AJ$36,$I$32:$I$36)+SUMPRODUCT($AJ$37:$AJ$41,$I$37:$I$41)+SUMPRODUCT($AJ$42:$AJ$44,$I$42:$I$44)+SUMPRODUCT($AJ$45:$AJ$45,$I$45:$I$45)+SUMPRODUCT($AJ$46:$AJ$48,$I$46:$I$48)+SUMPRODUCT($AJ$49:$AJ$49,$I$49:$I$49)+SUMPRODUCT($AJ$50:$AJ$52,$I$50:$I$52)+SUMPRODUCT($AJ$53:$AJ$53,$I$53:$I$53)+SUMPRODUCT($AJ$54:$AJ$56,$I$54:$I$56)+SUMPRODUCT($AJ$57:$AJ$59,$I$57:$I$59)+SUMPRODUCT($AJ$60:$AJ$60,$I$60:$I$60)+SUMPRODUCT($AJ$61:$AJ$61,$I$61:$I$61)+SUMPRODUCT($AJ$62:$AJ$63,$I$62:$I$63))</f>
        <v>179639.27546939044</v>
      </c>
      <c r="AK67" s="13">
        <f ca="1">IF(ISERROR(+SUMPRODUCT($AK$5:$AK$8,$I$5:$I$8)+SUMPRODUCT($AK$9:$AK$9,$I$9:$I$9)+SUMPRODUCT($AK$10:$AK$14,$I$10:$I$14)+SUMPRODUCT($AK$15:$AK$16,$I$15:$I$16)+SUMPRODUCT($AK$17:$AK$20,$I$17:$I$20)+SUMPRODUCT($AK$21:$AK$21,$I$21:$I$21)+SUMPRODUCT($AK$22:$AK$26,$I$22:$I$26)+SUMPRODUCT($AK$27:$AK$28,$I$27:$I$28)+SUMPRODUCT($AK$29:$AK$31,$I$29:$I$31)+SUMPRODUCT($AK$32:$AK$36,$I$32:$I$36)+SUMPRODUCT($AK$37:$AK$41,$I$37:$I$41)+SUMPRODUCT($AK$42:$AK$44,$I$42:$I$44)+SUMPRODUCT($AK$45:$AK$45,$I$45:$I$45)+SUMPRODUCT($AK$46:$AK$48,$I$46:$I$48)+SUMPRODUCT($AK$49:$AK$49,$I$49:$I$49)+SUMPRODUCT($AK$50:$AK$52,$I$50:$I$52)+SUMPRODUCT($AK$53:$AK$53,$I$53:$I$53)+SUMPRODUCT($AK$54:$AK$56,$I$54:$I$56)+SUMPRODUCT($AK$57:$AK$59,$I$57:$I$59)+SUMPRODUCT($AK$60:$AK$60,$I$60:$I$60)+SUMPRODUCT($AK$61:$AK$61,$I$61:$I$61)+SUMPRODUCT($AK$62:$AK$63,$I$62:$I$63)),0,+SUMPRODUCT($AK$5:$AK$8,$I$5:$I$8)+SUMPRODUCT($AK$9:$AK$9,$I$9:$I$9)+SUMPRODUCT($AK$10:$AK$14,$I$10:$I$14)+SUMPRODUCT($AK$15:$AK$16,$I$15:$I$16)+SUMPRODUCT($AK$17:$AK$20,$I$17:$I$20)+SUMPRODUCT($AK$21:$AK$21,$I$21:$I$21)+SUMPRODUCT($AK$22:$AK$26,$I$22:$I$26)+SUMPRODUCT($AK$27:$AK$28,$I$27:$I$28)+SUMPRODUCT($AK$29:$AK$31,$I$29:$I$31)+SUMPRODUCT($AK$32:$AK$36,$I$32:$I$36)+SUMPRODUCT($AK$37:$AK$41,$I$37:$I$41)+SUMPRODUCT($AK$42:$AK$44,$I$42:$I$44)+SUMPRODUCT($AK$45:$AK$45,$I$45:$I$45)+SUMPRODUCT($AK$46:$AK$48,$I$46:$I$48)+SUMPRODUCT($AK$49:$AK$49,$I$49:$I$49)+SUMPRODUCT($AK$50:$AK$52,$I$50:$I$52)+SUMPRODUCT($AK$53:$AK$53,$I$53:$I$53)+SUMPRODUCT($AK$54:$AK$56,$I$54:$I$56)+SUMPRODUCT($AK$57:$AK$59,$I$57:$I$59)+SUMPRODUCT($AK$60:$AK$60,$I$60:$I$60)+SUMPRODUCT($AK$61:$AK$61,$I$61:$I$61)+SUMPRODUCT($AK$62:$AK$63,$I$62:$I$63))</f>
        <v>179639.27546939044</v>
      </c>
      <c r="AL67" s="13"/>
      <c r="AM67" s="13"/>
    </row>
    <row r="68" spans="11:39" ht="11.25" customHeight="1" x14ac:dyDescent="0.3">
      <c r="K68" s="16" t="s">
        <v>657</v>
      </c>
      <c r="L68" s="13">
        <f>CUSTOS!$D$2</f>
        <v>1551829.9039835632</v>
      </c>
      <c r="M68" s="13">
        <f>CUSTOS!$D$3</f>
        <v>115619.58079800264</v>
      </c>
      <c r="N68" s="13">
        <f>CUSTOS!$D$4</f>
        <v>392972.65161152824</v>
      </c>
      <c r="O68" s="13">
        <f>CUSTOS!$D$5</f>
        <v>0</v>
      </c>
      <c r="P68" s="13">
        <f>CUSTOS!$D$6</f>
        <v>0</v>
      </c>
      <c r="Q68" s="13">
        <f>CUSTOS!$D$7</f>
        <v>10880845.732772296</v>
      </c>
      <c r="R68" s="13">
        <f>CUSTOS!$D$8</f>
        <v>1792323.8549367813</v>
      </c>
      <c r="S68" s="13">
        <f>CUSTOS!$D$9</f>
        <v>0</v>
      </c>
      <c r="T68" s="13">
        <f>CUSTOS!$D$10</f>
        <v>14733591.724102173</v>
      </c>
      <c r="U68" s="13">
        <f>CUSTOS!$D$11</f>
        <v>4617355</v>
      </c>
      <c r="V68" s="13">
        <f>IF(SUM(V65:V67)&lt;&gt;0,CUSTOS!$D$12+CUSTOS!$D$16+CUSTOS!$D$17-'TR TUSD'!$Z$66-'TR TUSD'!$AA$66,0)</f>
        <v>2192014.5200000005</v>
      </c>
      <c r="W68" s="13">
        <f>CUSTOS!$D$13</f>
        <v>0</v>
      </c>
      <c r="X68" s="13">
        <f>CUSTOS!$D$14</f>
        <v>0</v>
      </c>
      <c r="Y68" s="13">
        <f>IF(SUM(V65:V67)=0,CUSTOS!$D$15+CUSTOS!$D$16+CUSTOS!$D$17-'TR TUSD'!$Z$66-'TR TUSD'!$AA$66,CUSTOS!$D$15)</f>
        <v>0</v>
      </c>
      <c r="Z68" s="13">
        <f>Z66</f>
        <v>0</v>
      </c>
      <c r="AA68" s="13">
        <f>AA66</f>
        <v>0</v>
      </c>
      <c r="AB68" s="13">
        <f>CUSTOS!$D$18</f>
        <v>6809369.5200000005</v>
      </c>
      <c r="AC68" s="13">
        <f>CUSTOS!$D$19</f>
        <v>28301549.061569352</v>
      </c>
      <c r="AD68" s="13">
        <f>CUSTOS!$D$20</f>
        <v>28301549.061569352</v>
      </c>
      <c r="AE68" s="13">
        <f>CUSTOS!$D$21</f>
        <v>0</v>
      </c>
      <c r="AF68" s="13">
        <f>CUSTOS!$D$22</f>
        <v>0</v>
      </c>
      <c r="AG68" s="13">
        <f>CUSTOS!$D$23</f>
        <v>0</v>
      </c>
      <c r="AH68" s="13">
        <f>CUSTOS!$D$24</f>
        <v>2615581.195068636</v>
      </c>
      <c r="AI68" s="13">
        <f>CUSTOS!$D$25</f>
        <v>76959.703303691102</v>
      </c>
      <c r="AJ68" s="13">
        <f>CUSTOS!$D$26</f>
        <v>183196.10129394187</v>
      </c>
      <c r="AK68" s="13">
        <f>CUSTOS!$D$27</f>
        <v>47732.749843158228</v>
      </c>
      <c r="AL68" s="13">
        <f>CUSTOS!$D$28</f>
        <v>2923469.7495094272</v>
      </c>
      <c r="AM68" s="13">
        <f>CUSTOS!$D$29</f>
        <v>52767980.055180952</v>
      </c>
    </row>
    <row r="69" spans="11:39" ht="11.25" customHeight="1" x14ac:dyDescent="0.3">
      <c r="K69" s="16" t="s">
        <v>658</v>
      </c>
      <c r="L69" s="13">
        <f>CUSTOS!$E$2</f>
        <v>-14425.698031375883</v>
      </c>
      <c r="M69" s="13">
        <f>CUSTOS!$E$3</f>
        <v>541.0626507235047</v>
      </c>
      <c r="N69" s="13">
        <f>CUSTOS!$E$4</f>
        <v>6.7265974004737262E-3</v>
      </c>
      <c r="O69" s="13">
        <f>CUSTOS!$E$5</f>
        <v>0</v>
      </c>
      <c r="P69" s="13">
        <f>CUSTOS!$E$6</f>
        <v>0</v>
      </c>
      <c r="Q69" s="13">
        <f>CUSTOS!$E$7</f>
        <v>196810.8238506862</v>
      </c>
      <c r="R69" s="13">
        <f>CUSTOS!$E$8</f>
        <v>48819.572107194923</v>
      </c>
      <c r="S69" s="13">
        <f>CUSTOS!$E$9</f>
        <v>0</v>
      </c>
      <c r="T69" s="13">
        <f>CUSTOS!$E$10</f>
        <v>231745.76730382614</v>
      </c>
      <c r="U69" s="13">
        <f>CUSTOS!$E$11</f>
        <v>-31105.252549044439</v>
      </c>
      <c r="V69" s="13">
        <f>CUSTOS!$E$12</f>
        <v>-28744.987272467522</v>
      </c>
      <c r="W69" s="13">
        <f>CUSTOS!$E$13</f>
        <v>0</v>
      </c>
      <c r="X69" s="13">
        <f>CUSTOS!$E$14</f>
        <v>0</v>
      </c>
      <c r="Y69" s="13">
        <f>CUSTOS!$E$15</f>
        <v>0</v>
      </c>
      <c r="Z69" s="13">
        <f>CUSTOS!$E$16</f>
        <v>0</v>
      </c>
      <c r="AA69" s="13">
        <f>CUSTOS!$E$17</f>
        <v>0</v>
      </c>
      <c r="AB69" s="13">
        <f>CUSTOS!$E$18</f>
        <v>-59850.239821511961</v>
      </c>
      <c r="AC69" s="13">
        <f>CUSTOS!$E$19</f>
        <v>0</v>
      </c>
      <c r="AD69" s="13">
        <f>CUSTOS!$E$20</f>
        <v>0</v>
      </c>
      <c r="AE69" s="13">
        <f>CUSTOS!$E$21</f>
        <v>-2279498.7846037233</v>
      </c>
      <c r="AF69" s="13">
        <f>CUSTOS!$E$22</f>
        <v>0</v>
      </c>
      <c r="AG69" s="13">
        <f>CUSTOS!$E$23</f>
        <v>-2279498.7846037233</v>
      </c>
      <c r="AH69" s="13">
        <f>CUSTOS!$E$24</f>
        <v>217797.28994568801</v>
      </c>
      <c r="AI69" s="13">
        <f>CUSTOS!$E$25</f>
        <v>6408.371051975043</v>
      </c>
      <c r="AJ69" s="13">
        <f>CUSTOS!$E$26</f>
        <v>15254.588336107561</v>
      </c>
      <c r="AK69" s="13">
        <f>CUSTOS!$E$27</f>
        <v>-3749.3210909030186</v>
      </c>
      <c r="AL69" s="13">
        <f>CUSTOS!$E$28</f>
        <v>235710.92824286758</v>
      </c>
      <c r="AM69" s="13">
        <f>CUSTOS!$E$29</f>
        <v>-1871892.3288785417</v>
      </c>
    </row>
    <row r="70" spans="11:39" ht="11.25" customHeight="1" x14ac:dyDescent="0.3">
      <c r="K70" s="16" t="s">
        <v>659</v>
      </c>
      <c r="L70" s="13">
        <f>CUSTOS!$F$2</f>
        <v>107454.95932846866</v>
      </c>
      <c r="M70" s="13">
        <f>CUSTOS!$F$3</f>
        <v>0</v>
      </c>
      <c r="N70" s="13">
        <f>CUSTOS!$F$4</f>
        <v>0</v>
      </c>
      <c r="O70" s="13">
        <f>CUSTOS!$F$5</f>
        <v>0</v>
      </c>
      <c r="P70" s="13">
        <f>CUSTOS!$F$6</f>
        <v>0</v>
      </c>
      <c r="Q70" s="13">
        <f>CUSTOS!$F$7</f>
        <v>3370480.3417000002</v>
      </c>
      <c r="R70" s="13">
        <f>CUSTOS!$F$8</f>
        <v>637363.97290000005</v>
      </c>
      <c r="S70" s="13">
        <f>CUSTOS!$F$9</f>
        <v>0</v>
      </c>
      <c r="T70" s="13">
        <f>CUSTOS!$F$10</f>
        <v>4115299.2739284686</v>
      </c>
      <c r="U70" s="13">
        <f>CUSTOS!$F$11</f>
        <v>434116.13274168264</v>
      </c>
      <c r="V70" s="13">
        <f>CUSTOS!$F$12</f>
        <v>206089.60461909813</v>
      </c>
      <c r="W70" s="13">
        <f>CUSTOS!$F$13</f>
        <v>0</v>
      </c>
      <c r="X70" s="13">
        <f>CUSTOS!$F$14</f>
        <v>0</v>
      </c>
      <c r="Y70" s="13">
        <f>CUSTOS!$F$15</f>
        <v>0</v>
      </c>
      <c r="Z70" s="13">
        <f>CUSTOS!$F$16</f>
        <v>0</v>
      </c>
      <c r="AA70" s="13">
        <f>CUSTOS!$F$17</f>
        <v>0</v>
      </c>
      <c r="AB70" s="13">
        <f>CUSTOS!$F$18</f>
        <v>640205.73736078083</v>
      </c>
      <c r="AC70" s="13">
        <f>CUSTOS!$F$19</f>
        <v>0</v>
      </c>
      <c r="AD70" s="13">
        <f>CUSTOS!$F$20</f>
        <v>0</v>
      </c>
      <c r="AE70" s="13">
        <f>CUSTOS!$F$21</f>
        <v>0</v>
      </c>
      <c r="AF70" s="13">
        <f>CUSTOS!$F$22</f>
        <v>0</v>
      </c>
      <c r="AG70" s="13">
        <f>CUSTOS!$F$23</f>
        <v>0</v>
      </c>
      <c r="AH70" s="13">
        <f>CUSTOS!$F$24</f>
        <v>-133415.26963667042</v>
      </c>
      <c r="AI70" s="13">
        <f>CUSTOS!$F$25</f>
        <v>-3925.5518378777251</v>
      </c>
      <c r="AJ70" s="13">
        <f>CUSTOS!$F$26</f>
        <v>-9344.4460055757027</v>
      </c>
      <c r="AK70" s="13">
        <f>CUSTOS!$F$27</f>
        <v>0</v>
      </c>
      <c r="AL70" s="13">
        <f>CUSTOS!$F$28</f>
        <v>-146685.26748012385</v>
      </c>
      <c r="AM70" s="13">
        <f>CUSTOS!$F$29</f>
        <v>4608819.7438091254</v>
      </c>
    </row>
    <row r="71" spans="11:39" ht="11.25" customHeight="1" x14ac:dyDescent="0.3">
      <c r="K71" s="16" t="s">
        <v>722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/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/>
      <c r="AC71" s="13">
        <v>0</v>
      </c>
      <c r="AD71" s="13"/>
      <c r="AE71" s="13">
        <v>0</v>
      </c>
      <c r="AF71" s="13">
        <v>0</v>
      </c>
      <c r="AG71" s="13"/>
      <c r="AH71" s="13">
        <v>0</v>
      </c>
      <c r="AI71" s="13">
        <v>0</v>
      </c>
      <c r="AJ71" s="13">
        <v>0</v>
      </c>
      <c r="AK71" s="13">
        <v>0</v>
      </c>
      <c r="AL71" s="13"/>
      <c r="AM71" s="13"/>
    </row>
    <row r="72" spans="11:39" ht="11.25" customHeight="1" x14ac:dyDescent="0.3">
      <c r="K72" s="16" t="s">
        <v>723</v>
      </c>
      <c r="L72" s="13">
        <f t="shared" ref="L72:S72" si="2">IF((L67+L65)&lt;&gt;0,(L68-L66-L71)/(L67+L65),0)</f>
        <v>13.333553822629579</v>
      </c>
      <c r="M72" s="13">
        <f t="shared" si="2"/>
        <v>0.99852565863505116</v>
      </c>
      <c r="N72" s="13">
        <f t="shared" ca="1" si="2"/>
        <v>1.1737296156036268</v>
      </c>
      <c r="O72" s="13">
        <f t="shared" si="2"/>
        <v>0</v>
      </c>
      <c r="P72" s="13">
        <f t="shared" si="2"/>
        <v>0</v>
      </c>
      <c r="Q72" s="13">
        <f t="shared" si="2"/>
        <v>93.489848237378382</v>
      </c>
      <c r="R72" s="13">
        <f t="shared" si="2"/>
        <v>14.799409177241358</v>
      </c>
      <c r="S72" s="13">
        <f t="shared" si="2"/>
        <v>0</v>
      </c>
      <c r="T72" s="13"/>
      <c r="U72" s="13">
        <f>IF(U67&lt;&gt;0,(U68-U66-U65-U71)/U67,0)</f>
        <v>1.2964138139725803</v>
      </c>
      <c r="V72" s="13">
        <f>IF(V67&lt;&gt;0,(V68-V66-V65-V71)/V67,0)</f>
        <v>1.1479228396704899</v>
      </c>
      <c r="W72" s="13">
        <f>IF(W67&lt;&gt;0,(W68-W66-W65-W71)/W67,0)</f>
        <v>0</v>
      </c>
      <c r="X72" s="13">
        <f>IF(X67&lt;&gt;0,(X68-X66-X65-X71)/X67,0)</f>
        <v>0</v>
      </c>
      <c r="Y72" s="13">
        <f>IF(Y67&lt;&gt;0,(Y68-Y66-Y65-Y71)/Y67,0)</f>
        <v>0</v>
      </c>
      <c r="Z72" s="13"/>
      <c r="AA72" s="13"/>
      <c r="AB72" s="13"/>
      <c r="AC72" s="13">
        <f>IF(AC67&lt;&gt;0,(AC68-AC66-AC65-AC71)/AC67,0)</f>
        <v>1.1281104421010766</v>
      </c>
      <c r="AD72" s="13"/>
      <c r="AE72" s="13">
        <f>IF((AE67+AE65)&lt;&gt;0,(AE68-AE66-AE71)/(AE67+AE65),0)</f>
        <v>0</v>
      </c>
      <c r="AF72" s="13">
        <f>IF((AF67+AF65)&lt;&gt;0,(AF68-AF66-AF71)/(AF67+AF65),0)</f>
        <v>0</v>
      </c>
      <c r="AG72" s="13"/>
      <c r="AH72" s="13">
        <f>IF(AH67&lt;&gt;0,(AH68-AH66-AH65-AH71)/AH67,0)</f>
        <v>1.0356733254896584</v>
      </c>
      <c r="AI72" s="13">
        <f>IF(AI67&lt;&gt;0,(AI68-AI66-AI65-AI71)/AI67,0)</f>
        <v>3.0476026670274218E-2</v>
      </c>
      <c r="AJ72" s="13">
        <f ca="1">IF((AJ67+AJ65)&lt;&gt;0,(AJ68-AJ66-AJ71)/(AJ67+AJ65),0)</f>
        <v>1.0197998228130101</v>
      </c>
      <c r="AK72" s="13">
        <f ca="1">IF((AK67+AK65)&lt;&gt;0,(AK68-AK66-AK71)/(AK67+AK65),0)</f>
        <v>0.26571444200292171</v>
      </c>
      <c r="AL72" s="13"/>
      <c r="AM72" s="13"/>
    </row>
    <row r="74" spans="11:39" ht="11.25" customHeight="1" x14ac:dyDescent="0.3">
      <c r="K74" s="19" t="s">
        <v>727</v>
      </c>
      <c r="L74" s="19" t="s">
        <v>728</v>
      </c>
      <c r="M74" s="19" t="s">
        <v>729</v>
      </c>
      <c r="N74" s="19" t="s">
        <v>730</v>
      </c>
      <c r="O74" s="19" t="s">
        <v>731</v>
      </c>
      <c r="P74" s="19" t="s">
        <v>732</v>
      </c>
    </row>
    <row r="75" spans="11:39" ht="11.25" customHeight="1" x14ac:dyDescent="0.3">
      <c r="K75" s="18" t="s">
        <v>45</v>
      </c>
      <c r="L75" s="18">
        <f ca="1">$O$76+$O$75</f>
        <v>8437505.8424878009</v>
      </c>
      <c r="M75" s="18">
        <f>$P$76+$P$75</f>
        <v>29515.498000000003</v>
      </c>
      <c r="N75" s="18">
        <f ca="1">IF(AND($L$83&lt;&gt;0,M75&lt;&gt;0),(L75/$L$83*$AJ$68)/M75,0)</f>
        <v>1.0058028288412295</v>
      </c>
      <c r="O75" s="18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</f>
        <v>546766.39637842437</v>
      </c>
      <c r="P75" s="18">
        <f>+'TUSD BE'!$I$7+'TUSD BE'!$I$8+'TUSD BE'!$I$11+'TUSD BE'!$I$12+'TUSD BE'!$I$13+'TUSD BE'!$I$14+'TUSD BE'!$I$16</f>
        <v>1812.19</v>
      </c>
    </row>
    <row r="76" spans="11:39" ht="11.25" customHeight="1" x14ac:dyDescent="0.3">
      <c r="K76" s="18" t="s">
        <v>39</v>
      </c>
      <c r="L76" s="18">
        <f ca="1">$O$76+$O$75</f>
        <v>8437505.8424878009</v>
      </c>
      <c r="M76" s="18">
        <f>$P$76+$P$75</f>
        <v>29515.498000000003</v>
      </c>
      <c r="N76" s="18">
        <f ca="1">IF(AND($L$83&lt;&gt;0,M76&lt;&gt;0),(L76/$L$83*$AJ$68)/M76,0)</f>
        <v>1.0058028288412295</v>
      </c>
      <c r="O76" s="18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</f>
        <v>7890739.4461093768</v>
      </c>
      <c r="P76" s="18">
        <f>+'TUSD BE'!$I$19+'TUSD BE'!$I$20+'TUSD BE'!$I$23+'TUSD BE'!$I$24+'TUSD BE'!$I$25+'TUSD BE'!$I$26</f>
        <v>27703.308000000005</v>
      </c>
    </row>
    <row r="77" spans="11:39" ht="11.25" customHeight="1" x14ac:dyDescent="0.3">
      <c r="K77" s="18" t="s">
        <v>88</v>
      </c>
      <c r="L77" s="18">
        <f ca="1">+$L$78+$L$79+$L$80+$L$81+$L$82</f>
        <v>43630068.466747053</v>
      </c>
      <c r="M77" s="18">
        <f>+$M$78+$M$79+$M$80+$M$81+$M$82</f>
        <v>99137.233000000007</v>
      </c>
      <c r="N77" s="18">
        <f ca="1">IF(AND($L$83&lt;&gt;0,M77&lt;&gt;0),(L77/$L$83*$AJ$68)/M77,0)</f>
        <v>1.5484528392161621</v>
      </c>
      <c r="O77" s="18"/>
      <c r="P77" s="18"/>
    </row>
    <row r="78" spans="11:39" ht="11.25" customHeight="1" x14ac:dyDescent="0.3">
      <c r="K78" s="18" t="s">
        <v>88</v>
      </c>
      <c r="L78" s="18"/>
      <c r="M78" s="18"/>
      <c r="N78" s="18">
        <f ca="1">IF(AND($L$83&lt;&gt;0,M78&lt;&gt;0),(L78/$L$83*$AJ$68)/M78,0)</f>
        <v>0</v>
      </c>
      <c r="O78" s="18"/>
      <c r="P78" s="18"/>
    </row>
    <row r="79" spans="11:39" ht="11.25" customHeight="1" x14ac:dyDescent="0.3">
      <c r="K79" s="18" t="s">
        <v>22</v>
      </c>
      <c r="L79" s="18">
        <f ca="1">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</f>
        <v>23161708.610350743</v>
      </c>
      <c r="M79" s="18">
        <f>+'TUSD BE'!$I$29+'TUSD BE'!$I$30+'TUSD BE'!$I$31+'TUSD BE'!$I$32+'TUSD BE'!$I$33+'TUSD BE'!$I$34+'TUSD BE'!$I$35+'TUSD BE'!$I$36+'TUSD BE'!$I$37+'TUSD BE'!$I$38+'TUSD BE'!$I$39+'TUSD BE'!$I$40+'TUSD BE'!$I$41</f>
        <v>52060.989999999991</v>
      </c>
      <c r="N79" s="18"/>
      <c r="O79" s="18"/>
      <c r="P79" s="18"/>
    </row>
    <row r="80" spans="11:39" ht="11.25" customHeight="1" x14ac:dyDescent="0.3">
      <c r="K80" s="18" t="s">
        <v>43</v>
      </c>
      <c r="L80" s="18">
        <f ca="1">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</f>
        <v>8052551.029371582</v>
      </c>
      <c r="M80" s="18">
        <f>+'TUSD BE'!$I$42+'TUSD BE'!$I$43+'TUSD BE'!$I$44+'TUSD BE'!$I$45+'TUSD BE'!$I$46+'TUSD BE'!$I$47+'TUSD BE'!$I$48+'TUSD BE'!$I$49+'TUSD BE'!$I$50+'TUSD BE'!$I$51+'TUSD BE'!$I$52+'TUSD BE'!$I$53+'TUSD BE'!$I$54+'TUSD BE'!$I$55+'TUSD BE'!$I$56</f>
        <v>17613.978000000003</v>
      </c>
      <c r="N80" s="18"/>
      <c r="O80" s="18"/>
      <c r="P80" s="18"/>
    </row>
    <row r="81" spans="11:16" ht="11.25" customHeight="1" x14ac:dyDescent="0.3">
      <c r="K81" s="18" t="s">
        <v>37</v>
      </c>
      <c r="L81" s="18">
        <f ca="1">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BE'!$I$60+(+'TUSD BE'!$L$61+'TUSD BE'!$M$61+'TUSD BE'!$N$61+'TUSD BE'!$O$61+'TUSD BE'!$P$61+'TUSD BE'!$Q$61+'TUSD BE'!$R$61+'TUSD BE'!$S$61+'TUSD BE'!$U$61+'TUSD BE'!$V$61+'TUSD BE'!$W$61+'TUSD BE'!$X$61+'TUSD BE'!$Y$61+'TUSD BE'!$Z$61+'TUSD BE'!$AA$61+'TUSD BE'!$AC$61+'TUSD BE'!$AH$61+'TUSD BE'!$AI$61)*'TUSD BE'!$I$61</f>
        <v>11132323.737770889</v>
      </c>
      <c r="M81" s="18">
        <f>+'TUSD BE'!$I$57+'TUSD BE'!$I$58+'TUSD BE'!$I$59+'TUSD BE'!$I$60+'TUSD BE'!$I$61</f>
        <v>24357.778000000002</v>
      </c>
      <c r="N81" s="18"/>
      <c r="O81" s="18"/>
      <c r="P81" s="18"/>
    </row>
    <row r="82" spans="11:16" ht="11.25" customHeight="1" x14ac:dyDescent="0.3">
      <c r="K82" s="18" t="s">
        <v>47</v>
      </c>
      <c r="L82" s="18">
        <f ca="1">+(+'TUSD BE'!$L$62+'TUSD BE'!$M$62+'TUSD BE'!$N$62+'TUSD BE'!$O$62+'TUSD BE'!$P$62+'TUSD BE'!$Q$62+'TUSD BE'!$R$62+'TUSD BE'!$S$62+'TUSD BE'!$U$62+'TUSD BE'!$V$62+'TUSD BE'!$W$62+'TUSD BE'!$X$62+'TUSD BE'!$Y$62+'TUSD BE'!$Z$62+'TUSD BE'!$AA$62+'TUSD BE'!$AC$62+'TUSD BE'!$AH$62+'TUSD BE'!$AI$62)*'TUSD BE'!$I$62+(+'TUSD BE'!$L$63+'TUSD BE'!$M$63+'TUSD BE'!$N$63+'TUSD BE'!$O$63+'TUSD BE'!$P$63+'TUSD BE'!$Q$63+'TUSD BE'!$R$63+'TUSD BE'!$S$63+'TUSD BE'!$U$63+'TUSD BE'!$V$63+'TUSD BE'!$W$63+'TUSD BE'!$X$63+'TUSD BE'!$Y$63+'TUSD BE'!$Z$63+'TUSD BE'!$AA$63+'TUSD BE'!$AC$63+'TUSD BE'!$AH$63+'TUSD BE'!$AI$63)*'TUSD BE'!$I$63</f>
        <v>1283485.089253837</v>
      </c>
      <c r="M82" s="18">
        <f>+'TUSD BE'!$I$62+'TUSD BE'!$I$63</f>
        <v>5104.487000000001</v>
      </c>
      <c r="N82" s="18"/>
      <c r="O82" s="18"/>
      <c r="P82" s="18"/>
    </row>
    <row r="83" spans="11:16" ht="11.25" customHeight="1" x14ac:dyDescent="0.3">
      <c r="K83" s="18"/>
      <c r="L83" s="18">
        <f ca="1">SUM($L$75:$L$82,-$L$77) - $O$76 - $O$75</f>
        <v>52067574.309234858</v>
      </c>
      <c r="M83" s="18">
        <f>SUM($M$75:$M$82,-$M$77) - $P$76 - $P$75</f>
        <v>128652.73099999999</v>
      </c>
      <c r="N83" s="18"/>
      <c r="O83" s="18"/>
      <c r="P83" s="18"/>
    </row>
  </sheetData>
  <mergeCells count="91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57:E59"/>
    <mergeCell ref="F57:F59"/>
    <mergeCell ref="A62:A63"/>
    <mergeCell ref="B62:B63"/>
    <mergeCell ref="C62:C63"/>
    <mergeCell ref="B54:B56"/>
    <mergeCell ref="C54:C56"/>
    <mergeCell ref="A57:A61"/>
    <mergeCell ref="B57:B59"/>
    <mergeCell ref="C57:C59"/>
    <mergeCell ref="D57:D59"/>
    <mergeCell ref="F46:F48"/>
    <mergeCell ref="B50:B52"/>
    <mergeCell ref="C50:C52"/>
    <mergeCell ref="D50:D52"/>
    <mergeCell ref="E50:E52"/>
    <mergeCell ref="F50:F52"/>
    <mergeCell ref="A42:A56"/>
    <mergeCell ref="B42:B44"/>
    <mergeCell ref="C42:C44"/>
    <mergeCell ref="D42:D44"/>
    <mergeCell ref="E42:E44"/>
    <mergeCell ref="F42:F44"/>
    <mergeCell ref="B46:B48"/>
    <mergeCell ref="C46:C48"/>
    <mergeCell ref="D46:D48"/>
    <mergeCell ref="E46:E48"/>
    <mergeCell ref="A29:A41"/>
    <mergeCell ref="B29:B31"/>
    <mergeCell ref="C29:C31"/>
    <mergeCell ref="D29:D31"/>
    <mergeCell ref="E29:E31"/>
    <mergeCell ref="F29:F31"/>
    <mergeCell ref="B32:B36"/>
    <mergeCell ref="C32:C36"/>
    <mergeCell ref="B37:B41"/>
    <mergeCell ref="C37:C41"/>
    <mergeCell ref="A27:A28"/>
    <mergeCell ref="B27:B28"/>
    <mergeCell ref="C27:C28"/>
    <mergeCell ref="D27:D28"/>
    <mergeCell ref="A17:A26"/>
    <mergeCell ref="B17:B20"/>
    <mergeCell ref="C17:C20"/>
    <mergeCell ref="D17:D20"/>
    <mergeCell ref="B22:B26"/>
    <mergeCell ref="C22:C26"/>
    <mergeCell ref="D22:D26"/>
    <mergeCell ref="F15:F16"/>
    <mergeCell ref="E25:E26"/>
    <mergeCell ref="F25:F26"/>
    <mergeCell ref="E17:E19"/>
    <mergeCell ref="F17:F19"/>
    <mergeCell ref="E22:E24"/>
    <mergeCell ref="F22:F24"/>
    <mergeCell ref="A5:A16"/>
    <mergeCell ref="B5:B8"/>
    <mergeCell ref="C5:C8"/>
    <mergeCell ref="D5:D8"/>
    <mergeCell ref="E5:E7"/>
    <mergeCell ref="B15:B16"/>
    <mergeCell ref="C15:C16"/>
    <mergeCell ref="D15:D16"/>
    <mergeCell ref="E15:E16"/>
    <mergeCell ref="F5:F7"/>
    <mergeCell ref="B10:B14"/>
    <mergeCell ref="C10:C14"/>
    <mergeCell ref="D10:D14"/>
    <mergeCell ref="E10:E12"/>
    <mergeCell ref="F10:F12"/>
    <mergeCell ref="E13:E14"/>
    <mergeCell ref="F13:F14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ED1BB-CB70-45E3-AB03-705EF7730A24}">
  <sheetPr codeName="Planilha9"/>
  <dimension ref="A1:AP70"/>
  <sheetViews>
    <sheetView showGridLines="0" topLeftCell="W47" workbookViewId="0">
      <selection activeCell="AM65" sqref="AM65"/>
    </sheetView>
  </sheetViews>
  <sheetFormatPr defaultRowHeight="11.25" customHeight="1" x14ac:dyDescent="0.3"/>
  <cols>
    <col min="1" max="1" width="9" style="9" bestFit="1" customWidth="1"/>
    <col min="2" max="2" width="21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9" width="8.44140625" style="9" bestFit="1" customWidth="1"/>
    <col min="10" max="10" width="8.88671875" style="9"/>
    <col min="11" max="11" width="14.109375" style="9" bestFit="1" customWidth="1"/>
    <col min="12" max="12" width="13" style="9" bestFit="1" customWidth="1"/>
    <col min="13" max="14" width="8.44140625" style="9" bestFit="1" customWidth="1"/>
    <col min="15" max="15" width="4" style="9" bestFit="1" customWidth="1"/>
    <col min="16" max="16" width="4.33203125" style="9" bestFit="1" customWidth="1"/>
    <col min="17" max="17" width="10.5546875" style="9" bestFit="1" customWidth="1"/>
    <col min="18" max="18" width="9.6640625" style="9" bestFit="1" customWidth="1"/>
    <col min="19" max="19" width="8.44140625" style="9" bestFit="1" customWidth="1"/>
    <col min="20" max="20" width="10.5546875" style="9" bestFit="1" customWidth="1"/>
    <col min="21" max="22" width="9.6640625" style="9" bestFit="1" customWidth="1"/>
    <col min="23" max="24" width="9.5546875" style="9" bestFit="1" customWidth="1"/>
    <col min="25" max="25" width="5" style="9" bestFit="1" customWidth="1"/>
    <col min="26" max="26" width="7.44140625" style="9" bestFit="1" customWidth="1"/>
    <col min="27" max="27" width="9.5546875" style="9" bestFit="1" customWidth="1"/>
    <col min="28" max="28" width="9.6640625" style="9" bestFit="1" customWidth="1"/>
    <col min="29" max="29" width="11.33203125" style="9" bestFit="1" customWidth="1"/>
    <col min="30" max="30" width="10.5546875" style="9" bestFit="1" customWidth="1"/>
    <col min="31" max="31" width="8.21875" style="9" bestFit="1" customWidth="1"/>
    <col min="32" max="32" width="7.109375" style="9" bestFit="1" customWidth="1"/>
    <col min="33" max="33" width="9" style="9" bestFit="1" customWidth="1"/>
    <col min="34" max="34" width="14.88671875" style="9" bestFit="1" customWidth="1"/>
    <col min="35" max="35" width="17.5546875" style="9" bestFit="1" customWidth="1"/>
    <col min="36" max="36" width="18.5546875" style="9" bestFit="1" customWidth="1"/>
    <col min="37" max="37" width="7.6640625" style="9" bestFit="1" customWidth="1"/>
    <col min="38" max="38" width="9.6640625" style="9" bestFit="1" customWidth="1"/>
    <col min="39" max="39" width="10.5546875" style="9" bestFit="1" customWidth="1"/>
    <col min="40" max="41" width="8.88671875" style="9"/>
    <col min="42" max="42" width="7.6640625" style="9" bestFit="1" customWidth="1"/>
    <col min="43" max="16384" width="8.88671875" style="9"/>
  </cols>
  <sheetData>
    <row r="1" spans="1:42" ht="11.25" customHeight="1" x14ac:dyDescent="0.3">
      <c r="A1" s="139" t="s">
        <v>69</v>
      </c>
      <c r="B1" s="139" t="s">
        <v>70</v>
      </c>
      <c r="C1" s="139" t="s">
        <v>71</v>
      </c>
      <c r="D1" s="139" t="s">
        <v>72</v>
      </c>
      <c r="E1" s="139" t="s">
        <v>73</v>
      </c>
      <c r="F1" s="139" t="s">
        <v>15</v>
      </c>
      <c r="G1" s="139" t="s">
        <v>75</v>
      </c>
      <c r="H1" s="139" t="s">
        <v>76</v>
      </c>
      <c r="I1" s="139" t="s">
        <v>716</v>
      </c>
      <c r="J1" s="131"/>
      <c r="L1" s="138" t="s">
        <v>724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P1" s="138" t="s">
        <v>718</v>
      </c>
    </row>
    <row r="2" spans="1:42" ht="11.25" customHeight="1" x14ac:dyDescent="0.3">
      <c r="A2" s="139"/>
      <c r="B2" s="139"/>
      <c r="C2" s="139"/>
      <c r="D2" s="139"/>
      <c r="E2" s="139"/>
      <c r="F2" s="139"/>
      <c r="G2" s="139"/>
      <c r="H2" s="139"/>
      <c r="I2" s="139"/>
      <c r="J2" s="131"/>
      <c r="L2" s="138" t="s">
        <v>615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P2" s="140"/>
    </row>
    <row r="3" spans="1:42" ht="11.25" customHeight="1" x14ac:dyDescent="0.3">
      <c r="A3" s="139"/>
      <c r="B3" s="139"/>
      <c r="C3" s="139"/>
      <c r="D3" s="139"/>
      <c r="E3" s="139"/>
      <c r="F3" s="139"/>
      <c r="G3" s="139"/>
      <c r="H3" s="139"/>
      <c r="I3" s="139"/>
      <c r="J3" s="131"/>
      <c r="L3" s="138" t="s">
        <v>616</v>
      </c>
      <c r="M3" s="138"/>
      <c r="N3" s="138"/>
      <c r="O3" s="138"/>
      <c r="P3" s="138"/>
      <c r="Q3" s="138"/>
      <c r="R3" s="138"/>
      <c r="S3" s="138"/>
      <c r="T3" s="138"/>
      <c r="U3" s="138" t="s">
        <v>625</v>
      </c>
      <c r="V3" s="138"/>
      <c r="W3" s="138"/>
      <c r="X3" s="138"/>
      <c r="Y3" s="138"/>
      <c r="Z3" s="138"/>
      <c r="AA3" s="138"/>
      <c r="AB3" s="138"/>
      <c r="AC3" s="138" t="s">
        <v>633</v>
      </c>
      <c r="AD3" s="138"/>
      <c r="AE3" s="138" t="s">
        <v>635</v>
      </c>
      <c r="AF3" s="138"/>
      <c r="AG3" s="138"/>
      <c r="AH3" s="138" t="s">
        <v>638</v>
      </c>
      <c r="AI3" s="138"/>
      <c r="AJ3" s="138"/>
      <c r="AK3" s="138"/>
      <c r="AL3" s="138"/>
      <c r="AM3" s="138" t="s">
        <v>624</v>
      </c>
      <c r="AP3" s="140"/>
    </row>
    <row r="4" spans="1:42" ht="11.25" customHeight="1" x14ac:dyDescent="0.3">
      <c r="A4" s="139"/>
      <c r="B4" s="139"/>
      <c r="C4" s="139"/>
      <c r="D4" s="139"/>
      <c r="E4" s="139"/>
      <c r="F4" s="139"/>
      <c r="G4" s="139"/>
      <c r="H4" s="139"/>
      <c r="I4" s="139"/>
      <c r="J4" s="131"/>
      <c r="L4" s="10" t="s">
        <v>701</v>
      </c>
      <c r="M4" s="10" t="s">
        <v>617</v>
      </c>
      <c r="N4" s="10" t="s">
        <v>618</v>
      </c>
      <c r="O4" s="10" t="s">
        <v>619</v>
      </c>
      <c r="P4" s="10" t="s">
        <v>620</v>
      </c>
      <c r="Q4" s="10" t="s">
        <v>621</v>
      </c>
      <c r="R4" s="10" t="s">
        <v>622</v>
      </c>
      <c r="S4" s="10" t="s">
        <v>623</v>
      </c>
      <c r="T4" s="10" t="s">
        <v>624</v>
      </c>
      <c r="U4" s="10" t="s">
        <v>626</v>
      </c>
      <c r="V4" s="10" t="s">
        <v>627</v>
      </c>
      <c r="W4" s="10" t="s">
        <v>628</v>
      </c>
      <c r="X4" s="10" t="s">
        <v>629</v>
      </c>
      <c r="Y4" s="10" t="s">
        <v>630</v>
      </c>
      <c r="Z4" s="10" t="s">
        <v>631</v>
      </c>
      <c r="AA4" s="10" t="s">
        <v>632</v>
      </c>
      <c r="AB4" s="10" t="s">
        <v>624</v>
      </c>
      <c r="AC4" s="10" t="s">
        <v>634</v>
      </c>
      <c r="AD4" s="10" t="s">
        <v>624</v>
      </c>
      <c r="AE4" s="10" t="s">
        <v>636</v>
      </c>
      <c r="AF4" s="10" t="s">
        <v>637</v>
      </c>
      <c r="AG4" s="10" t="s">
        <v>624</v>
      </c>
      <c r="AH4" s="10" t="s">
        <v>639</v>
      </c>
      <c r="AI4" s="10" t="s">
        <v>640</v>
      </c>
      <c r="AJ4" s="10" t="s">
        <v>641</v>
      </c>
      <c r="AK4" s="10" t="s">
        <v>642</v>
      </c>
      <c r="AL4" s="10" t="s">
        <v>624</v>
      </c>
      <c r="AM4" s="141"/>
      <c r="AP4" s="140"/>
    </row>
    <row r="5" spans="1:42" ht="11.25" customHeight="1" x14ac:dyDescent="0.3">
      <c r="A5" s="137" t="s">
        <v>45</v>
      </c>
      <c r="B5" s="137" t="s">
        <v>42</v>
      </c>
      <c r="C5" s="137" t="s">
        <v>25</v>
      </c>
      <c r="D5" s="137" t="s">
        <v>25</v>
      </c>
      <c r="E5" s="137" t="s">
        <v>25</v>
      </c>
      <c r="F5" s="137" t="s">
        <v>25</v>
      </c>
      <c r="G5" s="18" t="s">
        <v>85</v>
      </c>
      <c r="H5" s="18" t="s">
        <v>84</v>
      </c>
      <c r="I5" s="18">
        <f>'MERCADO TUSD'!$U$2</f>
        <v>4216</v>
      </c>
      <c r="J5" s="15"/>
      <c r="L5" s="13">
        <f>'TR TUSD'!$L$5*'TR TUSD'!$L$72</f>
        <v>0</v>
      </c>
      <c r="M5" s="13">
        <f>'TR TUSD'!$M$5*'TR TUSD'!$M$72</f>
        <v>0</v>
      </c>
      <c r="N5" s="13">
        <f ca="1">'TR TUSD'!$N$5*'TR TUSD'!$N$72</f>
        <v>0</v>
      </c>
      <c r="O5" s="13">
        <f>'TR TUSD'!$O$5*'TR TUSD'!$O$72</f>
        <v>0</v>
      </c>
      <c r="P5" s="13">
        <f>'TR TUSD'!$P$5*'TR TUSD'!$P$72</f>
        <v>0</v>
      </c>
      <c r="Q5" s="13">
        <f>'TR TUSD'!$Q$5*'TR TUSD'!$Q$72</f>
        <v>0</v>
      </c>
      <c r="R5" s="13">
        <f>'TR TUSD'!$R$5*'TR TUSD'!$R$72</f>
        <v>0</v>
      </c>
      <c r="S5" s="13">
        <f>'TR TUSD'!$S$5*'TR TUSD'!$S$72</f>
        <v>0</v>
      </c>
      <c r="T5" s="13">
        <f ca="1">SUM($L$5:$S$5)</f>
        <v>0</v>
      </c>
      <c r="U5" s="13">
        <f>'TR TUSD'!$U$5*'TR TUSD'!$U$72</f>
        <v>7.6907869713893069</v>
      </c>
      <c r="V5" s="13">
        <f>'TR TUSD'!$V$5*'TR TUSD'!$V$72</f>
        <v>3.5894284481372583</v>
      </c>
      <c r="W5" s="13">
        <f>'TR TUSD'!$W$5*'TR TUSD'!$W$72</f>
        <v>0</v>
      </c>
      <c r="X5" s="13">
        <f>'TR TUSD'!$X$5*'TR TUSD'!$X$72</f>
        <v>0</v>
      </c>
      <c r="Y5" s="13">
        <f>'TR TUSD'!$Y$5*'TR TUSD'!$Y$72</f>
        <v>0</v>
      </c>
      <c r="Z5" s="13">
        <f>'TR TUSD'!$Z$5</f>
        <v>0</v>
      </c>
      <c r="AA5" s="13">
        <f>'TR TUSD'!$AA$5</f>
        <v>0</v>
      </c>
      <c r="AB5" s="13">
        <f>SUM($U$5:$AA$5)</f>
        <v>11.280215419526565</v>
      </c>
      <c r="AC5" s="13">
        <f>'TR TUSD'!$AC$5*'TR TUSD'!$AC$72</f>
        <v>41.058527153040046</v>
      </c>
      <c r="AD5" s="13">
        <f>SUM($AC$5:$AC$5)</f>
        <v>41.058527153040046</v>
      </c>
      <c r="AE5" s="13">
        <v>0</v>
      </c>
      <c r="AF5" s="13">
        <v>0</v>
      </c>
      <c r="AG5" s="13">
        <f>SUM($AE$5:$AF$5)</f>
        <v>0</v>
      </c>
      <c r="AH5" s="13">
        <f>'TR TUSD'!$AH$5*'TR TUSD'!$AH$72</f>
        <v>0</v>
      </c>
      <c r="AI5" s="13">
        <f>'TR TUSD'!$AI$5*'TR TUSD'!$AI$72</f>
        <v>0</v>
      </c>
      <c r="AJ5" s="13">
        <f ca="1">'TR TUSD'!$AJ$5*'TR TUSD'!$AJ$72</f>
        <v>0</v>
      </c>
      <c r="AK5" s="13">
        <f ca="1">'TR TUSD'!$AK$5*'TR TUSD'!$AK$72</f>
        <v>0</v>
      </c>
      <c r="AL5" s="13">
        <f ca="1">SUM($AH$5:$AK$5)</f>
        <v>0</v>
      </c>
      <c r="AM5" s="13">
        <f ca="1">SUMIF($L$4:$AL$4,"SUBTOTAL",$L$5:$AL$5)</f>
        <v>52.338742572566609</v>
      </c>
      <c r="AP5" s="13">
        <v>1</v>
      </c>
    </row>
    <row r="6" spans="1:42" ht="11.25" customHeight="1" x14ac:dyDescent="0.3">
      <c r="A6" s="137"/>
      <c r="B6" s="137"/>
      <c r="C6" s="137"/>
      <c r="D6" s="137"/>
      <c r="E6" s="137"/>
      <c r="F6" s="137"/>
      <c r="G6" s="18" t="s">
        <v>86</v>
      </c>
      <c r="H6" s="18" t="s">
        <v>84</v>
      </c>
      <c r="I6" s="18">
        <f>'MERCADO TUSD'!$U$3</f>
        <v>4234</v>
      </c>
      <c r="J6" s="15"/>
      <c r="L6" s="13">
        <f>'TR TUSD'!$L$6*'TR TUSD'!$L$72</f>
        <v>0</v>
      </c>
      <c r="M6" s="13">
        <f>'TR TUSD'!$M$6*'TR TUSD'!$M$72</f>
        <v>0</v>
      </c>
      <c r="N6" s="13">
        <f ca="1">'TR TUSD'!$N$6*'TR TUSD'!$N$72</f>
        <v>0</v>
      </c>
      <c r="O6" s="13">
        <f>'TR TUSD'!$O$6*'TR TUSD'!$O$72</f>
        <v>0</v>
      </c>
      <c r="P6" s="13">
        <f>'TR TUSD'!$P$6*'TR TUSD'!$P$72</f>
        <v>0</v>
      </c>
      <c r="Q6" s="13">
        <f>'TR TUSD'!$Q$6*'TR TUSD'!$Q$72</f>
        <v>0</v>
      </c>
      <c r="R6" s="13">
        <f>'TR TUSD'!$R$6*'TR TUSD'!$R$72</f>
        <v>0</v>
      </c>
      <c r="S6" s="13">
        <f>'TR TUSD'!$S$6*'TR TUSD'!$S$72</f>
        <v>0</v>
      </c>
      <c r="T6" s="13">
        <f ca="1">SUM($L$6:$S$6)</f>
        <v>0</v>
      </c>
      <c r="U6" s="13">
        <f>'TR TUSD'!$U$6*'TR TUSD'!$U$72</f>
        <v>4.436820708663479</v>
      </c>
      <c r="V6" s="13">
        <f>'TR TUSD'!$V$6*'TR TUSD'!$V$72</f>
        <v>2.1448823466959137</v>
      </c>
      <c r="W6" s="13">
        <f>'TR TUSD'!$W$6*'TR TUSD'!$W$72</f>
        <v>0</v>
      </c>
      <c r="X6" s="13">
        <f>'TR TUSD'!$X$6*'TR TUSD'!$X$72</f>
        <v>0</v>
      </c>
      <c r="Y6" s="13">
        <f>'TR TUSD'!$Y$6*'TR TUSD'!$Y$72</f>
        <v>0</v>
      </c>
      <c r="Z6" s="13">
        <f>'TR TUSD'!$Z$6</f>
        <v>0</v>
      </c>
      <c r="AA6" s="13">
        <f>'TR TUSD'!$AA$6</f>
        <v>0</v>
      </c>
      <c r="AB6" s="13">
        <f>SUM($U$6:$AA$6)</f>
        <v>6.5817030553593927</v>
      </c>
      <c r="AC6" s="13">
        <f>'TR TUSD'!$AC$6*'TR TUSD'!$AC$72</f>
        <v>15.166333705263506</v>
      </c>
      <c r="AD6" s="13">
        <f>SUM($AC$6:$AC$6)</f>
        <v>15.166333705263506</v>
      </c>
      <c r="AE6" s="13">
        <v>0</v>
      </c>
      <c r="AF6" s="13">
        <v>0</v>
      </c>
      <c r="AG6" s="13">
        <f>SUM($AE$6:$AF$6)</f>
        <v>0</v>
      </c>
      <c r="AH6" s="13">
        <f>'TR TUSD'!$AH$6*'TR TUSD'!$AH$72</f>
        <v>0</v>
      </c>
      <c r="AI6" s="13">
        <f>'TR TUSD'!$AI$6*'TR TUSD'!$AI$72</f>
        <v>0</v>
      </c>
      <c r="AJ6" s="13">
        <f ca="1">'TR TUSD'!$AJ$6*'TR TUSD'!$AJ$72</f>
        <v>0</v>
      </c>
      <c r="AK6" s="13">
        <f ca="1">'TR TUSD'!$AK$6*'TR TUSD'!$AK$72</f>
        <v>0</v>
      </c>
      <c r="AL6" s="13">
        <f ca="1">SUM($AH$6:$AK$6)</f>
        <v>0</v>
      </c>
      <c r="AM6" s="13">
        <f ca="1">SUMIF($L$4:$AL$4,"SUBTOTAL",$L$6:$AL$6)</f>
        <v>21.748036760622899</v>
      </c>
      <c r="AP6" s="13">
        <v>1</v>
      </c>
    </row>
    <row r="7" spans="1:42" ht="11.25" customHeight="1" x14ac:dyDescent="0.3">
      <c r="A7" s="137"/>
      <c r="B7" s="137"/>
      <c r="C7" s="137"/>
      <c r="D7" s="137"/>
      <c r="E7" s="137"/>
      <c r="F7" s="137"/>
      <c r="G7" s="18" t="s">
        <v>83</v>
      </c>
      <c r="H7" s="18" t="s">
        <v>79</v>
      </c>
      <c r="I7" s="18">
        <f>'MERCADO TUSD'!$U$4</f>
        <v>1760.1130000000001</v>
      </c>
      <c r="J7" s="15"/>
      <c r="L7" s="13">
        <f>'TR TUSD'!$L$7*'TR TUSD'!$L$72</f>
        <v>11.200185211008845</v>
      </c>
      <c r="M7" s="13">
        <f>'TR TUSD'!$M$7*'TR TUSD'!$M$72</f>
        <v>0.50067136987736338</v>
      </c>
      <c r="N7" s="13">
        <f ca="1">'TR TUSD'!$N$7*'TR TUSD'!$N$72</f>
        <v>0.31108783583826682</v>
      </c>
      <c r="O7" s="13">
        <f>'TR TUSD'!$O$7*'TR TUSD'!$O$72</f>
        <v>0</v>
      </c>
      <c r="P7" s="13">
        <f>'TR TUSD'!$P$7*'TR TUSD'!$P$72</f>
        <v>0</v>
      </c>
      <c r="Q7" s="13">
        <f>'TR TUSD'!$Q$7*'TR TUSD'!$Q$72</f>
        <v>78.531472519397838</v>
      </c>
      <c r="R7" s="13">
        <f>'TR TUSD'!$R$7*'TR TUSD'!$R$72</f>
        <v>14.799409177241358</v>
      </c>
      <c r="S7" s="13">
        <f>'TR TUSD'!$S$7*'TR TUSD'!$S$72</f>
        <v>0</v>
      </c>
      <c r="T7" s="13">
        <f ca="1">SUM($L$7:$S$7)</f>
        <v>105.34282611336367</v>
      </c>
      <c r="U7" s="13">
        <f>'TR TUSD'!$U$7*'TR TUSD'!$U$72</f>
        <v>0</v>
      </c>
      <c r="V7" s="13">
        <f>'TR TUSD'!$V$7*'TR TUSD'!$V$72</f>
        <v>0</v>
      </c>
      <c r="W7" s="13">
        <f>'TR TUSD'!$W$7*'TR TUSD'!$W$72</f>
        <v>0</v>
      </c>
      <c r="X7" s="13">
        <f>'TR TUSD'!$X$7*'TR TUSD'!$X$72</f>
        <v>0</v>
      </c>
      <c r="Y7" s="13">
        <f>'TR TUSD'!$Y$7*'TR TUSD'!$Y$72</f>
        <v>0</v>
      </c>
      <c r="Z7" s="13">
        <f>'TR TUSD'!$Z$7</f>
        <v>0</v>
      </c>
      <c r="AA7" s="13">
        <f>'TR TUSD'!$AA$7</f>
        <v>0</v>
      </c>
      <c r="AB7" s="13">
        <f>SUM($U$7:$AA$7)</f>
        <v>0</v>
      </c>
      <c r="AC7" s="13">
        <f>'TR TUSD'!$AC$7*'TR TUSD'!$AC$72</f>
        <v>0</v>
      </c>
      <c r="AD7" s="13">
        <f>SUM($AC$7:$AC$7)</f>
        <v>0</v>
      </c>
      <c r="AE7" s="13">
        <v>0</v>
      </c>
      <c r="AF7" s="13">
        <v>0</v>
      </c>
      <c r="AG7" s="13">
        <f>SUM($AE$7:$AF$7)</f>
        <v>0</v>
      </c>
      <c r="AH7" s="13">
        <f>'TR TUSD'!$AH$7*'TR TUSD'!$AH$72</f>
        <v>11.387849617754087</v>
      </c>
      <c r="AI7" s="13">
        <f>'TR TUSD'!$AI$7*'TR TUSD'!$AI$72</f>
        <v>0.33510219885566717</v>
      </c>
      <c r="AJ7" s="13">
        <f ca="1">'TR TUSD'!$AJ$7*'TR TUSD'!$AJ$72</f>
        <v>1.0257175466371102</v>
      </c>
      <c r="AK7" s="13">
        <f ca="1">'TR TUSD'!$AK$7*'TR TUSD'!$AK$72</f>
        <v>0.26725633743050747</v>
      </c>
      <c r="AL7" s="13">
        <f ca="1">SUM($AH$7:$AK$7)</f>
        <v>13.015925700677373</v>
      </c>
      <c r="AM7" s="13">
        <f ca="1">SUMIF($L$4:$AL$4,"SUBTOTAL",$L$7:$AL$7)</f>
        <v>118.35875181404104</v>
      </c>
      <c r="AP7" s="13">
        <v>1</v>
      </c>
    </row>
    <row r="8" spans="1:42" ht="11.25" customHeight="1" x14ac:dyDescent="0.3">
      <c r="A8" s="137"/>
      <c r="B8" s="137"/>
      <c r="C8" s="137"/>
      <c r="D8" s="137"/>
      <c r="E8" s="17" t="s">
        <v>87</v>
      </c>
      <c r="F8" s="17" t="s">
        <v>25</v>
      </c>
      <c r="G8" s="18" t="s">
        <v>83</v>
      </c>
      <c r="H8" s="18" t="s">
        <v>79</v>
      </c>
      <c r="I8" s="18">
        <f>'MERCADO TUSD'!$U$5</f>
        <v>0</v>
      </c>
      <c r="J8" s="15"/>
      <c r="L8" s="13">
        <f>'TR TUSD'!$L$8*'TR TUSD'!$L$72</f>
        <v>0</v>
      </c>
      <c r="M8" s="13">
        <f>'TR TUSD'!$M$8*'TR TUSD'!$M$72</f>
        <v>0.50067136987736338</v>
      </c>
      <c r="N8" s="13">
        <f ca="1">'TR TUSD'!$N$8*'TR TUSD'!$N$72</f>
        <v>0.29935053968223052</v>
      </c>
      <c r="O8" s="13">
        <f>'TR TUSD'!$O$8*'TR TUSD'!$O$72</f>
        <v>0</v>
      </c>
      <c r="P8" s="13">
        <f>'TR TUSD'!$P$8*'TR TUSD'!$P$72</f>
        <v>0</v>
      </c>
      <c r="Q8" s="13">
        <f>'TR TUSD'!$Q$8*'TR TUSD'!$Q$72</f>
        <v>0</v>
      </c>
      <c r="R8" s="13">
        <f>'TR TUSD'!$R$8*'TR TUSD'!$R$72</f>
        <v>0</v>
      </c>
      <c r="S8" s="13">
        <f>'TR TUSD'!$S$8*'TR TUSD'!$S$72</f>
        <v>0</v>
      </c>
      <c r="T8" s="13">
        <f ca="1">SUM($L$8:$S$8)</f>
        <v>0.80002190955959396</v>
      </c>
      <c r="U8" s="13">
        <f>'TR TUSD'!$U$8*'TR TUSD'!$U$72</f>
        <v>0</v>
      </c>
      <c r="V8" s="13">
        <f>'TR TUSD'!$V$8*'TR TUSD'!$V$72</f>
        <v>0</v>
      </c>
      <c r="W8" s="13">
        <f>'TR TUSD'!$W$8*'TR TUSD'!$W$72</f>
        <v>0</v>
      </c>
      <c r="X8" s="13">
        <f>'TR TUSD'!$X$8*'TR TUSD'!$X$72</f>
        <v>0</v>
      </c>
      <c r="Y8" s="13">
        <f>'TR TUSD'!$Y$8*'TR TUSD'!$Y$72</f>
        <v>0</v>
      </c>
      <c r="Z8" s="13">
        <f>'TR TUSD'!$Z$8</f>
        <v>0</v>
      </c>
      <c r="AA8" s="13">
        <f>'TR TUSD'!$AA$8</f>
        <v>0</v>
      </c>
      <c r="AB8" s="13">
        <f>SUM($U$8:$AA$8)</f>
        <v>0</v>
      </c>
      <c r="AC8" s="13">
        <f>'TR TUSD'!$AC$8*'TR TUSD'!$AC$72</f>
        <v>0</v>
      </c>
      <c r="AD8" s="13">
        <f>SUM($AC$8:$AC$8)</f>
        <v>0</v>
      </c>
      <c r="AE8" s="13">
        <v>0</v>
      </c>
      <c r="AF8" s="13">
        <v>0</v>
      </c>
      <c r="AG8" s="13">
        <f>SUM($AE$8:$AF$8)</f>
        <v>0</v>
      </c>
      <c r="AH8" s="13">
        <f>'TR TUSD'!$AH$8*'TR TUSD'!$AH$72</f>
        <v>11.387849617754087</v>
      </c>
      <c r="AI8" s="13">
        <f>'TR TUSD'!$AI$8*'TR TUSD'!$AI$72</f>
        <v>0.33510219885566717</v>
      </c>
      <c r="AJ8" s="13">
        <f ca="1">'TR TUSD'!$AJ$8*'TR TUSD'!$AJ$72</f>
        <v>1.0257175466371102</v>
      </c>
      <c r="AK8" s="13">
        <f ca="1">'TR TUSD'!$AK$8*'TR TUSD'!$AK$72</f>
        <v>0.26725633743050747</v>
      </c>
      <c r="AL8" s="13">
        <f ca="1">SUM($AH$8:$AK$8)</f>
        <v>13.015925700677373</v>
      </c>
      <c r="AM8" s="13">
        <f ca="1">SUMIF($L$4:$AL$4,"SUBTOTAL",$L$8:$AL$8)</f>
        <v>13.815947610236968</v>
      </c>
      <c r="AP8" s="13">
        <v>1</v>
      </c>
    </row>
    <row r="9" spans="1:42" ht="11.25" customHeight="1" x14ac:dyDescent="0.3">
      <c r="A9" s="137"/>
      <c r="B9" s="17" t="s">
        <v>60</v>
      </c>
      <c r="C9" s="17" t="s">
        <v>25</v>
      </c>
      <c r="D9" s="17" t="s">
        <v>25</v>
      </c>
      <c r="E9" s="17" t="s">
        <v>25</v>
      </c>
      <c r="F9" s="17" t="s">
        <v>25</v>
      </c>
      <c r="G9" s="18" t="s">
        <v>9</v>
      </c>
      <c r="H9" s="18" t="s">
        <v>84</v>
      </c>
      <c r="I9" s="18">
        <f>'MERCADO TUSD'!$U$6</f>
        <v>36120</v>
      </c>
      <c r="J9" s="15"/>
      <c r="L9" s="13">
        <f>'TR TUSD'!$L$9*'TR TUSD'!$L$72</f>
        <v>0</v>
      </c>
      <c r="M9" s="13">
        <f>'TR TUSD'!$M$9*'TR TUSD'!$M$72</f>
        <v>6.9297680709272558E-2</v>
      </c>
      <c r="N9" s="13">
        <f ca="1">'TR TUSD'!$N$9*'TR TUSD'!$N$72</f>
        <v>0.20446369903815179</v>
      </c>
      <c r="O9" s="13">
        <f>'TR TUSD'!$O$9*'TR TUSD'!$O$72</f>
        <v>0</v>
      </c>
      <c r="P9" s="13">
        <f>'TR TUSD'!$P$9*'TR TUSD'!$P$72</f>
        <v>0</v>
      </c>
      <c r="Q9" s="13">
        <f>'TR TUSD'!$Q$9*'TR TUSD'!$Q$72</f>
        <v>0</v>
      </c>
      <c r="R9" s="13">
        <f>'TR TUSD'!$R$9*'TR TUSD'!$R$72</f>
        <v>0</v>
      </c>
      <c r="S9" s="13">
        <f>'TR TUSD'!$S$9*'TR TUSD'!$S$72</f>
        <v>0</v>
      </c>
      <c r="T9" s="13">
        <f ca="1">SUM($L$9:$S$9)</f>
        <v>0.27376137974742432</v>
      </c>
      <c r="U9" s="13">
        <f>'TR TUSD'!$U$9*'TR TUSD'!$U$72</f>
        <v>0</v>
      </c>
      <c r="V9" s="13">
        <f>'TR TUSD'!$V$9*'TR TUSD'!$V$72</f>
        <v>0</v>
      </c>
      <c r="W9" s="13">
        <f>'TR TUSD'!$W$9*'TR TUSD'!$W$72</f>
        <v>0</v>
      </c>
      <c r="X9" s="13">
        <f>'TR TUSD'!$X$9*'TR TUSD'!$X$72</f>
        <v>0</v>
      </c>
      <c r="Y9" s="13">
        <f>'TR TUSD'!$Y$9*'TR TUSD'!$Y$72</f>
        <v>0</v>
      </c>
      <c r="Z9" s="13">
        <f>'TR TUSD'!$Z$9*'TR TUSD'!$Z$72</f>
        <v>0</v>
      </c>
      <c r="AA9" s="13">
        <f>'TR TUSD'!$AA$9*'TR TUSD'!$AA$72</f>
        <v>0</v>
      </c>
      <c r="AB9" s="13">
        <f>SUM($U$9:$AA$9)</f>
        <v>0</v>
      </c>
      <c r="AC9" s="13">
        <f>'TR TUSD'!$AC$9*'TR TUSD'!$AC$72</f>
        <v>12.717205935462069</v>
      </c>
      <c r="AD9" s="13">
        <f>SUM($AC$9:$AC$9)</f>
        <v>12.717205935462069</v>
      </c>
      <c r="AE9" s="13">
        <v>0</v>
      </c>
      <c r="AF9" s="13">
        <v>0</v>
      </c>
      <c r="AG9" s="13">
        <f>SUM($AE$9:$AF$9)</f>
        <v>0</v>
      </c>
      <c r="AH9" s="13">
        <f>'TR TUSD'!$AH$9*'TR TUSD'!$AH$72</f>
        <v>6.7318766156827794E-3</v>
      </c>
      <c r="AI9" s="13">
        <f>'TR TUSD'!$AI$9*'TR TUSD'!$AI$72</f>
        <v>0</v>
      </c>
      <c r="AJ9" s="13">
        <f ca="1">'TR TUSD'!$AJ$9*'TR TUSD'!$AJ$72</f>
        <v>0</v>
      </c>
      <c r="AK9" s="13">
        <f ca="1">'TR TUSD'!$AK$9*'TR TUSD'!$AK$72</f>
        <v>0</v>
      </c>
      <c r="AL9" s="13">
        <f ca="1">SUM($AH$9:$AK$9)</f>
        <v>6.7318766156827794E-3</v>
      </c>
      <c r="AM9" s="13">
        <f ca="1">SUMIF($L$4:$AL$4,"SUBTOTAL",$L$9:$AL$9)</f>
        <v>12.997699191825177</v>
      </c>
      <c r="AP9" s="13"/>
    </row>
    <row r="10" spans="1:42" ht="11.25" customHeight="1" x14ac:dyDescent="0.3">
      <c r="A10" s="137"/>
      <c r="B10" s="137" t="s">
        <v>40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18" t="s">
        <v>9</v>
      </c>
      <c r="H10" s="18" t="s">
        <v>84</v>
      </c>
      <c r="I10" s="18">
        <f>'MERCADO TUSD'!$U$7</f>
        <v>685</v>
      </c>
      <c r="J10" s="15"/>
      <c r="L10" s="13">
        <f>'TR TUSD'!$L$10*'TR TUSD'!$L$72</f>
        <v>0</v>
      </c>
      <c r="M10" s="13">
        <f>'TR TUSD'!$M$10*'TR TUSD'!$M$72</f>
        <v>0</v>
      </c>
      <c r="N10" s="13">
        <f ca="1">'TR TUSD'!$N$10*'TR TUSD'!$N$72</f>
        <v>0</v>
      </c>
      <c r="O10" s="13">
        <f>'TR TUSD'!$O$10*'TR TUSD'!$O$72</f>
        <v>0</v>
      </c>
      <c r="P10" s="13">
        <f>'TR TUSD'!$P$10*'TR TUSD'!$P$72</f>
        <v>0</v>
      </c>
      <c r="Q10" s="13">
        <f>'TR TUSD'!$Q$10*'TR TUSD'!$Q$72</f>
        <v>0</v>
      </c>
      <c r="R10" s="13">
        <f>'TR TUSD'!$R$10*'TR TUSD'!$R$72</f>
        <v>0</v>
      </c>
      <c r="S10" s="13">
        <f>'TR TUSD'!$S$10*'TR TUSD'!$S$72</f>
        <v>0</v>
      </c>
      <c r="T10" s="13">
        <f ca="1">SUM($L$10:$S$10)</f>
        <v>0</v>
      </c>
      <c r="U10" s="13">
        <f>'TR TUSD'!$U$10*'TR TUSD'!$U$72</f>
        <v>4.436820708663479</v>
      </c>
      <c r="V10" s="13">
        <f>'TR TUSD'!$V$10*'TR TUSD'!$V$72</f>
        <v>2.1448823466959137</v>
      </c>
      <c r="W10" s="13">
        <f>'TR TUSD'!$W$10*'TR TUSD'!$W$72</f>
        <v>0</v>
      </c>
      <c r="X10" s="13">
        <f>'TR TUSD'!$X$10*'TR TUSD'!$X$72</f>
        <v>0</v>
      </c>
      <c r="Y10" s="13">
        <f>'TR TUSD'!$Y$10*'TR TUSD'!$Y$72</f>
        <v>0</v>
      </c>
      <c r="Z10" s="13">
        <f>'TR TUSD'!$Z$10</f>
        <v>0</v>
      </c>
      <c r="AA10" s="13">
        <f>'TR TUSD'!$AA$10</f>
        <v>0</v>
      </c>
      <c r="AB10" s="13">
        <f>SUM($U$10:$AA$10)</f>
        <v>6.5817030553593927</v>
      </c>
      <c r="AC10" s="13">
        <f>'TR TUSD'!$AC$10*'TR TUSD'!$AC$72</f>
        <v>15.166333705263506</v>
      </c>
      <c r="AD10" s="13">
        <f>SUM($AC$10:$AC$10)</f>
        <v>15.166333705263506</v>
      </c>
      <c r="AE10" s="13">
        <v>0</v>
      </c>
      <c r="AF10" s="13">
        <v>0</v>
      </c>
      <c r="AG10" s="13">
        <f>SUM($AE$10:$AF$10)</f>
        <v>0</v>
      </c>
      <c r="AH10" s="13">
        <f>'TR TUSD'!$AH$10*'TR TUSD'!$AH$72</f>
        <v>0</v>
      </c>
      <c r="AI10" s="13">
        <f>'TR TUSD'!$AI$10*'TR TUSD'!$AI$72</f>
        <v>0</v>
      </c>
      <c r="AJ10" s="13">
        <f ca="1">'TR TUSD'!$AJ$10*'TR TUSD'!$AJ$72</f>
        <v>0</v>
      </c>
      <c r="AK10" s="13">
        <f ca="1">'TR TUSD'!$AK$10*'TR TUSD'!$AK$72</f>
        <v>0</v>
      </c>
      <c r="AL10" s="13">
        <f ca="1">SUM($AH$10:$AK$10)</f>
        <v>0</v>
      </c>
      <c r="AM10" s="13">
        <f ca="1">SUMIF($L$4:$AL$4,"SUBTOTAL",$L$10:$AL$10)</f>
        <v>21.748036760622899</v>
      </c>
      <c r="AP10" s="13">
        <v>1</v>
      </c>
    </row>
    <row r="11" spans="1:42" ht="11.25" customHeight="1" x14ac:dyDescent="0.3">
      <c r="A11" s="137"/>
      <c r="B11" s="137"/>
      <c r="C11" s="137"/>
      <c r="D11" s="137"/>
      <c r="E11" s="137"/>
      <c r="F11" s="137"/>
      <c r="G11" s="18" t="s">
        <v>80</v>
      </c>
      <c r="H11" s="18" t="s">
        <v>79</v>
      </c>
      <c r="I11" s="18">
        <f>'MERCADO TUSD'!$U$8</f>
        <v>5.4909999999999997</v>
      </c>
      <c r="J11" s="15"/>
      <c r="L11" s="13">
        <f>'TR TUSD'!$L$11*'TR TUSD'!$L$72</f>
        <v>11.200185211008845</v>
      </c>
      <c r="M11" s="13">
        <f>'TR TUSD'!$M$11*'TR TUSD'!$M$72</f>
        <v>0.50067136987736338</v>
      </c>
      <c r="N11" s="13">
        <f ca="1">'TR TUSD'!$N$11*'TR TUSD'!$N$72</f>
        <v>13.14223626009899</v>
      </c>
      <c r="O11" s="13">
        <f>'TR TUSD'!$O$11*'TR TUSD'!$O$72</f>
        <v>0</v>
      </c>
      <c r="P11" s="13">
        <f>'TR TUSD'!$P$11*'TR TUSD'!$P$72</f>
        <v>0</v>
      </c>
      <c r="Q11" s="13">
        <f>'TR TUSD'!$Q$11*'TR TUSD'!$Q$72</f>
        <v>78.531472519397838</v>
      </c>
      <c r="R11" s="13">
        <f>'TR TUSD'!$R$11*'TR TUSD'!$R$72</f>
        <v>14.799409177241358</v>
      </c>
      <c r="S11" s="13">
        <f>'TR TUSD'!$S$11*'TR TUSD'!$S$72</f>
        <v>0</v>
      </c>
      <c r="T11" s="13">
        <f ca="1">SUM($L$11:$S$11)</f>
        <v>118.17397453762439</v>
      </c>
      <c r="U11" s="13">
        <f>'TR TUSD'!$U$11*'TR TUSD'!$U$72</f>
        <v>184.96331290160066</v>
      </c>
      <c r="V11" s="13">
        <f>'TR TUSD'!$V$11*'TR TUSD'!$V$72</f>
        <v>86.325134873329063</v>
      </c>
      <c r="W11" s="13">
        <f>'TR TUSD'!$W$11*'TR TUSD'!$W$72</f>
        <v>0</v>
      </c>
      <c r="X11" s="13">
        <f>'TR TUSD'!$X$11*'TR TUSD'!$X$72</f>
        <v>0</v>
      </c>
      <c r="Y11" s="13">
        <f>'TR TUSD'!$Y$11*'TR TUSD'!$Y$72</f>
        <v>0</v>
      </c>
      <c r="Z11" s="13">
        <f>'TR TUSD'!$Z$11</f>
        <v>0</v>
      </c>
      <c r="AA11" s="13">
        <f>'TR TUSD'!$AA$11</f>
        <v>0</v>
      </c>
      <c r="AB11" s="13">
        <f>SUM($U$11:$AA$11)</f>
        <v>271.28844777492975</v>
      </c>
      <c r="AC11" s="13">
        <f>'TR TUSD'!$AC$11*'TR TUSD'!$AC$72</f>
        <v>987.45803265912139</v>
      </c>
      <c r="AD11" s="13">
        <f>SUM($AC$11:$AC$11)</f>
        <v>987.45803265912139</v>
      </c>
      <c r="AE11" s="13">
        <v>0</v>
      </c>
      <c r="AF11" s="13">
        <v>0</v>
      </c>
      <c r="AG11" s="13">
        <f>SUM($AE$11:$AF$11)</f>
        <v>0</v>
      </c>
      <c r="AH11" s="13">
        <f>'TR TUSD'!$AH$11*'TR TUSD'!$AH$72</f>
        <v>11.387849617754087</v>
      </c>
      <c r="AI11" s="13">
        <f>'TR TUSD'!$AI$11*'TR TUSD'!$AI$72</f>
        <v>0.33510219885566717</v>
      </c>
      <c r="AJ11" s="13">
        <f ca="1">'TR TUSD'!$AJ$11*'TR TUSD'!$AJ$72</f>
        <v>1.0257175466371102</v>
      </c>
      <c r="AK11" s="13">
        <f ca="1">'TR TUSD'!$AK$11*'TR TUSD'!$AK$72</f>
        <v>0.26725633743050747</v>
      </c>
      <c r="AL11" s="13">
        <f ca="1">SUM($AH$11:$AK$11)</f>
        <v>13.015925700677373</v>
      </c>
      <c r="AM11" s="13">
        <f ca="1">SUMIF($L$4:$AL$4,"SUBTOTAL",$L$11:$AL$11)</f>
        <v>1389.9363806723529</v>
      </c>
      <c r="AP11" s="13">
        <v>1</v>
      </c>
    </row>
    <row r="12" spans="1:42" ht="11.25" customHeight="1" x14ac:dyDescent="0.3">
      <c r="A12" s="137"/>
      <c r="B12" s="137"/>
      <c r="C12" s="137"/>
      <c r="D12" s="137"/>
      <c r="E12" s="137"/>
      <c r="F12" s="137"/>
      <c r="G12" s="18" t="s">
        <v>81</v>
      </c>
      <c r="H12" s="18" t="s">
        <v>79</v>
      </c>
      <c r="I12" s="18">
        <f>'MERCADO TUSD'!$U$9</f>
        <v>46.585999999999999</v>
      </c>
      <c r="J12" s="15"/>
      <c r="L12" s="13">
        <f>'TR TUSD'!$L$12*'TR TUSD'!$L$72</f>
        <v>11.200185211008845</v>
      </c>
      <c r="M12" s="13">
        <f>'TR TUSD'!$M$12*'TR TUSD'!$M$72</f>
        <v>0.50067136987736338</v>
      </c>
      <c r="N12" s="13">
        <f ca="1">'TR TUSD'!$N$12*'TR TUSD'!$N$72</f>
        <v>0.31108783583826682</v>
      </c>
      <c r="O12" s="13">
        <f>'TR TUSD'!$O$12*'TR TUSD'!$O$72</f>
        <v>0</v>
      </c>
      <c r="P12" s="13">
        <f>'TR TUSD'!$P$12*'TR TUSD'!$P$72</f>
        <v>0</v>
      </c>
      <c r="Q12" s="13">
        <f>'TR TUSD'!$Q$12*'TR TUSD'!$Q$72</f>
        <v>78.531472519397838</v>
      </c>
      <c r="R12" s="13">
        <f>'TR TUSD'!$R$12*'TR TUSD'!$R$72</f>
        <v>14.799409177241358</v>
      </c>
      <c r="S12" s="13">
        <f>'TR TUSD'!$S$12*'TR TUSD'!$S$72</f>
        <v>0</v>
      </c>
      <c r="T12" s="13">
        <f ca="1">SUM($L$12:$S$12)</f>
        <v>105.34282611336367</v>
      </c>
      <c r="U12" s="13">
        <f>'TR TUSD'!$U$12*'TR TUSD'!$U$72</f>
        <v>0</v>
      </c>
      <c r="V12" s="13">
        <f>'TR TUSD'!$V$12*'TR TUSD'!$V$72</f>
        <v>0</v>
      </c>
      <c r="W12" s="13">
        <f>'TR TUSD'!$W$12*'TR TUSD'!$W$72</f>
        <v>0</v>
      </c>
      <c r="X12" s="13">
        <f>'TR TUSD'!$X$12*'TR TUSD'!$X$72</f>
        <v>0</v>
      </c>
      <c r="Y12" s="13">
        <f>'TR TUSD'!$Y$12*'TR TUSD'!$Y$72</f>
        <v>0</v>
      </c>
      <c r="Z12" s="13">
        <f>'TR TUSD'!$Z$12</f>
        <v>0</v>
      </c>
      <c r="AA12" s="13">
        <f>'TR TUSD'!$AA$12</f>
        <v>0</v>
      </c>
      <c r="AB12" s="13">
        <f>SUM($U$12:$AA$12)</f>
        <v>0</v>
      </c>
      <c r="AC12" s="13">
        <f>'TR TUSD'!$AC$12*'TR TUSD'!$AC$72</f>
        <v>0</v>
      </c>
      <c r="AD12" s="13">
        <f>SUM($AC$12:$AC$12)</f>
        <v>0</v>
      </c>
      <c r="AE12" s="13">
        <v>0</v>
      </c>
      <c r="AF12" s="13">
        <v>0</v>
      </c>
      <c r="AG12" s="13">
        <f>SUM($AE$12:$AF$12)</f>
        <v>0</v>
      </c>
      <c r="AH12" s="13">
        <f>'TR TUSD'!$AH$12*'TR TUSD'!$AH$72</f>
        <v>11.387849617754087</v>
      </c>
      <c r="AI12" s="13">
        <f>'TR TUSD'!$AI$12*'TR TUSD'!$AI$72</f>
        <v>0.33510219885566717</v>
      </c>
      <c r="AJ12" s="13">
        <f ca="1">'TR TUSD'!$AJ$12*'TR TUSD'!$AJ$72</f>
        <v>1.0257175466371102</v>
      </c>
      <c r="AK12" s="13">
        <f ca="1">'TR TUSD'!$AK$12*'TR TUSD'!$AK$72</f>
        <v>0.26725633743050747</v>
      </c>
      <c r="AL12" s="13">
        <f ca="1">SUM($AH$12:$AK$12)</f>
        <v>13.015925700677373</v>
      </c>
      <c r="AM12" s="13">
        <f ca="1">SUMIF($L$4:$AL$4,"SUBTOTAL",$L$12:$AL$12)</f>
        <v>118.35875181404104</v>
      </c>
      <c r="AP12" s="13">
        <v>1</v>
      </c>
    </row>
    <row r="13" spans="1:42" ht="11.25" customHeight="1" x14ac:dyDescent="0.3">
      <c r="A13" s="137"/>
      <c r="B13" s="137"/>
      <c r="C13" s="137"/>
      <c r="D13" s="137"/>
      <c r="E13" s="137" t="s">
        <v>87</v>
      </c>
      <c r="F13" s="137" t="s">
        <v>25</v>
      </c>
      <c r="G13" s="18" t="s">
        <v>80</v>
      </c>
      <c r="H13" s="18" t="s">
        <v>79</v>
      </c>
      <c r="I13" s="18">
        <f>'MERCADO TUSD'!$U$10</f>
        <v>0</v>
      </c>
      <c r="J13" s="15"/>
      <c r="L13" s="13">
        <f>'TR TUSD'!$L$13*'TR TUSD'!$L$72</f>
        <v>0</v>
      </c>
      <c r="M13" s="13">
        <f>'TR TUSD'!$M$13*'TR TUSD'!$M$72</f>
        <v>0.50067136987736338</v>
      </c>
      <c r="N13" s="13">
        <f ca="1">'TR TUSD'!$N$13*'TR TUSD'!$N$72</f>
        <v>13.130498963942953</v>
      </c>
      <c r="O13" s="13">
        <f>'TR TUSD'!$O$13*'TR TUSD'!$O$72</f>
        <v>0</v>
      </c>
      <c r="P13" s="13">
        <f>'TR TUSD'!$P$13*'TR TUSD'!$P$72</f>
        <v>0</v>
      </c>
      <c r="Q13" s="13">
        <f>'TR TUSD'!$Q$13*'TR TUSD'!$Q$72</f>
        <v>0</v>
      </c>
      <c r="R13" s="13">
        <f>'TR TUSD'!$R$13*'TR TUSD'!$R$72</f>
        <v>0</v>
      </c>
      <c r="S13" s="13">
        <f>'TR TUSD'!$S$13*'TR TUSD'!$S$72</f>
        <v>0</v>
      </c>
      <c r="T13" s="13">
        <f ca="1">SUM($L$13:$S$13)</f>
        <v>13.631170333820316</v>
      </c>
      <c r="U13" s="13">
        <f>'TR TUSD'!$U$13*'TR TUSD'!$U$72</f>
        <v>184.96331290160066</v>
      </c>
      <c r="V13" s="13">
        <f>'TR TUSD'!$V$13*'TR TUSD'!$V$72</f>
        <v>86.325134873329063</v>
      </c>
      <c r="W13" s="13">
        <f>'TR TUSD'!$W$13*'TR TUSD'!$W$72</f>
        <v>0</v>
      </c>
      <c r="X13" s="13">
        <f>'TR TUSD'!$X$13*'TR TUSD'!$X$72</f>
        <v>0</v>
      </c>
      <c r="Y13" s="13">
        <f>'TR TUSD'!$Y$13*'TR TUSD'!$Y$72</f>
        <v>0</v>
      </c>
      <c r="Z13" s="13">
        <f>'TR TUSD'!$Z$13</f>
        <v>0</v>
      </c>
      <c r="AA13" s="13">
        <f>'TR TUSD'!$AA$13</f>
        <v>0</v>
      </c>
      <c r="AB13" s="13">
        <f>SUM($U$13:$AA$13)</f>
        <v>271.28844777492975</v>
      </c>
      <c r="AC13" s="13">
        <f>'TR TUSD'!$AC$13*'TR TUSD'!$AC$72</f>
        <v>987.45803265912139</v>
      </c>
      <c r="AD13" s="13">
        <f>SUM($AC$13:$AC$13)</f>
        <v>987.45803265912139</v>
      </c>
      <c r="AE13" s="13">
        <v>0</v>
      </c>
      <c r="AF13" s="13">
        <v>0</v>
      </c>
      <c r="AG13" s="13">
        <f>SUM($AE$13:$AF$13)</f>
        <v>0</v>
      </c>
      <c r="AH13" s="13">
        <f>'TR TUSD'!$AH$13*'TR TUSD'!$AH$72</f>
        <v>11.387849617754087</v>
      </c>
      <c r="AI13" s="13">
        <f>'TR TUSD'!$AI$13*'TR TUSD'!$AI$72</f>
        <v>0.33510219885566717</v>
      </c>
      <c r="AJ13" s="13">
        <f ca="1">'TR TUSD'!$AJ$13*'TR TUSD'!$AJ$72</f>
        <v>1.0257175466371102</v>
      </c>
      <c r="AK13" s="13">
        <f ca="1">'TR TUSD'!$AK$13*'TR TUSD'!$AK$72</f>
        <v>0.26725633743050747</v>
      </c>
      <c r="AL13" s="13">
        <f ca="1">SUM($AH$13:$AK$13)</f>
        <v>13.015925700677373</v>
      </c>
      <c r="AM13" s="13">
        <f ca="1">SUMIF($L$4:$AL$4,"SUBTOTAL",$L$13:$AL$13)</f>
        <v>1285.3935764685489</v>
      </c>
      <c r="AP13" s="13">
        <v>1</v>
      </c>
    </row>
    <row r="14" spans="1:42" ht="11.25" customHeight="1" x14ac:dyDescent="0.3">
      <c r="A14" s="137"/>
      <c r="B14" s="137"/>
      <c r="C14" s="137"/>
      <c r="D14" s="137"/>
      <c r="E14" s="137"/>
      <c r="F14" s="137"/>
      <c r="G14" s="18" t="s">
        <v>81</v>
      </c>
      <c r="H14" s="18" t="s">
        <v>79</v>
      </c>
      <c r="I14" s="18">
        <f>'MERCADO TUSD'!$U$11</f>
        <v>0</v>
      </c>
      <c r="J14" s="15"/>
      <c r="L14" s="13">
        <f>'TR TUSD'!$L$14*'TR TUSD'!$L$72</f>
        <v>0</v>
      </c>
      <c r="M14" s="13">
        <f>'TR TUSD'!$M$14*'TR TUSD'!$M$72</f>
        <v>0.50067136987736338</v>
      </c>
      <c r="N14" s="13">
        <f ca="1">'TR TUSD'!$N$14*'TR TUSD'!$N$72</f>
        <v>0.29935053968223052</v>
      </c>
      <c r="O14" s="13">
        <f>'TR TUSD'!$O$14*'TR TUSD'!$O$72</f>
        <v>0</v>
      </c>
      <c r="P14" s="13">
        <f>'TR TUSD'!$P$14*'TR TUSD'!$P$72</f>
        <v>0</v>
      </c>
      <c r="Q14" s="13">
        <f>'TR TUSD'!$Q$14*'TR TUSD'!$Q$72</f>
        <v>0</v>
      </c>
      <c r="R14" s="13">
        <f>'TR TUSD'!$R$14*'TR TUSD'!$R$72</f>
        <v>0</v>
      </c>
      <c r="S14" s="13">
        <f>'TR TUSD'!$S$14*'TR TUSD'!$S$72</f>
        <v>0</v>
      </c>
      <c r="T14" s="13">
        <f ca="1">SUM($L$14:$S$14)</f>
        <v>0.80002190955959396</v>
      </c>
      <c r="U14" s="13">
        <f>'TR TUSD'!$U$14*'TR TUSD'!$U$72</f>
        <v>0</v>
      </c>
      <c r="V14" s="13">
        <f>'TR TUSD'!$V$14*'TR TUSD'!$V$72</f>
        <v>0</v>
      </c>
      <c r="W14" s="13">
        <f>'TR TUSD'!$W$14*'TR TUSD'!$W$72</f>
        <v>0</v>
      </c>
      <c r="X14" s="13">
        <f>'TR TUSD'!$X$14*'TR TUSD'!$X$72</f>
        <v>0</v>
      </c>
      <c r="Y14" s="13">
        <f>'TR TUSD'!$Y$14*'TR TUSD'!$Y$72</f>
        <v>0</v>
      </c>
      <c r="Z14" s="13">
        <f>'TR TUSD'!$Z$14</f>
        <v>0</v>
      </c>
      <c r="AA14" s="13">
        <f>'TR TUSD'!$AA$14</f>
        <v>0</v>
      </c>
      <c r="AB14" s="13">
        <f>SUM($U$14:$AA$14)</f>
        <v>0</v>
      </c>
      <c r="AC14" s="13">
        <f>'TR TUSD'!$AC$14*'TR TUSD'!$AC$72</f>
        <v>0</v>
      </c>
      <c r="AD14" s="13">
        <f>SUM($AC$14:$AC$14)</f>
        <v>0</v>
      </c>
      <c r="AE14" s="13">
        <v>0</v>
      </c>
      <c r="AF14" s="13">
        <v>0</v>
      </c>
      <c r="AG14" s="13">
        <f>SUM($AE$14:$AF$14)</f>
        <v>0</v>
      </c>
      <c r="AH14" s="13">
        <f>'TR TUSD'!$AH$14*'TR TUSD'!$AH$72</f>
        <v>11.387849617754087</v>
      </c>
      <c r="AI14" s="13">
        <f>'TR TUSD'!$AI$14*'TR TUSD'!$AI$72</f>
        <v>0.33510219885566717</v>
      </c>
      <c r="AJ14" s="13">
        <f ca="1">'TR TUSD'!$AJ$14*'TR TUSD'!$AJ$72</f>
        <v>1.0257175466371102</v>
      </c>
      <c r="AK14" s="13">
        <f ca="1">'TR TUSD'!$AK$14*'TR TUSD'!$AK$72</f>
        <v>0.26725633743050747</v>
      </c>
      <c r="AL14" s="13">
        <f ca="1">SUM($AH$14:$AK$14)</f>
        <v>13.015925700677373</v>
      </c>
      <c r="AM14" s="13">
        <f ca="1">SUMIF($L$4:$AL$4,"SUBTOTAL",$L$14:$AL$14)</f>
        <v>13.815947610236968</v>
      </c>
      <c r="AP14" s="13">
        <v>1</v>
      </c>
    </row>
    <row r="15" spans="1:42" ht="11.25" customHeight="1" x14ac:dyDescent="0.3">
      <c r="A15" s="137"/>
      <c r="B15" s="137" t="s">
        <v>23</v>
      </c>
      <c r="C15" s="137" t="s">
        <v>25</v>
      </c>
      <c r="D15" s="137" t="s">
        <v>25</v>
      </c>
      <c r="E15" s="137" t="s">
        <v>25</v>
      </c>
      <c r="F15" s="137" t="s">
        <v>25</v>
      </c>
      <c r="G15" s="18" t="s">
        <v>9</v>
      </c>
      <c r="H15" s="18" t="s">
        <v>84</v>
      </c>
      <c r="I15" s="18">
        <f>'MERCADO TUSD'!$U$12</f>
        <v>0</v>
      </c>
      <c r="J15" s="15"/>
      <c r="L15" s="13">
        <f>'TR TUSD'!$L$15*'TR TUSD'!$L$72</f>
        <v>0</v>
      </c>
      <c r="M15" s="13">
        <f>'TR TUSD'!$M$15*'TR TUSD'!$M$72</f>
        <v>0</v>
      </c>
      <c r="N15" s="13">
        <f ca="1">'TR TUSD'!$N$15*'TR TUSD'!$N$72</f>
        <v>0</v>
      </c>
      <c r="O15" s="13">
        <f>'TR TUSD'!$O$15*'TR TUSD'!$O$72</f>
        <v>0</v>
      </c>
      <c r="P15" s="13">
        <f>'TR TUSD'!$P$15*'TR TUSD'!$P$72</f>
        <v>0</v>
      </c>
      <c r="Q15" s="13">
        <f>'TR TUSD'!$Q$15*'TR TUSD'!$Q$72</f>
        <v>0</v>
      </c>
      <c r="R15" s="13">
        <f>'TR TUSD'!$R$15*'TR TUSD'!$R$72</f>
        <v>0</v>
      </c>
      <c r="S15" s="13">
        <f>'TR TUSD'!$S$15*'TR TUSD'!$S$72</f>
        <v>0</v>
      </c>
      <c r="T15" s="13">
        <f ca="1">SUM($L$15:$S$15)</f>
        <v>0</v>
      </c>
      <c r="U15" s="13">
        <f>'TR TUSD'!$U$15*'TR TUSD'!$U$72</f>
        <v>9.9741671040082807</v>
      </c>
      <c r="V15" s="13">
        <f>'TR TUSD'!$V$15*'TR TUSD'!$V$72</f>
        <v>4.7292469525596745</v>
      </c>
      <c r="W15" s="13">
        <f>'TR TUSD'!$W$15*'TR TUSD'!$W$72</f>
        <v>0</v>
      </c>
      <c r="X15" s="13">
        <f>'TR TUSD'!$X$15*'TR TUSD'!$X$72</f>
        <v>0</v>
      </c>
      <c r="Y15" s="13">
        <f>'TR TUSD'!$Y$15*'TR TUSD'!$Y$72</f>
        <v>0</v>
      </c>
      <c r="Z15" s="13">
        <f>'TR TUSD'!$Z$15</f>
        <v>0</v>
      </c>
      <c r="AA15" s="13">
        <f>'TR TUSD'!$AA$15</f>
        <v>0</v>
      </c>
      <c r="AB15" s="13">
        <f>SUM($U$15:$AA$15)</f>
        <v>14.703414056567954</v>
      </c>
      <c r="AC15" s="13">
        <f>'TR TUSD'!$AC$15*'TR TUSD'!$AC$72</f>
        <v>44.728479121626641</v>
      </c>
      <c r="AD15" s="13">
        <f>SUM($AC$15:$AC$15)</f>
        <v>44.728479121626641</v>
      </c>
      <c r="AE15" s="13">
        <v>0</v>
      </c>
      <c r="AF15" s="13">
        <v>0</v>
      </c>
      <c r="AG15" s="13">
        <f>SUM($AE$15:$AF$15)</f>
        <v>0</v>
      </c>
      <c r="AH15" s="13">
        <f>'TR TUSD'!$AH$15*'TR TUSD'!$AH$72</f>
        <v>0</v>
      </c>
      <c r="AI15" s="13">
        <f>'TR TUSD'!$AI$15*'TR TUSD'!$AI$72</f>
        <v>0</v>
      </c>
      <c r="AJ15" s="13">
        <f ca="1">'TR TUSD'!$AJ$15*'TR TUSD'!$AJ$72</f>
        <v>0</v>
      </c>
      <c r="AK15" s="13">
        <f ca="1">'TR TUSD'!$AK$15*'TR TUSD'!$AK$72</f>
        <v>0</v>
      </c>
      <c r="AL15" s="13">
        <f ca="1">SUM($AH$15:$AK$15)</f>
        <v>0</v>
      </c>
      <c r="AM15" s="13">
        <f ca="1">SUMIF($L$4:$AL$4,"SUBTOTAL",$L$15:$AL$15)</f>
        <v>59.431893178194599</v>
      </c>
      <c r="AP15" s="13">
        <v>1</v>
      </c>
    </row>
    <row r="16" spans="1:42" ht="11.25" customHeight="1" x14ac:dyDescent="0.3">
      <c r="A16" s="137"/>
      <c r="B16" s="137"/>
      <c r="C16" s="137"/>
      <c r="D16" s="137"/>
      <c r="E16" s="137"/>
      <c r="F16" s="137"/>
      <c r="G16" s="18" t="s">
        <v>83</v>
      </c>
      <c r="H16" s="18" t="s">
        <v>79</v>
      </c>
      <c r="I16" s="18">
        <f>'MERCADO TUSD'!$U$13</f>
        <v>0</v>
      </c>
      <c r="J16" s="15"/>
      <c r="L16" s="13">
        <f>'TR TUSD'!$L$16*'TR TUSD'!$L$72</f>
        <v>11.200185211008845</v>
      </c>
      <c r="M16" s="13">
        <f>'TR TUSD'!$M$16*'TR TUSD'!$M$72</f>
        <v>0.50067136987736338</v>
      </c>
      <c r="N16" s="13">
        <f ca="1">'TR TUSD'!$N$16*'TR TUSD'!$N$72</f>
        <v>0.31108783583826682</v>
      </c>
      <c r="O16" s="13">
        <f>'TR TUSD'!$O$16*'TR TUSD'!$O$72</f>
        <v>0</v>
      </c>
      <c r="P16" s="13">
        <f>'TR TUSD'!$P$16*'TR TUSD'!$P$72</f>
        <v>0</v>
      </c>
      <c r="Q16" s="13">
        <f>'TR TUSD'!$Q$16*'TR TUSD'!$Q$72</f>
        <v>78.531472519397838</v>
      </c>
      <c r="R16" s="13">
        <f>'TR TUSD'!$R$16*'TR TUSD'!$R$72</f>
        <v>14.799409177241358</v>
      </c>
      <c r="S16" s="13">
        <f>'TR TUSD'!$S$16*'TR TUSD'!$S$72</f>
        <v>0</v>
      </c>
      <c r="T16" s="13">
        <f ca="1">SUM($L$16:$S$16)</f>
        <v>105.34282611336367</v>
      </c>
      <c r="U16" s="13">
        <f>'TR TUSD'!$U$16*'TR TUSD'!$U$72</f>
        <v>0</v>
      </c>
      <c r="V16" s="13">
        <f>'TR TUSD'!$V$16*'TR TUSD'!$V$72</f>
        <v>0</v>
      </c>
      <c r="W16" s="13">
        <f>'TR TUSD'!$W$16*'TR TUSD'!$W$72</f>
        <v>0</v>
      </c>
      <c r="X16" s="13">
        <f>'TR TUSD'!$X$16*'TR TUSD'!$X$72</f>
        <v>0</v>
      </c>
      <c r="Y16" s="13">
        <f>'TR TUSD'!$Y$16*'TR TUSD'!$Y$72</f>
        <v>0</v>
      </c>
      <c r="Z16" s="13">
        <f>'TR TUSD'!$Z$16</f>
        <v>0</v>
      </c>
      <c r="AA16" s="13">
        <f>'TR TUSD'!$AA$16</f>
        <v>0</v>
      </c>
      <c r="AB16" s="13">
        <f>SUM($U$16:$AA$16)</f>
        <v>0</v>
      </c>
      <c r="AC16" s="13">
        <f>'TR TUSD'!$AC$16*'TR TUSD'!$AC$72</f>
        <v>0</v>
      </c>
      <c r="AD16" s="13">
        <f>SUM($AC$16:$AC$16)</f>
        <v>0</v>
      </c>
      <c r="AE16" s="13">
        <v>0</v>
      </c>
      <c r="AF16" s="13">
        <v>0</v>
      </c>
      <c r="AG16" s="13">
        <f>SUM($AE$16:$AF$16)</f>
        <v>0</v>
      </c>
      <c r="AH16" s="13">
        <f>'TR TUSD'!$AH$16*'TR TUSD'!$AH$72</f>
        <v>11.387849617754087</v>
      </c>
      <c r="AI16" s="13">
        <f>'TR TUSD'!$AI$16*'TR TUSD'!$AI$72</f>
        <v>0.33510219885566717</v>
      </c>
      <c r="AJ16" s="13">
        <f ca="1">'TR TUSD'!$AJ$16*'TR TUSD'!$AJ$72</f>
        <v>1.0257175466371102</v>
      </c>
      <c r="AK16" s="13">
        <f ca="1">'TR TUSD'!$AK$16*'TR TUSD'!$AK$72</f>
        <v>0.26725633743050747</v>
      </c>
      <c r="AL16" s="13">
        <f ca="1">SUM($AH$16:$AK$16)</f>
        <v>13.015925700677373</v>
      </c>
      <c r="AM16" s="13">
        <f ca="1">SUMIF($L$4:$AL$4,"SUBTOTAL",$L$16:$AL$16)</f>
        <v>118.35875181404104</v>
      </c>
      <c r="AP16" s="13">
        <v>1</v>
      </c>
    </row>
    <row r="17" spans="1:42" ht="11.25" customHeight="1" x14ac:dyDescent="0.3">
      <c r="A17" s="137" t="s">
        <v>39</v>
      </c>
      <c r="B17" s="137" t="s">
        <v>42</v>
      </c>
      <c r="C17" s="137" t="s">
        <v>25</v>
      </c>
      <c r="D17" s="137" t="s">
        <v>25</v>
      </c>
      <c r="E17" s="137" t="s">
        <v>25</v>
      </c>
      <c r="F17" s="137" t="s">
        <v>25</v>
      </c>
      <c r="G17" s="18" t="s">
        <v>85</v>
      </c>
      <c r="H17" s="18" t="s">
        <v>84</v>
      </c>
      <c r="I17" s="18">
        <f>'MERCADO TUSD'!$U$14</f>
        <v>6798</v>
      </c>
      <c r="J17" s="15"/>
      <c r="L17" s="13">
        <f>'TR TUSD'!$L$17*'TR TUSD'!$L$72</f>
        <v>0</v>
      </c>
      <c r="M17" s="13">
        <f>'TR TUSD'!$M$17*'TR TUSD'!$M$72</f>
        <v>0</v>
      </c>
      <c r="N17" s="13">
        <f ca="1">'TR TUSD'!$N$17*'TR TUSD'!$N$72</f>
        <v>0</v>
      </c>
      <c r="O17" s="13">
        <f>'TR TUSD'!$O$17*'TR TUSD'!$O$72</f>
        <v>0</v>
      </c>
      <c r="P17" s="13">
        <f>'TR TUSD'!$P$17*'TR TUSD'!$P$72</f>
        <v>0</v>
      </c>
      <c r="Q17" s="13">
        <f>'TR TUSD'!$Q$17*'TR TUSD'!$Q$72</f>
        <v>0</v>
      </c>
      <c r="R17" s="13">
        <f>'TR TUSD'!$R$17*'TR TUSD'!$R$72</f>
        <v>0</v>
      </c>
      <c r="S17" s="13">
        <f>'TR TUSD'!$S$17*'TR TUSD'!$S$72</f>
        <v>0</v>
      </c>
      <c r="T17" s="13">
        <f ca="1">SUM($L$17:$S$17)</f>
        <v>0</v>
      </c>
      <c r="U17" s="13">
        <f>'TR TUSD'!$U$17*'TR TUSD'!$U$72</f>
        <v>7.6907869713893069</v>
      </c>
      <c r="V17" s="13">
        <f>'TR TUSD'!$V$17*'TR TUSD'!$V$72</f>
        <v>3.5894284481372583</v>
      </c>
      <c r="W17" s="13">
        <f>'TR TUSD'!$W$17*'TR TUSD'!$W$72</f>
        <v>0</v>
      </c>
      <c r="X17" s="13">
        <f>'TR TUSD'!$X$17*'TR TUSD'!$X$72</f>
        <v>0</v>
      </c>
      <c r="Y17" s="13">
        <f>'TR TUSD'!$Y$17*'TR TUSD'!$Y$72</f>
        <v>0</v>
      </c>
      <c r="Z17" s="13">
        <f>'TR TUSD'!$Z$17</f>
        <v>0</v>
      </c>
      <c r="AA17" s="13">
        <f>'TR TUSD'!$AA$17</f>
        <v>0</v>
      </c>
      <c r="AB17" s="13">
        <f>SUM($U$17:$AA$17)</f>
        <v>11.280215419526565</v>
      </c>
      <c r="AC17" s="13">
        <f>'TR TUSD'!$AC$17*'TR TUSD'!$AC$72</f>
        <v>41.058527153040046</v>
      </c>
      <c r="AD17" s="13">
        <f>SUM($AC$17:$AC$17)</f>
        <v>41.058527153040046</v>
      </c>
      <c r="AE17" s="13">
        <v>0</v>
      </c>
      <c r="AF17" s="13">
        <v>0</v>
      </c>
      <c r="AG17" s="13">
        <f>SUM($AE$17:$AF$17)</f>
        <v>0</v>
      </c>
      <c r="AH17" s="13">
        <f>'TR TUSD'!$AH$17*'TR TUSD'!$AH$72</f>
        <v>0</v>
      </c>
      <c r="AI17" s="13">
        <f>'TR TUSD'!$AI$17*'TR TUSD'!$AI$72</f>
        <v>0</v>
      </c>
      <c r="AJ17" s="13">
        <f ca="1">'TR TUSD'!$AJ$17*'TR TUSD'!$AJ$72</f>
        <v>0</v>
      </c>
      <c r="AK17" s="13">
        <f ca="1">'TR TUSD'!$AK$17*'TR TUSD'!$AK$72</f>
        <v>0</v>
      </c>
      <c r="AL17" s="13">
        <f ca="1">SUM($AH$17:$AK$17)</f>
        <v>0</v>
      </c>
      <c r="AM17" s="13">
        <f ca="1">SUMIF($L$4:$AL$4,"SUBTOTAL",$L$17:$AL$17)</f>
        <v>52.338742572566609</v>
      </c>
      <c r="AP17" s="13">
        <v>1</v>
      </c>
    </row>
    <row r="18" spans="1:42" ht="11.25" customHeight="1" x14ac:dyDescent="0.3">
      <c r="A18" s="137"/>
      <c r="B18" s="137"/>
      <c r="C18" s="137"/>
      <c r="D18" s="137"/>
      <c r="E18" s="137"/>
      <c r="F18" s="137"/>
      <c r="G18" s="18" t="s">
        <v>86</v>
      </c>
      <c r="H18" s="18" t="s">
        <v>84</v>
      </c>
      <c r="I18" s="18">
        <f>'MERCADO TUSD'!$U$15</f>
        <v>6877</v>
      </c>
      <c r="J18" s="15"/>
      <c r="L18" s="13">
        <f>'TR TUSD'!$L$18*'TR TUSD'!$L$72</f>
        <v>0</v>
      </c>
      <c r="M18" s="13">
        <f>'TR TUSD'!$M$18*'TR TUSD'!$M$72</f>
        <v>0</v>
      </c>
      <c r="N18" s="13">
        <f ca="1">'TR TUSD'!$N$18*'TR TUSD'!$N$72</f>
        <v>0</v>
      </c>
      <c r="O18" s="13">
        <f>'TR TUSD'!$O$18*'TR TUSD'!$O$72</f>
        <v>0</v>
      </c>
      <c r="P18" s="13">
        <f>'TR TUSD'!$P$18*'TR TUSD'!$P$72</f>
        <v>0</v>
      </c>
      <c r="Q18" s="13">
        <f>'TR TUSD'!$Q$18*'TR TUSD'!$Q$72</f>
        <v>0</v>
      </c>
      <c r="R18" s="13">
        <f>'TR TUSD'!$R$18*'TR TUSD'!$R$72</f>
        <v>0</v>
      </c>
      <c r="S18" s="13">
        <f>'TR TUSD'!$S$18*'TR TUSD'!$S$72</f>
        <v>0</v>
      </c>
      <c r="T18" s="13">
        <f ca="1">SUM($L$18:$S$18)</f>
        <v>0</v>
      </c>
      <c r="U18" s="13">
        <f>'TR TUSD'!$U$18*'TR TUSD'!$U$72</f>
        <v>4.436820708663479</v>
      </c>
      <c r="V18" s="13">
        <f>'TR TUSD'!$V$18*'TR TUSD'!$V$72</f>
        <v>2.1448823466959137</v>
      </c>
      <c r="W18" s="13">
        <f>'TR TUSD'!$W$18*'TR TUSD'!$W$72</f>
        <v>0</v>
      </c>
      <c r="X18" s="13">
        <f>'TR TUSD'!$X$18*'TR TUSD'!$X$72</f>
        <v>0</v>
      </c>
      <c r="Y18" s="13">
        <f>'TR TUSD'!$Y$18*'TR TUSD'!$Y$72</f>
        <v>0</v>
      </c>
      <c r="Z18" s="13">
        <f>'TR TUSD'!$Z$18</f>
        <v>0</v>
      </c>
      <c r="AA18" s="13">
        <f>'TR TUSD'!$AA$18</f>
        <v>0</v>
      </c>
      <c r="AB18" s="13">
        <f>SUM($U$18:$AA$18)</f>
        <v>6.5817030553593927</v>
      </c>
      <c r="AC18" s="13">
        <f>'TR TUSD'!$AC$18*'TR TUSD'!$AC$72</f>
        <v>15.166333705263506</v>
      </c>
      <c r="AD18" s="13">
        <f>SUM($AC$18:$AC$18)</f>
        <v>15.166333705263506</v>
      </c>
      <c r="AE18" s="13">
        <v>0</v>
      </c>
      <c r="AF18" s="13">
        <v>0</v>
      </c>
      <c r="AG18" s="13">
        <f>SUM($AE$18:$AF$18)</f>
        <v>0</v>
      </c>
      <c r="AH18" s="13">
        <f>'TR TUSD'!$AH$18*'TR TUSD'!$AH$72</f>
        <v>0</v>
      </c>
      <c r="AI18" s="13">
        <f>'TR TUSD'!$AI$18*'TR TUSD'!$AI$72</f>
        <v>0</v>
      </c>
      <c r="AJ18" s="13">
        <f ca="1">'TR TUSD'!$AJ$18*'TR TUSD'!$AJ$72</f>
        <v>0</v>
      </c>
      <c r="AK18" s="13">
        <f ca="1">'TR TUSD'!$AK$18*'TR TUSD'!$AK$72</f>
        <v>0</v>
      </c>
      <c r="AL18" s="13">
        <f ca="1">SUM($AH$18:$AK$18)</f>
        <v>0</v>
      </c>
      <c r="AM18" s="13">
        <f ca="1">SUMIF($L$4:$AL$4,"SUBTOTAL",$L$18:$AL$18)</f>
        <v>21.748036760622899</v>
      </c>
      <c r="AP18" s="13">
        <v>1</v>
      </c>
    </row>
    <row r="19" spans="1:42" ht="11.25" customHeight="1" x14ac:dyDescent="0.3">
      <c r="A19" s="137"/>
      <c r="B19" s="137"/>
      <c r="C19" s="137"/>
      <c r="D19" s="137"/>
      <c r="E19" s="137"/>
      <c r="F19" s="137"/>
      <c r="G19" s="18" t="s">
        <v>83</v>
      </c>
      <c r="H19" s="18" t="s">
        <v>79</v>
      </c>
      <c r="I19" s="18">
        <f>'MERCADO TUSD'!$U$16</f>
        <v>3550.4059999999995</v>
      </c>
      <c r="J19" s="15"/>
      <c r="L19" s="13">
        <f>'TR TUSD'!$L$19*'TR TUSD'!$L$72</f>
        <v>11.200185211008845</v>
      </c>
      <c r="M19" s="13">
        <f>'TR TUSD'!$M$19*'TR TUSD'!$M$72</f>
        <v>0.50067136987736338</v>
      </c>
      <c r="N19" s="13">
        <f ca="1">'TR TUSD'!$N$19*'TR TUSD'!$N$72</f>
        <v>0.31108783583826682</v>
      </c>
      <c r="O19" s="13">
        <f>'TR TUSD'!$O$19*'TR TUSD'!$O$72</f>
        <v>0</v>
      </c>
      <c r="P19" s="13">
        <f>'TR TUSD'!$P$19*'TR TUSD'!$P$72</f>
        <v>0</v>
      </c>
      <c r="Q19" s="13">
        <f>'TR TUSD'!$Q$19*'TR TUSD'!$Q$72</f>
        <v>78.531472519397838</v>
      </c>
      <c r="R19" s="13">
        <f>'TR TUSD'!$R$19*'TR TUSD'!$R$72</f>
        <v>14.799409177241358</v>
      </c>
      <c r="S19" s="13">
        <f>'TR TUSD'!$S$19*'TR TUSD'!$S$72</f>
        <v>0</v>
      </c>
      <c r="T19" s="13">
        <f ca="1">SUM($L$19:$S$19)</f>
        <v>105.34282611336367</v>
      </c>
      <c r="U19" s="13">
        <f>'TR TUSD'!$U$19*'TR TUSD'!$U$72</f>
        <v>0</v>
      </c>
      <c r="V19" s="13">
        <f>'TR TUSD'!$V$19*'TR TUSD'!$V$72</f>
        <v>0</v>
      </c>
      <c r="W19" s="13">
        <f>'TR TUSD'!$W$19*'TR TUSD'!$W$72</f>
        <v>0</v>
      </c>
      <c r="X19" s="13">
        <f>'TR TUSD'!$X$19*'TR TUSD'!$X$72</f>
        <v>0</v>
      </c>
      <c r="Y19" s="13">
        <f>'TR TUSD'!$Y$19*'TR TUSD'!$Y$72</f>
        <v>0</v>
      </c>
      <c r="Z19" s="13">
        <f>'TR TUSD'!$Z$19</f>
        <v>0</v>
      </c>
      <c r="AA19" s="13">
        <f>'TR TUSD'!$AA$19</f>
        <v>0</v>
      </c>
      <c r="AB19" s="13">
        <f>SUM($U$19:$AA$19)</f>
        <v>0</v>
      </c>
      <c r="AC19" s="13">
        <f>'TR TUSD'!$AC$19*'TR TUSD'!$AC$72</f>
        <v>0</v>
      </c>
      <c r="AD19" s="13">
        <f>SUM($AC$19:$AC$19)</f>
        <v>0</v>
      </c>
      <c r="AE19" s="13">
        <v>0</v>
      </c>
      <c r="AF19" s="13">
        <v>0</v>
      </c>
      <c r="AG19" s="13">
        <f>SUM($AE$19:$AF$19)</f>
        <v>0</v>
      </c>
      <c r="AH19" s="13">
        <f>'TR TUSD'!$AH$19*'TR TUSD'!$AH$72</f>
        <v>11.387849617754087</v>
      </c>
      <c r="AI19" s="13">
        <f>'TR TUSD'!$AI$19*'TR TUSD'!$AI$72</f>
        <v>0.33510219885566717</v>
      </c>
      <c r="AJ19" s="13">
        <f ca="1">'TR TUSD'!$AJ$19*'TR TUSD'!$AJ$72</f>
        <v>1.0257175466371102</v>
      </c>
      <c r="AK19" s="13">
        <f ca="1">'TR TUSD'!$AK$19*'TR TUSD'!$AK$72</f>
        <v>0.26725633743050747</v>
      </c>
      <c r="AL19" s="13">
        <f ca="1">SUM($AH$19:$AK$19)</f>
        <v>13.015925700677373</v>
      </c>
      <c r="AM19" s="13">
        <f ca="1">SUMIF($L$4:$AL$4,"SUBTOTAL",$L$19:$AL$19)</f>
        <v>118.35875181404104</v>
      </c>
      <c r="AP19" s="13">
        <v>1</v>
      </c>
    </row>
    <row r="20" spans="1:42" ht="11.25" customHeight="1" x14ac:dyDescent="0.3">
      <c r="A20" s="137"/>
      <c r="B20" s="137"/>
      <c r="C20" s="137"/>
      <c r="D20" s="137"/>
      <c r="E20" s="17" t="s">
        <v>87</v>
      </c>
      <c r="F20" s="17" t="s">
        <v>25</v>
      </c>
      <c r="G20" s="18" t="s">
        <v>83</v>
      </c>
      <c r="H20" s="18" t="s">
        <v>79</v>
      </c>
      <c r="I20" s="18">
        <f>'MERCADO TUSD'!$U$17</f>
        <v>0</v>
      </c>
      <c r="J20" s="15"/>
      <c r="L20" s="13">
        <f>'TR TUSD'!$L$20*'TR TUSD'!$L$72</f>
        <v>0</v>
      </c>
      <c r="M20" s="13">
        <f>'TR TUSD'!$M$20*'TR TUSD'!$M$72</f>
        <v>0.50067136987736338</v>
      </c>
      <c r="N20" s="13">
        <f ca="1">'TR TUSD'!$N$20*'TR TUSD'!$N$72</f>
        <v>0.29935053968223052</v>
      </c>
      <c r="O20" s="13">
        <f>'TR TUSD'!$O$20*'TR TUSD'!$O$72</f>
        <v>0</v>
      </c>
      <c r="P20" s="13">
        <f>'TR TUSD'!$P$20*'TR TUSD'!$P$72</f>
        <v>0</v>
      </c>
      <c r="Q20" s="13">
        <f>'TR TUSD'!$Q$20*'TR TUSD'!$Q$72</f>
        <v>0</v>
      </c>
      <c r="R20" s="13">
        <f>'TR TUSD'!$R$20*'TR TUSD'!$R$72</f>
        <v>0</v>
      </c>
      <c r="S20" s="13">
        <f>'TR TUSD'!$S$20*'TR TUSD'!$S$72</f>
        <v>0</v>
      </c>
      <c r="T20" s="13">
        <f ca="1">SUM($L$20:$S$20)</f>
        <v>0.80002190955959396</v>
      </c>
      <c r="U20" s="13">
        <f>'TR TUSD'!$U$20*'TR TUSD'!$U$72</f>
        <v>0</v>
      </c>
      <c r="V20" s="13">
        <f>'TR TUSD'!$V$20*'TR TUSD'!$V$72</f>
        <v>0</v>
      </c>
      <c r="W20" s="13">
        <f>'TR TUSD'!$W$20*'TR TUSD'!$W$72</f>
        <v>0</v>
      </c>
      <c r="X20" s="13">
        <f>'TR TUSD'!$X$20*'TR TUSD'!$X$72</f>
        <v>0</v>
      </c>
      <c r="Y20" s="13">
        <f>'TR TUSD'!$Y$20*'TR TUSD'!$Y$72</f>
        <v>0</v>
      </c>
      <c r="Z20" s="13">
        <f>'TR TUSD'!$Z$20</f>
        <v>0</v>
      </c>
      <c r="AA20" s="13">
        <f>'TR TUSD'!$AA$20</f>
        <v>0</v>
      </c>
      <c r="AB20" s="13">
        <f>SUM($U$20:$AA$20)</f>
        <v>0</v>
      </c>
      <c r="AC20" s="13">
        <f>'TR TUSD'!$AC$20*'TR TUSD'!$AC$72</f>
        <v>0</v>
      </c>
      <c r="AD20" s="13">
        <f>SUM($AC$20:$AC$20)</f>
        <v>0</v>
      </c>
      <c r="AE20" s="13">
        <v>0</v>
      </c>
      <c r="AF20" s="13">
        <v>0</v>
      </c>
      <c r="AG20" s="13">
        <f>SUM($AE$20:$AF$20)</f>
        <v>0</v>
      </c>
      <c r="AH20" s="13">
        <f>'TR TUSD'!$AH$20*'TR TUSD'!$AH$72</f>
        <v>11.387849617754087</v>
      </c>
      <c r="AI20" s="13">
        <f>'TR TUSD'!$AI$20*'TR TUSD'!$AI$72</f>
        <v>0.33510219885566717</v>
      </c>
      <c r="AJ20" s="13">
        <f ca="1">'TR TUSD'!$AJ$20*'TR TUSD'!$AJ$72</f>
        <v>1.0257175466371102</v>
      </c>
      <c r="AK20" s="13">
        <f ca="1">'TR TUSD'!$AK$20*'TR TUSD'!$AK$72</f>
        <v>0.26725633743050747</v>
      </c>
      <c r="AL20" s="13">
        <f ca="1">SUM($AH$20:$AK$20)</f>
        <v>13.015925700677373</v>
      </c>
      <c r="AM20" s="13">
        <f ca="1">SUMIF($L$4:$AL$4,"SUBTOTAL",$L$20:$AL$20)</f>
        <v>13.815947610236968</v>
      </c>
      <c r="AP20" s="13">
        <v>1</v>
      </c>
    </row>
    <row r="21" spans="1:42" ht="11.25" customHeight="1" x14ac:dyDescent="0.3">
      <c r="A21" s="137"/>
      <c r="B21" s="17" t="s">
        <v>60</v>
      </c>
      <c r="C21" s="17" t="s">
        <v>25</v>
      </c>
      <c r="D21" s="17" t="s">
        <v>25</v>
      </c>
      <c r="E21" s="17" t="s">
        <v>25</v>
      </c>
      <c r="F21" s="17" t="s">
        <v>25</v>
      </c>
      <c r="G21" s="18" t="s">
        <v>9</v>
      </c>
      <c r="H21" s="18" t="s">
        <v>84</v>
      </c>
      <c r="I21" s="18">
        <f>'MERCADO TUSD'!$U$18</f>
        <v>0</v>
      </c>
      <c r="J21" s="15"/>
      <c r="L21" s="13">
        <f>'TR TUSD'!$L$21*'TR TUSD'!$L$72</f>
        <v>0</v>
      </c>
      <c r="M21" s="13">
        <f>'TR TUSD'!$M$21*'TR TUSD'!$M$72</f>
        <v>6.9297680709272558E-2</v>
      </c>
      <c r="N21" s="13">
        <f ca="1">'TR TUSD'!$N$21*'TR TUSD'!$N$72</f>
        <v>0.20446369903815179</v>
      </c>
      <c r="O21" s="13">
        <f>'TR TUSD'!$O$21*'TR TUSD'!$O$72</f>
        <v>0</v>
      </c>
      <c r="P21" s="13">
        <f>'TR TUSD'!$P$21*'TR TUSD'!$P$72</f>
        <v>0</v>
      </c>
      <c r="Q21" s="13">
        <f>'TR TUSD'!$Q$21*'TR TUSD'!$Q$72</f>
        <v>0</v>
      </c>
      <c r="R21" s="13">
        <f>'TR TUSD'!$R$21*'TR TUSD'!$R$72</f>
        <v>0</v>
      </c>
      <c r="S21" s="13">
        <f>'TR TUSD'!$S$21*'TR TUSD'!$S$72</f>
        <v>0</v>
      </c>
      <c r="T21" s="13">
        <f ca="1">SUM($L$21:$S$21)</f>
        <v>0.27376137974742432</v>
      </c>
      <c r="U21" s="13">
        <f>'TR TUSD'!$U$21*'TR TUSD'!$U$72</f>
        <v>0</v>
      </c>
      <c r="V21" s="13">
        <f>'TR TUSD'!$V$21*'TR TUSD'!$V$72</f>
        <v>0</v>
      </c>
      <c r="W21" s="13">
        <f>'TR TUSD'!$W$21*'TR TUSD'!$W$72</f>
        <v>0</v>
      </c>
      <c r="X21" s="13">
        <f>'TR TUSD'!$X$21*'TR TUSD'!$X$72</f>
        <v>0</v>
      </c>
      <c r="Y21" s="13">
        <f>'TR TUSD'!$Y$21*'TR TUSD'!$Y$72</f>
        <v>0</v>
      </c>
      <c r="Z21" s="13">
        <f>'TR TUSD'!$Z$21*'TR TUSD'!$Z$72</f>
        <v>0</v>
      </c>
      <c r="AA21" s="13">
        <f>'TR TUSD'!$AA$21*'TR TUSD'!$AA$72</f>
        <v>0</v>
      </c>
      <c r="AB21" s="13">
        <f>SUM($U$21:$AA$21)</f>
        <v>0</v>
      </c>
      <c r="AC21" s="13">
        <f>'TR TUSD'!$AC$21*'TR TUSD'!$AC$72</f>
        <v>12.717205935462069</v>
      </c>
      <c r="AD21" s="13">
        <f>SUM($AC$21:$AC$21)</f>
        <v>12.717205935462069</v>
      </c>
      <c r="AE21" s="13">
        <v>0</v>
      </c>
      <c r="AF21" s="13">
        <v>0</v>
      </c>
      <c r="AG21" s="13">
        <f>SUM($AE$21:$AF$21)</f>
        <v>0</v>
      </c>
      <c r="AH21" s="13">
        <f>'TR TUSD'!$AH$21*'TR TUSD'!$AH$72</f>
        <v>6.7318766156827794E-3</v>
      </c>
      <c r="AI21" s="13">
        <f>'TR TUSD'!$AI$21*'TR TUSD'!$AI$72</f>
        <v>0</v>
      </c>
      <c r="AJ21" s="13">
        <f ca="1">'TR TUSD'!$AJ$21*'TR TUSD'!$AJ$72</f>
        <v>0</v>
      </c>
      <c r="AK21" s="13">
        <f ca="1">'TR TUSD'!$AK$21*'TR TUSD'!$AK$72</f>
        <v>0</v>
      </c>
      <c r="AL21" s="13">
        <f ca="1">SUM($AH$21:$AK$21)</f>
        <v>6.7318766156827794E-3</v>
      </c>
      <c r="AM21" s="13">
        <f ca="1">SUMIF($L$4:$AL$4,"SUBTOTAL",$L$21:$AL$21)</f>
        <v>12.997699191825177</v>
      </c>
      <c r="AP21" s="13"/>
    </row>
    <row r="22" spans="1:42" ht="11.25" customHeight="1" x14ac:dyDescent="0.3">
      <c r="A22" s="137"/>
      <c r="B22" s="137" t="s">
        <v>40</v>
      </c>
      <c r="C22" s="137" t="s">
        <v>25</v>
      </c>
      <c r="D22" s="137" t="s">
        <v>25</v>
      </c>
      <c r="E22" s="137" t="s">
        <v>25</v>
      </c>
      <c r="F22" s="137" t="s">
        <v>25</v>
      </c>
      <c r="G22" s="18" t="s">
        <v>9</v>
      </c>
      <c r="H22" s="18" t="s">
        <v>84</v>
      </c>
      <c r="I22" s="18">
        <f>'MERCADO TUSD'!$U$19</f>
        <v>125381</v>
      </c>
      <c r="J22" s="15"/>
      <c r="L22" s="13">
        <f>'TR TUSD'!$L$22*'TR TUSD'!$L$72</f>
        <v>0</v>
      </c>
      <c r="M22" s="13">
        <f>'TR TUSD'!$M$22*'TR TUSD'!$M$72</f>
        <v>0</v>
      </c>
      <c r="N22" s="13">
        <f ca="1">'TR TUSD'!$N$22*'TR TUSD'!$N$72</f>
        <v>0</v>
      </c>
      <c r="O22" s="13">
        <f>'TR TUSD'!$O$22*'TR TUSD'!$O$72</f>
        <v>0</v>
      </c>
      <c r="P22" s="13">
        <f>'TR TUSD'!$P$22*'TR TUSD'!$P$72</f>
        <v>0</v>
      </c>
      <c r="Q22" s="13">
        <f>'TR TUSD'!$Q$22*'TR TUSD'!$Q$72</f>
        <v>0</v>
      </c>
      <c r="R22" s="13">
        <f>'TR TUSD'!$R$22*'TR TUSD'!$R$72</f>
        <v>0</v>
      </c>
      <c r="S22" s="13">
        <f>'TR TUSD'!$S$22*'TR TUSD'!$S$72</f>
        <v>0</v>
      </c>
      <c r="T22" s="13">
        <f ca="1">SUM($L$22:$S$22)</f>
        <v>0</v>
      </c>
      <c r="U22" s="13">
        <f>'TR TUSD'!$U$22*'TR TUSD'!$U$72</f>
        <v>4.436820708663479</v>
      </c>
      <c r="V22" s="13">
        <f>'TR TUSD'!$V$22*'TR TUSD'!$V$72</f>
        <v>2.1448823466959137</v>
      </c>
      <c r="W22" s="13">
        <f>'TR TUSD'!$W$22*'TR TUSD'!$W$72</f>
        <v>0</v>
      </c>
      <c r="X22" s="13">
        <f>'TR TUSD'!$X$22*'TR TUSD'!$X$72</f>
        <v>0</v>
      </c>
      <c r="Y22" s="13">
        <f>'TR TUSD'!$Y$22*'TR TUSD'!$Y$72</f>
        <v>0</v>
      </c>
      <c r="Z22" s="13">
        <f>'TR TUSD'!$Z$22</f>
        <v>0</v>
      </c>
      <c r="AA22" s="13">
        <f>'TR TUSD'!$AA$22</f>
        <v>0</v>
      </c>
      <c r="AB22" s="13">
        <f>SUM($U$22:$AA$22)</f>
        <v>6.5817030553593927</v>
      </c>
      <c r="AC22" s="13">
        <f>'TR TUSD'!$AC$22*'TR TUSD'!$AC$72</f>
        <v>15.166333705263506</v>
      </c>
      <c r="AD22" s="13">
        <f>SUM($AC$22:$AC$22)</f>
        <v>15.166333705263506</v>
      </c>
      <c r="AE22" s="13">
        <v>0</v>
      </c>
      <c r="AF22" s="13">
        <v>0</v>
      </c>
      <c r="AG22" s="13">
        <f>SUM($AE$22:$AF$22)</f>
        <v>0</v>
      </c>
      <c r="AH22" s="13">
        <f>'TR TUSD'!$AH$22*'TR TUSD'!$AH$72</f>
        <v>0</v>
      </c>
      <c r="AI22" s="13">
        <f>'TR TUSD'!$AI$22*'TR TUSD'!$AI$72</f>
        <v>0</v>
      </c>
      <c r="AJ22" s="13">
        <f ca="1">'TR TUSD'!$AJ$22*'TR TUSD'!$AJ$72</f>
        <v>0</v>
      </c>
      <c r="AK22" s="13">
        <f ca="1">'TR TUSD'!$AK$22*'TR TUSD'!$AK$72</f>
        <v>0</v>
      </c>
      <c r="AL22" s="13">
        <f ca="1">SUM($AH$22:$AK$22)</f>
        <v>0</v>
      </c>
      <c r="AM22" s="13">
        <f ca="1">SUMIF($L$4:$AL$4,"SUBTOTAL",$L$22:$AL$22)</f>
        <v>21.748036760622899</v>
      </c>
      <c r="AP22" s="13">
        <v>1</v>
      </c>
    </row>
    <row r="23" spans="1:42" ht="11.25" customHeight="1" x14ac:dyDescent="0.3">
      <c r="A23" s="137"/>
      <c r="B23" s="137"/>
      <c r="C23" s="137"/>
      <c r="D23" s="137"/>
      <c r="E23" s="137"/>
      <c r="F23" s="137"/>
      <c r="G23" s="18" t="s">
        <v>80</v>
      </c>
      <c r="H23" s="18" t="s">
        <v>79</v>
      </c>
      <c r="I23" s="18">
        <f>'MERCADO TUSD'!$U$20</f>
        <v>1113.1679999999999</v>
      </c>
      <c r="J23" s="15"/>
      <c r="L23" s="13">
        <f>'TR TUSD'!$L$23*'TR TUSD'!$L$72</f>
        <v>11.200185211008845</v>
      </c>
      <c r="M23" s="13">
        <f>'TR TUSD'!$M$23*'TR TUSD'!$M$72</f>
        <v>0.50067136987736338</v>
      </c>
      <c r="N23" s="13">
        <f ca="1">'TR TUSD'!$N$23*'TR TUSD'!$N$72</f>
        <v>13.14223626009899</v>
      </c>
      <c r="O23" s="13">
        <f>'TR TUSD'!$O$23*'TR TUSD'!$O$72</f>
        <v>0</v>
      </c>
      <c r="P23" s="13">
        <f>'TR TUSD'!$P$23*'TR TUSD'!$P$72</f>
        <v>0</v>
      </c>
      <c r="Q23" s="13">
        <f>'TR TUSD'!$Q$23*'TR TUSD'!$Q$72</f>
        <v>78.531472519397838</v>
      </c>
      <c r="R23" s="13">
        <f>'TR TUSD'!$R$23*'TR TUSD'!$R$72</f>
        <v>14.799409177241358</v>
      </c>
      <c r="S23" s="13">
        <f>'TR TUSD'!$S$23*'TR TUSD'!$S$72</f>
        <v>0</v>
      </c>
      <c r="T23" s="13">
        <f ca="1">SUM($L$23:$S$23)</f>
        <v>118.17397453762439</v>
      </c>
      <c r="U23" s="13">
        <f>'TR TUSD'!$U$23*'TR TUSD'!$U$72</f>
        <v>184.96331290160066</v>
      </c>
      <c r="V23" s="13">
        <f>'TR TUSD'!$V$23*'TR TUSD'!$V$72</f>
        <v>86.325134873329063</v>
      </c>
      <c r="W23" s="13">
        <f>'TR TUSD'!$W$23*'TR TUSD'!$W$72</f>
        <v>0</v>
      </c>
      <c r="X23" s="13">
        <f>'TR TUSD'!$X$23*'TR TUSD'!$X$72</f>
        <v>0</v>
      </c>
      <c r="Y23" s="13">
        <f>'TR TUSD'!$Y$23*'TR TUSD'!$Y$72</f>
        <v>0</v>
      </c>
      <c r="Z23" s="13">
        <f>'TR TUSD'!$Z$23</f>
        <v>0</v>
      </c>
      <c r="AA23" s="13">
        <f>'TR TUSD'!$AA$23</f>
        <v>0</v>
      </c>
      <c r="AB23" s="13">
        <f>SUM($U$23:$AA$23)</f>
        <v>271.28844777492975</v>
      </c>
      <c r="AC23" s="13">
        <f>'TR TUSD'!$AC$23*'TR TUSD'!$AC$72</f>
        <v>987.45803265912139</v>
      </c>
      <c r="AD23" s="13">
        <f>SUM($AC$23:$AC$23)</f>
        <v>987.45803265912139</v>
      </c>
      <c r="AE23" s="13">
        <v>0</v>
      </c>
      <c r="AF23" s="13">
        <v>0</v>
      </c>
      <c r="AG23" s="13">
        <f>SUM($AE$23:$AF$23)</f>
        <v>0</v>
      </c>
      <c r="AH23" s="13">
        <f>'TR TUSD'!$AH$23*'TR TUSD'!$AH$72</f>
        <v>11.387849617754087</v>
      </c>
      <c r="AI23" s="13">
        <f>'TR TUSD'!$AI$23*'TR TUSD'!$AI$72</f>
        <v>0.33510219885566717</v>
      </c>
      <c r="AJ23" s="13">
        <f ca="1">'TR TUSD'!$AJ$23*'TR TUSD'!$AJ$72</f>
        <v>1.0257175466371102</v>
      </c>
      <c r="AK23" s="13">
        <f ca="1">'TR TUSD'!$AK$23*'TR TUSD'!$AK$72</f>
        <v>0.26725633743050747</v>
      </c>
      <c r="AL23" s="13">
        <f ca="1">SUM($AH$23:$AK$23)</f>
        <v>13.015925700677373</v>
      </c>
      <c r="AM23" s="13">
        <f ca="1">SUMIF($L$4:$AL$4,"SUBTOTAL",$L$23:$AL$23)</f>
        <v>1389.9363806723529</v>
      </c>
      <c r="AP23" s="13">
        <v>1</v>
      </c>
    </row>
    <row r="24" spans="1:42" ht="11.25" customHeight="1" x14ac:dyDescent="0.3">
      <c r="A24" s="137"/>
      <c r="B24" s="137"/>
      <c r="C24" s="137"/>
      <c r="D24" s="137"/>
      <c r="E24" s="137"/>
      <c r="F24" s="137"/>
      <c r="G24" s="18" t="s">
        <v>81</v>
      </c>
      <c r="H24" s="18" t="s">
        <v>79</v>
      </c>
      <c r="I24" s="18">
        <f>'MERCADO TUSD'!$U$21</f>
        <v>23039.734000000004</v>
      </c>
      <c r="J24" s="15"/>
      <c r="L24" s="13">
        <f>'TR TUSD'!$L$24*'TR TUSD'!$L$72</f>
        <v>11.200185211008845</v>
      </c>
      <c r="M24" s="13">
        <f>'TR TUSD'!$M$24*'TR TUSD'!$M$72</f>
        <v>0.50067136987736338</v>
      </c>
      <c r="N24" s="13">
        <f ca="1">'TR TUSD'!$N$24*'TR TUSD'!$N$72</f>
        <v>0.31108783583826682</v>
      </c>
      <c r="O24" s="13">
        <f>'TR TUSD'!$O$24*'TR TUSD'!$O$72</f>
        <v>0</v>
      </c>
      <c r="P24" s="13">
        <f>'TR TUSD'!$P$24*'TR TUSD'!$P$72</f>
        <v>0</v>
      </c>
      <c r="Q24" s="13">
        <f>'TR TUSD'!$Q$24*'TR TUSD'!$Q$72</f>
        <v>78.531472519397838</v>
      </c>
      <c r="R24" s="13">
        <f>'TR TUSD'!$R$24*'TR TUSD'!$R$72</f>
        <v>14.799409177241358</v>
      </c>
      <c r="S24" s="13">
        <f>'TR TUSD'!$S$24*'TR TUSD'!$S$72</f>
        <v>0</v>
      </c>
      <c r="T24" s="13">
        <f ca="1">SUM($L$24:$S$24)</f>
        <v>105.34282611336367</v>
      </c>
      <c r="U24" s="13">
        <f>'TR TUSD'!$U$24*'TR TUSD'!$U$72</f>
        <v>0</v>
      </c>
      <c r="V24" s="13">
        <f>'TR TUSD'!$V$24*'TR TUSD'!$V$72</f>
        <v>0</v>
      </c>
      <c r="W24" s="13">
        <f>'TR TUSD'!$W$24*'TR TUSD'!$W$72</f>
        <v>0</v>
      </c>
      <c r="X24" s="13">
        <f>'TR TUSD'!$X$24*'TR TUSD'!$X$72</f>
        <v>0</v>
      </c>
      <c r="Y24" s="13">
        <f>'TR TUSD'!$Y$24*'TR TUSD'!$Y$72</f>
        <v>0</v>
      </c>
      <c r="Z24" s="13">
        <f>'TR TUSD'!$Z$24</f>
        <v>0</v>
      </c>
      <c r="AA24" s="13">
        <f>'TR TUSD'!$AA$24</f>
        <v>0</v>
      </c>
      <c r="AB24" s="13">
        <f>SUM($U$24:$AA$24)</f>
        <v>0</v>
      </c>
      <c r="AC24" s="13">
        <f>'TR TUSD'!$AC$24*'TR TUSD'!$AC$72</f>
        <v>0</v>
      </c>
      <c r="AD24" s="13">
        <f>SUM($AC$24:$AC$24)</f>
        <v>0</v>
      </c>
      <c r="AE24" s="13">
        <v>0</v>
      </c>
      <c r="AF24" s="13">
        <v>0</v>
      </c>
      <c r="AG24" s="13">
        <f>SUM($AE$24:$AF$24)</f>
        <v>0</v>
      </c>
      <c r="AH24" s="13">
        <f>'TR TUSD'!$AH$24*'TR TUSD'!$AH$72</f>
        <v>11.387849617754087</v>
      </c>
      <c r="AI24" s="13">
        <f>'TR TUSD'!$AI$24*'TR TUSD'!$AI$72</f>
        <v>0.33510219885566717</v>
      </c>
      <c r="AJ24" s="13">
        <f ca="1">'TR TUSD'!$AJ$24*'TR TUSD'!$AJ$72</f>
        <v>1.0257175466371102</v>
      </c>
      <c r="AK24" s="13">
        <f ca="1">'TR TUSD'!$AK$24*'TR TUSD'!$AK$72</f>
        <v>0.26725633743050747</v>
      </c>
      <c r="AL24" s="13">
        <f ca="1">SUM($AH$24:$AK$24)</f>
        <v>13.015925700677373</v>
      </c>
      <c r="AM24" s="13">
        <f ca="1">SUMIF($L$4:$AL$4,"SUBTOTAL",$L$24:$AL$24)</f>
        <v>118.35875181404104</v>
      </c>
      <c r="AP24" s="13">
        <v>1</v>
      </c>
    </row>
    <row r="25" spans="1:42" ht="11.25" customHeight="1" x14ac:dyDescent="0.3">
      <c r="A25" s="137"/>
      <c r="B25" s="137"/>
      <c r="C25" s="137"/>
      <c r="D25" s="137"/>
      <c r="E25" s="137" t="s">
        <v>87</v>
      </c>
      <c r="F25" s="137" t="s">
        <v>25</v>
      </c>
      <c r="G25" s="18" t="s">
        <v>80</v>
      </c>
      <c r="H25" s="18" t="s">
        <v>79</v>
      </c>
      <c r="I25" s="18">
        <f>'MERCADO TUSD'!$U$22</f>
        <v>0</v>
      </c>
      <c r="J25" s="15"/>
      <c r="L25" s="13">
        <f>'TR TUSD'!$L$25*'TR TUSD'!$L$72</f>
        <v>0</v>
      </c>
      <c r="M25" s="13">
        <f>'TR TUSD'!$M$25*'TR TUSD'!$M$72</f>
        <v>0.50067136987736338</v>
      </c>
      <c r="N25" s="13">
        <f ca="1">'TR TUSD'!$N$25*'TR TUSD'!$N$72</f>
        <v>13.130498963942953</v>
      </c>
      <c r="O25" s="13">
        <f>'TR TUSD'!$O$25*'TR TUSD'!$O$72</f>
        <v>0</v>
      </c>
      <c r="P25" s="13">
        <f>'TR TUSD'!$P$25*'TR TUSD'!$P$72</f>
        <v>0</v>
      </c>
      <c r="Q25" s="13">
        <f>'TR TUSD'!$Q$25*'TR TUSD'!$Q$72</f>
        <v>0</v>
      </c>
      <c r="R25" s="13">
        <f>'TR TUSD'!$R$25*'TR TUSD'!$R$72</f>
        <v>0</v>
      </c>
      <c r="S25" s="13">
        <f>'TR TUSD'!$S$25*'TR TUSD'!$S$72</f>
        <v>0</v>
      </c>
      <c r="T25" s="13">
        <f ca="1">SUM($L$25:$S$25)</f>
        <v>13.631170333820316</v>
      </c>
      <c r="U25" s="13">
        <f>'TR TUSD'!$U$25*'TR TUSD'!$U$72</f>
        <v>184.96331290160066</v>
      </c>
      <c r="V25" s="13">
        <f>'TR TUSD'!$V$25*'TR TUSD'!$V$72</f>
        <v>86.325134873329063</v>
      </c>
      <c r="W25" s="13">
        <f>'TR TUSD'!$W$25*'TR TUSD'!$W$72</f>
        <v>0</v>
      </c>
      <c r="X25" s="13">
        <f>'TR TUSD'!$X$25*'TR TUSD'!$X$72</f>
        <v>0</v>
      </c>
      <c r="Y25" s="13">
        <f>'TR TUSD'!$Y$25*'TR TUSD'!$Y$72</f>
        <v>0</v>
      </c>
      <c r="Z25" s="13">
        <f>'TR TUSD'!$Z$25</f>
        <v>0</v>
      </c>
      <c r="AA25" s="13">
        <f>'TR TUSD'!$AA$25</f>
        <v>0</v>
      </c>
      <c r="AB25" s="13">
        <f>SUM($U$25:$AA$25)</f>
        <v>271.28844777492975</v>
      </c>
      <c r="AC25" s="13">
        <f>'TR TUSD'!$AC$25*'TR TUSD'!$AC$72</f>
        <v>987.45803265912139</v>
      </c>
      <c r="AD25" s="13">
        <f>SUM($AC$25:$AC$25)</f>
        <v>987.45803265912139</v>
      </c>
      <c r="AE25" s="13">
        <v>0</v>
      </c>
      <c r="AF25" s="13">
        <v>0</v>
      </c>
      <c r="AG25" s="13">
        <f>SUM($AE$25:$AF$25)</f>
        <v>0</v>
      </c>
      <c r="AH25" s="13">
        <f>'TR TUSD'!$AH$25*'TR TUSD'!$AH$72</f>
        <v>11.387849617754087</v>
      </c>
      <c r="AI25" s="13">
        <f>'TR TUSD'!$AI$25*'TR TUSD'!$AI$72</f>
        <v>0.33510219885566717</v>
      </c>
      <c r="AJ25" s="13">
        <f ca="1">'TR TUSD'!$AJ$25*'TR TUSD'!$AJ$72</f>
        <v>1.0257175466371102</v>
      </c>
      <c r="AK25" s="13">
        <f ca="1">'TR TUSD'!$AK$25*'TR TUSD'!$AK$72</f>
        <v>0.26725633743050747</v>
      </c>
      <c r="AL25" s="13">
        <f ca="1">SUM($AH$25:$AK$25)</f>
        <v>13.015925700677373</v>
      </c>
      <c r="AM25" s="13">
        <f ca="1">SUMIF($L$4:$AL$4,"SUBTOTAL",$L$25:$AL$25)</f>
        <v>1285.3935764685489</v>
      </c>
      <c r="AP25" s="13">
        <v>1</v>
      </c>
    </row>
    <row r="26" spans="1:42" ht="11.25" customHeight="1" x14ac:dyDescent="0.3">
      <c r="A26" s="137"/>
      <c r="B26" s="137"/>
      <c r="C26" s="137"/>
      <c r="D26" s="137"/>
      <c r="E26" s="137"/>
      <c r="F26" s="137"/>
      <c r="G26" s="18" t="s">
        <v>81</v>
      </c>
      <c r="H26" s="18" t="s">
        <v>79</v>
      </c>
      <c r="I26" s="18">
        <f>'MERCADO TUSD'!$U$23</f>
        <v>0</v>
      </c>
      <c r="J26" s="15"/>
      <c r="L26" s="13">
        <f>'TR TUSD'!$L$26*'TR TUSD'!$L$72</f>
        <v>0</v>
      </c>
      <c r="M26" s="13">
        <f>'TR TUSD'!$M$26*'TR TUSD'!$M$72</f>
        <v>0.50067136987736338</v>
      </c>
      <c r="N26" s="13">
        <f ca="1">'TR TUSD'!$N$26*'TR TUSD'!$N$72</f>
        <v>0.29935053968223052</v>
      </c>
      <c r="O26" s="13">
        <f>'TR TUSD'!$O$26*'TR TUSD'!$O$72</f>
        <v>0</v>
      </c>
      <c r="P26" s="13">
        <f>'TR TUSD'!$P$26*'TR TUSD'!$P$72</f>
        <v>0</v>
      </c>
      <c r="Q26" s="13">
        <f>'TR TUSD'!$Q$26*'TR TUSD'!$Q$72</f>
        <v>0</v>
      </c>
      <c r="R26" s="13">
        <f>'TR TUSD'!$R$26*'TR TUSD'!$R$72</f>
        <v>0</v>
      </c>
      <c r="S26" s="13">
        <f>'TR TUSD'!$S$26*'TR TUSD'!$S$72</f>
        <v>0</v>
      </c>
      <c r="T26" s="13">
        <f ca="1">SUM($L$26:$S$26)</f>
        <v>0.80002190955959396</v>
      </c>
      <c r="U26" s="13">
        <f>'TR TUSD'!$U$26*'TR TUSD'!$U$72</f>
        <v>0</v>
      </c>
      <c r="V26" s="13">
        <f>'TR TUSD'!$V$26*'TR TUSD'!$V$72</f>
        <v>0</v>
      </c>
      <c r="W26" s="13">
        <f>'TR TUSD'!$W$26*'TR TUSD'!$W$72</f>
        <v>0</v>
      </c>
      <c r="X26" s="13">
        <f>'TR TUSD'!$X$26*'TR TUSD'!$X$72</f>
        <v>0</v>
      </c>
      <c r="Y26" s="13">
        <f>'TR TUSD'!$Y$26*'TR TUSD'!$Y$72</f>
        <v>0</v>
      </c>
      <c r="Z26" s="13">
        <f>'TR TUSD'!$Z$26</f>
        <v>0</v>
      </c>
      <c r="AA26" s="13">
        <f>'TR TUSD'!$AA$26</f>
        <v>0</v>
      </c>
      <c r="AB26" s="13">
        <f>SUM($U$26:$AA$26)</f>
        <v>0</v>
      </c>
      <c r="AC26" s="13">
        <f>'TR TUSD'!$AC$26*'TR TUSD'!$AC$72</f>
        <v>0</v>
      </c>
      <c r="AD26" s="13">
        <f>SUM($AC$26:$AC$26)</f>
        <v>0</v>
      </c>
      <c r="AE26" s="13">
        <v>0</v>
      </c>
      <c r="AF26" s="13">
        <v>0</v>
      </c>
      <c r="AG26" s="13">
        <f>SUM($AE$26:$AF$26)</f>
        <v>0</v>
      </c>
      <c r="AH26" s="13">
        <f>'TR TUSD'!$AH$26*'TR TUSD'!$AH$72</f>
        <v>11.387849617754087</v>
      </c>
      <c r="AI26" s="13">
        <f>'TR TUSD'!$AI$26*'TR TUSD'!$AI$72</f>
        <v>0.33510219885566717</v>
      </c>
      <c r="AJ26" s="13">
        <f ca="1">'TR TUSD'!$AJ$26*'TR TUSD'!$AJ$72</f>
        <v>1.0257175466371102</v>
      </c>
      <c r="AK26" s="13">
        <f ca="1">'TR TUSD'!$AK$26*'TR TUSD'!$AK$72</f>
        <v>0.26725633743050747</v>
      </c>
      <c r="AL26" s="13">
        <f ca="1">SUM($AH$26:$AK$26)</f>
        <v>13.015925700677373</v>
      </c>
      <c r="AM26" s="13">
        <f ca="1">SUMIF($L$4:$AL$4,"SUBTOTAL",$L$26:$AL$26)</f>
        <v>13.815947610236968</v>
      </c>
      <c r="AP26" s="13">
        <v>1</v>
      </c>
    </row>
    <row r="27" spans="1:42" ht="11.25" customHeight="1" x14ac:dyDescent="0.3">
      <c r="A27" s="137" t="s">
        <v>88</v>
      </c>
      <c r="B27" s="137" t="s">
        <v>60</v>
      </c>
      <c r="C27" s="137" t="s">
        <v>25</v>
      </c>
      <c r="D27" s="137" t="s">
        <v>25</v>
      </c>
      <c r="E27" s="17" t="s">
        <v>89</v>
      </c>
      <c r="F27" s="17" t="s">
        <v>25</v>
      </c>
      <c r="G27" s="18" t="s">
        <v>9</v>
      </c>
      <c r="H27" s="18" t="s">
        <v>84</v>
      </c>
      <c r="I27" s="18">
        <f>'MERCADO TUSD'!$U$24+0.00000001</f>
        <v>1E-8</v>
      </c>
      <c r="J27" s="15"/>
      <c r="L27" s="13">
        <f>'TR TUSD'!$L$27*'TR TUSD'!$L$72</f>
        <v>0</v>
      </c>
      <c r="M27" s="13">
        <f>'TR TUSD'!$M$27*'TR TUSD'!$M$72</f>
        <v>2.0869186265472569E-2</v>
      </c>
      <c r="N27" s="13">
        <f ca="1">'TR TUSD'!$N$27*'TR TUSD'!$N$72</f>
        <v>6.1386058896069677E-2</v>
      </c>
      <c r="O27" s="13">
        <f>'TR TUSD'!$O$27*'TR TUSD'!$O$72</f>
        <v>0</v>
      </c>
      <c r="P27" s="13">
        <f>'TR TUSD'!$P$27*'TR TUSD'!$P$72</f>
        <v>0</v>
      </c>
      <c r="Q27" s="13">
        <f>'TR TUSD'!$Q$27*'TR TUSD'!$Q$72</f>
        <v>0</v>
      </c>
      <c r="R27" s="13">
        <f>'TR TUSD'!$R$27*'TR TUSD'!$R$72</f>
        <v>0</v>
      </c>
      <c r="S27" s="13">
        <f>'TR TUSD'!$S$27*'TR TUSD'!$S$72</f>
        <v>0</v>
      </c>
      <c r="T27" s="13">
        <f ca="1">SUM($L$27:$S$27)</f>
        <v>8.2255245161542243E-2</v>
      </c>
      <c r="U27" s="13">
        <f>'TR TUSD'!$U$27*'TR TUSD'!$U$72</f>
        <v>0</v>
      </c>
      <c r="V27" s="13">
        <f>'TR TUSD'!$V$27*'TR TUSD'!$V$72</f>
        <v>0</v>
      </c>
      <c r="W27" s="13">
        <f>'TR TUSD'!$W$27*'TR TUSD'!$W$72</f>
        <v>0</v>
      </c>
      <c r="X27" s="13">
        <f>'TR TUSD'!$X$27*'TR TUSD'!$X$72</f>
        <v>0</v>
      </c>
      <c r="Y27" s="13">
        <f>'TR TUSD'!$Y$27*'TR TUSD'!$Y$72</f>
        <v>0</v>
      </c>
      <c r="Z27" s="13">
        <f>'TR TUSD'!$Z$27*'TR TUSD'!$Z$72</f>
        <v>0</v>
      </c>
      <c r="AA27" s="13">
        <f>'TR TUSD'!$AA$27*'TR TUSD'!$AA$72</f>
        <v>0</v>
      </c>
      <c r="AB27" s="13">
        <f>SUM($U$27:$AA$27)</f>
        <v>0</v>
      </c>
      <c r="AC27" s="13">
        <f>'TR TUSD'!$AC$27*'TR TUSD'!$AC$72</f>
        <v>5.881178167805543</v>
      </c>
      <c r="AD27" s="13">
        <f>SUM($AC$27:$AC$27)</f>
        <v>5.881178167805543</v>
      </c>
      <c r="AE27" s="13">
        <v>0</v>
      </c>
      <c r="AF27" s="13">
        <v>0</v>
      </c>
      <c r="AG27" s="13">
        <f>SUM($AE$27:$AF$27)</f>
        <v>0</v>
      </c>
      <c r="AH27" s="13">
        <f>'TR TUSD'!$AH$27*'TR TUSD'!$AH$72</f>
        <v>0</v>
      </c>
      <c r="AI27" s="13">
        <f>'TR TUSD'!$AI$27*'TR TUSD'!$AI$72</f>
        <v>0</v>
      </c>
      <c r="AJ27" s="13">
        <f ca="1">'TR TUSD'!$AJ$27*'TR TUSD'!$AJ$72</f>
        <v>0</v>
      </c>
      <c r="AK27" s="13">
        <f ca="1">'TR TUSD'!$AK$27*'TR TUSD'!$AK$72</f>
        <v>0</v>
      </c>
      <c r="AL27" s="13">
        <f ca="1">SUM($AH$27:$AK$27)</f>
        <v>0</v>
      </c>
      <c r="AM27" s="13">
        <f ca="1">SUMIF($L$4:$AL$4,"SUBTOTAL",$L$27:$AL$27)</f>
        <v>5.9634334129670856</v>
      </c>
      <c r="AP27" s="13"/>
    </row>
    <row r="28" spans="1:42" ht="11.25" customHeight="1" x14ac:dyDescent="0.3">
      <c r="A28" s="137"/>
      <c r="B28" s="137"/>
      <c r="C28" s="137"/>
      <c r="D28" s="137"/>
      <c r="E28" s="17" t="s">
        <v>90</v>
      </c>
      <c r="F28" s="17" t="s">
        <v>25</v>
      </c>
      <c r="G28" s="18" t="s">
        <v>9</v>
      </c>
      <c r="H28" s="18" t="s">
        <v>84</v>
      </c>
      <c r="I28" s="18">
        <f>'MERCADO TUSD'!$U$25+0.00000001</f>
        <v>1E-8</v>
      </c>
      <c r="J28" s="15"/>
      <c r="L28" s="13">
        <f>'TR TUSD'!$L$28*'TR TUSD'!$L$72</f>
        <v>0</v>
      </c>
      <c r="M28" s="13">
        <f>'TR TUSD'!$M$28*'TR TUSD'!$M$72</f>
        <v>2.0869186265472569E-2</v>
      </c>
      <c r="N28" s="13">
        <f ca="1">'TR TUSD'!$N$28*'TR TUSD'!$N$72</f>
        <v>6.1386058896069677E-2</v>
      </c>
      <c r="O28" s="13">
        <f>'TR TUSD'!$O$28*'TR TUSD'!$O$72</f>
        <v>0</v>
      </c>
      <c r="P28" s="13">
        <f>'TR TUSD'!$P$28*'TR TUSD'!$P$72</f>
        <v>0</v>
      </c>
      <c r="Q28" s="13">
        <f>'TR TUSD'!$Q$28*'TR TUSD'!$Q$72</f>
        <v>0</v>
      </c>
      <c r="R28" s="13">
        <f>'TR TUSD'!$R$28*'TR TUSD'!$R$72</f>
        <v>0</v>
      </c>
      <c r="S28" s="13">
        <f>'TR TUSD'!$S$28*'TR TUSD'!$S$72</f>
        <v>0</v>
      </c>
      <c r="T28" s="13">
        <f ca="1">SUM($L$28:$S$28)</f>
        <v>8.2255245161542243E-2</v>
      </c>
      <c r="U28" s="13">
        <f>'TR TUSD'!$U$28*'TR TUSD'!$U$72</f>
        <v>0</v>
      </c>
      <c r="V28" s="13">
        <f>'TR TUSD'!$V$28*'TR TUSD'!$V$72</f>
        <v>0</v>
      </c>
      <c r="W28" s="13">
        <f>'TR TUSD'!$W$28*'TR TUSD'!$W$72</f>
        <v>0</v>
      </c>
      <c r="X28" s="13">
        <f>'TR TUSD'!$X$28*'TR TUSD'!$X$72</f>
        <v>0</v>
      </c>
      <c r="Y28" s="13">
        <f>'TR TUSD'!$Y$28*'TR TUSD'!$Y$72</f>
        <v>0</v>
      </c>
      <c r="Z28" s="13">
        <f>'TR TUSD'!$Z$28*'TR TUSD'!$Z$72</f>
        <v>0</v>
      </c>
      <c r="AA28" s="13">
        <f>'TR TUSD'!$AA$28*'TR TUSD'!$AA$72</f>
        <v>0</v>
      </c>
      <c r="AB28" s="13">
        <f>SUM($U$28:$AA$28)</f>
        <v>0</v>
      </c>
      <c r="AC28" s="13">
        <f>'TR TUSD'!$AC$28*'TR TUSD'!$AC$72</f>
        <v>21.697173755018426</v>
      </c>
      <c r="AD28" s="13">
        <f>SUM($AC$28:$AC$28)</f>
        <v>21.697173755018426</v>
      </c>
      <c r="AE28" s="13">
        <v>0</v>
      </c>
      <c r="AF28" s="13">
        <v>0</v>
      </c>
      <c r="AG28" s="13">
        <f>SUM($AE$28:$AF$28)</f>
        <v>0</v>
      </c>
      <c r="AH28" s="13">
        <f>'TR TUSD'!$AH$28*'TR TUSD'!$AH$72</f>
        <v>0</v>
      </c>
      <c r="AI28" s="13">
        <f>'TR TUSD'!$AI$28*'TR TUSD'!$AI$72</f>
        <v>0</v>
      </c>
      <c r="AJ28" s="13">
        <f ca="1">'TR TUSD'!$AJ$28*'TR TUSD'!$AJ$72</f>
        <v>0</v>
      </c>
      <c r="AK28" s="13">
        <f ca="1">'TR TUSD'!$AK$28*'TR TUSD'!$AK$72</f>
        <v>0</v>
      </c>
      <c r="AL28" s="13">
        <f ca="1">SUM($AH$28:$AK$28)</f>
        <v>0</v>
      </c>
      <c r="AM28" s="13">
        <f ca="1">SUMIF($L$4:$AL$4,"SUBTOTAL",$L$28:$AL$28)</f>
        <v>21.779429000179967</v>
      </c>
      <c r="AP28" s="13"/>
    </row>
    <row r="29" spans="1:42" ht="11.25" customHeight="1" x14ac:dyDescent="0.3">
      <c r="A29" s="137" t="s">
        <v>22</v>
      </c>
      <c r="B29" s="137" t="s">
        <v>33</v>
      </c>
      <c r="C29" s="137" t="s">
        <v>24</v>
      </c>
      <c r="D29" s="137" t="s">
        <v>24</v>
      </c>
      <c r="E29" s="137" t="s">
        <v>25</v>
      </c>
      <c r="F29" s="137" t="s">
        <v>25</v>
      </c>
      <c r="G29" s="18" t="s">
        <v>80</v>
      </c>
      <c r="H29" s="18" t="s">
        <v>79</v>
      </c>
      <c r="I29" s="18">
        <f>'MERCADO TUSD'!$U$26</f>
        <v>5.2</v>
      </c>
      <c r="J29" s="15"/>
      <c r="L29" s="13">
        <f>'TR TUSD'!$L$29*'TR TUSD'!$L$72</f>
        <v>13.333553822629579</v>
      </c>
      <c r="M29" s="13">
        <f>'TR TUSD'!$M$29*'TR TUSD'!$M$72</f>
        <v>1.0154767306362233</v>
      </c>
      <c r="N29" s="13">
        <f ca="1">'TR TUSD'!$N$29*'TR TUSD'!$N$72</f>
        <v>10.792242893845815</v>
      </c>
      <c r="O29" s="13">
        <f>'TR TUSD'!$O$29*'TR TUSD'!$O$72</f>
        <v>0</v>
      </c>
      <c r="P29" s="13">
        <f>'TR TUSD'!$P$29*'TR TUSD'!$P$72</f>
        <v>0</v>
      </c>
      <c r="Q29" s="13">
        <f>'TR TUSD'!$Q$29*'TR TUSD'!$Q$72</f>
        <v>93.489848237378382</v>
      </c>
      <c r="R29" s="13">
        <f>'TR TUSD'!$R$29*'TR TUSD'!$R$72</f>
        <v>14.799409177241358</v>
      </c>
      <c r="S29" s="13">
        <f>'TR TUSD'!$S$29*'TR TUSD'!$S$72</f>
        <v>0</v>
      </c>
      <c r="T29" s="13">
        <f ca="1">SUM($L$29:$S$29)</f>
        <v>133.43053086173137</v>
      </c>
      <c r="U29" s="13">
        <f>'TR TUSD'!$U$29*'TR TUSD'!$U$72</f>
        <v>124.763883704949</v>
      </c>
      <c r="V29" s="13">
        <f>'TR TUSD'!$V$29*'TR TUSD'!$V$72</f>
        <v>59.130423809698677</v>
      </c>
      <c r="W29" s="13">
        <f>'TR TUSD'!$W$29*'TR TUSD'!$W$72</f>
        <v>0</v>
      </c>
      <c r="X29" s="13">
        <f>'TR TUSD'!$X$29*'TR TUSD'!$X$72</f>
        <v>0</v>
      </c>
      <c r="Y29" s="13">
        <f>'TR TUSD'!$Y$29*'TR TUSD'!$Y$72</f>
        <v>0</v>
      </c>
      <c r="Z29" s="13">
        <f>'TR TUSD'!$Z$29</f>
        <v>0</v>
      </c>
      <c r="AA29" s="13">
        <f>'TR TUSD'!$AA$29</f>
        <v>0</v>
      </c>
      <c r="AB29" s="13">
        <f>SUM($U$29:$AA$29)</f>
        <v>183.89430751464766</v>
      </c>
      <c r="AC29" s="13">
        <f>'TR TUSD'!$AC$29*'TR TUSD'!$AC$72</f>
        <v>812.43140989897654</v>
      </c>
      <c r="AD29" s="13">
        <f>SUM($AC$29:$AC$29)</f>
        <v>812.43140989897654</v>
      </c>
      <c r="AE29" s="13">
        <v>0</v>
      </c>
      <c r="AF29" s="13">
        <v>0</v>
      </c>
      <c r="AG29" s="13">
        <f>SUM($AE$29:$AF$29)</f>
        <v>0</v>
      </c>
      <c r="AH29" s="13">
        <f>'TR TUSD'!$AH$29*'TR TUSD'!$AH$72</f>
        <v>23.535883456417587</v>
      </c>
      <c r="AI29" s="13">
        <f>'TR TUSD'!$AI$29*'TR TUSD'!$AI$72</f>
        <v>0.69257380128731572</v>
      </c>
      <c r="AJ29" s="13">
        <f ca="1">'TR TUSD'!$AJ$29*'TR TUSD'!$AJ$72</f>
        <v>1.5791119310669444</v>
      </c>
      <c r="AK29" s="13">
        <f ca="1">'TR TUSD'!$AK$29*'TR TUSD'!$AK$72</f>
        <v>0.41144628214016238</v>
      </c>
      <c r="AL29" s="13">
        <f ca="1">SUM($AH$29:$AK$29)</f>
        <v>26.219015470912009</v>
      </c>
      <c r="AM29" s="13">
        <f ca="1">SUMIF($L$4:$AL$4,"SUBTOTAL",$L$29:$AL$29)</f>
        <v>1155.9752637462675</v>
      </c>
      <c r="AP29" s="13">
        <v>1</v>
      </c>
    </row>
    <row r="30" spans="1:42" ht="11.25" customHeight="1" x14ac:dyDescent="0.3">
      <c r="A30" s="137"/>
      <c r="B30" s="137"/>
      <c r="C30" s="137"/>
      <c r="D30" s="137"/>
      <c r="E30" s="137"/>
      <c r="F30" s="137"/>
      <c r="G30" s="18" t="s">
        <v>91</v>
      </c>
      <c r="H30" s="18" t="s">
        <v>79</v>
      </c>
      <c r="I30" s="18">
        <f>'MERCADO TUSD'!$U$27</f>
        <v>3.3950000000000005</v>
      </c>
      <c r="J30" s="15"/>
      <c r="L30" s="13">
        <f>'TR TUSD'!$L$30*'TR TUSD'!$L$72</f>
        <v>13.333553822629579</v>
      </c>
      <c r="M30" s="13">
        <f>'TR TUSD'!$M$30*'TR TUSD'!$M$72</f>
        <v>1.0154767306362233</v>
      </c>
      <c r="N30" s="13">
        <f ca="1">'TR TUSD'!$N$30*'TR TUSD'!$N$72</f>
        <v>6.7174363043247087</v>
      </c>
      <c r="O30" s="13">
        <f>'TR TUSD'!$O$30*'TR TUSD'!$O$72</f>
        <v>0</v>
      </c>
      <c r="P30" s="13">
        <f>'TR TUSD'!$P$30*'TR TUSD'!$P$72</f>
        <v>0</v>
      </c>
      <c r="Q30" s="13">
        <f>'TR TUSD'!$Q$30*'TR TUSD'!$Q$72</f>
        <v>93.489848237378382</v>
      </c>
      <c r="R30" s="13">
        <f>'TR TUSD'!$R$30*'TR TUSD'!$R$72</f>
        <v>14.799409177241358</v>
      </c>
      <c r="S30" s="13">
        <f>'TR TUSD'!$S$30*'TR TUSD'!$S$72</f>
        <v>0</v>
      </c>
      <c r="T30" s="13">
        <f ca="1">SUM($L$30:$S$30)</f>
        <v>129.35572427221024</v>
      </c>
      <c r="U30" s="13">
        <f>'TR TUSD'!$U$30*'TR TUSD'!$U$72</f>
        <v>74.858304294693113</v>
      </c>
      <c r="V30" s="13">
        <f>'TR TUSD'!$V$30*'TR TUSD'!$V$72</f>
        <v>35.478277244276001</v>
      </c>
      <c r="W30" s="13">
        <f>'TR TUSD'!$W$30*'TR TUSD'!$W$72</f>
        <v>0</v>
      </c>
      <c r="X30" s="13">
        <f>'TR TUSD'!$X$30*'TR TUSD'!$X$72</f>
        <v>0</v>
      </c>
      <c r="Y30" s="13">
        <f>'TR TUSD'!$Y$30*'TR TUSD'!$Y$72</f>
        <v>0</v>
      </c>
      <c r="Z30" s="13">
        <f>'TR TUSD'!$Z$30</f>
        <v>0</v>
      </c>
      <c r="AA30" s="13">
        <f>'TR TUSD'!$AA$30</f>
        <v>0</v>
      </c>
      <c r="AB30" s="13">
        <f>SUM($U$30:$AA$30)</f>
        <v>110.33658153896911</v>
      </c>
      <c r="AC30" s="13">
        <f>'TR TUSD'!$AC$30*'TR TUSD'!$AC$72</f>
        <v>487.45889106380361</v>
      </c>
      <c r="AD30" s="13">
        <f>SUM($AC$30:$AC$30)</f>
        <v>487.45889106380361</v>
      </c>
      <c r="AE30" s="13">
        <v>0</v>
      </c>
      <c r="AF30" s="13">
        <v>0</v>
      </c>
      <c r="AG30" s="13">
        <f>SUM($AE$30:$AF$30)</f>
        <v>0</v>
      </c>
      <c r="AH30" s="13">
        <f>'TR TUSD'!$AH$30*'TR TUSD'!$AH$72</f>
        <v>23.535883456417587</v>
      </c>
      <c r="AI30" s="13">
        <f>'TR TUSD'!$AI$30*'TR TUSD'!$AI$72</f>
        <v>0.69257380128731572</v>
      </c>
      <c r="AJ30" s="13">
        <f ca="1">'TR TUSD'!$AJ$30*'TR TUSD'!$AJ$72</f>
        <v>1.5791119310669444</v>
      </c>
      <c r="AK30" s="13">
        <f ca="1">'TR TUSD'!$AK$30*'TR TUSD'!$AK$72</f>
        <v>0.41144628214016238</v>
      </c>
      <c r="AL30" s="13">
        <f ca="1">SUM($AH$30:$AK$30)</f>
        <v>26.219015470912009</v>
      </c>
      <c r="AM30" s="13">
        <f ca="1">SUMIF($L$4:$AL$4,"SUBTOTAL",$L$30:$AL$30)</f>
        <v>753.37021234589497</v>
      </c>
      <c r="AP30" s="13">
        <v>1</v>
      </c>
    </row>
    <row r="31" spans="1:42" ht="11.25" customHeight="1" x14ac:dyDescent="0.3">
      <c r="A31" s="137"/>
      <c r="B31" s="137"/>
      <c r="C31" s="137"/>
      <c r="D31" s="137"/>
      <c r="E31" s="137"/>
      <c r="F31" s="137"/>
      <c r="G31" s="18" t="s">
        <v>81</v>
      </c>
      <c r="H31" s="18" t="s">
        <v>79</v>
      </c>
      <c r="I31" s="18">
        <f>'MERCADO TUSD'!$U$28</f>
        <v>48.124000000000009</v>
      </c>
      <c r="J31" s="15"/>
      <c r="L31" s="13">
        <f>'TR TUSD'!$L$31*'TR TUSD'!$L$72</f>
        <v>13.333553822629579</v>
      </c>
      <c r="M31" s="13">
        <f>'TR TUSD'!$M$31*'TR TUSD'!$M$72</f>
        <v>1.0154767306362233</v>
      </c>
      <c r="N31" s="13">
        <f ca="1">'TR TUSD'!$N$31*'TR TUSD'!$N$72</f>
        <v>2.6426285410739898</v>
      </c>
      <c r="O31" s="13">
        <f>'TR TUSD'!$O$31*'TR TUSD'!$O$72</f>
        <v>0</v>
      </c>
      <c r="P31" s="13">
        <f>'TR TUSD'!$P$31*'TR TUSD'!$P$72</f>
        <v>0</v>
      </c>
      <c r="Q31" s="13">
        <f>'TR TUSD'!$Q$31*'TR TUSD'!$Q$72</f>
        <v>93.489848237378382</v>
      </c>
      <c r="R31" s="13">
        <f>'TR TUSD'!$R$31*'TR TUSD'!$R$72</f>
        <v>14.799409177241358</v>
      </c>
      <c r="S31" s="13">
        <f>'TR TUSD'!$S$31*'TR TUSD'!$S$72</f>
        <v>0</v>
      </c>
      <c r="T31" s="13">
        <f ca="1">SUM($L$31:$S$31)</f>
        <v>125.28091650895954</v>
      </c>
      <c r="U31" s="13">
        <f>'TR TUSD'!$U$31*'TR TUSD'!$U$72</f>
        <v>24.952724884437238</v>
      </c>
      <c r="V31" s="13">
        <f>'TR TUSD'!$V$31*'TR TUSD'!$V$72</f>
        <v>11.826130678853319</v>
      </c>
      <c r="W31" s="13">
        <f>'TR TUSD'!$W$31*'TR TUSD'!$W$72</f>
        <v>0</v>
      </c>
      <c r="X31" s="13">
        <f>'TR TUSD'!$X$31*'TR TUSD'!$X$72</f>
        <v>0</v>
      </c>
      <c r="Y31" s="13">
        <f>'TR TUSD'!$Y$31*'TR TUSD'!$Y$72</f>
        <v>0</v>
      </c>
      <c r="Z31" s="13">
        <f>'TR TUSD'!$Z$31</f>
        <v>0</v>
      </c>
      <c r="AA31" s="13">
        <f>'TR TUSD'!$AA$31</f>
        <v>0</v>
      </c>
      <c r="AB31" s="13">
        <f>SUM($U$31:$AA$31)</f>
        <v>36.778855563290556</v>
      </c>
      <c r="AC31" s="13">
        <f>'TR TUSD'!$AC$31*'TR TUSD'!$AC$72</f>
        <v>162.48625941758647</v>
      </c>
      <c r="AD31" s="13">
        <f>SUM($AC$31:$AC$31)</f>
        <v>162.48625941758647</v>
      </c>
      <c r="AE31" s="13">
        <v>0</v>
      </c>
      <c r="AF31" s="13">
        <v>0</v>
      </c>
      <c r="AG31" s="13">
        <f>SUM($AE$31:$AF$31)</f>
        <v>0</v>
      </c>
      <c r="AH31" s="13">
        <f>'TR TUSD'!$AH$31*'TR TUSD'!$AH$72</f>
        <v>23.535883456417587</v>
      </c>
      <c r="AI31" s="13">
        <f>'TR TUSD'!$AI$31*'TR TUSD'!$AI$72</f>
        <v>0.69257380128731572</v>
      </c>
      <c r="AJ31" s="13">
        <f ca="1">'TR TUSD'!$AJ$31*'TR TUSD'!$AJ$72</f>
        <v>1.5791119310669444</v>
      </c>
      <c r="AK31" s="13">
        <f ca="1">'TR TUSD'!$AK$31*'TR TUSD'!$AK$72</f>
        <v>0.41144628214016238</v>
      </c>
      <c r="AL31" s="13">
        <f ca="1">SUM($AH$31:$AK$31)</f>
        <v>26.219015470912009</v>
      </c>
      <c r="AM31" s="13">
        <f ca="1">SUMIF($L$4:$AL$4,"SUBTOTAL",$L$31:$AL$31)</f>
        <v>350.76504696074852</v>
      </c>
      <c r="AP31" s="13">
        <v>1</v>
      </c>
    </row>
    <row r="32" spans="1:42" ht="11.25" customHeight="1" x14ac:dyDescent="0.3">
      <c r="A32" s="137"/>
      <c r="B32" s="137" t="s">
        <v>23</v>
      </c>
      <c r="C32" s="137" t="s">
        <v>24</v>
      </c>
      <c r="D32" s="17" t="s">
        <v>24</v>
      </c>
      <c r="E32" s="17" t="s">
        <v>25</v>
      </c>
      <c r="F32" s="17" t="s">
        <v>25</v>
      </c>
      <c r="G32" s="18" t="s">
        <v>83</v>
      </c>
      <c r="H32" s="18" t="s">
        <v>79</v>
      </c>
      <c r="I32" s="18">
        <f>'MERCADO TUSD'!$U$29</f>
        <v>46756.356999999996</v>
      </c>
      <c r="J32" s="15"/>
      <c r="L32" s="13">
        <f>'TR TUSD'!$L$32*'TR TUSD'!$L$72</f>
        <v>13.333553822629579</v>
      </c>
      <c r="M32" s="13">
        <f>'TR TUSD'!$M$32*'TR TUSD'!$M$72</f>
        <v>1.0154767306362233</v>
      </c>
      <c r="N32" s="13">
        <f ca="1">'TR TUSD'!$N$32*'TR TUSD'!$N$72</f>
        <v>3.7396924856456182</v>
      </c>
      <c r="O32" s="13">
        <f>'TR TUSD'!$O$32*'TR TUSD'!$O$72</f>
        <v>0</v>
      </c>
      <c r="P32" s="13">
        <f>'TR TUSD'!$P$32*'TR TUSD'!$P$72</f>
        <v>0</v>
      </c>
      <c r="Q32" s="13">
        <f>'TR TUSD'!$Q$32*'TR TUSD'!$Q$72</f>
        <v>93.489848237378382</v>
      </c>
      <c r="R32" s="13">
        <f>'TR TUSD'!$R$32*'TR TUSD'!$R$72</f>
        <v>14.799409177241358</v>
      </c>
      <c r="S32" s="13">
        <f>'TR TUSD'!$S$32*'TR TUSD'!$S$72</f>
        <v>0</v>
      </c>
      <c r="T32" s="13">
        <f ca="1">SUM($L$32:$S$32)</f>
        <v>126.37798045353117</v>
      </c>
      <c r="U32" s="13">
        <f>'TR TUSD'!$U$32*'TR TUSD'!$U$72</f>
        <v>38.388887293830457</v>
      </c>
      <c r="V32" s="13">
        <f>'TR TUSD'!$V$32*'TR TUSD'!$V$72</f>
        <v>18.19400304735743</v>
      </c>
      <c r="W32" s="13">
        <f>'TR TUSD'!$W$32*'TR TUSD'!$W$72</f>
        <v>0</v>
      </c>
      <c r="X32" s="13">
        <f>'TR TUSD'!$X$32*'TR TUSD'!$X$72</f>
        <v>0</v>
      </c>
      <c r="Y32" s="13">
        <f>'TR TUSD'!$Y$32*'TR TUSD'!$Y$72</f>
        <v>0</v>
      </c>
      <c r="Z32" s="13">
        <f>'TR TUSD'!$Z$32</f>
        <v>0</v>
      </c>
      <c r="AA32" s="13">
        <f>'TR TUSD'!$AA$32</f>
        <v>0</v>
      </c>
      <c r="AB32" s="13">
        <f>SUM($U$32:$AA$32)</f>
        <v>56.582890341187891</v>
      </c>
      <c r="AC32" s="13">
        <f>'TR TUSD'!$AC$32*'TR TUSD'!$AC$72</f>
        <v>249.97889535353124</v>
      </c>
      <c r="AD32" s="13">
        <f>SUM($AC$32:$AC$32)</f>
        <v>249.97889535353124</v>
      </c>
      <c r="AE32" s="13">
        <v>0</v>
      </c>
      <c r="AF32" s="13">
        <v>0</v>
      </c>
      <c r="AG32" s="13">
        <f>SUM($AE$32:$AF$32)</f>
        <v>0</v>
      </c>
      <c r="AH32" s="13">
        <f>'TR TUSD'!$AH$32*'TR TUSD'!$AH$72</f>
        <v>23.535883456417587</v>
      </c>
      <c r="AI32" s="13">
        <f>'TR TUSD'!$AI$32*'TR TUSD'!$AI$72</f>
        <v>0.69257380128731572</v>
      </c>
      <c r="AJ32" s="13">
        <f ca="1">'TR TUSD'!$AJ$32*'TR TUSD'!$AJ$72</f>
        <v>1.5791119310669444</v>
      </c>
      <c r="AK32" s="13">
        <f ca="1">'TR TUSD'!$AK$32*'TR TUSD'!$AK$72</f>
        <v>0.41144628214016238</v>
      </c>
      <c r="AL32" s="13">
        <f ca="1">SUM($AH$32:$AK$32)</f>
        <v>26.219015470912009</v>
      </c>
      <c r="AM32" s="13">
        <f ca="1">SUMIF($L$4:$AL$4,"SUBTOTAL",$L$32:$AL$32)</f>
        <v>459.15878161916231</v>
      </c>
      <c r="AP32" s="13">
        <v>1</v>
      </c>
    </row>
    <row r="33" spans="1:42" ht="11.25" customHeight="1" x14ac:dyDescent="0.3">
      <c r="A33" s="137"/>
      <c r="B33" s="137"/>
      <c r="C33" s="137"/>
      <c r="D33" s="17" t="s">
        <v>29</v>
      </c>
      <c r="E33" s="17" t="s">
        <v>25</v>
      </c>
      <c r="F33" s="17" t="s">
        <v>25</v>
      </c>
      <c r="G33" s="18" t="s">
        <v>83</v>
      </c>
      <c r="H33" s="18" t="s">
        <v>79</v>
      </c>
      <c r="I33" s="18">
        <f>'MERCADO TUSD'!$U$30</f>
        <v>1110.3100000000002</v>
      </c>
      <c r="J33" s="15"/>
      <c r="L33" s="13">
        <f>'TR TUSD'!$L$33*'TR TUSD'!$L$72</f>
        <v>0</v>
      </c>
      <c r="M33" s="13">
        <f>'TR TUSD'!$M$33*'TR TUSD'!$M$72</f>
        <v>1.0154767306362233</v>
      </c>
      <c r="N33" s="13">
        <f ca="1">'TR TUSD'!$N$33*'TR TUSD'!$N$72</f>
        <v>3.7279551894895815</v>
      </c>
      <c r="O33" s="13">
        <f>'TR TUSD'!$O$33*'TR TUSD'!$O$72</f>
        <v>0</v>
      </c>
      <c r="P33" s="13">
        <f>'TR TUSD'!$P$33*'TR TUSD'!$P$72</f>
        <v>0</v>
      </c>
      <c r="Q33" s="13">
        <f>'TR TUSD'!$Q$33*'TR TUSD'!$Q$72</f>
        <v>0</v>
      </c>
      <c r="R33" s="13">
        <f>'TR TUSD'!$R$33*'TR TUSD'!$R$72</f>
        <v>0</v>
      </c>
      <c r="S33" s="13">
        <f>'TR TUSD'!$S$33*'TR TUSD'!$S$72</f>
        <v>0</v>
      </c>
      <c r="T33" s="13">
        <f ca="1">SUM($L$33:$S$33)</f>
        <v>4.7434319201258051</v>
      </c>
      <c r="U33" s="13">
        <f>'TR TUSD'!$U$33*'TR TUSD'!$U$72</f>
        <v>38.388887293830457</v>
      </c>
      <c r="V33" s="13">
        <f>'TR TUSD'!$V$33*'TR TUSD'!$V$72</f>
        <v>18.19400304735743</v>
      </c>
      <c r="W33" s="13">
        <f>'TR TUSD'!$W$33*'TR TUSD'!$W$72</f>
        <v>0</v>
      </c>
      <c r="X33" s="13">
        <f>'TR TUSD'!$X$33*'TR TUSD'!$X$72</f>
        <v>0</v>
      </c>
      <c r="Y33" s="13">
        <f>'TR TUSD'!$Y$33*'TR TUSD'!$Y$72</f>
        <v>0</v>
      </c>
      <c r="Z33" s="13">
        <f>'TR TUSD'!$Z$33</f>
        <v>0</v>
      </c>
      <c r="AA33" s="13">
        <f>'TR TUSD'!$AA$33</f>
        <v>0</v>
      </c>
      <c r="AB33" s="13">
        <f>SUM($U$33:$AA$33)</f>
        <v>56.582890341187891</v>
      </c>
      <c r="AC33" s="13">
        <f>'TR TUSD'!$AC$33*'TR TUSD'!$AC$72</f>
        <v>249.97889535353124</v>
      </c>
      <c r="AD33" s="13">
        <f>SUM($AC$33:$AC$33)</f>
        <v>249.97889535353124</v>
      </c>
      <c r="AE33" s="13">
        <v>0</v>
      </c>
      <c r="AF33" s="13">
        <v>0</v>
      </c>
      <c r="AG33" s="13">
        <f>SUM($AE$33:$AF$33)</f>
        <v>0</v>
      </c>
      <c r="AH33" s="13">
        <f>'TR TUSD'!$AH$33*'TR TUSD'!$AH$72</f>
        <v>23.535883456417587</v>
      </c>
      <c r="AI33" s="13">
        <f>'TR TUSD'!$AI$33*'TR TUSD'!$AI$72</f>
        <v>0.69257380128731572</v>
      </c>
      <c r="AJ33" s="13">
        <f ca="1">'TR TUSD'!$AJ$33*'TR TUSD'!$AJ$72</f>
        <v>1.5791119310669444</v>
      </c>
      <c r="AK33" s="13">
        <f ca="1">'TR TUSD'!$AK$33*'TR TUSD'!$AK$72</f>
        <v>0.41144628214016238</v>
      </c>
      <c r="AL33" s="13">
        <f ca="1">SUM($AH$33:$AK$33)</f>
        <v>26.219015470912009</v>
      </c>
      <c r="AM33" s="13">
        <f ca="1">SUMIF($L$4:$AL$4,"SUBTOTAL",$L$33:$AL$33)</f>
        <v>337.52423308575692</v>
      </c>
      <c r="AP33" s="13">
        <f>IF((1 - CUSTOS!$M$24)&lt;&gt;0,1/(1 - CUSTOS!$M$24),1)</f>
        <v>1</v>
      </c>
    </row>
    <row r="34" spans="1:42" ht="11.25" customHeight="1" x14ac:dyDescent="0.3">
      <c r="A34" s="137"/>
      <c r="B34" s="137"/>
      <c r="C34" s="137"/>
      <c r="D34" s="17" t="s">
        <v>30</v>
      </c>
      <c r="E34" s="17" t="s">
        <v>25</v>
      </c>
      <c r="F34" s="17" t="s">
        <v>25</v>
      </c>
      <c r="G34" s="18" t="s">
        <v>83</v>
      </c>
      <c r="H34" s="18" t="s">
        <v>79</v>
      </c>
      <c r="I34" s="18">
        <f>'MERCADO TUSD'!$U$31</f>
        <v>2263.0230000000001</v>
      </c>
      <c r="J34" s="15"/>
      <c r="L34" s="13">
        <f>'TR TUSD'!$L$34*'TR TUSD'!$L$72</f>
        <v>0</v>
      </c>
      <c r="M34" s="13">
        <f>'TR TUSD'!$M$34*'TR TUSD'!$M$72</f>
        <v>1.0154767306362233</v>
      </c>
      <c r="N34" s="13">
        <f ca="1">'TR TUSD'!$N$34*'TR TUSD'!$N$72</f>
        <v>3.7279551894895815</v>
      </c>
      <c r="O34" s="13">
        <f>'TR TUSD'!$O$34*'TR TUSD'!$O$72</f>
        <v>0</v>
      </c>
      <c r="P34" s="13">
        <f>'TR TUSD'!$P$34*'TR TUSD'!$P$72</f>
        <v>0</v>
      </c>
      <c r="Q34" s="13">
        <f>'TR TUSD'!$Q$34*'TR TUSD'!$Q$72</f>
        <v>0</v>
      </c>
      <c r="R34" s="13">
        <f>'TR TUSD'!$R$34*'TR TUSD'!$R$72</f>
        <v>0</v>
      </c>
      <c r="S34" s="13">
        <f>'TR TUSD'!$S$34*'TR TUSD'!$S$72</f>
        <v>0</v>
      </c>
      <c r="T34" s="13">
        <f ca="1">SUM($L$34:$S$34)</f>
        <v>4.7434319201258051</v>
      </c>
      <c r="U34" s="13">
        <f>'TR TUSD'!$U$34*'TR TUSD'!$U$72</f>
        <v>38.388887293830457</v>
      </c>
      <c r="V34" s="13">
        <f>'TR TUSD'!$V$34*'TR TUSD'!$V$72</f>
        <v>18.19400304735743</v>
      </c>
      <c r="W34" s="13">
        <f>'TR TUSD'!$W$34*'TR TUSD'!$W$72</f>
        <v>0</v>
      </c>
      <c r="X34" s="13">
        <f>'TR TUSD'!$X$34*'TR TUSD'!$X$72</f>
        <v>0</v>
      </c>
      <c r="Y34" s="13">
        <f>'TR TUSD'!$Y$34*'TR TUSD'!$Y$72</f>
        <v>0</v>
      </c>
      <c r="Z34" s="13">
        <f>'TR TUSD'!$Z$34</f>
        <v>0</v>
      </c>
      <c r="AA34" s="13">
        <f>'TR TUSD'!$AA$34</f>
        <v>0</v>
      </c>
      <c r="AB34" s="13">
        <f>SUM($U$34:$AA$34)</f>
        <v>56.582890341187891</v>
      </c>
      <c r="AC34" s="13">
        <f>'TR TUSD'!$AC$34*'TR TUSD'!$AC$72</f>
        <v>249.97889535353124</v>
      </c>
      <c r="AD34" s="13">
        <f>SUM($AC$34:$AC$34)</f>
        <v>249.97889535353124</v>
      </c>
      <c r="AE34" s="13">
        <v>0</v>
      </c>
      <c r="AF34" s="13">
        <v>0</v>
      </c>
      <c r="AG34" s="13">
        <f>SUM($AE$34:$AF$34)</f>
        <v>0</v>
      </c>
      <c r="AH34" s="13">
        <f>'TR TUSD'!$AH$34*'TR TUSD'!$AH$72</f>
        <v>23.535883456417587</v>
      </c>
      <c r="AI34" s="13">
        <f>'TR TUSD'!$AI$34*'TR TUSD'!$AI$72</f>
        <v>0.69257380128731572</v>
      </c>
      <c r="AJ34" s="13">
        <f ca="1">'TR TUSD'!$AJ$34*'TR TUSD'!$AJ$72</f>
        <v>1.5791119310669444</v>
      </c>
      <c r="AK34" s="13">
        <f ca="1">'TR TUSD'!$AK$34*'TR TUSD'!$AK$72</f>
        <v>0.41144628214016238</v>
      </c>
      <c r="AL34" s="13">
        <f ca="1">SUM($AH$34:$AK$34)</f>
        <v>26.219015470912009</v>
      </c>
      <c r="AM34" s="13">
        <f ca="1">SUMIF($L$4:$AL$4,"SUBTOTAL",$L$34:$AL$34)</f>
        <v>337.52423308575692</v>
      </c>
      <c r="AP34" s="13">
        <f>IF((1 - CUSTOS!$M$25)&lt;&gt;0,1/(1 - CUSTOS!$M$25),1)</f>
        <v>1</v>
      </c>
    </row>
    <row r="35" spans="1:42" ht="11.25" customHeight="1" x14ac:dyDescent="0.3">
      <c r="A35" s="137"/>
      <c r="B35" s="137"/>
      <c r="C35" s="137"/>
      <c r="D35" s="17" t="s">
        <v>31</v>
      </c>
      <c r="E35" s="17" t="s">
        <v>25</v>
      </c>
      <c r="F35" s="17" t="s">
        <v>25</v>
      </c>
      <c r="G35" s="18" t="s">
        <v>83</v>
      </c>
      <c r="H35" s="18" t="s">
        <v>79</v>
      </c>
      <c r="I35" s="18">
        <f>'MERCADO TUSD'!$U$32</f>
        <v>1590.454</v>
      </c>
      <c r="J35" s="15"/>
      <c r="L35" s="13">
        <f>'TR TUSD'!$L$35*'TR TUSD'!$L$72</f>
        <v>0</v>
      </c>
      <c r="M35" s="13">
        <f>'TR TUSD'!$M$35*'TR TUSD'!$M$72</f>
        <v>1.0154767306362233</v>
      </c>
      <c r="N35" s="13">
        <f ca="1">'TR TUSD'!$N$35*'TR TUSD'!$N$72</f>
        <v>3.7279551894895815</v>
      </c>
      <c r="O35" s="13">
        <f>'TR TUSD'!$O$35*'TR TUSD'!$O$72</f>
        <v>0</v>
      </c>
      <c r="P35" s="13">
        <f>'TR TUSD'!$P$35*'TR TUSD'!$P$72</f>
        <v>0</v>
      </c>
      <c r="Q35" s="13">
        <f>'TR TUSD'!$Q$35*'TR TUSD'!$Q$72</f>
        <v>0</v>
      </c>
      <c r="R35" s="13">
        <f>'TR TUSD'!$R$35*'TR TUSD'!$R$72</f>
        <v>0</v>
      </c>
      <c r="S35" s="13">
        <f>'TR TUSD'!$S$35*'TR TUSD'!$S$72</f>
        <v>0</v>
      </c>
      <c r="T35" s="13">
        <f ca="1">SUM($L$35:$S$35)</f>
        <v>4.7434319201258051</v>
      </c>
      <c r="U35" s="13">
        <f>'TR TUSD'!$U$35*'TR TUSD'!$U$72</f>
        <v>38.388887293830457</v>
      </c>
      <c r="V35" s="13">
        <f>'TR TUSD'!$V$35*'TR TUSD'!$V$72</f>
        <v>18.19400304735743</v>
      </c>
      <c r="W35" s="13">
        <f>'TR TUSD'!$W$35*'TR TUSD'!$W$72</f>
        <v>0</v>
      </c>
      <c r="X35" s="13">
        <f>'TR TUSD'!$X$35*'TR TUSD'!$X$72</f>
        <v>0</v>
      </c>
      <c r="Y35" s="13">
        <f>'TR TUSD'!$Y$35*'TR TUSD'!$Y$72</f>
        <v>0</v>
      </c>
      <c r="Z35" s="13">
        <f>'TR TUSD'!$Z$35</f>
        <v>0</v>
      </c>
      <c r="AA35" s="13">
        <f>'TR TUSD'!$AA$35</f>
        <v>0</v>
      </c>
      <c r="AB35" s="13">
        <f>SUM($U$35:$AA$35)</f>
        <v>56.582890341187891</v>
      </c>
      <c r="AC35" s="13">
        <f>'TR TUSD'!$AC$35*'TR TUSD'!$AC$72</f>
        <v>249.97889535353124</v>
      </c>
      <c r="AD35" s="13">
        <f>SUM($AC$35:$AC$35)</f>
        <v>249.97889535353124</v>
      </c>
      <c r="AE35" s="13">
        <v>0</v>
      </c>
      <c r="AF35" s="13">
        <v>0</v>
      </c>
      <c r="AG35" s="13">
        <f>SUM($AE$35:$AF$35)</f>
        <v>0</v>
      </c>
      <c r="AH35" s="13">
        <f>'TR TUSD'!$AH$35*'TR TUSD'!$AH$72</f>
        <v>23.535883456417587</v>
      </c>
      <c r="AI35" s="13">
        <f>'TR TUSD'!$AI$35*'TR TUSD'!$AI$72</f>
        <v>0.69257380128731572</v>
      </c>
      <c r="AJ35" s="13">
        <f ca="1">'TR TUSD'!$AJ$35*'TR TUSD'!$AJ$72</f>
        <v>1.5791119310669444</v>
      </c>
      <c r="AK35" s="13">
        <f ca="1">'TR TUSD'!$AK$35*'TR TUSD'!$AK$72</f>
        <v>0.41144628214016238</v>
      </c>
      <c r="AL35" s="13">
        <f ca="1">SUM($AH$35:$AK$35)</f>
        <v>26.219015470912009</v>
      </c>
      <c r="AM35" s="13">
        <f ca="1">SUMIF($L$4:$AL$4,"SUBTOTAL",$L$35:$AL$35)</f>
        <v>337.52423308575692</v>
      </c>
      <c r="AP35" s="13">
        <f>IF((1 - CUSTOS!$M$26)&lt;&gt;0,1/(1 - CUSTOS!$M$26),1)</f>
        <v>1</v>
      </c>
    </row>
    <row r="36" spans="1:42" ht="11.25" customHeight="1" x14ac:dyDescent="0.3">
      <c r="A36" s="137"/>
      <c r="B36" s="137"/>
      <c r="C36" s="137"/>
      <c r="D36" s="17" t="s">
        <v>32</v>
      </c>
      <c r="E36" s="17" t="s">
        <v>25</v>
      </c>
      <c r="F36" s="17" t="s">
        <v>25</v>
      </c>
      <c r="G36" s="18" t="s">
        <v>83</v>
      </c>
      <c r="H36" s="18" t="s">
        <v>79</v>
      </c>
      <c r="I36" s="18">
        <f>'MERCADO TUSD'!$U$33</f>
        <v>284.12699999999995</v>
      </c>
      <c r="J36" s="15"/>
      <c r="L36" s="13">
        <f>'TR TUSD'!$L$36*'TR TUSD'!$L$72</f>
        <v>0</v>
      </c>
      <c r="M36" s="13">
        <f>'TR TUSD'!$M$36*'TR TUSD'!$M$72</f>
        <v>1.0154767306362233</v>
      </c>
      <c r="N36" s="13">
        <f ca="1">'TR TUSD'!$N$36*'TR TUSD'!$N$72</f>
        <v>3.7279551894895815</v>
      </c>
      <c r="O36" s="13">
        <f>'TR TUSD'!$O$36*'TR TUSD'!$O$72</f>
        <v>0</v>
      </c>
      <c r="P36" s="13">
        <f>'TR TUSD'!$P$36*'TR TUSD'!$P$72</f>
        <v>0</v>
      </c>
      <c r="Q36" s="13">
        <f>'TR TUSD'!$Q$36*'TR TUSD'!$Q$72</f>
        <v>0</v>
      </c>
      <c r="R36" s="13">
        <f>'TR TUSD'!$R$36*'TR TUSD'!$R$72</f>
        <v>0</v>
      </c>
      <c r="S36" s="13">
        <f>'TR TUSD'!$S$36*'TR TUSD'!$S$72</f>
        <v>0</v>
      </c>
      <c r="T36" s="13">
        <f ca="1">SUM($L$36:$S$36)</f>
        <v>4.7434319201258051</v>
      </c>
      <c r="U36" s="13">
        <f>'TR TUSD'!$U$36*'TR TUSD'!$U$72</f>
        <v>38.388887293830457</v>
      </c>
      <c r="V36" s="13">
        <f>'TR TUSD'!$V$36*'TR TUSD'!$V$72</f>
        <v>18.19400304735743</v>
      </c>
      <c r="W36" s="13">
        <f>'TR TUSD'!$W$36*'TR TUSD'!$W$72</f>
        <v>0</v>
      </c>
      <c r="X36" s="13">
        <f>'TR TUSD'!$X$36*'TR TUSD'!$X$72</f>
        <v>0</v>
      </c>
      <c r="Y36" s="13">
        <f>'TR TUSD'!$Y$36*'TR TUSD'!$Y$72</f>
        <v>0</v>
      </c>
      <c r="Z36" s="13">
        <f>'TR TUSD'!$Z$36</f>
        <v>0</v>
      </c>
      <c r="AA36" s="13">
        <f>'TR TUSD'!$AA$36</f>
        <v>0</v>
      </c>
      <c r="AB36" s="13">
        <f>SUM($U$36:$AA$36)</f>
        <v>56.582890341187891</v>
      </c>
      <c r="AC36" s="13">
        <f>'TR TUSD'!$AC$36*'TR TUSD'!$AC$72</f>
        <v>249.97889535353124</v>
      </c>
      <c r="AD36" s="13">
        <f>SUM($AC$36:$AC$36)</f>
        <v>249.97889535353124</v>
      </c>
      <c r="AE36" s="13">
        <v>0</v>
      </c>
      <c r="AF36" s="13">
        <v>0</v>
      </c>
      <c r="AG36" s="13">
        <f>SUM($AE$36:$AF$36)</f>
        <v>0</v>
      </c>
      <c r="AH36" s="13">
        <f>'TR TUSD'!$AH$36*'TR TUSD'!$AH$72</f>
        <v>23.535883456417587</v>
      </c>
      <c r="AI36" s="13">
        <f>'TR TUSD'!$AI$36*'TR TUSD'!$AI$72</f>
        <v>0.69257380128731572</v>
      </c>
      <c r="AJ36" s="13">
        <f ca="1">'TR TUSD'!$AJ$36*'TR TUSD'!$AJ$72</f>
        <v>1.5791119310669444</v>
      </c>
      <c r="AK36" s="13">
        <f ca="1">'TR TUSD'!$AK$36*'TR TUSD'!$AK$72</f>
        <v>0.41144628214016238</v>
      </c>
      <c r="AL36" s="13">
        <f ca="1">SUM($AH$36:$AK$36)</f>
        <v>26.219015470912009</v>
      </c>
      <c r="AM36" s="13">
        <f ca="1">SUMIF($L$4:$AL$4,"SUBTOTAL",$L$36:$AL$36)</f>
        <v>337.52423308575692</v>
      </c>
      <c r="AP36" s="13">
        <f>IF((1 - CUSTOS!$M$27)&lt;&gt;0,1/(1 - CUSTOS!$M$27),1)</f>
        <v>1</v>
      </c>
    </row>
    <row r="37" spans="1:42" ht="11.25" customHeight="1" x14ac:dyDescent="0.3">
      <c r="A37" s="137"/>
      <c r="B37" s="137" t="s">
        <v>93</v>
      </c>
      <c r="C37" s="137" t="s">
        <v>24</v>
      </c>
      <c r="D37" s="17" t="s">
        <v>24</v>
      </c>
      <c r="E37" s="17" t="s">
        <v>25</v>
      </c>
      <c r="F37" s="17" t="s">
        <v>25</v>
      </c>
      <c r="G37" s="18" t="s">
        <v>83</v>
      </c>
      <c r="H37" s="18" t="s">
        <v>79</v>
      </c>
      <c r="I37" s="18">
        <f>'MERCADO TUSD'!$U$34</f>
        <v>0</v>
      </c>
      <c r="J37" s="15"/>
      <c r="L37" s="13">
        <f>'TR TUSD'!$L$37*'TR TUSD'!$L$72</f>
        <v>13.333553822629579</v>
      </c>
      <c r="M37" s="13">
        <f>'TR TUSD'!$M$37*'TR TUSD'!$M$72</f>
        <v>1.0154767306362233</v>
      </c>
      <c r="N37" s="13">
        <f ca="1">'TR TUSD'!$N$37*'TR TUSD'!$N$72</f>
        <v>3.7396924856456182</v>
      </c>
      <c r="O37" s="13">
        <f>'TR TUSD'!$O$37*'TR TUSD'!$O$72</f>
        <v>0</v>
      </c>
      <c r="P37" s="13">
        <f>'TR TUSD'!$P$37*'TR TUSD'!$P$72</f>
        <v>0</v>
      </c>
      <c r="Q37" s="13">
        <f>'TR TUSD'!$Q$37*'TR TUSD'!$Q$72</f>
        <v>93.489848237378382</v>
      </c>
      <c r="R37" s="13">
        <f>'TR TUSD'!$R$37*'TR TUSD'!$R$72</f>
        <v>14.799409177241358</v>
      </c>
      <c r="S37" s="13">
        <f>'TR TUSD'!$S$37*'TR TUSD'!$S$72</f>
        <v>0</v>
      </c>
      <c r="T37" s="13">
        <f ca="1">SUM($L$37:$S$37)</f>
        <v>126.37798045353117</v>
      </c>
      <c r="U37" s="13">
        <f>'TR TUSD'!$U$37*'TR TUSD'!$U$72</f>
        <v>38.388887293830457</v>
      </c>
      <c r="V37" s="13">
        <f>'TR TUSD'!$V$37*'TR TUSD'!$V$72</f>
        <v>18.19400304735743</v>
      </c>
      <c r="W37" s="13">
        <f>'TR TUSD'!$W$37*'TR TUSD'!$W$72</f>
        <v>0</v>
      </c>
      <c r="X37" s="13">
        <f>'TR TUSD'!$X$37*'TR TUSD'!$X$72</f>
        <v>0</v>
      </c>
      <c r="Y37" s="13">
        <f>'TR TUSD'!$Y$37*'TR TUSD'!$Y$72</f>
        <v>0</v>
      </c>
      <c r="Z37" s="13">
        <f>'TR TUSD'!$Z$37</f>
        <v>0</v>
      </c>
      <c r="AA37" s="13">
        <f>'TR TUSD'!$AA$37</f>
        <v>0</v>
      </c>
      <c r="AB37" s="13">
        <f>SUM($U$37:$AA$37)</f>
        <v>56.582890341187891</v>
      </c>
      <c r="AC37" s="13">
        <f>'TR TUSD'!$AC$37*'TR TUSD'!$AC$72</f>
        <v>249.97889535353124</v>
      </c>
      <c r="AD37" s="13">
        <f>SUM($AC$37:$AC$37)</f>
        <v>249.97889535353124</v>
      </c>
      <c r="AE37" s="13">
        <v>0</v>
      </c>
      <c r="AF37" s="13">
        <v>0</v>
      </c>
      <c r="AG37" s="13">
        <f>SUM($AE$37:$AF$37)</f>
        <v>0</v>
      </c>
      <c r="AH37" s="13">
        <f>'TR TUSD'!$AH$37*'TR TUSD'!$AH$72</f>
        <v>23.535883456417587</v>
      </c>
      <c r="AI37" s="13">
        <f>'TR TUSD'!$AI$37*'TR TUSD'!$AI$72</f>
        <v>0.69257380128731572</v>
      </c>
      <c r="AJ37" s="13">
        <f ca="1">'TR TUSD'!$AJ$37*'TR TUSD'!$AJ$72</f>
        <v>1.5791119310669444</v>
      </c>
      <c r="AK37" s="13">
        <f ca="1">'TR TUSD'!$AK$37*'TR TUSD'!$AK$72</f>
        <v>0.41144628214016238</v>
      </c>
      <c r="AL37" s="13">
        <f ca="1">SUM($AH$37:$AK$37)</f>
        <v>26.219015470912009</v>
      </c>
      <c r="AM37" s="13">
        <f ca="1">SUMIF($L$4:$AL$4,"SUBTOTAL",$L$37:$AL$37)</f>
        <v>459.15878161916231</v>
      </c>
      <c r="AP37" s="13">
        <v>1</v>
      </c>
    </row>
    <row r="38" spans="1:42" ht="11.25" customHeight="1" x14ac:dyDescent="0.3">
      <c r="A38" s="137"/>
      <c r="B38" s="137"/>
      <c r="C38" s="137"/>
      <c r="D38" s="17" t="s">
        <v>29</v>
      </c>
      <c r="E38" s="17" t="s">
        <v>25</v>
      </c>
      <c r="F38" s="17" t="s">
        <v>25</v>
      </c>
      <c r="G38" s="18" t="s">
        <v>83</v>
      </c>
      <c r="H38" s="18" t="s">
        <v>79</v>
      </c>
      <c r="I38" s="18">
        <f>'MERCADO TUSD'!$U$35</f>
        <v>0</v>
      </c>
      <c r="J38" s="15"/>
      <c r="L38" s="13">
        <f>'TR TUSD'!$L$38*'TR TUSD'!$L$72</f>
        <v>0</v>
      </c>
      <c r="M38" s="13">
        <f>'TR TUSD'!$M$38*'TR TUSD'!$M$72</f>
        <v>1.0154767306362233</v>
      </c>
      <c r="N38" s="13">
        <f ca="1">'TR TUSD'!$N$38*'TR TUSD'!$N$72</f>
        <v>3.7279551894895815</v>
      </c>
      <c r="O38" s="13">
        <f>'TR TUSD'!$O$38*'TR TUSD'!$O$72</f>
        <v>0</v>
      </c>
      <c r="P38" s="13">
        <f>'TR TUSD'!$P$38*'TR TUSD'!$P$72</f>
        <v>0</v>
      </c>
      <c r="Q38" s="13">
        <f>'TR TUSD'!$Q$38*'TR TUSD'!$Q$72</f>
        <v>0</v>
      </c>
      <c r="R38" s="13">
        <f>'TR TUSD'!$R$38*'TR TUSD'!$R$72</f>
        <v>0</v>
      </c>
      <c r="S38" s="13">
        <f>'TR TUSD'!$S$38*'TR TUSD'!$S$72</f>
        <v>0</v>
      </c>
      <c r="T38" s="13">
        <f ca="1">SUM($L$38:$S$38)</f>
        <v>4.7434319201258051</v>
      </c>
      <c r="U38" s="13">
        <f>'TR TUSD'!$U$38*'TR TUSD'!$U$72</f>
        <v>38.388887293830457</v>
      </c>
      <c r="V38" s="13">
        <f>'TR TUSD'!$V$38*'TR TUSD'!$V$72</f>
        <v>18.19400304735743</v>
      </c>
      <c r="W38" s="13">
        <f>'TR TUSD'!$W$38*'TR TUSD'!$W$72</f>
        <v>0</v>
      </c>
      <c r="X38" s="13">
        <f>'TR TUSD'!$X$38*'TR TUSD'!$X$72</f>
        <v>0</v>
      </c>
      <c r="Y38" s="13">
        <f>'TR TUSD'!$Y$38*'TR TUSD'!$Y$72</f>
        <v>0</v>
      </c>
      <c r="Z38" s="13">
        <f>'TR TUSD'!$Z$38</f>
        <v>0</v>
      </c>
      <c r="AA38" s="13">
        <f>'TR TUSD'!$AA$38</f>
        <v>0</v>
      </c>
      <c r="AB38" s="13">
        <f>SUM($U$38:$AA$38)</f>
        <v>56.582890341187891</v>
      </c>
      <c r="AC38" s="13">
        <f>'TR TUSD'!$AC$38*'TR TUSD'!$AC$72</f>
        <v>249.97889535353124</v>
      </c>
      <c r="AD38" s="13">
        <f>SUM($AC$38:$AC$38)</f>
        <v>249.97889535353124</v>
      </c>
      <c r="AE38" s="13">
        <v>0</v>
      </c>
      <c r="AF38" s="13">
        <v>0</v>
      </c>
      <c r="AG38" s="13">
        <f>SUM($AE$38:$AF$38)</f>
        <v>0</v>
      </c>
      <c r="AH38" s="13">
        <f>'TR TUSD'!$AH$38*'TR TUSD'!$AH$72</f>
        <v>23.535883456417587</v>
      </c>
      <c r="AI38" s="13">
        <f>'TR TUSD'!$AI$38*'TR TUSD'!$AI$72</f>
        <v>0.69257380128731572</v>
      </c>
      <c r="AJ38" s="13">
        <f ca="1">'TR TUSD'!$AJ$38*'TR TUSD'!$AJ$72</f>
        <v>1.5791119310669444</v>
      </c>
      <c r="AK38" s="13">
        <f ca="1">'TR TUSD'!$AK$38*'TR TUSD'!$AK$72</f>
        <v>0.41144628214016238</v>
      </c>
      <c r="AL38" s="13">
        <f ca="1">SUM($AH$38:$AK$38)</f>
        <v>26.219015470912009</v>
      </c>
      <c r="AM38" s="13">
        <f ca="1">SUMIF($L$4:$AL$4,"SUBTOTAL",$L$38:$AL$38)</f>
        <v>337.52423308575692</v>
      </c>
      <c r="AP38" s="13">
        <f>IF((1 - CUSTOS!$M$24)&lt;&gt;0,1/(1 - CUSTOS!$M$24),1)</f>
        <v>1</v>
      </c>
    </row>
    <row r="39" spans="1:42" ht="11.25" customHeight="1" x14ac:dyDescent="0.3">
      <c r="A39" s="137"/>
      <c r="B39" s="137"/>
      <c r="C39" s="137"/>
      <c r="D39" s="17" t="s">
        <v>30</v>
      </c>
      <c r="E39" s="17" t="s">
        <v>25</v>
      </c>
      <c r="F39" s="17" t="s">
        <v>25</v>
      </c>
      <c r="G39" s="18" t="s">
        <v>83</v>
      </c>
      <c r="H39" s="18" t="s">
        <v>79</v>
      </c>
      <c r="I39" s="18">
        <f>'MERCADO TUSD'!$U$36</f>
        <v>0</v>
      </c>
      <c r="J39" s="15"/>
      <c r="L39" s="13">
        <f>'TR TUSD'!$L$39*'TR TUSD'!$L$72</f>
        <v>0</v>
      </c>
      <c r="M39" s="13">
        <f>'TR TUSD'!$M$39*'TR TUSD'!$M$72</f>
        <v>1.0154767306362233</v>
      </c>
      <c r="N39" s="13">
        <f ca="1">'TR TUSD'!$N$39*'TR TUSD'!$N$72</f>
        <v>3.7279551894895815</v>
      </c>
      <c r="O39" s="13">
        <f>'TR TUSD'!$O$39*'TR TUSD'!$O$72</f>
        <v>0</v>
      </c>
      <c r="P39" s="13">
        <f>'TR TUSD'!$P$39*'TR TUSD'!$P$72</f>
        <v>0</v>
      </c>
      <c r="Q39" s="13">
        <f>'TR TUSD'!$Q$39*'TR TUSD'!$Q$72</f>
        <v>0</v>
      </c>
      <c r="R39" s="13">
        <f>'TR TUSD'!$R$39*'TR TUSD'!$R$72</f>
        <v>0</v>
      </c>
      <c r="S39" s="13">
        <f>'TR TUSD'!$S$39*'TR TUSD'!$S$72</f>
        <v>0</v>
      </c>
      <c r="T39" s="13">
        <f ca="1">SUM($L$39:$S$39)</f>
        <v>4.7434319201258051</v>
      </c>
      <c r="U39" s="13">
        <f>'TR TUSD'!$U$39*'TR TUSD'!$U$72</f>
        <v>38.388887293830457</v>
      </c>
      <c r="V39" s="13">
        <f>'TR TUSD'!$V$39*'TR TUSD'!$V$72</f>
        <v>18.19400304735743</v>
      </c>
      <c r="W39" s="13">
        <f>'TR TUSD'!$W$39*'TR TUSD'!$W$72</f>
        <v>0</v>
      </c>
      <c r="X39" s="13">
        <f>'TR TUSD'!$X$39*'TR TUSD'!$X$72</f>
        <v>0</v>
      </c>
      <c r="Y39" s="13">
        <f>'TR TUSD'!$Y$39*'TR TUSD'!$Y$72</f>
        <v>0</v>
      </c>
      <c r="Z39" s="13">
        <f>'TR TUSD'!$Z$39</f>
        <v>0</v>
      </c>
      <c r="AA39" s="13">
        <f>'TR TUSD'!$AA$39</f>
        <v>0</v>
      </c>
      <c r="AB39" s="13">
        <f>SUM($U$39:$AA$39)</f>
        <v>56.582890341187891</v>
      </c>
      <c r="AC39" s="13">
        <f>'TR TUSD'!$AC$39*'TR TUSD'!$AC$72</f>
        <v>249.97889535353124</v>
      </c>
      <c r="AD39" s="13">
        <f>SUM($AC$39:$AC$39)</f>
        <v>249.97889535353124</v>
      </c>
      <c r="AE39" s="13">
        <v>0</v>
      </c>
      <c r="AF39" s="13">
        <v>0</v>
      </c>
      <c r="AG39" s="13">
        <f>SUM($AE$39:$AF$39)</f>
        <v>0</v>
      </c>
      <c r="AH39" s="13">
        <f>'TR TUSD'!$AH$39*'TR TUSD'!$AH$72</f>
        <v>23.535883456417587</v>
      </c>
      <c r="AI39" s="13">
        <f>'TR TUSD'!$AI$39*'TR TUSD'!$AI$72</f>
        <v>0.69257380128731572</v>
      </c>
      <c r="AJ39" s="13">
        <f ca="1">'TR TUSD'!$AJ$39*'TR TUSD'!$AJ$72</f>
        <v>1.5791119310669444</v>
      </c>
      <c r="AK39" s="13">
        <f ca="1">'TR TUSD'!$AK$39*'TR TUSD'!$AK$72</f>
        <v>0.41144628214016238</v>
      </c>
      <c r="AL39" s="13">
        <f ca="1">SUM($AH$39:$AK$39)</f>
        <v>26.219015470912009</v>
      </c>
      <c r="AM39" s="13">
        <f ca="1">SUMIF($L$4:$AL$4,"SUBTOTAL",$L$39:$AL$39)</f>
        <v>337.52423308575692</v>
      </c>
      <c r="AP39" s="13">
        <f>IF((1 - CUSTOS!$M$25)&lt;&gt;0,1/(1 - CUSTOS!$M$25),1)</f>
        <v>1</v>
      </c>
    </row>
    <row r="40" spans="1:42" ht="11.25" customHeight="1" x14ac:dyDescent="0.3">
      <c r="A40" s="137"/>
      <c r="B40" s="137"/>
      <c r="C40" s="137"/>
      <c r="D40" s="17" t="s">
        <v>31</v>
      </c>
      <c r="E40" s="17" t="s">
        <v>25</v>
      </c>
      <c r="F40" s="17" t="s">
        <v>25</v>
      </c>
      <c r="G40" s="18" t="s">
        <v>83</v>
      </c>
      <c r="H40" s="18" t="s">
        <v>79</v>
      </c>
      <c r="I40" s="18">
        <f>'MERCADO TUSD'!$U$37</f>
        <v>0</v>
      </c>
      <c r="J40" s="15"/>
      <c r="L40" s="13">
        <f>'TR TUSD'!$L$40*'TR TUSD'!$L$72</f>
        <v>0</v>
      </c>
      <c r="M40" s="13">
        <f>'TR TUSD'!$M$40*'TR TUSD'!$M$72</f>
        <v>1.0154767306362233</v>
      </c>
      <c r="N40" s="13">
        <f ca="1">'TR TUSD'!$N$40*'TR TUSD'!$N$72</f>
        <v>3.7279551894895815</v>
      </c>
      <c r="O40" s="13">
        <f>'TR TUSD'!$O$40*'TR TUSD'!$O$72</f>
        <v>0</v>
      </c>
      <c r="P40" s="13">
        <f>'TR TUSD'!$P$40*'TR TUSD'!$P$72</f>
        <v>0</v>
      </c>
      <c r="Q40" s="13">
        <f>'TR TUSD'!$Q$40*'TR TUSD'!$Q$72</f>
        <v>0</v>
      </c>
      <c r="R40" s="13">
        <f>'TR TUSD'!$R$40*'TR TUSD'!$R$72</f>
        <v>0</v>
      </c>
      <c r="S40" s="13">
        <f>'TR TUSD'!$S$40*'TR TUSD'!$S$72</f>
        <v>0</v>
      </c>
      <c r="T40" s="13">
        <f ca="1">SUM($L$40:$S$40)</f>
        <v>4.7434319201258051</v>
      </c>
      <c r="U40" s="13">
        <f>'TR TUSD'!$U$40*'TR TUSD'!$U$72</f>
        <v>38.388887293830457</v>
      </c>
      <c r="V40" s="13">
        <f>'TR TUSD'!$V$40*'TR TUSD'!$V$72</f>
        <v>18.19400304735743</v>
      </c>
      <c r="W40" s="13">
        <f>'TR TUSD'!$W$40*'TR TUSD'!$W$72</f>
        <v>0</v>
      </c>
      <c r="X40" s="13">
        <f>'TR TUSD'!$X$40*'TR TUSD'!$X$72</f>
        <v>0</v>
      </c>
      <c r="Y40" s="13">
        <f>'TR TUSD'!$Y$40*'TR TUSD'!$Y$72</f>
        <v>0</v>
      </c>
      <c r="Z40" s="13">
        <f>'TR TUSD'!$Z$40</f>
        <v>0</v>
      </c>
      <c r="AA40" s="13">
        <f>'TR TUSD'!$AA$40</f>
        <v>0</v>
      </c>
      <c r="AB40" s="13">
        <f>SUM($U$40:$AA$40)</f>
        <v>56.582890341187891</v>
      </c>
      <c r="AC40" s="13">
        <f>'TR TUSD'!$AC$40*'TR TUSD'!$AC$72</f>
        <v>249.97889535353124</v>
      </c>
      <c r="AD40" s="13">
        <f>SUM($AC$40:$AC$40)</f>
        <v>249.97889535353124</v>
      </c>
      <c r="AE40" s="13">
        <v>0</v>
      </c>
      <c r="AF40" s="13">
        <v>0</v>
      </c>
      <c r="AG40" s="13">
        <f>SUM($AE$40:$AF$40)</f>
        <v>0</v>
      </c>
      <c r="AH40" s="13">
        <f>'TR TUSD'!$AH$40*'TR TUSD'!$AH$72</f>
        <v>23.535883456417587</v>
      </c>
      <c r="AI40" s="13">
        <f>'TR TUSD'!$AI$40*'TR TUSD'!$AI$72</f>
        <v>0.69257380128731572</v>
      </c>
      <c r="AJ40" s="13">
        <f ca="1">'TR TUSD'!$AJ$40*'TR TUSD'!$AJ$72</f>
        <v>1.5791119310669444</v>
      </c>
      <c r="AK40" s="13">
        <f ca="1">'TR TUSD'!$AK$40*'TR TUSD'!$AK$72</f>
        <v>0.41144628214016238</v>
      </c>
      <c r="AL40" s="13">
        <f ca="1">SUM($AH$40:$AK$40)</f>
        <v>26.219015470912009</v>
      </c>
      <c r="AM40" s="13">
        <f ca="1">SUMIF($L$4:$AL$4,"SUBTOTAL",$L$40:$AL$40)</f>
        <v>337.52423308575692</v>
      </c>
      <c r="AP40" s="13">
        <f>IF((1 - CUSTOS!$M$26)&lt;&gt;0,1/(1 - CUSTOS!$M$26),1)</f>
        <v>1</v>
      </c>
    </row>
    <row r="41" spans="1:42" ht="11.25" customHeight="1" x14ac:dyDescent="0.3">
      <c r="A41" s="137"/>
      <c r="B41" s="137"/>
      <c r="C41" s="137"/>
      <c r="D41" s="17" t="s">
        <v>32</v>
      </c>
      <c r="E41" s="17" t="s">
        <v>25</v>
      </c>
      <c r="F41" s="17" t="s">
        <v>25</v>
      </c>
      <c r="G41" s="18" t="s">
        <v>83</v>
      </c>
      <c r="H41" s="18" t="s">
        <v>79</v>
      </c>
      <c r="I41" s="18">
        <f>'MERCADO TUSD'!$U$38</f>
        <v>0</v>
      </c>
      <c r="J41" s="15"/>
      <c r="L41" s="13">
        <f>'TR TUSD'!$L$41*'TR TUSD'!$L$72</f>
        <v>0</v>
      </c>
      <c r="M41" s="13">
        <f>'TR TUSD'!$M$41*'TR TUSD'!$M$72</f>
        <v>1.0154767306362233</v>
      </c>
      <c r="N41" s="13">
        <f ca="1">'TR TUSD'!$N$41*'TR TUSD'!$N$72</f>
        <v>3.7279551894895815</v>
      </c>
      <c r="O41" s="13">
        <f>'TR TUSD'!$O$41*'TR TUSD'!$O$72</f>
        <v>0</v>
      </c>
      <c r="P41" s="13">
        <f>'TR TUSD'!$P$41*'TR TUSD'!$P$72</f>
        <v>0</v>
      </c>
      <c r="Q41" s="13">
        <f>'TR TUSD'!$Q$41*'TR TUSD'!$Q$72</f>
        <v>0</v>
      </c>
      <c r="R41" s="13">
        <f>'TR TUSD'!$R$41*'TR TUSD'!$R$72</f>
        <v>0</v>
      </c>
      <c r="S41" s="13">
        <f>'TR TUSD'!$S$41*'TR TUSD'!$S$72</f>
        <v>0</v>
      </c>
      <c r="T41" s="13">
        <f ca="1">SUM($L$41:$S$41)</f>
        <v>4.7434319201258051</v>
      </c>
      <c r="U41" s="13">
        <f>'TR TUSD'!$U$41*'TR TUSD'!$U$72</f>
        <v>38.388887293830457</v>
      </c>
      <c r="V41" s="13">
        <f>'TR TUSD'!$V$41*'TR TUSD'!$V$72</f>
        <v>18.19400304735743</v>
      </c>
      <c r="W41" s="13">
        <f>'TR TUSD'!$W$41*'TR TUSD'!$W$72</f>
        <v>0</v>
      </c>
      <c r="X41" s="13">
        <f>'TR TUSD'!$X$41*'TR TUSD'!$X$72</f>
        <v>0</v>
      </c>
      <c r="Y41" s="13">
        <f>'TR TUSD'!$Y$41*'TR TUSD'!$Y$72</f>
        <v>0</v>
      </c>
      <c r="Z41" s="13">
        <f>'TR TUSD'!$Z$41</f>
        <v>0</v>
      </c>
      <c r="AA41" s="13">
        <f>'TR TUSD'!$AA$41</f>
        <v>0</v>
      </c>
      <c r="AB41" s="13">
        <f>SUM($U$41:$AA$41)</f>
        <v>56.582890341187891</v>
      </c>
      <c r="AC41" s="13">
        <f>'TR TUSD'!$AC$41*'TR TUSD'!$AC$72</f>
        <v>249.97889535353124</v>
      </c>
      <c r="AD41" s="13">
        <f>SUM($AC$41:$AC$41)</f>
        <v>249.97889535353124</v>
      </c>
      <c r="AE41" s="13">
        <v>0</v>
      </c>
      <c r="AF41" s="13">
        <v>0</v>
      </c>
      <c r="AG41" s="13">
        <f>SUM($AE$41:$AF$41)</f>
        <v>0</v>
      </c>
      <c r="AH41" s="13">
        <f>'TR TUSD'!$AH$41*'TR TUSD'!$AH$72</f>
        <v>23.535883456417587</v>
      </c>
      <c r="AI41" s="13">
        <f>'TR TUSD'!$AI$41*'TR TUSD'!$AI$72</f>
        <v>0.69257380128731572</v>
      </c>
      <c r="AJ41" s="13">
        <f ca="1">'TR TUSD'!$AJ$41*'TR TUSD'!$AJ$72</f>
        <v>1.5791119310669444</v>
      </c>
      <c r="AK41" s="13">
        <f ca="1">'TR TUSD'!$AK$41*'TR TUSD'!$AK$72</f>
        <v>0.41144628214016238</v>
      </c>
      <c r="AL41" s="13">
        <f ca="1">SUM($AH$41:$AK$41)</f>
        <v>26.219015470912009</v>
      </c>
      <c r="AM41" s="13">
        <f ca="1">SUMIF($L$4:$AL$4,"SUBTOTAL",$L$41:$AL$41)</f>
        <v>337.52423308575692</v>
      </c>
      <c r="AP41" s="13">
        <f>IF((1 - CUSTOS!$M$27)&lt;&gt;0,1/(1 - CUSTOS!$M$27),1)</f>
        <v>1</v>
      </c>
    </row>
    <row r="42" spans="1:42" ht="11.25" customHeight="1" x14ac:dyDescent="0.3">
      <c r="A42" s="137" t="s">
        <v>43</v>
      </c>
      <c r="B42" s="137" t="s">
        <v>33</v>
      </c>
      <c r="C42" s="137" t="s">
        <v>44</v>
      </c>
      <c r="D42" s="137" t="s">
        <v>25</v>
      </c>
      <c r="E42" s="137" t="s">
        <v>25</v>
      </c>
      <c r="F42" s="137" t="s">
        <v>25</v>
      </c>
      <c r="G42" s="18" t="s">
        <v>80</v>
      </c>
      <c r="H42" s="18" t="s">
        <v>79</v>
      </c>
      <c r="I42" s="18">
        <f>'MERCADO TUSD'!$U$39</f>
        <v>0</v>
      </c>
      <c r="J42" s="15"/>
      <c r="L42" s="13">
        <f>'TR TUSD'!$L$42*'TR TUSD'!$L$72</f>
        <v>13.333553822629579</v>
      </c>
      <c r="M42" s="13">
        <f>'TR TUSD'!$M$42*'TR TUSD'!$M$72</f>
        <v>1.0154767306362233</v>
      </c>
      <c r="N42" s="13">
        <f ca="1">'TR TUSD'!$N$42*'TR TUSD'!$N$72</f>
        <v>10.94896748822852</v>
      </c>
      <c r="O42" s="13">
        <f>'TR TUSD'!$O$42*'TR TUSD'!$O$72</f>
        <v>0</v>
      </c>
      <c r="P42" s="13">
        <f>'TR TUSD'!$P$42*'TR TUSD'!$P$72</f>
        <v>0</v>
      </c>
      <c r="Q42" s="13">
        <f>'TR TUSD'!$Q$42*'TR TUSD'!$Q$72</f>
        <v>93.489848237378382</v>
      </c>
      <c r="R42" s="13">
        <f>'TR TUSD'!$R$42*'TR TUSD'!$R$72</f>
        <v>14.799409177241358</v>
      </c>
      <c r="S42" s="13">
        <f>'TR TUSD'!$S$42*'TR TUSD'!$S$72</f>
        <v>0</v>
      </c>
      <c r="T42" s="13">
        <f ca="1">SUM($L$42:$S$42)</f>
        <v>133.58725545611406</v>
      </c>
      <c r="U42" s="13">
        <f>'TR TUSD'!$U$42*'TR TUSD'!$U$72</f>
        <v>126.68335399791678</v>
      </c>
      <c r="V42" s="13">
        <f>'TR TUSD'!$V$42*'TR TUSD'!$V$72</f>
        <v>60.040152660137537</v>
      </c>
      <c r="W42" s="13">
        <f>'TR TUSD'!$W$42*'TR TUSD'!$W$72</f>
        <v>0</v>
      </c>
      <c r="X42" s="13">
        <f>'TR TUSD'!$X$42*'TR TUSD'!$X$72</f>
        <v>0</v>
      </c>
      <c r="Y42" s="13">
        <f>'TR TUSD'!$Y$42*'TR TUSD'!$Y$72</f>
        <v>0</v>
      </c>
      <c r="Z42" s="13">
        <f>'TR TUSD'!$Z$42</f>
        <v>0</v>
      </c>
      <c r="AA42" s="13">
        <f>'TR TUSD'!$AA$42</f>
        <v>0</v>
      </c>
      <c r="AB42" s="13">
        <f>SUM($U$42:$AA$42)</f>
        <v>186.7235066580543</v>
      </c>
      <c r="AC42" s="13">
        <f>'TR TUSD'!$AC$42*'TR TUSD'!$AC$72</f>
        <v>824.9304223532796</v>
      </c>
      <c r="AD42" s="13">
        <f>SUM($AC$42:$AC$42)</f>
        <v>824.9304223532796</v>
      </c>
      <c r="AE42" s="13">
        <v>0</v>
      </c>
      <c r="AF42" s="13">
        <v>0</v>
      </c>
      <c r="AG42" s="13">
        <f>SUM($AE$42:$AF$42)</f>
        <v>0</v>
      </c>
      <c r="AH42" s="13">
        <f>'TR TUSD'!$AH$42*'TR TUSD'!$AH$72</f>
        <v>23.535883456417587</v>
      </c>
      <c r="AI42" s="13">
        <f>'TR TUSD'!$AI$42*'TR TUSD'!$AI$72</f>
        <v>0.69257380128731572</v>
      </c>
      <c r="AJ42" s="13">
        <f ca="1">'TR TUSD'!$AJ$42*'TR TUSD'!$AJ$72</f>
        <v>1.5791119310669444</v>
      </c>
      <c r="AK42" s="13">
        <f ca="1">'TR TUSD'!$AK$42*'TR TUSD'!$AK$72</f>
        <v>0.41144628214016238</v>
      </c>
      <c r="AL42" s="13">
        <f ca="1">SUM($AH$42:$AK$42)</f>
        <v>26.219015470912009</v>
      </c>
      <c r="AM42" s="13">
        <f ca="1">SUMIF($L$4:$AL$4,"SUBTOTAL",$L$42:$AL$42)</f>
        <v>1171.4601999383599</v>
      </c>
      <c r="AP42" s="13">
        <f>IF((1 - CUSTOS!$M$28)&lt;&gt;0,1/(1 - CUSTOS!$M$28),1)</f>
        <v>1</v>
      </c>
    </row>
    <row r="43" spans="1:42" ht="11.25" customHeight="1" x14ac:dyDescent="0.3">
      <c r="A43" s="137"/>
      <c r="B43" s="137"/>
      <c r="C43" s="137"/>
      <c r="D43" s="137"/>
      <c r="E43" s="137"/>
      <c r="F43" s="137"/>
      <c r="G43" s="18" t="s">
        <v>91</v>
      </c>
      <c r="H43" s="18" t="s">
        <v>79</v>
      </c>
      <c r="I43" s="18">
        <f>'MERCADO TUSD'!$U$40</f>
        <v>0</v>
      </c>
      <c r="J43" s="15"/>
      <c r="L43" s="13">
        <f>'TR TUSD'!$L$43*'TR TUSD'!$L$72</f>
        <v>13.333553822629579</v>
      </c>
      <c r="M43" s="13">
        <f>'TR TUSD'!$M$43*'TR TUSD'!$M$72</f>
        <v>1.0154767306362233</v>
      </c>
      <c r="N43" s="13">
        <f ca="1">'TR TUSD'!$N$43*'TR TUSD'!$N$72</f>
        <v>6.8114708262084092</v>
      </c>
      <c r="O43" s="13">
        <f>'TR TUSD'!$O$43*'TR TUSD'!$O$72</f>
        <v>0</v>
      </c>
      <c r="P43" s="13">
        <f>'TR TUSD'!$P$43*'TR TUSD'!$P$72</f>
        <v>0</v>
      </c>
      <c r="Q43" s="13">
        <f>'TR TUSD'!$Q$43*'TR TUSD'!$Q$72</f>
        <v>93.489848237378382</v>
      </c>
      <c r="R43" s="13">
        <f>'TR TUSD'!$R$43*'TR TUSD'!$R$72</f>
        <v>14.799409177241358</v>
      </c>
      <c r="S43" s="13">
        <f>'TR TUSD'!$S$43*'TR TUSD'!$S$72</f>
        <v>0</v>
      </c>
      <c r="T43" s="13">
        <f ca="1">SUM($L$43:$S$43)</f>
        <v>129.44975879409395</v>
      </c>
      <c r="U43" s="13">
        <f>'TR TUSD'!$U$43*'TR TUSD'!$U$72</f>
        <v>76.010038327026351</v>
      </c>
      <c r="V43" s="13">
        <f>'TR TUSD'!$V$43*'TR TUSD'!$V$72</f>
        <v>36.024114554539317</v>
      </c>
      <c r="W43" s="13">
        <f>'TR TUSD'!$W$43*'TR TUSD'!$W$72</f>
        <v>0</v>
      </c>
      <c r="X43" s="13">
        <f>'TR TUSD'!$X$43*'TR TUSD'!$X$72</f>
        <v>0</v>
      </c>
      <c r="Y43" s="13">
        <f>'TR TUSD'!$Y$43*'TR TUSD'!$Y$72</f>
        <v>0</v>
      </c>
      <c r="Z43" s="13">
        <f>'TR TUSD'!$Z$43</f>
        <v>0</v>
      </c>
      <c r="AA43" s="13">
        <f>'TR TUSD'!$AA$43</f>
        <v>0</v>
      </c>
      <c r="AB43" s="13">
        <f>SUM($U$43:$AA$43)</f>
        <v>112.03415288156566</v>
      </c>
      <c r="AC43" s="13">
        <f>'TR TUSD'!$AC$43*'TR TUSD'!$AC$72</f>
        <v>494.95823084975893</v>
      </c>
      <c r="AD43" s="13">
        <f>SUM($AC$43:$AC$43)</f>
        <v>494.95823084975893</v>
      </c>
      <c r="AE43" s="13">
        <v>0</v>
      </c>
      <c r="AF43" s="13">
        <v>0</v>
      </c>
      <c r="AG43" s="13">
        <f>SUM($AE$43:$AF$43)</f>
        <v>0</v>
      </c>
      <c r="AH43" s="13">
        <f>'TR TUSD'!$AH$43*'TR TUSD'!$AH$72</f>
        <v>23.535883456417587</v>
      </c>
      <c r="AI43" s="13">
        <f>'TR TUSD'!$AI$43*'TR TUSD'!$AI$72</f>
        <v>0.69257380128731572</v>
      </c>
      <c r="AJ43" s="13">
        <f ca="1">'TR TUSD'!$AJ$43*'TR TUSD'!$AJ$72</f>
        <v>1.5791119310669444</v>
      </c>
      <c r="AK43" s="13">
        <f ca="1">'TR TUSD'!$AK$43*'TR TUSD'!$AK$72</f>
        <v>0.41144628214016238</v>
      </c>
      <c r="AL43" s="13">
        <f ca="1">SUM($AH$43:$AK$43)</f>
        <v>26.219015470912009</v>
      </c>
      <c r="AM43" s="13">
        <f ca="1">SUMIF($L$4:$AL$4,"SUBTOTAL",$L$43:$AL$43)</f>
        <v>762.66115799633064</v>
      </c>
      <c r="AP43" s="13">
        <f>IF((1 - CUSTOS!$M$28)&lt;&gt;0,1/(1 - CUSTOS!$M$28),1)</f>
        <v>1</v>
      </c>
    </row>
    <row r="44" spans="1:42" ht="11.25" customHeight="1" x14ac:dyDescent="0.3">
      <c r="A44" s="137"/>
      <c r="B44" s="137"/>
      <c r="C44" s="137"/>
      <c r="D44" s="137"/>
      <c r="E44" s="137"/>
      <c r="F44" s="137"/>
      <c r="G44" s="18" t="s">
        <v>81</v>
      </c>
      <c r="H44" s="18" t="s">
        <v>79</v>
      </c>
      <c r="I44" s="18">
        <f>'MERCADO TUSD'!$U$41</f>
        <v>0</v>
      </c>
      <c r="J44" s="15"/>
      <c r="L44" s="13">
        <f>'TR TUSD'!$L$44*'TR TUSD'!$L$72</f>
        <v>13.333553822629579</v>
      </c>
      <c r="M44" s="13">
        <f>'TR TUSD'!$M$44*'TR TUSD'!$M$72</f>
        <v>1.0154767306362233</v>
      </c>
      <c r="N44" s="13">
        <f ca="1">'TR TUSD'!$N$44*'TR TUSD'!$N$72</f>
        <v>2.6739741641883001</v>
      </c>
      <c r="O44" s="13">
        <f>'TR TUSD'!$O$44*'TR TUSD'!$O$72</f>
        <v>0</v>
      </c>
      <c r="P44" s="13">
        <f>'TR TUSD'!$P$44*'TR TUSD'!$P$72</f>
        <v>0</v>
      </c>
      <c r="Q44" s="13">
        <f>'TR TUSD'!$Q$44*'TR TUSD'!$Q$72</f>
        <v>93.489848237378382</v>
      </c>
      <c r="R44" s="13">
        <f>'TR TUSD'!$R$44*'TR TUSD'!$R$72</f>
        <v>14.799409177241358</v>
      </c>
      <c r="S44" s="13">
        <f>'TR TUSD'!$S$44*'TR TUSD'!$S$72</f>
        <v>0</v>
      </c>
      <c r="T44" s="13">
        <f ca="1">SUM($L$44:$S$44)</f>
        <v>125.31226213207384</v>
      </c>
      <c r="U44" s="13">
        <f>'TR TUSD'!$U$44*'TR TUSD'!$U$72</f>
        <v>25.336722656135919</v>
      </c>
      <c r="V44" s="13">
        <f>'TR TUSD'!$V$44*'TR TUSD'!$V$72</f>
        <v>12.008076448941093</v>
      </c>
      <c r="W44" s="13">
        <f>'TR TUSD'!$W$44*'TR TUSD'!$W$72</f>
        <v>0</v>
      </c>
      <c r="X44" s="13">
        <f>'TR TUSD'!$X$44*'TR TUSD'!$X$72</f>
        <v>0</v>
      </c>
      <c r="Y44" s="13">
        <f>'TR TUSD'!$Y$44*'TR TUSD'!$Y$72</f>
        <v>0</v>
      </c>
      <c r="Z44" s="13">
        <f>'TR TUSD'!$Z$44</f>
        <v>0</v>
      </c>
      <c r="AA44" s="13">
        <f>'TR TUSD'!$AA$44</f>
        <v>0</v>
      </c>
      <c r="AB44" s="13">
        <f>SUM($U$44:$AA$44)</f>
        <v>37.344799105077016</v>
      </c>
      <c r="AC44" s="13">
        <f>'TR TUSD'!$AC$44*'TR TUSD'!$AC$72</f>
        <v>164.98603934623824</v>
      </c>
      <c r="AD44" s="13">
        <f>SUM($AC$44:$AC$44)</f>
        <v>164.98603934623824</v>
      </c>
      <c r="AE44" s="13">
        <v>0</v>
      </c>
      <c r="AF44" s="13">
        <v>0</v>
      </c>
      <c r="AG44" s="13">
        <f>SUM($AE$44:$AF$44)</f>
        <v>0</v>
      </c>
      <c r="AH44" s="13">
        <f>'TR TUSD'!$AH$44*'TR TUSD'!$AH$72</f>
        <v>23.535883456417587</v>
      </c>
      <c r="AI44" s="13">
        <f>'TR TUSD'!$AI$44*'TR TUSD'!$AI$72</f>
        <v>0.69257380128731572</v>
      </c>
      <c r="AJ44" s="13">
        <f ca="1">'TR TUSD'!$AJ$44*'TR TUSD'!$AJ$72</f>
        <v>1.5791119310669444</v>
      </c>
      <c r="AK44" s="13">
        <f ca="1">'TR TUSD'!$AK$44*'TR TUSD'!$AK$72</f>
        <v>0.41144628214016238</v>
      </c>
      <c r="AL44" s="13">
        <f ca="1">SUM($AH$44:$AK$44)</f>
        <v>26.219015470912009</v>
      </c>
      <c r="AM44" s="13">
        <f ca="1">SUMIF($L$4:$AL$4,"SUBTOTAL",$L$44:$AL$44)</f>
        <v>353.86211605430111</v>
      </c>
      <c r="AP44" s="13">
        <f>IF((1 - CUSTOS!$M$28)&lt;&gt;0,1/(1 - CUSTOS!$M$28),1)</f>
        <v>1</v>
      </c>
    </row>
    <row r="45" spans="1:42" ht="11.25" customHeight="1" x14ac:dyDescent="0.3">
      <c r="A45" s="137"/>
      <c r="B45" s="17" t="s">
        <v>23</v>
      </c>
      <c r="C45" s="17" t="s">
        <v>44</v>
      </c>
      <c r="D45" s="17" t="s">
        <v>25</v>
      </c>
      <c r="E45" s="17" t="s">
        <v>25</v>
      </c>
      <c r="F45" s="17" t="s">
        <v>25</v>
      </c>
      <c r="G45" s="18" t="s">
        <v>83</v>
      </c>
      <c r="H45" s="18" t="s">
        <v>79</v>
      </c>
      <c r="I45" s="18">
        <f>'MERCADO TUSD'!$U$42</f>
        <v>17613.978000000003</v>
      </c>
      <c r="J45" s="15"/>
      <c r="L45" s="13">
        <f>'TR TUSD'!$L$45*'TR TUSD'!$L$72</f>
        <v>13.333553822629579</v>
      </c>
      <c r="M45" s="13">
        <f>'TR TUSD'!$M$45*'TR TUSD'!$M$72</f>
        <v>1.0154767306362233</v>
      </c>
      <c r="N45" s="13">
        <f ca="1">'TR TUSD'!$N$45*'TR TUSD'!$N$72</f>
        <v>3.7396924856456182</v>
      </c>
      <c r="O45" s="13">
        <f>'TR TUSD'!$O$45*'TR TUSD'!$O$72</f>
        <v>0</v>
      </c>
      <c r="P45" s="13">
        <f>'TR TUSD'!$P$45*'TR TUSD'!$P$72</f>
        <v>0</v>
      </c>
      <c r="Q45" s="13">
        <f>'TR TUSD'!$Q$45*'TR TUSD'!$Q$72</f>
        <v>93.489848237378382</v>
      </c>
      <c r="R45" s="13">
        <f>'TR TUSD'!$R$45*'TR TUSD'!$R$72</f>
        <v>14.799409177241358</v>
      </c>
      <c r="S45" s="13">
        <f>'TR TUSD'!$S$45*'TR TUSD'!$S$72</f>
        <v>0</v>
      </c>
      <c r="T45" s="13">
        <f ca="1">SUM($L$45:$S$45)</f>
        <v>126.37798045353117</v>
      </c>
      <c r="U45" s="13">
        <f>'TR TUSD'!$U$45*'TR TUSD'!$U$72</f>
        <v>38.388887293830457</v>
      </c>
      <c r="V45" s="13">
        <f>'TR TUSD'!$V$45*'TR TUSD'!$V$72</f>
        <v>18.19400304735743</v>
      </c>
      <c r="W45" s="13">
        <f>'TR TUSD'!$W$45*'TR TUSD'!$W$72</f>
        <v>0</v>
      </c>
      <c r="X45" s="13">
        <f>'TR TUSD'!$X$45*'TR TUSD'!$X$72</f>
        <v>0</v>
      </c>
      <c r="Y45" s="13">
        <f>'TR TUSD'!$Y$45*'TR TUSD'!$Y$72</f>
        <v>0</v>
      </c>
      <c r="Z45" s="13">
        <f>'TR TUSD'!$Z$45</f>
        <v>0</v>
      </c>
      <c r="AA45" s="13">
        <f>'TR TUSD'!$AA$45</f>
        <v>0</v>
      </c>
      <c r="AB45" s="13">
        <f>SUM($U$45:$AA$45)</f>
        <v>56.582890341187891</v>
      </c>
      <c r="AC45" s="13">
        <f>'TR TUSD'!$AC$45*'TR TUSD'!$AC$72</f>
        <v>249.97889535353124</v>
      </c>
      <c r="AD45" s="13">
        <f>SUM($AC$45:$AC$45)</f>
        <v>249.97889535353124</v>
      </c>
      <c r="AE45" s="13">
        <v>0</v>
      </c>
      <c r="AF45" s="13">
        <v>0</v>
      </c>
      <c r="AG45" s="13">
        <f>SUM($AE$45:$AF$45)</f>
        <v>0</v>
      </c>
      <c r="AH45" s="13">
        <f>'TR TUSD'!$AH$45*'TR TUSD'!$AH$72</f>
        <v>23.535883456417587</v>
      </c>
      <c r="AI45" s="13">
        <f>'TR TUSD'!$AI$45*'TR TUSD'!$AI$72</f>
        <v>0.69257380128731572</v>
      </c>
      <c r="AJ45" s="13">
        <f ca="1">'TR TUSD'!$AJ$45*'TR TUSD'!$AJ$72</f>
        <v>1.5791119310669444</v>
      </c>
      <c r="AK45" s="13">
        <f ca="1">'TR TUSD'!$AK$45*'TR TUSD'!$AK$72</f>
        <v>0.41144628214016238</v>
      </c>
      <c r="AL45" s="13">
        <f ca="1">SUM($AH$45:$AK$45)</f>
        <v>26.219015470912009</v>
      </c>
      <c r="AM45" s="13">
        <f ca="1">SUMIF($L$4:$AL$4,"SUBTOTAL",$L$45:$AL$45)</f>
        <v>459.15878161916231</v>
      </c>
      <c r="AP45" s="13">
        <f>IF((1 - CUSTOS!$M$28)&lt;&gt;0,1/(1 - CUSTOS!$M$28),1)</f>
        <v>1</v>
      </c>
    </row>
    <row r="46" spans="1:42" ht="11.25" customHeight="1" x14ac:dyDescent="0.3">
      <c r="A46" s="137"/>
      <c r="B46" s="137" t="s">
        <v>33</v>
      </c>
      <c r="C46" s="137" t="s">
        <v>44</v>
      </c>
      <c r="D46" s="137" t="s">
        <v>94</v>
      </c>
      <c r="E46" s="137" t="s">
        <v>25</v>
      </c>
      <c r="F46" s="137" t="s">
        <v>25</v>
      </c>
      <c r="G46" s="18" t="s">
        <v>80</v>
      </c>
      <c r="H46" s="18" t="s">
        <v>79</v>
      </c>
      <c r="I46" s="18">
        <f>'MERCADO TUSD'!$U$43</f>
        <v>0</v>
      </c>
      <c r="J46" s="15"/>
      <c r="L46" s="13">
        <f>'TR TUSD'!$L$46*'TR TUSD'!$L$72</f>
        <v>13.333553822629579</v>
      </c>
      <c r="M46" s="13">
        <f>'TR TUSD'!$M$46*'TR TUSD'!$M$72</f>
        <v>1.0154767306362233</v>
      </c>
      <c r="N46" s="13">
        <f ca="1">'TR TUSD'!$N$46*'TR TUSD'!$N$72</f>
        <v>10.94896748822852</v>
      </c>
      <c r="O46" s="13">
        <f>'TR TUSD'!$O$46*'TR TUSD'!$O$72</f>
        <v>0</v>
      </c>
      <c r="P46" s="13">
        <f>'TR TUSD'!$P$46*'TR TUSD'!$P$72</f>
        <v>0</v>
      </c>
      <c r="Q46" s="13">
        <f>'TR TUSD'!$Q$46*'TR TUSD'!$Q$72</f>
        <v>93.489848237378382</v>
      </c>
      <c r="R46" s="13">
        <f>'TR TUSD'!$R$46*'TR TUSD'!$R$72</f>
        <v>14.799409177241358</v>
      </c>
      <c r="S46" s="13">
        <f>'TR TUSD'!$S$46*'TR TUSD'!$S$72</f>
        <v>0</v>
      </c>
      <c r="T46" s="13">
        <f ca="1">SUM($L$46:$S$46)</f>
        <v>133.58725545611406</v>
      </c>
      <c r="U46" s="13">
        <f>'TR TUSD'!$U$46*'TR TUSD'!$U$72</f>
        <v>126.68335399791678</v>
      </c>
      <c r="V46" s="13">
        <f>'TR TUSD'!$V$46*'TR TUSD'!$V$72</f>
        <v>60.040152660137537</v>
      </c>
      <c r="W46" s="13">
        <f>'TR TUSD'!$W$46*'TR TUSD'!$W$72</f>
        <v>0</v>
      </c>
      <c r="X46" s="13">
        <f>'TR TUSD'!$X$46*'TR TUSD'!$X$72</f>
        <v>0</v>
      </c>
      <c r="Y46" s="13">
        <f>'TR TUSD'!$Y$46*'TR TUSD'!$Y$72</f>
        <v>0</v>
      </c>
      <c r="Z46" s="13">
        <f>'TR TUSD'!$Z$46</f>
        <v>0</v>
      </c>
      <c r="AA46" s="13">
        <f>'TR TUSD'!$AA$46</f>
        <v>0</v>
      </c>
      <c r="AB46" s="13">
        <f>SUM($U$46:$AA$46)</f>
        <v>186.7235066580543</v>
      </c>
      <c r="AC46" s="13">
        <f>'TR TUSD'!$AC$46*'TR TUSD'!$AC$72</f>
        <v>824.9304223532796</v>
      </c>
      <c r="AD46" s="13">
        <f>SUM($AC$46:$AC$46)</f>
        <v>824.9304223532796</v>
      </c>
      <c r="AE46" s="13">
        <v>0</v>
      </c>
      <c r="AF46" s="13">
        <v>0</v>
      </c>
      <c r="AG46" s="13">
        <f>SUM($AE$46:$AF$46)</f>
        <v>0</v>
      </c>
      <c r="AH46" s="13">
        <f>'TR TUSD'!$AH$46*'TR TUSD'!$AH$72</f>
        <v>23.535883456417587</v>
      </c>
      <c r="AI46" s="13">
        <f>'TR TUSD'!$AI$46*'TR TUSD'!$AI$72</f>
        <v>0.69257380128731572</v>
      </c>
      <c r="AJ46" s="13">
        <f ca="1">'TR TUSD'!$AJ$46*'TR TUSD'!$AJ$72</f>
        <v>1.5791119310669444</v>
      </c>
      <c r="AK46" s="13">
        <f ca="1">'TR TUSD'!$AK$46*'TR TUSD'!$AK$72</f>
        <v>0.41144628214016238</v>
      </c>
      <c r="AL46" s="13">
        <f ca="1">SUM($AH$46:$AK$46)</f>
        <v>26.219015470912009</v>
      </c>
      <c r="AM46" s="13">
        <f ca="1">SUMIF($L$4:$AL$4,"SUBTOTAL",$L$46:$AL$46)</f>
        <v>1171.4601999383599</v>
      </c>
      <c r="AP46" s="13">
        <f>IF((1 - CUSTOS!$M$29)&lt;&gt;0,1/(1 - CUSTOS!$M$29),1)</f>
        <v>1</v>
      </c>
    </row>
    <row r="47" spans="1:42" ht="11.25" customHeight="1" x14ac:dyDescent="0.3">
      <c r="A47" s="137"/>
      <c r="B47" s="137"/>
      <c r="C47" s="137"/>
      <c r="D47" s="137"/>
      <c r="E47" s="137"/>
      <c r="F47" s="137"/>
      <c r="G47" s="18" t="s">
        <v>91</v>
      </c>
      <c r="H47" s="18" t="s">
        <v>79</v>
      </c>
      <c r="I47" s="18">
        <f>'MERCADO TUSD'!$U$44</f>
        <v>0</v>
      </c>
      <c r="J47" s="15"/>
      <c r="L47" s="13">
        <f>'TR TUSD'!$L$47*'TR TUSD'!$L$72</f>
        <v>13.333553822629579</v>
      </c>
      <c r="M47" s="13">
        <f>'TR TUSD'!$M$47*'TR TUSD'!$M$72</f>
        <v>1.0154767306362233</v>
      </c>
      <c r="N47" s="13">
        <f ca="1">'TR TUSD'!$N$47*'TR TUSD'!$N$72</f>
        <v>6.8114708262084092</v>
      </c>
      <c r="O47" s="13">
        <f>'TR TUSD'!$O$47*'TR TUSD'!$O$72</f>
        <v>0</v>
      </c>
      <c r="P47" s="13">
        <f>'TR TUSD'!$P$47*'TR TUSD'!$P$72</f>
        <v>0</v>
      </c>
      <c r="Q47" s="13">
        <f>'TR TUSD'!$Q$47*'TR TUSD'!$Q$72</f>
        <v>93.489848237378382</v>
      </c>
      <c r="R47" s="13">
        <f>'TR TUSD'!$R$47*'TR TUSD'!$R$72</f>
        <v>14.799409177241358</v>
      </c>
      <c r="S47" s="13">
        <f>'TR TUSD'!$S$47*'TR TUSD'!$S$72</f>
        <v>0</v>
      </c>
      <c r="T47" s="13">
        <f ca="1">SUM($L$47:$S$47)</f>
        <v>129.44975879409395</v>
      </c>
      <c r="U47" s="13">
        <f>'TR TUSD'!$U$47*'TR TUSD'!$U$72</f>
        <v>76.010038327026351</v>
      </c>
      <c r="V47" s="13">
        <f>'TR TUSD'!$V$47*'TR TUSD'!$V$72</f>
        <v>36.024114554539317</v>
      </c>
      <c r="W47" s="13">
        <f>'TR TUSD'!$W$47*'TR TUSD'!$W$72</f>
        <v>0</v>
      </c>
      <c r="X47" s="13">
        <f>'TR TUSD'!$X$47*'TR TUSD'!$X$72</f>
        <v>0</v>
      </c>
      <c r="Y47" s="13">
        <f>'TR TUSD'!$Y$47*'TR TUSD'!$Y$72</f>
        <v>0</v>
      </c>
      <c r="Z47" s="13">
        <f>'TR TUSD'!$Z$47</f>
        <v>0</v>
      </c>
      <c r="AA47" s="13">
        <f>'TR TUSD'!$AA$47</f>
        <v>0</v>
      </c>
      <c r="AB47" s="13">
        <f>SUM($U$47:$AA$47)</f>
        <v>112.03415288156566</v>
      </c>
      <c r="AC47" s="13">
        <f>'TR TUSD'!$AC$47*'TR TUSD'!$AC$72</f>
        <v>494.95823084975893</v>
      </c>
      <c r="AD47" s="13">
        <f>SUM($AC$47:$AC$47)</f>
        <v>494.95823084975893</v>
      </c>
      <c r="AE47" s="13">
        <v>0</v>
      </c>
      <c r="AF47" s="13">
        <v>0</v>
      </c>
      <c r="AG47" s="13">
        <f>SUM($AE$47:$AF$47)</f>
        <v>0</v>
      </c>
      <c r="AH47" s="13">
        <f>'TR TUSD'!$AH$47*'TR TUSD'!$AH$72</f>
        <v>23.535883456417587</v>
      </c>
      <c r="AI47" s="13">
        <f>'TR TUSD'!$AI$47*'TR TUSD'!$AI$72</f>
        <v>0.69257380128731572</v>
      </c>
      <c r="AJ47" s="13">
        <f ca="1">'TR TUSD'!$AJ$47*'TR TUSD'!$AJ$72</f>
        <v>1.5791119310669444</v>
      </c>
      <c r="AK47" s="13">
        <f ca="1">'TR TUSD'!$AK$47*'TR TUSD'!$AK$72</f>
        <v>0.41144628214016238</v>
      </c>
      <c r="AL47" s="13">
        <f ca="1">SUM($AH$47:$AK$47)</f>
        <v>26.219015470912009</v>
      </c>
      <c r="AM47" s="13">
        <f ca="1">SUMIF($L$4:$AL$4,"SUBTOTAL",$L$47:$AL$47)</f>
        <v>762.66115799633064</v>
      </c>
      <c r="AP47" s="13">
        <f>IF((1 - CUSTOS!$M$29)&lt;&gt;0,1/(1 - CUSTOS!$M$29),1)</f>
        <v>1</v>
      </c>
    </row>
    <row r="48" spans="1:42" ht="11.25" customHeight="1" x14ac:dyDescent="0.3">
      <c r="A48" s="137"/>
      <c r="B48" s="137"/>
      <c r="C48" s="137"/>
      <c r="D48" s="137"/>
      <c r="E48" s="137"/>
      <c r="F48" s="137"/>
      <c r="G48" s="18" t="s">
        <v>81</v>
      </c>
      <c r="H48" s="18" t="s">
        <v>79</v>
      </c>
      <c r="I48" s="18">
        <f>'MERCADO TUSD'!$U$45</f>
        <v>0</v>
      </c>
      <c r="J48" s="15"/>
      <c r="L48" s="13">
        <f>'TR TUSD'!$L$48*'TR TUSD'!$L$72</f>
        <v>13.333553822629579</v>
      </c>
      <c r="M48" s="13">
        <f>'TR TUSD'!$M$48*'TR TUSD'!$M$72</f>
        <v>1.0154767306362233</v>
      </c>
      <c r="N48" s="13">
        <f ca="1">'TR TUSD'!$N$48*'TR TUSD'!$N$72</f>
        <v>2.6739741641883001</v>
      </c>
      <c r="O48" s="13">
        <f>'TR TUSD'!$O$48*'TR TUSD'!$O$72</f>
        <v>0</v>
      </c>
      <c r="P48" s="13">
        <f>'TR TUSD'!$P$48*'TR TUSD'!$P$72</f>
        <v>0</v>
      </c>
      <c r="Q48" s="13">
        <f>'TR TUSD'!$Q$48*'TR TUSD'!$Q$72</f>
        <v>93.489848237378382</v>
      </c>
      <c r="R48" s="13">
        <f>'TR TUSD'!$R$48*'TR TUSD'!$R$72</f>
        <v>14.799409177241358</v>
      </c>
      <c r="S48" s="13">
        <f>'TR TUSD'!$S$48*'TR TUSD'!$S$72</f>
        <v>0</v>
      </c>
      <c r="T48" s="13">
        <f ca="1">SUM($L$48:$S$48)</f>
        <v>125.31226213207384</v>
      </c>
      <c r="U48" s="13">
        <f>'TR TUSD'!$U$48*'TR TUSD'!$U$72</f>
        <v>25.336722656135919</v>
      </c>
      <c r="V48" s="13">
        <f>'TR TUSD'!$V$48*'TR TUSD'!$V$72</f>
        <v>12.008076448941093</v>
      </c>
      <c r="W48" s="13">
        <f>'TR TUSD'!$W$48*'TR TUSD'!$W$72</f>
        <v>0</v>
      </c>
      <c r="X48" s="13">
        <f>'TR TUSD'!$X$48*'TR TUSD'!$X$72</f>
        <v>0</v>
      </c>
      <c r="Y48" s="13">
        <f>'TR TUSD'!$Y$48*'TR TUSD'!$Y$72</f>
        <v>0</v>
      </c>
      <c r="Z48" s="13">
        <f>'TR TUSD'!$Z$48</f>
        <v>0</v>
      </c>
      <c r="AA48" s="13">
        <f>'TR TUSD'!$AA$48</f>
        <v>0</v>
      </c>
      <c r="AB48" s="13">
        <f>SUM($U$48:$AA$48)</f>
        <v>37.344799105077016</v>
      </c>
      <c r="AC48" s="13">
        <f>'TR TUSD'!$AC$48*'TR TUSD'!$AC$72</f>
        <v>164.98603934623824</v>
      </c>
      <c r="AD48" s="13">
        <f>SUM($AC$48:$AC$48)</f>
        <v>164.98603934623824</v>
      </c>
      <c r="AE48" s="13">
        <v>0</v>
      </c>
      <c r="AF48" s="13">
        <v>0</v>
      </c>
      <c r="AG48" s="13">
        <f>SUM($AE$48:$AF$48)</f>
        <v>0</v>
      </c>
      <c r="AH48" s="13">
        <f>'TR TUSD'!$AH$48*'TR TUSD'!$AH$72</f>
        <v>23.535883456417587</v>
      </c>
      <c r="AI48" s="13">
        <f>'TR TUSD'!$AI$48*'TR TUSD'!$AI$72</f>
        <v>0.69257380128731572</v>
      </c>
      <c r="AJ48" s="13">
        <f ca="1">'TR TUSD'!$AJ$48*'TR TUSD'!$AJ$72</f>
        <v>1.5791119310669444</v>
      </c>
      <c r="AK48" s="13">
        <f ca="1">'TR TUSD'!$AK$48*'TR TUSD'!$AK$72</f>
        <v>0.41144628214016238</v>
      </c>
      <c r="AL48" s="13">
        <f ca="1">SUM($AH$48:$AK$48)</f>
        <v>26.219015470912009</v>
      </c>
      <c r="AM48" s="13">
        <f ca="1">SUMIF($L$4:$AL$4,"SUBTOTAL",$L$48:$AL$48)</f>
        <v>353.86211605430111</v>
      </c>
      <c r="AP48" s="13">
        <f>IF((1 - CUSTOS!$M$29)&lt;&gt;0,1/(1 - CUSTOS!$M$29),1)</f>
        <v>1</v>
      </c>
    </row>
    <row r="49" spans="1:42" ht="11.25" customHeight="1" x14ac:dyDescent="0.3">
      <c r="A49" s="137"/>
      <c r="B49" s="17" t="s">
        <v>23</v>
      </c>
      <c r="C49" s="17" t="s">
        <v>44</v>
      </c>
      <c r="D49" s="17" t="s">
        <v>94</v>
      </c>
      <c r="E49" s="17" t="s">
        <v>25</v>
      </c>
      <c r="F49" s="17" t="s">
        <v>25</v>
      </c>
      <c r="G49" s="18" t="s">
        <v>83</v>
      </c>
      <c r="H49" s="18" t="s">
        <v>79</v>
      </c>
      <c r="I49" s="18">
        <f>'MERCADO TUSD'!$U$46</f>
        <v>0</v>
      </c>
      <c r="J49" s="15"/>
      <c r="L49" s="13">
        <f>'TR TUSD'!$L$49*'TR TUSD'!$L$72</f>
        <v>13.333553822629579</v>
      </c>
      <c r="M49" s="13">
        <f>'TR TUSD'!$M$49*'TR TUSD'!$M$72</f>
        <v>1.0154767306362233</v>
      </c>
      <c r="N49" s="13">
        <f ca="1">'TR TUSD'!$N$49*'TR TUSD'!$N$72</f>
        <v>3.7396924856456182</v>
      </c>
      <c r="O49" s="13">
        <f>'TR TUSD'!$O$49*'TR TUSD'!$O$72</f>
        <v>0</v>
      </c>
      <c r="P49" s="13">
        <f>'TR TUSD'!$P$49*'TR TUSD'!$P$72</f>
        <v>0</v>
      </c>
      <c r="Q49" s="13">
        <f>'TR TUSD'!$Q$49*'TR TUSD'!$Q$72</f>
        <v>93.489848237378382</v>
      </c>
      <c r="R49" s="13">
        <f>'TR TUSD'!$R$49*'TR TUSD'!$R$72</f>
        <v>14.799409177241358</v>
      </c>
      <c r="S49" s="13">
        <f>'TR TUSD'!$S$49*'TR TUSD'!$S$72</f>
        <v>0</v>
      </c>
      <c r="T49" s="13">
        <f ca="1">SUM($L$49:$S$49)</f>
        <v>126.37798045353117</v>
      </c>
      <c r="U49" s="13">
        <f>'TR TUSD'!$U$49*'TR TUSD'!$U$72</f>
        <v>38.388887293830457</v>
      </c>
      <c r="V49" s="13">
        <f>'TR TUSD'!$V$49*'TR TUSD'!$V$72</f>
        <v>18.19400304735743</v>
      </c>
      <c r="W49" s="13">
        <f>'TR TUSD'!$W$49*'TR TUSD'!$W$72</f>
        <v>0</v>
      </c>
      <c r="X49" s="13">
        <f>'TR TUSD'!$X$49*'TR TUSD'!$X$72</f>
        <v>0</v>
      </c>
      <c r="Y49" s="13">
        <f>'TR TUSD'!$Y$49*'TR TUSD'!$Y$72</f>
        <v>0</v>
      </c>
      <c r="Z49" s="13">
        <f>'TR TUSD'!$Z$49</f>
        <v>0</v>
      </c>
      <c r="AA49" s="13">
        <f>'TR TUSD'!$AA$49</f>
        <v>0</v>
      </c>
      <c r="AB49" s="13">
        <f>SUM($U$49:$AA$49)</f>
        <v>56.582890341187891</v>
      </c>
      <c r="AC49" s="13">
        <f>'TR TUSD'!$AC$49*'TR TUSD'!$AC$72</f>
        <v>249.97889535353124</v>
      </c>
      <c r="AD49" s="13">
        <f>SUM($AC$49:$AC$49)</f>
        <v>249.97889535353124</v>
      </c>
      <c r="AE49" s="13">
        <v>0</v>
      </c>
      <c r="AF49" s="13">
        <v>0</v>
      </c>
      <c r="AG49" s="13">
        <f>SUM($AE$49:$AF$49)</f>
        <v>0</v>
      </c>
      <c r="AH49" s="13">
        <f>'TR TUSD'!$AH$49*'TR TUSD'!$AH$72</f>
        <v>23.535883456417587</v>
      </c>
      <c r="AI49" s="13">
        <f>'TR TUSD'!$AI$49*'TR TUSD'!$AI$72</f>
        <v>0.69257380128731572</v>
      </c>
      <c r="AJ49" s="13">
        <f ca="1">'TR TUSD'!$AJ$49*'TR TUSD'!$AJ$72</f>
        <v>1.5791119310669444</v>
      </c>
      <c r="AK49" s="13">
        <f ca="1">'TR TUSD'!$AK$49*'TR TUSD'!$AK$72</f>
        <v>0.41144628214016238</v>
      </c>
      <c r="AL49" s="13">
        <f ca="1">SUM($AH$49:$AK$49)</f>
        <v>26.219015470912009</v>
      </c>
      <c r="AM49" s="13">
        <f ca="1">SUMIF($L$4:$AL$4,"SUBTOTAL",$L$49:$AL$49)</f>
        <v>459.15878161916231</v>
      </c>
      <c r="AP49" s="13">
        <f>IF((1 - CUSTOS!$M$29)&lt;&gt;0,1/(1 - CUSTOS!$M$29),1)</f>
        <v>1</v>
      </c>
    </row>
    <row r="50" spans="1:42" ht="11.25" customHeight="1" x14ac:dyDescent="0.3">
      <c r="A50" s="137"/>
      <c r="B50" s="137" t="s">
        <v>33</v>
      </c>
      <c r="C50" s="137" t="s">
        <v>44</v>
      </c>
      <c r="D50" s="137" t="s">
        <v>95</v>
      </c>
      <c r="E50" s="137" t="s">
        <v>25</v>
      </c>
      <c r="F50" s="137" t="s">
        <v>25</v>
      </c>
      <c r="G50" s="18" t="s">
        <v>80</v>
      </c>
      <c r="H50" s="18" t="s">
        <v>79</v>
      </c>
      <c r="I50" s="18">
        <f>'MERCADO TUSD'!$U$47</f>
        <v>0</v>
      </c>
      <c r="J50" s="15"/>
      <c r="L50" s="13">
        <f>'TR TUSD'!$L$50*'TR TUSD'!$L$72</f>
        <v>13.333553822629579</v>
      </c>
      <c r="M50" s="13">
        <f>'TR TUSD'!$M$50*'TR TUSD'!$M$72</f>
        <v>1.0154767306362233</v>
      </c>
      <c r="N50" s="13">
        <f ca="1">'TR TUSD'!$N$50*'TR TUSD'!$N$72</f>
        <v>10.94896748822852</v>
      </c>
      <c r="O50" s="13">
        <f>'TR TUSD'!$O$50*'TR TUSD'!$O$72</f>
        <v>0</v>
      </c>
      <c r="P50" s="13">
        <f>'TR TUSD'!$P$50*'TR TUSD'!$P$72</f>
        <v>0</v>
      </c>
      <c r="Q50" s="13">
        <f>'TR TUSD'!$Q$50*'TR TUSD'!$Q$72</f>
        <v>93.489848237378382</v>
      </c>
      <c r="R50" s="13">
        <f>'TR TUSD'!$R$50*'TR TUSD'!$R$72</f>
        <v>14.799409177241358</v>
      </c>
      <c r="S50" s="13">
        <f>'TR TUSD'!$S$50*'TR TUSD'!$S$72</f>
        <v>0</v>
      </c>
      <c r="T50" s="13">
        <f ca="1">SUM($L$50:$S$50)</f>
        <v>133.58725545611406</v>
      </c>
      <c r="U50" s="13">
        <f>'TR TUSD'!$U$50*'TR TUSD'!$U$72</f>
        <v>126.68335399791678</v>
      </c>
      <c r="V50" s="13">
        <f>'TR TUSD'!$V$50*'TR TUSD'!$V$72</f>
        <v>60.040152660137537</v>
      </c>
      <c r="W50" s="13">
        <f>'TR TUSD'!$W$50*'TR TUSD'!$W$72</f>
        <v>0</v>
      </c>
      <c r="X50" s="13">
        <f>'TR TUSD'!$X$50*'TR TUSD'!$X$72</f>
        <v>0</v>
      </c>
      <c r="Y50" s="13">
        <f>'TR TUSD'!$Y$50*'TR TUSD'!$Y$72</f>
        <v>0</v>
      </c>
      <c r="Z50" s="13">
        <f>'TR TUSD'!$Z$50</f>
        <v>0</v>
      </c>
      <c r="AA50" s="13">
        <f>'TR TUSD'!$AA$50</f>
        <v>0</v>
      </c>
      <c r="AB50" s="13">
        <f>SUM($U$50:$AA$50)</f>
        <v>186.7235066580543</v>
      </c>
      <c r="AC50" s="13">
        <f>'TR TUSD'!$AC$50*'TR TUSD'!$AC$72</f>
        <v>824.9304223532796</v>
      </c>
      <c r="AD50" s="13">
        <f>SUM($AC$50:$AC$50)</f>
        <v>824.9304223532796</v>
      </c>
      <c r="AE50" s="13">
        <v>0</v>
      </c>
      <c r="AF50" s="13">
        <v>0</v>
      </c>
      <c r="AG50" s="13">
        <f>SUM($AE$50:$AF$50)</f>
        <v>0</v>
      </c>
      <c r="AH50" s="13">
        <f>'TR TUSD'!$AH$50*'TR TUSD'!$AH$72</f>
        <v>23.535883456417587</v>
      </c>
      <c r="AI50" s="13">
        <f>'TR TUSD'!$AI$50*'TR TUSD'!$AI$72</f>
        <v>0.69257380128731572</v>
      </c>
      <c r="AJ50" s="13">
        <f ca="1">'TR TUSD'!$AJ$50*'TR TUSD'!$AJ$72</f>
        <v>1.5791119310669444</v>
      </c>
      <c r="AK50" s="13">
        <f ca="1">'TR TUSD'!$AK$50*'TR TUSD'!$AK$72</f>
        <v>0.41144628214016238</v>
      </c>
      <c r="AL50" s="13">
        <f ca="1">SUM($AH$50:$AK$50)</f>
        <v>26.219015470912009</v>
      </c>
      <c r="AM50" s="13">
        <f ca="1">SUMIF($L$4:$AL$4,"SUBTOTAL",$L$50:$AL$50)</f>
        <v>1171.4601999383599</v>
      </c>
      <c r="AP50" s="13">
        <f>IF((1 - CUSTOS!$M$30)&lt;&gt;0,1/(1 - CUSTOS!$M$30),1)</f>
        <v>1</v>
      </c>
    </row>
    <row r="51" spans="1:42" ht="11.25" customHeight="1" x14ac:dyDescent="0.3">
      <c r="A51" s="137"/>
      <c r="B51" s="137"/>
      <c r="C51" s="137"/>
      <c r="D51" s="137"/>
      <c r="E51" s="137"/>
      <c r="F51" s="137"/>
      <c r="G51" s="18" t="s">
        <v>91</v>
      </c>
      <c r="H51" s="18" t="s">
        <v>79</v>
      </c>
      <c r="I51" s="18">
        <f>'MERCADO TUSD'!$U$48</f>
        <v>0</v>
      </c>
      <c r="J51" s="15"/>
      <c r="L51" s="13">
        <f>'TR TUSD'!$L$51*'TR TUSD'!$L$72</f>
        <v>13.333553822629579</v>
      </c>
      <c r="M51" s="13">
        <f>'TR TUSD'!$M$51*'TR TUSD'!$M$72</f>
        <v>1.0154767306362233</v>
      </c>
      <c r="N51" s="13">
        <f ca="1">'TR TUSD'!$N$51*'TR TUSD'!$N$72</f>
        <v>6.8114708262084092</v>
      </c>
      <c r="O51" s="13">
        <f>'TR TUSD'!$O$51*'TR TUSD'!$O$72</f>
        <v>0</v>
      </c>
      <c r="P51" s="13">
        <f>'TR TUSD'!$P$51*'TR TUSD'!$P$72</f>
        <v>0</v>
      </c>
      <c r="Q51" s="13">
        <f>'TR TUSD'!$Q$51*'TR TUSD'!$Q$72</f>
        <v>93.489848237378382</v>
      </c>
      <c r="R51" s="13">
        <f>'TR TUSD'!$R$51*'TR TUSD'!$R$72</f>
        <v>14.799409177241358</v>
      </c>
      <c r="S51" s="13">
        <f>'TR TUSD'!$S$51*'TR TUSD'!$S$72</f>
        <v>0</v>
      </c>
      <c r="T51" s="13">
        <f ca="1">SUM($L$51:$S$51)</f>
        <v>129.44975879409395</v>
      </c>
      <c r="U51" s="13">
        <f>'TR TUSD'!$U$51*'TR TUSD'!$U$72</f>
        <v>76.010038327026351</v>
      </c>
      <c r="V51" s="13">
        <f>'TR TUSD'!$V$51*'TR TUSD'!$V$72</f>
        <v>36.024114554539317</v>
      </c>
      <c r="W51" s="13">
        <f>'TR TUSD'!$W$51*'TR TUSD'!$W$72</f>
        <v>0</v>
      </c>
      <c r="X51" s="13">
        <f>'TR TUSD'!$X$51*'TR TUSD'!$X$72</f>
        <v>0</v>
      </c>
      <c r="Y51" s="13">
        <f>'TR TUSD'!$Y$51*'TR TUSD'!$Y$72</f>
        <v>0</v>
      </c>
      <c r="Z51" s="13">
        <f>'TR TUSD'!$Z$51</f>
        <v>0</v>
      </c>
      <c r="AA51" s="13">
        <f>'TR TUSD'!$AA$51</f>
        <v>0</v>
      </c>
      <c r="AB51" s="13">
        <f>SUM($U$51:$AA$51)</f>
        <v>112.03415288156566</v>
      </c>
      <c r="AC51" s="13">
        <f>'TR TUSD'!$AC$51*'TR TUSD'!$AC$72</f>
        <v>494.95823084975893</v>
      </c>
      <c r="AD51" s="13">
        <f>SUM($AC$51:$AC$51)</f>
        <v>494.95823084975893</v>
      </c>
      <c r="AE51" s="13">
        <v>0</v>
      </c>
      <c r="AF51" s="13">
        <v>0</v>
      </c>
      <c r="AG51" s="13">
        <f>SUM($AE$51:$AF$51)</f>
        <v>0</v>
      </c>
      <c r="AH51" s="13">
        <f>'TR TUSD'!$AH$51*'TR TUSD'!$AH$72</f>
        <v>23.535883456417587</v>
      </c>
      <c r="AI51" s="13">
        <f>'TR TUSD'!$AI$51*'TR TUSD'!$AI$72</f>
        <v>0.69257380128731572</v>
      </c>
      <c r="AJ51" s="13">
        <f ca="1">'TR TUSD'!$AJ$51*'TR TUSD'!$AJ$72</f>
        <v>1.5791119310669444</v>
      </c>
      <c r="AK51" s="13">
        <f ca="1">'TR TUSD'!$AK$51*'TR TUSD'!$AK$72</f>
        <v>0.41144628214016238</v>
      </c>
      <c r="AL51" s="13">
        <f ca="1">SUM($AH$51:$AK$51)</f>
        <v>26.219015470912009</v>
      </c>
      <c r="AM51" s="13">
        <f ca="1">SUMIF($L$4:$AL$4,"SUBTOTAL",$L$51:$AL$51)</f>
        <v>762.66115799633064</v>
      </c>
      <c r="AP51" s="13">
        <f>IF((1 - CUSTOS!$M$30)&lt;&gt;0,1/(1 - CUSTOS!$M$30),1)</f>
        <v>1</v>
      </c>
    </row>
    <row r="52" spans="1:42" ht="11.25" customHeight="1" x14ac:dyDescent="0.3">
      <c r="A52" s="137"/>
      <c r="B52" s="137"/>
      <c r="C52" s="137"/>
      <c r="D52" s="137"/>
      <c r="E52" s="137"/>
      <c r="F52" s="137"/>
      <c r="G52" s="18" t="s">
        <v>81</v>
      </c>
      <c r="H52" s="18" t="s">
        <v>79</v>
      </c>
      <c r="I52" s="18">
        <f>'MERCADO TUSD'!$U$49</f>
        <v>0</v>
      </c>
      <c r="J52" s="15"/>
      <c r="L52" s="13">
        <f>'TR TUSD'!$L$52*'TR TUSD'!$L$72</f>
        <v>13.333553822629579</v>
      </c>
      <c r="M52" s="13">
        <f>'TR TUSD'!$M$52*'TR TUSD'!$M$72</f>
        <v>1.0154767306362233</v>
      </c>
      <c r="N52" s="13">
        <f ca="1">'TR TUSD'!$N$52*'TR TUSD'!$N$72</f>
        <v>2.6739741641883001</v>
      </c>
      <c r="O52" s="13">
        <f>'TR TUSD'!$O$52*'TR TUSD'!$O$72</f>
        <v>0</v>
      </c>
      <c r="P52" s="13">
        <f>'TR TUSD'!$P$52*'TR TUSD'!$P$72</f>
        <v>0</v>
      </c>
      <c r="Q52" s="13">
        <f>'TR TUSD'!$Q$52*'TR TUSD'!$Q$72</f>
        <v>93.489848237378382</v>
      </c>
      <c r="R52" s="13">
        <f>'TR TUSD'!$R$52*'TR TUSD'!$R$72</f>
        <v>14.799409177241358</v>
      </c>
      <c r="S52" s="13">
        <f>'TR TUSD'!$S$52*'TR TUSD'!$S$72</f>
        <v>0</v>
      </c>
      <c r="T52" s="13">
        <f ca="1">SUM($L$52:$S$52)</f>
        <v>125.31226213207384</v>
      </c>
      <c r="U52" s="13">
        <f>'TR TUSD'!$U$52*'TR TUSD'!$U$72</f>
        <v>25.336722656135919</v>
      </c>
      <c r="V52" s="13">
        <f>'TR TUSD'!$V$52*'TR TUSD'!$V$72</f>
        <v>12.008076448941093</v>
      </c>
      <c r="W52" s="13">
        <f>'TR TUSD'!$W$52*'TR TUSD'!$W$72</f>
        <v>0</v>
      </c>
      <c r="X52" s="13">
        <f>'TR TUSD'!$X$52*'TR TUSD'!$X$72</f>
        <v>0</v>
      </c>
      <c r="Y52" s="13">
        <f>'TR TUSD'!$Y$52*'TR TUSD'!$Y$72</f>
        <v>0</v>
      </c>
      <c r="Z52" s="13">
        <f>'TR TUSD'!$Z$52</f>
        <v>0</v>
      </c>
      <c r="AA52" s="13">
        <f>'TR TUSD'!$AA$52</f>
        <v>0</v>
      </c>
      <c r="AB52" s="13">
        <f>SUM($U$52:$AA$52)</f>
        <v>37.344799105077016</v>
      </c>
      <c r="AC52" s="13">
        <f>'TR TUSD'!$AC$52*'TR TUSD'!$AC$72</f>
        <v>164.98603934623824</v>
      </c>
      <c r="AD52" s="13">
        <f>SUM($AC$52:$AC$52)</f>
        <v>164.98603934623824</v>
      </c>
      <c r="AE52" s="13">
        <v>0</v>
      </c>
      <c r="AF52" s="13">
        <v>0</v>
      </c>
      <c r="AG52" s="13">
        <f>SUM($AE$52:$AF$52)</f>
        <v>0</v>
      </c>
      <c r="AH52" s="13">
        <f>'TR TUSD'!$AH$52*'TR TUSD'!$AH$72</f>
        <v>23.535883456417587</v>
      </c>
      <c r="AI52" s="13">
        <f>'TR TUSD'!$AI$52*'TR TUSD'!$AI$72</f>
        <v>0.69257380128731572</v>
      </c>
      <c r="AJ52" s="13">
        <f ca="1">'TR TUSD'!$AJ$52*'TR TUSD'!$AJ$72</f>
        <v>1.5791119310669444</v>
      </c>
      <c r="AK52" s="13">
        <f ca="1">'TR TUSD'!$AK$52*'TR TUSD'!$AK$72</f>
        <v>0.41144628214016238</v>
      </c>
      <c r="AL52" s="13">
        <f ca="1">SUM($AH$52:$AK$52)</f>
        <v>26.219015470912009</v>
      </c>
      <c r="AM52" s="13">
        <f ca="1">SUMIF($L$4:$AL$4,"SUBTOTAL",$L$52:$AL$52)</f>
        <v>353.86211605430111</v>
      </c>
      <c r="AP52" s="13">
        <f>IF((1 - CUSTOS!$M$30)&lt;&gt;0,1/(1 - CUSTOS!$M$30),1)</f>
        <v>1</v>
      </c>
    </row>
    <row r="53" spans="1:42" ht="11.25" customHeight="1" x14ac:dyDescent="0.3">
      <c r="A53" s="137"/>
      <c r="B53" s="17" t="s">
        <v>23</v>
      </c>
      <c r="C53" s="17" t="s">
        <v>44</v>
      </c>
      <c r="D53" s="17" t="s">
        <v>95</v>
      </c>
      <c r="E53" s="17" t="s">
        <v>25</v>
      </c>
      <c r="F53" s="17" t="s">
        <v>25</v>
      </c>
      <c r="G53" s="18" t="s">
        <v>83</v>
      </c>
      <c r="H53" s="18" t="s">
        <v>79</v>
      </c>
      <c r="I53" s="18">
        <f>'MERCADO TUSD'!$U$50</f>
        <v>0</v>
      </c>
      <c r="J53" s="15"/>
      <c r="L53" s="13">
        <f>'TR TUSD'!$L$53*'TR TUSD'!$L$72</f>
        <v>13.333553822629579</v>
      </c>
      <c r="M53" s="13">
        <f>'TR TUSD'!$M$53*'TR TUSD'!$M$72</f>
        <v>1.0154767306362233</v>
      </c>
      <c r="N53" s="13">
        <f ca="1">'TR TUSD'!$N$53*'TR TUSD'!$N$72</f>
        <v>3.7396924856456182</v>
      </c>
      <c r="O53" s="13">
        <f>'TR TUSD'!$O$53*'TR TUSD'!$O$72</f>
        <v>0</v>
      </c>
      <c r="P53" s="13">
        <f>'TR TUSD'!$P$53*'TR TUSD'!$P$72</f>
        <v>0</v>
      </c>
      <c r="Q53" s="13">
        <f>'TR TUSD'!$Q$53*'TR TUSD'!$Q$72</f>
        <v>93.489848237378382</v>
      </c>
      <c r="R53" s="13">
        <f>'TR TUSD'!$R$53*'TR TUSD'!$R$72</f>
        <v>14.799409177241358</v>
      </c>
      <c r="S53" s="13">
        <f>'TR TUSD'!$S$53*'TR TUSD'!$S$72</f>
        <v>0</v>
      </c>
      <c r="T53" s="13">
        <f ca="1">SUM($L$53:$S$53)</f>
        <v>126.37798045353117</v>
      </c>
      <c r="U53" s="13">
        <f>'TR TUSD'!$U$53*'TR TUSD'!$U$72</f>
        <v>38.388887293830457</v>
      </c>
      <c r="V53" s="13">
        <f>'TR TUSD'!$V$53*'TR TUSD'!$V$72</f>
        <v>18.19400304735743</v>
      </c>
      <c r="W53" s="13">
        <f>'TR TUSD'!$W$53*'TR TUSD'!$W$72</f>
        <v>0</v>
      </c>
      <c r="X53" s="13">
        <f>'TR TUSD'!$X$53*'TR TUSD'!$X$72</f>
        <v>0</v>
      </c>
      <c r="Y53" s="13">
        <f>'TR TUSD'!$Y$53*'TR TUSD'!$Y$72</f>
        <v>0</v>
      </c>
      <c r="Z53" s="13">
        <f>'TR TUSD'!$Z$53</f>
        <v>0</v>
      </c>
      <c r="AA53" s="13">
        <f>'TR TUSD'!$AA$53</f>
        <v>0</v>
      </c>
      <c r="AB53" s="13">
        <f>SUM($U$53:$AA$53)</f>
        <v>56.582890341187891</v>
      </c>
      <c r="AC53" s="13">
        <f>'TR TUSD'!$AC$53*'TR TUSD'!$AC$72</f>
        <v>249.97889535353124</v>
      </c>
      <c r="AD53" s="13">
        <f>SUM($AC$53:$AC$53)</f>
        <v>249.97889535353124</v>
      </c>
      <c r="AE53" s="13">
        <v>0</v>
      </c>
      <c r="AF53" s="13">
        <v>0</v>
      </c>
      <c r="AG53" s="13">
        <f>SUM($AE$53:$AF$53)</f>
        <v>0</v>
      </c>
      <c r="AH53" s="13">
        <f>'TR TUSD'!$AH$53*'TR TUSD'!$AH$72</f>
        <v>23.535883456417587</v>
      </c>
      <c r="AI53" s="13">
        <f>'TR TUSD'!$AI$53*'TR TUSD'!$AI$72</f>
        <v>0.69257380128731572</v>
      </c>
      <c r="AJ53" s="13">
        <f ca="1">'TR TUSD'!$AJ$53*'TR TUSD'!$AJ$72</f>
        <v>1.5791119310669444</v>
      </c>
      <c r="AK53" s="13">
        <f ca="1">'TR TUSD'!$AK$53*'TR TUSD'!$AK$72</f>
        <v>0.41144628214016238</v>
      </c>
      <c r="AL53" s="13">
        <f ca="1">SUM($AH$53:$AK$53)</f>
        <v>26.219015470912009</v>
      </c>
      <c r="AM53" s="13">
        <f ca="1">SUMIF($L$4:$AL$4,"SUBTOTAL",$L$53:$AL$53)</f>
        <v>459.15878161916231</v>
      </c>
      <c r="AP53" s="13">
        <f>IF((1 - CUSTOS!$M$30)&lt;&gt;0,1/(1 - CUSTOS!$M$30),1)</f>
        <v>1</v>
      </c>
    </row>
    <row r="54" spans="1:42" ht="11.25" customHeight="1" x14ac:dyDescent="0.3">
      <c r="A54" s="137"/>
      <c r="B54" s="137" t="s">
        <v>93</v>
      </c>
      <c r="C54" s="137" t="s">
        <v>44</v>
      </c>
      <c r="D54" s="17" t="s">
        <v>25</v>
      </c>
      <c r="E54" s="17" t="s">
        <v>25</v>
      </c>
      <c r="F54" s="17" t="s">
        <v>25</v>
      </c>
      <c r="G54" s="18" t="s">
        <v>83</v>
      </c>
      <c r="H54" s="18" t="s">
        <v>79</v>
      </c>
      <c r="I54" s="18">
        <f>'MERCADO TUSD'!$U$51</f>
        <v>0</v>
      </c>
      <c r="J54" s="15"/>
      <c r="L54" s="13">
        <f>'TR TUSD'!$L$54*'TR TUSD'!$L$72</f>
        <v>13.333553822629579</v>
      </c>
      <c r="M54" s="13">
        <f>'TR TUSD'!$M$54*'TR TUSD'!$M$72</f>
        <v>1.0154767306362233</v>
      </c>
      <c r="N54" s="13">
        <f ca="1">'TR TUSD'!$N$54*'TR TUSD'!$N$72</f>
        <v>3.7396924856456182</v>
      </c>
      <c r="O54" s="13">
        <f>'TR TUSD'!$O$54*'TR TUSD'!$O$72</f>
        <v>0</v>
      </c>
      <c r="P54" s="13">
        <f>'TR TUSD'!$P$54*'TR TUSD'!$P$72</f>
        <v>0</v>
      </c>
      <c r="Q54" s="13">
        <f>'TR TUSD'!$Q$54*'TR TUSD'!$Q$72</f>
        <v>93.489848237378382</v>
      </c>
      <c r="R54" s="13">
        <f>'TR TUSD'!$R$54*'TR TUSD'!$R$72</f>
        <v>14.799409177241358</v>
      </c>
      <c r="S54" s="13">
        <f>'TR TUSD'!$S$54*'TR TUSD'!$S$72</f>
        <v>0</v>
      </c>
      <c r="T54" s="13">
        <f ca="1">SUM($L$54:$S$54)</f>
        <v>126.37798045353117</v>
      </c>
      <c r="U54" s="13">
        <f>'TR TUSD'!$U$54*'TR TUSD'!$U$72</f>
        <v>38.388887293830457</v>
      </c>
      <c r="V54" s="13">
        <f>'TR TUSD'!$V$54*'TR TUSD'!$V$72</f>
        <v>18.19400304735743</v>
      </c>
      <c r="W54" s="13">
        <f>'TR TUSD'!$W$54*'TR TUSD'!$W$72</f>
        <v>0</v>
      </c>
      <c r="X54" s="13">
        <f>'TR TUSD'!$X$54*'TR TUSD'!$X$72</f>
        <v>0</v>
      </c>
      <c r="Y54" s="13">
        <f>'TR TUSD'!$Y$54*'TR TUSD'!$Y$72</f>
        <v>0</v>
      </c>
      <c r="Z54" s="13">
        <f>'TR TUSD'!$Z$54</f>
        <v>0</v>
      </c>
      <c r="AA54" s="13">
        <f>'TR TUSD'!$AA$54</f>
        <v>0</v>
      </c>
      <c r="AB54" s="13">
        <f>SUM($U$54:$AA$54)</f>
        <v>56.582890341187891</v>
      </c>
      <c r="AC54" s="13">
        <f>'TR TUSD'!$AC$54*'TR TUSD'!$AC$72</f>
        <v>249.97889535353124</v>
      </c>
      <c r="AD54" s="13">
        <f>SUM($AC$54:$AC$54)</f>
        <v>249.97889535353124</v>
      </c>
      <c r="AE54" s="13">
        <v>0</v>
      </c>
      <c r="AF54" s="13">
        <v>0</v>
      </c>
      <c r="AG54" s="13">
        <f>SUM($AE$54:$AF$54)</f>
        <v>0</v>
      </c>
      <c r="AH54" s="13">
        <f>'TR TUSD'!$AH$54*'TR TUSD'!$AH$72</f>
        <v>23.535883456417587</v>
      </c>
      <c r="AI54" s="13">
        <f>'TR TUSD'!$AI$54*'TR TUSD'!$AI$72</f>
        <v>0.69257380128731572</v>
      </c>
      <c r="AJ54" s="13">
        <f ca="1">'TR TUSD'!$AJ$54*'TR TUSD'!$AJ$72</f>
        <v>1.5791119310669444</v>
      </c>
      <c r="AK54" s="13">
        <f ca="1">'TR TUSD'!$AK$54*'TR TUSD'!$AK$72</f>
        <v>0.41144628214016238</v>
      </c>
      <c r="AL54" s="13">
        <f ca="1">SUM($AH$54:$AK$54)</f>
        <v>26.219015470912009</v>
      </c>
      <c r="AM54" s="13">
        <f ca="1">SUMIF($L$4:$AL$4,"SUBTOTAL",$L$54:$AL$54)</f>
        <v>459.15878161916231</v>
      </c>
      <c r="AP54" s="13">
        <f>IF((1 - CUSTOS!$M$28)&lt;&gt;0,1/(1 - CUSTOS!$M$28),1)</f>
        <v>1</v>
      </c>
    </row>
    <row r="55" spans="1:42" ht="11.25" customHeight="1" x14ac:dyDescent="0.3">
      <c r="A55" s="137"/>
      <c r="B55" s="137"/>
      <c r="C55" s="137"/>
      <c r="D55" s="17" t="s">
        <v>94</v>
      </c>
      <c r="E55" s="17" t="s">
        <v>25</v>
      </c>
      <c r="F55" s="17" t="s">
        <v>25</v>
      </c>
      <c r="G55" s="18" t="s">
        <v>83</v>
      </c>
      <c r="H55" s="18" t="s">
        <v>79</v>
      </c>
      <c r="I55" s="18">
        <f>'MERCADO TUSD'!$U$52</f>
        <v>0</v>
      </c>
      <c r="J55" s="15"/>
      <c r="L55" s="13">
        <f>'TR TUSD'!$L$55*'TR TUSD'!$L$72</f>
        <v>13.333553822629579</v>
      </c>
      <c r="M55" s="13">
        <f>'TR TUSD'!$M$55*'TR TUSD'!$M$72</f>
        <v>1.0154767306362233</v>
      </c>
      <c r="N55" s="13">
        <f ca="1">'TR TUSD'!$N$55*'TR TUSD'!$N$72</f>
        <v>3.7396924856456182</v>
      </c>
      <c r="O55" s="13">
        <f>'TR TUSD'!$O$55*'TR TUSD'!$O$72</f>
        <v>0</v>
      </c>
      <c r="P55" s="13">
        <f>'TR TUSD'!$P$55*'TR TUSD'!$P$72</f>
        <v>0</v>
      </c>
      <c r="Q55" s="13">
        <f>'TR TUSD'!$Q$55*'TR TUSD'!$Q$72</f>
        <v>93.489848237378382</v>
      </c>
      <c r="R55" s="13">
        <f>'TR TUSD'!$R$55*'TR TUSD'!$R$72</f>
        <v>14.799409177241358</v>
      </c>
      <c r="S55" s="13">
        <f>'TR TUSD'!$S$55*'TR TUSD'!$S$72</f>
        <v>0</v>
      </c>
      <c r="T55" s="13">
        <f ca="1">SUM($L$55:$S$55)</f>
        <v>126.37798045353117</v>
      </c>
      <c r="U55" s="13">
        <f>'TR TUSD'!$U$55*'TR TUSD'!$U$72</f>
        <v>38.388887293830457</v>
      </c>
      <c r="V55" s="13">
        <f>'TR TUSD'!$V$55*'TR TUSD'!$V$72</f>
        <v>18.19400304735743</v>
      </c>
      <c r="W55" s="13">
        <f>'TR TUSD'!$W$55*'TR TUSD'!$W$72</f>
        <v>0</v>
      </c>
      <c r="X55" s="13">
        <f>'TR TUSD'!$X$55*'TR TUSD'!$X$72</f>
        <v>0</v>
      </c>
      <c r="Y55" s="13">
        <f>'TR TUSD'!$Y$55*'TR TUSD'!$Y$72</f>
        <v>0</v>
      </c>
      <c r="Z55" s="13">
        <f>'TR TUSD'!$Z$55</f>
        <v>0</v>
      </c>
      <c r="AA55" s="13">
        <f>'TR TUSD'!$AA$55</f>
        <v>0</v>
      </c>
      <c r="AB55" s="13">
        <f>SUM($U$55:$AA$55)</f>
        <v>56.582890341187891</v>
      </c>
      <c r="AC55" s="13">
        <f>'TR TUSD'!$AC$55*'TR TUSD'!$AC$72</f>
        <v>249.97889535353124</v>
      </c>
      <c r="AD55" s="13">
        <f>SUM($AC$55:$AC$55)</f>
        <v>249.97889535353124</v>
      </c>
      <c r="AE55" s="13">
        <v>0</v>
      </c>
      <c r="AF55" s="13">
        <v>0</v>
      </c>
      <c r="AG55" s="13">
        <f>SUM($AE$55:$AF$55)</f>
        <v>0</v>
      </c>
      <c r="AH55" s="13">
        <f>'TR TUSD'!$AH$55*'TR TUSD'!$AH$72</f>
        <v>23.535883456417587</v>
      </c>
      <c r="AI55" s="13">
        <f>'TR TUSD'!$AI$55*'TR TUSD'!$AI$72</f>
        <v>0.69257380128731572</v>
      </c>
      <c r="AJ55" s="13">
        <f ca="1">'TR TUSD'!$AJ$55*'TR TUSD'!$AJ$72</f>
        <v>1.5791119310669444</v>
      </c>
      <c r="AK55" s="13">
        <f ca="1">'TR TUSD'!$AK$55*'TR TUSD'!$AK$72</f>
        <v>0.41144628214016238</v>
      </c>
      <c r="AL55" s="13">
        <f ca="1">SUM($AH$55:$AK$55)</f>
        <v>26.219015470912009</v>
      </c>
      <c r="AM55" s="13">
        <f ca="1">SUMIF($L$4:$AL$4,"SUBTOTAL",$L$55:$AL$55)</f>
        <v>459.15878161916231</v>
      </c>
      <c r="AP55" s="13">
        <f>IF((1 - CUSTOS!$M$29)&lt;&gt;0,1/(1 - CUSTOS!$M$29),1)</f>
        <v>1</v>
      </c>
    </row>
    <row r="56" spans="1:42" ht="11.25" customHeight="1" x14ac:dyDescent="0.3">
      <c r="A56" s="137"/>
      <c r="B56" s="137"/>
      <c r="C56" s="137"/>
      <c r="D56" s="17" t="s">
        <v>95</v>
      </c>
      <c r="E56" s="17" t="s">
        <v>25</v>
      </c>
      <c r="F56" s="17" t="s">
        <v>25</v>
      </c>
      <c r="G56" s="18" t="s">
        <v>83</v>
      </c>
      <c r="H56" s="18" t="s">
        <v>79</v>
      </c>
      <c r="I56" s="18">
        <f>'MERCADO TUSD'!$U$53</f>
        <v>0</v>
      </c>
      <c r="J56" s="15"/>
      <c r="L56" s="13">
        <f>'TR TUSD'!$L$56*'TR TUSD'!$L$72</f>
        <v>13.333553822629579</v>
      </c>
      <c r="M56" s="13">
        <f>'TR TUSD'!$M$56*'TR TUSD'!$M$72</f>
        <v>1.0154767306362233</v>
      </c>
      <c r="N56" s="13">
        <f ca="1">'TR TUSD'!$N$56*'TR TUSD'!$N$72</f>
        <v>3.7396924856456182</v>
      </c>
      <c r="O56" s="13">
        <f>'TR TUSD'!$O$56*'TR TUSD'!$O$72</f>
        <v>0</v>
      </c>
      <c r="P56" s="13">
        <f>'TR TUSD'!$P$56*'TR TUSD'!$P$72</f>
        <v>0</v>
      </c>
      <c r="Q56" s="13">
        <f>'TR TUSD'!$Q$56*'TR TUSD'!$Q$72</f>
        <v>93.489848237378382</v>
      </c>
      <c r="R56" s="13">
        <f>'TR TUSD'!$R$56*'TR TUSD'!$R$72</f>
        <v>14.799409177241358</v>
      </c>
      <c r="S56" s="13">
        <f>'TR TUSD'!$S$56*'TR TUSD'!$S$72</f>
        <v>0</v>
      </c>
      <c r="T56" s="13">
        <f ca="1">SUM($L$56:$S$56)</f>
        <v>126.37798045353117</v>
      </c>
      <c r="U56" s="13">
        <f>'TR TUSD'!$U$56*'TR TUSD'!$U$72</f>
        <v>38.388887293830457</v>
      </c>
      <c r="V56" s="13">
        <f>'TR TUSD'!$V$56*'TR TUSD'!$V$72</f>
        <v>18.19400304735743</v>
      </c>
      <c r="W56" s="13">
        <f>'TR TUSD'!$W$56*'TR TUSD'!$W$72</f>
        <v>0</v>
      </c>
      <c r="X56" s="13">
        <f>'TR TUSD'!$X$56*'TR TUSD'!$X$72</f>
        <v>0</v>
      </c>
      <c r="Y56" s="13">
        <f>'TR TUSD'!$Y$56*'TR TUSD'!$Y$72</f>
        <v>0</v>
      </c>
      <c r="Z56" s="13">
        <f>'TR TUSD'!$Z$56</f>
        <v>0</v>
      </c>
      <c r="AA56" s="13">
        <f>'TR TUSD'!$AA$56</f>
        <v>0</v>
      </c>
      <c r="AB56" s="13">
        <f>SUM($U$56:$AA$56)</f>
        <v>56.582890341187891</v>
      </c>
      <c r="AC56" s="13">
        <f>'TR TUSD'!$AC$56*'TR TUSD'!$AC$72</f>
        <v>249.97889535353124</v>
      </c>
      <c r="AD56" s="13">
        <f>SUM($AC$56:$AC$56)</f>
        <v>249.97889535353124</v>
      </c>
      <c r="AE56" s="13">
        <v>0</v>
      </c>
      <c r="AF56" s="13">
        <v>0</v>
      </c>
      <c r="AG56" s="13">
        <f>SUM($AE$56:$AF$56)</f>
        <v>0</v>
      </c>
      <c r="AH56" s="13">
        <f>'TR TUSD'!$AH$56*'TR TUSD'!$AH$72</f>
        <v>23.535883456417587</v>
      </c>
      <c r="AI56" s="13">
        <f>'TR TUSD'!$AI$56*'TR TUSD'!$AI$72</f>
        <v>0.69257380128731572</v>
      </c>
      <c r="AJ56" s="13">
        <f ca="1">'TR TUSD'!$AJ$56*'TR TUSD'!$AJ$72</f>
        <v>1.5791119310669444</v>
      </c>
      <c r="AK56" s="13">
        <f ca="1">'TR TUSD'!$AK$56*'TR TUSD'!$AK$72</f>
        <v>0.41144628214016238</v>
      </c>
      <c r="AL56" s="13">
        <f ca="1">SUM($AH$56:$AK$56)</f>
        <v>26.219015470912009</v>
      </c>
      <c r="AM56" s="13">
        <f ca="1">SUMIF($L$4:$AL$4,"SUBTOTAL",$L$56:$AL$56)</f>
        <v>459.15878161916231</v>
      </c>
      <c r="AP56" s="13">
        <f>IF((1 - CUSTOS!$M$30)&lt;&gt;0,1/(1 - CUSTOS!$M$30),1)</f>
        <v>1</v>
      </c>
    </row>
    <row r="57" spans="1:42" ht="11.25" customHeight="1" x14ac:dyDescent="0.3">
      <c r="A57" s="137" t="s">
        <v>37</v>
      </c>
      <c r="B57" s="137" t="s">
        <v>33</v>
      </c>
      <c r="C57" s="137" t="s">
        <v>25</v>
      </c>
      <c r="D57" s="137" t="s">
        <v>25</v>
      </c>
      <c r="E57" s="137" t="s">
        <v>25</v>
      </c>
      <c r="F57" s="137" t="s">
        <v>25</v>
      </c>
      <c r="G57" s="18" t="s">
        <v>80</v>
      </c>
      <c r="H57" s="18" t="s">
        <v>79</v>
      </c>
      <c r="I57" s="18">
        <f>'MERCADO TUSD'!$U$54</f>
        <v>10.468</v>
      </c>
      <c r="J57" s="15"/>
      <c r="L57" s="13">
        <f>'TR TUSD'!$L$57*'TR TUSD'!$L$72</f>
        <v>13.333553822629579</v>
      </c>
      <c r="M57" s="13">
        <f>'TR TUSD'!$M$57*'TR TUSD'!$M$72</f>
        <v>1.0154767306362233</v>
      </c>
      <c r="N57" s="13">
        <f ca="1">'TR TUSD'!$N$57*'TR TUSD'!$N$72</f>
        <v>11.419137750187788</v>
      </c>
      <c r="O57" s="13">
        <f>'TR TUSD'!$O$57*'TR TUSD'!$O$72</f>
        <v>0</v>
      </c>
      <c r="P57" s="13">
        <f>'TR TUSD'!$P$57*'TR TUSD'!$P$72</f>
        <v>0</v>
      </c>
      <c r="Q57" s="13">
        <f>'TR TUSD'!$Q$57*'TR TUSD'!$Q$72</f>
        <v>93.489848237378382</v>
      </c>
      <c r="R57" s="13">
        <f>'TR TUSD'!$R$57*'TR TUSD'!$R$72</f>
        <v>14.799409177241358</v>
      </c>
      <c r="S57" s="13">
        <f>'TR TUSD'!$S$57*'TR TUSD'!$S$72</f>
        <v>0</v>
      </c>
      <c r="T57" s="13">
        <f ca="1">SUM($L$57:$S$57)</f>
        <v>134.05742571807332</v>
      </c>
      <c r="U57" s="13">
        <f>'TR TUSD'!$U$57*'TR TUSD'!$U$72</f>
        <v>132.4417648768202</v>
      </c>
      <c r="V57" s="13">
        <f>'TR TUSD'!$V$57*'TR TUSD'!$V$72</f>
        <v>62.769224419170158</v>
      </c>
      <c r="W57" s="13">
        <f>'TR TUSD'!$W$57*'TR TUSD'!$W$72</f>
        <v>0</v>
      </c>
      <c r="X57" s="13">
        <f>'TR TUSD'!$X$57*'TR TUSD'!$X$72</f>
        <v>0</v>
      </c>
      <c r="Y57" s="13">
        <f>'TR TUSD'!$Y$57*'TR TUSD'!$Y$72</f>
        <v>0</v>
      </c>
      <c r="Z57" s="13">
        <f>'TR TUSD'!$Z$57</f>
        <v>0</v>
      </c>
      <c r="AA57" s="13">
        <f>'TR TUSD'!$AA$57</f>
        <v>0</v>
      </c>
      <c r="AB57" s="13">
        <f>SUM($U$57:$AA$57)</f>
        <v>195.21098929599037</v>
      </c>
      <c r="AC57" s="13">
        <f>'TR TUSD'!$AC$57*'TR TUSD'!$AC$72</f>
        <v>862.42723409410041</v>
      </c>
      <c r="AD57" s="13">
        <f>SUM($AC$57:$AC$57)</f>
        <v>862.42723409410041</v>
      </c>
      <c r="AE57" s="13">
        <v>0</v>
      </c>
      <c r="AF57" s="13">
        <v>0</v>
      </c>
      <c r="AG57" s="13">
        <f>SUM($AE$57:$AF$57)</f>
        <v>0</v>
      </c>
      <c r="AH57" s="13">
        <f>'TR TUSD'!$AH$57*'TR TUSD'!$AH$72</f>
        <v>23.535883456417587</v>
      </c>
      <c r="AI57" s="13">
        <f>'TR TUSD'!$AI$57*'TR TUSD'!$AI$72</f>
        <v>0.69257380128731572</v>
      </c>
      <c r="AJ57" s="13">
        <f ca="1">'TR TUSD'!$AJ$57*'TR TUSD'!$AJ$72</f>
        <v>1.5791119310669444</v>
      </c>
      <c r="AK57" s="13">
        <f ca="1">'TR TUSD'!$AK$57*'TR TUSD'!$AK$72</f>
        <v>0.41144628214016238</v>
      </c>
      <c r="AL57" s="13">
        <f ca="1">SUM($AH$57:$AK$57)</f>
        <v>26.219015470912009</v>
      </c>
      <c r="AM57" s="13">
        <f ca="1">SUMIF($L$4:$AL$4,"SUBTOTAL",$L$57:$AL$57)</f>
        <v>1217.9146645790761</v>
      </c>
      <c r="AP57" s="13">
        <f>IF((1 - CUSTOS!$M$31)&lt;&gt;0,1/(1 - CUSTOS!$M$31),1)</f>
        <v>1</v>
      </c>
    </row>
    <row r="58" spans="1:42" ht="11.25" customHeight="1" x14ac:dyDescent="0.3">
      <c r="A58" s="137"/>
      <c r="B58" s="137"/>
      <c r="C58" s="137"/>
      <c r="D58" s="137"/>
      <c r="E58" s="137"/>
      <c r="F58" s="137"/>
      <c r="G58" s="18" t="s">
        <v>91</v>
      </c>
      <c r="H58" s="18" t="s">
        <v>79</v>
      </c>
      <c r="I58" s="18">
        <f>'MERCADO TUSD'!$U$55</f>
        <v>9.6909999999999989</v>
      </c>
      <c r="J58" s="15"/>
      <c r="L58" s="13">
        <f>'TR TUSD'!$L$58*'TR TUSD'!$L$72</f>
        <v>13.333553822629579</v>
      </c>
      <c r="M58" s="13">
        <f>'TR TUSD'!$M$58*'TR TUSD'!$M$72</f>
        <v>1.0154767306362233</v>
      </c>
      <c r="N58" s="13">
        <f ca="1">'TR TUSD'!$N$58*'TR TUSD'!$N$72</f>
        <v>7.0935720444002781</v>
      </c>
      <c r="O58" s="13">
        <f>'TR TUSD'!$O$58*'TR TUSD'!$O$72</f>
        <v>0</v>
      </c>
      <c r="P58" s="13">
        <f>'TR TUSD'!$P$58*'TR TUSD'!$P$72</f>
        <v>0</v>
      </c>
      <c r="Q58" s="13">
        <f>'TR TUSD'!$Q$58*'TR TUSD'!$Q$72</f>
        <v>93.489848237378382</v>
      </c>
      <c r="R58" s="13">
        <f>'TR TUSD'!$R$58*'TR TUSD'!$R$72</f>
        <v>14.799409177241358</v>
      </c>
      <c r="S58" s="13">
        <f>'TR TUSD'!$S$58*'TR TUSD'!$S$72</f>
        <v>0</v>
      </c>
      <c r="T58" s="13">
        <f ca="1">SUM($L$58:$S$58)</f>
        <v>129.73186001228584</v>
      </c>
      <c r="U58" s="13">
        <f>'TR TUSD'!$U$58*'TR TUSD'!$U$72</f>
        <v>79.46498114126328</v>
      </c>
      <c r="V58" s="13">
        <f>'TR TUSD'!$V$58*'TR TUSD'!$V$72</f>
        <v>37.661511693045298</v>
      </c>
      <c r="W58" s="13">
        <f>'TR TUSD'!$W$58*'TR TUSD'!$W$72</f>
        <v>0</v>
      </c>
      <c r="X58" s="13">
        <f>'TR TUSD'!$X$58*'TR TUSD'!$X$72</f>
        <v>0</v>
      </c>
      <c r="Y58" s="13">
        <f>'TR TUSD'!$Y$58*'TR TUSD'!$Y$72</f>
        <v>0</v>
      </c>
      <c r="Z58" s="13">
        <f>'TR TUSD'!$Z$58</f>
        <v>0</v>
      </c>
      <c r="AA58" s="13">
        <f>'TR TUSD'!$AA$58</f>
        <v>0</v>
      </c>
      <c r="AB58" s="13">
        <f>SUM($U$58:$AA$58)</f>
        <v>117.12649283430858</v>
      </c>
      <c r="AC58" s="13">
        <f>'TR TUSD'!$AC$58*'TR TUSD'!$AC$72</f>
        <v>517.45636301866909</v>
      </c>
      <c r="AD58" s="13">
        <f>SUM($AC$58:$AC$58)</f>
        <v>517.45636301866909</v>
      </c>
      <c r="AE58" s="13">
        <v>0</v>
      </c>
      <c r="AF58" s="13">
        <v>0</v>
      </c>
      <c r="AG58" s="13">
        <f>SUM($AE$58:$AF$58)</f>
        <v>0</v>
      </c>
      <c r="AH58" s="13">
        <f>'TR TUSD'!$AH$58*'TR TUSD'!$AH$72</f>
        <v>23.535883456417587</v>
      </c>
      <c r="AI58" s="13">
        <f>'TR TUSD'!$AI$58*'TR TUSD'!$AI$72</f>
        <v>0.69257380128731572</v>
      </c>
      <c r="AJ58" s="13">
        <f ca="1">'TR TUSD'!$AJ$58*'TR TUSD'!$AJ$72</f>
        <v>1.5791119310669444</v>
      </c>
      <c r="AK58" s="13">
        <f ca="1">'TR TUSD'!$AK$58*'TR TUSD'!$AK$72</f>
        <v>0.41144628214016238</v>
      </c>
      <c r="AL58" s="13">
        <f ca="1">SUM($AH$58:$AK$58)</f>
        <v>26.219015470912009</v>
      </c>
      <c r="AM58" s="13">
        <f ca="1">SUMIF($L$4:$AL$4,"SUBTOTAL",$L$58:$AL$58)</f>
        <v>790.53373133617549</v>
      </c>
      <c r="AP58" s="13">
        <f>IF((1 - CUSTOS!$M$31)&lt;&gt;0,1/(1 - CUSTOS!$M$31),1)</f>
        <v>1</v>
      </c>
    </row>
    <row r="59" spans="1:42" ht="11.25" customHeight="1" x14ac:dyDescent="0.3">
      <c r="A59" s="137"/>
      <c r="B59" s="137"/>
      <c r="C59" s="137"/>
      <c r="D59" s="137"/>
      <c r="E59" s="137"/>
      <c r="F59" s="137"/>
      <c r="G59" s="18" t="s">
        <v>81</v>
      </c>
      <c r="H59" s="18" t="s">
        <v>79</v>
      </c>
      <c r="I59" s="18">
        <f>'MERCADO TUSD'!$U$56</f>
        <v>150.328</v>
      </c>
      <c r="J59" s="15"/>
      <c r="L59" s="13">
        <f>'TR TUSD'!$L$59*'TR TUSD'!$L$72</f>
        <v>13.333553822629579</v>
      </c>
      <c r="M59" s="13">
        <f>'TR TUSD'!$M$59*'TR TUSD'!$M$72</f>
        <v>1.0154767306362233</v>
      </c>
      <c r="N59" s="13">
        <f ca="1">'TR TUSD'!$N$59*'TR TUSD'!$N$72</f>
        <v>2.7680075123423848</v>
      </c>
      <c r="O59" s="13">
        <f>'TR TUSD'!$O$59*'TR TUSD'!$O$72</f>
        <v>0</v>
      </c>
      <c r="P59" s="13">
        <f>'TR TUSD'!$P$59*'TR TUSD'!$P$72</f>
        <v>0</v>
      </c>
      <c r="Q59" s="13">
        <f>'TR TUSD'!$Q$59*'TR TUSD'!$Q$72</f>
        <v>93.489848237378382</v>
      </c>
      <c r="R59" s="13">
        <f>'TR TUSD'!$R$59*'TR TUSD'!$R$72</f>
        <v>14.799409177241358</v>
      </c>
      <c r="S59" s="13">
        <f>'TR TUSD'!$S$59*'TR TUSD'!$S$72</f>
        <v>0</v>
      </c>
      <c r="T59" s="13">
        <f ca="1">SUM($L$59:$S$59)</f>
        <v>125.40629548022793</v>
      </c>
      <c r="U59" s="13">
        <f>'TR TUSD'!$U$59*'TR TUSD'!$U$72</f>
        <v>26.488327047087758</v>
      </c>
      <c r="V59" s="13">
        <f>'TR TUSD'!$V$59*'TR TUSD'!$V$72</f>
        <v>12.553798966920445</v>
      </c>
      <c r="W59" s="13">
        <f>'TR TUSD'!$W$59*'TR TUSD'!$W$72</f>
        <v>0</v>
      </c>
      <c r="X59" s="13">
        <f>'TR TUSD'!$X$59*'TR TUSD'!$X$72</f>
        <v>0</v>
      </c>
      <c r="Y59" s="13">
        <f>'TR TUSD'!$Y$59*'TR TUSD'!$Y$72</f>
        <v>0</v>
      </c>
      <c r="Z59" s="13">
        <f>'TR TUSD'!$Z$59</f>
        <v>0</v>
      </c>
      <c r="AA59" s="13">
        <f>'TR TUSD'!$AA$59</f>
        <v>0</v>
      </c>
      <c r="AB59" s="13">
        <f>SUM($U$59:$AA$59)</f>
        <v>39.042126014008204</v>
      </c>
      <c r="AC59" s="13">
        <f>'TR TUSD'!$AC$59*'TR TUSD'!$AC$72</f>
        <v>172.48549194323778</v>
      </c>
      <c r="AD59" s="13">
        <f>SUM($AC$59:$AC$59)</f>
        <v>172.48549194323778</v>
      </c>
      <c r="AE59" s="13">
        <v>0</v>
      </c>
      <c r="AF59" s="13">
        <v>0</v>
      </c>
      <c r="AG59" s="13">
        <f>SUM($AE$59:$AF$59)</f>
        <v>0</v>
      </c>
      <c r="AH59" s="13">
        <f>'TR TUSD'!$AH$59*'TR TUSD'!$AH$72</f>
        <v>23.535883456417587</v>
      </c>
      <c r="AI59" s="13">
        <f>'TR TUSD'!$AI$59*'TR TUSD'!$AI$72</f>
        <v>0.69257380128731572</v>
      </c>
      <c r="AJ59" s="13">
        <f ca="1">'TR TUSD'!$AJ$59*'TR TUSD'!$AJ$72</f>
        <v>1.5791119310669444</v>
      </c>
      <c r="AK59" s="13">
        <f ca="1">'TR TUSD'!$AK$59*'TR TUSD'!$AK$72</f>
        <v>0.41144628214016238</v>
      </c>
      <c r="AL59" s="13">
        <f ca="1">SUM($AH$59:$AK$59)</f>
        <v>26.219015470912009</v>
      </c>
      <c r="AM59" s="13">
        <f ca="1">SUMIF($L$4:$AL$4,"SUBTOTAL",$L$59:$AL$59)</f>
        <v>363.15292890838589</v>
      </c>
      <c r="AP59" s="13">
        <f>IF((1 - CUSTOS!$M$31)&lt;&gt;0,1/(1 - CUSTOS!$M$31),1)</f>
        <v>1</v>
      </c>
    </row>
    <row r="60" spans="1:42" ht="11.25" customHeight="1" x14ac:dyDescent="0.3">
      <c r="A60" s="137"/>
      <c r="B60" s="17" t="s">
        <v>23</v>
      </c>
      <c r="C60" s="17" t="s">
        <v>25</v>
      </c>
      <c r="D60" s="17" t="s">
        <v>25</v>
      </c>
      <c r="E60" s="17" t="s">
        <v>25</v>
      </c>
      <c r="F60" s="17" t="s">
        <v>25</v>
      </c>
      <c r="G60" s="18" t="s">
        <v>83</v>
      </c>
      <c r="H60" s="18" t="s">
        <v>79</v>
      </c>
      <c r="I60" s="18">
        <f>'MERCADO TUSD'!$U$57</f>
        <v>24187.291000000001</v>
      </c>
      <c r="J60" s="15"/>
      <c r="L60" s="13">
        <f>'TR TUSD'!$L$60*'TR TUSD'!$L$72</f>
        <v>13.333553822629579</v>
      </c>
      <c r="M60" s="13">
        <f>'TR TUSD'!$M$60*'TR TUSD'!$M$72</f>
        <v>1.0154767306362233</v>
      </c>
      <c r="N60" s="13">
        <f ca="1">'TR TUSD'!$N$60*'TR TUSD'!$N$72</f>
        <v>3.7396924856456182</v>
      </c>
      <c r="O60" s="13">
        <f>'TR TUSD'!$O$60*'TR TUSD'!$O$72</f>
        <v>0</v>
      </c>
      <c r="P60" s="13">
        <f>'TR TUSD'!$P$60*'TR TUSD'!$P$72</f>
        <v>0</v>
      </c>
      <c r="Q60" s="13">
        <f>'TR TUSD'!$Q$60*'TR TUSD'!$Q$72</f>
        <v>93.489848237378382</v>
      </c>
      <c r="R60" s="13">
        <f>'TR TUSD'!$R$60*'TR TUSD'!$R$72</f>
        <v>14.799409177241358</v>
      </c>
      <c r="S60" s="13">
        <f>'TR TUSD'!$S$60*'TR TUSD'!$S$72</f>
        <v>0</v>
      </c>
      <c r="T60" s="13">
        <f ca="1">SUM($L$60:$S$60)</f>
        <v>126.37798045353117</v>
      </c>
      <c r="U60" s="13">
        <f>'TR TUSD'!$U$60*'TR TUSD'!$U$72</f>
        <v>38.388887293830457</v>
      </c>
      <c r="V60" s="13">
        <f>'TR TUSD'!$V$60*'TR TUSD'!$V$72</f>
        <v>18.19400304735743</v>
      </c>
      <c r="W60" s="13">
        <f>'TR TUSD'!$W$60*'TR TUSD'!$W$72</f>
        <v>0</v>
      </c>
      <c r="X60" s="13">
        <f>'TR TUSD'!$X$60*'TR TUSD'!$X$72</f>
        <v>0</v>
      </c>
      <c r="Y60" s="13">
        <f>'TR TUSD'!$Y$60*'TR TUSD'!$Y$72</f>
        <v>0</v>
      </c>
      <c r="Z60" s="13">
        <f>'TR TUSD'!$Z$60</f>
        <v>0</v>
      </c>
      <c r="AA60" s="13">
        <f>'TR TUSD'!$AA$60</f>
        <v>0</v>
      </c>
      <c r="AB60" s="13">
        <f>SUM($U$60:$AA$60)</f>
        <v>56.582890341187891</v>
      </c>
      <c r="AC60" s="13">
        <f>'TR TUSD'!$AC$60*'TR TUSD'!$AC$72</f>
        <v>249.97889535353124</v>
      </c>
      <c r="AD60" s="13">
        <f>SUM($AC$60:$AC$60)</f>
        <v>249.97889535353124</v>
      </c>
      <c r="AE60" s="13">
        <v>0</v>
      </c>
      <c r="AF60" s="13">
        <v>0</v>
      </c>
      <c r="AG60" s="13">
        <f>SUM($AE$60:$AF$60)</f>
        <v>0</v>
      </c>
      <c r="AH60" s="13">
        <f>'TR TUSD'!$AH$60*'TR TUSD'!$AH$72</f>
        <v>23.535883456417587</v>
      </c>
      <c r="AI60" s="13">
        <f>'TR TUSD'!$AI$60*'TR TUSD'!$AI$72</f>
        <v>0.69257380128731572</v>
      </c>
      <c r="AJ60" s="13">
        <f ca="1">'TR TUSD'!$AJ$60*'TR TUSD'!$AJ$72</f>
        <v>1.5791119310669444</v>
      </c>
      <c r="AK60" s="13">
        <f ca="1">'TR TUSD'!$AK$60*'TR TUSD'!$AK$72</f>
        <v>0.41144628214016238</v>
      </c>
      <c r="AL60" s="13">
        <f ca="1">SUM($AH$60:$AK$60)</f>
        <v>26.219015470912009</v>
      </c>
      <c r="AM60" s="13">
        <f ca="1">SUMIF($L$4:$AL$4,"SUBTOTAL",$L$60:$AL$60)</f>
        <v>459.15878161916231</v>
      </c>
      <c r="AP60" s="13">
        <f>IF((1 - CUSTOS!$M$31)&lt;&gt;0,1/(1 - CUSTOS!$M$31),1)</f>
        <v>1</v>
      </c>
    </row>
    <row r="61" spans="1:42" ht="11.25" customHeight="1" x14ac:dyDescent="0.3">
      <c r="A61" s="137"/>
      <c r="B61" s="17" t="s">
        <v>93</v>
      </c>
      <c r="C61" s="17" t="s">
        <v>25</v>
      </c>
      <c r="D61" s="17" t="s">
        <v>25</v>
      </c>
      <c r="E61" s="17" t="s">
        <v>25</v>
      </c>
      <c r="F61" s="17" t="s">
        <v>25</v>
      </c>
      <c r="G61" s="18" t="s">
        <v>83</v>
      </c>
      <c r="H61" s="18" t="s">
        <v>79</v>
      </c>
      <c r="I61" s="18">
        <f>'MERCADO TUSD'!$U$58</f>
        <v>0</v>
      </c>
      <c r="J61" s="15"/>
      <c r="L61" s="13">
        <f>'TR TUSD'!$L$61*'TR TUSD'!$L$72</f>
        <v>13.333553822629579</v>
      </c>
      <c r="M61" s="13">
        <f>'TR TUSD'!$M$61*'TR TUSD'!$M$72</f>
        <v>1.0154767306362233</v>
      </c>
      <c r="N61" s="13">
        <f ca="1">'TR TUSD'!$N$61*'TR TUSD'!$N$72</f>
        <v>3.7396924856456182</v>
      </c>
      <c r="O61" s="13">
        <f>'TR TUSD'!$O$61*'TR TUSD'!$O$72</f>
        <v>0</v>
      </c>
      <c r="P61" s="13">
        <f>'TR TUSD'!$P$61*'TR TUSD'!$P$72</f>
        <v>0</v>
      </c>
      <c r="Q61" s="13">
        <f>'TR TUSD'!$Q$61*'TR TUSD'!$Q$72</f>
        <v>93.489848237378382</v>
      </c>
      <c r="R61" s="13">
        <f>'TR TUSD'!$R$61*'TR TUSD'!$R$72</f>
        <v>14.799409177241358</v>
      </c>
      <c r="S61" s="13">
        <f>'TR TUSD'!$S$61*'TR TUSD'!$S$72</f>
        <v>0</v>
      </c>
      <c r="T61" s="13">
        <f ca="1">SUM($L$61:$S$61)</f>
        <v>126.37798045353117</v>
      </c>
      <c r="U61" s="13">
        <f>'TR TUSD'!$U$61*'TR TUSD'!$U$72</f>
        <v>38.388887293830457</v>
      </c>
      <c r="V61" s="13">
        <f>'TR TUSD'!$V$61*'TR TUSD'!$V$72</f>
        <v>18.19400304735743</v>
      </c>
      <c r="W61" s="13">
        <f>'TR TUSD'!$W$61*'TR TUSD'!$W$72</f>
        <v>0</v>
      </c>
      <c r="X61" s="13">
        <f>'TR TUSD'!$X$61*'TR TUSD'!$X$72</f>
        <v>0</v>
      </c>
      <c r="Y61" s="13">
        <f>'TR TUSD'!$Y$61*'TR TUSD'!$Y$72</f>
        <v>0</v>
      </c>
      <c r="Z61" s="13">
        <f>'TR TUSD'!$Z$61</f>
        <v>0</v>
      </c>
      <c r="AA61" s="13">
        <f>'TR TUSD'!$AA$61</f>
        <v>0</v>
      </c>
      <c r="AB61" s="13">
        <f>SUM($U$61:$AA$61)</f>
        <v>56.582890341187891</v>
      </c>
      <c r="AC61" s="13">
        <f>'TR TUSD'!$AC$61*'TR TUSD'!$AC$72</f>
        <v>249.97889535353124</v>
      </c>
      <c r="AD61" s="13">
        <f>SUM($AC$61:$AC$61)</f>
        <v>249.97889535353124</v>
      </c>
      <c r="AE61" s="13">
        <v>0</v>
      </c>
      <c r="AF61" s="13">
        <v>0</v>
      </c>
      <c r="AG61" s="13">
        <f>SUM($AE$61:$AF$61)</f>
        <v>0</v>
      </c>
      <c r="AH61" s="13">
        <f>'TR TUSD'!$AH$61*'TR TUSD'!$AH$72</f>
        <v>23.535883456417587</v>
      </c>
      <c r="AI61" s="13">
        <f>'TR TUSD'!$AI$61*'TR TUSD'!$AI$72</f>
        <v>0.69257380128731572</v>
      </c>
      <c r="AJ61" s="13">
        <f ca="1">'TR TUSD'!$AJ$61*'TR TUSD'!$AJ$72</f>
        <v>1.5791119310669444</v>
      </c>
      <c r="AK61" s="13">
        <f ca="1">'TR TUSD'!$AK$61*'TR TUSD'!$AK$72</f>
        <v>0.41144628214016238</v>
      </c>
      <c r="AL61" s="13">
        <f ca="1">SUM($AH$61:$AK$61)</f>
        <v>26.219015470912009</v>
      </c>
      <c r="AM61" s="13">
        <f ca="1">SUMIF($L$4:$AL$4,"SUBTOTAL",$L$61:$AL$61)</f>
        <v>459.15878161916231</v>
      </c>
      <c r="AP61" s="13">
        <f>IF((1 - CUSTOS!$M$31)&lt;&gt;0,1/(1 - CUSTOS!$M$31),1)</f>
        <v>1</v>
      </c>
    </row>
    <row r="62" spans="1:42" ht="11.25" customHeight="1" x14ac:dyDescent="0.3">
      <c r="A62" s="137" t="s">
        <v>47</v>
      </c>
      <c r="B62" s="137" t="s">
        <v>23</v>
      </c>
      <c r="C62" s="137" t="s">
        <v>48</v>
      </c>
      <c r="D62" s="17" t="s">
        <v>49</v>
      </c>
      <c r="E62" s="17" t="s">
        <v>25</v>
      </c>
      <c r="F62" s="17" t="s">
        <v>25</v>
      </c>
      <c r="G62" s="18" t="s">
        <v>83</v>
      </c>
      <c r="H62" s="18" t="s">
        <v>79</v>
      </c>
      <c r="I62" s="18">
        <f>'MERCADO TUSD'!$U$59</f>
        <v>5104.487000000001</v>
      </c>
      <c r="J62" s="15"/>
      <c r="L62" s="13">
        <f>'TR TUSD'!$L$62*'TR TUSD'!$L$72</f>
        <v>7.3334546024462686</v>
      </c>
      <c r="M62" s="13">
        <f>'TR TUSD'!$M$62*'TR TUSD'!$M$72</f>
        <v>0.5585122018499229</v>
      </c>
      <c r="N62" s="13">
        <f ca="1">'TR TUSD'!$N$62*'TR TUSD'!$N$72</f>
        <v>2.0568308671050901</v>
      </c>
      <c r="O62" s="13">
        <f>'TR TUSD'!$O$62*'TR TUSD'!$O$72</f>
        <v>0</v>
      </c>
      <c r="P62" s="13">
        <f>'TR TUSD'!$P$62*'TR TUSD'!$P$72</f>
        <v>0</v>
      </c>
      <c r="Q62" s="13">
        <f>'TR TUSD'!$Q$62*'TR TUSD'!$Q$72</f>
        <v>51.419416530558117</v>
      </c>
      <c r="R62" s="13">
        <f>'TR TUSD'!$R$62*'TR TUSD'!$R$72</f>
        <v>8.1396750474827471</v>
      </c>
      <c r="S62" s="13">
        <f>'TR TUSD'!$S$62*'TR TUSD'!$S$72</f>
        <v>0</v>
      </c>
      <c r="T62" s="13">
        <f ca="1">SUM($L$62:$S$62)</f>
        <v>69.507889249442144</v>
      </c>
      <c r="U62" s="13">
        <f>'TR TUSD'!$U$62*'TR TUSD'!$U$72</f>
        <v>21.113888011606754</v>
      </c>
      <c r="V62" s="13">
        <f>'TR TUSD'!$V$62*'TR TUSD'!$V$72</f>
        <v>10.006701676046587</v>
      </c>
      <c r="W62" s="13">
        <f>'TR TUSD'!$W$62*'TR TUSD'!$W$72</f>
        <v>0</v>
      </c>
      <c r="X62" s="13">
        <f>'TR TUSD'!$X$62*'TR TUSD'!$X$72</f>
        <v>0</v>
      </c>
      <c r="Y62" s="13">
        <f>'TR TUSD'!$Y$62*'TR TUSD'!$Y$72</f>
        <v>0</v>
      </c>
      <c r="Z62" s="13">
        <f>'TR TUSD'!$Z$62</f>
        <v>0</v>
      </c>
      <c r="AA62" s="13">
        <f>'TR TUSD'!$AA$62</f>
        <v>0</v>
      </c>
      <c r="AB62" s="13">
        <f>SUM($U$62:$AA$62)</f>
        <v>31.120589687653343</v>
      </c>
      <c r="AC62" s="13">
        <f>'TR TUSD'!$AC$62*'TR TUSD'!$AC$72</f>
        <v>137.48839244444218</v>
      </c>
      <c r="AD62" s="13">
        <f>SUM($AC$62:$AC$62)</f>
        <v>137.48839244444218</v>
      </c>
      <c r="AE62" s="13">
        <v>0</v>
      </c>
      <c r="AF62" s="13">
        <v>0</v>
      </c>
      <c r="AG62" s="13">
        <f>SUM($AE$62:$AF$62)</f>
        <v>0</v>
      </c>
      <c r="AH62" s="13">
        <f>'TR TUSD'!$AH$62*'TR TUSD'!$AH$72</f>
        <v>12.944735901029674</v>
      </c>
      <c r="AI62" s="13">
        <f>'TR TUSD'!$AI$62*'TR TUSD'!$AI$72</f>
        <v>0.38091559070802367</v>
      </c>
      <c r="AJ62" s="13">
        <f ca="1">'TR TUSD'!$AJ$62*'TR TUSD'!$AJ$72</f>
        <v>0.86851156208681946</v>
      </c>
      <c r="AK62" s="13">
        <f ca="1">'TR TUSD'!$AK$62*'TR TUSD'!$AK$72</f>
        <v>0.22629545517708932</v>
      </c>
      <c r="AL62" s="13">
        <f ca="1">SUM($AH$62:$AK$62)</f>
        <v>14.420458509001605</v>
      </c>
      <c r="AM62" s="13">
        <f ca="1">SUMIF($L$4:$AL$4,"SUBTOTAL",$L$62:$AL$62)</f>
        <v>252.53732989053927</v>
      </c>
      <c r="AP62" s="13">
        <f>IF((1 - CUSTOS!$M$32)&lt;&gt;0,1/(1 - CUSTOS!$M$32),1)</f>
        <v>1.8181818181818181</v>
      </c>
    </row>
    <row r="63" spans="1:42" ht="11.25" customHeight="1" x14ac:dyDescent="0.3">
      <c r="A63" s="137"/>
      <c r="B63" s="137"/>
      <c r="C63" s="137"/>
      <c r="D63" s="18" t="s">
        <v>96</v>
      </c>
      <c r="E63" s="18" t="s">
        <v>25</v>
      </c>
      <c r="F63" s="18" t="s">
        <v>25</v>
      </c>
      <c r="G63" s="18" t="s">
        <v>83</v>
      </c>
      <c r="H63" s="18" t="s">
        <v>79</v>
      </c>
      <c r="I63" s="18">
        <f>'MERCADO TUSD'!$U$60</f>
        <v>0</v>
      </c>
      <c r="J63" s="15"/>
      <c r="L63" s="13">
        <f>'TR TUSD'!$L$63*'TR TUSD'!$L$72</f>
        <v>8.0001322935777477</v>
      </c>
      <c r="M63" s="13">
        <f>'TR TUSD'!$M$63*'TR TUSD'!$M$72</f>
        <v>0.60928603838173401</v>
      </c>
      <c r="N63" s="13">
        <f ca="1">'TR TUSD'!$N$63*'TR TUSD'!$N$72</f>
        <v>2.2438154913873709</v>
      </c>
      <c r="O63" s="13">
        <f>'TR TUSD'!$O$63*'TR TUSD'!$O$72</f>
        <v>0</v>
      </c>
      <c r="P63" s="13">
        <f>'TR TUSD'!$P$63*'TR TUSD'!$P$72</f>
        <v>0</v>
      </c>
      <c r="Q63" s="13">
        <f>'TR TUSD'!$Q$63*'TR TUSD'!$Q$72</f>
        <v>56.093908942427028</v>
      </c>
      <c r="R63" s="13">
        <f>'TR TUSD'!$R$63*'TR TUSD'!$R$72</f>
        <v>8.879645506344815</v>
      </c>
      <c r="S63" s="13">
        <f>'TR TUSD'!$S$63*'TR TUSD'!$S$72</f>
        <v>0</v>
      </c>
      <c r="T63" s="13">
        <f ca="1">SUM($L$63:$S$63)</f>
        <v>75.826788272118691</v>
      </c>
      <c r="U63" s="13">
        <f>'TR TUSD'!$U$63*'TR TUSD'!$U$72</f>
        <v>23.033332376298272</v>
      </c>
      <c r="V63" s="13">
        <f>'TR TUSD'!$V$63*'TR TUSD'!$V$72</f>
        <v>10.916401828414459</v>
      </c>
      <c r="W63" s="13">
        <f>'TR TUSD'!$W$63*'TR TUSD'!$W$72</f>
        <v>0</v>
      </c>
      <c r="X63" s="13">
        <f>'TR TUSD'!$X$63*'TR TUSD'!$X$72</f>
        <v>0</v>
      </c>
      <c r="Y63" s="13">
        <f>'TR TUSD'!$Y$63*'TR TUSD'!$Y$72</f>
        <v>0</v>
      </c>
      <c r="Z63" s="13">
        <f>'TR TUSD'!$Z$63</f>
        <v>0</v>
      </c>
      <c r="AA63" s="13">
        <f>'TR TUSD'!$AA$63</f>
        <v>0</v>
      </c>
      <c r="AB63" s="13">
        <f>SUM($U$63:$AA$63)</f>
        <v>33.949734204712733</v>
      </c>
      <c r="AC63" s="13">
        <f>'TR TUSD'!$AC$63*'TR TUSD'!$AC$72</f>
        <v>149.98733721211875</v>
      </c>
      <c r="AD63" s="13">
        <f>SUM($AC$63:$AC$63)</f>
        <v>149.98733721211875</v>
      </c>
      <c r="AE63" s="13">
        <v>0</v>
      </c>
      <c r="AF63" s="13">
        <v>0</v>
      </c>
      <c r="AG63" s="13">
        <f>SUM($AE$63:$AF$63)</f>
        <v>0</v>
      </c>
      <c r="AH63" s="13">
        <f>'TR TUSD'!$AH$63*'TR TUSD'!$AH$72</f>
        <v>14.121530073850552</v>
      </c>
      <c r="AI63" s="13">
        <f>'TR TUSD'!$AI$63*'TR TUSD'!$AI$72</f>
        <v>0.41554428077238942</v>
      </c>
      <c r="AJ63" s="13">
        <f ca="1">'TR TUSD'!$AJ$63*'TR TUSD'!$AJ$72</f>
        <v>0.94746715864016662</v>
      </c>
      <c r="AK63" s="13">
        <f ca="1">'TR TUSD'!$AK$63*'TR TUSD'!$AK$72</f>
        <v>0.2468677692840974</v>
      </c>
      <c r="AL63" s="13">
        <f ca="1">SUM($AH$63:$AK$63)</f>
        <v>15.731409282547206</v>
      </c>
      <c r="AM63" s="13">
        <f ca="1">SUMIF($L$4:$AL$4,"SUBTOTAL",$L$63:$AL$63)</f>
        <v>275.49526897149735</v>
      </c>
      <c r="AP63" s="13">
        <f>IF((1 - CUSTOS!$M$33)&lt;&gt;0,1/(1 - CUSTOS!$M$33),1)</f>
        <v>1.6666666666666667</v>
      </c>
    </row>
    <row r="65" spans="11:39" ht="11.25" customHeight="1" x14ac:dyDescent="0.3">
      <c r="K65" s="16" t="s">
        <v>725</v>
      </c>
      <c r="L65" s="13">
        <f>SUMPRODUCT($I$5:$I63,$L$5:$L63)</f>
        <v>1551829.9039835634</v>
      </c>
      <c r="M65" s="13">
        <f>SUMPRODUCT($I$5:$I63,$M$5:$M63)</f>
        <v>115619.58079800264</v>
      </c>
      <c r="N65" s="13">
        <f ca="1">SUMPRODUCT($I$5:$I63,$N$5:$N63)</f>
        <v>392972.65161152818</v>
      </c>
      <c r="O65" s="13">
        <f>SUMPRODUCT($I$5:$I63,$O$5:$O63)</f>
        <v>0</v>
      </c>
      <c r="P65" s="13">
        <f>SUMPRODUCT($I$5:$I63,$P$5:$P63)</f>
        <v>0</v>
      </c>
      <c r="Q65" s="13">
        <f>SUMPRODUCT($I$5:$I63,$Q$5:$Q63)</f>
        <v>10880845.732772296</v>
      </c>
      <c r="R65" s="13">
        <f>SUMPRODUCT($I$5:$I63,$R$5:$R63)</f>
        <v>1792323.8549367816</v>
      </c>
      <c r="S65" s="13">
        <f>SUMPRODUCT($I$5:$I63,$S$5:$S63)</f>
        <v>0</v>
      </c>
      <c r="T65" s="13">
        <f ca="1">SUMPRODUCT($I$5:$I63,$T$5:$T63)</f>
        <v>14733591.724102175</v>
      </c>
      <c r="U65" s="13">
        <f>SUMPRODUCT($I$5:$I63,$U$5:$U63)</f>
        <v>4617355.0000000009</v>
      </c>
      <c r="V65" s="13">
        <f>SUMPRODUCT($I$5:$I63,$V$5:$V63)</f>
        <v>2192014.5200000005</v>
      </c>
      <c r="W65" s="13">
        <f>SUMPRODUCT($I$5:$I63,$W$5:$W63)</f>
        <v>0</v>
      </c>
      <c r="X65" s="13">
        <f>SUMPRODUCT($I$5:$I63,$X$5:$X63)</f>
        <v>0</v>
      </c>
      <c r="Y65" s="13">
        <f>SUMPRODUCT($I$5:$I63,$Y$5:$Y63)</f>
        <v>0</v>
      </c>
      <c r="Z65" s="13">
        <f>SUMPRODUCT($I$5:$I63,$Z$5:$Z63)</f>
        <v>0</v>
      </c>
      <c r="AA65" s="13">
        <f>SUMPRODUCT($I$5:$I63,$AA$5:$AA63)</f>
        <v>0</v>
      </c>
      <c r="AB65" s="13">
        <f>SUMPRODUCT($I$5:$I63,$AB$5:$AB63)</f>
        <v>6809369.5200000005</v>
      </c>
      <c r="AC65" s="13">
        <f>SUMPRODUCT($I$5:$I63,$AC$5:$AC63)</f>
        <v>28301549.061569341</v>
      </c>
      <c r="AD65" s="13">
        <f>SUMPRODUCT($I$5:$I63,$AD$5:$AD63)</f>
        <v>28301549.061569341</v>
      </c>
      <c r="AE65" s="13">
        <f>SUMPRODUCT($I$5:$I63,$AE$5:$AE63)</f>
        <v>0</v>
      </c>
      <c r="AF65" s="13">
        <f>SUMPRODUCT($I$5:$I63,$AF$5:$AF63)</f>
        <v>0</v>
      </c>
      <c r="AG65" s="13">
        <f>SUMPRODUCT($I$5:$I63,$AG$5:$AG63)</f>
        <v>0</v>
      </c>
      <c r="AH65" s="13">
        <f>SUMPRODUCT($I$5:$I63,$AH$5:$AH63)</f>
        <v>2615581.195068636</v>
      </c>
      <c r="AI65" s="13">
        <f>SUMPRODUCT($I$5:$I63,$AI$5:$AI63)</f>
        <v>76959.703303691102</v>
      </c>
      <c r="AJ65" s="13">
        <f ca="1">SUMPRODUCT($I$5:$I63,$AJ$5:$AJ63)</f>
        <v>183196.1012939419</v>
      </c>
      <c r="AK65" s="13">
        <f ca="1">SUMPRODUCT($I$5:$I63,$AK$5:$AK63)</f>
        <v>47732.749843158235</v>
      </c>
      <c r="AL65" s="13">
        <f ca="1">SUMPRODUCT($I$5:$I63,$AL$5:$AL63)</f>
        <v>2923469.7495094277</v>
      </c>
      <c r="AM65" s="13">
        <f ca="1">SUMPRODUCT($I$5:$I63,$AM$5:$AM63)</f>
        <v>52767980.055180945</v>
      </c>
    </row>
    <row r="66" spans="11:39" ht="11.25" customHeight="1" x14ac:dyDescent="0.3">
      <c r="K66" s="16" t="s">
        <v>657</v>
      </c>
      <c r="L66" s="13">
        <f>'TR TUSD'!$L$68</f>
        <v>1551829.9039835632</v>
      </c>
      <c r="M66" s="13">
        <f>'TR TUSD'!$M$68</f>
        <v>115619.58079800264</v>
      </c>
      <c r="N66" s="13">
        <f>'TR TUSD'!$N$68</f>
        <v>392972.65161152824</v>
      </c>
      <c r="O66" s="13">
        <f>'TR TUSD'!$O$68</f>
        <v>0</v>
      </c>
      <c r="P66" s="13">
        <f>'TR TUSD'!$P$68</f>
        <v>0</v>
      </c>
      <c r="Q66" s="13">
        <f>'TR TUSD'!$Q$68</f>
        <v>10880845.732772296</v>
      </c>
      <c r="R66" s="13">
        <f>'TR TUSD'!$R$68</f>
        <v>1792323.8549367813</v>
      </c>
      <c r="S66" s="13">
        <f>'TR TUSD'!$S$68</f>
        <v>0</v>
      </c>
      <c r="T66" s="13">
        <f>'TR TUSD'!$T$68</f>
        <v>14733591.724102173</v>
      </c>
      <c r="U66" s="13">
        <f>'TR TUSD'!$U$68</f>
        <v>4617355</v>
      </c>
      <c r="V66" s="13">
        <f>'TR TUSD'!$V$68</f>
        <v>2192014.5200000005</v>
      </c>
      <c r="W66" s="13">
        <f>'TR TUSD'!$W$68</f>
        <v>0</v>
      </c>
      <c r="X66" s="13">
        <f>'TR TUSD'!$X$68</f>
        <v>0</v>
      </c>
      <c r="Y66" s="13">
        <f>'TR TUSD'!$Y$68</f>
        <v>0</v>
      </c>
      <c r="Z66" s="13">
        <f>'TR TUSD'!$Z$68</f>
        <v>0</v>
      </c>
      <c r="AA66" s="13">
        <f>'TR TUSD'!$AA$68</f>
        <v>0</v>
      </c>
      <c r="AB66" s="13">
        <f>'TR TUSD'!$AB$68</f>
        <v>6809369.5200000005</v>
      </c>
      <c r="AC66" s="13">
        <f>'TR TUSD'!$AC$68</f>
        <v>28301549.061569352</v>
      </c>
      <c r="AD66" s="13">
        <f>'TR TUSD'!$AD$68</f>
        <v>28301549.061569352</v>
      </c>
      <c r="AE66" s="13">
        <f>'TR TUSD'!$AE$68</f>
        <v>0</v>
      </c>
      <c r="AF66" s="13">
        <f>'TR TUSD'!$AF$68</f>
        <v>0</v>
      </c>
      <c r="AG66" s="13">
        <f>'TR TUSD'!$AG$68</f>
        <v>0</v>
      </c>
      <c r="AH66" s="13">
        <f>'TR TUSD'!$AH$68</f>
        <v>2615581.195068636</v>
      </c>
      <c r="AI66" s="13">
        <f>'TR TUSD'!$AI$68</f>
        <v>76959.703303691102</v>
      </c>
      <c r="AJ66" s="13">
        <f>'TR TUSD'!$AJ$68</f>
        <v>183196.10129394187</v>
      </c>
      <c r="AK66" s="13">
        <f>'TR TUSD'!$AK$68</f>
        <v>47732.749843158228</v>
      </c>
      <c r="AL66" s="13">
        <f>'TR TUSD'!$AL$68</f>
        <v>2923469.7495094272</v>
      </c>
      <c r="AM66" s="13">
        <f>CUSTOS!$D$29</f>
        <v>52767980.055180952</v>
      </c>
    </row>
    <row r="67" spans="11:39" ht="11.25" customHeight="1" x14ac:dyDescent="0.3">
      <c r="K67" s="16" t="s">
        <v>658</v>
      </c>
      <c r="L67" s="13">
        <f>CUSTOS!$E$2</f>
        <v>-14425.698031375883</v>
      </c>
      <c r="M67" s="13">
        <f>CUSTOS!$E$3</f>
        <v>541.0626507235047</v>
      </c>
      <c r="N67" s="13">
        <f>CUSTOS!$E$4</f>
        <v>6.7265974004737262E-3</v>
      </c>
      <c r="O67" s="13">
        <f>CUSTOS!$E$5</f>
        <v>0</v>
      </c>
      <c r="P67" s="13">
        <f>CUSTOS!$E$6</f>
        <v>0</v>
      </c>
      <c r="Q67" s="13">
        <f>CUSTOS!$E$7</f>
        <v>196810.8238506862</v>
      </c>
      <c r="R67" s="13">
        <f>CUSTOS!$E$8</f>
        <v>48819.572107194923</v>
      </c>
      <c r="S67" s="13">
        <f>CUSTOS!$E$9</f>
        <v>0</v>
      </c>
      <c r="T67" s="13">
        <f>CUSTOS!$E$10</f>
        <v>231745.76730382614</v>
      </c>
      <c r="U67" s="13">
        <f>CUSTOS!$E$11</f>
        <v>-31105.252549044439</v>
      </c>
      <c r="V67" s="13">
        <f>CUSTOS!$E$12</f>
        <v>-28744.987272467522</v>
      </c>
      <c r="W67" s="13">
        <f>CUSTOS!$E$13</f>
        <v>0</v>
      </c>
      <c r="X67" s="13">
        <f>CUSTOS!$E$14</f>
        <v>0</v>
      </c>
      <c r="Y67" s="13">
        <f>CUSTOS!$E$15</f>
        <v>0</v>
      </c>
      <c r="Z67" s="13">
        <f>CUSTOS!$E$16</f>
        <v>0</v>
      </c>
      <c r="AA67" s="13">
        <f>CUSTOS!$E$17</f>
        <v>0</v>
      </c>
      <c r="AB67" s="13">
        <f>CUSTOS!$E$18</f>
        <v>-59850.239821511961</v>
      </c>
      <c r="AC67" s="13">
        <f>CUSTOS!$E$19</f>
        <v>0</v>
      </c>
      <c r="AD67" s="13">
        <f>CUSTOS!$E$20</f>
        <v>0</v>
      </c>
      <c r="AE67" s="13">
        <f>CUSTOS!$E$21</f>
        <v>-2279498.7846037233</v>
      </c>
      <c r="AF67" s="13">
        <f>CUSTOS!$E$22</f>
        <v>0</v>
      </c>
      <c r="AG67" s="13">
        <f>CUSTOS!$E$23</f>
        <v>-2279498.7846037233</v>
      </c>
      <c r="AH67" s="13">
        <f>CUSTOS!$E$24</f>
        <v>217797.28994568801</v>
      </c>
      <c r="AI67" s="13">
        <f>CUSTOS!$E$25</f>
        <v>6408.371051975043</v>
      </c>
      <c r="AJ67" s="13">
        <f>CUSTOS!$E$26</f>
        <v>15254.588336107561</v>
      </c>
      <c r="AK67" s="13">
        <f>CUSTOS!$E$27</f>
        <v>-3749.3210909030186</v>
      </c>
      <c r="AL67" s="13">
        <f>CUSTOS!$E$28</f>
        <v>235710.92824286758</v>
      </c>
      <c r="AM67" s="13">
        <f>CUSTOS!$E$29</f>
        <v>-1871892.3288785417</v>
      </c>
    </row>
    <row r="68" spans="11:39" ht="11.25" customHeight="1" x14ac:dyDescent="0.3">
      <c r="K68" s="16" t="s">
        <v>659</v>
      </c>
      <c r="L68" s="13">
        <f>CUSTOS!$F$2</f>
        <v>107454.95932846866</v>
      </c>
      <c r="M68" s="13">
        <f>CUSTOS!$F$3</f>
        <v>0</v>
      </c>
      <c r="N68" s="13">
        <f>CUSTOS!$F$4</f>
        <v>0</v>
      </c>
      <c r="O68" s="13">
        <f>CUSTOS!$F$5</f>
        <v>0</v>
      </c>
      <c r="P68" s="13">
        <f>CUSTOS!$F$6</f>
        <v>0</v>
      </c>
      <c r="Q68" s="13">
        <f>CUSTOS!$F$7</f>
        <v>3370480.3417000002</v>
      </c>
      <c r="R68" s="13">
        <f>CUSTOS!$F$8</f>
        <v>637363.97290000005</v>
      </c>
      <c r="S68" s="13">
        <f>CUSTOS!$F$9</f>
        <v>0</v>
      </c>
      <c r="T68" s="13">
        <f>CUSTOS!$F$10</f>
        <v>4115299.2739284686</v>
      </c>
      <c r="U68" s="13">
        <f>CUSTOS!$F$11</f>
        <v>434116.13274168264</v>
      </c>
      <c r="V68" s="13">
        <f>CUSTOS!$F$12</f>
        <v>206089.60461909813</v>
      </c>
      <c r="W68" s="13">
        <f>CUSTOS!$F$13</f>
        <v>0</v>
      </c>
      <c r="X68" s="13">
        <f>CUSTOS!$F$14</f>
        <v>0</v>
      </c>
      <c r="Y68" s="13">
        <f>CUSTOS!$F$15</f>
        <v>0</v>
      </c>
      <c r="Z68" s="13">
        <f>CUSTOS!$F$16</f>
        <v>0</v>
      </c>
      <c r="AA68" s="13">
        <f>CUSTOS!$F$17</f>
        <v>0</v>
      </c>
      <c r="AB68" s="13">
        <f>CUSTOS!$F$18</f>
        <v>640205.73736078083</v>
      </c>
      <c r="AC68" s="13">
        <f>CUSTOS!$F$19</f>
        <v>0</v>
      </c>
      <c r="AD68" s="13">
        <f>CUSTOS!$F$20</f>
        <v>0</v>
      </c>
      <c r="AE68" s="13">
        <f>CUSTOS!$F$21</f>
        <v>0</v>
      </c>
      <c r="AF68" s="13">
        <f>CUSTOS!$F$22</f>
        <v>0</v>
      </c>
      <c r="AG68" s="13">
        <f>CUSTOS!$F$23</f>
        <v>0</v>
      </c>
      <c r="AH68" s="13">
        <f>CUSTOS!$F$24</f>
        <v>-133415.26963667042</v>
      </c>
      <c r="AI68" s="13">
        <f>CUSTOS!$F$25</f>
        <v>-3925.5518378777251</v>
      </c>
      <c r="AJ68" s="13">
        <f>CUSTOS!$F$26</f>
        <v>-9344.4460055757027</v>
      </c>
      <c r="AK68" s="13">
        <f>CUSTOS!$F$27</f>
        <v>0</v>
      </c>
      <c r="AL68" s="13">
        <f>CUSTOS!$F$28</f>
        <v>-146685.26748012385</v>
      </c>
      <c r="AM68" s="13">
        <f>CUSTOS!$F$29</f>
        <v>4608819.7438091254</v>
      </c>
    </row>
    <row r="69" spans="11:39" ht="11.25" customHeight="1" x14ac:dyDescent="0.3">
      <c r="K69" s="16" t="s">
        <v>722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f>SUM($L$69:$S$69)</f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f>SUM($U$69:$AA$69)</f>
        <v>0</v>
      </c>
      <c r="AC69" s="13">
        <v>0</v>
      </c>
      <c r="AD69" s="13">
        <f>SUM($AC$69:$AC$69)</f>
        <v>0</v>
      </c>
      <c r="AE69" s="13">
        <v>0</v>
      </c>
      <c r="AF69" s="13">
        <v>0</v>
      </c>
      <c r="AG69" s="13">
        <f>SUM($AE$69:$AF$69)</f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f>SUM($AH$69:$AK$69)</f>
        <v>0</v>
      </c>
      <c r="AM69" s="13">
        <f>SUMIF($L$4:$AL$4,"SUBTOTAL",$L$69:$AL$69)</f>
        <v>0</v>
      </c>
    </row>
    <row r="70" spans="11:39" ht="11.25" customHeight="1" x14ac:dyDescent="0.3">
      <c r="K70" s="16" t="s">
        <v>726</v>
      </c>
      <c r="L70" s="13">
        <f t="shared" ref="L70:R70" si="0">IF((L65-(0))&lt;&gt;0,(L67)/(L65-(0)),0)</f>
        <v>-9.2959273399391053E-3</v>
      </c>
      <c r="M70" s="13">
        <f t="shared" si="0"/>
        <v>4.6796800938829529E-3</v>
      </c>
      <c r="N70" s="13">
        <f t="shared" ca="1" si="0"/>
        <v>1.7117215085805211E-8</v>
      </c>
      <c r="O70" s="13">
        <f t="shared" si="0"/>
        <v>0</v>
      </c>
      <c r="P70" s="13">
        <f t="shared" si="0"/>
        <v>0</v>
      </c>
      <c r="Q70" s="13">
        <f t="shared" si="0"/>
        <v>1.8087824116273118E-2</v>
      </c>
      <c r="R70" s="13">
        <f t="shared" si="0"/>
        <v>2.7238142243504803E-2</v>
      </c>
      <c r="S70" s="13">
        <f>IF((R65-(0)&lt;&gt;0),(S67)/(R65-(0)),0)</f>
        <v>0</v>
      </c>
      <c r="T70" s="13"/>
      <c r="U70" s="13">
        <f t="shared" ref="U70:AA70" si="1">IF((U65-(0))&lt;&gt;0,(U67)/(U65-(0)),0)</f>
        <v>-6.7365954207645792E-3</v>
      </c>
      <c r="V70" s="13">
        <f t="shared" si="1"/>
        <v>-1.3113502219167562E-2</v>
      </c>
      <c r="W70" s="13">
        <f t="shared" si="1"/>
        <v>0</v>
      </c>
      <c r="X70" s="13">
        <f t="shared" si="1"/>
        <v>0</v>
      </c>
      <c r="Y70" s="13">
        <f t="shared" si="1"/>
        <v>0</v>
      </c>
      <c r="Z70" s="13">
        <f t="shared" si="1"/>
        <v>0</v>
      </c>
      <c r="AA70" s="13">
        <f t="shared" si="1"/>
        <v>0</v>
      </c>
      <c r="AB70" s="13"/>
      <c r="AC70" s="13">
        <f>IF((AC65-(0))&lt;&gt;0,(AC67)/(AC65-(0)),0)</f>
        <v>0</v>
      </c>
      <c r="AD70" s="13"/>
      <c r="AE70" s="13">
        <f ca="1">IF(($AM65-(0))&lt;&gt;0,(AE67)/($AM65-(0)),0)</f>
        <v>-4.3198522706762471E-2</v>
      </c>
      <c r="AF70" s="13">
        <f ca="1">IF(($AM65-(0))&lt;&gt;0,(AF67)/($AM65-(0)),0)</f>
        <v>0</v>
      </c>
      <c r="AG70" s="13"/>
      <c r="AH70" s="13">
        <f>IF((AH65-(0))&lt;&gt;0,(AH67)/(AH65-(0)),0)</f>
        <v>8.3269175644907767E-2</v>
      </c>
      <c r="AI70" s="13">
        <f>IF((AI65-(0))&lt;&gt;0,(AI67)/(AI65-(0)),0)</f>
        <v>8.3269175644907767E-2</v>
      </c>
      <c r="AJ70" s="13">
        <f ca="1">IF((AJ65-(0))&lt;&gt;0,(AJ67)/(AJ65-(0)),0)</f>
        <v>8.3269175644907753E-2</v>
      </c>
      <c r="AK70" s="13">
        <f ca="1">IF((AK65-(0))&lt;&gt;0,(AK67)/(AK65-(0)),0)</f>
        <v>-7.8548189727653553E-2</v>
      </c>
      <c r="AL70" s="13"/>
      <c r="AM70" s="13"/>
    </row>
  </sheetData>
  <mergeCells count="91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C5:C8"/>
    <mergeCell ref="D5:D8"/>
    <mergeCell ref="E5:E7"/>
    <mergeCell ref="B15:B16"/>
    <mergeCell ref="C15:C16"/>
    <mergeCell ref="D15:D16"/>
    <mergeCell ref="E15:E16"/>
    <mergeCell ref="J1:J4"/>
    <mergeCell ref="L1:AM1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G1:G4"/>
    <mergeCell ref="H1:H4"/>
    <mergeCell ref="I1:I4"/>
    <mergeCell ref="A5:A16"/>
    <mergeCell ref="B5:B8"/>
    <mergeCell ref="A17:A26"/>
    <mergeCell ref="B17:B20"/>
    <mergeCell ref="C17:C20"/>
    <mergeCell ref="D17:D20"/>
    <mergeCell ref="E17:E19"/>
    <mergeCell ref="F15:F16"/>
    <mergeCell ref="F17:F19"/>
    <mergeCell ref="B22:B26"/>
    <mergeCell ref="C22:C26"/>
    <mergeCell ref="D22:D26"/>
    <mergeCell ref="E22:E24"/>
    <mergeCell ref="F22:F24"/>
    <mergeCell ref="E25:E26"/>
    <mergeCell ref="F25:F26"/>
    <mergeCell ref="A27:A28"/>
    <mergeCell ref="B27:B28"/>
    <mergeCell ref="C27:C28"/>
    <mergeCell ref="D27:D28"/>
    <mergeCell ref="A29:A41"/>
    <mergeCell ref="B29:B31"/>
    <mergeCell ref="C29:C31"/>
    <mergeCell ref="D29:D31"/>
    <mergeCell ref="E29:E31"/>
    <mergeCell ref="F29:F31"/>
    <mergeCell ref="B32:B36"/>
    <mergeCell ref="C32:C36"/>
    <mergeCell ref="B37:B41"/>
    <mergeCell ref="C37:C41"/>
    <mergeCell ref="D50:D52"/>
    <mergeCell ref="E50:E52"/>
    <mergeCell ref="F50:F52"/>
    <mergeCell ref="D42:D44"/>
    <mergeCell ref="E42:E44"/>
    <mergeCell ref="F42:F44"/>
    <mergeCell ref="D46:D48"/>
    <mergeCell ref="E46:E48"/>
    <mergeCell ref="F46:F48"/>
    <mergeCell ref="B54:B56"/>
    <mergeCell ref="C54:C56"/>
    <mergeCell ref="A57:A61"/>
    <mergeCell ref="B57:B59"/>
    <mergeCell ref="C57:C59"/>
    <mergeCell ref="A42:A56"/>
    <mergeCell ref="B42:B44"/>
    <mergeCell ref="C42:C44"/>
    <mergeCell ref="B50:B52"/>
    <mergeCell ref="C50:C52"/>
    <mergeCell ref="B46:B48"/>
    <mergeCell ref="C46:C48"/>
    <mergeCell ref="E57:E59"/>
    <mergeCell ref="F57:F59"/>
    <mergeCell ref="A62:A63"/>
    <mergeCell ref="B62:B63"/>
    <mergeCell ref="C62:C63"/>
    <mergeCell ref="D57:D59"/>
  </mergeCells>
  <conditionalFormatting sqref="L65">
    <cfRule type="cellIs" dxfId="1425" priority="55" operator="notEqual">
      <formula>$L$66-$L$69</formula>
    </cfRule>
    <cfRule type="cellIs" dxfId="1424" priority="56" operator="equal">
      <formula>$L$66-$L$69</formula>
    </cfRule>
  </conditionalFormatting>
  <conditionalFormatting sqref="M65">
    <cfRule type="cellIs" dxfId="1423" priority="53" operator="notEqual">
      <formula>$M$66-$M$69</formula>
    </cfRule>
    <cfRule type="cellIs" dxfId="1422" priority="54" operator="equal">
      <formula>$M$66-$M$69</formula>
    </cfRule>
  </conditionalFormatting>
  <conditionalFormatting sqref="N65">
    <cfRule type="cellIs" dxfId="1421" priority="51" operator="notEqual">
      <formula>$N$66-$N$69</formula>
    </cfRule>
    <cfRule type="cellIs" dxfId="1420" priority="52" operator="equal">
      <formula>$N$66-$N$69</formula>
    </cfRule>
  </conditionalFormatting>
  <conditionalFormatting sqref="O65">
    <cfRule type="cellIs" dxfId="1419" priority="49" operator="notEqual">
      <formula>$O$66-$O$69</formula>
    </cfRule>
    <cfRule type="cellIs" dxfId="1418" priority="50" operator="equal">
      <formula>$O$66-$O$69</formula>
    </cfRule>
  </conditionalFormatting>
  <conditionalFormatting sqref="P65">
    <cfRule type="cellIs" dxfId="1417" priority="47" operator="notEqual">
      <formula>$P$66-$P$69</formula>
    </cfRule>
    <cfRule type="cellIs" dxfId="1416" priority="48" operator="equal">
      <formula>$P$66-$P$69</formula>
    </cfRule>
  </conditionalFormatting>
  <conditionalFormatting sqref="Q65">
    <cfRule type="cellIs" dxfId="1415" priority="45" operator="notEqual">
      <formula>$Q$66-$Q$69</formula>
    </cfRule>
    <cfRule type="cellIs" dxfId="1414" priority="46" operator="equal">
      <formula>$Q$66-$Q$69</formula>
    </cfRule>
  </conditionalFormatting>
  <conditionalFormatting sqref="R65">
    <cfRule type="cellIs" dxfId="1413" priority="43" operator="notEqual">
      <formula>$R$66-$R$69</formula>
    </cfRule>
    <cfRule type="cellIs" dxfId="1412" priority="44" operator="equal">
      <formula>$R$66-$R$69</formula>
    </cfRule>
  </conditionalFormatting>
  <conditionalFormatting sqref="S65">
    <cfRule type="cellIs" dxfId="1411" priority="41" operator="notEqual">
      <formula>$S$66-$S$69</formula>
    </cfRule>
    <cfRule type="cellIs" dxfId="1410" priority="42" operator="equal">
      <formula>$S$66-$S$69</formula>
    </cfRule>
  </conditionalFormatting>
  <conditionalFormatting sqref="T65">
    <cfRule type="cellIs" dxfId="1409" priority="39" operator="notEqual">
      <formula>$T$66-$T$69</formula>
    </cfRule>
    <cfRule type="cellIs" dxfId="1408" priority="40" operator="equal">
      <formula>$T$66-$T$69</formula>
    </cfRule>
  </conditionalFormatting>
  <conditionalFormatting sqref="U65">
    <cfRule type="cellIs" dxfId="1407" priority="37" operator="notEqual">
      <formula>$U$66-$U$69</formula>
    </cfRule>
    <cfRule type="cellIs" dxfId="1406" priority="38" operator="equal">
      <formula>$U$66-$U$69</formula>
    </cfRule>
  </conditionalFormatting>
  <conditionalFormatting sqref="V65">
    <cfRule type="cellIs" dxfId="1405" priority="35" operator="notEqual">
      <formula>$V$66-$V$69</formula>
    </cfRule>
    <cfRule type="cellIs" dxfId="1404" priority="36" operator="equal">
      <formula>$V$66-$V$69</formula>
    </cfRule>
  </conditionalFormatting>
  <conditionalFormatting sqref="W65">
    <cfRule type="cellIs" dxfId="1403" priority="33" operator="notEqual">
      <formula>$W$66-$W$69</formula>
    </cfRule>
    <cfRule type="cellIs" dxfId="1402" priority="34" operator="equal">
      <formula>$W$66-$W$69</formula>
    </cfRule>
  </conditionalFormatting>
  <conditionalFormatting sqref="X65">
    <cfRule type="cellIs" dxfId="1401" priority="31" operator="notEqual">
      <formula>$X$66-$X$69</formula>
    </cfRule>
    <cfRule type="cellIs" dxfId="1400" priority="32" operator="equal">
      <formula>$X$66-$X$69</formula>
    </cfRule>
  </conditionalFormatting>
  <conditionalFormatting sqref="Y65">
    <cfRule type="cellIs" dxfId="1399" priority="29" operator="notEqual">
      <formula>$Y$66-$Y$69</formula>
    </cfRule>
    <cfRule type="cellIs" dxfId="1398" priority="30" operator="equal">
      <formula>$Y$66-$Y$69</formula>
    </cfRule>
  </conditionalFormatting>
  <conditionalFormatting sqref="Z65">
    <cfRule type="cellIs" dxfId="1397" priority="27" operator="notEqual">
      <formula>$Z$66-$Z$69</formula>
    </cfRule>
    <cfRule type="cellIs" dxfId="1396" priority="28" operator="equal">
      <formula>$Z$66-$Z$69</formula>
    </cfRule>
  </conditionalFormatting>
  <conditionalFormatting sqref="AA65">
    <cfRule type="cellIs" dxfId="1395" priority="25" operator="notEqual">
      <formula>$AA$66-$AA$69</formula>
    </cfRule>
    <cfRule type="cellIs" dxfId="1394" priority="26" operator="equal">
      <formula>$AA$66-$AA$69</formula>
    </cfRule>
  </conditionalFormatting>
  <conditionalFormatting sqref="AB65">
    <cfRule type="cellIs" dxfId="1393" priority="23" operator="notEqual">
      <formula>$AB$66-$AB$69</formula>
    </cfRule>
    <cfRule type="cellIs" dxfId="1392" priority="24" operator="equal">
      <formula>$AB$66-$AB$69</formula>
    </cfRule>
  </conditionalFormatting>
  <conditionalFormatting sqref="AC65">
    <cfRule type="cellIs" dxfId="1391" priority="21" operator="notEqual">
      <formula>$AC$66-$AC$69</formula>
    </cfRule>
    <cfRule type="cellIs" dxfId="1390" priority="22" operator="equal">
      <formula>$AC$66-$AC$69</formula>
    </cfRule>
  </conditionalFormatting>
  <conditionalFormatting sqref="AD65">
    <cfRule type="cellIs" dxfId="1389" priority="19" operator="notEqual">
      <formula>$AD$66-$AD$69</formula>
    </cfRule>
    <cfRule type="cellIs" dxfId="1388" priority="20" operator="equal">
      <formula>$AD$66-$AD$69</formula>
    </cfRule>
  </conditionalFormatting>
  <conditionalFormatting sqref="AE65">
    <cfRule type="cellIs" dxfId="1387" priority="17" operator="notEqual">
      <formula>$AE$66-$AE$69</formula>
    </cfRule>
    <cfRule type="cellIs" dxfId="1386" priority="18" operator="equal">
      <formula>$AE$66-$AE$69</formula>
    </cfRule>
  </conditionalFormatting>
  <conditionalFormatting sqref="AF65">
    <cfRule type="cellIs" dxfId="1385" priority="16" operator="equal">
      <formula>$AF$66-$AF$69</formula>
    </cfRule>
  </conditionalFormatting>
  <conditionalFormatting sqref="AF65">
    <cfRule type="cellIs" dxfId="1384" priority="15" operator="notEqual">
      <formula>$AF$66-$AF$69</formula>
    </cfRule>
  </conditionalFormatting>
  <conditionalFormatting sqref="AG65">
    <cfRule type="cellIs" dxfId="1383" priority="14" operator="equal">
      <formula>$AG$66-$AG$69</formula>
    </cfRule>
  </conditionalFormatting>
  <conditionalFormatting sqref="AG65">
    <cfRule type="cellIs" dxfId="1382" priority="13" operator="notEqual">
      <formula>$AG$66-$AG$69</formula>
    </cfRule>
  </conditionalFormatting>
  <conditionalFormatting sqref="AH65">
    <cfRule type="cellIs" dxfId="1381" priority="12" operator="equal">
      <formula>$AH$66-$AH$69</formula>
    </cfRule>
  </conditionalFormatting>
  <conditionalFormatting sqref="AH65">
    <cfRule type="cellIs" dxfId="1380" priority="11" operator="notEqual">
      <formula>$AH$66-$AH$69</formula>
    </cfRule>
  </conditionalFormatting>
  <conditionalFormatting sqref="AI65">
    <cfRule type="cellIs" dxfId="1379" priority="10" operator="equal">
      <formula>$AI$66-$AI$69</formula>
    </cfRule>
  </conditionalFormatting>
  <conditionalFormatting sqref="AI65">
    <cfRule type="cellIs" dxfId="1378" priority="9" operator="notEqual">
      <formula>$AI$66-$AI$69</formula>
    </cfRule>
  </conditionalFormatting>
  <conditionalFormatting sqref="AJ65">
    <cfRule type="cellIs" dxfId="1377" priority="8" operator="equal">
      <formula>$AJ$66-$AJ$69</formula>
    </cfRule>
  </conditionalFormatting>
  <conditionalFormatting sqref="AJ65">
    <cfRule type="cellIs" dxfId="1376" priority="7" operator="notEqual">
      <formula>$AJ$66-$AJ$69</formula>
    </cfRule>
  </conditionalFormatting>
  <conditionalFormatting sqref="AK65">
    <cfRule type="cellIs" dxfId="1375" priority="6" operator="equal">
      <formula>$AK$66-$AK$69</formula>
    </cfRule>
  </conditionalFormatting>
  <conditionalFormatting sqref="AK65">
    <cfRule type="cellIs" dxfId="1374" priority="5" operator="notEqual">
      <formula>$AK$66-$AK$69</formula>
    </cfRule>
  </conditionalFormatting>
  <conditionalFormatting sqref="AL65">
    <cfRule type="cellIs" dxfId="1373" priority="4" operator="equal">
      <formula>$AL$66-$AL$69</formula>
    </cfRule>
  </conditionalFormatting>
  <conditionalFormatting sqref="AL65">
    <cfRule type="cellIs" dxfId="1372" priority="3" operator="notEqual">
      <formula>$AL$66-$AL$69</formula>
    </cfRule>
  </conditionalFormatting>
  <conditionalFormatting sqref="AM65">
    <cfRule type="cellIs" dxfId="1371" priority="2" operator="equal">
      <formula>$AM$66-$AM$69</formula>
    </cfRule>
  </conditionalFormatting>
  <conditionalFormatting sqref="AM65">
    <cfRule type="cellIs" dxfId="1370" priority="1" operator="notEqual">
      <formula>$AM$66-$AM$69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9A2FF-BE29-4550-B4E5-1B155EAE1D64}">
  <sheetPr codeName="Planilha10"/>
  <dimension ref="A1:AP70"/>
  <sheetViews>
    <sheetView showGridLines="0" topLeftCell="W47" workbookViewId="0">
      <selection activeCell="AO65" sqref="AO65:AP67"/>
    </sheetView>
  </sheetViews>
  <sheetFormatPr defaultRowHeight="11.25" customHeight="1" x14ac:dyDescent="0.3"/>
  <cols>
    <col min="1" max="1" width="9" style="9" bestFit="1" customWidth="1"/>
    <col min="2" max="2" width="21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9" width="8.44140625" style="9" bestFit="1" customWidth="1"/>
    <col min="10" max="10" width="8.88671875" style="9"/>
    <col min="11" max="11" width="14.109375" style="9" bestFit="1" customWidth="1"/>
    <col min="12" max="12" width="13" style="9" bestFit="1" customWidth="1"/>
    <col min="13" max="14" width="8.44140625" style="9" bestFit="1" customWidth="1"/>
    <col min="15" max="15" width="4" style="9" bestFit="1" customWidth="1"/>
    <col min="16" max="16" width="4.33203125" style="9" bestFit="1" customWidth="1"/>
    <col min="17" max="17" width="10.5546875" style="9" bestFit="1" customWidth="1"/>
    <col min="18" max="18" width="9.6640625" style="9" bestFit="1" customWidth="1"/>
    <col min="19" max="19" width="8.44140625" style="9" bestFit="1" customWidth="1"/>
    <col min="20" max="20" width="10.5546875" style="9" bestFit="1" customWidth="1"/>
    <col min="21" max="22" width="9.6640625" style="9" bestFit="1" customWidth="1"/>
    <col min="23" max="24" width="9.5546875" style="9" bestFit="1" customWidth="1"/>
    <col min="25" max="25" width="5" style="9" bestFit="1" customWidth="1"/>
    <col min="26" max="26" width="7.44140625" style="9" bestFit="1" customWidth="1"/>
    <col min="27" max="27" width="9.5546875" style="9" bestFit="1" customWidth="1"/>
    <col min="28" max="28" width="9.6640625" style="9" bestFit="1" customWidth="1"/>
    <col min="29" max="29" width="11.33203125" style="9" bestFit="1" customWidth="1"/>
    <col min="30" max="30" width="10.5546875" style="9" bestFit="1" customWidth="1"/>
    <col min="31" max="31" width="8.21875" style="9" bestFit="1" customWidth="1"/>
    <col min="32" max="32" width="7.109375" style="9" bestFit="1" customWidth="1"/>
    <col min="33" max="33" width="9" style="9" bestFit="1" customWidth="1"/>
    <col min="34" max="34" width="14.88671875" style="9" bestFit="1" customWidth="1"/>
    <col min="35" max="35" width="17.5546875" style="9" bestFit="1" customWidth="1"/>
    <col min="36" max="36" width="18.5546875" style="9" bestFit="1" customWidth="1"/>
    <col min="37" max="37" width="7.6640625" style="9" bestFit="1" customWidth="1"/>
    <col min="38" max="38" width="9.6640625" style="9" bestFit="1" customWidth="1"/>
    <col min="39" max="39" width="10.5546875" style="9" bestFit="1" customWidth="1"/>
    <col min="40" max="40" width="8.88671875" style="9"/>
    <col min="41" max="41" width="10.6640625" style="9" bestFit="1" customWidth="1"/>
    <col min="42" max="42" width="10.109375" style="9" bestFit="1" customWidth="1"/>
    <col min="43" max="16384" width="8.88671875" style="9"/>
  </cols>
  <sheetData>
    <row r="1" spans="1:42" ht="11.25" customHeight="1" x14ac:dyDescent="0.3">
      <c r="A1" s="139" t="s">
        <v>69</v>
      </c>
      <c r="B1" s="139" t="s">
        <v>70</v>
      </c>
      <c r="C1" s="139" t="s">
        <v>71</v>
      </c>
      <c r="D1" s="139" t="s">
        <v>72</v>
      </c>
      <c r="E1" s="139" t="s">
        <v>73</v>
      </c>
      <c r="F1" s="139" t="s">
        <v>15</v>
      </c>
      <c r="G1" s="139" t="s">
        <v>75</v>
      </c>
      <c r="H1" s="139" t="s">
        <v>76</v>
      </c>
      <c r="I1" s="139" t="s">
        <v>716</v>
      </c>
      <c r="J1" s="131"/>
      <c r="L1" s="138" t="s">
        <v>733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O1" s="20"/>
      <c r="AP1" s="142" t="s">
        <v>718</v>
      </c>
    </row>
    <row r="2" spans="1:42" ht="11.25" customHeight="1" x14ac:dyDescent="0.3">
      <c r="A2" s="139"/>
      <c r="B2" s="139"/>
      <c r="C2" s="139"/>
      <c r="D2" s="139"/>
      <c r="E2" s="139"/>
      <c r="F2" s="139"/>
      <c r="G2" s="139"/>
      <c r="H2" s="139"/>
      <c r="I2" s="139"/>
      <c r="J2" s="131"/>
      <c r="L2" s="138" t="s">
        <v>615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O2" s="20"/>
      <c r="AP2" s="143"/>
    </row>
    <row r="3" spans="1:42" ht="11.25" customHeight="1" x14ac:dyDescent="0.3">
      <c r="A3" s="139"/>
      <c r="B3" s="139"/>
      <c r="C3" s="139"/>
      <c r="D3" s="139"/>
      <c r="E3" s="139"/>
      <c r="F3" s="139"/>
      <c r="G3" s="139"/>
      <c r="H3" s="139"/>
      <c r="I3" s="139"/>
      <c r="J3" s="131"/>
      <c r="L3" s="138" t="s">
        <v>616</v>
      </c>
      <c r="M3" s="138"/>
      <c r="N3" s="138"/>
      <c r="O3" s="138"/>
      <c r="P3" s="138"/>
      <c r="Q3" s="138"/>
      <c r="R3" s="138"/>
      <c r="S3" s="138"/>
      <c r="T3" s="138"/>
      <c r="U3" s="138" t="s">
        <v>625</v>
      </c>
      <c r="V3" s="138"/>
      <c r="W3" s="138"/>
      <c r="X3" s="138"/>
      <c r="Y3" s="138"/>
      <c r="Z3" s="138"/>
      <c r="AA3" s="138"/>
      <c r="AB3" s="138"/>
      <c r="AC3" s="138" t="s">
        <v>633</v>
      </c>
      <c r="AD3" s="138"/>
      <c r="AE3" s="138" t="s">
        <v>635</v>
      </c>
      <c r="AF3" s="138"/>
      <c r="AG3" s="138"/>
      <c r="AH3" s="138" t="s">
        <v>638</v>
      </c>
      <c r="AI3" s="138"/>
      <c r="AJ3" s="138"/>
      <c r="AK3" s="138"/>
      <c r="AL3" s="138"/>
      <c r="AM3" s="138" t="s">
        <v>624</v>
      </c>
      <c r="AO3" s="20"/>
      <c r="AP3" s="143"/>
    </row>
    <row r="4" spans="1:42" ht="11.25" customHeight="1" x14ac:dyDescent="0.3">
      <c r="A4" s="139"/>
      <c r="B4" s="139"/>
      <c r="C4" s="139"/>
      <c r="D4" s="139"/>
      <c r="E4" s="139"/>
      <c r="F4" s="139"/>
      <c r="G4" s="139"/>
      <c r="H4" s="139"/>
      <c r="I4" s="139"/>
      <c r="J4" s="131"/>
      <c r="L4" s="10" t="s">
        <v>701</v>
      </c>
      <c r="M4" s="10" t="s">
        <v>617</v>
      </c>
      <c r="N4" s="10" t="s">
        <v>618</v>
      </c>
      <c r="O4" s="10" t="s">
        <v>619</v>
      </c>
      <c r="P4" s="10" t="s">
        <v>620</v>
      </c>
      <c r="Q4" s="10" t="s">
        <v>621</v>
      </c>
      <c r="R4" s="10" t="s">
        <v>622</v>
      </c>
      <c r="S4" s="10" t="s">
        <v>623</v>
      </c>
      <c r="T4" s="10" t="s">
        <v>624</v>
      </c>
      <c r="U4" s="10" t="s">
        <v>626</v>
      </c>
      <c r="V4" s="10" t="s">
        <v>627</v>
      </c>
      <c r="W4" s="10" t="s">
        <v>628</v>
      </c>
      <c r="X4" s="10" t="s">
        <v>629</v>
      </c>
      <c r="Y4" s="10" t="s">
        <v>630</v>
      </c>
      <c r="Z4" s="10" t="s">
        <v>631</v>
      </c>
      <c r="AA4" s="10" t="s">
        <v>632</v>
      </c>
      <c r="AB4" s="10" t="s">
        <v>624</v>
      </c>
      <c r="AC4" s="10" t="s">
        <v>634</v>
      </c>
      <c r="AD4" s="10" t="s">
        <v>624</v>
      </c>
      <c r="AE4" s="10" t="s">
        <v>636</v>
      </c>
      <c r="AF4" s="10" t="s">
        <v>637</v>
      </c>
      <c r="AG4" s="10" t="s">
        <v>624</v>
      </c>
      <c r="AH4" s="10" t="s">
        <v>639</v>
      </c>
      <c r="AI4" s="10" t="s">
        <v>640</v>
      </c>
      <c r="AJ4" s="10" t="s">
        <v>641</v>
      </c>
      <c r="AK4" s="10" t="s">
        <v>642</v>
      </c>
      <c r="AL4" s="10" t="s">
        <v>624</v>
      </c>
      <c r="AM4" s="141"/>
      <c r="AO4" s="21" t="s">
        <v>735</v>
      </c>
      <c r="AP4" s="144"/>
    </row>
    <row r="5" spans="1:42" ht="11.25" customHeight="1" x14ac:dyDescent="0.3">
      <c r="A5" s="137" t="s">
        <v>45</v>
      </c>
      <c r="B5" s="137" t="s">
        <v>42</v>
      </c>
      <c r="C5" s="137" t="s">
        <v>25</v>
      </c>
      <c r="D5" s="137" t="s">
        <v>25</v>
      </c>
      <c r="E5" s="137" t="s">
        <v>25</v>
      </c>
      <c r="F5" s="137" t="s">
        <v>25</v>
      </c>
      <c r="G5" s="18" t="s">
        <v>85</v>
      </c>
      <c r="H5" s="18" t="s">
        <v>84</v>
      </c>
      <c r="I5" s="18">
        <f>'MERCADO TUSD'!$U$2</f>
        <v>4216</v>
      </c>
      <c r="J5" s="15"/>
      <c r="L5" s="13">
        <f>'TUSD BE'!$L$5*'TUSD BE'!$L$70</f>
        <v>0</v>
      </c>
      <c r="M5" s="13">
        <f>'TUSD BE'!$M$5*'TUSD BE'!$M$70</f>
        <v>0</v>
      </c>
      <c r="N5" s="13">
        <f ca="1">'TUSD BE'!$N$5*'TUSD BE'!$N$70</f>
        <v>0</v>
      </c>
      <c r="O5" s="13">
        <f>'TUSD BE'!$O$5*'TUSD BE'!$O$70</f>
        <v>0</v>
      </c>
      <c r="P5" s="13">
        <f>'TUSD BE'!$P$5*'TUSD BE'!$P$70</f>
        <v>0</v>
      </c>
      <c r="Q5" s="13">
        <f>'TUSD BE'!$Q$5*'TUSD BE'!$Q$70</f>
        <v>0</v>
      </c>
      <c r="R5" s="13">
        <f>'TUSD BE'!$R$5*'TUSD BE'!$R$70</f>
        <v>0</v>
      </c>
      <c r="S5" s="13">
        <f>'TUSD BE'!$R$5*'TUSD BE'!$S$70</f>
        <v>0</v>
      </c>
      <c r="T5" s="13">
        <f ca="1">SUM($L$5:$S$5)</f>
        <v>0</v>
      </c>
      <c r="U5" s="13">
        <f>'TUSD BE'!$U$5*'TUSD BE'!$U$70</f>
        <v>-5.1809720293537094E-2</v>
      </c>
      <c r="V5" s="13">
        <f>'TUSD BE'!$V$5*'TUSD BE'!$V$70</f>
        <v>-4.706997792019111E-2</v>
      </c>
      <c r="W5" s="13">
        <f>'TUSD BE'!$W$5*'TUSD BE'!$W$70</f>
        <v>0</v>
      </c>
      <c r="X5" s="13">
        <f>'TUSD BE'!$X$5*'TUSD BE'!$X$70</f>
        <v>0</v>
      </c>
      <c r="Y5" s="13">
        <f>'TUSD BE'!$Y$5*'TUSD BE'!$Y$70</f>
        <v>0</v>
      </c>
      <c r="Z5" s="13">
        <f>'TUSD BE'!$Z$5*'TUSD BE'!$Z$70</f>
        <v>0</v>
      </c>
      <c r="AA5" s="13">
        <f>'TUSD BE'!$AA$5*'TUSD BE'!$AA$70</f>
        <v>0</v>
      </c>
      <c r="AB5" s="13">
        <f>SUM($U$5:$AA$5)</f>
        <v>-9.8879698213728204E-2</v>
      </c>
      <c r="AC5" s="13">
        <f>'TUSD BE'!$AC$5*'TUSD BE'!$AC$70</f>
        <v>0</v>
      </c>
      <c r="AD5" s="13">
        <f>SUM($AC$5:$AC$5)</f>
        <v>0</v>
      </c>
      <c r="AE5" s="13">
        <f ca="1">$AO$5*$AO$67</f>
        <v>-2.2609563594644144</v>
      </c>
      <c r="AF5" s="13">
        <f ca="1">$AP$5*$AP$67</f>
        <v>0</v>
      </c>
      <c r="AG5" s="13">
        <f ca="1">SUM($AE$5:$AF$5)</f>
        <v>-2.2609563594644144</v>
      </c>
      <c r="AH5" s="13">
        <f>'TUSD BE'!$AH$5*'TUSD BE'!$AH$70</f>
        <v>0</v>
      </c>
      <c r="AI5" s="13">
        <f>'TUSD BE'!$AI$5*'TUSD BE'!$AI$70</f>
        <v>0</v>
      </c>
      <c r="AJ5" s="13">
        <f ca="1">'TUSD BE'!$AJ$5*'TUSD BE'!$AJ$70</f>
        <v>0</v>
      </c>
      <c r="AK5" s="13">
        <f ca="1">'TUSD BE'!$AK$5*'TUSD BE'!$AK$70</f>
        <v>0</v>
      </c>
      <c r="AL5" s="13">
        <f ca="1">SUM($AH$5:$AK$5)</f>
        <v>0</v>
      </c>
      <c r="AM5" s="13">
        <f ca="1">SUMIF($L$4:$AL$4,"SUBTOTAL",$L$5:$AL$5)</f>
        <v>-2.3598360576781428</v>
      </c>
      <c r="AO5" s="20">
        <f ca="1">+'TUSD BE'!$T$5+'TUSD BE'!$AB$5+'TUSD BE'!$AD$5+'TUSD BE'!$AL$5</f>
        <v>52.338742572566609</v>
      </c>
      <c r="AP5" s="20">
        <f ca="1">+'TUSD BE'!$T$5+'TUSD BE'!$AB$5+'TUSD BE'!$AD$5+'TUSD BE'!$AL$5</f>
        <v>52.338742572566609</v>
      </c>
    </row>
    <row r="6" spans="1:42" ht="11.25" customHeight="1" x14ac:dyDescent="0.3">
      <c r="A6" s="137"/>
      <c r="B6" s="137"/>
      <c r="C6" s="137"/>
      <c r="D6" s="137"/>
      <c r="E6" s="137"/>
      <c r="F6" s="137"/>
      <c r="G6" s="18" t="s">
        <v>86</v>
      </c>
      <c r="H6" s="18" t="s">
        <v>84</v>
      </c>
      <c r="I6" s="18">
        <f>'MERCADO TUSD'!$U$3</f>
        <v>4234</v>
      </c>
      <c r="J6" s="15"/>
      <c r="L6" s="13">
        <f>'TUSD BE'!$L$6*'TUSD BE'!$L$70</f>
        <v>0</v>
      </c>
      <c r="M6" s="13">
        <f>'TUSD BE'!$M$6*'TUSD BE'!$M$70</f>
        <v>0</v>
      </c>
      <c r="N6" s="13">
        <f ca="1">'TUSD BE'!$N$6*'TUSD BE'!$N$70</f>
        <v>0</v>
      </c>
      <c r="O6" s="13">
        <f>'TUSD BE'!$O$6*'TUSD BE'!$O$70</f>
        <v>0</v>
      </c>
      <c r="P6" s="13">
        <f>'TUSD BE'!$P$6*'TUSD BE'!$P$70</f>
        <v>0</v>
      </c>
      <c r="Q6" s="13">
        <f>'TUSD BE'!$Q$6*'TUSD BE'!$Q$70</f>
        <v>0</v>
      </c>
      <c r="R6" s="13">
        <f>'TUSD BE'!$R$6*'TUSD BE'!$R$70</f>
        <v>0</v>
      </c>
      <c r="S6" s="13">
        <f>'TUSD BE'!$R$6*'TUSD BE'!$S$70</f>
        <v>0</v>
      </c>
      <c r="T6" s="13">
        <f ca="1">SUM($L$6:$S$6)</f>
        <v>0</v>
      </c>
      <c r="U6" s="13">
        <f>'TUSD BE'!$U$6*'TUSD BE'!$U$70</f>
        <v>-2.9889066068735849E-2</v>
      </c>
      <c r="V6" s="13">
        <f>'TUSD BE'!$V$6*'TUSD BE'!$V$70</f>
        <v>-2.8126919413250191E-2</v>
      </c>
      <c r="W6" s="13">
        <f>'TUSD BE'!$W$6*'TUSD BE'!$W$70</f>
        <v>0</v>
      </c>
      <c r="X6" s="13">
        <f>'TUSD BE'!$X$6*'TUSD BE'!$X$70</f>
        <v>0</v>
      </c>
      <c r="Y6" s="13">
        <f>'TUSD BE'!$Y$6*'TUSD BE'!$Y$70</f>
        <v>0</v>
      </c>
      <c r="Z6" s="13">
        <f>'TUSD BE'!$Z$6*'TUSD BE'!$Z$70</f>
        <v>0</v>
      </c>
      <c r="AA6" s="13">
        <f>'TUSD BE'!$AA$6*'TUSD BE'!$AA$70</f>
        <v>0</v>
      </c>
      <c r="AB6" s="13">
        <f>SUM($U$6:$AA$6)</f>
        <v>-5.801598548198604E-2</v>
      </c>
      <c r="AC6" s="13">
        <f>'TUSD BE'!$AC$6*'TUSD BE'!$AC$70</f>
        <v>0</v>
      </c>
      <c r="AD6" s="13">
        <f>SUM($AC$6:$AC$6)</f>
        <v>0</v>
      </c>
      <c r="AE6" s="13">
        <f ca="1">$AO$6*$AO$67</f>
        <v>-0.93948305983127323</v>
      </c>
      <c r="AF6" s="13">
        <f ca="1">$AP$6*$AP$67</f>
        <v>0</v>
      </c>
      <c r="AG6" s="13">
        <f ca="1">SUM($AE$6:$AF$6)</f>
        <v>-0.93948305983127323</v>
      </c>
      <c r="AH6" s="13">
        <f>'TUSD BE'!$AH$6*'TUSD BE'!$AH$70</f>
        <v>0</v>
      </c>
      <c r="AI6" s="13">
        <f>'TUSD BE'!$AI$6*'TUSD BE'!$AI$70</f>
        <v>0</v>
      </c>
      <c r="AJ6" s="13">
        <f ca="1">'TUSD BE'!$AJ$6*'TUSD BE'!$AJ$70</f>
        <v>0</v>
      </c>
      <c r="AK6" s="13">
        <f ca="1">'TUSD BE'!$AK$6*'TUSD BE'!$AK$70</f>
        <v>0</v>
      </c>
      <c r="AL6" s="13">
        <f ca="1">SUM($AH$6:$AK$6)</f>
        <v>0</v>
      </c>
      <c r="AM6" s="13">
        <f ca="1">SUMIF($L$4:$AL$4,"SUBTOTAL",$L$6:$AL$6)</f>
        <v>-0.99749904531325928</v>
      </c>
      <c r="AO6" s="20">
        <f ca="1">+'TUSD BE'!$T$6+'TUSD BE'!$AB$6+'TUSD BE'!$AD$6+'TUSD BE'!$AL$6</f>
        <v>21.748036760622899</v>
      </c>
      <c r="AP6" s="20">
        <f ca="1">+'TUSD BE'!$T$6+'TUSD BE'!$AB$6+'TUSD BE'!$AD$6+'TUSD BE'!$AL$6</f>
        <v>21.748036760622899</v>
      </c>
    </row>
    <row r="7" spans="1:42" ht="11.25" customHeight="1" x14ac:dyDescent="0.3">
      <c r="A7" s="137"/>
      <c r="B7" s="137"/>
      <c r="C7" s="137"/>
      <c r="D7" s="137"/>
      <c r="E7" s="137"/>
      <c r="F7" s="137"/>
      <c r="G7" s="18" t="s">
        <v>83</v>
      </c>
      <c r="H7" s="18" t="s">
        <v>79</v>
      </c>
      <c r="I7" s="18">
        <f>'MERCADO TUSD'!$U$4</f>
        <v>1760.1130000000001</v>
      </c>
      <c r="J7" s="15"/>
      <c r="L7" s="13">
        <f>'TUSD BE'!$L$7*'TUSD BE'!$L$70</f>
        <v>-0.10411610791539876</v>
      </c>
      <c r="M7" s="13">
        <f>'TUSD BE'!$M$7*'TUSD BE'!$M$70</f>
        <v>2.3429818431922067E-3</v>
      </c>
      <c r="N7" s="13">
        <f ca="1">'TUSD BE'!$N$7*'TUSD BE'!$N$70</f>
        <v>5.3249573966212759E-9</v>
      </c>
      <c r="O7" s="13">
        <f>'TUSD BE'!$O$7*'TUSD BE'!$O$70</f>
        <v>0</v>
      </c>
      <c r="P7" s="13">
        <f>'TUSD BE'!$P$7*'TUSD BE'!$P$70</f>
        <v>0</v>
      </c>
      <c r="Q7" s="13">
        <f>'TUSD BE'!$Q$7*'TUSD BE'!$Q$70</f>
        <v>1.4204634625228039</v>
      </c>
      <c r="R7" s="13">
        <f>'TUSD BE'!$R$7*'TUSD BE'!$R$70</f>
        <v>0.40310841228953048</v>
      </c>
      <c r="S7" s="13">
        <f>'TUSD BE'!$R$7*'TUSD BE'!$S$70</f>
        <v>0</v>
      </c>
      <c r="T7" s="13">
        <f ca="1">SUM($L$7:$S$7)</f>
        <v>1.7217987540650852</v>
      </c>
      <c r="U7" s="13">
        <f>'TUSD BE'!$U$7*'TUSD BE'!$U$70</f>
        <v>0</v>
      </c>
      <c r="V7" s="13">
        <f>'TUSD BE'!$V$7*'TUSD BE'!$V$70</f>
        <v>0</v>
      </c>
      <c r="W7" s="13">
        <f>'TUSD BE'!$W$7*'TUSD BE'!$W$70</f>
        <v>0</v>
      </c>
      <c r="X7" s="13">
        <f>'TUSD BE'!$X$7*'TUSD BE'!$X$70</f>
        <v>0</v>
      </c>
      <c r="Y7" s="13">
        <f>'TUSD BE'!$Y$7*'TUSD BE'!$Y$70</f>
        <v>0</v>
      </c>
      <c r="Z7" s="13">
        <f>'TUSD BE'!$Z$7*'TUSD BE'!$Z$70</f>
        <v>0</v>
      </c>
      <c r="AA7" s="13">
        <f>'TUSD BE'!$AA$7*'TUSD BE'!$AA$70</f>
        <v>0</v>
      </c>
      <c r="AB7" s="13">
        <f>SUM($U$7:$AA$7)</f>
        <v>0</v>
      </c>
      <c r="AC7" s="13">
        <f>'TUSD BE'!$AC$7*'TUSD BE'!$AC$70</f>
        <v>0</v>
      </c>
      <c r="AD7" s="13">
        <f>SUM($AC$7:$AC$7)</f>
        <v>0</v>
      </c>
      <c r="AE7" s="13">
        <f ca="1">$AO$7*$AO$67</f>
        <v>-5.1129232277829155</v>
      </c>
      <c r="AF7" s="13">
        <f ca="1">$AP$7*$AP$67</f>
        <v>0</v>
      </c>
      <c r="AG7" s="13">
        <f ca="1">SUM($AE$7:$AF$7)</f>
        <v>-5.1129232277829155</v>
      </c>
      <c r="AH7" s="13">
        <f>'TUSD BE'!$AH$7*'TUSD BE'!$AH$70</f>
        <v>0.94825685003856086</v>
      </c>
      <c r="AI7" s="13">
        <f>'TUSD BE'!$AI$7*'TUSD BE'!$AI$70</f>
        <v>2.7903683855507361E-2</v>
      </c>
      <c r="AJ7" s="13">
        <f ca="1">'TUSD BE'!$AJ$7*'TUSD BE'!$AJ$70</f>
        <v>8.5410654552989393E-2</v>
      </c>
      <c r="AK7" s="13">
        <f ca="1">'TUSD BE'!$AK$7*'TUSD BE'!$AK$70</f>
        <v>-2.09925014984093E-2</v>
      </c>
      <c r="AL7" s="13">
        <f ca="1">SUM($AH$7:$AK$7)</f>
        <v>1.0405786869486482</v>
      </c>
      <c r="AM7" s="13">
        <f ca="1">SUMIF($L$4:$AL$4,"SUBTOTAL",$L$7:$AL$7)</f>
        <v>-2.3505457867691821</v>
      </c>
      <c r="AO7" s="20">
        <f ca="1">+'TUSD BE'!$T$7+'TUSD BE'!$AB$7+'TUSD BE'!$AD$7+'TUSD BE'!$AL$7</f>
        <v>118.35875181404104</v>
      </c>
      <c r="AP7" s="20">
        <f ca="1">+'TUSD BE'!$T$7+'TUSD BE'!$AB$7+'TUSD BE'!$AD$7+'TUSD BE'!$AL$7</f>
        <v>118.35875181404104</v>
      </c>
    </row>
    <row r="8" spans="1:42" ht="11.25" customHeight="1" x14ac:dyDescent="0.3">
      <c r="A8" s="137"/>
      <c r="B8" s="137"/>
      <c r="C8" s="137"/>
      <c r="D8" s="137"/>
      <c r="E8" s="17" t="s">
        <v>87</v>
      </c>
      <c r="F8" s="17" t="s">
        <v>25</v>
      </c>
      <c r="G8" s="18" t="s">
        <v>83</v>
      </c>
      <c r="H8" s="18" t="s">
        <v>79</v>
      </c>
      <c r="I8" s="18">
        <f>'MERCADO TUSD'!$U$5</f>
        <v>0</v>
      </c>
      <c r="J8" s="15"/>
      <c r="L8" s="13">
        <f>'TUSD BE'!$L$8*'TUSD BE'!$L$70</f>
        <v>0</v>
      </c>
      <c r="M8" s="13">
        <f>'TUSD BE'!$M$8*'TUSD BE'!$M$70</f>
        <v>2.3429818431922067E-3</v>
      </c>
      <c r="N8" s="13">
        <f ca="1">'TUSD BE'!$N$8*'TUSD BE'!$N$70</f>
        <v>5.1240475737926074E-9</v>
      </c>
      <c r="O8" s="13">
        <f>'TUSD BE'!$O$8*'TUSD BE'!$O$70</f>
        <v>0</v>
      </c>
      <c r="P8" s="13">
        <f>'TUSD BE'!$P$8*'TUSD BE'!$P$70</f>
        <v>0</v>
      </c>
      <c r="Q8" s="13">
        <f>'TUSD BE'!$Q$8*'TUSD BE'!$Q$70</f>
        <v>0</v>
      </c>
      <c r="R8" s="13">
        <f>'TUSD BE'!$R$8*'TUSD BE'!$R$70</f>
        <v>0</v>
      </c>
      <c r="S8" s="13">
        <f>'TUSD BE'!$R$8*'TUSD BE'!$S$70</f>
        <v>0</v>
      </c>
      <c r="T8" s="13">
        <f ca="1">SUM($L$8:$S$8)</f>
        <v>2.3429869672397805E-3</v>
      </c>
      <c r="U8" s="13">
        <f>'TUSD BE'!$U$8*'TUSD BE'!$U$70</f>
        <v>0</v>
      </c>
      <c r="V8" s="13">
        <f>'TUSD BE'!$V$8*'TUSD BE'!$V$70</f>
        <v>0</v>
      </c>
      <c r="W8" s="13">
        <f>'TUSD BE'!$W$8*'TUSD BE'!$W$70</f>
        <v>0</v>
      </c>
      <c r="X8" s="13">
        <f>'TUSD BE'!$X$8*'TUSD BE'!$X$70</f>
        <v>0</v>
      </c>
      <c r="Y8" s="13">
        <f>'TUSD BE'!$Y$8*'TUSD BE'!$Y$70</f>
        <v>0</v>
      </c>
      <c r="Z8" s="13">
        <f>'TUSD BE'!$Z$8*'TUSD BE'!$Z$70</f>
        <v>0</v>
      </c>
      <c r="AA8" s="13">
        <f>'TUSD BE'!$AA$8*'TUSD BE'!$AA$70</f>
        <v>0</v>
      </c>
      <c r="AB8" s="13">
        <f>SUM($U$8:$AA$8)</f>
        <v>0</v>
      </c>
      <c r="AC8" s="13">
        <f>'TUSD BE'!$AC$8*'TUSD BE'!$AC$70</f>
        <v>0</v>
      </c>
      <c r="AD8" s="13">
        <f>SUM($AC$8:$AC$8)</f>
        <v>0</v>
      </c>
      <c r="AE8" s="13">
        <f ca="1">$AO$8*$AO$67</f>
        <v>-0.5968285265562624</v>
      </c>
      <c r="AF8" s="13">
        <f ca="1">$AP$8*$AP$67</f>
        <v>0</v>
      </c>
      <c r="AG8" s="13">
        <f ca="1">SUM($AE$8:$AF$8)</f>
        <v>-0.5968285265562624</v>
      </c>
      <c r="AH8" s="13">
        <f>'TUSD BE'!$AH$8*'TUSD BE'!$AH$70</f>
        <v>0.94825685003856086</v>
      </c>
      <c r="AI8" s="13">
        <f>'TUSD BE'!$AI$8*'TUSD BE'!$AI$70</f>
        <v>2.7903683855507361E-2</v>
      </c>
      <c r="AJ8" s="13">
        <f ca="1">'TUSD BE'!$AJ$8*'TUSD BE'!$AJ$70</f>
        <v>8.5410654552989393E-2</v>
      </c>
      <c r="AK8" s="13">
        <f ca="1">'TUSD BE'!$AK$8*'TUSD BE'!$AK$70</f>
        <v>-2.09925014984093E-2</v>
      </c>
      <c r="AL8" s="13">
        <f ca="1">SUM($AH$8:$AK$8)</f>
        <v>1.0405786869486482</v>
      </c>
      <c r="AM8" s="13">
        <f ca="1">SUMIF($L$4:$AL$4,"SUBTOTAL",$L$8:$AL$8)</f>
        <v>0.44609314735962557</v>
      </c>
      <c r="AO8" s="20">
        <f ca="1">+'TUSD BE'!$T$8+'TUSD BE'!$AB$8+'TUSD BE'!$AD$8+'TUSD BE'!$AL$8</f>
        <v>13.815947610236968</v>
      </c>
      <c r="AP8" s="20">
        <f ca="1">+'TUSD BE'!$T$8+'TUSD BE'!$AB$8+'TUSD BE'!$AD$8+'TUSD BE'!$AL$8</f>
        <v>13.815947610236968</v>
      </c>
    </row>
    <row r="9" spans="1:42" ht="11.25" customHeight="1" x14ac:dyDescent="0.3">
      <c r="A9" s="137"/>
      <c r="B9" s="17" t="s">
        <v>60</v>
      </c>
      <c r="C9" s="17" t="s">
        <v>25</v>
      </c>
      <c r="D9" s="17" t="s">
        <v>25</v>
      </c>
      <c r="E9" s="17" t="s">
        <v>25</v>
      </c>
      <c r="F9" s="17" t="s">
        <v>25</v>
      </c>
      <c r="G9" s="18" t="s">
        <v>9</v>
      </c>
      <c r="H9" s="18" t="s">
        <v>84</v>
      </c>
      <c r="I9" s="18">
        <f>'MERCADO TUSD'!$U$6</f>
        <v>36120</v>
      </c>
      <c r="J9" s="15"/>
      <c r="L9" s="13">
        <f>'TUSD BE'!$L$9*'TUSD BE'!$L$70</f>
        <v>0</v>
      </c>
      <c r="M9" s="13">
        <f>'TUSD BE'!$M$9*'TUSD BE'!$M$70</f>
        <v>3.2429097696743948E-4</v>
      </c>
      <c r="N9" s="13">
        <f ca="1">'TUSD BE'!$N$9*'TUSD BE'!$N$70</f>
        <v>3.4998491136753881E-9</v>
      </c>
      <c r="O9" s="13">
        <f>'TUSD BE'!$O$9*'TUSD BE'!$O$70</f>
        <v>0</v>
      </c>
      <c r="P9" s="13">
        <f>'TUSD BE'!$P$9*'TUSD BE'!$P$70</f>
        <v>0</v>
      </c>
      <c r="Q9" s="13">
        <f>'TUSD BE'!$Q$9*'TUSD BE'!$Q$70</f>
        <v>0</v>
      </c>
      <c r="R9" s="13">
        <f>'TUSD BE'!$R$9*'TUSD BE'!$R$70</f>
        <v>0</v>
      </c>
      <c r="S9" s="13">
        <f>'TUSD BE'!$R$9*'TUSD BE'!$S$70</f>
        <v>0</v>
      </c>
      <c r="T9" s="13">
        <f ca="1">SUM($L$9:$S$9)</f>
        <v>3.2429447681655318E-4</v>
      </c>
      <c r="U9" s="13">
        <f>'TUSD BE'!$U$9*'TUSD BE'!$U$70</f>
        <v>0</v>
      </c>
      <c r="V9" s="13">
        <f>'TUSD BE'!$V$9*'TUSD BE'!$V$70</f>
        <v>0</v>
      </c>
      <c r="W9" s="13">
        <f>'TUSD BE'!$W$9*'TUSD BE'!$W$70</f>
        <v>0</v>
      </c>
      <c r="X9" s="13">
        <f>'TUSD BE'!$X$9*'TUSD BE'!$X$70</f>
        <v>0</v>
      </c>
      <c r="Y9" s="13">
        <f>'TUSD BE'!$Y$9*'TUSD BE'!$Y$70</f>
        <v>0</v>
      </c>
      <c r="Z9" s="13">
        <f>'TUSD BE'!$Z$9*'TUSD BE'!$Z$70</f>
        <v>0</v>
      </c>
      <c r="AA9" s="13">
        <f>'TUSD BE'!$AA$9*'TUSD BE'!$AA$70</f>
        <v>0</v>
      </c>
      <c r="AB9" s="13">
        <f>SUM($U$9:$AA$9)</f>
        <v>0</v>
      </c>
      <c r="AC9" s="13">
        <f>'TUSD BE'!$AC$9*'TUSD BE'!$AC$70</f>
        <v>0</v>
      </c>
      <c r="AD9" s="13">
        <f>SUM($AC$9:$AC$9)</f>
        <v>0</v>
      </c>
      <c r="AE9" s="13">
        <f ca="1">$AO$9*$AO$67</f>
        <v>-0.56148140367372812</v>
      </c>
      <c r="AF9" s="13">
        <f ca="1">$AP$9*$AP$67</f>
        <v>0</v>
      </c>
      <c r="AG9" s="13">
        <f ca="1">SUM($AE$9:$AF$9)</f>
        <v>-0.56148140367372812</v>
      </c>
      <c r="AH9" s="13">
        <f>'TUSD BE'!$AH$9*'TUSD BE'!$AH$70</f>
        <v>5.6055781633113663E-4</v>
      </c>
      <c r="AI9" s="13">
        <f>'TUSD BE'!$AI$9*'TUSD BE'!$AI$70</f>
        <v>0</v>
      </c>
      <c r="AJ9" s="13">
        <f ca="1">'TUSD BE'!$AJ$9*'TUSD BE'!$AJ$70</f>
        <v>0</v>
      </c>
      <c r="AK9" s="13">
        <f ca="1">'TUSD BE'!$AK$9*'TUSD BE'!$AK$70</f>
        <v>0</v>
      </c>
      <c r="AL9" s="13">
        <f ca="1">SUM($AH$9:$AK$9)</f>
        <v>5.6055781633113663E-4</v>
      </c>
      <c r="AM9" s="13">
        <f ca="1">SUMIF($L$4:$AL$4,"SUBTOTAL",$L$9:$AL$9)</f>
        <v>-0.5605965513805804</v>
      </c>
      <c r="AO9" s="20">
        <f ca="1">+'TUSD BE'!$T$9+'TUSD BE'!$AB$9+'TUSD BE'!$AD$9+'TUSD BE'!$AL$9</f>
        <v>12.997699191825177</v>
      </c>
      <c r="AP9" s="20">
        <f ca="1">+'TUSD BE'!$T$9+'TUSD BE'!$AB$9+'TUSD BE'!$AD$9+'TUSD BE'!$AL$9</f>
        <v>12.997699191825177</v>
      </c>
    </row>
    <row r="10" spans="1:42" ht="11.25" customHeight="1" x14ac:dyDescent="0.3">
      <c r="A10" s="137"/>
      <c r="B10" s="137" t="s">
        <v>40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18" t="s">
        <v>9</v>
      </c>
      <c r="H10" s="18" t="s">
        <v>84</v>
      </c>
      <c r="I10" s="18">
        <f>'MERCADO TUSD'!$U$7</f>
        <v>685</v>
      </c>
      <c r="J10" s="15"/>
      <c r="L10" s="13">
        <f>'TUSD BE'!$L$10*'TUSD BE'!$L$70</f>
        <v>0</v>
      </c>
      <c r="M10" s="13">
        <f>'TUSD BE'!$M$10*'TUSD BE'!$M$70</f>
        <v>0</v>
      </c>
      <c r="N10" s="13">
        <f ca="1">'TUSD BE'!$N$10*'TUSD BE'!$N$70</f>
        <v>0</v>
      </c>
      <c r="O10" s="13">
        <f>'TUSD BE'!$O$10*'TUSD BE'!$O$70</f>
        <v>0</v>
      </c>
      <c r="P10" s="13">
        <f>'TUSD BE'!$P$10*'TUSD BE'!$P$70</f>
        <v>0</v>
      </c>
      <c r="Q10" s="13">
        <f>'TUSD BE'!$Q$10*'TUSD BE'!$Q$70</f>
        <v>0</v>
      </c>
      <c r="R10" s="13">
        <f>'TUSD BE'!$R$10*'TUSD BE'!$R$70</f>
        <v>0</v>
      </c>
      <c r="S10" s="13">
        <f>'TUSD BE'!$R$10*'TUSD BE'!$S$70</f>
        <v>0</v>
      </c>
      <c r="T10" s="13">
        <f ca="1">SUM($L$10:$S$10)</f>
        <v>0</v>
      </c>
      <c r="U10" s="13">
        <f>'TUSD BE'!$U$10*'TUSD BE'!$U$70</f>
        <v>-2.9889066068735849E-2</v>
      </c>
      <c r="V10" s="13">
        <f>'TUSD BE'!$V$10*'TUSD BE'!$V$70</f>
        <v>-2.8126919413250191E-2</v>
      </c>
      <c r="W10" s="13">
        <f>'TUSD BE'!$W$10*'TUSD BE'!$W$70</f>
        <v>0</v>
      </c>
      <c r="X10" s="13">
        <f>'TUSD BE'!$X$10*'TUSD BE'!$X$70</f>
        <v>0</v>
      </c>
      <c r="Y10" s="13">
        <f>'TUSD BE'!$Y$10*'TUSD BE'!$Y$70</f>
        <v>0</v>
      </c>
      <c r="Z10" s="13">
        <f>'TUSD BE'!$Z$10*'TUSD BE'!$Z$70</f>
        <v>0</v>
      </c>
      <c r="AA10" s="13">
        <f>'TUSD BE'!$AA$10*'TUSD BE'!$AA$70</f>
        <v>0</v>
      </c>
      <c r="AB10" s="13">
        <f>SUM($U$10:$AA$10)</f>
        <v>-5.801598548198604E-2</v>
      </c>
      <c r="AC10" s="13">
        <f>'TUSD BE'!$AC$10*'TUSD BE'!$AC$70</f>
        <v>0</v>
      </c>
      <c r="AD10" s="13">
        <f>SUM($AC$10:$AC$10)</f>
        <v>0</v>
      </c>
      <c r="AE10" s="13">
        <f ca="1">$AO$10*$AO$67</f>
        <v>-0.93948305983127323</v>
      </c>
      <c r="AF10" s="13">
        <f ca="1">$AP$10*$AP$67</f>
        <v>0</v>
      </c>
      <c r="AG10" s="13">
        <f ca="1">SUM($AE$10:$AF$10)</f>
        <v>-0.93948305983127323</v>
      </c>
      <c r="AH10" s="13">
        <f>'TUSD BE'!$AH$10*'TUSD BE'!$AH$70</f>
        <v>0</v>
      </c>
      <c r="AI10" s="13">
        <f>'TUSD BE'!$AI$10*'TUSD BE'!$AI$70</f>
        <v>0</v>
      </c>
      <c r="AJ10" s="13">
        <f ca="1">'TUSD BE'!$AJ$10*'TUSD BE'!$AJ$70</f>
        <v>0</v>
      </c>
      <c r="AK10" s="13">
        <f ca="1">'TUSD BE'!$AK$10*'TUSD BE'!$AK$70</f>
        <v>0</v>
      </c>
      <c r="AL10" s="13">
        <f ca="1">SUM($AH$10:$AK$10)</f>
        <v>0</v>
      </c>
      <c r="AM10" s="13">
        <f ca="1">SUMIF($L$4:$AL$4,"SUBTOTAL",$L$10:$AL$10)</f>
        <v>-0.99749904531325928</v>
      </c>
      <c r="AO10" s="20">
        <f ca="1">+'TUSD BE'!$T$10+'TUSD BE'!$AB$10+'TUSD BE'!$AD$10+'TUSD BE'!$AL$10</f>
        <v>21.748036760622899</v>
      </c>
      <c r="AP10" s="20">
        <f ca="1">+'TUSD BE'!$T$10+'TUSD BE'!$AB$10+'TUSD BE'!$AD$10+'TUSD BE'!$AL$10</f>
        <v>21.748036760622899</v>
      </c>
    </row>
    <row r="11" spans="1:42" ht="11.25" customHeight="1" x14ac:dyDescent="0.3">
      <c r="A11" s="137"/>
      <c r="B11" s="137"/>
      <c r="C11" s="137"/>
      <c r="D11" s="137"/>
      <c r="E11" s="137"/>
      <c r="F11" s="137"/>
      <c r="G11" s="18" t="s">
        <v>80</v>
      </c>
      <c r="H11" s="18" t="s">
        <v>79</v>
      </c>
      <c r="I11" s="18">
        <f>'MERCADO TUSD'!$U$8</f>
        <v>5.4909999999999997</v>
      </c>
      <c r="J11" s="15"/>
      <c r="L11" s="13">
        <f>'TUSD BE'!$L$11*'TUSD BE'!$L$70</f>
        <v>-0.10411610791539876</v>
      </c>
      <c r="M11" s="13">
        <f>'TUSD BE'!$M$11*'TUSD BE'!$M$70</f>
        <v>2.3429818431922067E-3</v>
      </c>
      <c r="N11" s="13">
        <f ca="1">'TUSD BE'!$N$11*'TUSD BE'!$N$70</f>
        <v>2.249584847725827E-7</v>
      </c>
      <c r="O11" s="13">
        <f>'TUSD BE'!$O$11*'TUSD BE'!$O$70</f>
        <v>0</v>
      </c>
      <c r="P11" s="13">
        <f>'TUSD BE'!$P$11*'TUSD BE'!$P$70</f>
        <v>0</v>
      </c>
      <c r="Q11" s="13">
        <f>'TUSD BE'!$Q$11*'TUSD BE'!$Q$70</f>
        <v>1.4204634625228039</v>
      </c>
      <c r="R11" s="13">
        <f>'TUSD BE'!$R$11*'TUSD BE'!$R$70</f>
        <v>0.40310841228953048</v>
      </c>
      <c r="S11" s="13">
        <f>'TUSD BE'!$R$11*'TUSD BE'!$S$70</f>
        <v>0</v>
      </c>
      <c r="T11" s="13">
        <f ca="1">SUM($L$11:$S$11)</f>
        <v>1.7217989736986126</v>
      </c>
      <c r="U11" s="13">
        <f>'TUSD BE'!$U$11*'TUSD BE'!$U$70</f>
        <v>-1.246023006702369</v>
      </c>
      <c r="V11" s="13">
        <f>'TUSD BE'!$V$11*'TUSD BE'!$V$70</f>
        <v>-1.1320248477313397</v>
      </c>
      <c r="W11" s="13">
        <f>'TUSD BE'!$W$11*'TUSD BE'!$W$70</f>
        <v>0</v>
      </c>
      <c r="X11" s="13">
        <f>'TUSD BE'!$X$11*'TUSD BE'!$X$70</f>
        <v>0</v>
      </c>
      <c r="Y11" s="13">
        <f>'TUSD BE'!$Y$11*'TUSD BE'!$Y$70</f>
        <v>0</v>
      </c>
      <c r="Z11" s="13">
        <f>'TUSD BE'!$Z$11*'TUSD BE'!$Z$70</f>
        <v>0</v>
      </c>
      <c r="AA11" s="13">
        <f>'TUSD BE'!$AA$11*'TUSD BE'!$AA$70</f>
        <v>0</v>
      </c>
      <c r="AB11" s="13">
        <f>SUM($U$11:$AA$11)</f>
        <v>-2.3780478544337087</v>
      </c>
      <c r="AC11" s="13">
        <f>'TUSD BE'!$AC$11*'TUSD BE'!$AC$70</f>
        <v>0</v>
      </c>
      <c r="AD11" s="13">
        <f>SUM($AC$11:$AC$11)</f>
        <v>0</v>
      </c>
      <c r="AE11" s="13">
        <f ca="1">$AO$11*$AO$67</f>
        <v>-60.043198301429882</v>
      </c>
      <c r="AF11" s="13">
        <f ca="1">$AP$11*$AP$67</f>
        <v>0</v>
      </c>
      <c r="AG11" s="13">
        <f ca="1">SUM($AE$11:$AF$11)</f>
        <v>-60.043198301429882</v>
      </c>
      <c r="AH11" s="13">
        <f>'TUSD BE'!$AH$11*'TUSD BE'!$AH$70</f>
        <v>0.94825685003856086</v>
      </c>
      <c r="AI11" s="13">
        <f>'TUSD BE'!$AI$11*'TUSD BE'!$AI$70</f>
        <v>2.7903683855507361E-2</v>
      </c>
      <c r="AJ11" s="13">
        <f ca="1">'TUSD BE'!$AJ$11*'TUSD BE'!$AJ$70</f>
        <v>8.5410654552989393E-2</v>
      </c>
      <c r="AK11" s="13">
        <f ca="1">'TUSD BE'!$AK$11*'TUSD BE'!$AK$70</f>
        <v>-2.09925014984093E-2</v>
      </c>
      <c r="AL11" s="13">
        <f ca="1">SUM($AH$11:$AK$11)</f>
        <v>1.0405786869486482</v>
      </c>
      <c r="AM11" s="13">
        <f ca="1">SUMIF($L$4:$AL$4,"SUBTOTAL",$L$11:$AL$11)</f>
        <v>-59.658868495216332</v>
      </c>
      <c r="AO11" s="20">
        <f ca="1">+'TUSD BE'!$T$11+'TUSD BE'!$AB$11+'TUSD BE'!$AD$11+'TUSD BE'!$AL$11</f>
        <v>1389.9363806723529</v>
      </c>
      <c r="AP11" s="20">
        <f ca="1">+'TUSD BE'!$T$11+'TUSD BE'!$AB$11+'TUSD BE'!$AD$11+'TUSD BE'!$AL$11</f>
        <v>1389.9363806723529</v>
      </c>
    </row>
    <row r="12" spans="1:42" ht="11.25" customHeight="1" x14ac:dyDescent="0.3">
      <c r="A12" s="137"/>
      <c r="B12" s="137"/>
      <c r="C12" s="137"/>
      <c r="D12" s="137"/>
      <c r="E12" s="137"/>
      <c r="F12" s="137"/>
      <c r="G12" s="18" t="s">
        <v>81</v>
      </c>
      <c r="H12" s="18" t="s">
        <v>79</v>
      </c>
      <c r="I12" s="18">
        <f>'MERCADO TUSD'!$U$9</f>
        <v>46.585999999999999</v>
      </c>
      <c r="J12" s="15"/>
      <c r="L12" s="13">
        <f>'TUSD BE'!$L$12*'TUSD BE'!$L$70</f>
        <v>-0.10411610791539876</v>
      </c>
      <c r="M12" s="13">
        <f>'TUSD BE'!$M$12*'TUSD BE'!$M$70</f>
        <v>2.3429818431922067E-3</v>
      </c>
      <c r="N12" s="13">
        <f ca="1">'TUSD BE'!$N$12*'TUSD BE'!$N$70</f>
        <v>5.3249573966212759E-9</v>
      </c>
      <c r="O12" s="13">
        <f>'TUSD BE'!$O$12*'TUSD BE'!$O$70</f>
        <v>0</v>
      </c>
      <c r="P12" s="13">
        <f>'TUSD BE'!$P$12*'TUSD BE'!$P$70</f>
        <v>0</v>
      </c>
      <c r="Q12" s="13">
        <f>'TUSD BE'!$Q$12*'TUSD BE'!$Q$70</f>
        <v>1.4204634625228039</v>
      </c>
      <c r="R12" s="13">
        <f>'TUSD BE'!$R$12*'TUSD BE'!$R$70</f>
        <v>0.40310841228953048</v>
      </c>
      <c r="S12" s="13">
        <f>'TUSD BE'!$R$12*'TUSD BE'!$S$70</f>
        <v>0</v>
      </c>
      <c r="T12" s="13">
        <f ca="1">SUM($L$12:$S$12)</f>
        <v>1.7217987540650852</v>
      </c>
      <c r="U12" s="13">
        <f>'TUSD BE'!$U$12*'TUSD BE'!$U$70</f>
        <v>0</v>
      </c>
      <c r="V12" s="13">
        <f>'TUSD BE'!$V$12*'TUSD BE'!$V$70</f>
        <v>0</v>
      </c>
      <c r="W12" s="13">
        <f>'TUSD BE'!$W$12*'TUSD BE'!$W$70</f>
        <v>0</v>
      </c>
      <c r="X12" s="13">
        <f>'TUSD BE'!$X$12*'TUSD BE'!$X$70</f>
        <v>0</v>
      </c>
      <c r="Y12" s="13">
        <f>'TUSD BE'!$Y$12*'TUSD BE'!$Y$70</f>
        <v>0</v>
      </c>
      <c r="Z12" s="13">
        <f>'TUSD BE'!$Z$12*'TUSD BE'!$Z$70</f>
        <v>0</v>
      </c>
      <c r="AA12" s="13">
        <f>'TUSD BE'!$AA$12*'TUSD BE'!$AA$70</f>
        <v>0</v>
      </c>
      <c r="AB12" s="13">
        <f>SUM($U$12:$AA$12)</f>
        <v>0</v>
      </c>
      <c r="AC12" s="13">
        <f>'TUSD BE'!$AC$12*'TUSD BE'!$AC$70</f>
        <v>0</v>
      </c>
      <c r="AD12" s="13">
        <f>SUM($AC$12:$AC$12)</f>
        <v>0</v>
      </c>
      <c r="AE12" s="13">
        <f ca="1">$AO$12*$AO$67</f>
        <v>-5.1129232277829155</v>
      </c>
      <c r="AF12" s="13">
        <f ca="1">$AP$12*$AP$67</f>
        <v>0</v>
      </c>
      <c r="AG12" s="13">
        <f ca="1">SUM($AE$12:$AF$12)</f>
        <v>-5.1129232277829155</v>
      </c>
      <c r="AH12" s="13">
        <f>'TUSD BE'!$AH$12*'TUSD BE'!$AH$70</f>
        <v>0.94825685003856086</v>
      </c>
      <c r="AI12" s="13">
        <f>'TUSD BE'!$AI$12*'TUSD BE'!$AI$70</f>
        <v>2.7903683855507361E-2</v>
      </c>
      <c r="AJ12" s="13">
        <f ca="1">'TUSD BE'!$AJ$12*'TUSD BE'!$AJ$70</f>
        <v>8.5410654552989393E-2</v>
      </c>
      <c r="AK12" s="13">
        <f ca="1">'TUSD BE'!$AK$12*'TUSD BE'!$AK$70</f>
        <v>-2.09925014984093E-2</v>
      </c>
      <c r="AL12" s="13">
        <f ca="1">SUM($AH$12:$AK$12)</f>
        <v>1.0405786869486482</v>
      </c>
      <c r="AM12" s="13">
        <f ca="1">SUMIF($L$4:$AL$4,"SUBTOTAL",$L$12:$AL$12)</f>
        <v>-2.3505457867691821</v>
      </c>
      <c r="AO12" s="20">
        <f ca="1">+'TUSD BE'!$T$12+'TUSD BE'!$AB$12+'TUSD BE'!$AD$12+'TUSD BE'!$AL$12</f>
        <v>118.35875181404104</v>
      </c>
      <c r="AP12" s="20">
        <f ca="1">+'TUSD BE'!$T$12+'TUSD BE'!$AB$12+'TUSD BE'!$AD$12+'TUSD BE'!$AL$12</f>
        <v>118.35875181404104</v>
      </c>
    </row>
    <row r="13" spans="1:42" ht="11.25" customHeight="1" x14ac:dyDescent="0.3">
      <c r="A13" s="137"/>
      <c r="B13" s="137"/>
      <c r="C13" s="137"/>
      <c r="D13" s="137"/>
      <c r="E13" s="137" t="s">
        <v>87</v>
      </c>
      <c r="F13" s="137" t="s">
        <v>25</v>
      </c>
      <c r="G13" s="18" t="s">
        <v>80</v>
      </c>
      <c r="H13" s="18" t="s">
        <v>79</v>
      </c>
      <c r="I13" s="18">
        <f>'MERCADO TUSD'!$U$10</f>
        <v>0</v>
      </c>
      <c r="J13" s="15"/>
      <c r="L13" s="13">
        <f>'TUSD BE'!$L$13*'TUSD BE'!$L$70</f>
        <v>0</v>
      </c>
      <c r="M13" s="13">
        <f>'TUSD BE'!$M$13*'TUSD BE'!$M$70</f>
        <v>2.3429818431922067E-3</v>
      </c>
      <c r="N13" s="13">
        <f ca="1">'TUSD BE'!$N$13*'TUSD BE'!$N$70</f>
        <v>2.2475757494975401E-7</v>
      </c>
      <c r="O13" s="13">
        <f>'TUSD BE'!$O$13*'TUSD BE'!$O$70</f>
        <v>0</v>
      </c>
      <c r="P13" s="13">
        <f>'TUSD BE'!$P$13*'TUSD BE'!$P$70</f>
        <v>0</v>
      </c>
      <c r="Q13" s="13">
        <f>'TUSD BE'!$Q$13*'TUSD BE'!$Q$70</f>
        <v>0</v>
      </c>
      <c r="R13" s="13">
        <f>'TUSD BE'!$R$13*'TUSD BE'!$R$70</f>
        <v>0</v>
      </c>
      <c r="S13" s="13">
        <f>'TUSD BE'!$R$13*'TUSD BE'!$S$70</f>
        <v>0</v>
      </c>
      <c r="T13" s="13">
        <f ca="1">SUM($L$13:$S$13)</f>
        <v>2.3432066007671565E-3</v>
      </c>
      <c r="U13" s="13">
        <f>'TUSD BE'!$U$13*'TUSD BE'!$U$70</f>
        <v>-1.246023006702369</v>
      </c>
      <c r="V13" s="13">
        <f>'TUSD BE'!$V$13*'TUSD BE'!$V$70</f>
        <v>-1.1320248477313397</v>
      </c>
      <c r="W13" s="13">
        <f>'TUSD BE'!$W$13*'TUSD BE'!$W$70</f>
        <v>0</v>
      </c>
      <c r="X13" s="13">
        <f>'TUSD BE'!$X$13*'TUSD BE'!$X$70</f>
        <v>0</v>
      </c>
      <c r="Y13" s="13">
        <f>'TUSD BE'!$Y$13*'TUSD BE'!$Y$70</f>
        <v>0</v>
      </c>
      <c r="Z13" s="13">
        <f>'TUSD BE'!$Z$13*'TUSD BE'!$Z$70</f>
        <v>0</v>
      </c>
      <c r="AA13" s="13">
        <f>'TUSD BE'!$AA$13*'TUSD BE'!$AA$70</f>
        <v>0</v>
      </c>
      <c r="AB13" s="13">
        <f>SUM($U$13:$AA$13)</f>
        <v>-2.3780478544337087</v>
      </c>
      <c r="AC13" s="13">
        <f>'TUSD BE'!$AC$13*'TUSD BE'!$AC$70</f>
        <v>0</v>
      </c>
      <c r="AD13" s="13">
        <f>SUM($AC$13:$AC$13)</f>
        <v>0</v>
      </c>
      <c r="AE13" s="13">
        <f ca="1">$AO$13*$AO$67</f>
        <v>-55.527103600203233</v>
      </c>
      <c r="AF13" s="13">
        <f ca="1">$AP$13*$AP$67</f>
        <v>0</v>
      </c>
      <c r="AG13" s="13">
        <f ca="1">SUM($AE$13:$AF$13)</f>
        <v>-55.527103600203233</v>
      </c>
      <c r="AH13" s="13">
        <f>'TUSD BE'!$AH$13*'TUSD BE'!$AH$70</f>
        <v>0.94825685003856086</v>
      </c>
      <c r="AI13" s="13">
        <f>'TUSD BE'!$AI$13*'TUSD BE'!$AI$70</f>
        <v>2.7903683855507361E-2</v>
      </c>
      <c r="AJ13" s="13">
        <f ca="1">'TUSD BE'!$AJ$13*'TUSD BE'!$AJ$70</f>
        <v>8.5410654552989393E-2</v>
      </c>
      <c r="AK13" s="13">
        <f ca="1">'TUSD BE'!$AK$13*'TUSD BE'!$AK$70</f>
        <v>-2.09925014984093E-2</v>
      </c>
      <c r="AL13" s="13">
        <f ca="1">SUM($AH$13:$AK$13)</f>
        <v>1.0405786869486482</v>
      </c>
      <c r="AM13" s="13">
        <f ca="1">SUMIF($L$4:$AL$4,"SUBTOTAL",$L$13:$AL$13)</f>
        <v>-56.862229561087524</v>
      </c>
      <c r="AO13" s="20">
        <f ca="1">+'TUSD BE'!$T$13+'TUSD BE'!$AB$13+'TUSD BE'!$AD$13+'TUSD BE'!$AL$13</f>
        <v>1285.3935764685489</v>
      </c>
      <c r="AP13" s="20">
        <f ca="1">+'TUSD BE'!$T$13+'TUSD BE'!$AB$13+'TUSD BE'!$AD$13+'TUSD BE'!$AL$13</f>
        <v>1285.3935764685489</v>
      </c>
    </row>
    <row r="14" spans="1:42" ht="11.25" customHeight="1" x14ac:dyDescent="0.3">
      <c r="A14" s="137"/>
      <c r="B14" s="137"/>
      <c r="C14" s="137"/>
      <c r="D14" s="137"/>
      <c r="E14" s="137"/>
      <c r="F14" s="137"/>
      <c r="G14" s="18" t="s">
        <v>81</v>
      </c>
      <c r="H14" s="18" t="s">
        <v>79</v>
      </c>
      <c r="I14" s="18">
        <f>'MERCADO TUSD'!$U$11</f>
        <v>0</v>
      </c>
      <c r="J14" s="15"/>
      <c r="L14" s="13">
        <f>'TUSD BE'!$L$14*'TUSD BE'!$L$70</f>
        <v>0</v>
      </c>
      <c r="M14" s="13">
        <f>'TUSD BE'!$M$14*'TUSD BE'!$M$70</f>
        <v>2.3429818431922067E-3</v>
      </c>
      <c r="N14" s="13">
        <f ca="1">'TUSD BE'!$N$14*'TUSD BE'!$N$70</f>
        <v>5.1240475737926074E-9</v>
      </c>
      <c r="O14" s="13">
        <f>'TUSD BE'!$O$14*'TUSD BE'!$O$70</f>
        <v>0</v>
      </c>
      <c r="P14" s="13">
        <f>'TUSD BE'!$P$14*'TUSD BE'!$P$70</f>
        <v>0</v>
      </c>
      <c r="Q14" s="13">
        <f>'TUSD BE'!$Q$14*'TUSD BE'!$Q$70</f>
        <v>0</v>
      </c>
      <c r="R14" s="13">
        <f>'TUSD BE'!$R$14*'TUSD BE'!$R$70</f>
        <v>0</v>
      </c>
      <c r="S14" s="13">
        <f>'TUSD BE'!$R$14*'TUSD BE'!$S$70</f>
        <v>0</v>
      </c>
      <c r="T14" s="13">
        <f ca="1">SUM($L$14:$S$14)</f>
        <v>2.3429869672397805E-3</v>
      </c>
      <c r="U14" s="13">
        <f>'TUSD BE'!$U$14*'TUSD BE'!$U$70</f>
        <v>0</v>
      </c>
      <c r="V14" s="13">
        <f>'TUSD BE'!$V$14*'TUSD BE'!$V$70</f>
        <v>0</v>
      </c>
      <c r="W14" s="13">
        <f>'TUSD BE'!$W$14*'TUSD BE'!$W$70</f>
        <v>0</v>
      </c>
      <c r="X14" s="13">
        <f>'TUSD BE'!$X$14*'TUSD BE'!$X$70</f>
        <v>0</v>
      </c>
      <c r="Y14" s="13">
        <f>'TUSD BE'!$Y$14*'TUSD BE'!$Y$70</f>
        <v>0</v>
      </c>
      <c r="Z14" s="13">
        <f>'TUSD BE'!$Z$14*'TUSD BE'!$Z$70</f>
        <v>0</v>
      </c>
      <c r="AA14" s="13">
        <f>'TUSD BE'!$AA$14*'TUSD BE'!$AA$70</f>
        <v>0</v>
      </c>
      <c r="AB14" s="13">
        <f>SUM($U$14:$AA$14)</f>
        <v>0</v>
      </c>
      <c r="AC14" s="13">
        <f>'TUSD BE'!$AC$14*'TUSD BE'!$AC$70</f>
        <v>0</v>
      </c>
      <c r="AD14" s="13">
        <f>SUM($AC$14:$AC$14)</f>
        <v>0</v>
      </c>
      <c r="AE14" s="13">
        <f ca="1">$AO$14*$AO$67</f>
        <v>-0.5968285265562624</v>
      </c>
      <c r="AF14" s="13">
        <f ca="1">$AP$14*$AP$67</f>
        <v>0</v>
      </c>
      <c r="AG14" s="13">
        <f ca="1">SUM($AE$14:$AF$14)</f>
        <v>-0.5968285265562624</v>
      </c>
      <c r="AH14" s="13">
        <f>'TUSD BE'!$AH$14*'TUSD BE'!$AH$70</f>
        <v>0.94825685003856086</v>
      </c>
      <c r="AI14" s="13">
        <f>'TUSD BE'!$AI$14*'TUSD BE'!$AI$70</f>
        <v>2.7903683855507361E-2</v>
      </c>
      <c r="AJ14" s="13">
        <f ca="1">'TUSD BE'!$AJ$14*'TUSD BE'!$AJ$70</f>
        <v>8.5410654552989393E-2</v>
      </c>
      <c r="AK14" s="13">
        <f ca="1">'TUSD BE'!$AK$14*'TUSD BE'!$AK$70</f>
        <v>-2.09925014984093E-2</v>
      </c>
      <c r="AL14" s="13">
        <f ca="1">SUM($AH$14:$AK$14)</f>
        <v>1.0405786869486482</v>
      </c>
      <c r="AM14" s="13">
        <f ca="1">SUMIF($L$4:$AL$4,"SUBTOTAL",$L$14:$AL$14)</f>
        <v>0.44609314735962557</v>
      </c>
      <c r="AO14" s="20">
        <f ca="1">+'TUSD BE'!$T$14+'TUSD BE'!$AB$14+'TUSD BE'!$AD$14+'TUSD BE'!$AL$14</f>
        <v>13.815947610236968</v>
      </c>
      <c r="AP14" s="20">
        <f ca="1">+'TUSD BE'!$T$14+'TUSD BE'!$AB$14+'TUSD BE'!$AD$14+'TUSD BE'!$AL$14</f>
        <v>13.815947610236968</v>
      </c>
    </row>
    <row r="15" spans="1:42" ht="11.25" customHeight="1" x14ac:dyDescent="0.3">
      <c r="A15" s="137"/>
      <c r="B15" s="137" t="s">
        <v>23</v>
      </c>
      <c r="C15" s="137" t="s">
        <v>25</v>
      </c>
      <c r="D15" s="137" t="s">
        <v>25</v>
      </c>
      <c r="E15" s="137" t="s">
        <v>25</v>
      </c>
      <c r="F15" s="137" t="s">
        <v>25</v>
      </c>
      <c r="G15" s="18" t="s">
        <v>9</v>
      </c>
      <c r="H15" s="18" t="s">
        <v>84</v>
      </c>
      <c r="I15" s="18">
        <f>'MERCADO TUSD'!$U$12</f>
        <v>0</v>
      </c>
      <c r="J15" s="15"/>
      <c r="L15" s="13">
        <f>'TUSD BE'!$L$15*'TUSD BE'!$L$70</f>
        <v>0</v>
      </c>
      <c r="M15" s="13">
        <f>'TUSD BE'!$M$15*'TUSD BE'!$M$70</f>
        <v>0</v>
      </c>
      <c r="N15" s="13">
        <f ca="1">'TUSD BE'!$N$15*'TUSD BE'!$N$70</f>
        <v>0</v>
      </c>
      <c r="O15" s="13">
        <f>'TUSD BE'!$O$15*'TUSD BE'!$O$70</f>
        <v>0</v>
      </c>
      <c r="P15" s="13">
        <f>'TUSD BE'!$P$15*'TUSD BE'!$P$70</f>
        <v>0</v>
      </c>
      <c r="Q15" s="13">
        <f>'TUSD BE'!$Q$15*'TUSD BE'!$Q$70</f>
        <v>0</v>
      </c>
      <c r="R15" s="13">
        <f>'TUSD BE'!$R$15*'TUSD BE'!$R$70</f>
        <v>0</v>
      </c>
      <c r="S15" s="13">
        <f>'TUSD BE'!$R$15*'TUSD BE'!$S$70</f>
        <v>0</v>
      </c>
      <c r="T15" s="13">
        <f ca="1">SUM($L$15:$S$15)</f>
        <v>0</v>
      </c>
      <c r="U15" s="13">
        <f>'TUSD BE'!$U$15*'TUSD BE'!$U$70</f>
        <v>-6.7191928438802881E-2</v>
      </c>
      <c r="V15" s="13">
        <f>'TUSD BE'!$V$15*'TUSD BE'!$V$70</f>
        <v>-6.2016990407382719E-2</v>
      </c>
      <c r="W15" s="13">
        <f>'TUSD BE'!$W$15*'TUSD BE'!$W$70</f>
        <v>0</v>
      </c>
      <c r="X15" s="13">
        <f>'TUSD BE'!$X$15*'TUSD BE'!$X$70</f>
        <v>0</v>
      </c>
      <c r="Y15" s="13">
        <f>'TUSD BE'!$Y$15*'TUSD BE'!$Y$70</f>
        <v>0</v>
      </c>
      <c r="Z15" s="13">
        <f>'TUSD BE'!$Z$15*'TUSD BE'!$Z$70</f>
        <v>0</v>
      </c>
      <c r="AA15" s="13">
        <f>'TUSD BE'!$AA$15*'TUSD BE'!$AA$70</f>
        <v>0</v>
      </c>
      <c r="AB15" s="13">
        <f>SUM($U$15:$AA$15)</f>
        <v>-0.1292089188461856</v>
      </c>
      <c r="AC15" s="13">
        <f>'TUSD BE'!$AC$15*'TUSD BE'!$AC$70</f>
        <v>0</v>
      </c>
      <c r="AD15" s="13">
        <f>SUM($AC$15:$AC$15)</f>
        <v>0</v>
      </c>
      <c r="AE15" s="13">
        <f ca="1">$AO$15*$AO$67</f>
        <v>-2.5673699869641209</v>
      </c>
      <c r="AF15" s="13">
        <f ca="1">$AP$15*$AP$67</f>
        <v>0</v>
      </c>
      <c r="AG15" s="13">
        <f ca="1">SUM($AE$15:$AF$15)</f>
        <v>-2.5673699869641209</v>
      </c>
      <c r="AH15" s="13">
        <f>'TUSD BE'!$AH$15*'TUSD BE'!$AH$70</f>
        <v>0</v>
      </c>
      <c r="AI15" s="13">
        <f>'TUSD BE'!$AI$15*'TUSD BE'!$AI$70</f>
        <v>0</v>
      </c>
      <c r="AJ15" s="13">
        <f ca="1">'TUSD BE'!$AJ$15*'TUSD BE'!$AJ$70</f>
        <v>0</v>
      </c>
      <c r="AK15" s="13">
        <f ca="1">'TUSD BE'!$AK$15*'TUSD BE'!$AK$70</f>
        <v>0</v>
      </c>
      <c r="AL15" s="13">
        <f ca="1">SUM($AH$15:$AK$15)</f>
        <v>0</v>
      </c>
      <c r="AM15" s="13">
        <f ca="1">SUMIF($L$4:$AL$4,"SUBTOTAL",$L$15:$AL$15)</f>
        <v>-2.6965789058103065</v>
      </c>
      <c r="AO15" s="20">
        <f ca="1">+'TUSD BE'!$T$15+'TUSD BE'!$AB$15+'TUSD BE'!$AD$15+'TUSD BE'!$AL$15</f>
        <v>59.431893178194599</v>
      </c>
      <c r="AP15" s="20">
        <f ca="1">+'TUSD BE'!$T$15+'TUSD BE'!$AB$15+'TUSD BE'!$AD$15+'TUSD BE'!$AL$15</f>
        <v>59.431893178194599</v>
      </c>
    </row>
    <row r="16" spans="1:42" ht="11.25" customHeight="1" x14ac:dyDescent="0.3">
      <c r="A16" s="137"/>
      <c r="B16" s="137"/>
      <c r="C16" s="137"/>
      <c r="D16" s="137"/>
      <c r="E16" s="137"/>
      <c r="F16" s="137"/>
      <c r="G16" s="18" t="s">
        <v>83</v>
      </c>
      <c r="H16" s="18" t="s">
        <v>79</v>
      </c>
      <c r="I16" s="18">
        <f>'MERCADO TUSD'!$U$13</f>
        <v>0</v>
      </c>
      <c r="J16" s="15"/>
      <c r="L16" s="13">
        <f>'TUSD BE'!$L$16*'TUSD BE'!$L$70</f>
        <v>-0.10411610791539876</v>
      </c>
      <c r="M16" s="13">
        <f>'TUSD BE'!$M$16*'TUSD BE'!$M$70</f>
        <v>2.3429818431922067E-3</v>
      </c>
      <c r="N16" s="13">
        <f ca="1">'TUSD BE'!$N$16*'TUSD BE'!$N$70</f>
        <v>5.3249573966212759E-9</v>
      </c>
      <c r="O16" s="13">
        <f>'TUSD BE'!$O$16*'TUSD BE'!$O$70</f>
        <v>0</v>
      </c>
      <c r="P16" s="13">
        <f>'TUSD BE'!$P$16*'TUSD BE'!$P$70</f>
        <v>0</v>
      </c>
      <c r="Q16" s="13">
        <f>'TUSD BE'!$Q$16*'TUSD BE'!$Q$70</f>
        <v>1.4204634625228039</v>
      </c>
      <c r="R16" s="13">
        <f>'TUSD BE'!$R$16*'TUSD BE'!$R$70</f>
        <v>0.40310841228953048</v>
      </c>
      <c r="S16" s="13">
        <f>'TUSD BE'!$R$16*'TUSD BE'!$S$70</f>
        <v>0</v>
      </c>
      <c r="T16" s="13">
        <f ca="1">SUM($L$16:$S$16)</f>
        <v>1.7217987540650852</v>
      </c>
      <c r="U16" s="13">
        <f>'TUSD BE'!$U$16*'TUSD BE'!$U$70</f>
        <v>0</v>
      </c>
      <c r="V16" s="13">
        <f>'TUSD BE'!$V$16*'TUSD BE'!$V$70</f>
        <v>0</v>
      </c>
      <c r="W16" s="13">
        <f>'TUSD BE'!$W$16*'TUSD BE'!$W$70</f>
        <v>0</v>
      </c>
      <c r="X16" s="13">
        <f>'TUSD BE'!$X$16*'TUSD BE'!$X$70</f>
        <v>0</v>
      </c>
      <c r="Y16" s="13">
        <f>'TUSD BE'!$Y$16*'TUSD BE'!$Y$70</f>
        <v>0</v>
      </c>
      <c r="Z16" s="13">
        <f>'TUSD BE'!$Z$16*'TUSD BE'!$Z$70</f>
        <v>0</v>
      </c>
      <c r="AA16" s="13">
        <f>'TUSD BE'!$AA$16*'TUSD BE'!$AA$70</f>
        <v>0</v>
      </c>
      <c r="AB16" s="13">
        <f>SUM($U$16:$AA$16)</f>
        <v>0</v>
      </c>
      <c r="AC16" s="13">
        <f>'TUSD BE'!$AC$16*'TUSD BE'!$AC$70</f>
        <v>0</v>
      </c>
      <c r="AD16" s="13">
        <f>SUM($AC$16:$AC$16)</f>
        <v>0</v>
      </c>
      <c r="AE16" s="13">
        <f ca="1">$AO$16*$AO$67</f>
        <v>-5.1129232277829155</v>
      </c>
      <c r="AF16" s="13">
        <f ca="1">$AP$16*$AP$67</f>
        <v>0</v>
      </c>
      <c r="AG16" s="13">
        <f ca="1">SUM($AE$16:$AF$16)</f>
        <v>-5.1129232277829155</v>
      </c>
      <c r="AH16" s="13">
        <f>'TUSD BE'!$AH$16*'TUSD BE'!$AH$70</f>
        <v>0.94825685003856086</v>
      </c>
      <c r="AI16" s="13">
        <f>'TUSD BE'!$AI$16*'TUSD BE'!$AI$70</f>
        <v>2.7903683855507361E-2</v>
      </c>
      <c r="AJ16" s="13">
        <f ca="1">'TUSD BE'!$AJ$16*'TUSD BE'!$AJ$70</f>
        <v>8.5410654552989393E-2</v>
      </c>
      <c r="AK16" s="13">
        <f ca="1">'TUSD BE'!$AK$16*'TUSD BE'!$AK$70</f>
        <v>-2.09925014984093E-2</v>
      </c>
      <c r="AL16" s="13">
        <f ca="1">SUM($AH$16:$AK$16)</f>
        <v>1.0405786869486482</v>
      </c>
      <c r="AM16" s="13">
        <f ca="1">SUMIF($L$4:$AL$4,"SUBTOTAL",$L$16:$AL$16)</f>
        <v>-2.3505457867691821</v>
      </c>
      <c r="AO16" s="20">
        <f ca="1">+'TUSD BE'!$T$16+'TUSD BE'!$AB$16+'TUSD BE'!$AD$16+'TUSD BE'!$AL$16</f>
        <v>118.35875181404104</v>
      </c>
      <c r="AP16" s="20">
        <f ca="1">+'TUSD BE'!$T$16+'TUSD BE'!$AB$16+'TUSD BE'!$AD$16+'TUSD BE'!$AL$16</f>
        <v>118.35875181404104</v>
      </c>
    </row>
    <row r="17" spans="1:42" ht="11.25" customHeight="1" x14ac:dyDescent="0.3">
      <c r="A17" s="137" t="s">
        <v>39</v>
      </c>
      <c r="B17" s="137" t="s">
        <v>42</v>
      </c>
      <c r="C17" s="137" t="s">
        <v>25</v>
      </c>
      <c r="D17" s="137" t="s">
        <v>25</v>
      </c>
      <c r="E17" s="137" t="s">
        <v>25</v>
      </c>
      <c r="F17" s="137" t="s">
        <v>25</v>
      </c>
      <c r="G17" s="18" t="s">
        <v>85</v>
      </c>
      <c r="H17" s="18" t="s">
        <v>84</v>
      </c>
      <c r="I17" s="18">
        <f>'MERCADO TUSD'!$U$14</f>
        <v>6798</v>
      </c>
      <c r="J17" s="15"/>
      <c r="L17" s="13">
        <f>'TUSD BE'!$L$17*'TUSD BE'!$L$70</f>
        <v>0</v>
      </c>
      <c r="M17" s="13">
        <f>'TUSD BE'!$M$17*'TUSD BE'!$M$70</f>
        <v>0</v>
      </c>
      <c r="N17" s="13">
        <f ca="1">'TUSD BE'!$N$17*'TUSD BE'!$N$70</f>
        <v>0</v>
      </c>
      <c r="O17" s="13">
        <f>'TUSD BE'!$O$17*'TUSD BE'!$O$70</f>
        <v>0</v>
      </c>
      <c r="P17" s="13">
        <f>'TUSD BE'!$P$17*'TUSD BE'!$P$70</f>
        <v>0</v>
      </c>
      <c r="Q17" s="13">
        <f>'TUSD BE'!$Q$17*'TUSD BE'!$Q$70</f>
        <v>0</v>
      </c>
      <c r="R17" s="13">
        <f>'TUSD BE'!$R$17*'TUSD BE'!$R$70</f>
        <v>0</v>
      </c>
      <c r="S17" s="13">
        <f>'TUSD BE'!$R$17*'TUSD BE'!$S$70</f>
        <v>0</v>
      </c>
      <c r="T17" s="13">
        <f ca="1">SUM($L$17:$S$17)</f>
        <v>0</v>
      </c>
      <c r="U17" s="13">
        <f>'TUSD BE'!$U$17*'TUSD BE'!$U$70</f>
        <v>-5.1809720293537094E-2</v>
      </c>
      <c r="V17" s="13">
        <f>'TUSD BE'!$V$17*'TUSD BE'!$V$70</f>
        <v>-4.706997792019111E-2</v>
      </c>
      <c r="W17" s="13">
        <f>'TUSD BE'!$W$17*'TUSD BE'!$W$70</f>
        <v>0</v>
      </c>
      <c r="X17" s="13">
        <f>'TUSD BE'!$X$17*'TUSD BE'!$X$70</f>
        <v>0</v>
      </c>
      <c r="Y17" s="13">
        <f>'TUSD BE'!$Y$17*'TUSD BE'!$Y$70</f>
        <v>0</v>
      </c>
      <c r="Z17" s="13">
        <f>'TUSD BE'!$Z$17*'TUSD BE'!$Z$70</f>
        <v>0</v>
      </c>
      <c r="AA17" s="13">
        <f>'TUSD BE'!$AA$17*'TUSD BE'!$AA$70</f>
        <v>0</v>
      </c>
      <c r="AB17" s="13">
        <f>SUM($U$17:$AA$17)</f>
        <v>-9.8879698213728204E-2</v>
      </c>
      <c r="AC17" s="13">
        <f>'TUSD BE'!$AC$17*'TUSD BE'!$AC$70</f>
        <v>0</v>
      </c>
      <c r="AD17" s="13">
        <f>SUM($AC$17:$AC$17)</f>
        <v>0</v>
      </c>
      <c r="AE17" s="13">
        <f ca="1">$AO$17*$AO$67</f>
        <v>-2.2609563594644144</v>
      </c>
      <c r="AF17" s="13">
        <f ca="1">$AP$17*$AP$67</f>
        <v>0</v>
      </c>
      <c r="AG17" s="13">
        <f ca="1">SUM($AE$17:$AF$17)</f>
        <v>-2.2609563594644144</v>
      </c>
      <c r="AH17" s="13">
        <f>'TUSD BE'!$AH$17*'TUSD BE'!$AH$70</f>
        <v>0</v>
      </c>
      <c r="AI17" s="13">
        <f>'TUSD BE'!$AI$17*'TUSD BE'!$AI$70</f>
        <v>0</v>
      </c>
      <c r="AJ17" s="13">
        <f ca="1">'TUSD BE'!$AJ$17*'TUSD BE'!$AJ$70</f>
        <v>0</v>
      </c>
      <c r="AK17" s="13">
        <f ca="1">'TUSD BE'!$AK$17*'TUSD BE'!$AK$70</f>
        <v>0</v>
      </c>
      <c r="AL17" s="13">
        <f ca="1">SUM($AH$17:$AK$17)</f>
        <v>0</v>
      </c>
      <c r="AM17" s="13">
        <f ca="1">SUMIF($L$4:$AL$4,"SUBTOTAL",$L$17:$AL$17)</f>
        <v>-2.3598360576781428</v>
      </c>
      <c r="AO17" s="20">
        <f ca="1">+'TUSD BE'!$T$17+'TUSD BE'!$AB$17+'TUSD BE'!$AD$17+'TUSD BE'!$AL$17</f>
        <v>52.338742572566609</v>
      </c>
      <c r="AP17" s="20">
        <f ca="1">+'TUSD BE'!$T$17+'TUSD BE'!$AB$17+'TUSD BE'!$AD$17+'TUSD BE'!$AL$17</f>
        <v>52.338742572566609</v>
      </c>
    </row>
    <row r="18" spans="1:42" ht="11.25" customHeight="1" x14ac:dyDescent="0.3">
      <c r="A18" s="137"/>
      <c r="B18" s="137"/>
      <c r="C18" s="137"/>
      <c r="D18" s="137"/>
      <c r="E18" s="137"/>
      <c r="F18" s="137"/>
      <c r="G18" s="18" t="s">
        <v>86</v>
      </c>
      <c r="H18" s="18" t="s">
        <v>84</v>
      </c>
      <c r="I18" s="18">
        <f>'MERCADO TUSD'!$U$15</f>
        <v>6877</v>
      </c>
      <c r="J18" s="15"/>
      <c r="L18" s="13">
        <f>'TUSD BE'!$L$18*'TUSD BE'!$L$70</f>
        <v>0</v>
      </c>
      <c r="M18" s="13">
        <f>'TUSD BE'!$M$18*'TUSD BE'!$M$70</f>
        <v>0</v>
      </c>
      <c r="N18" s="13">
        <f ca="1">'TUSD BE'!$N$18*'TUSD BE'!$N$70</f>
        <v>0</v>
      </c>
      <c r="O18" s="13">
        <f>'TUSD BE'!$O$18*'TUSD BE'!$O$70</f>
        <v>0</v>
      </c>
      <c r="P18" s="13">
        <f>'TUSD BE'!$P$18*'TUSD BE'!$P$70</f>
        <v>0</v>
      </c>
      <c r="Q18" s="13">
        <f>'TUSD BE'!$Q$18*'TUSD BE'!$Q$70</f>
        <v>0</v>
      </c>
      <c r="R18" s="13">
        <f>'TUSD BE'!$R$18*'TUSD BE'!$R$70</f>
        <v>0</v>
      </c>
      <c r="S18" s="13">
        <f>'TUSD BE'!$R$18*'TUSD BE'!$S$70</f>
        <v>0</v>
      </c>
      <c r="T18" s="13">
        <f ca="1">SUM($L$18:$S$18)</f>
        <v>0</v>
      </c>
      <c r="U18" s="13">
        <f>'TUSD BE'!$U$18*'TUSD BE'!$U$70</f>
        <v>-2.9889066068735849E-2</v>
      </c>
      <c r="V18" s="13">
        <f>'TUSD BE'!$V$18*'TUSD BE'!$V$70</f>
        <v>-2.8126919413250191E-2</v>
      </c>
      <c r="W18" s="13">
        <f>'TUSD BE'!$W$18*'TUSD BE'!$W$70</f>
        <v>0</v>
      </c>
      <c r="X18" s="13">
        <f>'TUSD BE'!$X$18*'TUSD BE'!$X$70</f>
        <v>0</v>
      </c>
      <c r="Y18" s="13">
        <f>'TUSD BE'!$Y$18*'TUSD BE'!$Y$70</f>
        <v>0</v>
      </c>
      <c r="Z18" s="13">
        <f>'TUSD BE'!$Z$18*'TUSD BE'!$Z$70</f>
        <v>0</v>
      </c>
      <c r="AA18" s="13">
        <f>'TUSD BE'!$AA$18*'TUSD BE'!$AA$70</f>
        <v>0</v>
      </c>
      <c r="AB18" s="13">
        <f>SUM($U$18:$AA$18)</f>
        <v>-5.801598548198604E-2</v>
      </c>
      <c r="AC18" s="13">
        <f>'TUSD BE'!$AC$18*'TUSD BE'!$AC$70</f>
        <v>0</v>
      </c>
      <c r="AD18" s="13">
        <f>SUM($AC$18:$AC$18)</f>
        <v>0</v>
      </c>
      <c r="AE18" s="13">
        <f ca="1">$AO$18*$AO$67</f>
        <v>-0.93948305983127323</v>
      </c>
      <c r="AF18" s="13">
        <f ca="1">$AP$18*$AP$67</f>
        <v>0</v>
      </c>
      <c r="AG18" s="13">
        <f ca="1">SUM($AE$18:$AF$18)</f>
        <v>-0.93948305983127323</v>
      </c>
      <c r="AH18" s="13">
        <f>'TUSD BE'!$AH$18*'TUSD BE'!$AH$70</f>
        <v>0</v>
      </c>
      <c r="AI18" s="13">
        <f>'TUSD BE'!$AI$18*'TUSD BE'!$AI$70</f>
        <v>0</v>
      </c>
      <c r="AJ18" s="13">
        <f ca="1">'TUSD BE'!$AJ$18*'TUSD BE'!$AJ$70</f>
        <v>0</v>
      </c>
      <c r="AK18" s="13">
        <f ca="1">'TUSD BE'!$AK$18*'TUSD BE'!$AK$70</f>
        <v>0</v>
      </c>
      <c r="AL18" s="13">
        <f ca="1">SUM($AH$18:$AK$18)</f>
        <v>0</v>
      </c>
      <c r="AM18" s="13">
        <f ca="1">SUMIF($L$4:$AL$4,"SUBTOTAL",$L$18:$AL$18)</f>
        <v>-0.99749904531325928</v>
      </c>
      <c r="AO18" s="20">
        <f ca="1">+'TUSD BE'!$T$18+'TUSD BE'!$AB$18+'TUSD BE'!$AD$18+'TUSD BE'!$AL$18</f>
        <v>21.748036760622899</v>
      </c>
      <c r="AP18" s="20">
        <f ca="1">+'TUSD BE'!$T$18+'TUSD BE'!$AB$18+'TUSD BE'!$AD$18+'TUSD BE'!$AL$18</f>
        <v>21.748036760622899</v>
      </c>
    </row>
    <row r="19" spans="1:42" ht="11.25" customHeight="1" x14ac:dyDescent="0.3">
      <c r="A19" s="137"/>
      <c r="B19" s="137"/>
      <c r="C19" s="137"/>
      <c r="D19" s="137"/>
      <c r="E19" s="137"/>
      <c r="F19" s="137"/>
      <c r="G19" s="18" t="s">
        <v>83</v>
      </c>
      <c r="H19" s="18" t="s">
        <v>79</v>
      </c>
      <c r="I19" s="18">
        <f>'MERCADO TUSD'!$U$16</f>
        <v>3550.4059999999995</v>
      </c>
      <c r="J19" s="15"/>
      <c r="L19" s="13">
        <f>'TUSD BE'!$L$19*'TUSD BE'!$L$70</f>
        <v>-0.10411610791539876</v>
      </c>
      <c r="M19" s="13">
        <f>'TUSD BE'!$M$19*'TUSD BE'!$M$70</f>
        <v>2.3429818431922067E-3</v>
      </c>
      <c r="N19" s="13">
        <f ca="1">'TUSD BE'!$N$19*'TUSD BE'!$N$70</f>
        <v>5.3249573966212759E-9</v>
      </c>
      <c r="O19" s="13">
        <f>'TUSD BE'!$O$19*'TUSD BE'!$O$70</f>
        <v>0</v>
      </c>
      <c r="P19" s="13">
        <f>'TUSD BE'!$P$19*'TUSD BE'!$P$70</f>
        <v>0</v>
      </c>
      <c r="Q19" s="13">
        <f>'TUSD BE'!$Q$19*'TUSD BE'!$Q$70</f>
        <v>1.4204634625228039</v>
      </c>
      <c r="R19" s="13">
        <f>'TUSD BE'!$R$19*'TUSD BE'!$R$70</f>
        <v>0.40310841228953048</v>
      </c>
      <c r="S19" s="13">
        <f>'TUSD BE'!$R$19*'TUSD BE'!$S$70</f>
        <v>0</v>
      </c>
      <c r="T19" s="13">
        <f ca="1">SUM($L$19:$S$19)</f>
        <v>1.7217987540650852</v>
      </c>
      <c r="U19" s="13">
        <f>'TUSD BE'!$U$19*'TUSD BE'!$U$70</f>
        <v>0</v>
      </c>
      <c r="V19" s="13">
        <f>'TUSD BE'!$V$19*'TUSD BE'!$V$70</f>
        <v>0</v>
      </c>
      <c r="W19" s="13">
        <f>'TUSD BE'!$W$19*'TUSD BE'!$W$70</f>
        <v>0</v>
      </c>
      <c r="X19" s="13">
        <f>'TUSD BE'!$X$19*'TUSD BE'!$X$70</f>
        <v>0</v>
      </c>
      <c r="Y19" s="13">
        <f>'TUSD BE'!$Y$19*'TUSD BE'!$Y$70</f>
        <v>0</v>
      </c>
      <c r="Z19" s="13">
        <f>'TUSD BE'!$Z$19*'TUSD BE'!$Z$70</f>
        <v>0</v>
      </c>
      <c r="AA19" s="13">
        <f>'TUSD BE'!$AA$19*'TUSD BE'!$AA$70</f>
        <v>0</v>
      </c>
      <c r="AB19" s="13">
        <f>SUM($U$19:$AA$19)</f>
        <v>0</v>
      </c>
      <c r="AC19" s="13">
        <f>'TUSD BE'!$AC$19*'TUSD BE'!$AC$70</f>
        <v>0</v>
      </c>
      <c r="AD19" s="13">
        <f>SUM($AC$19:$AC$19)</f>
        <v>0</v>
      </c>
      <c r="AE19" s="13">
        <f ca="1">$AO$19*$AO$67</f>
        <v>-5.1129232277829155</v>
      </c>
      <c r="AF19" s="13">
        <f ca="1">$AP$19*$AP$67</f>
        <v>0</v>
      </c>
      <c r="AG19" s="13">
        <f ca="1">SUM($AE$19:$AF$19)</f>
        <v>-5.1129232277829155</v>
      </c>
      <c r="AH19" s="13">
        <f>'TUSD BE'!$AH$19*'TUSD BE'!$AH$70</f>
        <v>0.94825685003856086</v>
      </c>
      <c r="AI19" s="13">
        <f>'TUSD BE'!$AI$19*'TUSD BE'!$AI$70</f>
        <v>2.7903683855507361E-2</v>
      </c>
      <c r="AJ19" s="13">
        <f ca="1">'TUSD BE'!$AJ$19*'TUSD BE'!$AJ$70</f>
        <v>8.5410654552989393E-2</v>
      </c>
      <c r="AK19" s="13">
        <f ca="1">'TUSD BE'!$AK$19*'TUSD BE'!$AK$70</f>
        <v>-2.09925014984093E-2</v>
      </c>
      <c r="AL19" s="13">
        <f ca="1">SUM($AH$19:$AK$19)</f>
        <v>1.0405786869486482</v>
      </c>
      <c r="AM19" s="13">
        <f ca="1">SUMIF($L$4:$AL$4,"SUBTOTAL",$L$19:$AL$19)</f>
        <v>-2.3505457867691821</v>
      </c>
      <c r="AO19" s="20">
        <f ca="1">+'TUSD BE'!$T$19+'TUSD BE'!$AB$19+'TUSD BE'!$AD$19+'TUSD BE'!$AL$19</f>
        <v>118.35875181404104</v>
      </c>
      <c r="AP19" s="20">
        <f ca="1">+'TUSD BE'!$T$19+'TUSD BE'!$AB$19+'TUSD BE'!$AD$19+'TUSD BE'!$AL$19</f>
        <v>118.35875181404104</v>
      </c>
    </row>
    <row r="20" spans="1:42" ht="11.25" customHeight="1" x14ac:dyDescent="0.3">
      <c r="A20" s="137"/>
      <c r="B20" s="137"/>
      <c r="C20" s="137"/>
      <c r="D20" s="137"/>
      <c r="E20" s="17" t="s">
        <v>87</v>
      </c>
      <c r="F20" s="17" t="s">
        <v>25</v>
      </c>
      <c r="G20" s="18" t="s">
        <v>83</v>
      </c>
      <c r="H20" s="18" t="s">
        <v>79</v>
      </c>
      <c r="I20" s="18">
        <f>'MERCADO TUSD'!$U$17</f>
        <v>0</v>
      </c>
      <c r="J20" s="15"/>
      <c r="L20" s="13">
        <f>'TUSD BE'!$L$20*'TUSD BE'!$L$70</f>
        <v>0</v>
      </c>
      <c r="M20" s="13">
        <f>'TUSD BE'!$M$20*'TUSD BE'!$M$70</f>
        <v>2.3429818431922067E-3</v>
      </c>
      <c r="N20" s="13">
        <f ca="1">'TUSD BE'!$N$20*'TUSD BE'!$N$70</f>
        <v>5.1240475737926074E-9</v>
      </c>
      <c r="O20" s="13">
        <f>'TUSD BE'!$O$20*'TUSD BE'!$O$70</f>
        <v>0</v>
      </c>
      <c r="P20" s="13">
        <f>'TUSD BE'!$P$20*'TUSD BE'!$P$70</f>
        <v>0</v>
      </c>
      <c r="Q20" s="13">
        <f>'TUSD BE'!$Q$20*'TUSD BE'!$Q$70</f>
        <v>0</v>
      </c>
      <c r="R20" s="13">
        <f>'TUSD BE'!$R$20*'TUSD BE'!$R$70</f>
        <v>0</v>
      </c>
      <c r="S20" s="13">
        <f>'TUSD BE'!$R$20*'TUSD BE'!$S$70</f>
        <v>0</v>
      </c>
      <c r="T20" s="13">
        <f ca="1">SUM($L$20:$S$20)</f>
        <v>2.3429869672397805E-3</v>
      </c>
      <c r="U20" s="13">
        <f>'TUSD BE'!$U$20*'TUSD BE'!$U$70</f>
        <v>0</v>
      </c>
      <c r="V20" s="13">
        <f>'TUSD BE'!$V$20*'TUSD BE'!$V$70</f>
        <v>0</v>
      </c>
      <c r="W20" s="13">
        <f>'TUSD BE'!$W$20*'TUSD BE'!$W$70</f>
        <v>0</v>
      </c>
      <c r="X20" s="13">
        <f>'TUSD BE'!$X$20*'TUSD BE'!$X$70</f>
        <v>0</v>
      </c>
      <c r="Y20" s="13">
        <f>'TUSD BE'!$Y$20*'TUSD BE'!$Y$70</f>
        <v>0</v>
      </c>
      <c r="Z20" s="13">
        <f>'TUSD BE'!$Z$20*'TUSD BE'!$Z$70</f>
        <v>0</v>
      </c>
      <c r="AA20" s="13">
        <f>'TUSD BE'!$AA$20*'TUSD BE'!$AA$70</f>
        <v>0</v>
      </c>
      <c r="AB20" s="13">
        <f>SUM($U$20:$AA$20)</f>
        <v>0</v>
      </c>
      <c r="AC20" s="13">
        <f>'TUSD BE'!$AC$20*'TUSD BE'!$AC$70</f>
        <v>0</v>
      </c>
      <c r="AD20" s="13">
        <f>SUM($AC$20:$AC$20)</f>
        <v>0</v>
      </c>
      <c r="AE20" s="13">
        <f ca="1">$AO$20*$AO$67</f>
        <v>-0.5968285265562624</v>
      </c>
      <c r="AF20" s="13">
        <f ca="1">$AP$20*$AP$67</f>
        <v>0</v>
      </c>
      <c r="AG20" s="13">
        <f ca="1">SUM($AE$20:$AF$20)</f>
        <v>-0.5968285265562624</v>
      </c>
      <c r="AH20" s="13">
        <f>'TUSD BE'!$AH$20*'TUSD BE'!$AH$70</f>
        <v>0.94825685003856086</v>
      </c>
      <c r="AI20" s="13">
        <f>'TUSD BE'!$AI$20*'TUSD BE'!$AI$70</f>
        <v>2.7903683855507361E-2</v>
      </c>
      <c r="AJ20" s="13">
        <f ca="1">'TUSD BE'!$AJ$20*'TUSD BE'!$AJ$70</f>
        <v>8.5410654552989393E-2</v>
      </c>
      <c r="AK20" s="13">
        <f ca="1">'TUSD BE'!$AK$20*'TUSD BE'!$AK$70</f>
        <v>-2.09925014984093E-2</v>
      </c>
      <c r="AL20" s="13">
        <f ca="1">SUM($AH$20:$AK$20)</f>
        <v>1.0405786869486482</v>
      </c>
      <c r="AM20" s="13">
        <f ca="1">SUMIF($L$4:$AL$4,"SUBTOTAL",$L$20:$AL$20)</f>
        <v>0.44609314735962557</v>
      </c>
      <c r="AO20" s="20">
        <f ca="1">+'TUSD BE'!$T$20+'TUSD BE'!$AB$20+'TUSD BE'!$AD$20+'TUSD BE'!$AL$20</f>
        <v>13.815947610236968</v>
      </c>
      <c r="AP20" s="20">
        <f ca="1">+'TUSD BE'!$T$20+'TUSD BE'!$AB$20+'TUSD BE'!$AD$20+'TUSD BE'!$AL$20</f>
        <v>13.815947610236968</v>
      </c>
    </row>
    <row r="21" spans="1:42" ht="11.25" customHeight="1" x14ac:dyDescent="0.3">
      <c r="A21" s="137"/>
      <c r="B21" s="17" t="s">
        <v>60</v>
      </c>
      <c r="C21" s="17" t="s">
        <v>25</v>
      </c>
      <c r="D21" s="17" t="s">
        <v>25</v>
      </c>
      <c r="E21" s="17" t="s">
        <v>25</v>
      </c>
      <c r="F21" s="17" t="s">
        <v>25</v>
      </c>
      <c r="G21" s="18" t="s">
        <v>9</v>
      </c>
      <c r="H21" s="18" t="s">
        <v>84</v>
      </c>
      <c r="I21" s="18">
        <f>'MERCADO TUSD'!$U$18</f>
        <v>0</v>
      </c>
      <c r="J21" s="15"/>
      <c r="L21" s="13">
        <f>'TUSD BE'!$L$21*'TUSD BE'!$L$70</f>
        <v>0</v>
      </c>
      <c r="M21" s="13">
        <f>'TUSD BE'!$M$21*'TUSD BE'!$M$70</f>
        <v>3.2429097696743948E-4</v>
      </c>
      <c r="N21" s="13">
        <f ca="1">'TUSD BE'!$N$21*'TUSD BE'!$N$70</f>
        <v>3.4998491136753881E-9</v>
      </c>
      <c r="O21" s="13">
        <f>'TUSD BE'!$O$21*'TUSD BE'!$O$70</f>
        <v>0</v>
      </c>
      <c r="P21" s="13">
        <f>'TUSD BE'!$P$21*'TUSD BE'!$P$70</f>
        <v>0</v>
      </c>
      <c r="Q21" s="13">
        <f>'TUSD BE'!$Q$21*'TUSD BE'!$Q$70</f>
        <v>0</v>
      </c>
      <c r="R21" s="13">
        <f>'TUSD BE'!$R$21*'TUSD BE'!$R$70</f>
        <v>0</v>
      </c>
      <c r="S21" s="13">
        <f>'TUSD BE'!$R$21*'TUSD BE'!$S$70</f>
        <v>0</v>
      </c>
      <c r="T21" s="13">
        <f ca="1">SUM($L$21:$S$21)</f>
        <v>3.2429447681655318E-4</v>
      </c>
      <c r="U21" s="13">
        <f>'TUSD BE'!$U$21*'TUSD BE'!$U$70</f>
        <v>0</v>
      </c>
      <c r="V21" s="13">
        <f>'TUSD BE'!$V$21*'TUSD BE'!$V$70</f>
        <v>0</v>
      </c>
      <c r="W21" s="13">
        <f>'TUSD BE'!$W$21*'TUSD BE'!$W$70</f>
        <v>0</v>
      </c>
      <c r="X21" s="13">
        <f>'TUSD BE'!$X$21*'TUSD BE'!$X$70</f>
        <v>0</v>
      </c>
      <c r="Y21" s="13">
        <f>'TUSD BE'!$Y$21*'TUSD BE'!$Y$70</f>
        <v>0</v>
      </c>
      <c r="Z21" s="13">
        <f>'TUSD BE'!$Z$21*'TUSD BE'!$Z$70</f>
        <v>0</v>
      </c>
      <c r="AA21" s="13">
        <f>'TUSD BE'!$AA$21*'TUSD BE'!$AA$70</f>
        <v>0</v>
      </c>
      <c r="AB21" s="13">
        <f>SUM($U$21:$AA$21)</f>
        <v>0</v>
      </c>
      <c r="AC21" s="13">
        <f>'TUSD BE'!$AC$21*'TUSD BE'!$AC$70</f>
        <v>0</v>
      </c>
      <c r="AD21" s="13">
        <f>SUM($AC$21:$AC$21)</f>
        <v>0</v>
      </c>
      <c r="AE21" s="13">
        <f ca="1">$AO$21*$AO$67</f>
        <v>-0.56148140367372812</v>
      </c>
      <c r="AF21" s="13">
        <f ca="1">$AP$21*$AP$67</f>
        <v>0</v>
      </c>
      <c r="AG21" s="13">
        <f ca="1">SUM($AE$21:$AF$21)</f>
        <v>-0.56148140367372812</v>
      </c>
      <c r="AH21" s="13">
        <f>'TUSD BE'!$AH$21*'TUSD BE'!$AH$70</f>
        <v>5.6055781633113663E-4</v>
      </c>
      <c r="AI21" s="13">
        <f>'TUSD BE'!$AI$21*'TUSD BE'!$AI$70</f>
        <v>0</v>
      </c>
      <c r="AJ21" s="13">
        <f ca="1">'TUSD BE'!$AJ$21*'TUSD BE'!$AJ$70</f>
        <v>0</v>
      </c>
      <c r="AK21" s="13">
        <f ca="1">'TUSD BE'!$AK$21*'TUSD BE'!$AK$70</f>
        <v>0</v>
      </c>
      <c r="AL21" s="13">
        <f ca="1">SUM($AH$21:$AK$21)</f>
        <v>5.6055781633113663E-4</v>
      </c>
      <c r="AM21" s="13">
        <f ca="1">SUMIF($L$4:$AL$4,"SUBTOTAL",$L$21:$AL$21)</f>
        <v>-0.5605965513805804</v>
      </c>
      <c r="AO21" s="20">
        <f ca="1">+'TUSD BE'!$T$21+'TUSD BE'!$AB$21+'TUSD BE'!$AD$21+'TUSD BE'!$AL$21</f>
        <v>12.997699191825177</v>
      </c>
      <c r="AP21" s="20">
        <f ca="1">+'TUSD BE'!$T$21+'TUSD BE'!$AB$21+'TUSD BE'!$AD$21+'TUSD BE'!$AL$21</f>
        <v>12.997699191825177</v>
      </c>
    </row>
    <row r="22" spans="1:42" ht="11.25" customHeight="1" x14ac:dyDescent="0.3">
      <c r="A22" s="137"/>
      <c r="B22" s="137" t="s">
        <v>40</v>
      </c>
      <c r="C22" s="137" t="s">
        <v>25</v>
      </c>
      <c r="D22" s="137" t="s">
        <v>25</v>
      </c>
      <c r="E22" s="137" t="s">
        <v>25</v>
      </c>
      <c r="F22" s="137" t="s">
        <v>25</v>
      </c>
      <c r="G22" s="18" t="s">
        <v>9</v>
      </c>
      <c r="H22" s="18" t="s">
        <v>84</v>
      </c>
      <c r="I22" s="18">
        <f>'MERCADO TUSD'!$U$19</f>
        <v>125381</v>
      </c>
      <c r="J22" s="15"/>
      <c r="L22" s="13">
        <f>'TUSD BE'!$L$22*'TUSD BE'!$L$70</f>
        <v>0</v>
      </c>
      <c r="M22" s="13">
        <f>'TUSD BE'!$M$22*'TUSD BE'!$M$70</f>
        <v>0</v>
      </c>
      <c r="N22" s="13">
        <f ca="1">'TUSD BE'!$N$22*'TUSD BE'!$N$70</f>
        <v>0</v>
      </c>
      <c r="O22" s="13">
        <f>'TUSD BE'!$O$22*'TUSD BE'!$O$70</f>
        <v>0</v>
      </c>
      <c r="P22" s="13">
        <f>'TUSD BE'!$P$22*'TUSD BE'!$P$70</f>
        <v>0</v>
      </c>
      <c r="Q22" s="13">
        <f>'TUSD BE'!$Q$22*'TUSD BE'!$Q$70</f>
        <v>0</v>
      </c>
      <c r="R22" s="13">
        <f>'TUSD BE'!$R$22*'TUSD BE'!$R$70</f>
        <v>0</v>
      </c>
      <c r="S22" s="13">
        <f>'TUSD BE'!$R$22*'TUSD BE'!$S$70</f>
        <v>0</v>
      </c>
      <c r="T22" s="13">
        <f ca="1">SUM($L$22:$S$22)</f>
        <v>0</v>
      </c>
      <c r="U22" s="13">
        <f>'TUSD BE'!$U$22*'TUSD BE'!$U$70</f>
        <v>-2.9889066068735849E-2</v>
      </c>
      <c r="V22" s="13">
        <f>'TUSD BE'!$V$22*'TUSD BE'!$V$70</f>
        <v>-2.8126919413250191E-2</v>
      </c>
      <c r="W22" s="13">
        <f>'TUSD BE'!$W$22*'TUSD BE'!$W$70</f>
        <v>0</v>
      </c>
      <c r="X22" s="13">
        <f>'TUSD BE'!$X$22*'TUSD BE'!$X$70</f>
        <v>0</v>
      </c>
      <c r="Y22" s="13">
        <f>'TUSD BE'!$Y$22*'TUSD BE'!$Y$70</f>
        <v>0</v>
      </c>
      <c r="Z22" s="13">
        <f>'TUSD BE'!$Z$22*'TUSD BE'!$Z$70</f>
        <v>0</v>
      </c>
      <c r="AA22" s="13">
        <f>'TUSD BE'!$AA$22*'TUSD BE'!$AA$70</f>
        <v>0</v>
      </c>
      <c r="AB22" s="13">
        <f>SUM($U$22:$AA$22)</f>
        <v>-5.801598548198604E-2</v>
      </c>
      <c r="AC22" s="13">
        <f>'TUSD BE'!$AC$22*'TUSD BE'!$AC$70</f>
        <v>0</v>
      </c>
      <c r="AD22" s="13">
        <f>SUM($AC$22:$AC$22)</f>
        <v>0</v>
      </c>
      <c r="AE22" s="13">
        <f ca="1">$AO$22*$AO$67</f>
        <v>-0.93948305983127323</v>
      </c>
      <c r="AF22" s="13">
        <f ca="1">$AP$22*$AP$67</f>
        <v>0</v>
      </c>
      <c r="AG22" s="13">
        <f ca="1">SUM($AE$22:$AF$22)</f>
        <v>-0.93948305983127323</v>
      </c>
      <c r="AH22" s="13">
        <f>'TUSD BE'!$AH$22*'TUSD BE'!$AH$70</f>
        <v>0</v>
      </c>
      <c r="AI22" s="13">
        <f>'TUSD BE'!$AI$22*'TUSD BE'!$AI$70</f>
        <v>0</v>
      </c>
      <c r="AJ22" s="13">
        <f ca="1">'TUSD BE'!$AJ$22*'TUSD BE'!$AJ$70</f>
        <v>0</v>
      </c>
      <c r="AK22" s="13">
        <f ca="1">'TUSD BE'!$AK$22*'TUSD BE'!$AK$70</f>
        <v>0</v>
      </c>
      <c r="AL22" s="13">
        <f ca="1">SUM($AH$22:$AK$22)</f>
        <v>0</v>
      </c>
      <c r="AM22" s="13">
        <f ca="1">SUMIF($L$4:$AL$4,"SUBTOTAL",$L$22:$AL$22)</f>
        <v>-0.99749904531325928</v>
      </c>
      <c r="AO22" s="20">
        <f ca="1">+'TUSD BE'!$T$22+'TUSD BE'!$AB$22+'TUSD BE'!$AD$22+'TUSD BE'!$AL$22</f>
        <v>21.748036760622899</v>
      </c>
      <c r="AP22" s="20">
        <f ca="1">+'TUSD BE'!$T$22+'TUSD BE'!$AB$22+'TUSD BE'!$AD$22+'TUSD BE'!$AL$22</f>
        <v>21.748036760622899</v>
      </c>
    </row>
    <row r="23" spans="1:42" ht="11.25" customHeight="1" x14ac:dyDescent="0.3">
      <c r="A23" s="137"/>
      <c r="B23" s="137"/>
      <c r="C23" s="137"/>
      <c r="D23" s="137"/>
      <c r="E23" s="137"/>
      <c r="F23" s="137"/>
      <c r="G23" s="18" t="s">
        <v>80</v>
      </c>
      <c r="H23" s="18" t="s">
        <v>79</v>
      </c>
      <c r="I23" s="18">
        <f>'MERCADO TUSD'!$U$20</f>
        <v>1113.1679999999999</v>
      </c>
      <c r="J23" s="15"/>
      <c r="L23" s="13">
        <f>'TUSD BE'!$L$23*'TUSD BE'!$L$70</f>
        <v>-0.10411610791539876</v>
      </c>
      <c r="M23" s="13">
        <f>'TUSD BE'!$M$23*'TUSD BE'!$M$70</f>
        <v>2.3429818431922067E-3</v>
      </c>
      <c r="N23" s="13">
        <f ca="1">'TUSD BE'!$N$23*'TUSD BE'!$N$70</f>
        <v>2.249584847725827E-7</v>
      </c>
      <c r="O23" s="13">
        <f>'TUSD BE'!$O$23*'TUSD BE'!$O$70</f>
        <v>0</v>
      </c>
      <c r="P23" s="13">
        <f>'TUSD BE'!$P$23*'TUSD BE'!$P$70</f>
        <v>0</v>
      </c>
      <c r="Q23" s="13">
        <f>'TUSD BE'!$Q$23*'TUSD BE'!$Q$70</f>
        <v>1.4204634625228039</v>
      </c>
      <c r="R23" s="13">
        <f>'TUSD BE'!$R$23*'TUSD BE'!$R$70</f>
        <v>0.40310841228953048</v>
      </c>
      <c r="S23" s="13">
        <f>'TUSD BE'!$R$23*'TUSD BE'!$S$70</f>
        <v>0</v>
      </c>
      <c r="T23" s="13">
        <f ca="1">SUM($L$23:$S$23)</f>
        <v>1.7217989736986126</v>
      </c>
      <c r="U23" s="13">
        <f>'TUSD BE'!$U$23*'TUSD BE'!$U$70</f>
        <v>-1.246023006702369</v>
      </c>
      <c r="V23" s="13">
        <f>'TUSD BE'!$V$23*'TUSD BE'!$V$70</f>
        <v>-1.1320248477313397</v>
      </c>
      <c r="W23" s="13">
        <f>'TUSD BE'!$W$23*'TUSD BE'!$W$70</f>
        <v>0</v>
      </c>
      <c r="X23" s="13">
        <f>'TUSD BE'!$X$23*'TUSD BE'!$X$70</f>
        <v>0</v>
      </c>
      <c r="Y23" s="13">
        <f>'TUSD BE'!$Y$23*'TUSD BE'!$Y$70</f>
        <v>0</v>
      </c>
      <c r="Z23" s="13">
        <f>'TUSD BE'!$Z$23*'TUSD BE'!$Z$70</f>
        <v>0</v>
      </c>
      <c r="AA23" s="13">
        <f>'TUSD BE'!$AA$23*'TUSD BE'!$AA$70</f>
        <v>0</v>
      </c>
      <c r="AB23" s="13">
        <f>SUM($U$23:$AA$23)</f>
        <v>-2.3780478544337087</v>
      </c>
      <c r="AC23" s="13">
        <f>'TUSD BE'!$AC$23*'TUSD BE'!$AC$70</f>
        <v>0</v>
      </c>
      <c r="AD23" s="13">
        <f>SUM($AC$23:$AC$23)</f>
        <v>0</v>
      </c>
      <c r="AE23" s="13">
        <f ca="1">$AO$23*$AO$67</f>
        <v>-60.043198301429882</v>
      </c>
      <c r="AF23" s="13">
        <f ca="1">$AP$23*$AP$67</f>
        <v>0</v>
      </c>
      <c r="AG23" s="13">
        <f ca="1">SUM($AE$23:$AF$23)</f>
        <v>-60.043198301429882</v>
      </c>
      <c r="AH23" s="13">
        <f>'TUSD BE'!$AH$23*'TUSD BE'!$AH$70</f>
        <v>0.94825685003856086</v>
      </c>
      <c r="AI23" s="13">
        <f>'TUSD BE'!$AI$23*'TUSD BE'!$AI$70</f>
        <v>2.7903683855507361E-2</v>
      </c>
      <c r="AJ23" s="13">
        <f ca="1">'TUSD BE'!$AJ$23*'TUSD BE'!$AJ$70</f>
        <v>8.5410654552989393E-2</v>
      </c>
      <c r="AK23" s="13">
        <f ca="1">'TUSD BE'!$AK$23*'TUSD BE'!$AK$70</f>
        <v>-2.09925014984093E-2</v>
      </c>
      <c r="AL23" s="13">
        <f ca="1">SUM($AH$23:$AK$23)</f>
        <v>1.0405786869486482</v>
      </c>
      <c r="AM23" s="13">
        <f ca="1">SUMIF($L$4:$AL$4,"SUBTOTAL",$L$23:$AL$23)</f>
        <v>-59.658868495216332</v>
      </c>
      <c r="AO23" s="20">
        <f ca="1">+'TUSD BE'!$T$23+'TUSD BE'!$AB$23+'TUSD BE'!$AD$23+'TUSD BE'!$AL$23</f>
        <v>1389.9363806723529</v>
      </c>
      <c r="AP23" s="20">
        <f ca="1">+'TUSD BE'!$T$23+'TUSD BE'!$AB$23+'TUSD BE'!$AD$23+'TUSD BE'!$AL$23</f>
        <v>1389.9363806723529</v>
      </c>
    </row>
    <row r="24" spans="1:42" ht="11.25" customHeight="1" x14ac:dyDescent="0.3">
      <c r="A24" s="137"/>
      <c r="B24" s="137"/>
      <c r="C24" s="137"/>
      <c r="D24" s="137"/>
      <c r="E24" s="137"/>
      <c r="F24" s="137"/>
      <c r="G24" s="18" t="s">
        <v>81</v>
      </c>
      <c r="H24" s="18" t="s">
        <v>79</v>
      </c>
      <c r="I24" s="18">
        <f>'MERCADO TUSD'!$U$21</f>
        <v>23039.734000000004</v>
      </c>
      <c r="J24" s="15"/>
      <c r="L24" s="13">
        <f>'TUSD BE'!$L$24*'TUSD BE'!$L$70</f>
        <v>-0.10411610791539876</v>
      </c>
      <c r="M24" s="13">
        <f>'TUSD BE'!$M$24*'TUSD BE'!$M$70</f>
        <v>2.3429818431922067E-3</v>
      </c>
      <c r="N24" s="13">
        <f ca="1">'TUSD BE'!$N$24*'TUSD BE'!$N$70</f>
        <v>5.3249573966212759E-9</v>
      </c>
      <c r="O24" s="13">
        <f>'TUSD BE'!$O$24*'TUSD BE'!$O$70</f>
        <v>0</v>
      </c>
      <c r="P24" s="13">
        <f>'TUSD BE'!$P$24*'TUSD BE'!$P$70</f>
        <v>0</v>
      </c>
      <c r="Q24" s="13">
        <f>'TUSD BE'!$Q$24*'TUSD BE'!$Q$70</f>
        <v>1.4204634625228039</v>
      </c>
      <c r="R24" s="13">
        <f>'TUSD BE'!$R$24*'TUSD BE'!$R$70</f>
        <v>0.40310841228953048</v>
      </c>
      <c r="S24" s="13">
        <f>'TUSD BE'!$R$24*'TUSD BE'!$S$70</f>
        <v>0</v>
      </c>
      <c r="T24" s="13">
        <f ca="1">SUM($L$24:$S$24)</f>
        <v>1.7217987540650852</v>
      </c>
      <c r="U24" s="13">
        <f>'TUSD BE'!$U$24*'TUSD BE'!$U$70</f>
        <v>0</v>
      </c>
      <c r="V24" s="13">
        <f>'TUSD BE'!$V$24*'TUSD BE'!$V$70</f>
        <v>0</v>
      </c>
      <c r="W24" s="13">
        <f>'TUSD BE'!$W$24*'TUSD BE'!$W$70</f>
        <v>0</v>
      </c>
      <c r="X24" s="13">
        <f>'TUSD BE'!$X$24*'TUSD BE'!$X$70</f>
        <v>0</v>
      </c>
      <c r="Y24" s="13">
        <f>'TUSD BE'!$Y$24*'TUSD BE'!$Y$70</f>
        <v>0</v>
      </c>
      <c r="Z24" s="13">
        <f>'TUSD BE'!$Z$24*'TUSD BE'!$Z$70</f>
        <v>0</v>
      </c>
      <c r="AA24" s="13">
        <f>'TUSD BE'!$AA$24*'TUSD BE'!$AA$70</f>
        <v>0</v>
      </c>
      <c r="AB24" s="13">
        <f>SUM($U$24:$AA$24)</f>
        <v>0</v>
      </c>
      <c r="AC24" s="13">
        <f>'TUSD BE'!$AC$24*'TUSD BE'!$AC$70</f>
        <v>0</v>
      </c>
      <c r="AD24" s="13">
        <f>SUM($AC$24:$AC$24)</f>
        <v>0</v>
      </c>
      <c r="AE24" s="13">
        <f ca="1">$AO$24*$AO$67</f>
        <v>-5.1129232277829155</v>
      </c>
      <c r="AF24" s="13">
        <f ca="1">$AP$24*$AP$67</f>
        <v>0</v>
      </c>
      <c r="AG24" s="13">
        <f ca="1">SUM($AE$24:$AF$24)</f>
        <v>-5.1129232277829155</v>
      </c>
      <c r="AH24" s="13">
        <f>'TUSD BE'!$AH$24*'TUSD BE'!$AH$70</f>
        <v>0.94825685003856086</v>
      </c>
      <c r="AI24" s="13">
        <f>'TUSD BE'!$AI$24*'TUSD BE'!$AI$70</f>
        <v>2.7903683855507361E-2</v>
      </c>
      <c r="AJ24" s="13">
        <f ca="1">'TUSD BE'!$AJ$24*'TUSD BE'!$AJ$70</f>
        <v>8.5410654552989393E-2</v>
      </c>
      <c r="AK24" s="13">
        <f ca="1">'TUSD BE'!$AK$24*'TUSD BE'!$AK$70</f>
        <v>-2.09925014984093E-2</v>
      </c>
      <c r="AL24" s="13">
        <f ca="1">SUM($AH$24:$AK$24)</f>
        <v>1.0405786869486482</v>
      </c>
      <c r="AM24" s="13">
        <f ca="1">SUMIF($L$4:$AL$4,"SUBTOTAL",$L$24:$AL$24)</f>
        <v>-2.3505457867691821</v>
      </c>
      <c r="AO24" s="20">
        <f ca="1">+'TUSD BE'!$T$24+'TUSD BE'!$AB$24+'TUSD BE'!$AD$24+'TUSD BE'!$AL$24</f>
        <v>118.35875181404104</v>
      </c>
      <c r="AP24" s="20">
        <f ca="1">+'TUSD BE'!$T$24+'TUSD BE'!$AB$24+'TUSD BE'!$AD$24+'TUSD BE'!$AL$24</f>
        <v>118.35875181404104</v>
      </c>
    </row>
    <row r="25" spans="1:42" ht="11.25" customHeight="1" x14ac:dyDescent="0.3">
      <c r="A25" s="137"/>
      <c r="B25" s="137"/>
      <c r="C25" s="137"/>
      <c r="D25" s="137"/>
      <c r="E25" s="137" t="s">
        <v>87</v>
      </c>
      <c r="F25" s="137" t="s">
        <v>25</v>
      </c>
      <c r="G25" s="18" t="s">
        <v>80</v>
      </c>
      <c r="H25" s="18" t="s">
        <v>79</v>
      </c>
      <c r="I25" s="18">
        <f>'MERCADO TUSD'!$U$22</f>
        <v>0</v>
      </c>
      <c r="J25" s="15"/>
      <c r="L25" s="13">
        <f>'TUSD BE'!$L$25*'TUSD BE'!$L$70</f>
        <v>0</v>
      </c>
      <c r="M25" s="13">
        <f>'TUSD BE'!$M$25*'TUSD BE'!$M$70</f>
        <v>2.3429818431922067E-3</v>
      </c>
      <c r="N25" s="13">
        <f ca="1">'TUSD BE'!$N$25*'TUSD BE'!$N$70</f>
        <v>2.2475757494975401E-7</v>
      </c>
      <c r="O25" s="13">
        <f>'TUSD BE'!$O$25*'TUSD BE'!$O$70</f>
        <v>0</v>
      </c>
      <c r="P25" s="13">
        <f>'TUSD BE'!$P$25*'TUSD BE'!$P$70</f>
        <v>0</v>
      </c>
      <c r="Q25" s="13">
        <f>'TUSD BE'!$Q$25*'TUSD BE'!$Q$70</f>
        <v>0</v>
      </c>
      <c r="R25" s="13">
        <f>'TUSD BE'!$R$25*'TUSD BE'!$R$70</f>
        <v>0</v>
      </c>
      <c r="S25" s="13">
        <f>'TUSD BE'!$R$25*'TUSD BE'!$S$70</f>
        <v>0</v>
      </c>
      <c r="T25" s="13">
        <f ca="1">SUM($L$25:$S$25)</f>
        <v>2.3432066007671565E-3</v>
      </c>
      <c r="U25" s="13">
        <f>'TUSD BE'!$U$25*'TUSD BE'!$U$70</f>
        <v>-1.246023006702369</v>
      </c>
      <c r="V25" s="13">
        <f>'TUSD BE'!$V$25*'TUSD BE'!$V$70</f>
        <v>-1.1320248477313397</v>
      </c>
      <c r="W25" s="13">
        <f>'TUSD BE'!$W$25*'TUSD BE'!$W$70</f>
        <v>0</v>
      </c>
      <c r="X25" s="13">
        <f>'TUSD BE'!$X$25*'TUSD BE'!$X$70</f>
        <v>0</v>
      </c>
      <c r="Y25" s="13">
        <f>'TUSD BE'!$Y$25*'TUSD BE'!$Y$70</f>
        <v>0</v>
      </c>
      <c r="Z25" s="13">
        <f>'TUSD BE'!$Z$25*'TUSD BE'!$Z$70</f>
        <v>0</v>
      </c>
      <c r="AA25" s="13">
        <f>'TUSD BE'!$AA$25*'TUSD BE'!$AA$70</f>
        <v>0</v>
      </c>
      <c r="AB25" s="13">
        <f>SUM($U$25:$AA$25)</f>
        <v>-2.3780478544337087</v>
      </c>
      <c r="AC25" s="13">
        <f>'TUSD BE'!$AC$25*'TUSD BE'!$AC$70</f>
        <v>0</v>
      </c>
      <c r="AD25" s="13">
        <f>SUM($AC$25:$AC$25)</f>
        <v>0</v>
      </c>
      <c r="AE25" s="13">
        <f ca="1">$AO$25*$AO$67</f>
        <v>-55.527103600203233</v>
      </c>
      <c r="AF25" s="13">
        <f ca="1">$AP$25*$AP$67</f>
        <v>0</v>
      </c>
      <c r="AG25" s="13">
        <f ca="1">SUM($AE$25:$AF$25)</f>
        <v>-55.527103600203233</v>
      </c>
      <c r="AH25" s="13">
        <f>'TUSD BE'!$AH$25*'TUSD BE'!$AH$70</f>
        <v>0.94825685003856086</v>
      </c>
      <c r="AI25" s="13">
        <f>'TUSD BE'!$AI$25*'TUSD BE'!$AI$70</f>
        <v>2.7903683855507361E-2</v>
      </c>
      <c r="AJ25" s="13">
        <f ca="1">'TUSD BE'!$AJ$25*'TUSD BE'!$AJ$70</f>
        <v>8.5410654552989393E-2</v>
      </c>
      <c r="AK25" s="13">
        <f ca="1">'TUSD BE'!$AK$25*'TUSD BE'!$AK$70</f>
        <v>-2.09925014984093E-2</v>
      </c>
      <c r="AL25" s="13">
        <f ca="1">SUM($AH$25:$AK$25)</f>
        <v>1.0405786869486482</v>
      </c>
      <c r="AM25" s="13">
        <f ca="1">SUMIF($L$4:$AL$4,"SUBTOTAL",$L$25:$AL$25)</f>
        <v>-56.862229561087524</v>
      </c>
      <c r="AO25" s="20">
        <f ca="1">+'TUSD BE'!$T$25+'TUSD BE'!$AB$25+'TUSD BE'!$AD$25+'TUSD BE'!$AL$25</f>
        <v>1285.3935764685489</v>
      </c>
      <c r="AP25" s="20">
        <f ca="1">+'TUSD BE'!$T$25+'TUSD BE'!$AB$25+'TUSD BE'!$AD$25+'TUSD BE'!$AL$25</f>
        <v>1285.3935764685489</v>
      </c>
    </row>
    <row r="26" spans="1:42" ht="11.25" customHeight="1" x14ac:dyDescent="0.3">
      <c r="A26" s="137"/>
      <c r="B26" s="137"/>
      <c r="C26" s="137"/>
      <c r="D26" s="137"/>
      <c r="E26" s="137"/>
      <c r="F26" s="137"/>
      <c r="G26" s="18" t="s">
        <v>81</v>
      </c>
      <c r="H26" s="18" t="s">
        <v>79</v>
      </c>
      <c r="I26" s="18">
        <f>'MERCADO TUSD'!$U$23</f>
        <v>0</v>
      </c>
      <c r="J26" s="15"/>
      <c r="L26" s="13">
        <f>'TUSD BE'!$L$26*'TUSD BE'!$L$70</f>
        <v>0</v>
      </c>
      <c r="M26" s="13">
        <f>'TUSD BE'!$M$26*'TUSD BE'!$M$70</f>
        <v>2.3429818431922067E-3</v>
      </c>
      <c r="N26" s="13">
        <f ca="1">'TUSD BE'!$N$26*'TUSD BE'!$N$70</f>
        <v>5.1240475737926074E-9</v>
      </c>
      <c r="O26" s="13">
        <f>'TUSD BE'!$O$26*'TUSD BE'!$O$70</f>
        <v>0</v>
      </c>
      <c r="P26" s="13">
        <f>'TUSD BE'!$P$26*'TUSD BE'!$P$70</f>
        <v>0</v>
      </c>
      <c r="Q26" s="13">
        <f>'TUSD BE'!$Q$26*'TUSD BE'!$Q$70</f>
        <v>0</v>
      </c>
      <c r="R26" s="13">
        <f>'TUSD BE'!$R$26*'TUSD BE'!$R$70</f>
        <v>0</v>
      </c>
      <c r="S26" s="13">
        <f>'TUSD BE'!$R$26*'TUSD BE'!$S$70</f>
        <v>0</v>
      </c>
      <c r="T26" s="13">
        <f ca="1">SUM($L$26:$S$26)</f>
        <v>2.3429869672397805E-3</v>
      </c>
      <c r="U26" s="13">
        <f>'TUSD BE'!$U$26*'TUSD BE'!$U$70</f>
        <v>0</v>
      </c>
      <c r="V26" s="13">
        <f>'TUSD BE'!$V$26*'TUSD BE'!$V$70</f>
        <v>0</v>
      </c>
      <c r="W26" s="13">
        <f>'TUSD BE'!$W$26*'TUSD BE'!$W$70</f>
        <v>0</v>
      </c>
      <c r="X26" s="13">
        <f>'TUSD BE'!$X$26*'TUSD BE'!$X$70</f>
        <v>0</v>
      </c>
      <c r="Y26" s="13">
        <f>'TUSD BE'!$Y$26*'TUSD BE'!$Y$70</f>
        <v>0</v>
      </c>
      <c r="Z26" s="13">
        <f>'TUSD BE'!$Z$26*'TUSD BE'!$Z$70</f>
        <v>0</v>
      </c>
      <c r="AA26" s="13">
        <f>'TUSD BE'!$AA$26*'TUSD BE'!$AA$70</f>
        <v>0</v>
      </c>
      <c r="AB26" s="13">
        <f>SUM($U$26:$AA$26)</f>
        <v>0</v>
      </c>
      <c r="AC26" s="13">
        <f>'TUSD BE'!$AC$26*'TUSD BE'!$AC$70</f>
        <v>0</v>
      </c>
      <c r="AD26" s="13">
        <f>SUM($AC$26:$AC$26)</f>
        <v>0</v>
      </c>
      <c r="AE26" s="13">
        <f ca="1">$AO$26*$AO$67</f>
        <v>-0.5968285265562624</v>
      </c>
      <c r="AF26" s="13">
        <f ca="1">$AP$26*$AP$67</f>
        <v>0</v>
      </c>
      <c r="AG26" s="13">
        <f ca="1">SUM($AE$26:$AF$26)</f>
        <v>-0.5968285265562624</v>
      </c>
      <c r="AH26" s="13">
        <f>'TUSD BE'!$AH$26*'TUSD BE'!$AH$70</f>
        <v>0.94825685003856086</v>
      </c>
      <c r="AI26" s="13">
        <f>'TUSD BE'!$AI$26*'TUSD BE'!$AI$70</f>
        <v>2.7903683855507361E-2</v>
      </c>
      <c r="AJ26" s="13">
        <f ca="1">'TUSD BE'!$AJ$26*'TUSD BE'!$AJ$70</f>
        <v>8.5410654552989393E-2</v>
      </c>
      <c r="AK26" s="13">
        <f ca="1">'TUSD BE'!$AK$26*'TUSD BE'!$AK$70</f>
        <v>-2.09925014984093E-2</v>
      </c>
      <c r="AL26" s="13">
        <f ca="1">SUM($AH$26:$AK$26)</f>
        <v>1.0405786869486482</v>
      </c>
      <c r="AM26" s="13">
        <f ca="1">SUMIF($L$4:$AL$4,"SUBTOTAL",$L$26:$AL$26)</f>
        <v>0.44609314735962557</v>
      </c>
      <c r="AO26" s="20">
        <f ca="1">+'TUSD BE'!$T$26+'TUSD BE'!$AB$26+'TUSD BE'!$AD$26+'TUSD BE'!$AL$26</f>
        <v>13.815947610236968</v>
      </c>
      <c r="AP26" s="20">
        <f ca="1">+'TUSD BE'!$T$26+'TUSD BE'!$AB$26+'TUSD BE'!$AD$26+'TUSD BE'!$AL$26</f>
        <v>13.815947610236968</v>
      </c>
    </row>
    <row r="27" spans="1:42" ht="11.25" customHeight="1" x14ac:dyDescent="0.3">
      <c r="A27" s="137" t="s">
        <v>88</v>
      </c>
      <c r="B27" s="137" t="s">
        <v>60</v>
      </c>
      <c r="C27" s="137" t="s">
        <v>25</v>
      </c>
      <c r="D27" s="137" t="s">
        <v>25</v>
      </c>
      <c r="E27" s="17" t="s">
        <v>89</v>
      </c>
      <c r="F27" s="17" t="s">
        <v>25</v>
      </c>
      <c r="G27" s="18" t="s">
        <v>9</v>
      </c>
      <c r="H27" s="18" t="s">
        <v>84</v>
      </c>
      <c r="I27" s="18">
        <f>'MERCADO TUSD'!$U$24+0.00000001</f>
        <v>1E-8</v>
      </c>
      <c r="J27" s="15"/>
      <c r="L27" s="13">
        <f>'TUSD BE'!$L$27*'TUSD BE'!$L$70</f>
        <v>0</v>
      </c>
      <c r="M27" s="13">
        <f>'TUSD BE'!$M$27*'TUSD BE'!$M$70</f>
        <v>9.7661115542067503E-5</v>
      </c>
      <c r="N27" s="13">
        <f ca="1">'TUSD BE'!$N$27*'TUSD BE'!$N$70</f>
        <v>1.0507583733939311E-9</v>
      </c>
      <c r="O27" s="13">
        <f>'TUSD BE'!$O$27*'TUSD BE'!$O$70</f>
        <v>0</v>
      </c>
      <c r="P27" s="13">
        <f>'TUSD BE'!$P$27*'TUSD BE'!$P$70</f>
        <v>0</v>
      </c>
      <c r="Q27" s="13">
        <f>'TUSD BE'!$Q$27*'TUSD BE'!$Q$70</f>
        <v>0</v>
      </c>
      <c r="R27" s="13">
        <f>'TUSD BE'!$R$27*'TUSD BE'!$R$70</f>
        <v>0</v>
      </c>
      <c r="S27" s="13">
        <f>'TUSD BE'!$R$27*'TUSD BE'!$S$70</f>
        <v>0</v>
      </c>
      <c r="T27" s="13">
        <f ca="1">SUM($L$27:$S$27)</f>
        <v>9.7662166300440894E-5</v>
      </c>
      <c r="U27" s="13">
        <f>'TUSD BE'!$U$27*'TUSD BE'!$U$70</f>
        <v>0</v>
      </c>
      <c r="V27" s="13">
        <f>'TUSD BE'!$V$27*'TUSD BE'!$V$70</f>
        <v>0</v>
      </c>
      <c r="W27" s="13">
        <f>'TUSD BE'!$W$27*'TUSD BE'!$W$70</f>
        <v>0</v>
      </c>
      <c r="X27" s="13">
        <f>'TUSD BE'!$X$27*'TUSD BE'!$X$70</f>
        <v>0</v>
      </c>
      <c r="Y27" s="13">
        <f>'TUSD BE'!$Y$27*'TUSD BE'!$Y$70</f>
        <v>0</v>
      </c>
      <c r="Z27" s="13">
        <f>'TUSD BE'!$Z$27*'TUSD BE'!$Z$70</f>
        <v>0</v>
      </c>
      <c r="AA27" s="13">
        <f>'TUSD BE'!$AA$27*'TUSD BE'!$AA$70</f>
        <v>0</v>
      </c>
      <c r="AB27" s="13">
        <f>SUM($U$27:$AA$27)</f>
        <v>0</v>
      </c>
      <c r="AC27" s="13">
        <f>'TUSD BE'!$AC$27*'TUSD BE'!$AC$70</f>
        <v>0</v>
      </c>
      <c r="AD27" s="13">
        <f>SUM($AC$27:$AC$27)</f>
        <v>0</v>
      </c>
      <c r="AE27" s="13">
        <f ca="1">$AO$27*$AO$67</f>
        <v>-0.25761151370032465</v>
      </c>
      <c r="AF27" s="13">
        <f ca="1">$AP$27*$AP$67</f>
        <v>0</v>
      </c>
      <c r="AG27" s="13">
        <f ca="1">SUM($AE$27:$AF$27)</f>
        <v>-0.25761151370032465</v>
      </c>
      <c r="AH27" s="13">
        <f>'TUSD BE'!$AH$27*'TUSD BE'!$AH$70</f>
        <v>0</v>
      </c>
      <c r="AI27" s="13">
        <f>'TUSD BE'!$AI$27*'TUSD BE'!$AI$70</f>
        <v>0</v>
      </c>
      <c r="AJ27" s="13">
        <f ca="1">'TUSD BE'!$AJ$27*'TUSD BE'!$AJ$70</f>
        <v>0</v>
      </c>
      <c r="AK27" s="13">
        <f ca="1">'TUSD BE'!$AK$27*'TUSD BE'!$AK$70</f>
        <v>0</v>
      </c>
      <c r="AL27" s="13">
        <f ca="1">SUM($AH$27:$AK$27)</f>
        <v>0</v>
      </c>
      <c r="AM27" s="13">
        <f ca="1">SUMIF($L$4:$AL$4,"SUBTOTAL",$L$27:$AL$27)</f>
        <v>-0.25751385153402423</v>
      </c>
      <c r="AO27" s="20">
        <f ca="1">+'TUSD BE'!$T$27+'TUSD BE'!$AB$27+'TUSD BE'!$AD$27+'TUSD BE'!$AL$27</f>
        <v>5.9634334129670856</v>
      </c>
      <c r="AP27" s="20">
        <f ca="1">+'TUSD BE'!$T$27+'TUSD BE'!$AB$27+'TUSD BE'!$AD$27+'TUSD BE'!$AL$27</f>
        <v>5.9634334129670856</v>
      </c>
    </row>
    <row r="28" spans="1:42" ht="11.25" customHeight="1" x14ac:dyDescent="0.3">
      <c r="A28" s="137"/>
      <c r="B28" s="137"/>
      <c r="C28" s="137"/>
      <c r="D28" s="137"/>
      <c r="E28" s="17" t="s">
        <v>90</v>
      </c>
      <c r="F28" s="17" t="s">
        <v>25</v>
      </c>
      <c r="G28" s="18" t="s">
        <v>9</v>
      </c>
      <c r="H28" s="18" t="s">
        <v>84</v>
      </c>
      <c r="I28" s="18">
        <f>'MERCADO TUSD'!$U$25+0.00000001</f>
        <v>1E-8</v>
      </c>
      <c r="J28" s="15"/>
      <c r="L28" s="13">
        <f>'TUSD BE'!$L$28*'TUSD BE'!$L$70</f>
        <v>0</v>
      </c>
      <c r="M28" s="13">
        <f>'TUSD BE'!$M$28*'TUSD BE'!$M$70</f>
        <v>9.7661115542067503E-5</v>
      </c>
      <c r="N28" s="13">
        <f ca="1">'TUSD BE'!$N$28*'TUSD BE'!$N$70</f>
        <v>1.0507583733939311E-9</v>
      </c>
      <c r="O28" s="13">
        <f>'TUSD BE'!$O$28*'TUSD BE'!$O$70</f>
        <v>0</v>
      </c>
      <c r="P28" s="13">
        <f>'TUSD BE'!$P$28*'TUSD BE'!$P$70</f>
        <v>0</v>
      </c>
      <c r="Q28" s="13">
        <f>'TUSD BE'!$Q$28*'TUSD BE'!$Q$70</f>
        <v>0</v>
      </c>
      <c r="R28" s="13">
        <f>'TUSD BE'!$R$28*'TUSD BE'!$R$70</f>
        <v>0</v>
      </c>
      <c r="S28" s="13">
        <f>'TUSD BE'!$R$28*'TUSD BE'!$S$70</f>
        <v>0</v>
      </c>
      <c r="T28" s="13">
        <f ca="1">SUM($L$28:$S$28)</f>
        <v>9.7662166300440894E-5</v>
      </c>
      <c r="U28" s="13">
        <f>'TUSD BE'!$U$28*'TUSD BE'!$U$70</f>
        <v>0</v>
      </c>
      <c r="V28" s="13">
        <f>'TUSD BE'!$V$28*'TUSD BE'!$V$70</f>
        <v>0</v>
      </c>
      <c r="W28" s="13">
        <f>'TUSD BE'!$W$28*'TUSD BE'!$W$70</f>
        <v>0</v>
      </c>
      <c r="X28" s="13">
        <f>'TUSD BE'!$X$28*'TUSD BE'!$X$70</f>
        <v>0</v>
      </c>
      <c r="Y28" s="13">
        <f>'TUSD BE'!$Y$28*'TUSD BE'!$Y$70</f>
        <v>0</v>
      </c>
      <c r="Z28" s="13">
        <f>'TUSD BE'!$Z$28*'TUSD BE'!$Z$70</f>
        <v>0</v>
      </c>
      <c r="AA28" s="13">
        <f>'TUSD BE'!$AA$28*'TUSD BE'!$AA$70</f>
        <v>0</v>
      </c>
      <c r="AB28" s="13">
        <f>SUM($U$28:$AA$28)</f>
        <v>0</v>
      </c>
      <c r="AC28" s="13">
        <f>'TUSD BE'!$AC$28*'TUSD BE'!$AC$70</f>
        <v>0</v>
      </c>
      <c r="AD28" s="13">
        <f>SUM($AC$28:$AC$28)</f>
        <v>0</v>
      </c>
      <c r="AE28" s="13">
        <f ca="1">$AO$28*$AO$67</f>
        <v>-0.9408391582045954</v>
      </c>
      <c r="AF28" s="13">
        <f ca="1">$AP$28*$AP$67</f>
        <v>0</v>
      </c>
      <c r="AG28" s="13">
        <f ca="1">SUM($AE$28:$AF$28)</f>
        <v>-0.9408391582045954</v>
      </c>
      <c r="AH28" s="13">
        <f>'TUSD BE'!$AH$28*'TUSD BE'!$AH$70</f>
        <v>0</v>
      </c>
      <c r="AI28" s="13">
        <f>'TUSD BE'!$AI$28*'TUSD BE'!$AI$70</f>
        <v>0</v>
      </c>
      <c r="AJ28" s="13">
        <f ca="1">'TUSD BE'!$AJ$28*'TUSD BE'!$AJ$70</f>
        <v>0</v>
      </c>
      <c r="AK28" s="13">
        <f ca="1">'TUSD BE'!$AK$28*'TUSD BE'!$AK$70</f>
        <v>0</v>
      </c>
      <c r="AL28" s="13">
        <f ca="1">SUM($AH$28:$AK$28)</f>
        <v>0</v>
      </c>
      <c r="AM28" s="13">
        <f ca="1">SUMIF($L$4:$AL$4,"SUBTOTAL",$L$28:$AL$28)</f>
        <v>-0.94074149603829493</v>
      </c>
      <c r="AO28" s="20">
        <f ca="1">+'TUSD BE'!$T$28+'TUSD BE'!$AB$28+'TUSD BE'!$AD$28+'TUSD BE'!$AL$28</f>
        <v>21.779429000179967</v>
      </c>
      <c r="AP28" s="20">
        <f ca="1">+'TUSD BE'!$T$28+'TUSD BE'!$AB$28+'TUSD BE'!$AD$28+'TUSD BE'!$AL$28</f>
        <v>21.779429000179967</v>
      </c>
    </row>
    <row r="29" spans="1:42" ht="11.25" customHeight="1" x14ac:dyDescent="0.3">
      <c r="A29" s="137" t="s">
        <v>22</v>
      </c>
      <c r="B29" s="137" t="s">
        <v>33</v>
      </c>
      <c r="C29" s="137" t="s">
        <v>24</v>
      </c>
      <c r="D29" s="137" t="s">
        <v>24</v>
      </c>
      <c r="E29" s="137" t="s">
        <v>25</v>
      </c>
      <c r="F29" s="137" t="s">
        <v>25</v>
      </c>
      <c r="G29" s="18" t="s">
        <v>80</v>
      </c>
      <c r="H29" s="18" t="s">
        <v>79</v>
      </c>
      <c r="I29" s="18">
        <f>'MERCADO TUSD'!$U$26</f>
        <v>5.2</v>
      </c>
      <c r="J29" s="15"/>
      <c r="L29" s="13">
        <f>'TUSD BE'!$L$29*'TUSD BE'!$L$70</f>
        <v>-0.12394774751833187</v>
      </c>
      <c r="M29" s="13">
        <f>'TUSD BE'!$M$29*'TUSD BE'!$M$70</f>
        <v>4.7521062421596759E-3</v>
      </c>
      <c r="N29" s="13">
        <f ca="1">'TUSD BE'!$N$29*'TUSD BE'!$N$70</f>
        <v>1.8473314287221167E-7</v>
      </c>
      <c r="O29" s="13">
        <f>'TUSD BE'!$O$29*'TUSD BE'!$O$70</f>
        <v>0</v>
      </c>
      <c r="P29" s="13">
        <f>'TUSD BE'!$P$29*'TUSD BE'!$P$70</f>
        <v>0</v>
      </c>
      <c r="Q29" s="13">
        <f>'TUSD BE'!$Q$29*'TUSD BE'!$Q$70</f>
        <v>1.6910279315747665</v>
      </c>
      <c r="R29" s="13">
        <f>'TUSD BE'!$R$29*'TUSD BE'!$R$70</f>
        <v>0.40310841228953048</v>
      </c>
      <c r="S29" s="13">
        <f>'TUSD BE'!$R$29*'TUSD BE'!$S$70</f>
        <v>0</v>
      </c>
      <c r="T29" s="13">
        <f ca="1">SUM($L$29:$S$29)</f>
        <v>1.9749408873212677</v>
      </c>
      <c r="U29" s="13">
        <f>'TUSD BE'!$U$29*'TUSD BE'!$U$70</f>
        <v>-0.8404838076435639</v>
      </c>
      <c r="V29" s="13">
        <f>'TUSD BE'!$V$29*'TUSD BE'!$V$70</f>
        <v>-0.77540694384880204</v>
      </c>
      <c r="W29" s="13">
        <f>'TUSD BE'!$W$29*'TUSD BE'!$W$70</f>
        <v>0</v>
      </c>
      <c r="X29" s="13">
        <f>'TUSD BE'!$X$29*'TUSD BE'!$X$70</f>
        <v>0</v>
      </c>
      <c r="Y29" s="13">
        <f>'TUSD BE'!$Y$29*'TUSD BE'!$Y$70</f>
        <v>0</v>
      </c>
      <c r="Z29" s="13">
        <f>'TUSD BE'!$Z$29*'TUSD BE'!$Z$70</f>
        <v>0</v>
      </c>
      <c r="AA29" s="13">
        <f>'TUSD BE'!$AA$29*'TUSD BE'!$AA$70</f>
        <v>0</v>
      </c>
      <c r="AB29" s="13">
        <f>SUM($U$29:$AA$29)</f>
        <v>-1.6158907514923659</v>
      </c>
      <c r="AC29" s="13">
        <f>'TUSD BE'!$AC$29*'TUSD BE'!$AC$70</f>
        <v>0</v>
      </c>
      <c r="AD29" s="13">
        <f>SUM($AC$29:$AC$29)</f>
        <v>0</v>
      </c>
      <c r="AE29" s="13">
        <f ca="1">$AO$29*$AO$67</f>
        <v>-49.936423679398871</v>
      </c>
      <c r="AF29" s="13">
        <f ca="1">$AP$29*$AP$67</f>
        <v>0</v>
      </c>
      <c r="AG29" s="13">
        <f ca="1">SUM($AE$29:$AF$29)</f>
        <v>-49.936423679398871</v>
      </c>
      <c r="AH29" s="13">
        <f>'TUSD BE'!$AH$29*'TUSD BE'!$AH$70</f>
        <v>1.9598136134905149</v>
      </c>
      <c r="AI29" s="13">
        <f>'TUSD BE'!$AI$29*'TUSD BE'!$AI$70</f>
        <v>5.7670049506454941E-2</v>
      </c>
      <c r="AJ29" s="13">
        <f ca="1">'TUSD BE'!$AJ$29*'TUSD BE'!$AJ$70</f>
        <v>0.13149134875098287</v>
      </c>
      <c r="AK29" s="13">
        <f ca="1">'TUSD BE'!$AK$29*'TUSD BE'!$AK$70</f>
        <v>-3.2318360632283147E-2</v>
      </c>
      <c r="AL29" s="13">
        <f ca="1">SUM($AH$29:$AK$29)</f>
        <v>2.1166566511156693</v>
      </c>
      <c r="AM29" s="13">
        <f ca="1">SUMIF($L$4:$AL$4,"SUBTOTAL",$L$29:$AL$29)</f>
        <v>-47.4607168924543</v>
      </c>
      <c r="AO29" s="20">
        <f ca="1">+'TUSD BE'!$T$29+'TUSD BE'!$AB$29+'TUSD BE'!$AD$29+'TUSD BE'!$AL$29</f>
        <v>1155.9752637462675</v>
      </c>
      <c r="AP29" s="20">
        <f ca="1">+'TUSD BE'!$T$29+'TUSD BE'!$AB$29+'TUSD BE'!$AD$29+'TUSD BE'!$AL$29</f>
        <v>1155.9752637462675</v>
      </c>
    </row>
    <row r="30" spans="1:42" ht="11.25" customHeight="1" x14ac:dyDescent="0.3">
      <c r="A30" s="137"/>
      <c r="B30" s="137"/>
      <c r="C30" s="137"/>
      <c r="D30" s="137"/>
      <c r="E30" s="137"/>
      <c r="F30" s="137"/>
      <c r="G30" s="18" t="s">
        <v>91</v>
      </c>
      <c r="H30" s="18" t="s">
        <v>79</v>
      </c>
      <c r="I30" s="18">
        <f>'MERCADO TUSD'!$U$27</f>
        <v>3.3950000000000005</v>
      </c>
      <c r="J30" s="15"/>
      <c r="L30" s="13">
        <f>'TUSD BE'!$L$30*'TUSD BE'!$L$70</f>
        <v>-0.12394774751833187</v>
      </c>
      <c r="M30" s="13">
        <f>'TUSD BE'!$M$30*'TUSD BE'!$M$70</f>
        <v>4.7521062421596759E-3</v>
      </c>
      <c r="N30" s="13">
        <f ca="1">'TUSD BE'!$N$30*'TUSD BE'!$N$70</f>
        <v>1.1498380204632251E-7</v>
      </c>
      <c r="O30" s="13">
        <f>'TUSD BE'!$O$30*'TUSD BE'!$O$70</f>
        <v>0</v>
      </c>
      <c r="P30" s="13">
        <f>'TUSD BE'!$P$30*'TUSD BE'!$P$70</f>
        <v>0</v>
      </c>
      <c r="Q30" s="13">
        <f>'TUSD BE'!$Q$30*'TUSD BE'!$Q$70</f>
        <v>1.6910279315747665</v>
      </c>
      <c r="R30" s="13">
        <f>'TUSD BE'!$R$30*'TUSD BE'!$R$70</f>
        <v>0.40310841228953048</v>
      </c>
      <c r="S30" s="13">
        <f>'TUSD BE'!$R$30*'TUSD BE'!$S$70</f>
        <v>0</v>
      </c>
      <c r="T30" s="13">
        <f ca="1">SUM($L$30:$S$30)</f>
        <v>1.974940817571927</v>
      </c>
      <c r="U30" s="13">
        <f>'TUSD BE'!$U$30*'TUSD BE'!$U$70</f>
        <v>-0.50429010991783108</v>
      </c>
      <c r="V30" s="13">
        <f>'TUSD BE'!$V$30*'TUSD BE'!$V$70</f>
        <v>-0.46524446737505532</v>
      </c>
      <c r="W30" s="13">
        <f>'TUSD BE'!$W$30*'TUSD BE'!$W$70</f>
        <v>0</v>
      </c>
      <c r="X30" s="13">
        <f>'TUSD BE'!$X$30*'TUSD BE'!$X$70</f>
        <v>0</v>
      </c>
      <c r="Y30" s="13">
        <f>'TUSD BE'!$Y$30*'TUSD BE'!$Y$70</f>
        <v>0</v>
      </c>
      <c r="Z30" s="13">
        <f>'TUSD BE'!$Z$30*'TUSD BE'!$Z$70</f>
        <v>0</v>
      </c>
      <c r="AA30" s="13">
        <f>'TUSD BE'!$AA$30*'TUSD BE'!$AA$70</f>
        <v>0</v>
      </c>
      <c r="AB30" s="13">
        <f>SUM($U$30:$AA$30)</f>
        <v>-0.96953457729288639</v>
      </c>
      <c r="AC30" s="13">
        <f>'TUSD BE'!$AC$30*'TUSD BE'!$AC$70</f>
        <v>0</v>
      </c>
      <c r="AD30" s="13">
        <f>SUM($AC$30:$AC$30)</f>
        <v>0</v>
      </c>
      <c r="AE30" s="13">
        <f ca="1">$AO$30*$AO$67</f>
        <v>-32.54448022462261</v>
      </c>
      <c r="AF30" s="13">
        <f ca="1">$AP$30*$AP$67</f>
        <v>0</v>
      </c>
      <c r="AG30" s="13">
        <f ca="1">SUM($AE$30:$AF$30)</f>
        <v>-32.54448022462261</v>
      </c>
      <c r="AH30" s="13">
        <f>'TUSD BE'!$AH$30*'TUSD BE'!$AH$70</f>
        <v>1.9598136134905149</v>
      </c>
      <c r="AI30" s="13">
        <f>'TUSD BE'!$AI$30*'TUSD BE'!$AI$70</f>
        <v>5.7670049506454941E-2</v>
      </c>
      <c r="AJ30" s="13">
        <f ca="1">'TUSD BE'!$AJ$30*'TUSD BE'!$AJ$70</f>
        <v>0.13149134875098287</v>
      </c>
      <c r="AK30" s="13">
        <f ca="1">'TUSD BE'!$AK$30*'TUSD BE'!$AK$70</f>
        <v>-3.2318360632283147E-2</v>
      </c>
      <c r="AL30" s="13">
        <f ca="1">SUM($AH$30:$AK$30)</f>
        <v>2.1166566511156693</v>
      </c>
      <c r="AM30" s="13">
        <f ca="1">SUMIF($L$4:$AL$4,"SUBTOTAL",$L$30:$AL$30)</f>
        <v>-29.422417333227902</v>
      </c>
      <c r="AO30" s="20">
        <f ca="1">+'TUSD BE'!$T$30+'TUSD BE'!$AB$30+'TUSD BE'!$AD$30+'TUSD BE'!$AL$30</f>
        <v>753.37021234589497</v>
      </c>
      <c r="AP30" s="20">
        <f ca="1">+'TUSD BE'!$T$30+'TUSD BE'!$AB$30+'TUSD BE'!$AD$30+'TUSD BE'!$AL$30</f>
        <v>753.37021234589497</v>
      </c>
    </row>
    <row r="31" spans="1:42" ht="11.25" customHeight="1" x14ac:dyDescent="0.3">
      <c r="A31" s="137"/>
      <c r="B31" s="137"/>
      <c r="C31" s="137"/>
      <c r="D31" s="137"/>
      <c r="E31" s="137"/>
      <c r="F31" s="137"/>
      <c r="G31" s="18" t="s">
        <v>81</v>
      </c>
      <c r="H31" s="18" t="s">
        <v>79</v>
      </c>
      <c r="I31" s="18">
        <f>'MERCADO TUSD'!$U$28</f>
        <v>48.124000000000009</v>
      </c>
      <c r="J31" s="15"/>
      <c r="L31" s="13">
        <f>'TUSD BE'!$L$31*'TUSD BE'!$L$70</f>
        <v>-0.12394774751833187</v>
      </c>
      <c r="M31" s="13">
        <f>'TUSD BE'!$M$31*'TUSD BE'!$M$70</f>
        <v>4.7521062421596759E-3</v>
      </c>
      <c r="N31" s="13">
        <f ca="1">'TUSD BE'!$N$31*'TUSD BE'!$N$70</f>
        <v>4.5234441129451117E-8</v>
      </c>
      <c r="O31" s="13">
        <f>'TUSD BE'!$O$31*'TUSD BE'!$O$70</f>
        <v>0</v>
      </c>
      <c r="P31" s="13">
        <f>'TUSD BE'!$P$31*'TUSD BE'!$P$70</f>
        <v>0</v>
      </c>
      <c r="Q31" s="13">
        <f>'TUSD BE'!$Q$31*'TUSD BE'!$Q$70</f>
        <v>1.6910279315747665</v>
      </c>
      <c r="R31" s="13">
        <f>'TUSD BE'!$R$31*'TUSD BE'!$R$70</f>
        <v>0.40310841228953048</v>
      </c>
      <c r="S31" s="13">
        <f>'TUSD BE'!$R$31*'TUSD BE'!$S$70</f>
        <v>0</v>
      </c>
      <c r="T31" s="13">
        <f ca="1">SUM($L$31:$S$31)</f>
        <v>1.974940747822566</v>
      </c>
      <c r="U31" s="13">
        <f>'TUSD BE'!$U$31*'TUSD BE'!$U$70</f>
        <v>-0.16809641219209825</v>
      </c>
      <c r="V31" s="13">
        <f>'TUSD BE'!$V$31*'TUSD BE'!$V$70</f>
        <v>-0.15508199090130859</v>
      </c>
      <c r="W31" s="13">
        <f>'TUSD BE'!$W$31*'TUSD BE'!$W$70</f>
        <v>0</v>
      </c>
      <c r="X31" s="13">
        <f>'TUSD BE'!$X$31*'TUSD BE'!$X$70</f>
        <v>0</v>
      </c>
      <c r="Y31" s="13">
        <f>'TUSD BE'!$Y$31*'TUSD BE'!$Y$70</f>
        <v>0</v>
      </c>
      <c r="Z31" s="13">
        <f>'TUSD BE'!$Z$31*'TUSD BE'!$Z$70</f>
        <v>0</v>
      </c>
      <c r="AA31" s="13">
        <f>'TUSD BE'!$AA$31*'TUSD BE'!$AA$70</f>
        <v>0</v>
      </c>
      <c r="AB31" s="13">
        <f>SUM($U$31:$AA$31)</f>
        <v>-0.32317840309340684</v>
      </c>
      <c r="AC31" s="13">
        <f>'TUSD BE'!$AC$31*'TUSD BE'!$AC$70</f>
        <v>0</v>
      </c>
      <c r="AD31" s="13">
        <f>SUM($AC$31:$AC$31)</f>
        <v>0</v>
      </c>
      <c r="AE31" s="13">
        <f ca="1">$AO$31*$AO$67</f>
        <v>-15.152531845872499</v>
      </c>
      <c r="AF31" s="13">
        <f ca="1">$AP$31*$AP$67</f>
        <v>0</v>
      </c>
      <c r="AG31" s="13">
        <f ca="1">SUM($AE$31:$AF$31)</f>
        <v>-15.152531845872499</v>
      </c>
      <c r="AH31" s="13">
        <f>'TUSD BE'!$AH$31*'TUSD BE'!$AH$70</f>
        <v>1.9598136134905149</v>
      </c>
      <c r="AI31" s="13">
        <f>'TUSD BE'!$AI$31*'TUSD BE'!$AI$70</f>
        <v>5.7670049506454941E-2</v>
      </c>
      <c r="AJ31" s="13">
        <f ca="1">'TUSD BE'!$AJ$31*'TUSD BE'!$AJ$70</f>
        <v>0.13149134875098287</v>
      </c>
      <c r="AK31" s="13">
        <f ca="1">'TUSD BE'!$AK$31*'TUSD BE'!$AK$70</f>
        <v>-3.2318360632283147E-2</v>
      </c>
      <c r="AL31" s="13">
        <f ca="1">SUM($AH$31:$AK$31)</f>
        <v>2.1166566511156693</v>
      </c>
      <c r="AM31" s="13">
        <f ca="1">SUMIF($L$4:$AL$4,"SUBTOTAL",$L$31:$AL$31)</f>
        <v>-11.384112850027671</v>
      </c>
      <c r="AO31" s="20">
        <f ca="1">+'TUSD BE'!$T$31+'TUSD BE'!$AB$31+'TUSD BE'!$AD$31+'TUSD BE'!$AL$31</f>
        <v>350.76504696074852</v>
      </c>
      <c r="AP31" s="20">
        <f ca="1">+'TUSD BE'!$T$31+'TUSD BE'!$AB$31+'TUSD BE'!$AD$31+'TUSD BE'!$AL$31</f>
        <v>350.76504696074852</v>
      </c>
    </row>
    <row r="32" spans="1:42" ht="11.25" customHeight="1" x14ac:dyDescent="0.3">
      <c r="A32" s="137"/>
      <c r="B32" s="137" t="s">
        <v>23</v>
      </c>
      <c r="C32" s="137" t="s">
        <v>24</v>
      </c>
      <c r="D32" s="17" t="s">
        <v>24</v>
      </c>
      <c r="E32" s="17" t="s">
        <v>25</v>
      </c>
      <c r="F32" s="17" t="s">
        <v>25</v>
      </c>
      <c r="G32" s="18" t="s">
        <v>83</v>
      </c>
      <c r="H32" s="18" t="s">
        <v>79</v>
      </c>
      <c r="I32" s="18">
        <f>'MERCADO TUSD'!$U$29</f>
        <v>46756.356999999996</v>
      </c>
      <c r="J32" s="15"/>
      <c r="L32" s="13">
        <f>'TUSD BE'!$L$32*'TUSD BE'!$L$70</f>
        <v>-0.12394774751833187</v>
      </c>
      <c r="M32" s="13">
        <f>'TUSD BE'!$M$32*'TUSD BE'!$M$70</f>
        <v>4.7521062421596759E-3</v>
      </c>
      <c r="N32" s="13">
        <f ca="1">'TUSD BE'!$N$32*'TUSD BE'!$N$70</f>
        <v>6.4013120631565557E-8</v>
      </c>
      <c r="O32" s="13">
        <f>'TUSD BE'!$O$32*'TUSD BE'!$O$70</f>
        <v>0</v>
      </c>
      <c r="P32" s="13">
        <f>'TUSD BE'!$P$32*'TUSD BE'!$P$70</f>
        <v>0</v>
      </c>
      <c r="Q32" s="13">
        <f>'TUSD BE'!$Q$32*'TUSD BE'!$Q$70</f>
        <v>1.6910279315747665</v>
      </c>
      <c r="R32" s="13">
        <f>'TUSD BE'!$R$32*'TUSD BE'!$R$70</f>
        <v>0.40310841228953048</v>
      </c>
      <c r="S32" s="13">
        <f>'TUSD BE'!$R$32*'TUSD BE'!$S$70</f>
        <v>0</v>
      </c>
      <c r="T32" s="13">
        <f ca="1">SUM($L$32:$S$32)</f>
        <v>1.9749407666012455</v>
      </c>
      <c r="U32" s="13">
        <f>'TUSD BE'!$U$32*'TUSD BE'!$U$70</f>
        <v>-0.25861040235186578</v>
      </c>
      <c r="V32" s="13">
        <f>'TUSD BE'!$V$32*'TUSD BE'!$V$70</f>
        <v>-0.23858709933706304</v>
      </c>
      <c r="W32" s="13">
        <f>'TUSD BE'!$W$32*'TUSD BE'!$W$70</f>
        <v>0</v>
      </c>
      <c r="X32" s="13">
        <f>'TUSD BE'!$X$32*'TUSD BE'!$X$70</f>
        <v>0</v>
      </c>
      <c r="Y32" s="13">
        <f>'TUSD BE'!$Y$32*'TUSD BE'!$Y$70</f>
        <v>0</v>
      </c>
      <c r="Z32" s="13">
        <f>'TUSD BE'!$Z$32*'TUSD BE'!$Z$70</f>
        <v>0</v>
      </c>
      <c r="AA32" s="13">
        <f>'TUSD BE'!$AA$32*'TUSD BE'!$AA$70</f>
        <v>0</v>
      </c>
      <c r="AB32" s="13">
        <f>SUM($U$32:$AA$32)</f>
        <v>-0.49719750168892884</v>
      </c>
      <c r="AC32" s="13">
        <f>'TUSD BE'!$AC$32*'TUSD BE'!$AC$70</f>
        <v>0</v>
      </c>
      <c r="AD32" s="13">
        <f>SUM($AC$32:$AC$32)</f>
        <v>0</v>
      </c>
      <c r="AE32" s="13">
        <f ca="1">$AO$32*$AO$67</f>
        <v>-19.834981053784773</v>
      </c>
      <c r="AF32" s="13">
        <f ca="1">$AP$32*$AP$67</f>
        <v>0</v>
      </c>
      <c r="AG32" s="13">
        <f ca="1">SUM($AE$32:$AF$32)</f>
        <v>-19.834981053784773</v>
      </c>
      <c r="AH32" s="13">
        <f>'TUSD BE'!$AH$32*'TUSD BE'!$AH$70</f>
        <v>1.9598136134905149</v>
      </c>
      <c r="AI32" s="13">
        <f>'TUSD BE'!$AI$32*'TUSD BE'!$AI$70</f>
        <v>5.7670049506454941E-2</v>
      </c>
      <c r="AJ32" s="13">
        <f ca="1">'TUSD BE'!$AJ$32*'TUSD BE'!$AJ$70</f>
        <v>0.13149134875098287</v>
      </c>
      <c r="AK32" s="13">
        <f ca="1">'TUSD BE'!$AK$32*'TUSD BE'!$AK$70</f>
        <v>-3.2318360632283147E-2</v>
      </c>
      <c r="AL32" s="13">
        <f ca="1">SUM($AH$32:$AK$32)</f>
        <v>2.1166566511156693</v>
      </c>
      <c r="AM32" s="13">
        <f ca="1">SUMIF($L$4:$AL$4,"SUBTOTAL",$L$32:$AL$32)</f>
        <v>-16.240581137756788</v>
      </c>
      <c r="AO32" s="20">
        <f ca="1">+'TUSD BE'!$T$32+'TUSD BE'!$AB$32+'TUSD BE'!$AD$32+'TUSD BE'!$AL$32</f>
        <v>459.15878161916231</v>
      </c>
      <c r="AP32" s="20">
        <f ca="1">+'TUSD BE'!$T$32+'TUSD BE'!$AB$32+'TUSD BE'!$AD$32+'TUSD BE'!$AL$32</f>
        <v>459.15878161916231</v>
      </c>
    </row>
    <row r="33" spans="1:42" ht="11.25" customHeight="1" x14ac:dyDescent="0.3">
      <c r="A33" s="137"/>
      <c r="B33" s="137"/>
      <c r="C33" s="137"/>
      <c r="D33" s="17" t="s">
        <v>29</v>
      </c>
      <c r="E33" s="17" t="s">
        <v>25</v>
      </c>
      <c r="F33" s="17" t="s">
        <v>25</v>
      </c>
      <c r="G33" s="18" t="s">
        <v>83</v>
      </c>
      <c r="H33" s="18" t="s">
        <v>79</v>
      </c>
      <c r="I33" s="18">
        <f>'MERCADO TUSD'!$U$30</f>
        <v>1110.3100000000002</v>
      </c>
      <c r="J33" s="15"/>
      <c r="L33" s="13">
        <f>'TUSD BE'!$L$33*'TUSD BE'!$L$70</f>
        <v>0</v>
      </c>
      <c r="M33" s="13">
        <f>'TUSD BE'!$M$33*'TUSD BE'!$M$70</f>
        <v>4.7521062421596759E-3</v>
      </c>
      <c r="N33" s="13">
        <f ca="1">'TUSD BE'!$N$33*'TUSD BE'!$N$70</f>
        <v>6.381221080873689E-8</v>
      </c>
      <c r="O33" s="13">
        <f>'TUSD BE'!$O$33*'TUSD BE'!$O$70</f>
        <v>0</v>
      </c>
      <c r="P33" s="13">
        <f>'TUSD BE'!$P$33*'TUSD BE'!$P$70</f>
        <v>0</v>
      </c>
      <c r="Q33" s="13">
        <f>'TUSD BE'!$Q$33*'TUSD BE'!$Q$70</f>
        <v>0</v>
      </c>
      <c r="R33" s="13">
        <f>'TUSD BE'!$R$33*'TUSD BE'!$R$70</f>
        <v>0</v>
      </c>
      <c r="S33" s="13">
        <f>'TUSD BE'!$R$33*'TUSD BE'!$S$70</f>
        <v>0</v>
      </c>
      <c r="T33" s="13">
        <f ca="1">SUM($L$33:$S$33)</f>
        <v>4.7521700543704847E-3</v>
      </c>
      <c r="U33" s="13">
        <f>'TUSD BE'!$U$33*'TUSD BE'!$U$70</f>
        <v>-0.25861040235186578</v>
      </c>
      <c r="V33" s="13">
        <f>'TUSD BE'!$V$33*'TUSD BE'!$V$70</f>
        <v>-0.23858709933706304</v>
      </c>
      <c r="W33" s="13">
        <f>'TUSD BE'!$W$33*'TUSD BE'!$W$70</f>
        <v>0</v>
      </c>
      <c r="X33" s="13">
        <f>'TUSD BE'!$X$33*'TUSD BE'!$X$70</f>
        <v>0</v>
      </c>
      <c r="Y33" s="13">
        <f>'TUSD BE'!$Y$33*'TUSD BE'!$Y$70</f>
        <v>0</v>
      </c>
      <c r="Z33" s="13">
        <f>'TUSD BE'!$Z$33*'TUSD BE'!$Z$70</f>
        <v>0</v>
      </c>
      <c r="AA33" s="13">
        <f>'TUSD BE'!$AA$33*'TUSD BE'!$AA$70</f>
        <v>0</v>
      </c>
      <c r="AB33" s="13">
        <f>SUM($U$33:$AA$33)</f>
        <v>-0.49719750168892884</v>
      </c>
      <c r="AC33" s="13">
        <f>'TUSD BE'!$AC$33*'TUSD BE'!$AC$70</f>
        <v>0</v>
      </c>
      <c r="AD33" s="13">
        <f>SUM($AC$33:$AC$33)</f>
        <v>0</v>
      </c>
      <c r="AE33" s="13">
        <f ca="1">$AO$33*$AO$67</f>
        <v>-14.58054824703766</v>
      </c>
      <c r="AF33" s="13">
        <f ca="1">$AP$33*$AP$67</f>
        <v>0</v>
      </c>
      <c r="AG33" s="13">
        <f ca="1">SUM($AE$33:$AF$33)</f>
        <v>-14.58054824703766</v>
      </c>
      <c r="AH33" s="13">
        <f>'TUSD BE'!$AH$33*'TUSD BE'!$AH$70</f>
        <v>1.9598136134905149</v>
      </c>
      <c r="AI33" s="13">
        <f>'TUSD BE'!$AI$33*'TUSD BE'!$AI$70</f>
        <v>5.7670049506454941E-2</v>
      </c>
      <c r="AJ33" s="13">
        <f ca="1">'TUSD BE'!$AJ$33*'TUSD BE'!$AJ$70</f>
        <v>0.13149134875098287</v>
      </c>
      <c r="AK33" s="13">
        <f ca="1">'TUSD BE'!$AK$33*'TUSD BE'!$AK$70</f>
        <v>-3.2318360632283147E-2</v>
      </c>
      <c r="AL33" s="13">
        <f ca="1">SUM($AH$33:$AK$33)</f>
        <v>2.1166566511156693</v>
      </c>
      <c r="AM33" s="13">
        <f ca="1">SUMIF($L$4:$AL$4,"SUBTOTAL",$L$33:$AL$33)</f>
        <v>-12.956336927556549</v>
      </c>
      <c r="AO33" s="20">
        <f ca="1">+'TUSD BE'!$T$33+'TUSD BE'!$AB$33+'TUSD BE'!$AD$33+'TUSD BE'!$AL$33</f>
        <v>337.52423308575692</v>
      </c>
      <c r="AP33" s="20">
        <f ca="1">+'TUSD BE'!$T$33+'TUSD BE'!$AB$33+'TUSD BE'!$AD$33+'TUSD BE'!$AL$33</f>
        <v>337.52423308575692</v>
      </c>
    </row>
    <row r="34" spans="1:42" ht="11.25" customHeight="1" x14ac:dyDescent="0.3">
      <c r="A34" s="137"/>
      <c r="B34" s="137"/>
      <c r="C34" s="137"/>
      <c r="D34" s="17" t="s">
        <v>30</v>
      </c>
      <c r="E34" s="17" t="s">
        <v>25</v>
      </c>
      <c r="F34" s="17" t="s">
        <v>25</v>
      </c>
      <c r="G34" s="18" t="s">
        <v>83</v>
      </c>
      <c r="H34" s="18" t="s">
        <v>79</v>
      </c>
      <c r="I34" s="18">
        <f>'MERCADO TUSD'!$U$31</f>
        <v>2263.0230000000001</v>
      </c>
      <c r="J34" s="15"/>
      <c r="L34" s="13">
        <f>'TUSD BE'!$L$34*'TUSD BE'!$L$70</f>
        <v>0</v>
      </c>
      <c r="M34" s="13">
        <f>'TUSD BE'!$M$34*'TUSD BE'!$M$70</f>
        <v>4.7521062421596759E-3</v>
      </c>
      <c r="N34" s="13">
        <f ca="1">'TUSD BE'!$N$34*'TUSD BE'!$N$70</f>
        <v>6.381221080873689E-8</v>
      </c>
      <c r="O34" s="13">
        <f>'TUSD BE'!$O$34*'TUSD BE'!$O$70</f>
        <v>0</v>
      </c>
      <c r="P34" s="13">
        <f>'TUSD BE'!$P$34*'TUSD BE'!$P$70</f>
        <v>0</v>
      </c>
      <c r="Q34" s="13">
        <f>'TUSD BE'!$Q$34*'TUSD BE'!$Q$70</f>
        <v>0</v>
      </c>
      <c r="R34" s="13">
        <f>'TUSD BE'!$R$34*'TUSD BE'!$R$70</f>
        <v>0</v>
      </c>
      <c r="S34" s="13">
        <f>'TUSD BE'!$R$34*'TUSD BE'!$S$70</f>
        <v>0</v>
      </c>
      <c r="T34" s="13">
        <f ca="1">SUM($L$34:$S$34)</f>
        <v>4.7521700543704847E-3</v>
      </c>
      <c r="U34" s="13">
        <f>'TUSD BE'!$U$34*'TUSD BE'!$U$70</f>
        <v>-0.25861040235186578</v>
      </c>
      <c r="V34" s="13">
        <f>'TUSD BE'!$V$34*'TUSD BE'!$V$70</f>
        <v>-0.23858709933706304</v>
      </c>
      <c r="W34" s="13">
        <f>'TUSD BE'!$W$34*'TUSD BE'!$W$70</f>
        <v>0</v>
      </c>
      <c r="X34" s="13">
        <f>'TUSD BE'!$X$34*'TUSD BE'!$X$70</f>
        <v>0</v>
      </c>
      <c r="Y34" s="13">
        <f>'TUSD BE'!$Y$34*'TUSD BE'!$Y$70</f>
        <v>0</v>
      </c>
      <c r="Z34" s="13">
        <f>'TUSD BE'!$Z$34*'TUSD BE'!$Z$70</f>
        <v>0</v>
      </c>
      <c r="AA34" s="13">
        <f>'TUSD BE'!$AA$34*'TUSD BE'!$AA$70</f>
        <v>0</v>
      </c>
      <c r="AB34" s="13">
        <f>SUM($U$34:$AA$34)</f>
        <v>-0.49719750168892884</v>
      </c>
      <c r="AC34" s="13">
        <f>'TUSD BE'!$AC$34*'TUSD BE'!$AC$70</f>
        <v>0</v>
      </c>
      <c r="AD34" s="13">
        <f>SUM($AC$34:$AC$34)</f>
        <v>0</v>
      </c>
      <c r="AE34" s="13">
        <f ca="1">$AO$34*$AO$67</f>
        <v>-14.58054824703766</v>
      </c>
      <c r="AF34" s="13">
        <f ca="1">$AP$34*$AP$67</f>
        <v>0</v>
      </c>
      <c r="AG34" s="13">
        <f ca="1">SUM($AE$34:$AF$34)</f>
        <v>-14.58054824703766</v>
      </c>
      <c r="AH34" s="13">
        <f>'TUSD BE'!$AH$34*'TUSD BE'!$AH$70</f>
        <v>1.9598136134905149</v>
      </c>
      <c r="AI34" s="13">
        <f>'TUSD BE'!$AI$34*'TUSD BE'!$AI$70</f>
        <v>5.7670049506454941E-2</v>
      </c>
      <c r="AJ34" s="13">
        <f ca="1">'TUSD BE'!$AJ$34*'TUSD BE'!$AJ$70</f>
        <v>0.13149134875098287</v>
      </c>
      <c r="AK34" s="13">
        <f ca="1">'TUSD BE'!$AK$34*'TUSD BE'!$AK$70</f>
        <v>-3.2318360632283147E-2</v>
      </c>
      <c r="AL34" s="13">
        <f ca="1">SUM($AH$34:$AK$34)</f>
        <v>2.1166566511156693</v>
      </c>
      <c r="AM34" s="13">
        <f ca="1">SUMIF($L$4:$AL$4,"SUBTOTAL",$L$34:$AL$34)</f>
        <v>-12.956336927556549</v>
      </c>
      <c r="AO34" s="20">
        <f ca="1">+'TUSD BE'!$T$34+'TUSD BE'!$AB$34+'TUSD BE'!$AD$34+'TUSD BE'!$AL$34</f>
        <v>337.52423308575692</v>
      </c>
      <c r="AP34" s="20">
        <f ca="1">+'TUSD BE'!$T$34+'TUSD BE'!$AB$34+'TUSD BE'!$AD$34+'TUSD BE'!$AL$34</f>
        <v>337.52423308575692</v>
      </c>
    </row>
    <row r="35" spans="1:42" ht="11.25" customHeight="1" x14ac:dyDescent="0.3">
      <c r="A35" s="137"/>
      <c r="B35" s="137"/>
      <c r="C35" s="137"/>
      <c r="D35" s="17" t="s">
        <v>31</v>
      </c>
      <c r="E35" s="17" t="s">
        <v>25</v>
      </c>
      <c r="F35" s="17" t="s">
        <v>25</v>
      </c>
      <c r="G35" s="18" t="s">
        <v>83</v>
      </c>
      <c r="H35" s="18" t="s">
        <v>79</v>
      </c>
      <c r="I35" s="18">
        <f>'MERCADO TUSD'!$U$32</f>
        <v>1590.454</v>
      </c>
      <c r="J35" s="15"/>
      <c r="L35" s="13">
        <f>'TUSD BE'!$L$35*'TUSD BE'!$L$70</f>
        <v>0</v>
      </c>
      <c r="M35" s="13">
        <f>'TUSD BE'!$M$35*'TUSD BE'!$M$70</f>
        <v>4.7521062421596759E-3</v>
      </c>
      <c r="N35" s="13">
        <f ca="1">'TUSD BE'!$N$35*'TUSD BE'!$N$70</f>
        <v>6.381221080873689E-8</v>
      </c>
      <c r="O35" s="13">
        <f>'TUSD BE'!$O$35*'TUSD BE'!$O$70</f>
        <v>0</v>
      </c>
      <c r="P35" s="13">
        <f>'TUSD BE'!$P$35*'TUSD BE'!$P$70</f>
        <v>0</v>
      </c>
      <c r="Q35" s="13">
        <f>'TUSD BE'!$Q$35*'TUSD BE'!$Q$70</f>
        <v>0</v>
      </c>
      <c r="R35" s="13">
        <f>'TUSD BE'!$R$35*'TUSD BE'!$R$70</f>
        <v>0</v>
      </c>
      <c r="S35" s="13">
        <f>'TUSD BE'!$R$35*'TUSD BE'!$S$70</f>
        <v>0</v>
      </c>
      <c r="T35" s="13">
        <f ca="1">SUM($L$35:$S$35)</f>
        <v>4.7521700543704847E-3</v>
      </c>
      <c r="U35" s="13">
        <f>'TUSD BE'!$U$35*'TUSD BE'!$U$70</f>
        <v>-0.25861040235186578</v>
      </c>
      <c r="V35" s="13">
        <f>'TUSD BE'!$V$35*'TUSD BE'!$V$70</f>
        <v>-0.23858709933706304</v>
      </c>
      <c r="W35" s="13">
        <f>'TUSD BE'!$W$35*'TUSD BE'!$W$70</f>
        <v>0</v>
      </c>
      <c r="X35" s="13">
        <f>'TUSD BE'!$X$35*'TUSD BE'!$X$70</f>
        <v>0</v>
      </c>
      <c r="Y35" s="13">
        <f>'TUSD BE'!$Y$35*'TUSD BE'!$Y$70</f>
        <v>0</v>
      </c>
      <c r="Z35" s="13">
        <f>'TUSD BE'!$Z$35*'TUSD BE'!$Z$70</f>
        <v>0</v>
      </c>
      <c r="AA35" s="13">
        <f>'TUSD BE'!$AA$35*'TUSD BE'!$AA$70</f>
        <v>0</v>
      </c>
      <c r="AB35" s="13">
        <f>SUM($U$35:$AA$35)</f>
        <v>-0.49719750168892884</v>
      </c>
      <c r="AC35" s="13">
        <f>'TUSD BE'!$AC$35*'TUSD BE'!$AC$70</f>
        <v>0</v>
      </c>
      <c r="AD35" s="13">
        <f>SUM($AC$35:$AC$35)</f>
        <v>0</v>
      </c>
      <c r="AE35" s="13">
        <f ca="1">$AO$35*$AO$67</f>
        <v>-14.58054824703766</v>
      </c>
      <c r="AF35" s="13">
        <f ca="1">$AP$35*$AP$67</f>
        <v>0</v>
      </c>
      <c r="AG35" s="13">
        <f ca="1">SUM($AE$35:$AF$35)</f>
        <v>-14.58054824703766</v>
      </c>
      <c r="AH35" s="13">
        <f>'TUSD BE'!$AH$35*'TUSD BE'!$AH$70</f>
        <v>1.9598136134905149</v>
      </c>
      <c r="AI35" s="13">
        <f>'TUSD BE'!$AI$35*'TUSD BE'!$AI$70</f>
        <v>5.7670049506454941E-2</v>
      </c>
      <c r="AJ35" s="13">
        <f ca="1">'TUSD BE'!$AJ$35*'TUSD BE'!$AJ$70</f>
        <v>0.13149134875098287</v>
      </c>
      <c r="AK35" s="13">
        <f ca="1">'TUSD BE'!$AK$35*'TUSD BE'!$AK$70</f>
        <v>-3.2318360632283147E-2</v>
      </c>
      <c r="AL35" s="13">
        <f ca="1">SUM($AH$35:$AK$35)</f>
        <v>2.1166566511156693</v>
      </c>
      <c r="AM35" s="13">
        <f ca="1">SUMIF($L$4:$AL$4,"SUBTOTAL",$L$35:$AL$35)</f>
        <v>-12.956336927556549</v>
      </c>
      <c r="AO35" s="20">
        <f ca="1">+'TUSD BE'!$T$35+'TUSD BE'!$AB$35+'TUSD BE'!$AD$35+'TUSD BE'!$AL$35</f>
        <v>337.52423308575692</v>
      </c>
      <c r="AP35" s="20">
        <f ca="1">+'TUSD BE'!$T$35+'TUSD BE'!$AB$35+'TUSD BE'!$AD$35+'TUSD BE'!$AL$35</f>
        <v>337.52423308575692</v>
      </c>
    </row>
    <row r="36" spans="1:42" ht="11.25" customHeight="1" x14ac:dyDescent="0.3">
      <c r="A36" s="137"/>
      <c r="B36" s="137"/>
      <c r="C36" s="137"/>
      <c r="D36" s="17" t="s">
        <v>32</v>
      </c>
      <c r="E36" s="17" t="s">
        <v>25</v>
      </c>
      <c r="F36" s="17" t="s">
        <v>25</v>
      </c>
      <c r="G36" s="18" t="s">
        <v>83</v>
      </c>
      <c r="H36" s="18" t="s">
        <v>79</v>
      </c>
      <c r="I36" s="18">
        <f>'MERCADO TUSD'!$U$33</f>
        <v>284.12699999999995</v>
      </c>
      <c r="J36" s="15"/>
      <c r="L36" s="13">
        <f>'TUSD BE'!$L$36*'TUSD BE'!$L$70</f>
        <v>0</v>
      </c>
      <c r="M36" s="13">
        <f>'TUSD BE'!$M$36*'TUSD BE'!$M$70</f>
        <v>4.7521062421596759E-3</v>
      </c>
      <c r="N36" s="13">
        <f ca="1">'TUSD BE'!$N$36*'TUSD BE'!$N$70</f>
        <v>6.381221080873689E-8</v>
      </c>
      <c r="O36" s="13">
        <f>'TUSD BE'!$O$36*'TUSD BE'!$O$70</f>
        <v>0</v>
      </c>
      <c r="P36" s="13">
        <f>'TUSD BE'!$P$36*'TUSD BE'!$P$70</f>
        <v>0</v>
      </c>
      <c r="Q36" s="13">
        <f>'TUSD BE'!$Q$36*'TUSD BE'!$Q$70</f>
        <v>0</v>
      </c>
      <c r="R36" s="13">
        <f>'TUSD BE'!$R$36*'TUSD BE'!$R$70</f>
        <v>0</v>
      </c>
      <c r="S36" s="13">
        <f>'TUSD BE'!$R$36*'TUSD BE'!$S$70</f>
        <v>0</v>
      </c>
      <c r="T36" s="13">
        <f ca="1">SUM($L$36:$S$36)</f>
        <v>4.7521700543704847E-3</v>
      </c>
      <c r="U36" s="13">
        <f>'TUSD BE'!$U$36*'TUSD BE'!$U$70</f>
        <v>-0.25861040235186578</v>
      </c>
      <c r="V36" s="13">
        <f>'TUSD BE'!$V$36*'TUSD BE'!$V$70</f>
        <v>-0.23858709933706304</v>
      </c>
      <c r="W36" s="13">
        <f>'TUSD BE'!$W$36*'TUSD BE'!$W$70</f>
        <v>0</v>
      </c>
      <c r="X36" s="13">
        <f>'TUSD BE'!$X$36*'TUSD BE'!$X$70</f>
        <v>0</v>
      </c>
      <c r="Y36" s="13">
        <f>'TUSD BE'!$Y$36*'TUSD BE'!$Y$70</f>
        <v>0</v>
      </c>
      <c r="Z36" s="13">
        <f>'TUSD BE'!$Z$36*'TUSD BE'!$Z$70</f>
        <v>0</v>
      </c>
      <c r="AA36" s="13">
        <f>'TUSD BE'!$AA$36*'TUSD BE'!$AA$70</f>
        <v>0</v>
      </c>
      <c r="AB36" s="13">
        <f>SUM($U$36:$AA$36)</f>
        <v>-0.49719750168892884</v>
      </c>
      <c r="AC36" s="13">
        <f>'TUSD BE'!$AC$36*'TUSD BE'!$AC$70</f>
        <v>0</v>
      </c>
      <c r="AD36" s="13">
        <f>SUM($AC$36:$AC$36)</f>
        <v>0</v>
      </c>
      <c r="AE36" s="13">
        <f ca="1">$AO$36*$AO$67</f>
        <v>-14.58054824703766</v>
      </c>
      <c r="AF36" s="13">
        <f ca="1">$AP$36*$AP$67</f>
        <v>0</v>
      </c>
      <c r="AG36" s="13">
        <f ca="1">SUM($AE$36:$AF$36)</f>
        <v>-14.58054824703766</v>
      </c>
      <c r="AH36" s="13">
        <f>'TUSD BE'!$AH$36*'TUSD BE'!$AH$70</f>
        <v>1.9598136134905149</v>
      </c>
      <c r="AI36" s="13">
        <f>'TUSD BE'!$AI$36*'TUSD BE'!$AI$70</f>
        <v>5.7670049506454941E-2</v>
      </c>
      <c r="AJ36" s="13">
        <f ca="1">'TUSD BE'!$AJ$36*'TUSD BE'!$AJ$70</f>
        <v>0.13149134875098287</v>
      </c>
      <c r="AK36" s="13">
        <f ca="1">'TUSD BE'!$AK$36*'TUSD BE'!$AK$70</f>
        <v>-3.2318360632283147E-2</v>
      </c>
      <c r="AL36" s="13">
        <f ca="1">SUM($AH$36:$AK$36)</f>
        <v>2.1166566511156693</v>
      </c>
      <c r="AM36" s="13">
        <f ca="1">SUMIF($L$4:$AL$4,"SUBTOTAL",$L$36:$AL$36)</f>
        <v>-12.956336927556549</v>
      </c>
      <c r="AO36" s="20">
        <f ca="1">+'TUSD BE'!$T$36+'TUSD BE'!$AB$36+'TUSD BE'!$AD$36+'TUSD BE'!$AL$36</f>
        <v>337.52423308575692</v>
      </c>
      <c r="AP36" s="20">
        <f ca="1">+'TUSD BE'!$T$36+'TUSD BE'!$AB$36+'TUSD BE'!$AD$36+'TUSD BE'!$AL$36</f>
        <v>337.52423308575692</v>
      </c>
    </row>
    <row r="37" spans="1:42" ht="11.25" customHeight="1" x14ac:dyDescent="0.3">
      <c r="A37" s="137"/>
      <c r="B37" s="137" t="s">
        <v>93</v>
      </c>
      <c r="C37" s="137" t="s">
        <v>24</v>
      </c>
      <c r="D37" s="17" t="s">
        <v>24</v>
      </c>
      <c r="E37" s="17" t="s">
        <v>25</v>
      </c>
      <c r="F37" s="17" t="s">
        <v>25</v>
      </c>
      <c r="G37" s="18" t="s">
        <v>83</v>
      </c>
      <c r="H37" s="18" t="s">
        <v>79</v>
      </c>
      <c r="I37" s="18">
        <f>'MERCADO TUSD'!$U$34</f>
        <v>0</v>
      </c>
      <c r="J37" s="15"/>
      <c r="L37" s="13">
        <f>'TUSD BE'!$L$37*'TUSD BE'!$L$70</f>
        <v>-0.12394774751833187</v>
      </c>
      <c r="M37" s="13">
        <f>'TUSD BE'!$M$37*'TUSD BE'!$M$70</f>
        <v>4.7521062421596759E-3</v>
      </c>
      <c r="N37" s="13">
        <f ca="1">'TUSD BE'!$N$37*'TUSD BE'!$N$70</f>
        <v>6.4013120631565557E-8</v>
      </c>
      <c r="O37" s="13">
        <f>'TUSD BE'!$O$37*'TUSD BE'!$O$70</f>
        <v>0</v>
      </c>
      <c r="P37" s="13">
        <f>'TUSD BE'!$P$37*'TUSD BE'!$P$70</f>
        <v>0</v>
      </c>
      <c r="Q37" s="13">
        <f>'TUSD BE'!$Q$37*'TUSD BE'!$Q$70</f>
        <v>1.6910279315747665</v>
      </c>
      <c r="R37" s="13">
        <f>'TUSD BE'!$R$37*'TUSD BE'!$R$70</f>
        <v>0.40310841228953048</v>
      </c>
      <c r="S37" s="13">
        <f>'TUSD BE'!$R$37*'TUSD BE'!$S$70</f>
        <v>0</v>
      </c>
      <c r="T37" s="13">
        <f ca="1">SUM($L$37:$S$37)</f>
        <v>1.9749407666012455</v>
      </c>
      <c r="U37" s="13">
        <f>'TUSD BE'!$U$37*'TUSD BE'!$U$70</f>
        <v>-0.25861040235186578</v>
      </c>
      <c r="V37" s="13">
        <f>'TUSD BE'!$V$37*'TUSD BE'!$V$70</f>
        <v>-0.23858709933706304</v>
      </c>
      <c r="W37" s="13">
        <f>'TUSD BE'!$W$37*'TUSD BE'!$W$70</f>
        <v>0</v>
      </c>
      <c r="X37" s="13">
        <f>'TUSD BE'!$X$37*'TUSD BE'!$X$70</f>
        <v>0</v>
      </c>
      <c r="Y37" s="13">
        <f>'TUSD BE'!$Y$37*'TUSD BE'!$Y$70</f>
        <v>0</v>
      </c>
      <c r="Z37" s="13">
        <f>'TUSD BE'!$Z$37*'TUSD BE'!$Z$70</f>
        <v>0</v>
      </c>
      <c r="AA37" s="13">
        <f>'TUSD BE'!$AA$37*'TUSD BE'!$AA$70</f>
        <v>0</v>
      </c>
      <c r="AB37" s="13">
        <f>SUM($U$37:$AA$37)</f>
        <v>-0.49719750168892884</v>
      </c>
      <c r="AC37" s="13">
        <f>'TUSD BE'!$AC$37*'TUSD BE'!$AC$70</f>
        <v>0</v>
      </c>
      <c r="AD37" s="13">
        <f>SUM($AC$37:$AC$37)</f>
        <v>0</v>
      </c>
      <c r="AE37" s="13">
        <f ca="1">$AO$37*$AO$67</f>
        <v>-19.834981053784773</v>
      </c>
      <c r="AF37" s="13">
        <f ca="1">$AP$37*$AP$67</f>
        <v>0</v>
      </c>
      <c r="AG37" s="13">
        <f ca="1">SUM($AE$37:$AF$37)</f>
        <v>-19.834981053784773</v>
      </c>
      <c r="AH37" s="13">
        <f>'TUSD BE'!$AH$37*'TUSD BE'!$AH$70</f>
        <v>1.9598136134905149</v>
      </c>
      <c r="AI37" s="13">
        <f>'TUSD BE'!$AI$37*'TUSD BE'!$AI$70</f>
        <v>5.7670049506454941E-2</v>
      </c>
      <c r="AJ37" s="13">
        <f ca="1">'TUSD BE'!$AJ$37*'TUSD BE'!$AJ$70</f>
        <v>0.13149134875098287</v>
      </c>
      <c r="AK37" s="13">
        <f ca="1">'TUSD BE'!$AK$37*'TUSD BE'!$AK$70</f>
        <v>-3.2318360632283147E-2</v>
      </c>
      <c r="AL37" s="13">
        <f ca="1">SUM($AH$37:$AK$37)</f>
        <v>2.1166566511156693</v>
      </c>
      <c r="AM37" s="13">
        <f ca="1">SUMIF($L$4:$AL$4,"SUBTOTAL",$L$37:$AL$37)</f>
        <v>-16.240581137756788</v>
      </c>
      <c r="AO37" s="20">
        <f ca="1">+'TUSD BE'!$T$37+'TUSD BE'!$AB$37+'TUSD BE'!$AD$37+'TUSD BE'!$AL$37</f>
        <v>459.15878161916231</v>
      </c>
      <c r="AP37" s="20">
        <f ca="1">+'TUSD BE'!$T$37+'TUSD BE'!$AB$37+'TUSD BE'!$AD$37+'TUSD BE'!$AL$37</f>
        <v>459.15878161916231</v>
      </c>
    </row>
    <row r="38" spans="1:42" ht="11.25" customHeight="1" x14ac:dyDescent="0.3">
      <c r="A38" s="137"/>
      <c r="B38" s="137"/>
      <c r="C38" s="137"/>
      <c r="D38" s="17" t="s">
        <v>29</v>
      </c>
      <c r="E38" s="17" t="s">
        <v>25</v>
      </c>
      <c r="F38" s="17" t="s">
        <v>25</v>
      </c>
      <c r="G38" s="18" t="s">
        <v>83</v>
      </c>
      <c r="H38" s="18" t="s">
        <v>79</v>
      </c>
      <c r="I38" s="18">
        <f>'MERCADO TUSD'!$U$35</f>
        <v>0</v>
      </c>
      <c r="J38" s="15"/>
      <c r="L38" s="13">
        <f>'TUSD BE'!$L$38*'TUSD BE'!$L$70</f>
        <v>0</v>
      </c>
      <c r="M38" s="13">
        <f>'TUSD BE'!$M$38*'TUSD BE'!$M$70</f>
        <v>4.7521062421596759E-3</v>
      </c>
      <c r="N38" s="13">
        <f ca="1">'TUSD BE'!$N$38*'TUSD BE'!$N$70</f>
        <v>6.381221080873689E-8</v>
      </c>
      <c r="O38" s="13">
        <f>'TUSD BE'!$O$38*'TUSD BE'!$O$70</f>
        <v>0</v>
      </c>
      <c r="P38" s="13">
        <f>'TUSD BE'!$P$38*'TUSD BE'!$P$70</f>
        <v>0</v>
      </c>
      <c r="Q38" s="13">
        <f>'TUSD BE'!$Q$38*'TUSD BE'!$Q$70</f>
        <v>0</v>
      </c>
      <c r="R38" s="13">
        <f>'TUSD BE'!$R$38*'TUSD BE'!$R$70</f>
        <v>0</v>
      </c>
      <c r="S38" s="13">
        <f>'TUSD BE'!$R$38*'TUSD BE'!$S$70</f>
        <v>0</v>
      </c>
      <c r="T38" s="13">
        <f ca="1">SUM($L$38:$S$38)</f>
        <v>4.7521700543704847E-3</v>
      </c>
      <c r="U38" s="13">
        <f>'TUSD BE'!$U$38*'TUSD BE'!$U$70</f>
        <v>-0.25861040235186578</v>
      </c>
      <c r="V38" s="13">
        <f>'TUSD BE'!$V$38*'TUSD BE'!$V$70</f>
        <v>-0.23858709933706304</v>
      </c>
      <c r="W38" s="13">
        <f>'TUSD BE'!$W$38*'TUSD BE'!$W$70</f>
        <v>0</v>
      </c>
      <c r="X38" s="13">
        <f>'TUSD BE'!$X$38*'TUSD BE'!$X$70</f>
        <v>0</v>
      </c>
      <c r="Y38" s="13">
        <f>'TUSD BE'!$Y$38*'TUSD BE'!$Y$70</f>
        <v>0</v>
      </c>
      <c r="Z38" s="13">
        <f>'TUSD BE'!$Z$38*'TUSD BE'!$Z$70</f>
        <v>0</v>
      </c>
      <c r="AA38" s="13">
        <f>'TUSD BE'!$AA$38*'TUSD BE'!$AA$70</f>
        <v>0</v>
      </c>
      <c r="AB38" s="13">
        <f>SUM($U$38:$AA$38)</f>
        <v>-0.49719750168892884</v>
      </c>
      <c r="AC38" s="13">
        <f>'TUSD BE'!$AC$38*'TUSD BE'!$AC$70</f>
        <v>0</v>
      </c>
      <c r="AD38" s="13">
        <f>SUM($AC$38:$AC$38)</f>
        <v>0</v>
      </c>
      <c r="AE38" s="13">
        <f ca="1">$AO$38*$AO$67</f>
        <v>-14.58054824703766</v>
      </c>
      <c r="AF38" s="13">
        <f ca="1">$AP$38*$AP$67</f>
        <v>0</v>
      </c>
      <c r="AG38" s="13">
        <f ca="1">SUM($AE$38:$AF$38)</f>
        <v>-14.58054824703766</v>
      </c>
      <c r="AH38" s="13">
        <f>'TUSD BE'!$AH$38*'TUSD BE'!$AH$70</f>
        <v>1.9598136134905149</v>
      </c>
      <c r="AI38" s="13">
        <f>'TUSD BE'!$AI$38*'TUSD BE'!$AI$70</f>
        <v>5.7670049506454941E-2</v>
      </c>
      <c r="AJ38" s="13">
        <f ca="1">'TUSD BE'!$AJ$38*'TUSD BE'!$AJ$70</f>
        <v>0.13149134875098287</v>
      </c>
      <c r="AK38" s="13">
        <f ca="1">'TUSD BE'!$AK$38*'TUSD BE'!$AK$70</f>
        <v>-3.2318360632283147E-2</v>
      </c>
      <c r="AL38" s="13">
        <f ca="1">SUM($AH$38:$AK$38)</f>
        <v>2.1166566511156693</v>
      </c>
      <c r="AM38" s="13">
        <f ca="1">SUMIF($L$4:$AL$4,"SUBTOTAL",$L$38:$AL$38)</f>
        <v>-12.956336927556549</v>
      </c>
      <c r="AO38" s="20">
        <f ca="1">+'TUSD BE'!$T$38+'TUSD BE'!$AB$38+'TUSD BE'!$AD$38+'TUSD BE'!$AL$38</f>
        <v>337.52423308575692</v>
      </c>
      <c r="AP38" s="20">
        <f ca="1">+'TUSD BE'!$T$38+'TUSD BE'!$AB$38+'TUSD BE'!$AD$38+'TUSD BE'!$AL$38</f>
        <v>337.52423308575692</v>
      </c>
    </row>
    <row r="39" spans="1:42" ht="11.25" customHeight="1" x14ac:dyDescent="0.3">
      <c r="A39" s="137"/>
      <c r="B39" s="137"/>
      <c r="C39" s="137"/>
      <c r="D39" s="17" t="s">
        <v>30</v>
      </c>
      <c r="E39" s="17" t="s">
        <v>25</v>
      </c>
      <c r="F39" s="17" t="s">
        <v>25</v>
      </c>
      <c r="G39" s="18" t="s">
        <v>83</v>
      </c>
      <c r="H39" s="18" t="s">
        <v>79</v>
      </c>
      <c r="I39" s="18">
        <f>'MERCADO TUSD'!$U$36</f>
        <v>0</v>
      </c>
      <c r="J39" s="15"/>
      <c r="L39" s="13">
        <f>'TUSD BE'!$L$39*'TUSD BE'!$L$70</f>
        <v>0</v>
      </c>
      <c r="M39" s="13">
        <f>'TUSD BE'!$M$39*'TUSD BE'!$M$70</f>
        <v>4.7521062421596759E-3</v>
      </c>
      <c r="N39" s="13">
        <f ca="1">'TUSD BE'!$N$39*'TUSD BE'!$N$70</f>
        <v>6.381221080873689E-8</v>
      </c>
      <c r="O39" s="13">
        <f>'TUSD BE'!$O$39*'TUSD BE'!$O$70</f>
        <v>0</v>
      </c>
      <c r="P39" s="13">
        <f>'TUSD BE'!$P$39*'TUSD BE'!$P$70</f>
        <v>0</v>
      </c>
      <c r="Q39" s="13">
        <f>'TUSD BE'!$Q$39*'TUSD BE'!$Q$70</f>
        <v>0</v>
      </c>
      <c r="R39" s="13">
        <f>'TUSD BE'!$R$39*'TUSD BE'!$R$70</f>
        <v>0</v>
      </c>
      <c r="S39" s="13">
        <f>'TUSD BE'!$R$39*'TUSD BE'!$S$70</f>
        <v>0</v>
      </c>
      <c r="T39" s="13">
        <f ca="1">SUM($L$39:$S$39)</f>
        <v>4.7521700543704847E-3</v>
      </c>
      <c r="U39" s="13">
        <f>'TUSD BE'!$U$39*'TUSD BE'!$U$70</f>
        <v>-0.25861040235186578</v>
      </c>
      <c r="V39" s="13">
        <f>'TUSD BE'!$V$39*'TUSD BE'!$V$70</f>
        <v>-0.23858709933706304</v>
      </c>
      <c r="W39" s="13">
        <f>'TUSD BE'!$W$39*'TUSD BE'!$W$70</f>
        <v>0</v>
      </c>
      <c r="X39" s="13">
        <f>'TUSD BE'!$X$39*'TUSD BE'!$X$70</f>
        <v>0</v>
      </c>
      <c r="Y39" s="13">
        <f>'TUSD BE'!$Y$39*'TUSD BE'!$Y$70</f>
        <v>0</v>
      </c>
      <c r="Z39" s="13">
        <f>'TUSD BE'!$Z$39*'TUSD BE'!$Z$70</f>
        <v>0</v>
      </c>
      <c r="AA39" s="13">
        <f>'TUSD BE'!$AA$39*'TUSD BE'!$AA$70</f>
        <v>0</v>
      </c>
      <c r="AB39" s="13">
        <f>SUM($U$39:$AA$39)</f>
        <v>-0.49719750168892884</v>
      </c>
      <c r="AC39" s="13">
        <f>'TUSD BE'!$AC$39*'TUSD BE'!$AC$70</f>
        <v>0</v>
      </c>
      <c r="AD39" s="13">
        <f>SUM($AC$39:$AC$39)</f>
        <v>0</v>
      </c>
      <c r="AE39" s="13">
        <f ca="1">$AO$39*$AO$67</f>
        <v>-14.58054824703766</v>
      </c>
      <c r="AF39" s="13">
        <f ca="1">$AP$39*$AP$67</f>
        <v>0</v>
      </c>
      <c r="AG39" s="13">
        <f ca="1">SUM($AE$39:$AF$39)</f>
        <v>-14.58054824703766</v>
      </c>
      <c r="AH39" s="13">
        <f>'TUSD BE'!$AH$39*'TUSD BE'!$AH$70</f>
        <v>1.9598136134905149</v>
      </c>
      <c r="AI39" s="13">
        <f>'TUSD BE'!$AI$39*'TUSD BE'!$AI$70</f>
        <v>5.7670049506454941E-2</v>
      </c>
      <c r="AJ39" s="13">
        <f ca="1">'TUSD BE'!$AJ$39*'TUSD BE'!$AJ$70</f>
        <v>0.13149134875098287</v>
      </c>
      <c r="AK39" s="13">
        <f ca="1">'TUSD BE'!$AK$39*'TUSD BE'!$AK$70</f>
        <v>-3.2318360632283147E-2</v>
      </c>
      <c r="AL39" s="13">
        <f ca="1">SUM($AH$39:$AK$39)</f>
        <v>2.1166566511156693</v>
      </c>
      <c r="AM39" s="13">
        <f ca="1">SUMIF($L$4:$AL$4,"SUBTOTAL",$L$39:$AL$39)</f>
        <v>-12.956336927556549</v>
      </c>
      <c r="AO39" s="20">
        <f ca="1">+'TUSD BE'!$T$39+'TUSD BE'!$AB$39+'TUSD BE'!$AD$39+'TUSD BE'!$AL$39</f>
        <v>337.52423308575692</v>
      </c>
      <c r="AP39" s="20">
        <f ca="1">+'TUSD BE'!$T$39+'TUSD BE'!$AB$39+'TUSD BE'!$AD$39+'TUSD BE'!$AL$39</f>
        <v>337.52423308575692</v>
      </c>
    </row>
    <row r="40" spans="1:42" ht="11.25" customHeight="1" x14ac:dyDescent="0.3">
      <c r="A40" s="137"/>
      <c r="B40" s="137"/>
      <c r="C40" s="137"/>
      <c r="D40" s="17" t="s">
        <v>31</v>
      </c>
      <c r="E40" s="17" t="s">
        <v>25</v>
      </c>
      <c r="F40" s="17" t="s">
        <v>25</v>
      </c>
      <c r="G40" s="18" t="s">
        <v>83</v>
      </c>
      <c r="H40" s="18" t="s">
        <v>79</v>
      </c>
      <c r="I40" s="18">
        <f>'MERCADO TUSD'!$U$37</f>
        <v>0</v>
      </c>
      <c r="J40" s="15"/>
      <c r="L40" s="13">
        <f>'TUSD BE'!$L$40*'TUSD BE'!$L$70</f>
        <v>0</v>
      </c>
      <c r="M40" s="13">
        <f>'TUSD BE'!$M$40*'TUSD BE'!$M$70</f>
        <v>4.7521062421596759E-3</v>
      </c>
      <c r="N40" s="13">
        <f ca="1">'TUSD BE'!$N$40*'TUSD BE'!$N$70</f>
        <v>6.381221080873689E-8</v>
      </c>
      <c r="O40" s="13">
        <f>'TUSD BE'!$O$40*'TUSD BE'!$O$70</f>
        <v>0</v>
      </c>
      <c r="P40" s="13">
        <f>'TUSD BE'!$P$40*'TUSD BE'!$P$70</f>
        <v>0</v>
      </c>
      <c r="Q40" s="13">
        <f>'TUSD BE'!$Q$40*'TUSD BE'!$Q$70</f>
        <v>0</v>
      </c>
      <c r="R40" s="13">
        <f>'TUSD BE'!$R$40*'TUSD BE'!$R$70</f>
        <v>0</v>
      </c>
      <c r="S40" s="13">
        <f>'TUSD BE'!$R$40*'TUSD BE'!$S$70</f>
        <v>0</v>
      </c>
      <c r="T40" s="13">
        <f ca="1">SUM($L$40:$S$40)</f>
        <v>4.7521700543704847E-3</v>
      </c>
      <c r="U40" s="13">
        <f>'TUSD BE'!$U$40*'TUSD BE'!$U$70</f>
        <v>-0.25861040235186578</v>
      </c>
      <c r="V40" s="13">
        <f>'TUSD BE'!$V$40*'TUSD BE'!$V$70</f>
        <v>-0.23858709933706304</v>
      </c>
      <c r="W40" s="13">
        <f>'TUSD BE'!$W$40*'TUSD BE'!$W$70</f>
        <v>0</v>
      </c>
      <c r="X40" s="13">
        <f>'TUSD BE'!$X$40*'TUSD BE'!$X$70</f>
        <v>0</v>
      </c>
      <c r="Y40" s="13">
        <f>'TUSD BE'!$Y$40*'TUSD BE'!$Y$70</f>
        <v>0</v>
      </c>
      <c r="Z40" s="13">
        <f>'TUSD BE'!$Z$40*'TUSD BE'!$Z$70</f>
        <v>0</v>
      </c>
      <c r="AA40" s="13">
        <f>'TUSD BE'!$AA$40*'TUSD BE'!$AA$70</f>
        <v>0</v>
      </c>
      <c r="AB40" s="13">
        <f>SUM($U$40:$AA$40)</f>
        <v>-0.49719750168892884</v>
      </c>
      <c r="AC40" s="13">
        <f>'TUSD BE'!$AC$40*'TUSD BE'!$AC$70</f>
        <v>0</v>
      </c>
      <c r="AD40" s="13">
        <f>SUM($AC$40:$AC$40)</f>
        <v>0</v>
      </c>
      <c r="AE40" s="13">
        <f ca="1">$AO$40*$AO$67</f>
        <v>-14.58054824703766</v>
      </c>
      <c r="AF40" s="13">
        <f ca="1">$AP$40*$AP$67</f>
        <v>0</v>
      </c>
      <c r="AG40" s="13">
        <f ca="1">SUM($AE$40:$AF$40)</f>
        <v>-14.58054824703766</v>
      </c>
      <c r="AH40" s="13">
        <f>'TUSD BE'!$AH$40*'TUSD BE'!$AH$70</f>
        <v>1.9598136134905149</v>
      </c>
      <c r="AI40" s="13">
        <f>'TUSD BE'!$AI$40*'TUSD BE'!$AI$70</f>
        <v>5.7670049506454941E-2</v>
      </c>
      <c r="AJ40" s="13">
        <f ca="1">'TUSD BE'!$AJ$40*'TUSD BE'!$AJ$70</f>
        <v>0.13149134875098287</v>
      </c>
      <c r="AK40" s="13">
        <f ca="1">'TUSD BE'!$AK$40*'TUSD BE'!$AK$70</f>
        <v>-3.2318360632283147E-2</v>
      </c>
      <c r="AL40" s="13">
        <f ca="1">SUM($AH$40:$AK$40)</f>
        <v>2.1166566511156693</v>
      </c>
      <c r="AM40" s="13">
        <f ca="1">SUMIF($L$4:$AL$4,"SUBTOTAL",$L$40:$AL$40)</f>
        <v>-12.956336927556549</v>
      </c>
      <c r="AO40" s="20">
        <f ca="1">+'TUSD BE'!$T$40+'TUSD BE'!$AB$40+'TUSD BE'!$AD$40+'TUSD BE'!$AL$40</f>
        <v>337.52423308575692</v>
      </c>
      <c r="AP40" s="20">
        <f ca="1">+'TUSD BE'!$T$40+'TUSD BE'!$AB$40+'TUSD BE'!$AD$40+'TUSD BE'!$AL$40</f>
        <v>337.52423308575692</v>
      </c>
    </row>
    <row r="41" spans="1:42" ht="11.25" customHeight="1" x14ac:dyDescent="0.3">
      <c r="A41" s="137"/>
      <c r="B41" s="137"/>
      <c r="C41" s="137"/>
      <c r="D41" s="17" t="s">
        <v>32</v>
      </c>
      <c r="E41" s="17" t="s">
        <v>25</v>
      </c>
      <c r="F41" s="17" t="s">
        <v>25</v>
      </c>
      <c r="G41" s="18" t="s">
        <v>83</v>
      </c>
      <c r="H41" s="18" t="s">
        <v>79</v>
      </c>
      <c r="I41" s="18">
        <f>'MERCADO TUSD'!$U$38</f>
        <v>0</v>
      </c>
      <c r="J41" s="15"/>
      <c r="L41" s="13">
        <f>'TUSD BE'!$L$41*'TUSD BE'!$L$70</f>
        <v>0</v>
      </c>
      <c r="M41" s="13">
        <f>'TUSD BE'!$M$41*'TUSD BE'!$M$70</f>
        <v>4.7521062421596759E-3</v>
      </c>
      <c r="N41" s="13">
        <f ca="1">'TUSD BE'!$N$41*'TUSD BE'!$N$70</f>
        <v>6.381221080873689E-8</v>
      </c>
      <c r="O41" s="13">
        <f>'TUSD BE'!$O$41*'TUSD BE'!$O$70</f>
        <v>0</v>
      </c>
      <c r="P41" s="13">
        <f>'TUSD BE'!$P$41*'TUSD BE'!$P$70</f>
        <v>0</v>
      </c>
      <c r="Q41" s="13">
        <f>'TUSD BE'!$Q$41*'TUSD BE'!$Q$70</f>
        <v>0</v>
      </c>
      <c r="R41" s="13">
        <f>'TUSD BE'!$R$41*'TUSD BE'!$R$70</f>
        <v>0</v>
      </c>
      <c r="S41" s="13">
        <f>'TUSD BE'!$R$41*'TUSD BE'!$S$70</f>
        <v>0</v>
      </c>
      <c r="T41" s="13">
        <f ca="1">SUM($L$41:$S$41)</f>
        <v>4.7521700543704847E-3</v>
      </c>
      <c r="U41" s="13">
        <f>'TUSD BE'!$U$41*'TUSD BE'!$U$70</f>
        <v>-0.25861040235186578</v>
      </c>
      <c r="V41" s="13">
        <f>'TUSD BE'!$V$41*'TUSD BE'!$V$70</f>
        <v>-0.23858709933706304</v>
      </c>
      <c r="W41" s="13">
        <f>'TUSD BE'!$W$41*'TUSD BE'!$W$70</f>
        <v>0</v>
      </c>
      <c r="X41" s="13">
        <f>'TUSD BE'!$X$41*'TUSD BE'!$X$70</f>
        <v>0</v>
      </c>
      <c r="Y41" s="13">
        <f>'TUSD BE'!$Y$41*'TUSD BE'!$Y$70</f>
        <v>0</v>
      </c>
      <c r="Z41" s="13">
        <f>'TUSD BE'!$Z$41*'TUSD BE'!$Z$70</f>
        <v>0</v>
      </c>
      <c r="AA41" s="13">
        <f>'TUSD BE'!$AA$41*'TUSD BE'!$AA$70</f>
        <v>0</v>
      </c>
      <c r="AB41" s="13">
        <f>SUM($U$41:$AA$41)</f>
        <v>-0.49719750168892884</v>
      </c>
      <c r="AC41" s="13">
        <f>'TUSD BE'!$AC$41*'TUSD BE'!$AC$70</f>
        <v>0</v>
      </c>
      <c r="AD41" s="13">
        <f>SUM($AC$41:$AC$41)</f>
        <v>0</v>
      </c>
      <c r="AE41" s="13">
        <f ca="1">$AO$41*$AO$67</f>
        <v>-14.58054824703766</v>
      </c>
      <c r="AF41" s="13">
        <f ca="1">$AP$41*$AP$67</f>
        <v>0</v>
      </c>
      <c r="AG41" s="13">
        <f ca="1">SUM($AE$41:$AF$41)</f>
        <v>-14.58054824703766</v>
      </c>
      <c r="AH41" s="13">
        <f>'TUSD BE'!$AH$41*'TUSD BE'!$AH$70</f>
        <v>1.9598136134905149</v>
      </c>
      <c r="AI41" s="13">
        <f>'TUSD BE'!$AI$41*'TUSD BE'!$AI$70</f>
        <v>5.7670049506454941E-2</v>
      </c>
      <c r="AJ41" s="13">
        <f ca="1">'TUSD BE'!$AJ$41*'TUSD BE'!$AJ$70</f>
        <v>0.13149134875098287</v>
      </c>
      <c r="AK41" s="13">
        <f ca="1">'TUSD BE'!$AK$41*'TUSD BE'!$AK$70</f>
        <v>-3.2318360632283147E-2</v>
      </c>
      <c r="AL41" s="13">
        <f ca="1">SUM($AH$41:$AK$41)</f>
        <v>2.1166566511156693</v>
      </c>
      <c r="AM41" s="13">
        <f ca="1">SUMIF($L$4:$AL$4,"SUBTOTAL",$L$41:$AL$41)</f>
        <v>-12.956336927556549</v>
      </c>
      <c r="AO41" s="20">
        <f ca="1">+'TUSD BE'!$T$41+'TUSD BE'!$AB$41+'TUSD BE'!$AD$41+'TUSD BE'!$AL$41</f>
        <v>337.52423308575692</v>
      </c>
      <c r="AP41" s="20">
        <f ca="1">+'TUSD BE'!$T$41+'TUSD BE'!$AB$41+'TUSD BE'!$AD$41+'TUSD BE'!$AL$41</f>
        <v>337.52423308575692</v>
      </c>
    </row>
    <row r="42" spans="1:42" ht="11.25" customHeight="1" x14ac:dyDescent="0.3">
      <c r="A42" s="137" t="s">
        <v>43</v>
      </c>
      <c r="B42" s="137" t="s">
        <v>33</v>
      </c>
      <c r="C42" s="137" t="s">
        <v>44</v>
      </c>
      <c r="D42" s="137" t="s">
        <v>25</v>
      </c>
      <c r="E42" s="137" t="s">
        <v>25</v>
      </c>
      <c r="F42" s="137" t="s">
        <v>25</v>
      </c>
      <c r="G42" s="18" t="s">
        <v>80</v>
      </c>
      <c r="H42" s="18" t="s">
        <v>79</v>
      </c>
      <c r="I42" s="18">
        <f>'MERCADO TUSD'!$U$39</f>
        <v>0</v>
      </c>
      <c r="J42" s="15"/>
      <c r="L42" s="13">
        <f>'TUSD BE'!$L$42*'TUSD BE'!$L$70</f>
        <v>-0.12394774751833187</v>
      </c>
      <c r="M42" s="13">
        <f>'TUSD BE'!$M$42*'TUSD BE'!$M$70</f>
        <v>4.7521062421596759E-3</v>
      </c>
      <c r="N42" s="13">
        <f ca="1">'TUSD BE'!$N$42*'TUSD BE'!$N$70</f>
        <v>1.8741583146349602E-7</v>
      </c>
      <c r="O42" s="13">
        <f>'TUSD BE'!$O$42*'TUSD BE'!$O$70</f>
        <v>0</v>
      </c>
      <c r="P42" s="13">
        <f>'TUSD BE'!$P$42*'TUSD BE'!$P$70</f>
        <v>0</v>
      </c>
      <c r="Q42" s="13">
        <f>'TUSD BE'!$Q$42*'TUSD BE'!$Q$70</f>
        <v>1.6910279315747665</v>
      </c>
      <c r="R42" s="13">
        <f>'TUSD BE'!$R$42*'TUSD BE'!$R$70</f>
        <v>0.40310841228953048</v>
      </c>
      <c r="S42" s="13">
        <f>'TUSD BE'!$R$42*'TUSD BE'!$S$70</f>
        <v>0</v>
      </c>
      <c r="T42" s="13">
        <f ca="1">SUM($L$42:$S$42)</f>
        <v>1.9749408900039562</v>
      </c>
      <c r="U42" s="13">
        <f>'TUSD BE'!$U$42*'TUSD BE'!$U$70</f>
        <v>-0.85341450242946437</v>
      </c>
      <c r="V42" s="13">
        <f>'TUSD BE'!$V$42*'TUSD BE'!$V$70</f>
        <v>-0.78733667514787276</v>
      </c>
      <c r="W42" s="13">
        <f>'TUSD BE'!$W$42*'TUSD BE'!$W$70</f>
        <v>0</v>
      </c>
      <c r="X42" s="13">
        <f>'TUSD BE'!$X$42*'TUSD BE'!$X$70</f>
        <v>0</v>
      </c>
      <c r="Y42" s="13">
        <f>'TUSD BE'!$Y$42*'TUSD BE'!$Y$70</f>
        <v>0</v>
      </c>
      <c r="Z42" s="13">
        <f>'TUSD BE'!$Z$42*'TUSD BE'!$Z$70</f>
        <v>0</v>
      </c>
      <c r="AA42" s="13">
        <f>'TUSD BE'!$AA$42*'TUSD BE'!$AA$70</f>
        <v>0</v>
      </c>
      <c r="AB42" s="13">
        <f>SUM($U$42:$AA$42)</f>
        <v>-1.6407511775773371</v>
      </c>
      <c r="AC42" s="13">
        <f>'TUSD BE'!$AC$42*'TUSD BE'!$AC$70</f>
        <v>0</v>
      </c>
      <c r="AD42" s="13">
        <f>SUM($AC$42:$AC$42)</f>
        <v>0</v>
      </c>
      <c r="AE42" s="13">
        <f ca="1">$AO$42*$AO$67</f>
        <v>-50.605350047105745</v>
      </c>
      <c r="AF42" s="13">
        <f ca="1">$AP$42*$AP$67</f>
        <v>0</v>
      </c>
      <c r="AG42" s="13">
        <f ca="1">SUM($AE$42:$AF$42)</f>
        <v>-50.605350047105745</v>
      </c>
      <c r="AH42" s="13">
        <f>'TUSD BE'!$AH$42*'TUSD BE'!$AH$70</f>
        <v>1.9598136134905149</v>
      </c>
      <c r="AI42" s="13">
        <f>'TUSD BE'!$AI$42*'TUSD BE'!$AI$70</f>
        <v>5.7670049506454941E-2</v>
      </c>
      <c r="AJ42" s="13">
        <f ca="1">'TUSD BE'!$AJ$42*'TUSD BE'!$AJ$70</f>
        <v>0.13149134875098287</v>
      </c>
      <c r="AK42" s="13">
        <f ca="1">'TUSD BE'!$AK$42*'TUSD BE'!$AK$70</f>
        <v>-3.2318360632283147E-2</v>
      </c>
      <c r="AL42" s="13">
        <f ca="1">SUM($AH$42:$AK$42)</f>
        <v>2.1166566511156693</v>
      </c>
      <c r="AM42" s="13">
        <f ca="1">SUMIF($L$4:$AL$4,"SUBTOTAL",$L$42:$AL$42)</f>
        <v>-48.154503683563455</v>
      </c>
      <c r="AO42" s="20">
        <f ca="1">+'TUSD BE'!$T$42+'TUSD BE'!$AB$42+'TUSD BE'!$AD$42+'TUSD BE'!$AL$42</f>
        <v>1171.4601999383599</v>
      </c>
      <c r="AP42" s="20">
        <f ca="1">+'TUSD BE'!$T$42+'TUSD BE'!$AB$42+'TUSD BE'!$AD$42+'TUSD BE'!$AL$42</f>
        <v>1171.4601999383599</v>
      </c>
    </row>
    <row r="43" spans="1:42" ht="11.25" customHeight="1" x14ac:dyDescent="0.3">
      <c r="A43" s="137"/>
      <c r="B43" s="137"/>
      <c r="C43" s="137"/>
      <c r="D43" s="137"/>
      <c r="E43" s="137"/>
      <c r="F43" s="137"/>
      <c r="G43" s="18" t="s">
        <v>91</v>
      </c>
      <c r="H43" s="18" t="s">
        <v>79</v>
      </c>
      <c r="I43" s="18">
        <f>'MERCADO TUSD'!$U$40</f>
        <v>0</v>
      </c>
      <c r="J43" s="15"/>
      <c r="L43" s="13">
        <f>'TUSD BE'!$L$43*'TUSD BE'!$L$70</f>
        <v>-0.12394774751833187</v>
      </c>
      <c r="M43" s="13">
        <f>'TUSD BE'!$M$43*'TUSD BE'!$M$70</f>
        <v>4.7521062421596759E-3</v>
      </c>
      <c r="N43" s="13">
        <f ca="1">'TUSD BE'!$N$43*'TUSD BE'!$N$70</f>
        <v>1.1659341118289667E-7</v>
      </c>
      <c r="O43" s="13">
        <f>'TUSD BE'!$O$43*'TUSD BE'!$O$70</f>
        <v>0</v>
      </c>
      <c r="P43" s="13">
        <f>'TUSD BE'!$P$43*'TUSD BE'!$P$70</f>
        <v>0</v>
      </c>
      <c r="Q43" s="13">
        <f>'TUSD BE'!$Q$43*'TUSD BE'!$Q$70</f>
        <v>1.6910279315747665</v>
      </c>
      <c r="R43" s="13">
        <f>'TUSD BE'!$R$43*'TUSD BE'!$R$70</f>
        <v>0.40310841228953048</v>
      </c>
      <c r="S43" s="13">
        <f>'TUSD BE'!$R$43*'TUSD BE'!$S$70</f>
        <v>0</v>
      </c>
      <c r="T43" s="13">
        <f ca="1">SUM($L$43:$S$43)</f>
        <v>1.9749408191815361</v>
      </c>
      <c r="U43" s="13">
        <f>'TUSD BE'!$U$43*'TUSD BE'!$U$70</f>
        <v>-0.51204887612598582</v>
      </c>
      <c r="V43" s="13">
        <f>'TUSD BE'!$V$43*'TUSD BE'!$V$70</f>
        <v>-0.4724023061544978</v>
      </c>
      <c r="W43" s="13">
        <f>'TUSD BE'!$W$43*'TUSD BE'!$W$70</f>
        <v>0</v>
      </c>
      <c r="X43" s="13">
        <f>'TUSD BE'!$X$43*'TUSD BE'!$X$70</f>
        <v>0</v>
      </c>
      <c r="Y43" s="13">
        <f>'TUSD BE'!$Y$43*'TUSD BE'!$Y$70</f>
        <v>0</v>
      </c>
      <c r="Z43" s="13">
        <f>'TUSD BE'!$Z$43*'TUSD BE'!$Z$70</f>
        <v>0</v>
      </c>
      <c r="AA43" s="13">
        <f>'TUSD BE'!$AA$43*'TUSD BE'!$AA$70</f>
        <v>0</v>
      </c>
      <c r="AB43" s="13">
        <f>SUM($U$43:$AA$43)</f>
        <v>-0.98445118228048356</v>
      </c>
      <c r="AC43" s="13">
        <f>'TUSD BE'!$AC$43*'TUSD BE'!$AC$70</f>
        <v>0</v>
      </c>
      <c r="AD43" s="13">
        <f>SUM($AC$43:$AC$43)</f>
        <v>0</v>
      </c>
      <c r="AE43" s="13">
        <f ca="1">$AO$43*$AO$67</f>
        <v>-32.945835351270247</v>
      </c>
      <c r="AF43" s="13">
        <f ca="1">$AP$43*$AP$67</f>
        <v>0</v>
      </c>
      <c r="AG43" s="13">
        <f ca="1">SUM($AE$43:$AF$43)</f>
        <v>-32.945835351270247</v>
      </c>
      <c r="AH43" s="13">
        <f>'TUSD BE'!$AH$43*'TUSD BE'!$AH$70</f>
        <v>1.9598136134905149</v>
      </c>
      <c r="AI43" s="13">
        <f>'TUSD BE'!$AI$43*'TUSD BE'!$AI$70</f>
        <v>5.7670049506454941E-2</v>
      </c>
      <c r="AJ43" s="13">
        <f ca="1">'TUSD BE'!$AJ$43*'TUSD BE'!$AJ$70</f>
        <v>0.13149134875098287</v>
      </c>
      <c r="AK43" s="13">
        <f ca="1">'TUSD BE'!$AK$43*'TUSD BE'!$AK$70</f>
        <v>-3.2318360632283147E-2</v>
      </c>
      <c r="AL43" s="13">
        <f ca="1">SUM($AH$43:$AK$43)</f>
        <v>2.1166566511156693</v>
      </c>
      <c r="AM43" s="13">
        <f ca="1">SUMIF($L$4:$AL$4,"SUBTOTAL",$L$43:$AL$43)</f>
        <v>-29.838689063253526</v>
      </c>
      <c r="AO43" s="20">
        <f ca="1">+'TUSD BE'!$T$43+'TUSD BE'!$AB$43+'TUSD BE'!$AD$43+'TUSD BE'!$AL$43</f>
        <v>762.66115799633064</v>
      </c>
      <c r="AP43" s="20">
        <f ca="1">+'TUSD BE'!$T$43+'TUSD BE'!$AB$43+'TUSD BE'!$AD$43+'TUSD BE'!$AL$43</f>
        <v>762.66115799633064</v>
      </c>
    </row>
    <row r="44" spans="1:42" ht="11.25" customHeight="1" x14ac:dyDescent="0.3">
      <c r="A44" s="137"/>
      <c r="B44" s="137"/>
      <c r="C44" s="137"/>
      <c r="D44" s="137"/>
      <c r="E44" s="137"/>
      <c r="F44" s="137"/>
      <c r="G44" s="18" t="s">
        <v>81</v>
      </c>
      <c r="H44" s="18" t="s">
        <v>79</v>
      </c>
      <c r="I44" s="18">
        <f>'MERCADO TUSD'!$U$41</f>
        <v>0</v>
      </c>
      <c r="J44" s="15"/>
      <c r="L44" s="13">
        <f>'TUSD BE'!$L$44*'TUSD BE'!$L$70</f>
        <v>-0.12394774751833187</v>
      </c>
      <c r="M44" s="13">
        <f>'TUSD BE'!$M$44*'TUSD BE'!$M$70</f>
        <v>4.7521062421596759E-3</v>
      </c>
      <c r="N44" s="13">
        <f ca="1">'TUSD BE'!$N$44*'TUSD BE'!$N$70</f>
        <v>4.5770990902297351E-8</v>
      </c>
      <c r="O44" s="13">
        <f>'TUSD BE'!$O$44*'TUSD BE'!$O$70</f>
        <v>0</v>
      </c>
      <c r="P44" s="13">
        <f>'TUSD BE'!$P$44*'TUSD BE'!$P$70</f>
        <v>0</v>
      </c>
      <c r="Q44" s="13">
        <f>'TUSD BE'!$Q$44*'TUSD BE'!$Q$70</f>
        <v>1.6910279315747665</v>
      </c>
      <c r="R44" s="13">
        <f>'TUSD BE'!$R$44*'TUSD BE'!$R$70</f>
        <v>0.40310841228953048</v>
      </c>
      <c r="S44" s="13">
        <f>'TUSD BE'!$R$44*'TUSD BE'!$S$70</f>
        <v>0</v>
      </c>
      <c r="T44" s="13">
        <f ca="1">SUM($L$44:$S$44)</f>
        <v>1.9749407483591157</v>
      </c>
      <c r="U44" s="13">
        <f>'TUSD BE'!$U$44*'TUSD BE'!$U$70</f>
        <v>-0.1706832498225074</v>
      </c>
      <c r="V44" s="13">
        <f>'TUSD BE'!$V$44*'TUSD BE'!$V$70</f>
        <v>-0.15746793716112276</v>
      </c>
      <c r="W44" s="13">
        <f>'TUSD BE'!$W$44*'TUSD BE'!$W$70</f>
        <v>0</v>
      </c>
      <c r="X44" s="13">
        <f>'TUSD BE'!$X$44*'TUSD BE'!$X$70</f>
        <v>0</v>
      </c>
      <c r="Y44" s="13">
        <f>'TUSD BE'!$Y$44*'TUSD BE'!$Y$70</f>
        <v>0</v>
      </c>
      <c r="Z44" s="13">
        <f>'TUSD BE'!$Z$44*'TUSD BE'!$Z$70</f>
        <v>0</v>
      </c>
      <c r="AA44" s="13">
        <f>'TUSD BE'!$AA$44*'TUSD BE'!$AA$70</f>
        <v>0</v>
      </c>
      <c r="AB44" s="13">
        <f>SUM($U$44:$AA$44)</f>
        <v>-0.32815118698363016</v>
      </c>
      <c r="AC44" s="13">
        <f>'TUSD BE'!$AC$44*'TUSD BE'!$AC$70</f>
        <v>0</v>
      </c>
      <c r="AD44" s="13">
        <f>SUM($AC$44:$AC$44)</f>
        <v>0</v>
      </c>
      <c r="AE44" s="13">
        <f ca="1">$AO$44*$AO$67</f>
        <v>-15.286320655434743</v>
      </c>
      <c r="AF44" s="13">
        <f ca="1">$AP$44*$AP$67</f>
        <v>0</v>
      </c>
      <c r="AG44" s="13">
        <f ca="1">SUM($AE$44:$AF$44)</f>
        <v>-15.286320655434743</v>
      </c>
      <c r="AH44" s="13">
        <f>'TUSD BE'!$AH$44*'TUSD BE'!$AH$70</f>
        <v>1.9598136134905149</v>
      </c>
      <c r="AI44" s="13">
        <f>'TUSD BE'!$AI$44*'TUSD BE'!$AI$70</f>
        <v>5.7670049506454941E-2</v>
      </c>
      <c r="AJ44" s="13">
        <f ca="1">'TUSD BE'!$AJ$44*'TUSD BE'!$AJ$70</f>
        <v>0.13149134875098287</v>
      </c>
      <c r="AK44" s="13">
        <f ca="1">'TUSD BE'!$AK$44*'TUSD BE'!$AK$70</f>
        <v>-3.2318360632283147E-2</v>
      </c>
      <c r="AL44" s="13">
        <f ca="1">SUM($AH$44:$AK$44)</f>
        <v>2.1166566511156693</v>
      </c>
      <c r="AM44" s="13">
        <f ca="1">SUMIF($L$4:$AL$4,"SUBTOTAL",$L$44:$AL$44)</f>
        <v>-11.522874442943589</v>
      </c>
      <c r="AO44" s="20">
        <f ca="1">+'TUSD BE'!$T$44+'TUSD BE'!$AB$44+'TUSD BE'!$AD$44+'TUSD BE'!$AL$44</f>
        <v>353.86211605430111</v>
      </c>
      <c r="AP44" s="20">
        <f ca="1">+'TUSD BE'!$T$44+'TUSD BE'!$AB$44+'TUSD BE'!$AD$44+'TUSD BE'!$AL$44</f>
        <v>353.86211605430111</v>
      </c>
    </row>
    <row r="45" spans="1:42" ht="11.25" customHeight="1" x14ac:dyDescent="0.3">
      <c r="A45" s="137"/>
      <c r="B45" s="17" t="s">
        <v>23</v>
      </c>
      <c r="C45" s="17" t="s">
        <v>44</v>
      </c>
      <c r="D45" s="17" t="s">
        <v>25</v>
      </c>
      <c r="E45" s="17" t="s">
        <v>25</v>
      </c>
      <c r="F45" s="17" t="s">
        <v>25</v>
      </c>
      <c r="G45" s="18" t="s">
        <v>83</v>
      </c>
      <c r="H45" s="18" t="s">
        <v>79</v>
      </c>
      <c r="I45" s="18">
        <f>'MERCADO TUSD'!$U$42</f>
        <v>17613.978000000003</v>
      </c>
      <c r="J45" s="15"/>
      <c r="L45" s="13">
        <f>'TUSD BE'!$L$45*'TUSD BE'!$L$70</f>
        <v>-0.12394774751833187</v>
      </c>
      <c r="M45" s="13">
        <f>'TUSD BE'!$M$45*'TUSD BE'!$M$70</f>
        <v>4.7521062421596759E-3</v>
      </c>
      <c r="N45" s="13">
        <f ca="1">'TUSD BE'!$N$45*'TUSD BE'!$N$70</f>
        <v>6.4013120631565557E-8</v>
      </c>
      <c r="O45" s="13">
        <f>'TUSD BE'!$O$45*'TUSD BE'!$O$70</f>
        <v>0</v>
      </c>
      <c r="P45" s="13">
        <f>'TUSD BE'!$P$45*'TUSD BE'!$P$70</f>
        <v>0</v>
      </c>
      <c r="Q45" s="13">
        <f>'TUSD BE'!$Q$45*'TUSD BE'!$Q$70</f>
        <v>1.6910279315747665</v>
      </c>
      <c r="R45" s="13">
        <f>'TUSD BE'!$R$45*'TUSD BE'!$R$70</f>
        <v>0.40310841228953048</v>
      </c>
      <c r="S45" s="13">
        <f>'TUSD BE'!$R$45*'TUSD BE'!$S$70</f>
        <v>0</v>
      </c>
      <c r="T45" s="13">
        <f ca="1">SUM($L$45:$S$45)</f>
        <v>1.9749407666012455</v>
      </c>
      <c r="U45" s="13">
        <f>'TUSD BE'!$U$45*'TUSD BE'!$U$70</f>
        <v>-0.25861040235186578</v>
      </c>
      <c r="V45" s="13">
        <f>'TUSD BE'!$V$45*'TUSD BE'!$V$70</f>
        <v>-0.23858709933706304</v>
      </c>
      <c r="W45" s="13">
        <f>'TUSD BE'!$W$45*'TUSD BE'!$W$70</f>
        <v>0</v>
      </c>
      <c r="X45" s="13">
        <f>'TUSD BE'!$X$45*'TUSD BE'!$X$70</f>
        <v>0</v>
      </c>
      <c r="Y45" s="13">
        <f>'TUSD BE'!$Y$45*'TUSD BE'!$Y$70</f>
        <v>0</v>
      </c>
      <c r="Z45" s="13">
        <f>'TUSD BE'!$Z$45*'TUSD BE'!$Z$70</f>
        <v>0</v>
      </c>
      <c r="AA45" s="13">
        <f>'TUSD BE'!$AA$45*'TUSD BE'!$AA$70</f>
        <v>0</v>
      </c>
      <c r="AB45" s="13">
        <f>SUM($U$45:$AA$45)</f>
        <v>-0.49719750168892884</v>
      </c>
      <c r="AC45" s="13">
        <f>'TUSD BE'!$AC$45*'TUSD BE'!$AC$70</f>
        <v>0</v>
      </c>
      <c r="AD45" s="13">
        <f>SUM($AC$45:$AC$45)</f>
        <v>0</v>
      </c>
      <c r="AE45" s="13">
        <f ca="1">$AO$45*$AO$67</f>
        <v>-19.834981053784773</v>
      </c>
      <c r="AF45" s="13">
        <f ca="1">$AP$45*$AP$67</f>
        <v>0</v>
      </c>
      <c r="AG45" s="13">
        <f ca="1">SUM($AE$45:$AF$45)</f>
        <v>-19.834981053784773</v>
      </c>
      <c r="AH45" s="13">
        <f>'TUSD BE'!$AH$45*'TUSD BE'!$AH$70</f>
        <v>1.9598136134905149</v>
      </c>
      <c r="AI45" s="13">
        <f>'TUSD BE'!$AI$45*'TUSD BE'!$AI$70</f>
        <v>5.7670049506454941E-2</v>
      </c>
      <c r="AJ45" s="13">
        <f ca="1">'TUSD BE'!$AJ$45*'TUSD BE'!$AJ$70</f>
        <v>0.13149134875098287</v>
      </c>
      <c r="AK45" s="13">
        <f ca="1">'TUSD BE'!$AK$45*'TUSD BE'!$AK$70</f>
        <v>-3.2318360632283147E-2</v>
      </c>
      <c r="AL45" s="13">
        <f ca="1">SUM($AH$45:$AK$45)</f>
        <v>2.1166566511156693</v>
      </c>
      <c r="AM45" s="13">
        <f ca="1">SUMIF($L$4:$AL$4,"SUBTOTAL",$L$45:$AL$45)</f>
        <v>-16.240581137756788</v>
      </c>
      <c r="AO45" s="20">
        <f ca="1">+'TUSD BE'!$T$45+'TUSD BE'!$AB$45+'TUSD BE'!$AD$45+'TUSD BE'!$AL$45</f>
        <v>459.15878161916231</v>
      </c>
      <c r="AP45" s="20">
        <f ca="1">+'TUSD BE'!$T$45+'TUSD BE'!$AB$45+'TUSD BE'!$AD$45+'TUSD BE'!$AL$45</f>
        <v>459.15878161916231</v>
      </c>
    </row>
    <row r="46" spans="1:42" ht="11.25" customHeight="1" x14ac:dyDescent="0.3">
      <c r="A46" s="137"/>
      <c r="B46" s="137" t="s">
        <v>33</v>
      </c>
      <c r="C46" s="137" t="s">
        <v>44</v>
      </c>
      <c r="D46" s="137" t="s">
        <v>94</v>
      </c>
      <c r="E46" s="137" t="s">
        <v>25</v>
      </c>
      <c r="F46" s="137" t="s">
        <v>25</v>
      </c>
      <c r="G46" s="18" t="s">
        <v>80</v>
      </c>
      <c r="H46" s="18" t="s">
        <v>79</v>
      </c>
      <c r="I46" s="18">
        <f>'MERCADO TUSD'!$U$43</f>
        <v>0</v>
      </c>
      <c r="J46" s="15"/>
      <c r="L46" s="13">
        <f>'TUSD BE'!$L$46*'TUSD BE'!$L$70</f>
        <v>-0.12394774751833187</v>
      </c>
      <c r="M46" s="13">
        <f>'TUSD BE'!$M$46*'TUSD BE'!$M$70</f>
        <v>4.7521062421596759E-3</v>
      </c>
      <c r="N46" s="13">
        <f ca="1">'TUSD BE'!$N$46*'TUSD BE'!$N$70</f>
        <v>1.8741583146349602E-7</v>
      </c>
      <c r="O46" s="13">
        <f>'TUSD BE'!$O$46*'TUSD BE'!$O$70</f>
        <v>0</v>
      </c>
      <c r="P46" s="13">
        <f>'TUSD BE'!$P$46*'TUSD BE'!$P$70</f>
        <v>0</v>
      </c>
      <c r="Q46" s="13">
        <f>'TUSD BE'!$Q$46*'TUSD BE'!$Q$70</f>
        <v>1.6910279315747665</v>
      </c>
      <c r="R46" s="13">
        <f>'TUSD BE'!$R$46*'TUSD BE'!$R$70</f>
        <v>0.40310841228953048</v>
      </c>
      <c r="S46" s="13">
        <f>'TUSD BE'!$R$46*'TUSD BE'!$S$70</f>
        <v>0</v>
      </c>
      <c r="T46" s="13">
        <f ca="1">SUM($L$46:$S$46)</f>
        <v>1.9749408900039562</v>
      </c>
      <c r="U46" s="13">
        <f>'TUSD BE'!$U$46*'TUSD BE'!$U$70</f>
        <v>-0.85341450242946437</v>
      </c>
      <c r="V46" s="13">
        <f>'TUSD BE'!$V$46*'TUSD BE'!$V$70</f>
        <v>-0.78733667514787276</v>
      </c>
      <c r="W46" s="13">
        <f>'TUSD BE'!$W$46*'TUSD BE'!$W$70</f>
        <v>0</v>
      </c>
      <c r="X46" s="13">
        <f>'TUSD BE'!$X$46*'TUSD BE'!$X$70</f>
        <v>0</v>
      </c>
      <c r="Y46" s="13">
        <f>'TUSD BE'!$Y$46*'TUSD BE'!$Y$70</f>
        <v>0</v>
      </c>
      <c r="Z46" s="13">
        <f>'TUSD BE'!$Z$46*'TUSD BE'!$Z$70</f>
        <v>0</v>
      </c>
      <c r="AA46" s="13">
        <f>'TUSD BE'!$AA$46*'TUSD BE'!$AA$70</f>
        <v>0</v>
      </c>
      <c r="AB46" s="13">
        <f>SUM($U$46:$AA$46)</f>
        <v>-1.6407511775773371</v>
      </c>
      <c r="AC46" s="13">
        <f>'TUSD BE'!$AC$46*'TUSD BE'!$AC$70</f>
        <v>0</v>
      </c>
      <c r="AD46" s="13">
        <f>SUM($AC$46:$AC$46)</f>
        <v>0</v>
      </c>
      <c r="AE46" s="13">
        <f ca="1">$AO$46*$AO$67</f>
        <v>-50.605350047105745</v>
      </c>
      <c r="AF46" s="13">
        <f ca="1">$AP$46*$AP$67</f>
        <v>0</v>
      </c>
      <c r="AG46" s="13">
        <f ca="1">SUM($AE$46:$AF$46)</f>
        <v>-50.605350047105745</v>
      </c>
      <c r="AH46" s="13">
        <f>'TUSD BE'!$AH$46*'TUSD BE'!$AH$70</f>
        <v>1.9598136134905149</v>
      </c>
      <c r="AI46" s="13">
        <f>'TUSD BE'!$AI$46*'TUSD BE'!$AI$70</f>
        <v>5.7670049506454941E-2</v>
      </c>
      <c r="AJ46" s="13">
        <f ca="1">'TUSD BE'!$AJ$46*'TUSD BE'!$AJ$70</f>
        <v>0.13149134875098287</v>
      </c>
      <c r="AK46" s="13">
        <f ca="1">'TUSD BE'!$AK$46*'TUSD BE'!$AK$70</f>
        <v>-3.2318360632283147E-2</v>
      </c>
      <c r="AL46" s="13">
        <f ca="1">SUM($AH$46:$AK$46)</f>
        <v>2.1166566511156693</v>
      </c>
      <c r="AM46" s="13">
        <f ca="1">SUMIF($L$4:$AL$4,"SUBTOTAL",$L$46:$AL$46)</f>
        <v>-48.154503683563455</v>
      </c>
      <c r="AO46" s="20">
        <f ca="1">+'TUSD BE'!$T$46+'TUSD BE'!$AB$46+'TUSD BE'!$AD$46+'TUSD BE'!$AL$46</f>
        <v>1171.4601999383599</v>
      </c>
      <c r="AP46" s="20">
        <f ca="1">+'TUSD BE'!$T$46+'TUSD BE'!$AB$46+'TUSD BE'!$AD$46+'TUSD BE'!$AL$46</f>
        <v>1171.4601999383599</v>
      </c>
    </row>
    <row r="47" spans="1:42" ht="11.25" customHeight="1" x14ac:dyDescent="0.3">
      <c r="A47" s="137"/>
      <c r="B47" s="137"/>
      <c r="C47" s="137"/>
      <c r="D47" s="137"/>
      <c r="E47" s="137"/>
      <c r="F47" s="137"/>
      <c r="G47" s="18" t="s">
        <v>91</v>
      </c>
      <c r="H47" s="18" t="s">
        <v>79</v>
      </c>
      <c r="I47" s="18">
        <f>'MERCADO TUSD'!$U$44</f>
        <v>0</v>
      </c>
      <c r="J47" s="15"/>
      <c r="L47" s="13">
        <f>'TUSD BE'!$L$47*'TUSD BE'!$L$70</f>
        <v>-0.12394774751833187</v>
      </c>
      <c r="M47" s="13">
        <f>'TUSD BE'!$M$47*'TUSD BE'!$M$70</f>
        <v>4.7521062421596759E-3</v>
      </c>
      <c r="N47" s="13">
        <f ca="1">'TUSD BE'!$N$47*'TUSD BE'!$N$70</f>
        <v>1.1659341118289667E-7</v>
      </c>
      <c r="O47" s="13">
        <f>'TUSD BE'!$O$47*'TUSD BE'!$O$70</f>
        <v>0</v>
      </c>
      <c r="P47" s="13">
        <f>'TUSD BE'!$P$47*'TUSD BE'!$P$70</f>
        <v>0</v>
      </c>
      <c r="Q47" s="13">
        <f>'TUSD BE'!$Q$47*'TUSD BE'!$Q$70</f>
        <v>1.6910279315747665</v>
      </c>
      <c r="R47" s="13">
        <f>'TUSD BE'!$R$47*'TUSD BE'!$R$70</f>
        <v>0.40310841228953048</v>
      </c>
      <c r="S47" s="13">
        <f>'TUSD BE'!$R$47*'TUSD BE'!$S$70</f>
        <v>0</v>
      </c>
      <c r="T47" s="13">
        <f ca="1">SUM($L$47:$S$47)</f>
        <v>1.9749408191815361</v>
      </c>
      <c r="U47" s="13">
        <f>'TUSD BE'!$U$47*'TUSD BE'!$U$70</f>
        <v>-0.51204887612598582</v>
      </c>
      <c r="V47" s="13">
        <f>'TUSD BE'!$V$47*'TUSD BE'!$V$70</f>
        <v>-0.4724023061544978</v>
      </c>
      <c r="W47" s="13">
        <f>'TUSD BE'!$W$47*'TUSD BE'!$W$70</f>
        <v>0</v>
      </c>
      <c r="X47" s="13">
        <f>'TUSD BE'!$X$47*'TUSD BE'!$X$70</f>
        <v>0</v>
      </c>
      <c r="Y47" s="13">
        <f>'TUSD BE'!$Y$47*'TUSD BE'!$Y$70</f>
        <v>0</v>
      </c>
      <c r="Z47" s="13">
        <f>'TUSD BE'!$Z$47*'TUSD BE'!$Z$70</f>
        <v>0</v>
      </c>
      <c r="AA47" s="13">
        <f>'TUSD BE'!$AA$47*'TUSD BE'!$AA$70</f>
        <v>0</v>
      </c>
      <c r="AB47" s="13">
        <f>SUM($U$47:$AA$47)</f>
        <v>-0.98445118228048356</v>
      </c>
      <c r="AC47" s="13">
        <f>'TUSD BE'!$AC$47*'TUSD BE'!$AC$70</f>
        <v>0</v>
      </c>
      <c r="AD47" s="13">
        <f>SUM($AC$47:$AC$47)</f>
        <v>0</v>
      </c>
      <c r="AE47" s="13">
        <f ca="1">$AO$47*$AO$67</f>
        <v>-32.945835351270247</v>
      </c>
      <c r="AF47" s="13">
        <f ca="1">$AP$47*$AP$67</f>
        <v>0</v>
      </c>
      <c r="AG47" s="13">
        <f ca="1">SUM($AE$47:$AF$47)</f>
        <v>-32.945835351270247</v>
      </c>
      <c r="AH47" s="13">
        <f>'TUSD BE'!$AH$47*'TUSD BE'!$AH$70</f>
        <v>1.9598136134905149</v>
      </c>
      <c r="AI47" s="13">
        <f>'TUSD BE'!$AI$47*'TUSD BE'!$AI$70</f>
        <v>5.7670049506454941E-2</v>
      </c>
      <c r="AJ47" s="13">
        <f ca="1">'TUSD BE'!$AJ$47*'TUSD BE'!$AJ$70</f>
        <v>0.13149134875098287</v>
      </c>
      <c r="AK47" s="13">
        <f ca="1">'TUSD BE'!$AK$47*'TUSD BE'!$AK$70</f>
        <v>-3.2318360632283147E-2</v>
      </c>
      <c r="AL47" s="13">
        <f ca="1">SUM($AH$47:$AK$47)</f>
        <v>2.1166566511156693</v>
      </c>
      <c r="AM47" s="13">
        <f ca="1">SUMIF($L$4:$AL$4,"SUBTOTAL",$L$47:$AL$47)</f>
        <v>-29.838689063253526</v>
      </c>
      <c r="AO47" s="20">
        <f ca="1">+'TUSD BE'!$T$47+'TUSD BE'!$AB$47+'TUSD BE'!$AD$47+'TUSD BE'!$AL$47</f>
        <v>762.66115799633064</v>
      </c>
      <c r="AP47" s="20">
        <f ca="1">+'TUSD BE'!$T$47+'TUSD BE'!$AB$47+'TUSD BE'!$AD$47+'TUSD BE'!$AL$47</f>
        <v>762.66115799633064</v>
      </c>
    </row>
    <row r="48" spans="1:42" ht="11.25" customHeight="1" x14ac:dyDescent="0.3">
      <c r="A48" s="137"/>
      <c r="B48" s="137"/>
      <c r="C48" s="137"/>
      <c r="D48" s="137"/>
      <c r="E48" s="137"/>
      <c r="F48" s="137"/>
      <c r="G48" s="18" t="s">
        <v>81</v>
      </c>
      <c r="H48" s="18" t="s">
        <v>79</v>
      </c>
      <c r="I48" s="18">
        <f>'MERCADO TUSD'!$U$45</f>
        <v>0</v>
      </c>
      <c r="J48" s="15"/>
      <c r="L48" s="13">
        <f>'TUSD BE'!$L$48*'TUSD BE'!$L$70</f>
        <v>-0.12394774751833187</v>
      </c>
      <c r="M48" s="13">
        <f>'TUSD BE'!$M$48*'TUSD BE'!$M$70</f>
        <v>4.7521062421596759E-3</v>
      </c>
      <c r="N48" s="13">
        <f ca="1">'TUSD BE'!$N$48*'TUSD BE'!$N$70</f>
        <v>4.5770990902297351E-8</v>
      </c>
      <c r="O48" s="13">
        <f>'TUSD BE'!$O$48*'TUSD BE'!$O$70</f>
        <v>0</v>
      </c>
      <c r="P48" s="13">
        <f>'TUSD BE'!$P$48*'TUSD BE'!$P$70</f>
        <v>0</v>
      </c>
      <c r="Q48" s="13">
        <f>'TUSD BE'!$Q$48*'TUSD BE'!$Q$70</f>
        <v>1.6910279315747665</v>
      </c>
      <c r="R48" s="13">
        <f>'TUSD BE'!$R$48*'TUSD BE'!$R$70</f>
        <v>0.40310841228953048</v>
      </c>
      <c r="S48" s="13">
        <f>'TUSD BE'!$R$48*'TUSD BE'!$S$70</f>
        <v>0</v>
      </c>
      <c r="T48" s="13">
        <f ca="1">SUM($L$48:$S$48)</f>
        <v>1.9749407483591157</v>
      </c>
      <c r="U48" s="13">
        <f>'TUSD BE'!$U$48*'TUSD BE'!$U$70</f>
        <v>-0.1706832498225074</v>
      </c>
      <c r="V48" s="13">
        <f>'TUSD BE'!$V$48*'TUSD BE'!$V$70</f>
        <v>-0.15746793716112276</v>
      </c>
      <c r="W48" s="13">
        <f>'TUSD BE'!$W$48*'TUSD BE'!$W$70</f>
        <v>0</v>
      </c>
      <c r="X48" s="13">
        <f>'TUSD BE'!$X$48*'TUSD BE'!$X$70</f>
        <v>0</v>
      </c>
      <c r="Y48" s="13">
        <f>'TUSD BE'!$Y$48*'TUSD BE'!$Y$70</f>
        <v>0</v>
      </c>
      <c r="Z48" s="13">
        <f>'TUSD BE'!$Z$48*'TUSD BE'!$Z$70</f>
        <v>0</v>
      </c>
      <c r="AA48" s="13">
        <f>'TUSD BE'!$AA$48*'TUSD BE'!$AA$70</f>
        <v>0</v>
      </c>
      <c r="AB48" s="13">
        <f>SUM($U$48:$AA$48)</f>
        <v>-0.32815118698363016</v>
      </c>
      <c r="AC48" s="13">
        <f>'TUSD BE'!$AC$48*'TUSD BE'!$AC$70</f>
        <v>0</v>
      </c>
      <c r="AD48" s="13">
        <f>SUM($AC$48:$AC$48)</f>
        <v>0</v>
      </c>
      <c r="AE48" s="13">
        <f ca="1">$AO$48*$AO$67</f>
        <v>-15.286320655434743</v>
      </c>
      <c r="AF48" s="13">
        <f ca="1">$AP$48*$AP$67</f>
        <v>0</v>
      </c>
      <c r="AG48" s="13">
        <f ca="1">SUM($AE$48:$AF$48)</f>
        <v>-15.286320655434743</v>
      </c>
      <c r="AH48" s="13">
        <f>'TUSD BE'!$AH$48*'TUSD BE'!$AH$70</f>
        <v>1.9598136134905149</v>
      </c>
      <c r="AI48" s="13">
        <f>'TUSD BE'!$AI$48*'TUSD BE'!$AI$70</f>
        <v>5.7670049506454941E-2</v>
      </c>
      <c r="AJ48" s="13">
        <f ca="1">'TUSD BE'!$AJ$48*'TUSD BE'!$AJ$70</f>
        <v>0.13149134875098287</v>
      </c>
      <c r="AK48" s="13">
        <f ca="1">'TUSD BE'!$AK$48*'TUSD BE'!$AK$70</f>
        <v>-3.2318360632283147E-2</v>
      </c>
      <c r="AL48" s="13">
        <f ca="1">SUM($AH$48:$AK$48)</f>
        <v>2.1166566511156693</v>
      </c>
      <c r="AM48" s="13">
        <f ca="1">SUMIF($L$4:$AL$4,"SUBTOTAL",$L$48:$AL$48)</f>
        <v>-11.522874442943589</v>
      </c>
      <c r="AO48" s="20">
        <f ca="1">+'TUSD BE'!$T$48+'TUSD BE'!$AB$48+'TUSD BE'!$AD$48+'TUSD BE'!$AL$48</f>
        <v>353.86211605430111</v>
      </c>
      <c r="AP48" s="20">
        <f ca="1">+'TUSD BE'!$T$48+'TUSD BE'!$AB$48+'TUSD BE'!$AD$48+'TUSD BE'!$AL$48</f>
        <v>353.86211605430111</v>
      </c>
    </row>
    <row r="49" spans="1:42" ht="11.25" customHeight="1" x14ac:dyDescent="0.3">
      <c r="A49" s="137"/>
      <c r="B49" s="17" t="s">
        <v>23</v>
      </c>
      <c r="C49" s="17" t="s">
        <v>44</v>
      </c>
      <c r="D49" s="17" t="s">
        <v>94</v>
      </c>
      <c r="E49" s="17" t="s">
        <v>25</v>
      </c>
      <c r="F49" s="17" t="s">
        <v>25</v>
      </c>
      <c r="G49" s="18" t="s">
        <v>83</v>
      </c>
      <c r="H49" s="18" t="s">
        <v>79</v>
      </c>
      <c r="I49" s="18">
        <f>'MERCADO TUSD'!$U$46</f>
        <v>0</v>
      </c>
      <c r="J49" s="15"/>
      <c r="L49" s="13">
        <f>'TUSD BE'!$L$49*'TUSD BE'!$L$70</f>
        <v>-0.12394774751833187</v>
      </c>
      <c r="M49" s="13">
        <f>'TUSD BE'!$M$49*'TUSD BE'!$M$70</f>
        <v>4.7521062421596759E-3</v>
      </c>
      <c r="N49" s="13">
        <f ca="1">'TUSD BE'!$N$49*'TUSD BE'!$N$70</f>
        <v>6.4013120631565557E-8</v>
      </c>
      <c r="O49" s="13">
        <f>'TUSD BE'!$O$49*'TUSD BE'!$O$70</f>
        <v>0</v>
      </c>
      <c r="P49" s="13">
        <f>'TUSD BE'!$P$49*'TUSD BE'!$P$70</f>
        <v>0</v>
      </c>
      <c r="Q49" s="13">
        <f>'TUSD BE'!$Q$49*'TUSD BE'!$Q$70</f>
        <v>1.6910279315747665</v>
      </c>
      <c r="R49" s="13">
        <f>'TUSD BE'!$R$49*'TUSD BE'!$R$70</f>
        <v>0.40310841228953048</v>
      </c>
      <c r="S49" s="13">
        <f>'TUSD BE'!$R$49*'TUSD BE'!$S$70</f>
        <v>0</v>
      </c>
      <c r="T49" s="13">
        <f ca="1">SUM($L$49:$S$49)</f>
        <v>1.9749407666012455</v>
      </c>
      <c r="U49" s="13">
        <f>'TUSD BE'!$U$49*'TUSD BE'!$U$70</f>
        <v>-0.25861040235186578</v>
      </c>
      <c r="V49" s="13">
        <f>'TUSD BE'!$V$49*'TUSD BE'!$V$70</f>
        <v>-0.23858709933706304</v>
      </c>
      <c r="W49" s="13">
        <f>'TUSD BE'!$W$49*'TUSD BE'!$W$70</f>
        <v>0</v>
      </c>
      <c r="X49" s="13">
        <f>'TUSD BE'!$X$49*'TUSD BE'!$X$70</f>
        <v>0</v>
      </c>
      <c r="Y49" s="13">
        <f>'TUSD BE'!$Y$49*'TUSD BE'!$Y$70</f>
        <v>0</v>
      </c>
      <c r="Z49" s="13">
        <f>'TUSD BE'!$Z$49*'TUSD BE'!$Z$70</f>
        <v>0</v>
      </c>
      <c r="AA49" s="13">
        <f>'TUSD BE'!$AA$49*'TUSD BE'!$AA$70</f>
        <v>0</v>
      </c>
      <c r="AB49" s="13">
        <f>SUM($U$49:$AA$49)</f>
        <v>-0.49719750168892884</v>
      </c>
      <c r="AC49" s="13">
        <f>'TUSD BE'!$AC$49*'TUSD BE'!$AC$70</f>
        <v>0</v>
      </c>
      <c r="AD49" s="13">
        <f>SUM($AC$49:$AC$49)</f>
        <v>0</v>
      </c>
      <c r="AE49" s="13">
        <f ca="1">$AO$49*$AO$67</f>
        <v>-19.834981053784773</v>
      </c>
      <c r="AF49" s="13">
        <f ca="1">$AP$49*$AP$67</f>
        <v>0</v>
      </c>
      <c r="AG49" s="13">
        <f ca="1">SUM($AE$49:$AF$49)</f>
        <v>-19.834981053784773</v>
      </c>
      <c r="AH49" s="13">
        <f>'TUSD BE'!$AH$49*'TUSD BE'!$AH$70</f>
        <v>1.9598136134905149</v>
      </c>
      <c r="AI49" s="13">
        <f>'TUSD BE'!$AI$49*'TUSD BE'!$AI$70</f>
        <v>5.7670049506454941E-2</v>
      </c>
      <c r="AJ49" s="13">
        <f ca="1">'TUSD BE'!$AJ$49*'TUSD BE'!$AJ$70</f>
        <v>0.13149134875098287</v>
      </c>
      <c r="AK49" s="13">
        <f ca="1">'TUSD BE'!$AK$49*'TUSD BE'!$AK$70</f>
        <v>-3.2318360632283147E-2</v>
      </c>
      <c r="AL49" s="13">
        <f ca="1">SUM($AH$49:$AK$49)</f>
        <v>2.1166566511156693</v>
      </c>
      <c r="AM49" s="13">
        <f ca="1">SUMIF($L$4:$AL$4,"SUBTOTAL",$L$49:$AL$49)</f>
        <v>-16.240581137756788</v>
      </c>
      <c r="AO49" s="20">
        <f ca="1">+'TUSD BE'!$T$49+'TUSD BE'!$AB$49+'TUSD BE'!$AD$49+'TUSD BE'!$AL$49</f>
        <v>459.15878161916231</v>
      </c>
      <c r="AP49" s="20">
        <f ca="1">+'TUSD BE'!$T$49+'TUSD BE'!$AB$49+'TUSD BE'!$AD$49+'TUSD BE'!$AL$49</f>
        <v>459.15878161916231</v>
      </c>
    </row>
    <row r="50" spans="1:42" ht="11.25" customHeight="1" x14ac:dyDescent="0.3">
      <c r="A50" s="137"/>
      <c r="B50" s="137" t="s">
        <v>33</v>
      </c>
      <c r="C50" s="137" t="s">
        <v>44</v>
      </c>
      <c r="D50" s="137" t="s">
        <v>95</v>
      </c>
      <c r="E50" s="137" t="s">
        <v>25</v>
      </c>
      <c r="F50" s="137" t="s">
        <v>25</v>
      </c>
      <c r="G50" s="18" t="s">
        <v>80</v>
      </c>
      <c r="H50" s="18" t="s">
        <v>79</v>
      </c>
      <c r="I50" s="18">
        <f>'MERCADO TUSD'!$U$47</f>
        <v>0</v>
      </c>
      <c r="J50" s="15"/>
      <c r="L50" s="13">
        <f>'TUSD BE'!$L$50*'TUSD BE'!$L$70</f>
        <v>-0.12394774751833187</v>
      </c>
      <c r="M50" s="13">
        <f>'TUSD BE'!$M$50*'TUSD BE'!$M$70</f>
        <v>4.7521062421596759E-3</v>
      </c>
      <c r="N50" s="13">
        <f ca="1">'TUSD BE'!$N$50*'TUSD BE'!$N$70</f>
        <v>1.8741583146349602E-7</v>
      </c>
      <c r="O50" s="13">
        <f>'TUSD BE'!$O$50*'TUSD BE'!$O$70</f>
        <v>0</v>
      </c>
      <c r="P50" s="13">
        <f>'TUSD BE'!$P$50*'TUSD BE'!$P$70</f>
        <v>0</v>
      </c>
      <c r="Q50" s="13">
        <f>'TUSD BE'!$Q$50*'TUSD BE'!$Q$70</f>
        <v>1.6910279315747665</v>
      </c>
      <c r="R50" s="13">
        <f>'TUSD BE'!$R$50*'TUSD BE'!$R$70</f>
        <v>0.40310841228953048</v>
      </c>
      <c r="S50" s="13">
        <f>'TUSD BE'!$R$50*'TUSD BE'!$S$70</f>
        <v>0</v>
      </c>
      <c r="T50" s="13">
        <f ca="1">SUM($L$50:$S$50)</f>
        <v>1.9749408900039562</v>
      </c>
      <c r="U50" s="13">
        <f>'TUSD BE'!$U$50*'TUSD BE'!$U$70</f>
        <v>-0.85341450242946437</v>
      </c>
      <c r="V50" s="13">
        <f>'TUSD BE'!$V$50*'TUSD BE'!$V$70</f>
        <v>-0.78733667514787276</v>
      </c>
      <c r="W50" s="13">
        <f>'TUSD BE'!$W$50*'TUSD BE'!$W$70</f>
        <v>0</v>
      </c>
      <c r="X50" s="13">
        <f>'TUSD BE'!$X$50*'TUSD BE'!$X$70</f>
        <v>0</v>
      </c>
      <c r="Y50" s="13">
        <f>'TUSD BE'!$Y$50*'TUSD BE'!$Y$70</f>
        <v>0</v>
      </c>
      <c r="Z50" s="13">
        <f>'TUSD BE'!$Z$50*'TUSD BE'!$Z$70</f>
        <v>0</v>
      </c>
      <c r="AA50" s="13">
        <f>'TUSD BE'!$AA$50*'TUSD BE'!$AA$70</f>
        <v>0</v>
      </c>
      <c r="AB50" s="13">
        <f>SUM($U$50:$AA$50)</f>
        <v>-1.6407511775773371</v>
      </c>
      <c r="AC50" s="13">
        <f>'TUSD BE'!$AC$50*'TUSD BE'!$AC$70</f>
        <v>0</v>
      </c>
      <c r="AD50" s="13">
        <f>SUM($AC$50:$AC$50)</f>
        <v>0</v>
      </c>
      <c r="AE50" s="13">
        <f ca="1">$AO$50*$AO$67</f>
        <v>-50.605350047105745</v>
      </c>
      <c r="AF50" s="13">
        <f ca="1">$AP$50*$AP$67</f>
        <v>0</v>
      </c>
      <c r="AG50" s="13">
        <f ca="1">SUM($AE$50:$AF$50)</f>
        <v>-50.605350047105745</v>
      </c>
      <c r="AH50" s="13">
        <f>'TUSD BE'!$AH$50*'TUSD BE'!$AH$70</f>
        <v>1.9598136134905149</v>
      </c>
      <c r="AI50" s="13">
        <f>'TUSD BE'!$AI$50*'TUSD BE'!$AI$70</f>
        <v>5.7670049506454941E-2</v>
      </c>
      <c r="AJ50" s="13">
        <f ca="1">'TUSD BE'!$AJ$50*'TUSD BE'!$AJ$70</f>
        <v>0.13149134875098287</v>
      </c>
      <c r="AK50" s="13">
        <f ca="1">'TUSD BE'!$AK$50*'TUSD BE'!$AK$70</f>
        <v>-3.2318360632283147E-2</v>
      </c>
      <c r="AL50" s="13">
        <f ca="1">SUM($AH$50:$AK$50)</f>
        <v>2.1166566511156693</v>
      </c>
      <c r="AM50" s="13">
        <f ca="1">SUMIF($L$4:$AL$4,"SUBTOTAL",$L$50:$AL$50)</f>
        <v>-48.154503683563455</v>
      </c>
      <c r="AO50" s="20">
        <f ca="1">+'TUSD BE'!$T$50+'TUSD BE'!$AB$50+'TUSD BE'!$AD$50+'TUSD BE'!$AL$50</f>
        <v>1171.4601999383599</v>
      </c>
      <c r="AP50" s="20">
        <f ca="1">+'TUSD BE'!$T$50+'TUSD BE'!$AB$50+'TUSD BE'!$AD$50+'TUSD BE'!$AL$50</f>
        <v>1171.4601999383599</v>
      </c>
    </row>
    <row r="51" spans="1:42" ht="11.25" customHeight="1" x14ac:dyDescent="0.3">
      <c r="A51" s="137"/>
      <c r="B51" s="137"/>
      <c r="C51" s="137"/>
      <c r="D51" s="137"/>
      <c r="E51" s="137"/>
      <c r="F51" s="137"/>
      <c r="G51" s="18" t="s">
        <v>91</v>
      </c>
      <c r="H51" s="18" t="s">
        <v>79</v>
      </c>
      <c r="I51" s="18">
        <f>'MERCADO TUSD'!$U$48</f>
        <v>0</v>
      </c>
      <c r="J51" s="15"/>
      <c r="L51" s="13">
        <f>'TUSD BE'!$L$51*'TUSD BE'!$L$70</f>
        <v>-0.12394774751833187</v>
      </c>
      <c r="M51" s="13">
        <f>'TUSD BE'!$M$51*'TUSD BE'!$M$70</f>
        <v>4.7521062421596759E-3</v>
      </c>
      <c r="N51" s="13">
        <f ca="1">'TUSD BE'!$N$51*'TUSD BE'!$N$70</f>
        <v>1.1659341118289667E-7</v>
      </c>
      <c r="O51" s="13">
        <f>'TUSD BE'!$O$51*'TUSD BE'!$O$70</f>
        <v>0</v>
      </c>
      <c r="P51" s="13">
        <f>'TUSD BE'!$P$51*'TUSD BE'!$P$70</f>
        <v>0</v>
      </c>
      <c r="Q51" s="13">
        <f>'TUSD BE'!$Q$51*'TUSD BE'!$Q$70</f>
        <v>1.6910279315747665</v>
      </c>
      <c r="R51" s="13">
        <f>'TUSD BE'!$R$51*'TUSD BE'!$R$70</f>
        <v>0.40310841228953048</v>
      </c>
      <c r="S51" s="13">
        <f>'TUSD BE'!$R$51*'TUSD BE'!$S$70</f>
        <v>0</v>
      </c>
      <c r="T51" s="13">
        <f ca="1">SUM($L$51:$S$51)</f>
        <v>1.9749408191815361</v>
      </c>
      <c r="U51" s="13">
        <f>'TUSD BE'!$U$51*'TUSD BE'!$U$70</f>
        <v>-0.51204887612598582</v>
      </c>
      <c r="V51" s="13">
        <f>'TUSD BE'!$V$51*'TUSD BE'!$V$70</f>
        <v>-0.4724023061544978</v>
      </c>
      <c r="W51" s="13">
        <f>'TUSD BE'!$W$51*'TUSD BE'!$W$70</f>
        <v>0</v>
      </c>
      <c r="X51" s="13">
        <f>'TUSD BE'!$X$51*'TUSD BE'!$X$70</f>
        <v>0</v>
      </c>
      <c r="Y51" s="13">
        <f>'TUSD BE'!$Y$51*'TUSD BE'!$Y$70</f>
        <v>0</v>
      </c>
      <c r="Z51" s="13">
        <f>'TUSD BE'!$Z$51*'TUSD BE'!$Z$70</f>
        <v>0</v>
      </c>
      <c r="AA51" s="13">
        <f>'TUSD BE'!$AA$51*'TUSD BE'!$AA$70</f>
        <v>0</v>
      </c>
      <c r="AB51" s="13">
        <f>SUM($U$51:$AA$51)</f>
        <v>-0.98445118228048356</v>
      </c>
      <c r="AC51" s="13">
        <f>'TUSD BE'!$AC$51*'TUSD BE'!$AC$70</f>
        <v>0</v>
      </c>
      <c r="AD51" s="13">
        <f>SUM($AC$51:$AC$51)</f>
        <v>0</v>
      </c>
      <c r="AE51" s="13">
        <f ca="1">$AO$51*$AO$67</f>
        <v>-32.945835351270247</v>
      </c>
      <c r="AF51" s="13">
        <f ca="1">$AP$51*$AP$67</f>
        <v>0</v>
      </c>
      <c r="AG51" s="13">
        <f ca="1">SUM($AE$51:$AF$51)</f>
        <v>-32.945835351270247</v>
      </c>
      <c r="AH51" s="13">
        <f>'TUSD BE'!$AH$51*'TUSD BE'!$AH$70</f>
        <v>1.9598136134905149</v>
      </c>
      <c r="AI51" s="13">
        <f>'TUSD BE'!$AI$51*'TUSD BE'!$AI$70</f>
        <v>5.7670049506454941E-2</v>
      </c>
      <c r="AJ51" s="13">
        <f ca="1">'TUSD BE'!$AJ$51*'TUSD BE'!$AJ$70</f>
        <v>0.13149134875098287</v>
      </c>
      <c r="AK51" s="13">
        <f ca="1">'TUSD BE'!$AK$51*'TUSD BE'!$AK$70</f>
        <v>-3.2318360632283147E-2</v>
      </c>
      <c r="AL51" s="13">
        <f ca="1">SUM($AH$51:$AK$51)</f>
        <v>2.1166566511156693</v>
      </c>
      <c r="AM51" s="13">
        <f ca="1">SUMIF($L$4:$AL$4,"SUBTOTAL",$L$51:$AL$51)</f>
        <v>-29.838689063253526</v>
      </c>
      <c r="AO51" s="20">
        <f ca="1">+'TUSD BE'!$T$51+'TUSD BE'!$AB$51+'TUSD BE'!$AD$51+'TUSD BE'!$AL$51</f>
        <v>762.66115799633064</v>
      </c>
      <c r="AP51" s="20">
        <f ca="1">+'TUSD BE'!$T$51+'TUSD BE'!$AB$51+'TUSD BE'!$AD$51+'TUSD BE'!$AL$51</f>
        <v>762.66115799633064</v>
      </c>
    </row>
    <row r="52" spans="1:42" ht="11.25" customHeight="1" x14ac:dyDescent="0.3">
      <c r="A52" s="137"/>
      <c r="B52" s="137"/>
      <c r="C52" s="137"/>
      <c r="D52" s="137"/>
      <c r="E52" s="137"/>
      <c r="F52" s="137"/>
      <c r="G52" s="18" t="s">
        <v>81</v>
      </c>
      <c r="H52" s="18" t="s">
        <v>79</v>
      </c>
      <c r="I52" s="18">
        <f>'MERCADO TUSD'!$U$49</f>
        <v>0</v>
      </c>
      <c r="J52" s="15"/>
      <c r="L52" s="13">
        <f>'TUSD BE'!$L$52*'TUSD BE'!$L$70</f>
        <v>-0.12394774751833187</v>
      </c>
      <c r="M52" s="13">
        <f>'TUSD BE'!$M$52*'TUSD BE'!$M$70</f>
        <v>4.7521062421596759E-3</v>
      </c>
      <c r="N52" s="13">
        <f ca="1">'TUSD BE'!$N$52*'TUSD BE'!$N$70</f>
        <v>4.5770990902297351E-8</v>
      </c>
      <c r="O52" s="13">
        <f>'TUSD BE'!$O$52*'TUSD BE'!$O$70</f>
        <v>0</v>
      </c>
      <c r="P52" s="13">
        <f>'TUSD BE'!$P$52*'TUSD BE'!$P$70</f>
        <v>0</v>
      </c>
      <c r="Q52" s="13">
        <f>'TUSD BE'!$Q$52*'TUSD BE'!$Q$70</f>
        <v>1.6910279315747665</v>
      </c>
      <c r="R52" s="13">
        <f>'TUSD BE'!$R$52*'TUSD BE'!$R$70</f>
        <v>0.40310841228953048</v>
      </c>
      <c r="S52" s="13">
        <f>'TUSD BE'!$R$52*'TUSD BE'!$S$70</f>
        <v>0</v>
      </c>
      <c r="T52" s="13">
        <f ca="1">SUM($L$52:$S$52)</f>
        <v>1.9749407483591157</v>
      </c>
      <c r="U52" s="13">
        <f>'TUSD BE'!$U$52*'TUSD BE'!$U$70</f>
        <v>-0.1706832498225074</v>
      </c>
      <c r="V52" s="13">
        <f>'TUSD BE'!$V$52*'TUSD BE'!$V$70</f>
        <v>-0.15746793716112276</v>
      </c>
      <c r="W52" s="13">
        <f>'TUSD BE'!$W$52*'TUSD BE'!$W$70</f>
        <v>0</v>
      </c>
      <c r="X52" s="13">
        <f>'TUSD BE'!$X$52*'TUSD BE'!$X$70</f>
        <v>0</v>
      </c>
      <c r="Y52" s="13">
        <f>'TUSD BE'!$Y$52*'TUSD BE'!$Y$70</f>
        <v>0</v>
      </c>
      <c r="Z52" s="13">
        <f>'TUSD BE'!$Z$52*'TUSD BE'!$Z$70</f>
        <v>0</v>
      </c>
      <c r="AA52" s="13">
        <f>'TUSD BE'!$AA$52*'TUSD BE'!$AA$70</f>
        <v>0</v>
      </c>
      <c r="AB52" s="13">
        <f>SUM($U$52:$AA$52)</f>
        <v>-0.32815118698363016</v>
      </c>
      <c r="AC52" s="13">
        <f>'TUSD BE'!$AC$52*'TUSD BE'!$AC$70</f>
        <v>0</v>
      </c>
      <c r="AD52" s="13">
        <f>SUM($AC$52:$AC$52)</f>
        <v>0</v>
      </c>
      <c r="AE52" s="13">
        <f ca="1">$AO$52*$AO$67</f>
        <v>-15.286320655434743</v>
      </c>
      <c r="AF52" s="13">
        <f ca="1">$AP$52*$AP$67</f>
        <v>0</v>
      </c>
      <c r="AG52" s="13">
        <f ca="1">SUM($AE$52:$AF$52)</f>
        <v>-15.286320655434743</v>
      </c>
      <c r="AH52" s="13">
        <f>'TUSD BE'!$AH$52*'TUSD BE'!$AH$70</f>
        <v>1.9598136134905149</v>
      </c>
      <c r="AI52" s="13">
        <f>'TUSD BE'!$AI$52*'TUSD BE'!$AI$70</f>
        <v>5.7670049506454941E-2</v>
      </c>
      <c r="AJ52" s="13">
        <f ca="1">'TUSD BE'!$AJ$52*'TUSD BE'!$AJ$70</f>
        <v>0.13149134875098287</v>
      </c>
      <c r="AK52" s="13">
        <f ca="1">'TUSD BE'!$AK$52*'TUSD BE'!$AK$70</f>
        <v>-3.2318360632283147E-2</v>
      </c>
      <c r="AL52" s="13">
        <f ca="1">SUM($AH$52:$AK$52)</f>
        <v>2.1166566511156693</v>
      </c>
      <c r="AM52" s="13">
        <f ca="1">SUMIF($L$4:$AL$4,"SUBTOTAL",$L$52:$AL$52)</f>
        <v>-11.522874442943589</v>
      </c>
      <c r="AO52" s="20">
        <f ca="1">+'TUSD BE'!$T$52+'TUSD BE'!$AB$52+'TUSD BE'!$AD$52+'TUSD BE'!$AL$52</f>
        <v>353.86211605430111</v>
      </c>
      <c r="AP52" s="20">
        <f ca="1">+'TUSD BE'!$T$52+'TUSD BE'!$AB$52+'TUSD BE'!$AD$52+'TUSD BE'!$AL$52</f>
        <v>353.86211605430111</v>
      </c>
    </row>
    <row r="53" spans="1:42" ht="11.25" customHeight="1" x14ac:dyDescent="0.3">
      <c r="A53" s="137"/>
      <c r="B53" s="17" t="s">
        <v>23</v>
      </c>
      <c r="C53" s="17" t="s">
        <v>44</v>
      </c>
      <c r="D53" s="17" t="s">
        <v>95</v>
      </c>
      <c r="E53" s="17" t="s">
        <v>25</v>
      </c>
      <c r="F53" s="17" t="s">
        <v>25</v>
      </c>
      <c r="G53" s="18" t="s">
        <v>83</v>
      </c>
      <c r="H53" s="18" t="s">
        <v>79</v>
      </c>
      <c r="I53" s="18">
        <f>'MERCADO TUSD'!$U$50</f>
        <v>0</v>
      </c>
      <c r="J53" s="15"/>
      <c r="L53" s="13">
        <f>'TUSD BE'!$L$53*'TUSD BE'!$L$70</f>
        <v>-0.12394774751833187</v>
      </c>
      <c r="M53" s="13">
        <f>'TUSD BE'!$M$53*'TUSD BE'!$M$70</f>
        <v>4.7521062421596759E-3</v>
      </c>
      <c r="N53" s="13">
        <f ca="1">'TUSD BE'!$N$53*'TUSD BE'!$N$70</f>
        <v>6.4013120631565557E-8</v>
      </c>
      <c r="O53" s="13">
        <f>'TUSD BE'!$O$53*'TUSD BE'!$O$70</f>
        <v>0</v>
      </c>
      <c r="P53" s="13">
        <f>'TUSD BE'!$P$53*'TUSD BE'!$P$70</f>
        <v>0</v>
      </c>
      <c r="Q53" s="13">
        <f>'TUSD BE'!$Q$53*'TUSD BE'!$Q$70</f>
        <v>1.6910279315747665</v>
      </c>
      <c r="R53" s="13">
        <f>'TUSD BE'!$R$53*'TUSD BE'!$R$70</f>
        <v>0.40310841228953048</v>
      </c>
      <c r="S53" s="13">
        <f>'TUSD BE'!$R$53*'TUSD BE'!$S$70</f>
        <v>0</v>
      </c>
      <c r="T53" s="13">
        <f ca="1">SUM($L$53:$S$53)</f>
        <v>1.9749407666012455</v>
      </c>
      <c r="U53" s="13">
        <f>'TUSD BE'!$U$53*'TUSD BE'!$U$70</f>
        <v>-0.25861040235186578</v>
      </c>
      <c r="V53" s="13">
        <f>'TUSD BE'!$V$53*'TUSD BE'!$V$70</f>
        <v>-0.23858709933706304</v>
      </c>
      <c r="W53" s="13">
        <f>'TUSD BE'!$W$53*'TUSD BE'!$W$70</f>
        <v>0</v>
      </c>
      <c r="X53" s="13">
        <f>'TUSD BE'!$X$53*'TUSD BE'!$X$70</f>
        <v>0</v>
      </c>
      <c r="Y53" s="13">
        <f>'TUSD BE'!$Y$53*'TUSD BE'!$Y$70</f>
        <v>0</v>
      </c>
      <c r="Z53" s="13">
        <f>'TUSD BE'!$Z$53*'TUSD BE'!$Z$70</f>
        <v>0</v>
      </c>
      <c r="AA53" s="13">
        <f>'TUSD BE'!$AA$53*'TUSD BE'!$AA$70</f>
        <v>0</v>
      </c>
      <c r="AB53" s="13">
        <f>SUM($U$53:$AA$53)</f>
        <v>-0.49719750168892884</v>
      </c>
      <c r="AC53" s="13">
        <f>'TUSD BE'!$AC$53*'TUSD BE'!$AC$70</f>
        <v>0</v>
      </c>
      <c r="AD53" s="13">
        <f>SUM($AC$53:$AC$53)</f>
        <v>0</v>
      </c>
      <c r="AE53" s="13">
        <f ca="1">$AO$53*$AO$67</f>
        <v>-19.834981053784773</v>
      </c>
      <c r="AF53" s="13">
        <f ca="1">$AP$53*$AP$67</f>
        <v>0</v>
      </c>
      <c r="AG53" s="13">
        <f ca="1">SUM($AE$53:$AF$53)</f>
        <v>-19.834981053784773</v>
      </c>
      <c r="AH53" s="13">
        <f>'TUSD BE'!$AH$53*'TUSD BE'!$AH$70</f>
        <v>1.9598136134905149</v>
      </c>
      <c r="AI53" s="13">
        <f>'TUSD BE'!$AI$53*'TUSD BE'!$AI$70</f>
        <v>5.7670049506454941E-2</v>
      </c>
      <c r="AJ53" s="13">
        <f ca="1">'TUSD BE'!$AJ$53*'TUSD BE'!$AJ$70</f>
        <v>0.13149134875098287</v>
      </c>
      <c r="AK53" s="13">
        <f ca="1">'TUSD BE'!$AK$53*'TUSD BE'!$AK$70</f>
        <v>-3.2318360632283147E-2</v>
      </c>
      <c r="AL53" s="13">
        <f ca="1">SUM($AH$53:$AK$53)</f>
        <v>2.1166566511156693</v>
      </c>
      <c r="AM53" s="13">
        <f ca="1">SUMIF($L$4:$AL$4,"SUBTOTAL",$L$53:$AL$53)</f>
        <v>-16.240581137756788</v>
      </c>
      <c r="AO53" s="20">
        <f ca="1">+'TUSD BE'!$T$53+'TUSD BE'!$AB$53+'TUSD BE'!$AD$53+'TUSD BE'!$AL$53</f>
        <v>459.15878161916231</v>
      </c>
      <c r="AP53" s="20">
        <f ca="1">+'TUSD BE'!$T$53+'TUSD BE'!$AB$53+'TUSD BE'!$AD$53+'TUSD BE'!$AL$53</f>
        <v>459.15878161916231</v>
      </c>
    </row>
    <row r="54" spans="1:42" ht="11.25" customHeight="1" x14ac:dyDescent="0.3">
      <c r="A54" s="137"/>
      <c r="B54" s="137" t="s">
        <v>93</v>
      </c>
      <c r="C54" s="137" t="s">
        <v>44</v>
      </c>
      <c r="D54" s="17" t="s">
        <v>25</v>
      </c>
      <c r="E54" s="17" t="s">
        <v>25</v>
      </c>
      <c r="F54" s="17" t="s">
        <v>25</v>
      </c>
      <c r="G54" s="18" t="s">
        <v>83</v>
      </c>
      <c r="H54" s="18" t="s">
        <v>79</v>
      </c>
      <c r="I54" s="18">
        <f>'MERCADO TUSD'!$U$51</f>
        <v>0</v>
      </c>
      <c r="J54" s="15"/>
      <c r="L54" s="13">
        <f>'TUSD BE'!$L$54*'TUSD BE'!$L$70</f>
        <v>-0.12394774751833187</v>
      </c>
      <c r="M54" s="13">
        <f>'TUSD BE'!$M$54*'TUSD BE'!$M$70</f>
        <v>4.7521062421596759E-3</v>
      </c>
      <c r="N54" s="13">
        <f ca="1">'TUSD BE'!$N$54*'TUSD BE'!$N$70</f>
        <v>6.4013120631565557E-8</v>
      </c>
      <c r="O54" s="13">
        <f>'TUSD BE'!$O$54*'TUSD BE'!$O$70</f>
        <v>0</v>
      </c>
      <c r="P54" s="13">
        <f>'TUSD BE'!$P$54*'TUSD BE'!$P$70</f>
        <v>0</v>
      </c>
      <c r="Q54" s="13">
        <f>'TUSD BE'!$Q$54*'TUSD BE'!$Q$70</f>
        <v>1.6910279315747665</v>
      </c>
      <c r="R54" s="13">
        <f>'TUSD BE'!$R$54*'TUSD BE'!$R$70</f>
        <v>0.40310841228953048</v>
      </c>
      <c r="S54" s="13">
        <f>'TUSD BE'!$R$54*'TUSD BE'!$S$70</f>
        <v>0</v>
      </c>
      <c r="T54" s="13">
        <f ca="1">SUM($L$54:$S$54)</f>
        <v>1.9749407666012455</v>
      </c>
      <c r="U54" s="13">
        <f>'TUSD BE'!$U$54*'TUSD BE'!$U$70</f>
        <v>-0.25861040235186578</v>
      </c>
      <c r="V54" s="13">
        <f>'TUSD BE'!$V$54*'TUSD BE'!$V$70</f>
        <v>-0.23858709933706304</v>
      </c>
      <c r="W54" s="13">
        <f>'TUSD BE'!$W$54*'TUSD BE'!$W$70</f>
        <v>0</v>
      </c>
      <c r="X54" s="13">
        <f>'TUSD BE'!$X$54*'TUSD BE'!$X$70</f>
        <v>0</v>
      </c>
      <c r="Y54" s="13">
        <f>'TUSD BE'!$Y$54*'TUSD BE'!$Y$70</f>
        <v>0</v>
      </c>
      <c r="Z54" s="13">
        <f>'TUSD BE'!$Z$54*'TUSD BE'!$Z$70</f>
        <v>0</v>
      </c>
      <c r="AA54" s="13">
        <f>'TUSD BE'!$AA$54*'TUSD BE'!$AA$70</f>
        <v>0</v>
      </c>
      <c r="AB54" s="13">
        <f>SUM($U$54:$AA$54)</f>
        <v>-0.49719750168892884</v>
      </c>
      <c r="AC54" s="13">
        <f>'TUSD BE'!$AC$54*'TUSD BE'!$AC$70</f>
        <v>0</v>
      </c>
      <c r="AD54" s="13">
        <f>SUM($AC$54:$AC$54)</f>
        <v>0</v>
      </c>
      <c r="AE54" s="13">
        <f ca="1">$AO$54*$AO$67</f>
        <v>-19.834981053784773</v>
      </c>
      <c r="AF54" s="13">
        <f ca="1">$AP$54*$AP$67</f>
        <v>0</v>
      </c>
      <c r="AG54" s="13">
        <f ca="1">SUM($AE$54:$AF$54)</f>
        <v>-19.834981053784773</v>
      </c>
      <c r="AH54" s="13">
        <f>'TUSD BE'!$AH$54*'TUSD BE'!$AH$70</f>
        <v>1.9598136134905149</v>
      </c>
      <c r="AI54" s="13">
        <f>'TUSD BE'!$AI$54*'TUSD BE'!$AI$70</f>
        <v>5.7670049506454941E-2</v>
      </c>
      <c r="AJ54" s="13">
        <f ca="1">'TUSD BE'!$AJ$54*'TUSD BE'!$AJ$70</f>
        <v>0.13149134875098287</v>
      </c>
      <c r="AK54" s="13">
        <f ca="1">'TUSD BE'!$AK$54*'TUSD BE'!$AK$70</f>
        <v>-3.2318360632283147E-2</v>
      </c>
      <c r="AL54" s="13">
        <f ca="1">SUM($AH$54:$AK$54)</f>
        <v>2.1166566511156693</v>
      </c>
      <c r="AM54" s="13">
        <f ca="1">SUMIF($L$4:$AL$4,"SUBTOTAL",$L$54:$AL$54)</f>
        <v>-16.240581137756788</v>
      </c>
      <c r="AO54" s="20">
        <f ca="1">+'TUSD BE'!$T$54+'TUSD BE'!$AB$54+'TUSD BE'!$AD$54+'TUSD BE'!$AL$54</f>
        <v>459.15878161916231</v>
      </c>
      <c r="AP54" s="20">
        <f ca="1">+'TUSD BE'!$T$54+'TUSD BE'!$AB$54+'TUSD BE'!$AD$54+'TUSD BE'!$AL$54</f>
        <v>459.15878161916231</v>
      </c>
    </row>
    <row r="55" spans="1:42" ht="11.25" customHeight="1" x14ac:dyDescent="0.3">
      <c r="A55" s="137"/>
      <c r="B55" s="137"/>
      <c r="C55" s="137"/>
      <c r="D55" s="17" t="s">
        <v>94</v>
      </c>
      <c r="E55" s="17" t="s">
        <v>25</v>
      </c>
      <c r="F55" s="17" t="s">
        <v>25</v>
      </c>
      <c r="G55" s="18" t="s">
        <v>83</v>
      </c>
      <c r="H55" s="18" t="s">
        <v>79</v>
      </c>
      <c r="I55" s="18">
        <f>'MERCADO TUSD'!$U$52</f>
        <v>0</v>
      </c>
      <c r="J55" s="15"/>
      <c r="L55" s="13">
        <f>'TUSD BE'!$L$55*'TUSD BE'!$L$70</f>
        <v>-0.12394774751833187</v>
      </c>
      <c r="M55" s="13">
        <f>'TUSD BE'!$M$55*'TUSD BE'!$M$70</f>
        <v>4.7521062421596759E-3</v>
      </c>
      <c r="N55" s="13">
        <f ca="1">'TUSD BE'!$N$55*'TUSD BE'!$N$70</f>
        <v>6.4013120631565557E-8</v>
      </c>
      <c r="O55" s="13">
        <f>'TUSD BE'!$O$55*'TUSD BE'!$O$70</f>
        <v>0</v>
      </c>
      <c r="P55" s="13">
        <f>'TUSD BE'!$P$55*'TUSD BE'!$P$70</f>
        <v>0</v>
      </c>
      <c r="Q55" s="13">
        <f>'TUSD BE'!$Q$55*'TUSD BE'!$Q$70</f>
        <v>1.6910279315747665</v>
      </c>
      <c r="R55" s="13">
        <f>'TUSD BE'!$R$55*'TUSD BE'!$R$70</f>
        <v>0.40310841228953048</v>
      </c>
      <c r="S55" s="13">
        <f>'TUSD BE'!$R$55*'TUSD BE'!$S$70</f>
        <v>0</v>
      </c>
      <c r="T55" s="13">
        <f ca="1">SUM($L$55:$S$55)</f>
        <v>1.9749407666012455</v>
      </c>
      <c r="U55" s="13">
        <f>'TUSD BE'!$U$55*'TUSD BE'!$U$70</f>
        <v>-0.25861040235186578</v>
      </c>
      <c r="V55" s="13">
        <f>'TUSD BE'!$V$55*'TUSD BE'!$V$70</f>
        <v>-0.23858709933706304</v>
      </c>
      <c r="W55" s="13">
        <f>'TUSD BE'!$W$55*'TUSD BE'!$W$70</f>
        <v>0</v>
      </c>
      <c r="X55" s="13">
        <f>'TUSD BE'!$X$55*'TUSD BE'!$X$70</f>
        <v>0</v>
      </c>
      <c r="Y55" s="13">
        <f>'TUSD BE'!$Y$55*'TUSD BE'!$Y$70</f>
        <v>0</v>
      </c>
      <c r="Z55" s="13">
        <f>'TUSD BE'!$Z$55*'TUSD BE'!$Z$70</f>
        <v>0</v>
      </c>
      <c r="AA55" s="13">
        <f>'TUSD BE'!$AA$55*'TUSD BE'!$AA$70</f>
        <v>0</v>
      </c>
      <c r="AB55" s="13">
        <f>SUM($U$55:$AA$55)</f>
        <v>-0.49719750168892884</v>
      </c>
      <c r="AC55" s="13">
        <f>'TUSD BE'!$AC$55*'TUSD BE'!$AC$70</f>
        <v>0</v>
      </c>
      <c r="AD55" s="13">
        <f>SUM($AC$55:$AC$55)</f>
        <v>0</v>
      </c>
      <c r="AE55" s="13">
        <f ca="1">$AO$55*$AO$67</f>
        <v>-19.834981053784773</v>
      </c>
      <c r="AF55" s="13">
        <f ca="1">$AP$55*$AP$67</f>
        <v>0</v>
      </c>
      <c r="AG55" s="13">
        <f ca="1">SUM($AE$55:$AF$55)</f>
        <v>-19.834981053784773</v>
      </c>
      <c r="AH55" s="13">
        <f>'TUSD BE'!$AH$55*'TUSD BE'!$AH$70</f>
        <v>1.9598136134905149</v>
      </c>
      <c r="AI55" s="13">
        <f>'TUSD BE'!$AI$55*'TUSD BE'!$AI$70</f>
        <v>5.7670049506454941E-2</v>
      </c>
      <c r="AJ55" s="13">
        <f ca="1">'TUSD BE'!$AJ$55*'TUSD BE'!$AJ$70</f>
        <v>0.13149134875098287</v>
      </c>
      <c r="AK55" s="13">
        <f ca="1">'TUSD BE'!$AK$55*'TUSD BE'!$AK$70</f>
        <v>-3.2318360632283147E-2</v>
      </c>
      <c r="AL55" s="13">
        <f ca="1">SUM($AH$55:$AK$55)</f>
        <v>2.1166566511156693</v>
      </c>
      <c r="AM55" s="13">
        <f ca="1">SUMIF($L$4:$AL$4,"SUBTOTAL",$L$55:$AL$55)</f>
        <v>-16.240581137756788</v>
      </c>
      <c r="AO55" s="20">
        <f ca="1">+'TUSD BE'!$T$55+'TUSD BE'!$AB$55+'TUSD BE'!$AD$55+'TUSD BE'!$AL$55</f>
        <v>459.15878161916231</v>
      </c>
      <c r="AP55" s="20">
        <f ca="1">+'TUSD BE'!$T$55+'TUSD BE'!$AB$55+'TUSD BE'!$AD$55+'TUSD BE'!$AL$55</f>
        <v>459.15878161916231</v>
      </c>
    </row>
    <row r="56" spans="1:42" ht="11.25" customHeight="1" x14ac:dyDescent="0.3">
      <c r="A56" s="137"/>
      <c r="B56" s="137"/>
      <c r="C56" s="137"/>
      <c r="D56" s="17" t="s">
        <v>95</v>
      </c>
      <c r="E56" s="17" t="s">
        <v>25</v>
      </c>
      <c r="F56" s="17" t="s">
        <v>25</v>
      </c>
      <c r="G56" s="18" t="s">
        <v>83</v>
      </c>
      <c r="H56" s="18" t="s">
        <v>79</v>
      </c>
      <c r="I56" s="18">
        <f>'MERCADO TUSD'!$U$53</f>
        <v>0</v>
      </c>
      <c r="J56" s="15"/>
      <c r="L56" s="13">
        <f>'TUSD BE'!$L$56*'TUSD BE'!$L$70</f>
        <v>-0.12394774751833187</v>
      </c>
      <c r="M56" s="13">
        <f>'TUSD BE'!$M$56*'TUSD BE'!$M$70</f>
        <v>4.7521062421596759E-3</v>
      </c>
      <c r="N56" s="13">
        <f ca="1">'TUSD BE'!$N$56*'TUSD BE'!$N$70</f>
        <v>6.4013120631565557E-8</v>
      </c>
      <c r="O56" s="13">
        <f>'TUSD BE'!$O$56*'TUSD BE'!$O$70</f>
        <v>0</v>
      </c>
      <c r="P56" s="13">
        <f>'TUSD BE'!$P$56*'TUSD BE'!$P$70</f>
        <v>0</v>
      </c>
      <c r="Q56" s="13">
        <f>'TUSD BE'!$Q$56*'TUSD BE'!$Q$70</f>
        <v>1.6910279315747665</v>
      </c>
      <c r="R56" s="13">
        <f>'TUSD BE'!$R$56*'TUSD BE'!$R$70</f>
        <v>0.40310841228953048</v>
      </c>
      <c r="S56" s="13">
        <f>'TUSD BE'!$R$56*'TUSD BE'!$S$70</f>
        <v>0</v>
      </c>
      <c r="T56" s="13">
        <f ca="1">SUM($L$56:$S$56)</f>
        <v>1.9749407666012455</v>
      </c>
      <c r="U56" s="13">
        <f>'TUSD BE'!$U$56*'TUSD BE'!$U$70</f>
        <v>-0.25861040235186578</v>
      </c>
      <c r="V56" s="13">
        <f>'TUSD BE'!$V$56*'TUSD BE'!$V$70</f>
        <v>-0.23858709933706304</v>
      </c>
      <c r="W56" s="13">
        <f>'TUSD BE'!$W$56*'TUSD BE'!$W$70</f>
        <v>0</v>
      </c>
      <c r="X56" s="13">
        <f>'TUSD BE'!$X$56*'TUSD BE'!$X$70</f>
        <v>0</v>
      </c>
      <c r="Y56" s="13">
        <f>'TUSD BE'!$Y$56*'TUSD BE'!$Y$70</f>
        <v>0</v>
      </c>
      <c r="Z56" s="13">
        <f>'TUSD BE'!$Z$56*'TUSD BE'!$Z$70</f>
        <v>0</v>
      </c>
      <c r="AA56" s="13">
        <f>'TUSD BE'!$AA$56*'TUSD BE'!$AA$70</f>
        <v>0</v>
      </c>
      <c r="AB56" s="13">
        <f>SUM($U$56:$AA$56)</f>
        <v>-0.49719750168892884</v>
      </c>
      <c r="AC56" s="13">
        <f>'TUSD BE'!$AC$56*'TUSD BE'!$AC$70</f>
        <v>0</v>
      </c>
      <c r="AD56" s="13">
        <f>SUM($AC$56:$AC$56)</f>
        <v>0</v>
      </c>
      <c r="AE56" s="13">
        <f ca="1">$AO$56*$AO$67</f>
        <v>-19.834981053784773</v>
      </c>
      <c r="AF56" s="13">
        <f ca="1">$AP$56*$AP$67</f>
        <v>0</v>
      </c>
      <c r="AG56" s="13">
        <f ca="1">SUM($AE$56:$AF$56)</f>
        <v>-19.834981053784773</v>
      </c>
      <c r="AH56" s="13">
        <f>'TUSD BE'!$AH$56*'TUSD BE'!$AH$70</f>
        <v>1.9598136134905149</v>
      </c>
      <c r="AI56" s="13">
        <f>'TUSD BE'!$AI$56*'TUSD BE'!$AI$70</f>
        <v>5.7670049506454941E-2</v>
      </c>
      <c r="AJ56" s="13">
        <f ca="1">'TUSD BE'!$AJ$56*'TUSD BE'!$AJ$70</f>
        <v>0.13149134875098287</v>
      </c>
      <c r="AK56" s="13">
        <f ca="1">'TUSD BE'!$AK$56*'TUSD BE'!$AK$70</f>
        <v>-3.2318360632283147E-2</v>
      </c>
      <c r="AL56" s="13">
        <f ca="1">SUM($AH$56:$AK$56)</f>
        <v>2.1166566511156693</v>
      </c>
      <c r="AM56" s="13">
        <f ca="1">SUMIF($L$4:$AL$4,"SUBTOTAL",$L$56:$AL$56)</f>
        <v>-16.240581137756788</v>
      </c>
      <c r="AO56" s="20">
        <f ca="1">+'TUSD BE'!$T$56+'TUSD BE'!$AB$56+'TUSD BE'!$AD$56+'TUSD BE'!$AL$56</f>
        <v>459.15878161916231</v>
      </c>
      <c r="AP56" s="20">
        <f ca="1">+'TUSD BE'!$T$56+'TUSD BE'!$AB$56+'TUSD BE'!$AD$56+'TUSD BE'!$AL$56</f>
        <v>459.15878161916231</v>
      </c>
    </row>
    <row r="57" spans="1:42" ht="11.25" customHeight="1" x14ac:dyDescent="0.3">
      <c r="A57" s="137" t="s">
        <v>37</v>
      </c>
      <c r="B57" s="137" t="s">
        <v>33</v>
      </c>
      <c r="C57" s="137" t="s">
        <v>25</v>
      </c>
      <c r="D57" s="137" t="s">
        <v>25</v>
      </c>
      <c r="E57" s="137" t="s">
        <v>25</v>
      </c>
      <c r="F57" s="137" t="s">
        <v>25</v>
      </c>
      <c r="G57" s="18" t="s">
        <v>80</v>
      </c>
      <c r="H57" s="18" t="s">
        <v>79</v>
      </c>
      <c r="I57" s="18">
        <f>'MERCADO TUSD'!$U$54</f>
        <v>10.468</v>
      </c>
      <c r="J57" s="15"/>
      <c r="L57" s="13">
        <f>'TUSD BE'!$L$57*'TUSD BE'!$L$70</f>
        <v>-0.12394774751833187</v>
      </c>
      <c r="M57" s="13">
        <f>'TUSD BE'!$M$57*'TUSD BE'!$M$70</f>
        <v>4.7521062421596759E-3</v>
      </c>
      <c r="N57" s="13">
        <f ca="1">'TUSD BE'!$N$57*'TUSD BE'!$N$70</f>
        <v>1.954638369644022E-7</v>
      </c>
      <c r="O57" s="13">
        <f>'TUSD BE'!$O$57*'TUSD BE'!$O$70</f>
        <v>0</v>
      </c>
      <c r="P57" s="13">
        <f>'TUSD BE'!$P$57*'TUSD BE'!$P$70</f>
        <v>0</v>
      </c>
      <c r="Q57" s="13">
        <f>'TUSD BE'!$Q$57*'TUSD BE'!$Q$70</f>
        <v>1.6910279315747665</v>
      </c>
      <c r="R57" s="13">
        <f>'TUSD BE'!$R$57*'TUSD BE'!$R$70</f>
        <v>0.40310841228953048</v>
      </c>
      <c r="S57" s="13">
        <f>'TUSD BE'!$R$57*'TUSD BE'!$S$70</f>
        <v>0</v>
      </c>
      <c r="T57" s="13">
        <f ca="1">SUM($L$57:$S$57)</f>
        <v>1.9749408980519618</v>
      </c>
      <c r="U57" s="13">
        <f>'TUSD BE'!$U$57*'TUSD BE'!$U$70</f>
        <v>-0.89220658678716602</v>
      </c>
      <c r="V57" s="13">
        <f>'TUSD BE'!$V$57*'TUSD BE'!$V$70</f>
        <v>-0.82312436371621456</v>
      </c>
      <c r="W57" s="13">
        <f>'TUSD BE'!$W$57*'TUSD BE'!$W$70</f>
        <v>0</v>
      </c>
      <c r="X57" s="13">
        <f>'TUSD BE'!$X$57*'TUSD BE'!$X$70</f>
        <v>0</v>
      </c>
      <c r="Y57" s="13">
        <f>'TUSD BE'!$Y$57*'TUSD BE'!$Y$70</f>
        <v>0</v>
      </c>
      <c r="Z57" s="13">
        <f>'TUSD BE'!$Z$57*'TUSD BE'!$Z$70</f>
        <v>0</v>
      </c>
      <c r="AA57" s="13">
        <f>'TUSD BE'!$AA$57*'TUSD BE'!$AA$70</f>
        <v>0</v>
      </c>
      <c r="AB57" s="13">
        <f>SUM($U$57:$AA$57)</f>
        <v>-1.7153309505033807</v>
      </c>
      <c r="AC57" s="13">
        <f>'TUSD BE'!$AC$57*'TUSD BE'!$AC$70</f>
        <v>0</v>
      </c>
      <c r="AD57" s="13">
        <f>SUM($AC$57:$AC$57)</f>
        <v>0</v>
      </c>
      <c r="AE57" s="13">
        <f ca="1">$AO$57*$AO$67</f>
        <v>-52.612114292718218</v>
      </c>
      <c r="AF57" s="13">
        <f ca="1">$AP$57*$AP$67</f>
        <v>0</v>
      </c>
      <c r="AG57" s="13">
        <f ca="1">SUM($AE$57:$AF$57)</f>
        <v>-52.612114292718218</v>
      </c>
      <c r="AH57" s="13">
        <f>'TUSD BE'!$AH$57*'TUSD BE'!$AH$70</f>
        <v>1.9598136134905149</v>
      </c>
      <c r="AI57" s="13">
        <f>'TUSD BE'!$AI$57*'TUSD BE'!$AI$70</f>
        <v>5.7670049506454941E-2</v>
      </c>
      <c r="AJ57" s="13">
        <f ca="1">'TUSD BE'!$AJ$57*'TUSD BE'!$AJ$70</f>
        <v>0.13149134875098287</v>
      </c>
      <c r="AK57" s="13">
        <f ca="1">'TUSD BE'!$AK$57*'TUSD BE'!$AK$70</f>
        <v>-3.2318360632283147E-2</v>
      </c>
      <c r="AL57" s="13">
        <f ca="1">SUM($AH$57:$AK$57)</f>
        <v>2.1166566511156693</v>
      </c>
      <c r="AM57" s="13">
        <f ca="1">SUMIF($L$4:$AL$4,"SUBTOTAL",$L$57:$AL$57)</f>
        <v>-50.235847694053966</v>
      </c>
      <c r="AO57" s="20">
        <f ca="1">+'TUSD BE'!$T$57+'TUSD BE'!$AB$57+'TUSD BE'!$AD$57+'TUSD BE'!$AL$57</f>
        <v>1217.9146645790761</v>
      </c>
      <c r="AP57" s="20">
        <f ca="1">+'TUSD BE'!$T$57+'TUSD BE'!$AB$57+'TUSD BE'!$AD$57+'TUSD BE'!$AL$57</f>
        <v>1217.9146645790761</v>
      </c>
    </row>
    <row r="58" spans="1:42" ht="11.25" customHeight="1" x14ac:dyDescent="0.3">
      <c r="A58" s="137"/>
      <c r="B58" s="137"/>
      <c r="C58" s="137"/>
      <c r="D58" s="137"/>
      <c r="E58" s="137"/>
      <c r="F58" s="137"/>
      <c r="G58" s="18" t="s">
        <v>91</v>
      </c>
      <c r="H58" s="18" t="s">
        <v>79</v>
      </c>
      <c r="I58" s="18">
        <f>'MERCADO TUSD'!$U$55</f>
        <v>9.6909999999999989</v>
      </c>
      <c r="J58" s="15"/>
      <c r="L58" s="13">
        <f>'TUSD BE'!$L$58*'TUSD BE'!$L$70</f>
        <v>-0.12394774751833187</v>
      </c>
      <c r="M58" s="13">
        <f>'TUSD BE'!$M$58*'TUSD BE'!$M$70</f>
        <v>4.7521062421596759E-3</v>
      </c>
      <c r="N58" s="13">
        <f ca="1">'TUSD BE'!$N$58*'TUSD BE'!$N$70</f>
        <v>1.2142219841065456E-7</v>
      </c>
      <c r="O58" s="13">
        <f>'TUSD BE'!$O$58*'TUSD BE'!$O$70</f>
        <v>0</v>
      </c>
      <c r="P58" s="13">
        <f>'TUSD BE'!$P$58*'TUSD BE'!$P$70</f>
        <v>0</v>
      </c>
      <c r="Q58" s="13">
        <f>'TUSD BE'!$Q$58*'TUSD BE'!$Q$70</f>
        <v>1.6910279315747665</v>
      </c>
      <c r="R58" s="13">
        <f>'TUSD BE'!$R$58*'TUSD BE'!$R$70</f>
        <v>0.40310841228953048</v>
      </c>
      <c r="S58" s="13">
        <f>'TUSD BE'!$R$58*'TUSD BE'!$S$70</f>
        <v>0</v>
      </c>
      <c r="T58" s="13">
        <f ca="1">SUM($L$58:$S$58)</f>
        <v>1.9749408240103232</v>
      </c>
      <c r="U58" s="13">
        <f>'TUSD BE'!$U$58*'TUSD BE'!$U$70</f>
        <v>-0.53532342806737787</v>
      </c>
      <c r="V58" s="13">
        <f>'TUSD BE'!$V$58*'TUSD BE'!$V$70</f>
        <v>-0.49387431716395458</v>
      </c>
      <c r="W58" s="13">
        <f>'TUSD BE'!$W$58*'TUSD BE'!$W$70</f>
        <v>0</v>
      </c>
      <c r="X58" s="13">
        <f>'TUSD BE'!$X$58*'TUSD BE'!$X$70</f>
        <v>0</v>
      </c>
      <c r="Y58" s="13">
        <f>'TUSD BE'!$Y$58*'TUSD BE'!$Y$70</f>
        <v>0</v>
      </c>
      <c r="Z58" s="13">
        <f>'TUSD BE'!$Z$58*'TUSD BE'!$Z$70</f>
        <v>0</v>
      </c>
      <c r="AA58" s="13">
        <f>'TUSD BE'!$AA$58*'TUSD BE'!$AA$70</f>
        <v>0</v>
      </c>
      <c r="AB58" s="13">
        <f>SUM($U$58:$AA$58)</f>
        <v>-1.0291977452313326</v>
      </c>
      <c r="AC58" s="13">
        <f>'TUSD BE'!$AC$58*'TUSD BE'!$AC$70</f>
        <v>0</v>
      </c>
      <c r="AD58" s="13">
        <f>SUM($AC$58:$AC$58)</f>
        <v>0</v>
      </c>
      <c r="AE58" s="13">
        <f ca="1">$AO$58*$AO$67</f>
        <v>-34.149889343587439</v>
      </c>
      <c r="AF58" s="13">
        <f ca="1">$AP$58*$AP$67</f>
        <v>0</v>
      </c>
      <c r="AG58" s="13">
        <f ca="1">SUM($AE$58:$AF$58)</f>
        <v>-34.149889343587439</v>
      </c>
      <c r="AH58" s="13">
        <f>'TUSD BE'!$AH$58*'TUSD BE'!$AH$70</f>
        <v>1.9598136134905149</v>
      </c>
      <c r="AI58" s="13">
        <f>'TUSD BE'!$AI$58*'TUSD BE'!$AI$70</f>
        <v>5.7670049506454941E-2</v>
      </c>
      <c r="AJ58" s="13">
        <f ca="1">'TUSD BE'!$AJ$58*'TUSD BE'!$AJ$70</f>
        <v>0.13149134875098287</v>
      </c>
      <c r="AK58" s="13">
        <f ca="1">'TUSD BE'!$AK$58*'TUSD BE'!$AK$70</f>
        <v>-3.2318360632283147E-2</v>
      </c>
      <c r="AL58" s="13">
        <f ca="1">SUM($AH$58:$AK$58)</f>
        <v>2.1166566511156693</v>
      </c>
      <c r="AM58" s="13">
        <f ca="1">SUMIF($L$4:$AL$4,"SUBTOTAL",$L$58:$AL$58)</f>
        <v>-31.087489613692782</v>
      </c>
      <c r="AO58" s="20">
        <f ca="1">+'TUSD BE'!$T$58+'TUSD BE'!$AB$58+'TUSD BE'!$AD$58+'TUSD BE'!$AL$58</f>
        <v>790.53373133617549</v>
      </c>
      <c r="AP58" s="20">
        <f ca="1">+'TUSD BE'!$T$58+'TUSD BE'!$AB$58+'TUSD BE'!$AD$58+'TUSD BE'!$AL$58</f>
        <v>790.53373133617549</v>
      </c>
    </row>
    <row r="59" spans="1:42" ht="11.25" customHeight="1" x14ac:dyDescent="0.3">
      <c r="A59" s="137"/>
      <c r="B59" s="137"/>
      <c r="C59" s="137"/>
      <c r="D59" s="137"/>
      <c r="E59" s="137"/>
      <c r="F59" s="137"/>
      <c r="G59" s="18" t="s">
        <v>81</v>
      </c>
      <c r="H59" s="18" t="s">
        <v>79</v>
      </c>
      <c r="I59" s="18">
        <f>'MERCADO TUSD'!$U$56</f>
        <v>150.328</v>
      </c>
      <c r="J59" s="15"/>
      <c r="L59" s="13">
        <f>'TUSD BE'!$L$59*'TUSD BE'!$L$70</f>
        <v>-0.12394774751833187</v>
      </c>
      <c r="M59" s="13">
        <f>'TUSD BE'!$M$59*'TUSD BE'!$M$70</f>
        <v>4.7521062421596759E-3</v>
      </c>
      <c r="N59" s="13">
        <f ca="1">'TUSD BE'!$N$59*'TUSD BE'!$N$70</f>
        <v>4.7380579947889227E-8</v>
      </c>
      <c r="O59" s="13">
        <f>'TUSD BE'!$O$59*'TUSD BE'!$O$70</f>
        <v>0</v>
      </c>
      <c r="P59" s="13">
        <f>'TUSD BE'!$P$59*'TUSD BE'!$P$70</f>
        <v>0</v>
      </c>
      <c r="Q59" s="13">
        <f>'TUSD BE'!$Q$59*'TUSD BE'!$Q$70</f>
        <v>1.6910279315747665</v>
      </c>
      <c r="R59" s="13">
        <f>'TUSD BE'!$R$59*'TUSD BE'!$R$70</f>
        <v>0.40310841228953048</v>
      </c>
      <c r="S59" s="13">
        <f>'TUSD BE'!$R$59*'TUSD BE'!$S$70</f>
        <v>0</v>
      </c>
      <c r="T59" s="13">
        <f ca="1">SUM($L$59:$S$59)</f>
        <v>1.9749407499687048</v>
      </c>
      <c r="U59" s="13">
        <f>'TUSD BE'!$U$59*'TUSD BE'!$U$70</f>
        <v>-0.17844114268912595</v>
      </c>
      <c r="V59" s="13">
        <f>'TUSD BE'!$V$59*'TUSD BE'!$V$70</f>
        <v>-0.16462427061169468</v>
      </c>
      <c r="W59" s="13">
        <f>'TUSD BE'!$W$59*'TUSD BE'!$W$70</f>
        <v>0</v>
      </c>
      <c r="X59" s="13">
        <f>'TUSD BE'!$X$59*'TUSD BE'!$X$70</f>
        <v>0</v>
      </c>
      <c r="Y59" s="13">
        <f>'TUSD BE'!$Y$59*'TUSD BE'!$Y$70</f>
        <v>0</v>
      </c>
      <c r="Z59" s="13">
        <f>'TUSD BE'!$Z$59*'TUSD BE'!$Z$70</f>
        <v>0</v>
      </c>
      <c r="AA59" s="13">
        <f>'TUSD BE'!$AA$59*'TUSD BE'!$AA$70</f>
        <v>0</v>
      </c>
      <c r="AB59" s="13">
        <f>SUM($U$59:$AA$59)</f>
        <v>-0.34306541330082063</v>
      </c>
      <c r="AC59" s="13">
        <f>'TUSD BE'!$AC$59*'TUSD BE'!$AC$70</f>
        <v>0</v>
      </c>
      <c r="AD59" s="13">
        <f>SUM($AC$59:$AC$59)</f>
        <v>0</v>
      </c>
      <c r="AE59" s="13">
        <f ca="1">$AO$59*$AO$67</f>
        <v>-15.687670045476205</v>
      </c>
      <c r="AF59" s="13">
        <f ca="1">$AP$59*$AP$67</f>
        <v>0</v>
      </c>
      <c r="AG59" s="13">
        <f ca="1">SUM($AE$59:$AF$59)</f>
        <v>-15.687670045476205</v>
      </c>
      <c r="AH59" s="13">
        <f>'TUSD BE'!$AH$59*'TUSD BE'!$AH$70</f>
        <v>1.9598136134905149</v>
      </c>
      <c r="AI59" s="13">
        <f>'TUSD BE'!$AI$59*'TUSD BE'!$AI$70</f>
        <v>5.7670049506454941E-2</v>
      </c>
      <c r="AJ59" s="13">
        <f ca="1">'TUSD BE'!$AJ$59*'TUSD BE'!$AJ$70</f>
        <v>0.13149134875098287</v>
      </c>
      <c r="AK59" s="13">
        <f ca="1">'TUSD BE'!$AK$59*'TUSD BE'!$AK$70</f>
        <v>-3.2318360632283147E-2</v>
      </c>
      <c r="AL59" s="13">
        <f ca="1">SUM($AH$59:$AK$59)</f>
        <v>2.1166566511156693</v>
      </c>
      <c r="AM59" s="13">
        <f ca="1">SUMIF($L$4:$AL$4,"SUBTOTAL",$L$59:$AL$59)</f>
        <v>-11.939138057692652</v>
      </c>
      <c r="AO59" s="20">
        <f ca="1">+'TUSD BE'!$T$59+'TUSD BE'!$AB$59+'TUSD BE'!$AD$59+'TUSD BE'!$AL$59</f>
        <v>363.15292890838589</v>
      </c>
      <c r="AP59" s="20">
        <f ca="1">+'TUSD BE'!$T$59+'TUSD BE'!$AB$59+'TUSD BE'!$AD$59+'TUSD BE'!$AL$59</f>
        <v>363.15292890838589</v>
      </c>
    </row>
    <row r="60" spans="1:42" ht="11.25" customHeight="1" x14ac:dyDescent="0.3">
      <c r="A60" s="137"/>
      <c r="B60" s="17" t="s">
        <v>23</v>
      </c>
      <c r="C60" s="17" t="s">
        <v>25</v>
      </c>
      <c r="D60" s="17" t="s">
        <v>25</v>
      </c>
      <c r="E60" s="17" t="s">
        <v>25</v>
      </c>
      <c r="F60" s="17" t="s">
        <v>25</v>
      </c>
      <c r="G60" s="18" t="s">
        <v>83</v>
      </c>
      <c r="H60" s="18" t="s">
        <v>79</v>
      </c>
      <c r="I60" s="18">
        <f>'MERCADO TUSD'!$U$57</f>
        <v>24187.291000000001</v>
      </c>
      <c r="J60" s="15"/>
      <c r="L60" s="13">
        <f>'TUSD BE'!$L$60*'TUSD BE'!$L$70</f>
        <v>-0.12394774751833187</v>
      </c>
      <c r="M60" s="13">
        <f>'TUSD BE'!$M$60*'TUSD BE'!$M$70</f>
        <v>4.7521062421596759E-3</v>
      </c>
      <c r="N60" s="13">
        <f ca="1">'TUSD BE'!$N$60*'TUSD BE'!$N$70</f>
        <v>6.4013120631565557E-8</v>
      </c>
      <c r="O60" s="13">
        <f>'TUSD BE'!$O$60*'TUSD BE'!$O$70</f>
        <v>0</v>
      </c>
      <c r="P60" s="13">
        <f>'TUSD BE'!$P$60*'TUSD BE'!$P$70</f>
        <v>0</v>
      </c>
      <c r="Q60" s="13">
        <f>'TUSD BE'!$Q$60*'TUSD BE'!$Q$70</f>
        <v>1.6910279315747665</v>
      </c>
      <c r="R60" s="13">
        <f>'TUSD BE'!$R$60*'TUSD BE'!$R$70</f>
        <v>0.40310841228953048</v>
      </c>
      <c r="S60" s="13">
        <f>'TUSD BE'!$R$60*'TUSD BE'!$S$70</f>
        <v>0</v>
      </c>
      <c r="T60" s="13">
        <f ca="1">SUM($L$60:$S$60)</f>
        <v>1.9749407666012455</v>
      </c>
      <c r="U60" s="13">
        <f>'TUSD BE'!$U$60*'TUSD BE'!$U$70</f>
        <v>-0.25861040235186578</v>
      </c>
      <c r="V60" s="13">
        <f>'TUSD BE'!$V$60*'TUSD BE'!$V$70</f>
        <v>-0.23858709933706304</v>
      </c>
      <c r="W60" s="13">
        <f>'TUSD BE'!$W$60*'TUSD BE'!$W$70</f>
        <v>0</v>
      </c>
      <c r="X60" s="13">
        <f>'TUSD BE'!$X$60*'TUSD BE'!$X$70</f>
        <v>0</v>
      </c>
      <c r="Y60" s="13">
        <f>'TUSD BE'!$Y$60*'TUSD BE'!$Y$70</f>
        <v>0</v>
      </c>
      <c r="Z60" s="13">
        <f>'TUSD BE'!$Z$60*'TUSD BE'!$Z$70</f>
        <v>0</v>
      </c>
      <c r="AA60" s="13">
        <f>'TUSD BE'!$AA$60*'TUSD BE'!$AA$70</f>
        <v>0</v>
      </c>
      <c r="AB60" s="13">
        <f>SUM($U$60:$AA$60)</f>
        <v>-0.49719750168892884</v>
      </c>
      <c r="AC60" s="13">
        <f>'TUSD BE'!$AC$60*'TUSD BE'!$AC$70</f>
        <v>0</v>
      </c>
      <c r="AD60" s="13">
        <f>SUM($AC$60:$AC$60)</f>
        <v>0</v>
      </c>
      <c r="AE60" s="13">
        <f ca="1">$AO$60*$AO$67</f>
        <v>-19.834981053784773</v>
      </c>
      <c r="AF60" s="13">
        <f ca="1">$AP$60*$AP$67</f>
        <v>0</v>
      </c>
      <c r="AG60" s="13">
        <f ca="1">SUM($AE$60:$AF$60)</f>
        <v>-19.834981053784773</v>
      </c>
      <c r="AH60" s="13">
        <f>'TUSD BE'!$AH$60*'TUSD BE'!$AH$70</f>
        <v>1.9598136134905149</v>
      </c>
      <c r="AI60" s="13">
        <f>'TUSD BE'!$AI$60*'TUSD BE'!$AI$70</f>
        <v>5.7670049506454941E-2</v>
      </c>
      <c r="AJ60" s="13">
        <f ca="1">'TUSD BE'!$AJ$60*'TUSD BE'!$AJ$70</f>
        <v>0.13149134875098287</v>
      </c>
      <c r="AK60" s="13">
        <f ca="1">'TUSD BE'!$AK$60*'TUSD BE'!$AK$70</f>
        <v>-3.2318360632283147E-2</v>
      </c>
      <c r="AL60" s="13">
        <f ca="1">SUM($AH$60:$AK$60)</f>
        <v>2.1166566511156693</v>
      </c>
      <c r="AM60" s="13">
        <f ca="1">SUMIF($L$4:$AL$4,"SUBTOTAL",$L$60:$AL$60)</f>
        <v>-16.240581137756788</v>
      </c>
      <c r="AO60" s="20">
        <f ca="1">+'TUSD BE'!$T$60+'TUSD BE'!$AB$60+'TUSD BE'!$AD$60+'TUSD BE'!$AL$60</f>
        <v>459.15878161916231</v>
      </c>
      <c r="AP60" s="20">
        <f ca="1">+'TUSD BE'!$T$60+'TUSD BE'!$AB$60+'TUSD BE'!$AD$60+'TUSD BE'!$AL$60</f>
        <v>459.15878161916231</v>
      </c>
    </row>
    <row r="61" spans="1:42" ht="11.25" customHeight="1" x14ac:dyDescent="0.3">
      <c r="A61" s="137"/>
      <c r="B61" s="17" t="s">
        <v>93</v>
      </c>
      <c r="C61" s="17" t="s">
        <v>25</v>
      </c>
      <c r="D61" s="17" t="s">
        <v>25</v>
      </c>
      <c r="E61" s="17" t="s">
        <v>25</v>
      </c>
      <c r="F61" s="17" t="s">
        <v>25</v>
      </c>
      <c r="G61" s="18" t="s">
        <v>83</v>
      </c>
      <c r="H61" s="18" t="s">
        <v>79</v>
      </c>
      <c r="I61" s="18">
        <f>'MERCADO TUSD'!$U$58</f>
        <v>0</v>
      </c>
      <c r="J61" s="15"/>
      <c r="L61" s="13">
        <f>'TUSD BE'!$L$61*'TUSD BE'!$L$70</f>
        <v>-0.12394774751833187</v>
      </c>
      <c r="M61" s="13">
        <f>'TUSD BE'!$M$61*'TUSD BE'!$M$70</f>
        <v>4.7521062421596759E-3</v>
      </c>
      <c r="N61" s="13">
        <f ca="1">'TUSD BE'!$N$61*'TUSD BE'!$N$70</f>
        <v>6.4013120631565557E-8</v>
      </c>
      <c r="O61" s="13">
        <f>'TUSD BE'!$O$61*'TUSD BE'!$O$70</f>
        <v>0</v>
      </c>
      <c r="P61" s="13">
        <f>'TUSD BE'!$P$61*'TUSD BE'!$P$70</f>
        <v>0</v>
      </c>
      <c r="Q61" s="13">
        <f>'TUSD BE'!$Q$61*'TUSD BE'!$Q$70</f>
        <v>1.6910279315747665</v>
      </c>
      <c r="R61" s="13">
        <f>'TUSD BE'!$R$61*'TUSD BE'!$R$70</f>
        <v>0.40310841228953048</v>
      </c>
      <c r="S61" s="13">
        <f>'TUSD BE'!$R$61*'TUSD BE'!$S$70</f>
        <v>0</v>
      </c>
      <c r="T61" s="13">
        <f ca="1">SUM($L$61:$S$61)</f>
        <v>1.9749407666012455</v>
      </c>
      <c r="U61" s="13">
        <f>'TUSD BE'!$U$61*'TUSD BE'!$U$70</f>
        <v>-0.25861040235186578</v>
      </c>
      <c r="V61" s="13">
        <f>'TUSD BE'!$V$61*'TUSD BE'!$V$70</f>
        <v>-0.23858709933706304</v>
      </c>
      <c r="W61" s="13">
        <f>'TUSD BE'!$W$61*'TUSD BE'!$W$70</f>
        <v>0</v>
      </c>
      <c r="X61" s="13">
        <f>'TUSD BE'!$X$61*'TUSD BE'!$X$70</f>
        <v>0</v>
      </c>
      <c r="Y61" s="13">
        <f>'TUSD BE'!$Y$61*'TUSD BE'!$Y$70</f>
        <v>0</v>
      </c>
      <c r="Z61" s="13">
        <f>'TUSD BE'!$Z$61*'TUSD BE'!$Z$70</f>
        <v>0</v>
      </c>
      <c r="AA61" s="13">
        <f>'TUSD BE'!$AA$61*'TUSD BE'!$AA$70</f>
        <v>0</v>
      </c>
      <c r="AB61" s="13">
        <f>SUM($U$61:$AA$61)</f>
        <v>-0.49719750168892884</v>
      </c>
      <c r="AC61" s="13">
        <f>'TUSD BE'!$AC$61*'TUSD BE'!$AC$70</f>
        <v>0</v>
      </c>
      <c r="AD61" s="13">
        <f>SUM($AC$61:$AC$61)</f>
        <v>0</v>
      </c>
      <c r="AE61" s="13">
        <f ca="1">$AO$61*$AO$67</f>
        <v>-19.834981053784773</v>
      </c>
      <c r="AF61" s="13">
        <f ca="1">$AP$61*$AP$67</f>
        <v>0</v>
      </c>
      <c r="AG61" s="13">
        <f ca="1">SUM($AE$61:$AF$61)</f>
        <v>-19.834981053784773</v>
      </c>
      <c r="AH61" s="13">
        <f>'TUSD BE'!$AH$61*'TUSD BE'!$AH$70</f>
        <v>1.9598136134905149</v>
      </c>
      <c r="AI61" s="13">
        <f>'TUSD BE'!$AI$61*'TUSD BE'!$AI$70</f>
        <v>5.7670049506454941E-2</v>
      </c>
      <c r="AJ61" s="13">
        <f ca="1">'TUSD BE'!$AJ$61*'TUSD BE'!$AJ$70</f>
        <v>0.13149134875098287</v>
      </c>
      <c r="AK61" s="13">
        <f ca="1">'TUSD BE'!$AK$61*'TUSD BE'!$AK$70</f>
        <v>-3.2318360632283147E-2</v>
      </c>
      <c r="AL61" s="13">
        <f ca="1">SUM($AH$61:$AK$61)</f>
        <v>2.1166566511156693</v>
      </c>
      <c r="AM61" s="13">
        <f ca="1">SUMIF($L$4:$AL$4,"SUBTOTAL",$L$61:$AL$61)</f>
        <v>-16.240581137756788</v>
      </c>
      <c r="AO61" s="20">
        <f ca="1">+'TUSD BE'!$T$61+'TUSD BE'!$AB$61+'TUSD BE'!$AD$61+'TUSD BE'!$AL$61</f>
        <v>459.15878161916231</v>
      </c>
      <c r="AP61" s="20">
        <f ca="1">+'TUSD BE'!$T$61+'TUSD BE'!$AB$61+'TUSD BE'!$AD$61+'TUSD BE'!$AL$61</f>
        <v>459.15878161916231</v>
      </c>
    </row>
    <row r="62" spans="1:42" ht="11.25" customHeight="1" x14ac:dyDescent="0.3">
      <c r="A62" s="137" t="s">
        <v>47</v>
      </c>
      <c r="B62" s="137" t="s">
        <v>23</v>
      </c>
      <c r="C62" s="137" t="s">
        <v>48</v>
      </c>
      <c r="D62" s="17" t="s">
        <v>49</v>
      </c>
      <c r="E62" s="17" t="s">
        <v>25</v>
      </c>
      <c r="F62" s="17" t="s">
        <v>25</v>
      </c>
      <c r="G62" s="18" t="s">
        <v>83</v>
      </c>
      <c r="H62" s="18" t="s">
        <v>79</v>
      </c>
      <c r="I62" s="18">
        <f>'MERCADO TUSD'!$U$59</f>
        <v>5104.487000000001</v>
      </c>
      <c r="J62" s="15"/>
      <c r="L62" s="13">
        <f>'TUSD BE'!$L$62*'TUSD BE'!$L$70</f>
        <v>-6.8171261135082525E-2</v>
      </c>
      <c r="M62" s="13">
        <f>'TUSD BE'!$M$62*'TUSD BE'!$M$70</f>
        <v>2.613658433187822E-3</v>
      </c>
      <c r="N62" s="13">
        <f ca="1">'TUSD BE'!$N$62*'TUSD BE'!$N$70</f>
        <v>3.520721634736106E-8</v>
      </c>
      <c r="O62" s="13">
        <f>'TUSD BE'!$O$62*'TUSD BE'!$O$70</f>
        <v>0</v>
      </c>
      <c r="P62" s="13">
        <f>'TUSD BE'!$P$62*'TUSD BE'!$P$70</f>
        <v>0</v>
      </c>
      <c r="Q62" s="13">
        <f>'TUSD BE'!$Q$62*'TUSD BE'!$Q$70</f>
        <v>0.9300653623661217</v>
      </c>
      <c r="R62" s="13">
        <f>'TUSD BE'!$R$62*'TUSD BE'!$R$70</f>
        <v>0.22170962675924177</v>
      </c>
      <c r="S62" s="13">
        <f>'TUSD BE'!$R$62*'TUSD BE'!$S$70</f>
        <v>0</v>
      </c>
      <c r="T62" s="13">
        <f ca="1">SUM($L$62:$S$62)</f>
        <v>1.086217421630685</v>
      </c>
      <c r="U62" s="13">
        <f>'TUSD BE'!$U$62*'TUSD BE'!$U$70</f>
        <v>-0.14223572129352621</v>
      </c>
      <c r="V62" s="13">
        <f>'TUSD BE'!$V$62*'TUSD BE'!$V$70</f>
        <v>-0.13122290463538469</v>
      </c>
      <c r="W62" s="13">
        <f>'TUSD BE'!$W$62*'TUSD BE'!$W$70</f>
        <v>0</v>
      </c>
      <c r="X62" s="13">
        <f>'TUSD BE'!$X$62*'TUSD BE'!$X$70</f>
        <v>0</v>
      </c>
      <c r="Y62" s="13">
        <f>'TUSD BE'!$Y$62*'TUSD BE'!$Y$70</f>
        <v>0</v>
      </c>
      <c r="Z62" s="13">
        <f>'TUSD BE'!$Z$62*'TUSD BE'!$Z$70</f>
        <v>0</v>
      </c>
      <c r="AA62" s="13">
        <f>'TUSD BE'!$AA$62*'TUSD BE'!$AA$70</f>
        <v>0</v>
      </c>
      <c r="AB62" s="13">
        <f>SUM($U$62:$AA$62)</f>
        <v>-0.2734586259289109</v>
      </c>
      <c r="AC62" s="13">
        <f>'TUSD BE'!$AC$62*'TUSD BE'!$AC$70</f>
        <v>0</v>
      </c>
      <c r="AD62" s="13">
        <f>SUM($AC$62:$AC$62)</f>
        <v>0</v>
      </c>
      <c r="AE62" s="13">
        <f ca="1">$AO$62*$AO$67</f>
        <v>-10.909239579581625</v>
      </c>
      <c r="AF62" s="13">
        <f ca="1">$AP$62*$AP$67</f>
        <v>0</v>
      </c>
      <c r="AG62" s="13">
        <f ca="1">SUM($AE$62:$AF$62)</f>
        <v>-10.909239579581625</v>
      </c>
      <c r="AH62" s="13">
        <f>'TUSD BE'!$AH$62*'TUSD BE'!$AH$70</f>
        <v>1.0778974874197833</v>
      </c>
      <c r="AI62" s="13">
        <f>'TUSD BE'!$AI$62*'TUSD BE'!$AI$70</f>
        <v>3.1718527228550217E-2</v>
      </c>
      <c r="AJ62" s="13">
        <f ca="1">'TUSD BE'!$AJ$62*'TUSD BE'!$AJ$70</f>
        <v>7.2320241813040573E-2</v>
      </c>
      <c r="AK62" s="13">
        <f ca="1">'TUSD BE'!$AK$62*'TUSD BE'!$AK$70</f>
        <v>-1.7775098347755734E-2</v>
      </c>
      <c r="AL62" s="13">
        <f ca="1">SUM($AH$62:$AK$62)</f>
        <v>1.1641611581136184</v>
      </c>
      <c r="AM62" s="13">
        <f ca="1">SUMIF($L$4:$AL$4,"SUBTOTAL",$L$62:$AL$62)</f>
        <v>-8.9323196257662332</v>
      </c>
      <c r="AO62" s="20">
        <f ca="1">+'TUSD BE'!$T$62+'TUSD BE'!$AB$62+'TUSD BE'!$AD$62+'TUSD BE'!$AL$62</f>
        <v>252.53732989053927</v>
      </c>
      <c r="AP62" s="20">
        <f ca="1">+'TUSD BE'!$T$62+'TUSD BE'!$AB$62+'TUSD BE'!$AD$62+'TUSD BE'!$AL$62</f>
        <v>252.53732989053927</v>
      </c>
    </row>
    <row r="63" spans="1:42" ht="11.25" customHeight="1" x14ac:dyDescent="0.3">
      <c r="A63" s="137"/>
      <c r="B63" s="137"/>
      <c r="C63" s="137"/>
      <c r="D63" s="18" t="s">
        <v>96</v>
      </c>
      <c r="E63" s="18" t="s">
        <v>25</v>
      </c>
      <c r="F63" s="18" t="s">
        <v>25</v>
      </c>
      <c r="G63" s="18" t="s">
        <v>83</v>
      </c>
      <c r="H63" s="18" t="s">
        <v>79</v>
      </c>
      <c r="I63" s="18">
        <f>'MERCADO TUSD'!$U$60</f>
        <v>0</v>
      </c>
      <c r="J63" s="15"/>
      <c r="L63" s="13">
        <f>'TUSD BE'!$L$63*'TUSD BE'!$L$70</f>
        <v>-7.4368648510999127E-2</v>
      </c>
      <c r="M63" s="13">
        <f>'TUSD BE'!$M$63*'TUSD BE'!$M$70</f>
        <v>2.8512637452958053E-3</v>
      </c>
      <c r="N63" s="13">
        <f ca="1">'TUSD BE'!$N$63*'TUSD BE'!$N$70</f>
        <v>3.8407872378939341E-8</v>
      </c>
      <c r="O63" s="13">
        <f>'TUSD BE'!$O$63*'TUSD BE'!$O$70</f>
        <v>0</v>
      </c>
      <c r="P63" s="13">
        <f>'TUSD BE'!$P$63*'TUSD BE'!$P$70</f>
        <v>0</v>
      </c>
      <c r="Q63" s="13">
        <f>'TUSD BE'!$Q$63*'TUSD BE'!$Q$70</f>
        <v>1.01461675894486</v>
      </c>
      <c r="R63" s="13">
        <f>'TUSD BE'!$R$63*'TUSD BE'!$R$70</f>
        <v>0.24186504737371831</v>
      </c>
      <c r="S63" s="13">
        <f>'TUSD BE'!$R$63*'TUSD BE'!$S$70</f>
        <v>0</v>
      </c>
      <c r="T63" s="13">
        <f ca="1">SUM($L$63:$S$63)</f>
        <v>1.1849644599607474</v>
      </c>
      <c r="U63" s="13">
        <f>'TUSD BE'!$U$63*'TUSD BE'!$U$70</f>
        <v>-0.15516624141111945</v>
      </c>
      <c r="V63" s="13">
        <f>'TUSD BE'!$V$63*'TUSD BE'!$V$70</f>
        <v>-0.14315225960223785</v>
      </c>
      <c r="W63" s="13">
        <f>'TUSD BE'!$W$63*'TUSD BE'!$W$70</f>
        <v>0</v>
      </c>
      <c r="X63" s="13">
        <f>'TUSD BE'!$X$63*'TUSD BE'!$X$70</f>
        <v>0</v>
      </c>
      <c r="Y63" s="13">
        <f>'TUSD BE'!$Y$63*'TUSD BE'!$Y$70</f>
        <v>0</v>
      </c>
      <c r="Z63" s="13">
        <f>'TUSD BE'!$Z$63*'TUSD BE'!$Z$70</f>
        <v>0</v>
      </c>
      <c r="AA63" s="13">
        <f>'TUSD BE'!$AA$63*'TUSD BE'!$AA$70</f>
        <v>0</v>
      </c>
      <c r="AB63" s="13">
        <f>SUM($U$63:$AA$63)</f>
        <v>-0.29831850101335733</v>
      </c>
      <c r="AC63" s="13">
        <f>'TUSD BE'!$AC$63*'TUSD BE'!$AC$70</f>
        <v>0</v>
      </c>
      <c r="AD63" s="13">
        <f>SUM($AC$63:$AC$63)</f>
        <v>0</v>
      </c>
      <c r="AE63" s="13">
        <f ca="1">$AO$63*$AO$67</f>
        <v>-11.900988632270863</v>
      </c>
      <c r="AF63" s="13">
        <f ca="1">$AP$63*$AP$67</f>
        <v>0</v>
      </c>
      <c r="AG63" s="13">
        <f ca="1">SUM($AE$63:$AF$63)</f>
        <v>-11.900988632270863</v>
      </c>
      <c r="AH63" s="13">
        <f>'TUSD BE'!$AH$63*'TUSD BE'!$AH$70</f>
        <v>1.175888168094309</v>
      </c>
      <c r="AI63" s="13">
        <f>'TUSD BE'!$AI$63*'TUSD BE'!$AI$70</f>
        <v>3.4602029703872966E-2</v>
      </c>
      <c r="AJ63" s="13">
        <f ca="1">'TUSD BE'!$AJ$63*'TUSD BE'!$AJ$70</f>
        <v>7.8894809250589712E-2</v>
      </c>
      <c r="AK63" s="13">
        <f ca="1">'TUSD BE'!$AK$63*'TUSD BE'!$AK$70</f>
        <v>-1.9391016379369887E-2</v>
      </c>
      <c r="AL63" s="13">
        <f ca="1">SUM($AH$63:$AK$63)</f>
        <v>1.2699939906694018</v>
      </c>
      <c r="AM63" s="13">
        <f ca="1">SUMIF($L$4:$AL$4,"SUBTOTAL",$L$63:$AL$63)</f>
        <v>-9.7443486826540706</v>
      </c>
      <c r="AO63" s="20">
        <f ca="1">+'TUSD BE'!$T$63+'TUSD BE'!$AB$63+'TUSD BE'!$AD$63+'TUSD BE'!$AL$63</f>
        <v>275.49526897149735</v>
      </c>
      <c r="AP63" s="20">
        <f ca="1">+'TUSD BE'!$T$63+'TUSD BE'!$AB$63+'TUSD BE'!$AD$63+'TUSD BE'!$AL$63</f>
        <v>275.49526897149735</v>
      </c>
    </row>
    <row r="65" spans="11:42" ht="11.25" customHeight="1" x14ac:dyDescent="0.3">
      <c r="K65" s="16" t="s">
        <v>725</v>
      </c>
      <c r="L65" s="13">
        <f>SUMPRODUCT($I$5:$I63,$L$5:$L63)</f>
        <v>-14425.698031375883</v>
      </c>
      <c r="M65" s="13">
        <f>SUMPRODUCT($I$5:$I63,$M$5:$M63)</f>
        <v>541.06265072350482</v>
      </c>
      <c r="N65" s="13">
        <f ca="1">SUMPRODUCT($I$5:$I63,$N$5:$N63)</f>
        <v>6.7265974004737253E-3</v>
      </c>
      <c r="O65" s="13">
        <f>SUMPRODUCT($I$5:$I63,$O$5:$O63)</f>
        <v>0</v>
      </c>
      <c r="P65" s="13">
        <f>SUMPRODUCT($I$5:$I63,$P$5:$P63)</f>
        <v>0</v>
      </c>
      <c r="Q65" s="13">
        <f>SUMPRODUCT($I$5:$I63,$Q$5:$Q63)</f>
        <v>196810.82385068623</v>
      </c>
      <c r="R65" s="13">
        <f>SUMPRODUCT($I$5:$I63,$R$5:$R63)</f>
        <v>48819.572107194901</v>
      </c>
      <c r="S65" s="13">
        <f>SUMPRODUCT($I$5:$I63,$S$5:$S63)</f>
        <v>0</v>
      </c>
      <c r="T65" s="13">
        <f ca="1">SUMPRODUCT($I$5:$I63,$T$5:$T63)</f>
        <v>231745.76730382608</v>
      </c>
      <c r="U65" s="13">
        <f>SUMPRODUCT($I$5:$I63,$U$5:$U63)</f>
        <v>-31105.252549044435</v>
      </c>
      <c r="V65" s="13">
        <f>SUMPRODUCT($I$5:$I63,$V$5:$V63)</f>
        <v>-28744.987272467522</v>
      </c>
      <c r="W65" s="13">
        <f>SUMPRODUCT($I$5:$I63,$W$5:$W63)</f>
        <v>0</v>
      </c>
      <c r="X65" s="13">
        <f>SUMPRODUCT($I$5:$I63,$X$5:$X63)</f>
        <v>0</v>
      </c>
      <c r="Y65" s="13">
        <f>SUMPRODUCT($I$5:$I63,$Y$5:$Y63)</f>
        <v>0</v>
      </c>
      <c r="Z65" s="13">
        <f>SUMPRODUCT($I$5:$I63,$Z$5:$Z63)</f>
        <v>0</v>
      </c>
      <c r="AA65" s="13">
        <f>SUMPRODUCT($I$5:$I63,$AA$5:$AA63)</f>
        <v>0</v>
      </c>
      <c r="AB65" s="13">
        <f>SUMPRODUCT($I$5:$I63,$AB$5:$AB63)</f>
        <v>-59850.239821511968</v>
      </c>
      <c r="AC65" s="13">
        <f>SUMPRODUCT($I$5:$I63,$AC$5:$AC63)</f>
        <v>0</v>
      </c>
      <c r="AD65" s="13">
        <f>SUMPRODUCT($I$5:$I63,$AD$5:$AD63)</f>
        <v>0</v>
      </c>
      <c r="AE65" s="13">
        <f ca="1">SUMPRODUCT($I$5:$I63,$AE$5:$AE63)</f>
        <v>-2279498.7846037229</v>
      </c>
      <c r="AF65" s="13">
        <f ca="1">SUMPRODUCT($I$5:$I63,$AF$5:$AF63)</f>
        <v>0</v>
      </c>
      <c r="AG65" s="13">
        <f ca="1">SUMPRODUCT($I$5:$I63,$AG$5:$AG63)</f>
        <v>-2279498.7846037229</v>
      </c>
      <c r="AH65" s="13">
        <f>SUMPRODUCT($I$5:$I63,$AH$5:$AH63)</f>
        <v>217797.28994568804</v>
      </c>
      <c r="AI65" s="13">
        <f>SUMPRODUCT($I$5:$I63,$AI$5:$AI63)</f>
        <v>6408.3710519750439</v>
      </c>
      <c r="AJ65" s="13">
        <f ca="1">SUMPRODUCT($I$5:$I63,$AJ$5:$AJ63)</f>
        <v>15254.588336107563</v>
      </c>
      <c r="AK65" s="13">
        <f ca="1">SUMPRODUCT($I$5:$I63,$AK$5:$AK63)</f>
        <v>-3749.3210909030181</v>
      </c>
      <c r="AL65" s="13">
        <f ca="1">SUMPRODUCT($I$5:$I63,$AL$5:$AL63)</f>
        <v>235710.92824286755</v>
      </c>
      <c r="AM65" s="13">
        <f ca="1">SUMPRODUCT($I$5:$I63,$AM$5:$AM63)</f>
        <v>-1871892.3288785417</v>
      </c>
      <c r="AO65" s="18">
        <f ca="1">SUMPRODUCT($I$5:$I63,$AO$5:$AO63)</f>
        <v>52767980.055180945</v>
      </c>
      <c r="AP65" s="18">
        <f ca="1">SUMPRODUCT($I$5:$I63,$AP$5:$AP63)</f>
        <v>52767980.055180945</v>
      </c>
    </row>
    <row r="66" spans="11:42" ht="11.25" customHeight="1" x14ac:dyDescent="0.3">
      <c r="K66" s="16" t="s">
        <v>657</v>
      </c>
      <c r="L66" s="13">
        <f>'TR TUSD'!$L$68</f>
        <v>1551829.9039835632</v>
      </c>
      <c r="M66" s="13">
        <f>'TR TUSD'!$M$68</f>
        <v>115619.58079800264</v>
      </c>
      <c r="N66" s="13">
        <f>'TR TUSD'!$N$68</f>
        <v>392972.65161152824</v>
      </c>
      <c r="O66" s="13">
        <f>'TR TUSD'!$O$68</f>
        <v>0</v>
      </c>
      <c r="P66" s="13">
        <f>'TR TUSD'!$P$68</f>
        <v>0</v>
      </c>
      <c r="Q66" s="13">
        <f>'TR TUSD'!$Q$68</f>
        <v>10880845.732772296</v>
      </c>
      <c r="R66" s="13">
        <f>'TR TUSD'!$R$68</f>
        <v>1792323.8549367813</v>
      </c>
      <c r="S66" s="13">
        <f>'TR TUSD'!$S$68</f>
        <v>0</v>
      </c>
      <c r="T66" s="13">
        <f>'TR TUSD'!$T$68</f>
        <v>14733591.724102173</v>
      </c>
      <c r="U66" s="13">
        <f>'TR TUSD'!$U$68</f>
        <v>4617355</v>
      </c>
      <c r="V66" s="13">
        <f>'TR TUSD'!$V$68</f>
        <v>2192014.5200000005</v>
      </c>
      <c r="W66" s="13">
        <f>'TR TUSD'!$W$68</f>
        <v>0</v>
      </c>
      <c r="X66" s="13">
        <f>'TR TUSD'!$X$68</f>
        <v>0</v>
      </c>
      <c r="Y66" s="13">
        <f>'TR TUSD'!$Y$68</f>
        <v>0</v>
      </c>
      <c r="Z66" s="13">
        <f>'TR TUSD'!$Z$68</f>
        <v>0</v>
      </c>
      <c r="AA66" s="13">
        <f>'TR TUSD'!$AA$68</f>
        <v>0</v>
      </c>
      <c r="AB66" s="13">
        <f>'TR TUSD'!$AB$68</f>
        <v>6809369.5200000005</v>
      </c>
      <c r="AC66" s="13">
        <f>'TR TUSD'!$AC$68</f>
        <v>28301549.061569352</v>
      </c>
      <c r="AD66" s="13">
        <f>'TR TUSD'!$AD$68</f>
        <v>28301549.061569352</v>
      </c>
      <c r="AE66" s="13">
        <f>'TR TUSD'!$AE$68</f>
        <v>0</v>
      </c>
      <c r="AF66" s="13">
        <f>'TR TUSD'!$AF$68</f>
        <v>0</v>
      </c>
      <c r="AG66" s="13">
        <f>'TR TUSD'!$AG$68</f>
        <v>0</v>
      </c>
      <c r="AH66" s="13">
        <f>'TR TUSD'!$AH$68</f>
        <v>2615581.195068636</v>
      </c>
      <c r="AI66" s="13">
        <f>'TR TUSD'!$AI$68</f>
        <v>76959.703303691102</v>
      </c>
      <c r="AJ66" s="13">
        <f>'TR TUSD'!$AJ$68</f>
        <v>183196.10129394187</v>
      </c>
      <c r="AK66" s="13">
        <f>'TR TUSD'!$AK$68</f>
        <v>47732.749843158228</v>
      </c>
      <c r="AL66" s="13">
        <f>'TR TUSD'!$AL$68</f>
        <v>2923469.7495094272</v>
      </c>
      <c r="AM66" s="13">
        <f>'TUSD BE'!$AM$66</f>
        <v>52767980.055180952</v>
      </c>
      <c r="AO66" s="18">
        <f>$AE$67</f>
        <v>-2279498.7846037233</v>
      </c>
      <c r="AP66" s="18">
        <f>$AF$67</f>
        <v>0</v>
      </c>
    </row>
    <row r="67" spans="11:42" ht="11.25" customHeight="1" x14ac:dyDescent="0.3">
      <c r="K67" s="16" t="s">
        <v>658</v>
      </c>
      <c r="L67" s="13">
        <f>CUSTOS!$E$2</f>
        <v>-14425.698031375883</v>
      </c>
      <c r="M67" s="13">
        <f>CUSTOS!$E$3</f>
        <v>541.0626507235047</v>
      </c>
      <c r="N67" s="13">
        <f>CUSTOS!$E$4</f>
        <v>6.7265974004737262E-3</v>
      </c>
      <c r="O67" s="13">
        <f>CUSTOS!$E$5</f>
        <v>0</v>
      </c>
      <c r="P67" s="13">
        <f>CUSTOS!$E$6</f>
        <v>0</v>
      </c>
      <c r="Q67" s="13">
        <f>CUSTOS!$E$7</f>
        <v>196810.8238506862</v>
      </c>
      <c r="R67" s="13">
        <f>CUSTOS!$E$8</f>
        <v>48819.572107194923</v>
      </c>
      <c r="S67" s="13">
        <f>CUSTOS!$E$9</f>
        <v>0</v>
      </c>
      <c r="T67" s="13">
        <f>CUSTOS!$E$10</f>
        <v>231745.76730382614</v>
      </c>
      <c r="U67" s="13">
        <f>CUSTOS!$E$11</f>
        <v>-31105.252549044439</v>
      </c>
      <c r="V67" s="13">
        <f>CUSTOS!$E$12</f>
        <v>-28744.987272467522</v>
      </c>
      <c r="W67" s="13">
        <f>CUSTOS!$E$13</f>
        <v>0</v>
      </c>
      <c r="X67" s="13">
        <f>CUSTOS!$E$14</f>
        <v>0</v>
      </c>
      <c r="Y67" s="13">
        <f>CUSTOS!$E$15</f>
        <v>0</v>
      </c>
      <c r="Z67" s="13">
        <f>CUSTOS!$E$16</f>
        <v>0</v>
      </c>
      <c r="AA67" s="13">
        <f>CUSTOS!$E$17</f>
        <v>0</v>
      </c>
      <c r="AB67" s="13">
        <f>CUSTOS!$E$18</f>
        <v>-59850.239821511961</v>
      </c>
      <c r="AC67" s="13">
        <f>CUSTOS!$E$19</f>
        <v>0</v>
      </c>
      <c r="AD67" s="13">
        <f>CUSTOS!$E$20</f>
        <v>0</v>
      </c>
      <c r="AE67" s="13">
        <f>CUSTOS!$E$21</f>
        <v>-2279498.7846037233</v>
      </c>
      <c r="AF67" s="13">
        <f>CUSTOS!$E$22</f>
        <v>0</v>
      </c>
      <c r="AG67" s="13">
        <f>CUSTOS!$E$23</f>
        <v>-2279498.7846037233</v>
      </c>
      <c r="AH67" s="13">
        <f>CUSTOS!$E$24</f>
        <v>217797.28994568801</v>
      </c>
      <c r="AI67" s="13">
        <f>CUSTOS!$E$25</f>
        <v>6408.371051975043</v>
      </c>
      <c r="AJ67" s="13">
        <f>CUSTOS!$E$26</f>
        <v>15254.588336107561</v>
      </c>
      <c r="AK67" s="13">
        <f>CUSTOS!$E$27</f>
        <v>-3749.3210909030186</v>
      </c>
      <c r="AL67" s="13">
        <f>CUSTOS!$E$28</f>
        <v>235710.92824286758</v>
      </c>
      <c r="AM67" s="13">
        <f>CUSTOS!$E$29</f>
        <v>-1871892.3288785417</v>
      </c>
      <c r="AO67" s="18">
        <f ca="1">IF(AO65&lt;&gt;0,AO66/AO65,0)</f>
        <v>-4.3198522706762471E-2</v>
      </c>
      <c r="AP67" s="18">
        <f ca="1">IF(AP65&lt;&gt;0,AP66/AP65,0)</f>
        <v>0</v>
      </c>
    </row>
    <row r="68" spans="11:42" ht="11.25" customHeight="1" x14ac:dyDescent="0.3">
      <c r="K68" s="16" t="s">
        <v>659</v>
      </c>
      <c r="L68" s="13">
        <f>CUSTOS!$F$2</f>
        <v>107454.95932846866</v>
      </c>
      <c r="M68" s="13">
        <f>CUSTOS!$F$3</f>
        <v>0</v>
      </c>
      <c r="N68" s="13">
        <f>CUSTOS!$F$4</f>
        <v>0</v>
      </c>
      <c r="O68" s="13">
        <f>CUSTOS!$F$5</f>
        <v>0</v>
      </c>
      <c r="P68" s="13">
        <f>CUSTOS!$F$6</f>
        <v>0</v>
      </c>
      <c r="Q68" s="13">
        <f>CUSTOS!$F$7</f>
        <v>3370480.3417000002</v>
      </c>
      <c r="R68" s="13">
        <f>CUSTOS!$F$8</f>
        <v>637363.97290000005</v>
      </c>
      <c r="S68" s="13">
        <f>CUSTOS!$F$9</f>
        <v>0</v>
      </c>
      <c r="T68" s="13">
        <f>CUSTOS!$F$10</f>
        <v>4115299.2739284686</v>
      </c>
      <c r="U68" s="13">
        <f>CUSTOS!$F$11</f>
        <v>434116.13274168264</v>
      </c>
      <c r="V68" s="13">
        <f>CUSTOS!$F$12</f>
        <v>206089.60461909813</v>
      </c>
      <c r="W68" s="13">
        <f>CUSTOS!$F$13</f>
        <v>0</v>
      </c>
      <c r="X68" s="13">
        <f>CUSTOS!$F$14</f>
        <v>0</v>
      </c>
      <c r="Y68" s="13">
        <f>CUSTOS!$F$15</f>
        <v>0</v>
      </c>
      <c r="Z68" s="13">
        <f>CUSTOS!$F$16</f>
        <v>0</v>
      </c>
      <c r="AA68" s="13">
        <f>CUSTOS!$F$17</f>
        <v>0</v>
      </c>
      <c r="AB68" s="13">
        <f>CUSTOS!$F$18</f>
        <v>640205.73736078083</v>
      </c>
      <c r="AC68" s="13">
        <f>CUSTOS!$F$19</f>
        <v>0</v>
      </c>
      <c r="AD68" s="13">
        <f>CUSTOS!$F$20</f>
        <v>0</v>
      </c>
      <c r="AE68" s="13">
        <f>CUSTOS!$F$21</f>
        <v>0</v>
      </c>
      <c r="AF68" s="13">
        <f>CUSTOS!$F$22</f>
        <v>0</v>
      </c>
      <c r="AG68" s="13">
        <f>CUSTOS!$F$23</f>
        <v>0</v>
      </c>
      <c r="AH68" s="13">
        <f>CUSTOS!$F$24</f>
        <v>-133415.26963667042</v>
      </c>
      <c r="AI68" s="13">
        <f>CUSTOS!$F$25</f>
        <v>-3925.5518378777251</v>
      </c>
      <c r="AJ68" s="13">
        <f>CUSTOS!$F$26</f>
        <v>-9344.4460055757027</v>
      </c>
      <c r="AK68" s="13">
        <f>CUSTOS!$F$27</f>
        <v>0</v>
      </c>
      <c r="AL68" s="13">
        <f>CUSTOS!$F$28</f>
        <v>-146685.26748012385</v>
      </c>
      <c r="AM68" s="13">
        <f>CUSTOS!$F$29</f>
        <v>4608819.7438091254</v>
      </c>
    </row>
    <row r="69" spans="11:42" ht="11.25" customHeight="1" x14ac:dyDescent="0.3">
      <c r="K69" s="16" t="s">
        <v>722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f>SUM($L$69:$S$69)</f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f>SUM($U$69:$AA$69)</f>
        <v>0</v>
      </c>
      <c r="AC69" s="13">
        <v>0</v>
      </c>
      <c r="AD69" s="13">
        <f>SUM($AC$69:$AC$69)</f>
        <v>0</v>
      </c>
      <c r="AE69" s="13">
        <v>0</v>
      </c>
      <c r="AF69" s="13">
        <v>0</v>
      </c>
      <c r="AG69" s="13">
        <f>SUM($AE$69:$AF$69)</f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f>SUM($AH$69:$AK$69)</f>
        <v>0</v>
      </c>
      <c r="AM69" s="13"/>
    </row>
    <row r="70" spans="11:42" ht="11.25" customHeight="1" x14ac:dyDescent="0.3">
      <c r="K70" s="16" t="s">
        <v>734</v>
      </c>
      <c r="L70" s="13">
        <f t="shared" ref="L70:R70" si="0">IF((L66-(0))&lt;&gt;0,(L68)/(L66-(0)),0)</f>
        <v>6.924403187013646E-2</v>
      </c>
      <c r="M70" s="13">
        <f t="shared" si="0"/>
        <v>0</v>
      </c>
      <c r="N70" s="13">
        <f t="shared" si="0"/>
        <v>0</v>
      </c>
      <c r="O70" s="13">
        <f t="shared" si="0"/>
        <v>0</v>
      </c>
      <c r="P70" s="13">
        <f t="shared" si="0"/>
        <v>0</v>
      </c>
      <c r="Q70" s="13">
        <f t="shared" si="0"/>
        <v>0.30976271739138483</v>
      </c>
      <c r="R70" s="13">
        <f t="shared" si="0"/>
        <v>0.35560759354089</v>
      </c>
      <c r="S70" s="13">
        <f>IF((R65-(0)&lt;&gt;0),(S67)/(R65-(0)),0)</f>
        <v>0</v>
      </c>
      <c r="T70" s="13"/>
      <c r="U70" s="13">
        <f t="shared" ref="U70:AA70" si="1">IF((U66-(0))&lt;&gt;0,(U68)/(U66-(0)),0)</f>
        <v>9.4018357423607812E-2</v>
      </c>
      <c r="V70" s="13">
        <f t="shared" si="1"/>
        <v>9.4018357423607798E-2</v>
      </c>
      <c r="W70" s="13">
        <f t="shared" si="1"/>
        <v>0</v>
      </c>
      <c r="X70" s="13">
        <f t="shared" si="1"/>
        <v>0</v>
      </c>
      <c r="Y70" s="13">
        <f t="shared" si="1"/>
        <v>0</v>
      </c>
      <c r="Z70" s="13">
        <f t="shared" si="1"/>
        <v>0</v>
      </c>
      <c r="AA70" s="13">
        <f t="shared" si="1"/>
        <v>0</v>
      </c>
      <c r="AB70" s="13"/>
      <c r="AC70" s="13">
        <f>IF((AC66-(0))&lt;&gt;0,(AC68)/(AC66-(0)),0)</f>
        <v>0</v>
      </c>
      <c r="AD70" s="13"/>
      <c r="AE70" s="13">
        <f ca="1">IF(($AM65-(0))&lt;&gt;0,(AE67)/($AM65-(0)),0)</f>
        <v>1.2177510156096318</v>
      </c>
      <c r="AF70" s="13">
        <f ca="1">IF(($AM65-(0))&lt;&gt;0,(AF67)/($AM65-(0)),0)</f>
        <v>0</v>
      </c>
      <c r="AG70" s="13"/>
      <c r="AH70" s="13">
        <f>IF((AH66-(0))&lt;&gt;0,(AH68)/(AH66-(0)),0)</f>
        <v>-5.100788684679676E-2</v>
      </c>
      <c r="AI70" s="13">
        <f>IF((AI66-(0))&lt;&gt;0,(AI68)/(AI66-(0)),0)</f>
        <v>-5.1007886846796739E-2</v>
      </c>
      <c r="AJ70" s="13">
        <f>IF((AJ66-(0))&lt;&gt;0,(AJ68)/(AJ66-(0)),0)</f>
        <v>-5.1007886846796753E-2</v>
      </c>
      <c r="AK70" s="13">
        <f>IF((AK66-(0))&lt;&gt;0,(AK68)/(AK66-(0)),0)</f>
        <v>0</v>
      </c>
      <c r="AL70" s="13"/>
      <c r="AM70" s="13"/>
    </row>
  </sheetData>
  <mergeCells count="91">
    <mergeCell ref="E57:E59"/>
    <mergeCell ref="F57:F59"/>
    <mergeCell ref="A62:A63"/>
    <mergeCell ref="B62:B63"/>
    <mergeCell ref="C62:C63"/>
    <mergeCell ref="D57:D59"/>
    <mergeCell ref="B54:B56"/>
    <mergeCell ref="C54:C56"/>
    <mergeCell ref="A57:A61"/>
    <mergeCell ref="B57:B59"/>
    <mergeCell ref="C57:C59"/>
    <mergeCell ref="A42:A56"/>
    <mergeCell ref="B42:B44"/>
    <mergeCell ref="C42:C44"/>
    <mergeCell ref="B50:B52"/>
    <mergeCell ref="C50:C52"/>
    <mergeCell ref="B46:B48"/>
    <mergeCell ref="C46:C48"/>
    <mergeCell ref="D50:D52"/>
    <mergeCell ref="E50:E52"/>
    <mergeCell ref="F50:F52"/>
    <mergeCell ref="D42:D44"/>
    <mergeCell ref="E42:E44"/>
    <mergeCell ref="F42:F44"/>
    <mergeCell ref="D46:D48"/>
    <mergeCell ref="E46:E48"/>
    <mergeCell ref="F46:F48"/>
    <mergeCell ref="E29:E31"/>
    <mergeCell ref="F29:F31"/>
    <mergeCell ref="B32:B36"/>
    <mergeCell ref="C32:C36"/>
    <mergeCell ref="B37:B41"/>
    <mergeCell ref="C37:C41"/>
    <mergeCell ref="A27:A28"/>
    <mergeCell ref="B27:B28"/>
    <mergeCell ref="C27:C28"/>
    <mergeCell ref="D27:D28"/>
    <mergeCell ref="A29:A41"/>
    <mergeCell ref="B29:B31"/>
    <mergeCell ref="C29:C31"/>
    <mergeCell ref="D29:D31"/>
    <mergeCell ref="F15:F16"/>
    <mergeCell ref="F17:F19"/>
    <mergeCell ref="B22:B26"/>
    <mergeCell ref="C22:C26"/>
    <mergeCell ref="D22:D26"/>
    <mergeCell ref="E22:E24"/>
    <mergeCell ref="F22:F24"/>
    <mergeCell ref="E25:E26"/>
    <mergeCell ref="F25:F26"/>
    <mergeCell ref="A17:A26"/>
    <mergeCell ref="B17:B20"/>
    <mergeCell ref="C17:C20"/>
    <mergeCell ref="D17:D20"/>
    <mergeCell ref="E17:E19"/>
    <mergeCell ref="J1:J4"/>
    <mergeCell ref="L1:AM1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G1:G4"/>
    <mergeCell ref="H1:H4"/>
    <mergeCell ref="I1:I4"/>
    <mergeCell ref="A5:A16"/>
    <mergeCell ref="B5:B8"/>
    <mergeCell ref="C5:C8"/>
    <mergeCell ref="D5:D8"/>
    <mergeCell ref="E5:E7"/>
    <mergeCell ref="B15:B16"/>
    <mergeCell ref="C15:C16"/>
    <mergeCell ref="D15:D16"/>
    <mergeCell ref="E15:E16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conditionalFormatting sqref="L65">
    <cfRule type="cellIs" dxfId="1369" priority="55" operator="notEqual">
      <formula>$L$67</formula>
    </cfRule>
    <cfRule type="cellIs" dxfId="1368" priority="56" operator="equal">
      <formula>$L$67</formula>
    </cfRule>
  </conditionalFormatting>
  <conditionalFormatting sqref="M65">
    <cfRule type="cellIs" dxfId="1367" priority="53" operator="notEqual">
      <formula>$M$67</formula>
    </cfRule>
    <cfRule type="cellIs" dxfId="1366" priority="54" operator="equal">
      <formula>$M$67</formula>
    </cfRule>
  </conditionalFormatting>
  <conditionalFormatting sqref="N65">
    <cfRule type="cellIs" dxfId="1365" priority="51" operator="notEqual">
      <formula>$N$67</formula>
    </cfRule>
    <cfRule type="cellIs" dxfId="1364" priority="52" operator="equal">
      <formula>$N$67</formula>
    </cfRule>
  </conditionalFormatting>
  <conditionalFormatting sqref="O65">
    <cfRule type="cellIs" dxfId="1363" priority="49" operator="notEqual">
      <formula>$O$67</formula>
    </cfRule>
    <cfRule type="cellIs" dxfId="1362" priority="50" operator="equal">
      <formula>$O$67</formula>
    </cfRule>
  </conditionalFormatting>
  <conditionalFormatting sqref="P65">
    <cfRule type="cellIs" dxfId="1361" priority="47" operator="notEqual">
      <formula>$P$67</formula>
    </cfRule>
    <cfRule type="cellIs" dxfId="1360" priority="48" operator="equal">
      <formula>$P$67</formula>
    </cfRule>
  </conditionalFormatting>
  <conditionalFormatting sqref="Q65">
    <cfRule type="cellIs" dxfId="1359" priority="45" operator="notEqual">
      <formula>$Q$67</formula>
    </cfRule>
    <cfRule type="cellIs" dxfId="1358" priority="46" operator="equal">
      <formula>$Q$67</formula>
    </cfRule>
  </conditionalFormatting>
  <conditionalFormatting sqref="R65">
    <cfRule type="cellIs" dxfId="1357" priority="43" operator="notEqual">
      <formula>$R$67</formula>
    </cfRule>
    <cfRule type="cellIs" dxfId="1356" priority="44" operator="equal">
      <formula>$R$67</formula>
    </cfRule>
  </conditionalFormatting>
  <conditionalFormatting sqref="S65">
    <cfRule type="cellIs" dxfId="1355" priority="41" operator="notEqual">
      <formula>$S$67</formula>
    </cfRule>
    <cfRule type="cellIs" dxfId="1354" priority="42" operator="equal">
      <formula>$S$67</formula>
    </cfRule>
  </conditionalFormatting>
  <conditionalFormatting sqref="T65">
    <cfRule type="cellIs" dxfId="1353" priority="39" operator="notEqual">
      <formula>$T$67</formula>
    </cfRule>
    <cfRule type="cellIs" dxfId="1352" priority="40" operator="equal">
      <formula>$T$67</formula>
    </cfRule>
  </conditionalFormatting>
  <conditionalFormatting sqref="U65">
    <cfRule type="cellIs" dxfId="1351" priority="37" operator="notEqual">
      <formula>$U$67</formula>
    </cfRule>
    <cfRule type="cellIs" dxfId="1350" priority="38" operator="equal">
      <formula>$U$67</formula>
    </cfRule>
  </conditionalFormatting>
  <conditionalFormatting sqref="V65">
    <cfRule type="cellIs" dxfId="1349" priority="35" operator="notEqual">
      <formula>$V$67</formula>
    </cfRule>
    <cfRule type="cellIs" dxfId="1348" priority="36" operator="equal">
      <formula>$V$67</formula>
    </cfRule>
  </conditionalFormatting>
  <conditionalFormatting sqref="W65">
    <cfRule type="cellIs" dxfId="1347" priority="33" operator="notEqual">
      <formula>$W$67</formula>
    </cfRule>
    <cfRule type="cellIs" dxfId="1346" priority="34" operator="equal">
      <formula>$W$67</formula>
    </cfRule>
  </conditionalFormatting>
  <conditionalFormatting sqref="X65">
    <cfRule type="cellIs" dxfId="1345" priority="31" operator="notEqual">
      <formula>$X$67</formula>
    </cfRule>
    <cfRule type="cellIs" dxfId="1344" priority="32" operator="equal">
      <formula>$X$67</formula>
    </cfRule>
  </conditionalFormatting>
  <conditionalFormatting sqref="Y65">
    <cfRule type="cellIs" dxfId="1343" priority="29" operator="notEqual">
      <formula>$Y$67</formula>
    </cfRule>
    <cfRule type="cellIs" dxfId="1342" priority="30" operator="equal">
      <formula>$Y$67</formula>
    </cfRule>
  </conditionalFormatting>
  <conditionalFormatting sqref="Z65">
    <cfRule type="cellIs" dxfId="1341" priority="27" operator="notEqual">
      <formula>$Z$67</formula>
    </cfRule>
    <cfRule type="cellIs" dxfId="1340" priority="28" operator="equal">
      <formula>$Z$67</formula>
    </cfRule>
  </conditionalFormatting>
  <conditionalFormatting sqref="AA65">
    <cfRule type="cellIs" dxfId="1339" priority="25" operator="notEqual">
      <formula>$AA$67</formula>
    </cfRule>
    <cfRule type="cellIs" dxfId="1338" priority="26" operator="equal">
      <formula>$AA$67</formula>
    </cfRule>
  </conditionalFormatting>
  <conditionalFormatting sqref="AB65">
    <cfRule type="cellIs" dxfId="1337" priority="23" operator="notEqual">
      <formula>$AB$67</formula>
    </cfRule>
    <cfRule type="cellIs" dxfId="1336" priority="24" operator="equal">
      <formula>$AB$67</formula>
    </cfRule>
  </conditionalFormatting>
  <conditionalFormatting sqref="AC65">
    <cfRule type="cellIs" dxfId="1335" priority="21" operator="notEqual">
      <formula>$AC$67</formula>
    </cfRule>
    <cfRule type="cellIs" dxfId="1334" priority="22" operator="equal">
      <formula>$AC$67</formula>
    </cfRule>
  </conditionalFormatting>
  <conditionalFormatting sqref="AD65">
    <cfRule type="cellIs" dxfId="1333" priority="19" operator="notEqual">
      <formula>$AD$67</formula>
    </cfRule>
    <cfRule type="cellIs" dxfId="1332" priority="20" operator="equal">
      <formula>$AD$67</formula>
    </cfRule>
  </conditionalFormatting>
  <conditionalFormatting sqref="AE65">
    <cfRule type="cellIs" dxfId="1331" priority="17" operator="notEqual">
      <formula>$AE$67</formula>
    </cfRule>
    <cfRule type="cellIs" dxfId="1330" priority="18" operator="equal">
      <formula>$AE$67</formula>
    </cfRule>
  </conditionalFormatting>
  <conditionalFormatting sqref="AF65">
    <cfRule type="cellIs" dxfId="1329" priority="16" operator="equal">
      <formula>$AF$67</formula>
    </cfRule>
  </conditionalFormatting>
  <conditionalFormatting sqref="AF65">
    <cfRule type="cellIs" dxfId="1328" priority="15" operator="notEqual">
      <formula>$AF$67</formula>
    </cfRule>
  </conditionalFormatting>
  <conditionalFormatting sqref="AG65">
    <cfRule type="cellIs" dxfId="1327" priority="14" operator="equal">
      <formula>$AG$67</formula>
    </cfRule>
  </conditionalFormatting>
  <conditionalFormatting sqref="AG65">
    <cfRule type="cellIs" dxfId="1326" priority="13" operator="notEqual">
      <formula>$AG$67</formula>
    </cfRule>
  </conditionalFormatting>
  <conditionalFormatting sqref="AH65">
    <cfRule type="cellIs" dxfId="1325" priority="12" operator="equal">
      <formula>$AH$67</formula>
    </cfRule>
  </conditionalFormatting>
  <conditionalFormatting sqref="AH65">
    <cfRule type="cellIs" dxfId="1324" priority="11" operator="notEqual">
      <formula>$AH$67</formula>
    </cfRule>
  </conditionalFormatting>
  <conditionalFormatting sqref="AI65">
    <cfRule type="cellIs" dxfId="1323" priority="10" operator="equal">
      <formula>$AI$67</formula>
    </cfRule>
  </conditionalFormatting>
  <conditionalFormatting sqref="AI65">
    <cfRule type="cellIs" dxfId="1322" priority="9" operator="notEqual">
      <formula>$AI$67</formula>
    </cfRule>
  </conditionalFormatting>
  <conditionalFormatting sqref="AJ65">
    <cfRule type="cellIs" dxfId="1321" priority="8" operator="equal">
      <formula>$AJ$67</formula>
    </cfRule>
  </conditionalFormatting>
  <conditionalFormatting sqref="AJ65">
    <cfRule type="cellIs" dxfId="1320" priority="7" operator="notEqual">
      <formula>$AJ$67</formula>
    </cfRule>
  </conditionalFormatting>
  <conditionalFormatting sqref="AK65">
    <cfRule type="cellIs" dxfId="1319" priority="6" operator="equal">
      <formula>$AK$67</formula>
    </cfRule>
  </conditionalFormatting>
  <conditionalFormatting sqref="AK65">
    <cfRule type="cellIs" dxfId="1318" priority="5" operator="notEqual">
      <formula>$AK$67</formula>
    </cfRule>
  </conditionalFormatting>
  <conditionalFormatting sqref="AL65">
    <cfRule type="cellIs" dxfId="1317" priority="4" operator="equal">
      <formula>$AL$67</formula>
    </cfRule>
  </conditionalFormatting>
  <conditionalFormatting sqref="AL65">
    <cfRule type="cellIs" dxfId="1316" priority="3" operator="notEqual">
      <formula>$AL$67</formula>
    </cfRule>
  </conditionalFormatting>
  <conditionalFormatting sqref="AM65">
    <cfRule type="cellIs" dxfId="1315" priority="2" operator="equal">
      <formula>$AM$67</formula>
    </cfRule>
  </conditionalFormatting>
  <conditionalFormatting sqref="AM65">
    <cfRule type="cellIs" dxfId="1314" priority="1" operator="notEqual">
      <formula>$AM$67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AC2D8-D609-4B46-986D-2D01E9EE249C}">
  <sheetPr codeName="Planilha11"/>
  <dimension ref="A1:AP69"/>
  <sheetViews>
    <sheetView showGridLines="0" topLeftCell="W47" workbookViewId="0">
      <selection activeCell="AO65" sqref="AO65:AP67"/>
    </sheetView>
  </sheetViews>
  <sheetFormatPr defaultRowHeight="11.25" customHeight="1" x14ac:dyDescent="0.3"/>
  <cols>
    <col min="1" max="1" width="9" style="9" bestFit="1" customWidth="1"/>
    <col min="2" max="2" width="21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9" width="8.44140625" style="9" bestFit="1" customWidth="1"/>
    <col min="10" max="10" width="8.88671875" style="9"/>
    <col min="11" max="11" width="14.109375" style="9" bestFit="1" customWidth="1"/>
    <col min="12" max="12" width="13" style="9" bestFit="1" customWidth="1"/>
    <col min="13" max="14" width="8.44140625" style="9" bestFit="1" customWidth="1"/>
    <col min="15" max="16" width="4.77734375" style="9" bestFit="1" customWidth="1"/>
    <col min="17" max="17" width="10.5546875" style="9" bestFit="1" customWidth="1"/>
    <col min="18" max="18" width="9.6640625" style="9" bestFit="1" customWidth="1"/>
    <col min="19" max="19" width="8.44140625" style="9" bestFit="1" customWidth="1"/>
    <col min="20" max="20" width="10.5546875" style="9" bestFit="1" customWidth="1"/>
    <col min="21" max="21" width="9.6640625" style="9" bestFit="1" customWidth="1"/>
    <col min="22" max="22" width="8.44140625" style="9" bestFit="1" customWidth="1"/>
    <col min="23" max="24" width="9.5546875" style="9" bestFit="1" customWidth="1"/>
    <col min="25" max="25" width="5" style="9" bestFit="1" customWidth="1"/>
    <col min="26" max="26" width="7.44140625" style="9" bestFit="1" customWidth="1"/>
    <col min="27" max="27" width="9.5546875" style="9" bestFit="1" customWidth="1"/>
    <col min="28" max="28" width="9.6640625" style="9" bestFit="1" customWidth="1"/>
    <col min="29" max="29" width="11.33203125" style="9" bestFit="1" customWidth="1"/>
    <col min="30" max="30" width="10.5546875" style="9" bestFit="1" customWidth="1"/>
    <col min="31" max="31" width="8.21875" style="9" bestFit="1" customWidth="1"/>
    <col min="32" max="32" width="7.109375" style="9" bestFit="1" customWidth="1"/>
    <col min="33" max="33" width="9" style="9" bestFit="1" customWidth="1"/>
    <col min="34" max="34" width="14.88671875" style="9" bestFit="1" customWidth="1"/>
    <col min="35" max="35" width="17.5546875" style="9" bestFit="1" customWidth="1"/>
    <col min="36" max="36" width="18.5546875" style="9" bestFit="1" customWidth="1"/>
    <col min="37" max="37" width="7.6640625" style="9" bestFit="1" customWidth="1"/>
    <col min="38" max="38" width="9.6640625" style="9" bestFit="1" customWidth="1"/>
    <col min="39" max="39" width="10.5546875" style="9" bestFit="1" customWidth="1"/>
    <col min="40" max="40" width="8.88671875" style="9"/>
    <col min="41" max="42" width="10.109375" style="9" bestFit="1" customWidth="1"/>
    <col min="43" max="16384" width="8.88671875" style="9"/>
  </cols>
  <sheetData>
    <row r="1" spans="1:42" ht="11.25" customHeight="1" x14ac:dyDescent="0.3">
      <c r="A1" s="139" t="s">
        <v>69</v>
      </c>
      <c r="B1" s="139" t="s">
        <v>70</v>
      </c>
      <c r="C1" s="139" t="s">
        <v>71</v>
      </c>
      <c r="D1" s="139" t="s">
        <v>72</v>
      </c>
      <c r="E1" s="139" t="s">
        <v>73</v>
      </c>
      <c r="F1" s="139" t="s">
        <v>15</v>
      </c>
      <c r="G1" s="139" t="s">
        <v>75</v>
      </c>
      <c r="H1" s="139" t="s">
        <v>76</v>
      </c>
      <c r="I1" s="139" t="s">
        <v>716</v>
      </c>
      <c r="J1" s="131"/>
      <c r="L1" s="138" t="s">
        <v>736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O1" s="20"/>
      <c r="AP1" s="142" t="s">
        <v>718</v>
      </c>
    </row>
    <row r="2" spans="1:42" ht="11.25" customHeight="1" x14ac:dyDescent="0.3">
      <c r="A2" s="139"/>
      <c r="B2" s="139"/>
      <c r="C2" s="139"/>
      <c r="D2" s="139"/>
      <c r="E2" s="139"/>
      <c r="F2" s="139"/>
      <c r="G2" s="139"/>
      <c r="H2" s="139"/>
      <c r="I2" s="139"/>
      <c r="J2" s="131"/>
      <c r="L2" s="138" t="s">
        <v>615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O2" s="20"/>
      <c r="AP2" s="143"/>
    </row>
    <row r="3" spans="1:42" ht="11.25" customHeight="1" x14ac:dyDescent="0.3">
      <c r="A3" s="139"/>
      <c r="B3" s="139"/>
      <c r="C3" s="139"/>
      <c r="D3" s="139"/>
      <c r="E3" s="139"/>
      <c r="F3" s="139"/>
      <c r="G3" s="139"/>
      <c r="H3" s="139"/>
      <c r="I3" s="139"/>
      <c r="J3" s="131"/>
      <c r="L3" s="138" t="s">
        <v>616</v>
      </c>
      <c r="M3" s="138"/>
      <c r="N3" s="138"/>
      <c r="O3" s="138"/>
      <c r="P3" s="138"/>
      <c r="Q3" s="138"/>
      <c r="R3" s="138"/>
      <c r="S3" s="138"/>
      <c r="T3" s="138"/>
      <c r="U3" s="138" t="s">
        <v>625</v>
      </c>
      <c r="V3" s="138"/>
      <c r="W3" s="138"/>
      <c r="X3" s="138"/>
      <c r="Y3" s="138"/>
      <c r="Z3" s="138"/>
      <c r="AA3" s="138"/>
      <c r="AB3" s="138"/>
      <c r="AC3" s="138" t="s">
        <v>633</v>
      </c>
      <c r="AD3" s="138"/>
      <c r="AE3" s="138" t="s">
        <v>635</v>
      </c>
      <c r="AF3" s="138"/>
      <c r="AG3" s="138"/>
      <c r="AH3" s="138" t="s">
        <v>638</v>
      </c>
      <c r="AI3" s="138"/>
      <c r="AJ3" s="138"/>
      <c r="AK3" s="138"/>
      <c r="AL3" s="138"/>
      <c r="AM3" s="138" t="s">
        <v>624</v>
      </c>
      <c r="AO3" s="20"/>
      <c r="AP3" s="143"/>
    </row>
    <row r="4" spans="1:42" ht="11.25" customHeight="1" x14ac:dyDescent="0.3">
      <c r="A4" s="139"/>
      <c r="B4" s="139"/>
      <c r="C4" s="139"/>
      <c r="D4" s="139"/>
      <c r="E4" s="139"/>
      <c r="F4" s="139"/>
      <c r="G4" s="139"/>
      <c r="H4" s="139"/>
      <c r="I4" s="139"/>
      <c r="J4" s="131"/>
      <c r="L4" s="10" t="s">
        <v>701</v>
      </c>
      <c r="M4" s="10" t="s">
        <v>617</v>
      </c>
      <c r="N4" s="10" t="s">
        <v>618</v>
      </c>
      <c r="O4" s="10" t="s">
        <v>619</v>
      </c>
      <c r="P4" s="10" t="s">
        <v>620</v>
      </c>
      <c r="Q4" s="10" t="s">
        <v>621</v>
      </c>
      <c r="R4" s="10" t="s">
        <v>622</v>
      </c>
      <c r="S4" s="10" t="s">
        <v>623</v>
      </c>
      <c r="T4" s="10" t="s">
        <v>624</v>
      </c>
      <c r="U4" s="10" t="s">
        <v>626</v>
      </c>
      <c r="V4" s="10" t="s">
        <v>627</v>
      </c>
      <c r="W4" s="10" t="s">
        <v>628</v>
      </c>
      <c r="X4" s="10" t="s">
        <v>629</v>
      </c>
      <c r="Y4" s="10" t="s">
        <v>630</v>
      </c>
      <c r="Z4" s="10" t="s">
        <v>631</v>
      </c>
      <c r="AA4" s="10" t="s">
        <v>632</v>
      </c>
      <c r="AB4" s="10" t="s">
        <v>624</v>
      </c>
      <c r="AC4" s="10" t="s">
        <v>634</v>
      </c>
      <c r="AD4" s="10" t="s">
        <v>624</v>
      </c>
      <c r="AE4" s="10" t="s">
        <v>636</v>
      </c>
      <c r="AF4" s="10" t="s">
        <v>637</v>
      </c>
      <c r="AG4" s="10" t="s">
        <v>624</v>
      </c>
      <c r="AH4" s="10" t="s">
        <v>639</v>
      </c>
      <c r="AI4" s="10" t="s">
        <v>640</v>
      </c>
      <c r="AJ4" s="10" t="s">
        <v>641</v>
      </c>
      <c r="AK4" s="10" t="s">
        <v>642</v>
      </c>
      <c r="AL4" s="10" t="s">
        <v>624</v>
      </c>
      <c r="AM4" s="141"/>
      <c r="AO4" s="21" t="s">
        <v>735</v>
      </c>
      <c r="AP4" s="144"/>
    </row>
    <row r="5" spans="1:42" ht="11.25" customHeight="1" x14ac:dyDescent="0.3">
      <c r="A5" s="137" t="s">
        <v>45</v>
      </c>
      <c r="B5" s="137" t="s">
        <v>42</v>
      </c>
      <c r="C5" s="137" t="s">
        <v>25</v>
      </c>
      <c r="D5" s="137" t="s">
        <v>25</v>
      </c>
      <c r="E5" s="137" t="s">
        <v>25</v>
      </c>
      <c r="F5" s="137" t="s">
        <v>25</v>
      </c>
      <c r="G5" s="18" t="s">
        <v>85</v>
      </c>
      <c r="H5" s="18" t="s">
        <v>84</v>
      </c>
      <c r="I5" s="18">
        <f>'MERCADO TUSD'!$U$2</f>
        <v>4216</v>
      </c>
      <c r="J5" s="15"/>
      <c r="L5" s="13">
        <f>'TUSD BE'!$L$5*'TUSD BF'!$L$70</f>
        <v>0</v>
      </c>
      <c r="M5" s="13">
        <f>'TUSD BE'!$M$5*'TUSD BF'!$M$70</f>
        <v>0</v>
      </c>
      <c r="N5" s="13">
        <f ca="1">'TUSD BE'!$N$5*'TUSD BF'!$N$70</f>
        <v>0</v>
      </c>
      <c r="O5" s="13">
        <f>'TUSD BE'!$O$5*'TUSD BF'!$O$70</f>
        <v>0</v>
      </c>
      <c r="P5" s="13">
        <f>'TUSD BE'!$P$5*'TUSD BF'!$P$70</f>
        <v>0</v>
      </c>
      <c r="Q5" s="13">
        <f>'TUSD BE'!$Q$5*'TUSD BF'!$Q$70</f>
        <v>0</v>
      </c>
      <c r="R5" s="13">
        <f>'TUSD BE'!$R$5*'TUSD BF'!$R$70</f>
        <v>0</v>
      </c>
      <c r="S5" s="13">
        <f>'TUSD BE'!$R$5*'TUSD BF'!$S$70</f>
        <v>0</v>
      </c>
      <c r="T5" s="13">
        <f ca="1">SUM($L$5:$S$5)</f>
        <v>0</v>
      </c>
      <c r="U5" s="13">
        <f>'TUSD BE'!$U$5*'TUSD BF'!$U$70</f>
        <v>0.7230751583449061</v>
      </c>
      <c r="V5" s="13">
        <f>'TUSD BE'!$V$5*'TUSD BF'!$V$70</f>
        <v>0.33747216678343461</v>
      </c>
      <c r="W5" s="13">
        <f>'TUSD BE'!$W$5*'TUSD BF'!$W$70</f>
        <v>0</v>
      </c>
      <c r="X5" s="13">
        <f>'TUSD BE'!$X$5*'TUSD BF'!$X$70</f>
        <v>0</v>
      </c>
      <c r="Y5" s="13">
        <f>'TUSD BE'!$Y$5*'TUSD BF'!$Y$70</f>
        <v>0</v>
      </c>
      <c r="Z5" s="13">
        <f>'TUSD BE'!$Z$5*'TUSD BF'!$Z$70</f>
        <v>0</v>
      </c>
      <c r="AA5" s="13">
        <f>'TUSD BE'!$AA$5*'TUSD BF'!$AA$70</f>
        <v>0</v>
      </c>
      <c r="AB5" s="13">
        <f>SUM($U$5:$AA$5)</f>
        <v>1.0605473251283408</v>
      </c>
      <c r="AC5" s="13">
        <f>'TUSD BE'!$AC$5*'TUSD BF'!$AC$70</f>
        <v>0</v>
      </c>
      <c r="AD5" s="13">
        <f>SUM($AC$5:$AC$5)</f>
        <v>0</v>
      </c>
      <c r="AE5" s="13">
        <f ca="1">$AO$5*$AO$67</f>
        <v>0</v>
      </c>
      <c r="AF5" s="13">
        <f ca="1">$AP$5*$AP$67</f>
        <v>0</v>
      </c>
      <c r="AG5" s="13">
        <f ca="1">SUM($AE$5:$AF$5)</f>
        <v>0</v>
      </c>
      <c r="AH5" s="13">
        <f>'TUSD BE'!$AH$5*'TUSD BF'!$AH$70</f>
        <v>0</v>
      </c>
      <c r="AI5" s="13">
        <f>'TUSD BE'!$AI$5*'TUSD BF'!$AI$70</f>
        <v>0</v>
      </c>
      <c r="AJ5" s="13">
        <f ca="1">'TUSD BE'!$AJ$5*'TUSD BF'!$AJ$70</f>
        <v>0</v>
      </c>
      <c r="AK5" s="13">
        <f ca="1">'TUSD BE'!$AK$5*'TUSD BF'!$AK$70</f>
        <v>0</v>
      </c>
      <c r="AL5" s="13">
        <f ca="1">SUM($AH$5:$AK$5)</f>
        <v>0</v>
      </c>
      <c r="AM5" s="13">
        <f ca="1">SUMIF($L$4:$AL$4,"SUBTOTAL",$L$5:$AL$5)</f>
        <v>1.0605473251283408</v>
      </c>
      <c r="AO5" s="20">
        <f ca="1">+'TUSD BE'!$T$5+'TUSD BE'!$AB$5+'TUSD BE'!$AD$5+'TUSD BE'!$AL$5</f>
        <v>52.338742572566609</v>
      </c>
      <c r="AP5" s="20">
        <f ca="1">+'TUSD BE'!$T$5+'TUSD BE'!$AB$5+'TUSD BE'!$AD$5+'TUSD BE'!$AL$5</f>
        <v>52.338742572566609</v>
      </c>
    </row>
    <row r="6" spans="1:42" ht="11.25" customHeight="1" x14ac:dyDescent="0.3">
      <c r="A6" s="137"/>
      <c r="B6" s="137"/>
      <c r="C6" s="137"/>
      <c r="D6" s="137"/>
      <c r="E6" s="137"/>
      <c r="F6" s="137"/>
      <c r="G6" s="18" t="s">
        <v>86</v>
      </c>
      <c r="H6" s="18" t="s">
        <v>84</v>
      </c>
      <c r="I6" s="18">
        <f>'MERCADO TUSD'!$U$3</f>
        <v>4234</v>
      </c>
      <c r="J6" s="15"/>
      <c r="L6" s="13">
        <f>'TUSD BE'!$L$6*'TUSD BF'!$L$70</f>
        <v>0</v>
      </c>
      <c r="M6" s="13">
        <f>'TUSD BE'!$M$6*'TUSD BF'!$M$70</f>
        <v>0</v>
      </c>
      <c r="N6" s="13">
        <f ca="1">'TUSD BE'!$N$6*'TUSD BF'!$N$70</f>
        <v>0</v>
      </c>
      <c r="O6" s="13">
        <f>'TUSD BE'!$O$6*'TUSD BF'!$O$70</f>
        <v>0</v>
      </c>
      <c r="P6" s="13">
        <f>'TUSD BE'!$P$6*'TUSD BF'!$P$70</f>
        <v>0</v>
      </c>
      <c r="Q6" s="13">
        <f>'TUSD BE'!$Q$6*'TUSD BF'!$Q$70</f>
        <v>0</v>
      </c>
      <c r="R6" s="13">
        <f>'TUSD BE'!$R$6*'TUSD BF'!$R$70</f>
        <v>0</v>
      </c>
      <c r="S6" s="13">
        <f>'TUSD BE'!$R$6*'TUSD BF'!$S$70</f>
        <v>0</v>
      </c>
      <c r="T6" s="13">
        <f ca="1">SUM($L$6:$S$6)</f>
        <v>0</v>
      </c>
      <c r="U6" s="13">
        <f>'TUSD BE'!$U$6*'TUSD BF'!$U$70</f>
        <v>0.41714259521158786</v>
      </c>
      <c r="V6" s="13">
        <f>'TUSD BE'!$V$6*'TUSD BF'!$V$70</f>
        <v>0.20165831510324309</v>
      </c>
      <c r="W6" s="13">
        <f>'TUSD BE'!$W$6*'TUSD BF'!$W$70</f>
        <v>0</v>
      </c>
      <c r="X6" s="13">
        <f>'TUSD BE'!$X$6*'TUSD BF'!$X$70</f>
        <v>0</v>
      </c>
      <c r="Y6" s="13">
        <f>'TUSD BE'!$Y$6*'TUSD BF'!$Y$70</f>
        <v>0</v>
      </c>
      <c r="Z6" s="13">
        <f>'TUSD BE'!$Z$6*'TUSD BF'!$Z$70</f>
        <v>0</v>
      </c>
      <c r="AA6" s="13">
        <f>'TUSD BE'!$AA$6*'TUSD BF'!$AA$70</f>
        <v>0</v>
      </c>
      <c r="AB6" s="13">
        <f>SUM($U$6:$AA$6)</f>
        <v>0.61880091031483098</v>
      </c>
      <c r="AC6" s="13">
        <f>'TUSD BE'!$AC$6*'TUSD BF'!$AC$70</f>
        <v>0</v>
      </c>
      <c r="AD6" s="13">
        <f>SUM($AC$6:$AC$6)</f>
        <v>0</v>
      </c>
      <c r="AE6" s="13">
        <f ca="1">$AO$6*$AO$67</f>
        <v>0</v>
      </c>
      <c r="AF6" s="13">
        <f ca="1">$AP$6*$AP$67</f>
        <v>0</v>
      </c>
      <c r="AG6" s="13">
        <f ca="1">SUM($AE$6:$AF$6)</f>
        <v>0</v>
      </c>
      <c r="AH6" s="13">
        <f>'TUSD BE'!$AH$6*'TUSD BF'!$AH$70</f>
        <v>0</v>
      </c>
      <c r="AI6" s="13">
        <f>'TUSD BE'!$AI$6*'TUSD BF'!$AI$70</f>
        <v>0</v>
      </c>
      <c r="AJ6" s="13">
        <f ca="1">'TUSD BE'!$AJ$6*'TUSD BF'!$AJ$70</f>
        <v>0</v>
      </c>
      <c r="AK6" s="13">
        <f ca="1">'TUSD BE'!$AK$6*'TUSD BF'!$AK$70</f>
        <v>0</v>
      </c>
      <c r="AL6" s="13">
        <f ca="1">SUM($AH$6:$AK$6)</f>
        <v>0</v>
      </c>
      <c r="AM6" s="13">
        <f ca="1">SUMIF($L$4:$AL$4,"SUBTOTAL",$L$6:$AL$6)</f>
        <v>0.61880091031483098</v>
      </c>
      <c r="AO6" s="20">
        <f ca="1">+'TUSD BE'!$T$6+'TUSD BE'!$AB$6+'TUSD BE'!$AD$6+'TUSD BE'!$AL$6</f>
        <v>21.748036760622899</v>
      </c>
      <c r="AP6" s="20">
        <f ca="1">+'TUSD BE'!$T$6+'TUSD BE'!$AB$6+'TUSD BE'!$AD$6+'TUSD BE'!$AL$6</f>
        <v>21.748036760622899</v>
      </c>
    </row>
    <row r="7" spans="1:42" ht="11.25" customHeight="1" x14ac:dyDescent="0.3">
      <c r="A7" s="137"/>
      <c r="B7" s="137"/>
      <c r="C7" s="137"/>
      <c r="D7" s="137"/>
      <c r="E7" s="137"/>
      <c r="F7" s="137"/>
      <c r="G7" s="18" t="s">
        <v>83</v>
      </c>
      <c r="H7" s="18" t="s">
        <v>79</v>
      </c>
      <c r="I7" s="18">
        <f>'MERCADO TUSD'!$U$4</f>
        <v>1760.1130000000001</v>
      </c>
      <c r="J7" s="15"/>
      <c r="L7" s="13">
        <f>'TUSD BE'!$L$7*'TUSD BF'!$L$70</f>
        <v>0.77554598170252753</v>
      </c>
      <c r="M7" s="13">
        <f>'TUSD BE'!$M$7*'TUSD BF'!$M$70</f>
        <v>0</v>
      </c>
      <c r="N7" s="13">
        <f ca="1">'TUSD BE'!$N$7*'TUSD BF'!$N$70</f>
        <v>0</v>
      </c>
      <c r="O7" s="13">
        <f>'TUSD BE'!$O$7*'TUSD BF'!$O$70</f>
        <v>0</v>
      </c>
      <c r="P7" s="13">
        <f>'TUSD BE'!$P$7*'TUSD BF'!$P$70</f>
        <v>0</v>
      </c>
      <c r="Q7" s="13">
        <f>'TUSD BE'!$Q$7*'TUSD BF'!$Q$70</f>
        <v>24.326122328355538</v>
      </c>
      <c r="R7" s="13">
        <f>'TUSD BE'!$R$7*'TUSD BF'!$R$70</f>
        <v>5.2627822833457625</v>
      </c>
      <c r="S7" s="13">
        <f>'TUSD BE'!$R$7*'TUSD BF'!$S$70</f>
        <v>0</v>
      </c>
      <c r="T7" s="13">
        <f ca="1">SUM($L$7:$S$7)</f>
        <v>30.364450593403831</v>
      </c>
      <c r="U7" s="13">
        <f>'TUSD BE'!$U$7*'TUSD BF'!$U$70</f>
        <v>0</v>
      </c>
      <c r="V7" s="13">
        <f>'TUSD BE'!$V$7*'TUSD BF'!$V$70</f>
        <v>0</v>
      </c>
      <c r="W7" s="13">
        <f>'TUSD BE'!$W$7*'TUSD BF'!$W$70</f>
        <v>0</v>
      </c>
      <c r="X7" s="13">
        <f>'TUSD BE'!$X$7*'TUSD BF'!$X$70</f>
        <v>0</v>
      </c>
      <c r="Y7" s="13">
        <f>'TUSD BE'!$Y$7*'TUSD BF'!$Y$70</f>
        <v>0</v>
      </c>
      <c r="Z7" s="13">
        <f>'TUSD BE'!$Z$7*'TUSD BF'!$Z$70</f>
        <v>0</v>
      </c>
      <c r="AA7" s="13">
        <f>'TUSD BE'!$AA$7*'TUSD BF'!$AA$70</f>
        <v>0</v>
      </c>
      <c r="AB7" s="13">
        <f>SUM($U$7:$AA$7)</f>
        <v>0</v>
      </c>
      <c r="AC7" s="13">
        <f>'TUSD BE'!$AC$7*'TUSD BF'!$AC$70</f>
        <v>0</v>
      </c>
      <c r="AD7" s="13">
        <f>SUM($AC$7:$AC$7)</f>
        <v>0</v>
      </c>
      <c r="AE7" s="13">
        <f ca="1">$AO$7*$AO$67</f>
        <v>0</v>
      </c>
      <c r="AF7" s="13">
        <f ca="1">$AP$7*$AP$67</f>
        <v>0</v>
      </c>
      <c r="AG7" s="13">
        <f ca="1">SUM($AE$7:$AF$7)</f>
        <v>0</v>
      </c>
      <c r="AH7" s="13">
        <f>'TUSD BE'!$AH$7*'TUSD BF'!$AH$70</f>
        <v>-0.58087014473073817</v>
      </c>
      <c r="AI7" s="13">
        <f>'TUSD BE'!$AI$7*'TUSD BF'!$AI$70</f>
        <v>-1.7092855041342652E-2</v>
      </c>
      <c r="AJ7" s="13">
        <f ca="1">'TUSD BE'!$AJ$7*'TUSD BF'!$AJ$70</f>
        <v>-5.2319684555639692E-2</v>
      </c>
      <c r="AK7" s="13">
        <f ca="1">'TUSD BE'!$AK$7*'TUSD BF'!$AK$70</f>
        <v>0</v>
      </c>
      <c r="AL7" s="13">
        <f ca="1">SUM($AH$7:$AK$7)</f>
        <v>-0.65028268432772052</v>
      </c>
      <c r="AM7" s="13">
        <f ca="1">SUMIF($L$4:$AL$4,"SUBTOTAL",$L$7:$AL$7)</f>
        <v>29.71416790907611</v>
      </c>
      <c r="AO7" s="20">
        <f ca="1">+'TUSD BE'!$T$7+'TUSD BE'!$AB$7+'TUSD BE'!$AD$7+'TUSD BE'!$AL$7</f>
        <v>118.35875181404104</v>
      </c>
      <c r="AP7" s="20">
        <f ca="1">+'TUSD BE'!$T$7+'TUSD BE'!$AB$7+'TUSD BE'!$AD$7+'TUSD BE'!$AL$7</f>
        <v>118.35875181404104</v>
      </c>
    </row>
    <row r="8" spans="1:42" ht="11.25" customHeight="1" x14ac:dyDescent="0.3">
      <c r="A8" s="137"/>
      <c r="B8" s="137"/>
      <c r="C8" s="137"/>
      <c r="D8" s="137"/>
      <c r="E8" s="17" t="s">
        <v>87</v>
      </c>
      <c r="F8" s="17" t="s">
        <v>25</v>
      </c>
      <c r="G8" s="18" t="s">
        <v>83</v>
      </c>
      <c r="H8" s="18" t="s">
        <v>79</v>
      </c>
      <c r="I8" s="18">
        <f>'MERCADO TUSD'!$U$5</f>
        <v>0</v>
      </c>
      <c r="J8" s="15"/>
      <c r="L8" s="13">
        <f>'TUSD BE'!$L$8*'TUSD BF'!$L$70</f>
        <v>0</v>
      </c>
      <c r="M8" s="13">
        <f>'TUSD BE'!$M$8*'TUSD BF'!$M$70</f>
        <v>0</v>
      </c>
      <c r="N8" s="13">
        <f ca="1">'TUSD BE'!$N$8*'TUSD BF'!$N$70</f>
        <v>0</v>
      </c>
      <c r="O8" s="13">
        <f>'TUSD BE'!$O$8*'TUSD BF'!$O$70</f>
        <v>0</v>
      </c>
      <c r="P8" s="13">
        <f>'TUSD BE'!$P$8*'TUSD BF'!$P$70</f>
        <v>0</v>
      </c>
      <c r="Q8" s="13">
        <f>'TUSD BE'!$Q$8*'TUSD BF'!$Q$70</f>
        <v>0</v>
      </c>
      <c r="R8" s="13">
        <f>'TUSD BE'!$R$8*'TUSD BF'!$R$70</f>
        <v>0</v>
      </c>
      <c r="S8" s="13">
        <f>'TUSD BE'!$R$8*'TUSD BF'!$S$70</f>
        <v>0</v>
      </c>
      <c r="T8" s="13">
        <f ca="1">SUM($L$8:$S$8)</f>
        <v>0</v>
      </c>
      <c r="U8" s="13">
        <f>'TUSD BE'!$U$8*'TUSD BF'!$U$70</f>
        <v>0</v>
      </c>
      <c r="V8" s="13">
        <f>'TUSD BE'!$V$8*'TUSD BF'!$V$70</f>
        <v>0</v>
      </c>
      <c r="W8" s="13">
        <f>'TUSD BE'!$W$8*'TUSD BF'!$W$70</f>
        <v>0</v>
      </c>
      <c r="X8" s="13">
        <f>'TUSD BE'!$X$8*'TUSD BF'!$X$70</f>
        <v>0</v>
      </c>
      <c r="Y8" s="13">
        <f>'TUSD BE'!$Y$8*'TUSD BF'!$Y$70</f>
        <v>0</v>
      </c>
      <c r="Z8" s="13">
        <f>'TUSD BE'!$Z$8*'TUSD BF'!$Z$70</f>
        <v>0</v>
      </c>
      <c r="AA8" s="13">
        <f>'TUSD BE'!$AA$8*'TUSD BF'!$AA$70</f>
        <v>0</v>
      </c>
      <c r="AB8" s="13">
        <f>SUM($U$8:$AA$8)</f>
        <v>0</v>
      </c>
      <c r="AC8" s="13">
        <f>'TUSD BE'!$AC$8*'TUSD BF'!$AC$70</f>
        <v>0</v>
      </c>
      <c r="AD8" s="13">
        <f>SUM($AC$8:$AC$8)</f>
        <v>0</v>
      </c>
      <c r="AE8" s="13">
        <f ca="1">$AO$8*$AO$67</f>
        <v>0</v>
      </c>
      <c r="AF8" s="13">
        <f ca="1">$AP$8*$AP$67</f>
        <v>0</v>
      </c>
      <c r="AG8" s="13">
        <f ca="1">SUM($AE$8:$AF$8)</f>
        <v>0</v>
      </c>
      <c r="AH8" s="13">
        <f>'TUSD BE'!$AH$8*'TUSD BF'!$AH$70</f>
        <v>-0.58087014473073817</v>
      </c>
      <c r="AI8" s="13">
        <f>'TUSD BE'!$AI$8*'TUSD BF'!$AI$70</f>
        <v>-1.7092855041342652E-2</v>
      </c>
      <c r="AJ8" s="13">
        <f ca="1">'TUSD BE'!$AJ$8*'TUSD BF'!$AJ$70</f>
        <v>-5.2319684555639692E-2</v>
      </c>
      <c r="AK8" s="13">
        <f ca="1">'TUSD BE'!$AK$8*'TUSD BF'!$AK$70</f>
        <v>0</v>
      </c>
      <c r="AL8" s="13">
        <f ca="1">SUM($AH$8:$AK$8)</f>
        <v>-0.65028268432772052</v>
      </c>
      <c r="AM8" s="13">
        <f ca="1">SUMIF($L$4:$AL$4,"SUBTOTAL",$L$8:$AL$8)</f>
        <v>-0.65028268432772052</v>
      </c>
      <c r="AO8" s="20">
        <f ca="1">+'TUSD BE'!$T$8+'TUSD BE'!$AB$8+'TUSD BE'!$AD$8+'TUSD BE'!$AL$8</f>
        <v>13.815947610236968</v>
      </c>
      <c r="AP8" s="20">
        <f ca="1">+'TUSD BE'!$T$8+'TUSD BE'!$AB$8+'TUSD BE'!$AD$8+'TUSD BE'!$AL$8</f>
        <v>13.815947610236968</v>
      </c>
    </row>
    <row r="9" spans="1:42" ht="11.25" customHeight="1" x14ac:dyDescent="0.3">
      <c r="A9" s="137"/>
      <c r="B9" s="17" t="s">
        <v>60</v>
      </c>
      <c r="C9" s="17" t="s">
        <v>25</v>
      </c>
      <c r="D9" s="17" t="s">
        <v>25</v>
      </c>
      <c r="E9" s="17" t="s">
        <v>25</v>
      </c>
      <c r="F9" s="17" t="s">
        <v>25</v>
      </c>
      <c r="G9" s="18" t="s">
        <v>9</v>
      </c>
      <c r="H9" s="18" t="s">
        <v>84</v>
      </c>
      <c r="I9" s="18">
        <f>'MERCADO TUSD'!$U$6</f>
        <v>36120</v>
      </c>
      <c r="J9" s="15"/>
      <c r="L9" s="13">
        <f>'TUSD BE'!$L$9*'TUSD BF'!$L$70</f>
        <v>0</v>
      </c>
      <c r="M9" s="13">
        <f>'TUSD BE'!$M$9*'TUSD BF'!$M$70</f>
        <v>0</v>
      </c>
      <c r="N9" s="13">
        <f ca="1">'TUSD BE'!$N$9*'TUSD BF'!$N$70</f>
        <v>0</v>
      </c>
      <c r="O9" s="13">
        <f>'TUSD BE'!$O$9*'TUSD BF'!$O$70</f>
        <v>0</v>
      </c>
      <c r="P9" s="13">
        <f>'TUSD BE'!$P$9*'TUSD BF'!$P$70</f>
        <v>0</v>
      </c>
      <c r="Q9" s="13">
        <f>'TUSD BE'!$Q$9*'TUSD BF'!$Q$70</f>
        <v>0</v>
      </c>
      <c r="R9" s="13">
        <f>'TUSD BE'!$R$9*'TUSD BF'!$R$70</f>
        <v>0</v>
      </c>
      <c r="S9" s="13">
        <f>'TUSD BE'!$R$9*'TUSD BF'!$S$70</f>
        <v>0</v>
      </c>
      <c r="T9" s="13">
        <f ca="1">SUM($L$9:$S$9)</f>
        <v>0</v>
      </c>
      <c r="U9" s="13">
        <f>'TUSD BE'!$U$9*'TUSD BF'!$U$70</f>
        <v>0</v>
      </c>
      <c r="V9" s="13">
        <f>'TUSD BE'!$V$9*'TUSD BF'!$V$70</f>
        <v>0</v>
      </c>
      <c r="W9" s="13">
        <f>'TUSD BE'!$W$9*'TUSD BF'!$W$70</f>
        <v>0</v>
      </c>
      <c r="X9" s="13">
        <f>'TUSD BE'!$X$9*'TUSD BF'!$X$70</f>
        <v>0</v>
      </c>
      <c r="Y9" s="13">
        <f>'TUSD BE'!$Y$9*'TUSD BF'!$Y$70</f>
        <v>0</v>
      </c>
      <c r="Z9" s="13">
        <f>'TUSD BE'!$Z$9*'TUSD BF'!$Z$70</f>
        <v>0</v>
      </c>
      <c r="AA9" s="13">
        <f>'TUSD BE'!$AA$9*'TUSD BF'!$AA$70</f>
        <v>0</v>
      </c>
      <c r="AB9" s="13">
        <f>SUM($U$9:$AA$9)</f>
        <v>0</v>
      </c>
      <c r="AC9" s="13">
        <f>'TUSD BE'!$AC$9*'TUSD BF'!$AC$70</f>
        <v>0</v>
      </c>
      <c r="AD9" s="13">
        <f>SUM($AC$9:$AC$9)</f>
        <v>0</v>
      </c>
      <c r="AE9" s="13">
        <f ca="1">$AO$9*$AO$67</f>
        <v>0</v>
      </c>
      <c r="AF9" s="13">
        <f ca="1">$AP$9*$AP$67</f>
        <v>0</v>
      </c>
      <c r="AG9" s="13">
        <f ca="1">SUM($AE$9:$AF$9)</f>
        <v>0</v>
      </c>
      <c r="AH9" s="13">
        <f>'TUSD BE'!$AH$9*'TUSD BF'!$AH$70</f>
        <v>-3.4337880067934431E-4</v>
      </c>
      <c r="AI9" s="13">
        <f>'TUSD BE'!$AI$9*'TUSD BF'!$AI$70</f>
        <v>0</v>
      </c>
      <c r="AJ9" s="13">
        <f ca="1">'TUSD BE'!$AJ$9*'TUSD BF'!$AJ$70</f>
        <v>0</v>
      </c>
      <c r="AK9" s="13">
        <f ca="1">'TUSD BE'!$AK$9*'TUSD BF'!$AK$70</f>
        <v>0</v>
      </c>
      <c r="AL9" s="13">
        <f ca="1">SUM($AH$9:$AK$9)</f>
        <v>-3.4337880067934431E-4</v>
      </c>
      <c r="AM9" s="13">
        <f ca="1">SUMIF($L$4:$AL$4,"SUBTOTAL",$L$9:$AL$9)</f>
        <v>-3.4337880067934431E-4</v>
      </c>
      <c r="AO9" s="20">
        <f ca="1">+'TUSD BE'!$T$9+'TUSD BE'!$AB$9+'TUSD BE'!$AD$9+'TUSD BE'!$AL$9</f>
        <v>12.997699191825177</v>
      </c>
      <c r="AP9" s="20">
        <f ca="1">+'TUSD BE'!$T$9+'TUSD BE'!$AB$9+'TUSD BE'!$AD$9+'TUSD BE'!$AL$9</f>
        <v>12.997699191825177</v>
      </c>
    </row>
    <row r="10" spans="1:42" ht="11.25" customHeight="1" x14ac:dyDescent="0.3">
      <c r="A10" s="137"/>
      <c r="B10" s="137" t="s">
        <v>40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18" t="s">
        <v>9</v>
      </c>
      <c r="H10" s="18" t="s">
        <v>84</v>
      </c>
      <c r="I10" s="18">
        <f>'MERCADO TUSD'!$U$7</f>
        <v>685</v>
      </c>
      <c r="J10" s="15"/>
      <c r="L10" s="13">
        <f>'TUSD BE'!$L$10*'TUSD BF'!$L$70</f>
        <v>0</v>
      </c>
      <c r="M10" s="13">
        <f>'TUSD BE'!$M$10*'TUSD BF'!$M$70</f>
        <v>0</v>
      </c>
      <c r="N10" s="13">
        <f ca="1">'TUSD BE'!$N$10*'TUSD BF'!$N$70</f>
        <v>0</v>
      </c>
      <c r="O10" s="13">
        <f>'TUSD BE'!$O$10*'TUSD BF'!$O$70</f>
        <v>0</v>
      </c>
      <c r="P10" s="13">
        <f>'TUSD BE'!$P$10*'TUSD BF'!$P$70</f>
        <v>0</v>
      </c>
      <c r="Q10" s="13">
        <f>'TUSD BE'!$Q$10*'TUSD BF'!$Q$70</f>
        <v>0</v>
      </c>
      <c r="R10" s="13">
        <f>'TUSD BE'!$R$10*'TUSD BF'!$R$70</f>
        <v>0</v>
      </c>
      <c r="S10" s="13">
        <f>'TUSD BE'!$R$10*'TUSD BF'!$S$70</f>
        <v>0</v>
      </c>
      <c r="T10" s="13">
        <f ca="1">SUM($L$10:$S$10)</f>
        <v>0</v>
      </c>
      <c r="U10" s="13">
        <f>'TUSD BE'!$U$10*'TUSD BF'!$U$70</f>
        <v>0.41714259521158786</v>
      </c>
      <c r="V10" s="13">
        <f>'TUSD BE'!$V$10*'TUSD BF'!$V$70</f>
        <v>0.20165831510324309</v>
      </c>
      <c r="W10" s="13">
        <f>'TUSD BE'!$W$10*'TUSD BF'!$W$70</f>
        <v>0</v>
      </c>
      <c r="X10" s="13">
        <f>'TUSD BE'!$X$10*'TUSD BF'!$X$70</f>
        <v>0</v>
      </c>
      <c r="Y10" s="13">
        <f>'TUSD BE'!$Y$10*'TUSD BF'!$Y$70</f>
        <v>0</v>
      </c>
      <c r="Z10" s="13">
        <f>'TUSD BE'!$Z$10*'TUSD BF'!$Z$70</f>
        <v>0</v>
      </c>
      <c r="AA10" s="13">
        <f>'TUSD BE'!$AA$10*'TUSD BF'!$AA$70</f>
        <v>0</v>
      </c>
      <c r="AB10" s="13">
        <f>SUM($U$10:$AA$10)</f>
        <v>0.61880091031483098</v>
      </c>
      <c r="AC10" s="13">
        <f>'TUSD BE'!$AC$10*'TUSD BF'!$AC$70</f>
        <v>0</v>
      </c>
      <c r="AD10" s="13">
        <f>SUM($AC$10:$AC$10)</f>
        <v>0</v>
      </c>
      <c r="AE10" s="13">
        <f ca="1">$AO$10*$AO$67</f>
        <v>0</v>
      </c>
      <c r="AF10" s="13">
        <f ca="1">$AP$10*$AP$67</f>
        <v>0</v>
      </c>
      <c r="AG10" s="13">
        <f ca="1">SUM($AE$10:$AF$10)</f>
        <v>0</v>
      </c>
      <c r="AH10" s="13">
        <f>'TUSD BE'!$AH$10*'TUSD BF'!$AH$70</f>
        <v>0</v>
      </c>
      <c r="AI10" s="13">
        <f>'TUSD BE'!$AI$10*'TUSD BF'!$AI$70</f>
        <v>0</v>
      </c>
      <c r="AJ10" s="13">
        <f ca="1">'TUSD BE'!$AJ$10*'TUSD BF'!$AJ$70</f>
        <v>0</v>
      </c>
      <c r="AK10" s="13">
        <f ca="1">'TUSD BE'!$AK$10*'TUSD BF'!$AK$70</f>
        <v>0</v>
      </c>
      <c r="AL10" s="13">
        <f ca="1">SUM($AH$10:$AK$10)</f>
        <v>0</v>
      </c>
      <c r="AM10" s="13">
        <f ca="1">SUMIF($L$4:$AL$4,"SUBTOTAL",$L$10:$AL$10)</f>
        <v>0.61880091031483098</v>
      </c>
      <c r="AO10" s="20">
        <f ca="1">+'TUSD BE'!$T$10+'TUSD BE'!$AB$10+'TUSD BE'!$AD$10+'TUSD BE'!$AL$10</f>
        <v>21.748036760622899</v>
      </c>
      <c r="AP10" s="20">
        <f ca="1">+'TUSD BE'!$T$10+'TUSD BE'!$AB$10+'TUSD BE'!$AD$10+'TUSD BE'!$AL$10</f>
        <v>21.748036760622899</v>
      </c>
    </row>
    <row r="11" spans="1:42" ht="11.25" customHeight="1" x14ac:dyDescent="0.3">
      <c r="A11" s="137"/>
      <c r="B11" s="137"/>
      <c r="C11" s="137"/>
      <c r="D11" s="137"/>
      <c r="E11" s="137"/>
      <c r="F11" s="137"/>
      <c r="G11" s="18" t="s">
        <v>80</v>
      </c>
      <c r="H11" s="18" t="s">
        <v>79</v>
      </c>
      <c r="I11" s="18">
        <f>'MERCADO TUSD'!$U$8</f>
        <v>5.4909999999999997</v>
      </c>
      <c r="J11" s="15"/>
      <c r="L11" s="13">
        <f>'TUSD BE'!$L$11*'TUSD BF'!$L$70</f>
        <v>0.77554598170252753</v>
      </c>
      <c r="M11" s="13">
        <f>'TUSD BE'!$M$11*'TUSD BF'!$M$70</f>
        <v>0</v>
      </c>
      <c r="N11" s="13">
        <f ca="1">'TUSD BE'!$N$11*'TUSD BF'!$N$70</f>
        <v>0</v>
      </c>
      <c r="O11" s="13">
        <f>'TUSD BE'!$O$11*'TUSD BF'!$O$70</f>
        <v>0</v>
      </c>
      <c r="P11" s="13">
        <f>'TUSD BE'!$P$11*'TUSD BF'!$P$70</f>
        <v>0</v>
      </c>
      <c r="Q11" s="13">
        <f>'TUSD BE'!$Q$11*'TUSD BF'!$Q$70</f>
        <v>24.326122328355538</v>
      </c>
      <c r="R11" s="13">
        <f>'TUSD BE'!$R$11*'TUSD BF'!$R$70</f>
        <v>5.2627822833457625</v>
      </c>
      <c r="S11" s="13">
        <f>'TUSD BE'!$R$11*'TUSD BF'!$S$70</f>
        <v>0</v>
      </c>
      <c r="T11" s="13">
        <f ca="1">SUM($L$11:$S$11)</f>
        <v>30.364450593403831</v>
      </c>
      <c r="U11" s="13">
        <f>'TUSD BE'!$U$11*'TUSD BF'!$U$70</f>
        <v>17.389946862637302</v>
      </c>
      <c r="V11" s="13">
        <f>'TUSD BE'!$V$11*'TUSD BF'!$V$70</f>
        <v>8.1161473851618027</v>
      </c>
      <c r="W11" s="13">
        <f>'TUSD BE'!$W$11*'TUSD BF'!$W$70</f>
        <v>0</v>
      </c>
      <c r="X11" s="13">
        <f>'TUSD BE'!$X$11*'TUSD BF'!$X$70</f>
        <v>0</v>
      </c>
      <c r="Y11" s="13">
        <f>'TUSD BE'!$Y$11*'TUSD BF'!$Y$70</f>
        <v>0</v>
      </c>
      <c r="Z11" s="13">
        <f>'TUSD BE'!$Z$11*'TUSD BF'!$Z$70</f>
        <v>0</v>
      </c>
      <c r="AA11" s="13">
        <f>'TUSD BE'!$AA$11*'TUSD BF'!$AA$70</f>
        <v>0</v>
      </c>
      <c r="AB11" s="13">
        <f>SUM($U$11:$AA$11)</f>
        <v>25.506094247799105</v>
      </c>
      <c r="AC11" s="13">
        <f>'TUSD BE'!$AC$11*'TUSD BF'!$AC$70</f>
        <v>0</v>
      </c>
      <c r="AD11" s="13">
        <f>SUM($AC$11:$AC$11)</f>
        <v>0</v>
      </c>
      <c r="AE11" s="13">
        <f ca="1">$AO$11*$AO$67</f>
        <v>0</v>
      </c>
      <c r="AF11" s="13">
        <f ca="1">$AP$11*$AP$67</f>
        <v>0</v>
      </c>
      <c r="AG11" s="13">
        <f ca="1">SUM($AE$11:$AF$11)</f>
        <v>0</v>
      </c>
      <c r="AH11" s="13">
        <f>'TUSD BE'!$AH$11*'TUSD BF'!$AH$70</f>
        <v>-0.58087014473073817</v>
      </c>
      <c r="AI11" s="13">
        <f>'TUSD BE'!$AI$11*'TUSD BF'!$AI$70</f>
        <v>-1.7092855041342652E-2</v>
      </c>
      <c r="AJ11" s="13">
        <f ca="1">'TUSD BE'!$AJ$11*'TUSD BF'!$AJ$70</f>
        <v>-5.2319684555639692E-2</v>
      </c>
      <c r="AK11" s="13">
        <f ca="1">'TUSD BE'!$AK$11*'TUSD BF'!$AK$70</f>
        <v>0</v>
      </c>
      <c r="AL11" s="13">
        <f ca="1">SUM($AH$11:$AK$11)</f>
        <v>-0.65028268432772052</v>
      </c>
      <c r="AM11" s="13">
        <f ca="1">SUMIF($L$4:$AL$4,"SUBTOTAL",$L$11:$AL$11)</f>
        <v>55.220262156875215</v>
      </c>
      <c r="AO11" s="20">
        <f ca="1">+'TUSD BE'!$T$11+'TUSD BE'!$AB$11+'TUSD BE'!$AD$11+'TUSD BE'!$AL$11</f>
        <v>1389.9363806723529</v>
      </c>
      <c r="AP11" s="20">
        <f ca="1">+'TUSD BE'!$T$11+'TUSD BE'!$AB$11+'TUSD BE'!$AD$11+'TUSD BE'!$AL$11</f>
        <v>1389.9363806723529</v>
      </c>
    </row>
    <row r="12" spans="1:42" ht="11.25" customHeight="1" x14ac:dyDescent="0.3">
      <c r="A12" s="137"/>
      <c r="B12" s="137"/>
      <c r="C12" s="137"/>
      <c r="D12" s="137"/>
      <c r="E12" s="137"/>
      <c r="F12" s="137"/>
      <c r="G12" s="18" t="s">
        <v>81</v>
      </c>
      <c r="H12" s="18" t="s">
        <v>79</v>
      </c>
      <c r="I12" s="18">
        <f>'MERCADO TUSD'!$U$9</f>
        <v>46.585999999999999</v>
      </c>
      <c r="J12" s="15"/>
      <c r="L12" s="13">
        <f>'TUSD BE'!$L$12*'TUSD BF'!$L$70</f>
        <v>0.77554598170252753</v>
      </c>
      <c r="M12" s="13">
        <f>'TUSD BE'!$M$12*'TUSD BF'!$M$70</f>
        <v>0</v>
      </c>
      <c r="N12" s="13">
        <f ca="1">'TUSD BE'!$N$12*'TUSD BF'!$N$70</f>
        <v>0</v>
      </c>
      <c r="O12" s="13">
        <f>'TUSD BE'!$O$12*'TUSD BF'!$O$70</f>
        <v>0</v>
      </c>
      <c r="P12" s="13">
        <f>'TUSD BE'!$P$12*'TUSD BF'!$P$70</f>
        <v>0</v>
      </c>
      <c r="Q12" s="13">
        <f>'TUSD BE'!$Q$12*'TUSD BF'!$Q$70</f>
        <v>24.326122328355538</v>
      </c>
      <c r="R12" s="13">
        <f>'TUSD BE'!$R$12*'TUSD BF'!$R$70</f>
        <v>5.2627822833457625</v>
      </c>
      <c r="S12" s="13">
        <f>'TUSD BE'!$R$12*'TUSD BF'!$S$70</f>
        <v>0</v>
      </c>
      <c r="T12" s="13">
        <f ca="1">SUM($L$12:$S$12)</f>
        <v>30.364450593403831</v>
      </c>
      <c r="U12" s="13">
        <f>'TUSD BE'!$U$12*'TUSD BF'!$U$70</f>
        <v>0</v>
      </c>
      <c r="V12" s="13">
        <f>'TUSD BE'!$V$12*'TUSD BF'!$V$70</f>
        <v>0</v>
      </c>
      <c r="W12" s="13">
        <f>'TUSD BE'!$W$12*'TUSD BF'!$W$70</f>
        <v>0</v>
      </c>
      <c r="X12" s="13">
        <f>'TUSD BE'!$X$12*'TUSD BF'!$X$70</f>
        <v>0</v>
      </c>
      <c r="Y12" s="13">
        <f>'TUSD BE'!$Y$12*'TUSD BF'!$Y$70</f>
        <v>0</v>
      </c>
      <c r="Z12" s="13">
        <f>'TUSD BE'!$Z$12*'TUSD BF'!$Z$70</f>
        <v>0</v>
      </c>
      <c r="AA12" s="13">
        <f>'TUSD BE'!$AA$12*'TUSD BF'!$AA$70</f>
        <v>0</v>
      </c>
      <c r="AB12" s="13">
        <f>SUM($U$12:$AA$12)</f>
        <v>0</v>
      </c>
      <c r="AC12" s="13">
        <f>'TUSD BE'!$AC$12*'TUSD BF'!$AC$70</f>
        <v>0</v>
      </c>
      <c r="AD12" s="13">
        <f>SUM($AC$12:$AC$12)</f>
        <v>0</v>
      </c>
      <c r="AE12" s="13">
        <f ca="1">$AO$12*$AO$67</f>
        <v>0</v>
      </c>
      <c r="AF12" s="13">
        <f ca="1">$AP$12*$AP$67</f>
        <v>0</v>
      </c>
      <c r="AG12" s="13">
        <f ca="1">SUM($AE$12:$AF$12)</f>
        <v>0</v>
      </c>
      <c r="AH12" s="13">
        <f>'TUSD BE'!$AH$12*'TUSD BF'!$AH$70</f>
        <v>-0.58087014473073817</v>
      </c>
      <c r="AI12" s="13">
        <f>'TUSD BE'!$AI$12*'TUSD BF'!$AI$70</f>
        <v>-1.7092855041342652E-2</v>
      </c>
      <c r="AJ12" s="13">
        <f ca="1">'TUSD BE'!$AJ$12*'TUSD BF'!$AJ$70</f>
        <v>-5.2319684555639692E-2</v>
      </c>
      <c r="AK12" s="13">
        <f ca="1">'TUSD BE'!$AK$12*'TUSD BF'!$AK$70</f>
        <v>0</v>
      </c>
      <c r="AL12" s="13">
        <f ca="1">SUM($AH$12:$AK$12)</f>
        <v>-0.65028268432772052</v>
      </c>
      <c r="AM12" s="13">
        <f ca="1">SUMIF($L$4:$AL$4,"SUBTOTAL",$L$12:$AL$12)</f>
        <v>29.71416790907611</v>
      </c>
      <c r="AO12" s="20">
        <f ca="1">+'TUSD BE'!$T$12+'TUSD BE'!$AB$12+'TUSD BE'!$AD$12+'TUSD BE'!$AL$12</f>
        <v>118.35875181404104</v>
      </c>
      <c r="AP12" s="20">
        <f ca="1">+'TUSD BE'!$T$12+'TUSD BE'!$AB$12+'TUSD BE'!$AD$12+'TUSD BE'!$AL$12</f>
        <v>118.35875181404104</v>
      </c>
    </row>
    <row r="13" spans="1:42" ht="11.25" customHeight="1" x14ac:dyDescent="0.3">
      <c r="A13" s="137"/>
      <c r="B13" s="137"/>
      <c r="C13" s="137"/>
      <c r="D13" s="137"/>
      <c r="E13" s="137" t="s">
        <v>87</v>
      </c>
      <c r="F13" s="137" t="s">
        <v>25</v>
      </c>
      <c r="G13" s="18" t="s">
        <v>80</v>
      </c>
      <c r="H13" s="18" t="s">
        <v>79</v>
      </c>
      <c r="I13" s="18">
        <f>'MERCADO TUSD'!$U$10</f>
        <v>0</v>
      </c>
      <c r="J13" s="15"/>
      <c r="L13" s="13">
        <f>'TUSD BE'!$L$13*'TUSD BF'!$L$70</f>
        <v>0</v>
      </c>
      <c r="M13" s="13">
        <f>'TUSD BE'!$M$13*'TUSD BF'!$M$70</f>
        <v>0</v>
      </c>
      <c r="N13" s="13">
        <f ca="1">'TUSD BE'!$N$13*'TUSD BF'!$N$70</f>
        <v>0</v>
      </c>
      <c r="O13" s="13">
        <f>'TUSD BE'!$O$13*'TUSD BF'!$O$70</f>
        <v>0</v>
      </c>
      <c r="P13" s="13">
        <f>'TUSD BE'!$P$13*'TUSD BF'!$P$70</f>
        <v>0</v>
      </c>
      <c r="Q13" s="13">
        <f>'TUSD BE'!$Q$13*'TUSD BF'!$Q$70</f>
        <v>0</v>
      </c>
      <c r="R13" s="13">
        <f>'TUSD BE'!$R$13*'TUSD BF'!$R$70</f>
        <v>0</v>
      </c>
      <c r="S13" s="13">
        <f>'TUSD BE'!$R$13*'TUSD BF'!$S$70</f>
        <v>0</v>
      </c>
      <c r="T13" s="13">
        <f ca="1">SUM($L$13:$S$13)</f>
        <v>0</v>
      </c>
      <c r="U13" s="13">
        <f>'TUSD BE'!$U$13*'TUSD BF'!$U$70</f>
        <v>17.389946862637302</v>
      </c>
      <c r="V13" s="13">
        <f>'TUSD BE'!$V$13*'TUSD BF'!$V$70</f>
        <v>8.1161473851618027</v>
      </c>
      <c r="W13" s="13">
        <f>'TUSD BE'!$W$13*'TUSD BF'!$W$70</f>
        <v>0</v>
      </c>
      <c r="X13" s="13">
        <f>'TUSD BE'!$X$13*'TUSD BF'!$X$70</f>
        <v>0</v>
      </c>
      <c r="Y13" s="13">
        <f>'TUSD BE'!$Y$13*'TUSD BF'!$Y$70</f>
        <v>0</v>
      </c>
      <c r="Z13" s="13">
        <f>'TUSD BE'!$Z$13*'TUSD BF'!$Z$70</f>
        <v>0</v>
      </c>
      <c r="AA13" s="13">
        <f>'TUSD BE'!$AA$13*'TUSD BF'!$AA$70</f>
        <v>0</v>
      </c>
      <c r="AB13" s="13">
        <f>SUM($U$13:$AA$13)</f>
        <v>25.506094247799105</v>
      </c>
      <c r="AC13" s="13">
        <f>'TUSD BE'!$AC$13*'TUSD BF'!$AC$70</f>
        <v>0</v>
      </c>
      <c r="AD13" s="13">
        <f>SUM($AC$13:$AC$13)</f>
        <v>0</v>
      </c>
      <c r="AE13" s="13">
        <f ca="1">$AO$13*$AO$67</f>
        <v>0</v>
      </c>
      <c r="AF13" s="13">
        <f ca="1">$AP$13*$AP$67</f>
        <v>0</v>
      </c>
      <c r="AG13" s="13">
        <f ca="1">SUM($AE$13:$AF$13)</f>
        <v>0</v>
      </c>
      <c r="AH13" s="13">
        <f>'TUSD BE'!$AH$13*'TUSD BF'!$AH$70</f>
        <v>-0.58087014473073817</v>
      </c>
      <c r="AI13" s="13">
        <f>'TUSD BE'!$AI$13*'TUSD BF'!$AI$70</f>
        <v>-1.7092855041342652E-2</v>
      </c>
      <c r="AJ13" s="13">
        <f ca="1">'TUSD BE'!$AJ$13*'TUSD BF'!$AJ$70</f>
        <v>-5.2319684555639692E-2</v>
      </c>
      <c r="AK13" s="13">
        <f ca="1">'TUSD BE'!$AK$13*'TUSD BF'!$AK$70</f>
        <v>0</v>
      </c>
      <c r="AL13" s="13">
        <f ca="1">SUM($AH$13:$AK$13)</f>
        <v>-0.65028268432772052</v>
      </c>
      <c r="AM13" s="13">
        <f ca="1">SUMIF($L$4:$AL$4,"SUBTOTAL",$L$13:$AL$13)</f>
        <v>24.855811563471384</v>
      </c>
      <c r="AO13" s="20">
        <f ca="1">+'TUSD BE'!$T$13+'TUSD BE'!$AB$13+'TUSD BE'!$AD$13+'TUSD BE'!$AL$13</f>
        <v>1285.3935764685489</v>
      </c>
      <c r="AP13" s="20">
        <f ca="1">+'TUSD BE'!$T$13+'TUSD BE'!$AB$13+'TUSD BE'!$AD$13+'TUSD BE'!$AL$13</f>
        <v>1285.3935764685489</v>
      </c>
    </row>
    <row r="14" spans="1:42" ht="11.25" customHeight="1" x14ac:dyDescent="0.3">
      <c r="A14" s="137"/>
      <c r="B14" s="137"/>
      <c r="C14" s="137"/>
      <c r="D14" s="137"/>
      <c r="E14" s="137"/>
      <c r="F14" s="137"/>
      <c r="G14" s="18" t="s">
        <v>81</v>
      </c>
      <c r="H14" s="18" t="s">
        <v>79</v>
      </c>
      <c r="I14" s="18">
        <f>'MERCADO TUSD'!$U$11</f>
        <v>0</v>
      </c>
      <c r="J14" s="15"/>
      <c r="L14" s="13">
        <f>'TUSD BE'!$L$14*'TUSD BF'!$L$70</f>
        <v>0</v>
      </c>
      <c r="M14" s="13">
        <f>'TUSD BE'!$M$14*'TUSD BF'!$M$70</f>
        <v>0</v>
      </c>
      <c r="N14" s="13">
        <f ca="1">'TUSD BE'!$N$14*'TUSD BF'!$N$70</f>
        <v>0</v>
      </c>
      <c r="O14" s="13">
        <f>'TUSD BE'!$O$14*'TUSD BF'!$O$70</f>
        <v>0</v>
      </c>
      <c r="P14" s="13">
        <f>'TUSD BE'!$P$14*'TUSD BF'!$P$70</f>
        <v>0</v>
      </c>
      <c r="Q14" s="13">
        <f>'TUSD BE'!$Q$14*'TUSD BF'!$Q$70</f>
        <v>0</v>
      </c>
      <c r="R14" s="13">
        <f>'TUSD BE'!$R$14*'TUSD BF'!$R$70</f>
        <v>0</v>
      </c>
      <c r="S14" s="13">
        <f>'TUSD BE'!$R$14*'TUSD BF'!$S$70</f>
        <v>0</v>
      </c>
      <c r="T14" s="13">
        <f ca="1">SUM($L$14:$S$14)</f>
        <v>0</v>
      </c>
      <c r="U14" s="13">
        <f>'TUSD BE'!$U$14*'TUSD BF'!$U$70</f>
        <v>0</v>
      </c>
      <c r="V14" s="13">
        <f>'TUSD BE'!$V$14*'TUSD BF'!$V$70</f>
        <v>0</v>
      </c>
      <c r="W14" s="13">
        <f>'TUSD BE'!$W$14*'TUSD BF'!$W$70</f>
        <v>0</v>
      </c>
      <c r="X14" s="13">
        <f>'TUSD BE'!$X$14*'TUSD BF'!$X$70</f>
        <v>0</v>
      </c>
      <c r="Y14" s="13">
        <f>'TUSD BE'!$Y$14*'TUSD BF'!$Y$70</f>
        <v>0</v>
      </c>
      <c r="Z14" s="13">
        <f>'TUSD BE'!$Z$14*'TUSD BF'!$Z$70</f>
        <v>0</v>
      </c>
      <c r="AA14" s="13">
        <f>'TUSD BE'!$AA$14*'TUSD BF'!$AA$70</f>
        <v>0</v>
      </c>
      <c r="AB14" s="13">
        <f>SUM($U$14:$AA$14)</f>
        <v>0</v>
      </c>
      <c r="AC14" s="13">
        <f>'TUSD BE'!$AC$14*'TUSD BF'!$AC$70</f>
        <v>0</v>
      </c>
      <c r="AD14" s="13">
        <f>SUM($AC$14:$AC$14)</f>
        <v>0</v>
      </c>
      <c r="AE14" s="13">
        <f ca="1">$AO$14*$AO$67</f>
        <v>0</v>
      </c>
      <c r="AF14" s="13">
        <f ca="1">$AP$14*$AP$67</f>
        <v>0</v>
      </c>
      <c r="AG14" s="13">
        <f ca="1">SUM($AE$14:$AF$14)</f>
        <v>0</v>
      </c>
      <c r="AH14" s="13">
        <f>'TUSD BE'!$AH$14*'TUSD BF'!$AH$70</f>
        <v>-0.58087014473073817</v>
      </c>
      <c r="AI14" s="13">
        <f>'TUSD BE'!$AI$14*'TUSD BF'!$AI$70</f>
        <v>-1.7092855041342652E-2</v>
      </c>
      <c r="AJ14" s="13">
        <f ca="1">'TUSD BE'!$AJ$14*'TUSD BF'!$AJ$70</f>
        <v>-5.2319684555639692E-2</v>
      </c>
      <c r="AK14" s="13">
        <f ca="1">'TUSD BE'!$AK$14*'TUSD BF'!$AK$70</f>
        <v>0</v>
      </c>
      <c r="AL14" s="13">
        <f ca="1">SUM($AH$14:$AK$14)</f>
        <v>-0.65028268432772052</v>
      </c>
      <c r="AM14" s="13">
        <f ca="1">SUMIF($L$4:$AL$4,"SUBTOTAL",$L$14:$AL$14)</f>
        <v>-0.65028268432772052</v>
      </c>
      <c r="AO14" s="20">
        <f ca="1">+'TUSD BE'!$T$14+'TUSD BE'!$AB$14+'TUSD BE'!$AD$14+'TUSD BE'!$AL$14</f>
        <v>13.815947610236968</v>
      </c>
      <c r="AP14" s="20">
        <f ca="1">+'TUSD BE'!$T$14+'TUSD BE'!$AB$14+'TUSD BE'!$AD$14+'TUSD BE'!$AL$14</f>
        <v>13.815947610236968</v>
      </c>
    </row>
    <row r="15" spans="1:42" ht="11.25" customHeight="1" x14ac:dyDescent="0.3">
      <c r="A15" s="137"/>
      <c r="B15" s="137" t="s">
        <v>23</v>
      </c>
      <c r="C15" s="137" t="s">
        <v>25</v>
      </c>
      <c r="D15" s="137" t="s">
        <v>25</v>
      </c>
      <c r="E15" s="137" t="s">
        <v>25</v>
      </c>
      <c r="F15" s="137" t="s">
        <v>25</v>
      </c>
      <c r="G15" s="18" t="s">
        <v>9</v>
      </c>
      <c r="H15" s="18" t="s">
        <v>84</v>
      </c>
      <c r="I15" s="18">
        <f>'MERCADO TUSD'!$U$12</f>
        <v>0</v>
      </c>
      <c r="J15" s="15"/>
      <c r="L15" s="13">
        <f>'TUSD BE'!$L$15*'TUSD BF'!$L$70</f>
        <v>0</v>
      </c>
      <c r="M15" s="13">
        <f>'TUSD BE'!$M$15*'TUSD BF'!$M$70</f>
        <v>0</v>
      </c>
      <c r="N15" s="13">
        <f ca="1">'TUSD BE'!$N$15*'TUSD BF'!$N$70</f>
        <v>0</v>
      </c>
      <c r="O15" s="13">
        <f>'TUSD BE'!$O$15*'TUSD BF'!$O$70</f>
        <v>0</v>
      </c>
      <c r="P15" s="13">
        <f>'TUSD BE'!$P$15*'TUSD BF'!$P$70</f>
        <v>0</v>
      </c>
      <c r="Q15" s="13">
        <f>'TUSD BE'!$Q$15*'TUSD BF'!$Q$70</f>
        <v>0</v>
      </c>
      <c r="R15" s="13">
        <f>'TUSD BE'!$R$15*'TUSD BF'!$R$70</f>
        <v>0</v>
      </c>
      <c r="S15" s="13">
        <f>'TUSD BE'!$R$15*'TUSD BF'!$S$70</f>
        <v>0</v>
      </c>
      <c r="T15" s="13">
        <f ca="1">SUM($L$15:$S$15)</f>
        <v>0</v>
      </c>
      <c r="U15" s="13">
        <f>'TUSD BE'!$U$15*'TUSD BF'!$U$70</f>
        <v>0.9377548077874418</v>
      </c>
      <c r="V15" s="13">
        <f>'TUSD BE'!$V$15*'TUSD BF'!$V$70</f>
        <v>0.44463603033026344</v>
      </c>
      <c r="W15" s="13">
        <f>'TUSD BE'!$W$15*'TUSD BF'!$W$70</f>
        <v>0</v>
      </c>
      <c r="X15" s="13">
        <f>'TUSD BE'!$X$15*'TUSD BF'!$X$70</f>
        <v>0</v>
      </c>
      <c r="Y15" s="13">
        <f>'TUSD BE'!$Y$15*'TUSD BF'!$Y$70</f>
        <v>0</v>
      </c>
      <c r="Z15" s="13">
        <f>'TUSD BE'!$Z$15*'TUSD BF'!$Z$70</f>
        <v>0</v>
      </c>
      <c r="AA15" s="13">
        <f>'TUSD BE'!$AA$15*'TUSD BF'!$AA$70</f>
        <v>0</v>
      </c>
      <c r="AB15" s="13">
        <f>SUM($U$15:$AA$15)</f>
        <v>1.3823908381177052</v>
      </c>
      <c r="AC15" s="13">
        <f>'TUSD BE'!$AC$15*'TUSD BF'!$AC$70</f>
        <v>0</v>
      </c>
      <c r="AD15" s="13">
        <f>SUM($AC$15:$AC$15)</f>
        <v>0</v>
      </c>
      <c r="AE15" s="13">
        <f ca="1">$AO$15*$AO$67</f>
        <v>0</v>
      </c>
      <c r="AF15" s="13">
        <f ca="1">$AP$15*$AP$67</f>
        <v>0</v>
      </c>
      <c r="AG15" s="13">
        <f ca="1">SUM($AE$15:$AF$15)</f>
        <v>0</v>
      </c>
      <c r="AH15" s="13">
        <f>'TUSD BE'!$AH$15*'TUSD BF'!$AH$70</f>
        <v>0</v>
      </c>
      <c r="AI15" s="13">
        <f>'TUSD BE'!$AI$15*'TUSD BF'!$AI$70</f>
        <v>0</v>
      </c>
      <c r="AJ15" s="13">
        <f ca="1">'TUSD BE'!$AJ$15*'TUSD BF'!$AJ$70</f>
        <v>0</v>
      </c>
      <c r="AK15" s="13">
        <f ca="1">'TUSD BE'!$AK$15*'TUSD BF'!$AK$70</f>
        <v>0</v>
      </c>
      <c r="AL15" s="13">
        <f ca="1">SUM($AH$15:$AK$15)</f>
        <v>0</v>
      </c>
      <c r="AM15" s="13">
        <f ca="1">SUMIF($L$4:$AL$4,"SUBTOTAL",$L$15:$AL$15)</f>
        <v>1.3823908381177052</v>
      </c>
      <c r="AO15" s="20">
        <f ca="1">+'TUSD BE'!$T$15+'TUSD BE'!$AB$15+'TUSD BE'!$AD$15+'TUSD BE'!$AL$15</f>
        <v>59.431893178194599</v>
      </c>
      <c r="AP15" s="20">
        <f ca="1">+'TUSD BE'!$T$15+'TUSD BE'!$AB$15+'TUSD BE'!$AD$15+'TUSD BE'!$AL$15</f>
        <v>59.431893178194599</v>
      </c>
    </row>
    <row r="16" spans="1:42" ht="11.25" customHeight="1" x14ac:dyDescent="0.3">
      <c r="A16" s="137"/>
      <c r="B16" s="137"/>
      <c r="C16" s="137"/>
      <c r="D16" s="137"/>
      <c r="E16" s="137"/>
      <c r="F16" s="137"/>
      <c r="G16" s="18" t="s">
        <v>83</v>
      </c>
      <c r="H16" s="18" t="s">
        <v>79</v>
      </c>
      <c r="I16" s="18">
        <f>'MERCADO TUSD'!$U$13</f>
        <v>0</v>
      </c>
      <c r="J16" s="15"/>
      <c r="L16" s="13">
        <f>'TUSD BE'!$L$16*'TUSD BF'!$L$70</f>
        <v>0.77554598170252753</v>
      </c>
      <c r="M16" s="13">
        <f>'TUSD BE'!$M$16*'TUSD BF'!$M$70</f>
        <v>0</v>
      </c>
      <c r="N16" s="13">
        <f ca="1">'TUSD BE'!$N$16*'TUSD BF'!$N$70</f>
        <v>0</v>
      </c>
      <c r="O16" s="13">
        <f>'TUSD BE'!$O$16*'TUSD BF'!$O$70</f>
        <v>0</v>
      </c>
      <c r="P16" s="13">
        <f>'TUSD BE'!$P$16*'TUSD BF'!$P$70</f>
        <v>0</v>
      </c>
      <c r="Q16" s="13">
        <f>'TUSD BE'!$Q$16*'TUSD BF'!$Q$70</f>
        <v>24.326122328355538</v>
      </c>
      <c r="R16" s="13">
        <f>'TUSD BE'!$R$16*'TUSD BF'!$R$70</f>
        <v>5.2627822833457625</v>
      </c>
      <c r="S16" s="13">
        <f>'TUSD BE'!$R$16*'TUSD BF'!$S$70</f>
        <v>0</v>
      </c>
      <c r="T16" s="13">
        <f ca="1">SUM($L$16:$S$16)</f>
        <v>30.364450593403831</v>
      </c>
      <c r="U16" s="13">
        <f>'TUSD BE'!$U$16*'TUSD BF'!$U$70</f>
        <v>0</v>
      </c>
      <c r="V16" s="13">
        <f>'TUSD BE'!$V$16*'TUSD BF'!$V$70</f>
        <v>0</v>
      </c>
      <c r="W16" s="13">
        <f>'TUSD BE'!$W$16*'TUSD BF'!$W$70</f>
        <v>0</v>
      </c>
      <c r="X16" s="13">
        <f>'TUSD BE'!$X$16*'TUSD BF'!$X$70</f>
        <v>0</v>
      </c>
      <c r="Y16" s="13">
        <f>'TUSD BE'!$Y$16*'TUSD BF'!$Y$70</f>
        <v>0</v>
      </c>
      <c r="Z16" s="13">
        <f>'TUSD BE'!$Z$16*'TUSD BF'!$Z$70</f>
        <v>0</v>
      </c>
      <c r="AA16" s="13">
        <f>'TUSD BE'!$AA$16*'TUSD BF'!$AA$70</f>
        <v>0</v>
      </c>
      <c r="AB16" s="13">
        <f>SUM($U$16:$AA$16)</f>
        <v>0</v>
      </c>
      <c r="AC16" s="13">
        <f>'TUSD BE'!$AC$16*'TUSD BF'!$AC$70</f>
        <v>0</v>
      </c>
      <c r="AD16" s="13">
        <f>SUM($AC$16:$AC$16)</f>
        <v>0</v>
      </c>
      <c r="AE16" s="13">
        <f ca="1">$AO$16*$AO$67</f>
        <v>0</v>
      </c>
      <c r="AF16" s="13">
        <f ca="1">$AP$16*$AP$67</f>
        <v>0</v>
      </c>
      <c r="AG16" s="13">
        <f ca="1">SUM($AE$16:$AF$16)</f>
        <v>0</v>
      </c>
      <c r="AH16" s="13">
        <f>'TUSD BE'!$AH$16*'TUSD BF'!$AH$70</f>
        <v>-0.58087014473073817</v>
      </c>
      <c r="AI16" s="13">
        <f>'TUSD BE'!$AI$16*'TUSD BF'!$AI$70</f>
        <v>-1.7092855041342652E-2</v>
      </c>
      <c r="AJ16" s="13">
        <f ca="1">'TUSD BE'!$AJ$16*'TUSD BF'!$AJ$70</f>
        <v>-5.2319684555639692E-2</v>
      </c>
      <c r="AK16" s="13">
        <f ca="1">'TUSD BE'!$AK$16*'TUSD BF'!$AK$70</f>
        <v>0</v>
      </c>
      <c r="AL16" s="13">
        <f ca="1">SUM($AH$16:$AK$16)</f>
        <v>-0.65028268432772052</v>
      </c>
      <c r="AM16" s="13">
        <f ca="1">SUMIF($L$4:$AL$4,"SUBTOTAL",$L$16:$AL$16)</f>
        <v>29.71416790907611</v>
      </c>
      <c r="AO16" s="20">
        <f ca="1">+'TUSD BE'!$T$16+'TUSD BE'!$AB$16+'TUSD BE'!$AD$16+'TUSD BE'!$AL$16</f>
        <v>118.35875181404104</v>
      </c>
      <c r="AP16" s="20">
        <f ca="1">+'TUSD BE'!$T$16+'TUSD BE'!$AB$16+'TUSD BE'!$AD$16+'TUSD BE'!$AL$16</f>
        <v>118.35875181404104</v>
      </c>
    </row>
    <row r="17" spans="1:42" ht="11.25" customHeight="1" x14ac:dyDescent="0.3">
      <c r="A17" s="137" t="s">
        <v>39</v>
      </c>
      <c r="B17" s="137" t="s">
        <v>42</v>
      </c>
      <c r="C17" s="137" t="s">
        <v>25</v>
      </c>
      <c r="D17" s="137" t="s">
        <v>25</v>
      </c>
      <c r="E17" s="137" t="s">
        <v>25</v>
      </c>
      <c r="F17" s="137" t="s">
        <v>25</v>
      </c>
      <c r="G17" s="18" t="s">
        <v>85</v>
      </c>
      <c r="H17" s="18" t="s">
        <v>84</v>
      </c>
      <c r="I17" s="18">
        <f>'MERCADO TUSD'!$U$14</f>
        <v>6798</v>
      </c>
      <c r="J17" s="15"/>
      <c r="L17" s="13">
        <f>'TUSD BE'!$L$17*'TUSD BF'!$L$70</f>
        <v>0</v>
      </c>
      <c r="M17" s="13">
        <f>'TUSD BE'!$M$17*'TUSD BF'!$M$70</f>
        <v>0</v>
      </c>
      <c r="N17" s="13">
        <f ca="1">'TUSD BE'!$N$17*'TUSD BF'!$N$70</f>
        <v>0</v>
      </c>
      <c r="O17" s="13">
        <f>'TUSD BE'!$O$17*'TUSD BF'!$O$70</f>
        <v>0</v>
      </c>
      <c r="P17" s="13">
        <f>'TUSD BE'!$P$17*'TUSD BF'!$P$70</f>
        <v>0</v>
      </c>
      <c r="Q17" s="13">
        <f>'TUSD BE'!$Q$17*'TUSD BF'!$Q$70</f>
        <v>0</v>
      </c>
      <c r="R17" s="13">
        <f>'TUSD BE'!$R$17*'TUSD BF'!$R$70</f>
        <v>0</v>
      </c>
      <c r="S17" s="13">
        <f>'TUSD BE'!$R$17*'TUSD BF'!$S$70</f>
        <v>0</v>
      </c>
      <c r="T17" s="13">
        <f ca="1">SUM($L$17:$S$17)</f>
        <v>0</v>
      </c>
      <c r="U17" s="13">
        <f>'TUSD BE'!$U$17*'TUSD BF'!$U$70</f>
        <v>0.7230751583449061</v>
      </c>
      <c r="V17" s="13">
        <f>'TUSD BE'!$V$17*'TUSD BF'!$V$70</f>
        <v>0.33747216678343461</v>
      </c>
      <c r="W17" s="13">
        <f>'TUSD BE'!$W$17*'TUSD BF'!$W$70</f>
        <v>0</v>
      </c>
      <c r="X17" s="13">
        <f>'TUSD BE'!$X$17*'TUSD BF'!$X$70</f>
        <v>0</v>
      </c>
      <c r="Y17" s="13">
        <f>'TUSD BE'!$Y$17*'TUSD BF'!$Y$70</f>
        <v>0</v>
      </c>
      <c r="Z17" s="13">
        <f>'TUSD BE'!$Z$17*'TUSD BF'!$Z$70</f>
        <v>0</v>
      </c>
      <c r="AA17" s="13">
        <f>'TUSD BE'!$AA$17*'TUSD BF'!$AA$70</f>
        <v>0</v>
      </c>
      <c r="AB17" s="13">
        <f>SUM($U$17:$AA$17)</f>
        <v>1.0605473251283408</v>
      </c>
      <c r="AC17" s="13">
        <f>'TUSD BE'!$AC$17*'TUSD BF'!$AC$70</f>
        <v>0</v>
      </c>
      <c r="AD17" s="13">
        <f>SUM($AC$17:$AC$17)</f>
        <v>0</v>
      </c>
      <c r="AE17" s="13">
        <f ca="1">$AO$17*$AO$67</f>
        <v>0</v>
      </c>
      <c r="AF17" s="13">
        <f ca="1">$AP$17*$AP$67</f>
        <v>0</v>
      </c>
      <c r="AG17" s="13">
        <f ca="1">SUM($AE$17:$AF$17)</f>
        <v>0</v>
      </c>
      <c r="AH17" s="13">
        <f>'TUSD BE'!$AH$17*'TUSD BF'!$AH$70</f>
        <v>0</v>
      </c>
      <c r="AI17" s="13">
        <f>'TUSD BE'!$AI$17*'TUSD BF'!$AI$70</f>
        <v>0</v>
      </c>
      <c r="AJ17" s="13">
        <f ca="1">'TUSD BE'!$AJ$17*'TUSD BF'!$AJ$70</f>
        <v>0</v>
      </c>
      <c r="AK17" s="13">
        <f ca="1">'TUSD BE'!$AK$17*'TUSD BF'!$AK$70</f>
        <v>0</v>
      </c>
      <c r="AL17" s="13">
        <f ca="1">SUM($AH$17:$AK$17)</f>
        <v>0</v>
      </c>
      <c r="AM17" s="13">
        <f ca="1">SUMIF($L$4:$AL$4,"SUBTOTAL",$L$17:$AL$17)</f>
        <v>1.0605473251283408</v>
      </c>
      <c r="AO17" s="20">
        <f ca="1">+'TUSD BE'!$T$17+'TUSD BE'!$AB$17+'TUSD BE'!$AD$17+'TUSD BE'!$AL$17</f>
        <v>52.338742572566609</v>
      </c>
      <c r="AP17" s="20">
        <f ca="1">+'TUSD BE'!$T$17+'TUSD BE'!$AB$17+'TUSD BE'!$AD$17+'TUSD BE'!$AL$17</f>
        <v>52.338742572566609</v>
      </c>
    </row>
    <row r="18" spans="1:42" ht="11.25" customHeight="1" x14ac:dyDescent="0.3">
      <c r="A18" s="137"/>
      <c r="B18" s="137"/>
      <c r="C18" s="137"/>
      <c r="D18" s="137"/>
      <c r="E18" s="137"/>
      <c r="F18" s="137"/>
      <c r="G18" s="18" t="s">
        <v>86</v>
      </c>
      <c r="H18" s="18" t="s">
        <v>84</v>
      </c>
      <c r="I18" s="18">
        <f>'MERCADO TUSD'!$U$15</f>
        <v>6877</v>
      </c>
      <c r="J18" s="15"/>
      <c r="L18" s="13">
        <f>'TUSD BE'!$L$18*'TUSD BF'!$L$70</f>
        <v>0</v>
      </c>
      <c r="M18" s="13">
        <f>'TUSD BE'!$M$18*'TUSD BF'!$M$70</f>
        <v>0</v>
      </c>
      <c r="N18" s="13">
        <f ca="1">'TUSD BE'!$N$18*'TUSD BF'!$N$70</f>
        <v>0</v>
      </c>
      <c r="O18" s="13">
        <f>'TUSD BE'!$O$18*'TUSD BF'!$O$70</f>
        <v>0</v>
      </c>
      <c r="P18" s="13">
        <f>'TUSD BE'!$P$18*'TUSD BF'!$P$70</f>
        <v>0</v>
      </c>
      <c r="Q18" s="13">
        <f>'TUSD BE'!$Q$18*'TUSD BF'!$Q$70</f>
        <v>0</v>
      </c>
      <c r="R18" s="13">
        <f>'TUSD BE'!$R$18*'TUSD BF'!$R$70</f>
        <v>0</v>
      </c>
      <c r="S18" s="13">
        <f>'TUSD BE'!$R$18*'TUSD BF'!$S$70</f>
        <v>0</v>
      </c>
      <c r="T18" s="13">
        <f ca="1">SUM($L$18:$S$18)</f>
        <v>0</v>
      </c>
      <c r="U18" s="13">
        <f>'TUSD BE'!$U$18*'TUSD BF'!$U$70</f>
        <v>0.41714259521158786</v>
      </c>
      <c r="V18" s="13">
        <f>'TUSD BE'!$V$18*'TUSD BF'!$V$70</f>
        <v>0.20165831510324309</v>
      </c>
      <c r="W18" s="13">
        <f>'TUSD BE'!$W$18*'TUSD BF'!$W$70</f>
        <v>0</v>
      </c>
      <c r="X18" s="13">
        <f>'TUSD BE'!$X$18*'TUSD BF'!$X$70</f>
        <v>0</v>
      </c>
      <c r="Y18" s="13">
        <f>'TUSD BE'!$Y$18*'TUSD BF'!$Y$70</f>
        <v>0</v>
      </c>
      <c r="Z18" s="13">
        <f>'TUSD BE'!$Z$18*'TUSD BF'!$Z$70</f>
        <v>0</v>
      </c>
      <c r="AA18" s="13">
        <f>'TUSD BE'!$AA$18*'TUSD BF'!$AA$70</f>
        <v>0</v>
      </c>
      <c r="AB18" s="13">
        <f>SUM($U$18:$AA$18)</f>
        <v>0.61880091031483098</v>
      </c>
      <c r="AC18" s="13">
        <f>'TUSD BE'!$AC$18*'TUSD BF'!$AC$70</f>
        <v>0</v>
      </c>
      <c r="AD18" s="13">
        <f>SUM($AC$18:$AC$18)</f>
        <v>0</v>
      </c>
      <c r="AE18" s="13">
        <f ca="1">$AO$18*$AO$67</f>
        <v>0</v>
      </c>
      <c r="AF18" s="13">
        <f ca="1">$AP$18*$AP$67</f>
        <v>0</v>
      </c>
      <c r="AG18" s="13">
        <f ca="1">SUM($AE$18:$AF$18)</f>
        <v>0</v>
      </c>
      <c r="AH18" s="13">
        <f>'TUSD BE'!$AH$18*'TUSD BF'!$AH$70</f>
        <v>0</v>
      </c>
      <c r="AI18" s="13">
        <f>'TUSD BE'!$AI$18*'TUSD BF'!$AI$70</f>
        <v>0</v>
      </c>
      <c r="AJ18" s="13">
        <f ca="1">'TUSD BE'!$AJ$18*'TUSD BF'!$AJ$70</f>
        <v>0</v>
      </c>
      <c r="AK18" s="13">
        <f ca="1">'TUSD BE'!$AK$18*'TUSD BF'!$AK$70</f>
        <v>0</v>
      </c>
      <c r="AL18" s="13">
        <f ca="1">SUM($AH$18:$AK$18)</f>
        <v>0</v>
      </c>
      <c r="AM18" s="13">
        <f ca="1">SUMIF($L$4:$AL$4,"SUBTOTAL",$L$18:$AL$18)</f>
        <v>0.61880091031483098</v>
      </c>
      <c r="AO18" s="20">
        <f ca="1">+'TUSD BE'!$T$18+'TUSD BE'!$AB$18+'TUSD BE'!$AD$18+'TUSD BE'!$AL$18</f>
        <v>21.748036760622899</v>
      </c>
      <c r="AP18" s="20">
        <f ca="1">+'TUSD BE'!$T$18+'TUSD BE'!$AB$18+'TUSD BE'!$AD$18+'TUSD BE'!$AL$18</f>
        <v>21.748036760622899</v>
      </c>
    </row>
    <row r="19" spans="1:42" ht="11.25" customHeight="1" x14ac:dyDescent="0.3">
      <c r="A19" s="137"/>
      <c r="B19" s="137"/>
      <c r="C19" s="137"/>
      <c r="D19" s="137"/>
      <c r="E19" s="137"/>
      <c r="F19" s="137"/>
      <c r="G19" s="18" t="s">
        <v>83</v>
      </c>
      <c r="H19" s="18" t="s">
        <v>79</v>
      </c>
      <c r="I19" s="18">
        <f>'MERCADO TUSD'!$U$16</f>
        <v>3550.4059999999995</v>
      </c>
      <c r="J19" s="15"/>
      <c r="L19" s="13">
        <f>'TUSD BE'!$L$19*'TUSD BF'!$L$70</f>
        <v>0.77554598170252753</v>
      </c>
      <c r="M19" s="13">
        <f>'TUSD BE'!$M$19*'TUSD BF'!$M$70</f>
        <v>0</v>
      </c>
      <c r="N19" s="13">
        <f ca="1">'TUSD BE'!$N$19*'TUSD BF'!$N$70</f>
        <v>0</v>
      </c>
      <c r="O19" s="13">
        <f>'TUSD BE'!$O$19*'TUSD BF'!$O$70</f>
        <v>0</v>
      </c>
      <c r="P19" s="13">
        <f>'TUSD BE'!$P$19*'TUSD BF'!$P$70</f>
        <v>0</v>
      </c>
      <c r="Q19" s="13">
        <f>'TUSD BE'!$Q$19*'TUSD BF'!$Q$70</f>
        <v>24.326122328355538</v>
      </c>
      <c r="R19" s="13">
        <f>'TUSD BE'!$R$19*'TUSD BF'!$R$70</f>
        <v>5.2627822833457625</v>
      </c>
      <c r="S19" s="13">
        <f>'TUSD BE'!$R$19*'TUSD BF'!$S$70</f>
        <v>0</v>
      </c>
      <c r="T19" s="13">
        <f ca="1">SUM($L$19:$S$19)</f>
        <v>30.364450593403831</v>
      </c>
      <c r="U19" s="13">
        <f>'TUSD BE'!$U$19*'TUSD BF'!$U$70</f>
        <v>0</v>
      </c>
      <c r="V19" s="13">
        <f>'TUSD BE'!$V$19*'TUSD BF'!$V$70</f>
        <v>0</v>
      </c>
      <c r="W19" s="13">
        <f>'TUSD BE'!$W$19*'TUSD BF'!$W$70</f>
        <v>0</v>
      </c>
      <c r="X19" s="13">
        <f>'TUSD BE'!$X$19*'TUSD BF'!$X$70</f>
        <v>0</v>
      </c>
      <c r="Y19" s="13">
        <f>'TUSD BE'!$Y$19*'TUSD BF'!$Y$70</f>
        <v>0</v>
      </c>
      <c r="Z19" s="13">
        <f>'TUSD BE'!$Z$19*'TUSD BF'!$Z$70</f>
        <v>0</v>
      </c>
      <c r="AA19" s="13">
        <f>'TUSD BE'!$AA$19*'TUSD BF'!$AA$70</f>
        <v>0</v>
      </c>
      <c r="AB19" s="13">
        <f>SUM($U$19:$AA$19)</f>
        <v>0</v>
      </c>
      <c r="AC19" s="13">
        <f>'TUSD BE'!$AC$19*'TUSD BF'!$AC$70</f>
        <v>0</v>
      </c>
      <c r="AD19" s="13">
        <f>SUM($AC$19:$AC$19)</f>
        <v>0</v>
      </c>
      <c r="AE19" s="13">
        <f ca="1">$AO$19*$AO$67</f>
        <v>0</v>
      </c>
      <c r="AF19" s="13">
        <f ca="1">$AP$19*$AP$67</f>
        <v>0</v>
      </c>
      <c r="AG19" s="13">
        <f ca="1">SUM($AE$19:$AF$19)</f>
        <v>0</v>
      </c>
      <c r="AH19" s="13">
        <f>'TUSD BE'!$AH$19*'TUSD BF'!$AH$70</f>
        <v>-0.58087014473073817</v>
      </c>
      <c r="AI19" s="13">
        <f>'TUSD BE'!$AI$19*'TUSD BF'!$AI$70</f>
        <v>-1.7092855041342652E-2</v>
      </c>
      <c r="AJ19" s="13">
        <f ca="1">'TUSD BE'!$AJ$19*'TUSD BF'!$AJ$70</f>
        <v>-5.2319684555639692E-2</v>
      </c>
      <c r="AK19" s="13">
        <f ca="1">'TUSD BE'!$AK$19*'TUSD BF'!$AK$70</f>
        <v>0</v>
      </c>
      <c r="AL19" s="13">
        <f ca="1">SUM($AH$19:$AK$19)</f>
        <v>-0.65028268432772052</v>
      </c>
      <c r="AM19" s="13">
        <f ca="1">SUMIF($L$4:$AL$4,"SUBTOTAL",$L$19:$AL$19)</f>
        <v>29.71416790907611</v>
      </c>
      <c r="AO19" s="20">
        <f ca="1">+'TUSD BE'!$T$19+'TUSD BE'!$AB$19+'TUSD BE'!$AD$19+'TUSD BE'!$AL$19</f>
        <v>118.35875181404104</v>
      </c>
      <c r="AP19" s="20">
        <f ca="1">+'TUSD BE'!$T$19+'TUSD BE'!$AB$19+'TUSD BE'!$AD$19+'TUSD BE'!$AL$19</f>
        <v>118.35875181404104</v>
      </c>
    </row>
    <row r="20" spans="1:42" ht="11.25" customHeight="1" x14ac:dyDescent="0.3">
      <c r="A20" s="137"/>
      <c r="B20" s="137"/>
      <c r="C20" s="137"/>
      <c r="D20" s="137"/>
      <c r="E20" s="17" t="s">
        <v>87</v>
      </c>
      <c r="F20" s="17" t="s">
        <v>25</v>
      </c>
      <c r="G20" s="18" t="s">
        <v>83</v>
      </c>
      <c r="H20" s="18" t="s">
        <v>79</v>
      </c>
      <c r="I20" s="18">
        <f>'MERCADO TUSD'!$U$17</f>
        <v>0</v>
      </c>
      <c r="J20" s="15"/>
      <c r="L20" s="13">
        <f>'TUSD BE'!$L$20*'TUSD BF'!$L$70</f>
        <v>0</v>
      </c>
      <c r="M20" s="13">
        <f>'TUSD BE'!$M$20*'TUSD BF'!$M$70</f>
        <v>0</v>
      </c>
      <c r="N20" s="13">
        <f ca="1">'TUSD BE'!$N$20*'TUSD BF'!$N$70</f>
        <v>0</v>
      </c>
      <c r="O20" s="13">
        <f>'TUSD BE'!$O$20*'TUSD BF'!$O$70</f>
        <v>0</v>
      </c>
      <c r="P20" s="13">
        <f>'TUSD BE'!$P$20*'TUSD BF'!$P$70</f>
        <v>0</v>
      </c>
      <c r="Q20" s="13">
        <f>'TUSD BE'!$Q$20*'TUSD BF'!$Q$70</f>
        <v>0</v>
      </c>
      <c r="R20" s="13">
        <f>'TUSD BE'!$R$20*'TUSD BF'!$R$70</f>
        <v>0</v>
      </c>
      <c r="S20" s="13">
        <f>'TUSD BE'!$R$20*'TUSD BF'!$S$70</f>
        <v>0</v>
      </c>
      <c r="T20" s="13">
        <f ca="1">SUM($L$20:$S$20)</f>
        <v>0</v>
      </c>
      <c r="U20" s="13">
        <f>'TUSD BE'!$U$20*'TUSD BF'!$U$70</f>
        <v>0</v>
      </c>
      <c r="V20" s="13">
        <f>'TUSD BE'!$V$20*'TUSD BF'!$V$70</f>
        <v>0</v>
      </c>
      <c r="W20" s="13">
        <f>'TUSD BE'!$W$20*'TUSD BF'!$W$70</f>
        <v>0</v>
      </c>
      <c r="X20" s="13">
        <f>'TUSD BE'!$X$20*'TUSD BF'!$X$70</f>
        <v>0</v>
      </c>
      <c r="Y20" s="13">
        <f>'TUSD BE'!$Y$20*'TUSD BF'!$Y$70</f>
        <v>0</v>
      </c>
      <c r="Z20" s="13">
        <f>'TUSD BE'!$Z$20*'TUSD BF'!$Z$70</f>
        <v>0</v>
      </c>
      <c r="AA20" s="13">
        <f>'TUSD BE'!$AA$20*'TUSD BF'!$AA$70</f>
        <v>0</v>
      </c>
      <c r="AB20" s="13">
        <f>SUM($U$20:$AA$20)</f>
        <v>0</v>
      </c>
      <c r="AC20" s="13">
        <f>'TUSD BE'!$AC$20*'TUSD BF'!$AC$70</f>
        <v>0</v>
      </c>
      <c r="AD20" s="13">
        <f>SUM($AC$20:$AC$20)</f>
        <v>0</v>
      </c>
      <c r="AE20" s="13">
        <f ca="1">$AO$20*$AO$67</f>
        <v>0</v>
      </c>
      <c r="AF20" s="13">
        <f ca="1">$AP$20*$AP$67</f>
        <v>0</v>
      </c>
      <c r="AG20" s="13">
        <f ca="1">SUM($AE$20:$AF$20)</f>
        <v>0</v>
      </c>
      <c r="AH20" s="13">
        <f>'TUSD BE'!$AH$20*'TUSD BF'!$AH$70</f>
        <v>-0.58087014473073817</v>
      </c>
      <c r="AI20" s="13">
        <f>'TUSD BE'!$AI$20*'TUSD BF'!$AI$70</f>
        <v>-1.7092855041342652E-2</v>
      </c>
      <c r="AJ20" s="13">
        <f ca="1">'TUSD BE'!$AJ$20*'TUSD BF'!$AJ$70</f>
        <v>-5.2319684555639692E-2</v>
      </c>
      <c r="AK20" s="13">
        <f ca="1">'TUSD BE'!$AK$20*'TUSD BF'!$AK$70</f>
        <v>0</v>
      </c>
      <c r="AL20" s="13">
        <f ca="1">SUM($AH$20:$AK$20)</f>
        <v>-0.65028268432772052</v>
      </c>
      <c r="AM20" s="13">
        <f ca="1">SUMIF($L$4:$AL$4,"SUBTOTAL",$L$20:$AL$20)</f>
        <v>-0.65028268432772052</v>
      </c>
      <c r="AO20" s="20">
        <f ca="1">+'TUSD BE'!$T$20+'TUSD BE'!$AB$20+'TUSD BE'!$AD$20+'TUSD BE'!$AL$20</f>
        <v>13.815947610236968</v>
      </c>
      <c r="AP20" s="20">
        <f ca="1">+'TUSD BE'!$T$20+'TUSD BE'!$AB$20+'TUSD BE'!$AD$20+'TUSD BE'!$AL$20</f>
        <v>13.815947610236968</v>
      </c>
    </row>
    <row r="21" spans="1:42" ht="11.25" customHeight="1" x14ac:dyDescent="0.3">
      <c r="A21" s="137"/>
      <c r="B21" s="17" t="s">
        <v>60</v>
      </c>
      <c r="C21" s="17" t="s">
        <v>25</v>
      </c>
      <c r="D21" s="17" t="s">
        <v>25</v>
      </c>
      <c r="E21" s="17" t="s">
        <v>25</v>
      </c>
      <c r="F21" s="17" t="s">
        <v>25</v>
      </c>
      <c r="G21" s="18" t="s">
        <v>9</v>
      </c>
      <c r="H21" s="18" t="s">
        <v>84</v>
      </c>
      <c r="I21" s="18">
        <f>'MERCADO TUSD'!$U$18</f>
        <v>0</v>
      </c>
      <c r="J21" s="15"/>
      <c r="L21" s="13">
        <f>'TUSD BE'!$L$21*'TUSD BF'!$L$70</f>
        <v>0</v>
      </c>
      <c r="M21" s="13">
        <f>'TUSD BE'!$M$21*'TUSD BF'!$M$70</f>
        <v>0</v>
      </c>
      <c r="N21" s="13">
        <f ca="1">'TUSD BE'!$N$21*'TUSD BF'!$N$70</f>
        <v>0</v>
      </c>
      <c r="O21" s="13">
        <f>'TUSD BE'!$O$21*'TUSD BF'!$O$70</f>
        <v>0</v>
      </c>
      <c r="P21" s="13">
        <f>'TUSD BE'!$P$21*'TUSD BF'!$P$70</f>
        <v>0</v>
      </c>
      <c r="Q21" s="13">
        <f>'TUSD BE'!$Q$21*'TUSD BF'!$Q$70</f>
        <v>0</v>
      </c>
      <c r="R21" s="13">
        <f>'TUSD BE'!$R$21*'TUSD BF'!$R$70</f>
        <v>0</v>
      </c>
      <c r="S21" s="13">
        <f>'TUSD BE'!$R$21*'TUSD BF'!$S$70</f>
        <v>0</v>
      </c>
      <c r="T21" s="13">
        <f ca="1">SUM($L$21:$S$21)</f>
        <v>0</v>
      </c>
      <c r="U21" s="13">
        <f>'TUSD BE'!$U$21*'TUSD BF'!$U$70</f>
        <v>0</v>
      </c>
      <c r="V21" s="13">
        <f>'TUSD BE'!$V$21*'TUSD BF'!$V$70</f>
        <v>0</v>
      </c>
      <c r="W21" s="13">
        <f>'TUSD BE'!$W$21*'TUSD BF'!$W$70</f>
        <v>0</v>
      </c>
      <c r="X21" s="13">
        <f>'TUSD BE'!$X$21*'TUSD BF'!$X$70</f>
        <v>0</v>
      </c>
      <c r="Y21" s="13">
        <f>'TUSD BE'!$Y$21*'TUSD BF'!$Y$70</f>
        <v>0</v>
      </c>
      <c r="Z21" s="13">
        <f>'TUSD BE'!$Z$21*'TUSD BF'!$Z$70</f>
        <v>0</v>
      </c>
      <c r="AA21" s="13">
        <f>'TUSD BE'!$AA$21*'TUSD BF'!$AA$70</f>
        <v>0</v>
      </c>
      <c r="AB21" s="13">
        <f>SUM($U$21:$AA$21)</f>
        <v>0</v>
      </c>
      <c r="AC21" s="13">
        <f>'TUSD BE'!$AC$21*'TUSD BF'!$AC$70</f>
        <v>0</v>
      </c>
      <c r="AD21" s="13">
        <f>SUM($AC$21:$AC$21)</f>
        <v>0</v>
      </c>
      <c r="AE21" s="13">
        <f ca="1">$AO$21*$AO$67</f>
        <v>0</v>
      </c>
      <c r="AF21" s="13">
        <f ca="1">$AP$21*$AP$67</f>
        <v>0</v>
      </c>
      <c r="AG21" s="13">
        <f ca="1">SUM($AE$21:$AF$21)</f>
        <v>0</v>
      </c>
      <c r="AH21" s="13">
        <f>'TUSD BE'!$AH$21*'TUSD BF'!$AH$70</f>
        <v>-3.4337880067934431E-4</v>
      </c>
      <c r="AI21" s="13">
        <f>'TUSD BE'!$AI$21*'TUSD BF'!$AI$70</f>
        <v>0</v>
      </c>
      <c r="AJ21" s="13">
        <f ca="1">'TUSD BE'!$AJ$21*'TUSD BF'!$AJ$70</f>
        <v>0</v>
      </c>
      <c r="AK21" s="13">
        <f ca="1">'TUSD BE'!$AK$21*'TUSD BF'!$AK$70</f>
        <v>0</v>
      </c>
      <c r="AL21" s="13">
        <f ca="1">SUM($AH$21:$AK$21)</f>
        <v>-3.4337880067934431E-4</v>
      </c>
      <c r="AM21" s="13">
        <f ca="1">SUMIF($L$4:$AL$4,"SUBTOTAL",$L$21:$AL$21)</f>
        <v>-3.4337880067934431E-4</v>
      </c>
      <c r="AO21" s="20">
        <f ca="1">+'TUSD BE'!$T$21+'TUSD BE'!$AB$21+'TUSD BE'!$AD$21+'TUSD BE'!$AL$21</f>
        <v>12.997699191825177</v>
      </c>
      <c r="AP21" s="20">
        <f ca="1">+'TUSD BE'!$T$21+'TUSD BE'!$AB$21+'TUSD BE'!$AD$21+'TUSD BE'!$AL$21</f>
        <v>12.997699191825177</v>
      </c>
    </row>
    <row r="22" spans="1:42" ht="11.25" customHeight="1" x14ac:dyDescent="0.3">
      <c r="A22" s="137"/>
      <c r="B22" s="137" t="s">
        <v>40</v>
      </c>
      <c r="C22" s="137" t="s">
        <v>25</v>
      </c>
      <c r="D22" s="137" t="s">
        <v>25</v>
      </c>
      <c r="E22" s="137" t="s">
        <v>25</v>
      </c>
      <c r="F22" s="137" t="s">
        <v>25</v>
      </c>
      <c r="G22" s="18" t="s">
        <v>9</v>
      </c>
      <c r="H22" s="18" t="s">
        <v>84</v>
      </c>
      <c r="I22" s="18">
        <f>'MERCADO TUSD'!$U$19</f>
        <v>125381</v>
      </c>
      <c r="J22" s="15"/>
      <c r="L22" s="13">
        <f>'TUSD BE'!$L$22*'TUSD BF'!$L$70</f>
        <v>0</v>
      </c>
      <c r="M22" s="13">
        <f>'TUSD BE'!$M$22*'TUSD BF'!$M$70</f>
        <v>0</v>
      </c>
      <c r="N22" s="13">
        <f ca="1">'TUSD BE'!$N$22*'TUSD BF'!$N$70</f>
        <v>0</v>
      </c>
      <c r="O22" s="13">
        <f>'TUSD BE'!$O$22*'TUSD BF'!$O$70</f>
        <v>0</v>
      </c>
      <c r="P22" s="13">
        <f>'TUSD BE'!$P$22*'TUSD BF'!$P$70</f>
        <v>0</v>
      </c>
      <c r="Q22" s="13">
        <f>'TUSD BE'!$Q$22*'TUSD BF'!$Q$70</f>
        <v>0</v>
      </c>
      <c r="R22" s="13">
        <f>'TUSD BE'!$R$22*'TUSD BF'!$R$70</f>
        <v>0</v>
      </c>
      <c r="S22" s="13">
        <f>'TUSD BE'!$R$22*'TUSD BF'!$S$70</f>
        <v>0</v>
      </c>
      <c r="T22" s="13">
        <f ca="1">SUM($L$22:$S$22)</f>
        <v>0</v>
      </c>
      <c r="U22" s="13">
        <f>'TUSD BE'!$U$22*'TUSD BF'!$U$70</f>
        <v>0.41714259521158786</v>
      </c>
      <c r="V22" s="13">
        <f>'TUSD BE'!$V$22*'TUSD BF'!$V$70</f>
        <v>0.20165831510324309</v>
      </c>
      <c r="W22" s="13">
        <f>'TUSD BE'!$W$22*'TUSD BF'!$W$70</f>
        <v>0</v>
      </c>
      <c r="X22" s="13">
        <f>'TUSD BE'!$X$22*'TUSD BF'!$X$70</f>
        <v>0</v>
      </c>
      <c r="Y22" s="13">
        <f>'TUSD BE'!$Y$22*'TUSD BF'!$Y$70</f>
        <v>0</v>
      </c>
      <c r="Z22" s="13">
        <f>'TUSD BE'!$Z$22*'TUSD BF'!$Z$70</f>
        <v>0</v>
      </c>
      <c r="AA22" s="13">
        <f>'TUSD BE'!$AA$22*'TUSD BF'!$AA$70</f>
        <v>0</v>
      </c>
      <c r="AB22" s="13">
        <f>SUM($U$22:$AA$22)</f>
        <v>0.61880091031483098</v>
      </c>
      <c r="AC22" s="13">
        <f>'TUSD BE'!$AC$22*'TUSD BF'!$AC$70</f>
        <v>0</v>
      </c>
      <c r="AD22" s="13">
        <f>SUM($AC$22:$AC$22)</f>
        <v>0</v>
      </c>
      <c r="AE22" s="13">
        <f ca="1">$AO$22*$AO$67</f>
        <v>0</v>
      </c>
      <c r="AF22" s="13">
        <f ca="1">$AP$22*$AP$67</f>
        <v>0</v>
      </c>
      <c r="AG22" s="13">
        <f ca="1">SUM($AE$22:$AF$22)</f>
        <v>0</v>
      </c>
      <c r="AH22" s="13">
        <f>'TUSD BE'!$AH$22*'TUSD BF'!$AH$70</f>
        <v>0</v>
      </c>
      <c r="AI22" s="13">
        <f>'TUSD BE'!$AI$22*'TUSD BF'!$AI$70</f>
        <v>0</v>
      </c>
      <c r="AJ22" s="13">
        <f ca="1">'TUSD BE'!$AJ$22*'TUSD BF'!$AJ$70</f>
        <v>0</v>
      </c>
      <c r="AK22" s="13">
        <f ca="1">'TUSD BE'!$AK$22*'TUSD BF'!$AK$70</f>
        <v>0</v>
      </c>
      <c r="AL22" s="13">
        <f ca="1">SUM($AH$22:$AK$22)</f>
        <v>0</v>
      </c>
      <c r="AM22" s="13">
        <f ca="1">SUMIF($L$4:$AL$4,"SUBTOTAL",$L$22:$AL$22)</f>
        <v>0.61880091031483098</v>
      </c>
      <c r="AO22" s="20">
        <f ca="1">+'TUSD BE'!$T$22+'TUSD BE'!$AB$22+'TUSD BE'!$AD$22+'TUSD BE'!$AL$22</f>
        <v>21.748036760622899</v>
      </c>
      <c r="AP22" s="20">
        <f ca="1">+'TUSD BE'!$T$22+'TUSD BE'!$AB$22+'TUSD BE'!$AD$22+'TUSD BE'!$AL$22</f>
        <v>21.748036760622899</v>
      </c>
    </row>
    <row r="23" spans="1:42" ht="11.25" customHeight="1" x14ac:dyDescent="0.3">
      <c r="A23" s="137"/>
      <c r="B23" s="137"/>
      <c r="C23" s="137"/>
      <c r="D23" s="137"/>
      <c r="E23" s="137"/>
      <c r="F23" s="137"/>
      <c r="G23" s="18" t="s">
        <v>80</v>
      </c>
      <c r="H23" s="18" t="s">
        <v>79</v>
      </c>
      <c r="I23" s="18">
        <f>'MERCADO TUSD'!$U$20</f>
        <v>1113.1679999999999</v>
      </c>
      <c r="J23" s="15"/>
      <c r="L23" s="13">
        <f>'TUSD BE'!$L$23*'TUSD BF'!$L$70</f>
        <v>0.77554598170252753</v>
      </c>
      <c r="M23" s="13">
        <f>'TUSD BE'!$M$23*'TUSD BF'!$M$70</f>
        <v>0</v>
      </c>
      <c r="N23" s="13">
        <f ca="1">'TUSD BE'!$N$23*'TUSD BF'!$N$70</f>
        <v>0</v>
      </c>
      <c r="O23" s="13">
        <f>'TUSD BE'!$O$23*'TUSD BF'!$O$70</f>
        <v>0</v>
      </c>
      <c r="P23" s="13">
        <f>'TUSD BE'!$P$23*'TUSD BF'!$P$70</f>
        <v>0</v>
      </c>
      <c r="Q23" s="13">
        <f>'TUSD BE'!$Q$23*'TUSD BF'!$Q$70</f>
        <v>24.326122328355538</v>
      </c>
      <c r="R23" s="13">
        <f>'TUSD BE'!$R$23*'TUSD BF'!$R$70</f>
        <v>5.2627822833457625</v>
      </c>
      <c r="S23" s="13">
        <f>'TUSD BE'!$R$23*'TUSD BF'!$S$70</f>
        <v>0</v>
      </c>
      <c r="T23" s="13">
        <f ca="1">SUM($L$23:$S$23)</f>
        <v>30.364450593403831</v>
      </c>
      <c r="U23" s="13">
        <f>'TUSD BE'!$U$23*'TUSD BF'!$U$70</f>
        <v>17.389946862637302</v>
      </c>
      <c r="V23" s="13">
        <f>'TUSD BE'!$V$23*'TUSD BF'!$V$70</f>
        <v>8.1161473851618027</v>
      </c>
      <c r="W23" s="13">
        <f>'TUSD BE'!$W$23*'TUSD BF'!$W$70</f>
        <v>0</v>
      </c>
      <c r="X23" s="13">
        <f>'TUSD BE'!$X$23*'TUSD BF'!$X$70</f>
        <v>0</v>
      </c>
      <c r="Y23" s="13">
        <f>'TUSD BE'!$Y$23*'TUSD BF'!$Y$70</f>
        <v>0</v>
      </c>
      <c r="Z23" s="13">
        <f>'TUSD BE'!$Z$23*'TUSD BF'!$Z$70</f>
        <v>0</v>
      </c>
      <c r="AA23" s="13">
        <f>'TUSD BE'!$AA$23*'TUSD BF'!$AA$70</f>
        <v>0</v>
      </c>
      <c r="AB23" s="13">
        <f>SUM($U$23:$AA$23)</f>
        <v>25.506094247799105</v>
      </c>
      <c r="AC23" s="13">
        <f>'TUSD BE'!$AC$23*'TUSD BF'!$AC$70</f>
        <v>0</v>
      </c>
      <c r="AD23" s="13">
        <f>SUM($AC$23:$AC$23)</f>
        <v>0</v>
      </c>
      <c r="AE23" s="13">
        <f ca="1">$AO$23*$AO$67</f>
        <v>0</v>
      </c>
      <c r="AF23" s="13">
        <f ca="1">$AP$23*$AP$67</f>
        <v>0</v>
      </c>
      <c r="AG23" s="13">
        <f ca="1">SUM($AE$23:$AF$23)</f>
        <v>0</v>
      </c>
      <c r="AH23" s="13">
        <f>'TUSD BE'!$AH$23*'TUSD BF'!$AH$70</f>
        <v>-0.58087014473073817</v>
      </c>
      <c r="AI23" s="13">
        <f>'TUSD BE'!$AI$23*'TUSD BF'!$AI$70</f>
        <v>-1.7092855041342652E-2</v>
      </c>
      <c r="AJ23" s="13">
        <f ca="1">'TUSD BE'!$AJ$23*'TUSD BF'!$AJ$70</f>
        <v>-5.2319684555639692E-2</v>
      </c>
      <c r="AK23" s="13">
        <f ca="1">'TUSD BE'!$AK$23*'TUSD BF'!$AK$70</f>
        <v>0</v>
      </c>
      <c r="AL23" s="13">
        <f ca="1">SUM($AH$23:$AK$23)</f>
        <v>-0.65028268432772052</v>
      </c>
      <c r="AM23" s="13">
        <f ca="1">SUMIF($L$4:$AL$4,"SUBTOTAL",$L$23:$AL$23)</f>
        <v>55.220262156875215</v>
      </c>
      <c r="AO23" s="20">
        <f ca="1">+'TUSD BE'!$T$23+'TUSD BE'!$AB$23+'TUSD BE'!$AD$23+'TUSD BE'!$AL$23</f>
        <v>1389.9363806723529</v>
      </c>
      <c r="AP23" s="20">
        <f ca="1">+'TUSD BE'!$T$23+'TUSD BE'!$AB$23+'TUSD BE'!$AD$23+'TUSD BE'!$AL$23</f>
        <v>1389.9363806723529</v>
      </c>
    </row>
    <row r="24" spans="1:42" ht="11.25" customHeight="1" x14ac:dyDescent="0.3">
      <c r="A24" s="137"/>
      <c r="B24" s="137"/>
      <c r="C24" s="137"/>
      <c r="D24" s="137"/>
      <c r="E24" s="137"/>
      <c r="F24" s="137"/>
      <c r="G24" s="18" t="s">
        <v>81</v>
      </c>
      <c r="H24" s="18" t="s">
        <v>79</v>
      </c>
      <c r="I24" s="18">
        <f>'MERCADO TUSD'!$U$21</f>
        <v>23039.734000000004</v>
      </c>
      <c r="J24" s="15"/>
      <c r="L24" s="13">
        <f>'TUSD BE'!$L$24*'TUSD BF'!$L$70</f>
        <v>0.77554598170252753</v>
      </c>
      <c r="M24" s="13">
        <f>'TUSD BE'!$M$24*'TUSD BF'!$M$70</f>
        <v>0</v>
      </c>
      <c r="N24" s="13">
        <f ca="1">'TUSD BE'!$N$24*'TUSD BF'!$N$70</f>
        <v>0</v>
      </c>
      <c r="O24" s="13">
        <f>'TUSD BE'!$O$24*'TUSD BF'!$O$70</f>
        <v>0</v>
      </c>
      <c r="P24" s="13">
        <f>'TUSD BE'!$P$24*'TUSD BF'!$P$70</f>
        <v>0</v>
      </c>
      <c r="Q24" s="13">
        <f>'TUSD BE'!$Q$24*'TUSD BF'!$Q$70</f>
        <v>24.326122328355538</v>
      </c>
      <c r="R24" s="13">
        <f>'TUSD BE'!$R$24*'TUSD BF'!$R$70</f>
        <v>5.2627822833457625</v>
      </c>
      <c r="S24" s="13">
        <f>'TUSD BE'!$R$24*'TUSD BF'!$S$70</f>
        <v>0</v>
      </c>
      <c r="T24" s="13">
        <f ca="1">SUM($L$24:$S$24)</f>
        <v>30.364450593403831</v>
      </c>
      <c r="U24" s="13">
        <f>'TUSD BE'!$U$24*'TUSD BF'!$U$70</f>
        <v>0</v>
      </c>
      <c r="V24" s="13">
        <f>'TUSD BE'!$V$24*'TUSD BF'!$V$70</f>
        <v>0</v>
      </c>
      <c r="W24" s="13">
        <f>'TUSD BE'!$W$24*'TUSD BF'!$W$70</f>
        <v>0</v>
      </c>
      <c r="X24" s="13">
        <f>'TUSD BE'!$X$24*'TUSD BF'!$X$70</f>
        <v>0</v>
      </c>
      <c r="Y24" s="13">
        <f>'TUSD BE'!$Y$24*'TUSD BF'!$Y$70</f>
        <v>0</v>
      </c>
      <c r="Z24" s="13">
        <f>'TUSD BE'!$Z$24*'TUSD BF'!$Z$70</f>
        <v>0</v>
      </c>
      <c r="AA24" s="13">
        <f>'TUSD BE'!$AA$24*'TUSD BF'!$AA$70</f>
        <v>0</v>
      </c>
      <c r="AB24" s="13">
        <f>SUM($U$24:$AA$24)</f>
        <v>0</v>
      </c>
      <c r="AC24" s="13">
        <f>'TUSD BE'!$AC$24*'TUSD BF'!$AC$70</f>
        <v>0</v>
      </c>
      <c r="AD24" s="13">
        <f>SUM($AC$24:$AC$24)</f>
        <v>0</v>
      </c>
      <c r="AE24" s="13">
        <f ca="1">$AO$24*$AO$67</f>
        <v>0</v>
      </c>
      <c r="AF24" s="13">
        <f ca="1">$AP$24*$AP$67</f>
        <v>0</v>
      </c>
      <c r="AG24" s="13">
        <f ca="1">SUM($AE$24:$AF$24)</f>
        <v>0</v>
      </c>
      <c r="AH24" s="13">
        <f>'TUSD BE'!$AH$24*'TUSD BF'!$AH$70</f>
        <v>-0.58087014473073817</v>
      </c>
      <c r="AI24" s="13">
        <f>'TUSD BE'!$AI$24*'TUSD BF'!$AI$70</f>
        <v>-1.7092855041342652E-2</v>
      </c>
      <c r="AJ24" s="13">
        <f ca="1">'TUSD BE'!$AJ$24*'TUSD BF'!$AJ$70</f>
        <v>-5.2319684555639692E-2</v>
      </c>
      <c r="AK24" s="13">
        <f ca="1">'TUSD BE'!$AK$24*'TUSD BF'!$AK$70</f>
        <v>0</v>
      </c>
      <c r="AL24" s="13">
        <f ca="1">SUM($AH$24:$AK$24)</f>
        <v>-0.65028268432772052</v>
      </c>
      <c r="AM24" s="13">
        <f ca="1">SUMIF($L$4:$AL$4,"SUBTOTAL",$L$24:$AL$24)</f>
        <v>29.71416790907611</v>
      </c>
      <c r="AO24" s="20">
        <f ca="1">+'TUSD BE'!$T$24+'TUSD BE'!$AB$24+'TUSD BE'!$AD$24+'TUSD BE'!$AL$24</f>
        <v>118.35875181404104</v>
      </c>
      <c r="AP24" s="20">
        <f ca="1">+'TUSD BE'!$T$24+'TUSD BE'!$AB$24+'TUSD BE'!$AD$24+'TUSD BE'!$AL$24</f>
        <v>118.35875181404104</v>
      </c>
    </row>
    <row r="25" spans="1:42" ht="11.25" customHeight="1" x14ac:dyDescent="0.3">
      <c r="A25" s="137"/>
      <c r="B25" s="137"/>
      <c r="C25" s="137"/>
      <c r="D25" s="137"/>
      <c r="E25" s="137" t="s">
        <v>87</v>
      </c>
      <c r="F25" s="137" t="s">
        <v>25</v>
      </c>
      <c r="G25" s="18" t="s">
        <v>80</v>
      </c>
      <c r="H25" s="18" t="s">
        <v>79</v>
      </c>
      <c r="I25" s="18">
        <f>'MERCADO TUSD'!$U$22</f>
        <v>0</v>
      </c>
      <c r="J25" s="15"/>
      <c r="L25" s="13">
        <f>'TUSD BE'!$L$25*'TUSD BF'!$L$70</f>
        <v>0</v>
      </c>
      <c r="M25" s="13">
        <f>'TUSD BE'!$M$25*'TUSD BF'!$M$70</f>
        <v>0</v>
      </c>
      <c r="N25" s="13">
        <f ca="1">'TUSD BE'!$N$25*'TUSD BF'!$N$70</f>
        <v>0</v>
      </c>
      <c r="O25" s="13">
        <f>'TUSD BE'!$O$25*'TUSD BF'!$O$70</f>
        <v>0</v>
      </c>
      <c r="P25" s="13">
        <f>'TUSD BE'!$P$25*'TUSD BF'!$P$70</f>
        <v>0</v>
      </c>
      <c r="Q25" s="13">
        <f>'TUSD BE'!$Q$25*'TUSD BF'!$Q$70</f>
        <v>0</v>
      </c>
      <c r="R25" s="13">
        <f>'TUSD BE'!$R$25*'TUSD BF'!$R$70</f>
        <v>0</v>
      </c>
      <c r="S25" s="13">
        <f>'TUSD BE'!$R$25*'TUSD BF'!$S$70</f>
        <v>0</v>
      </c>
      <c r="T25" s="13">
        <f ca="1">SUM($L$25:$S$25)</f>
        <v>0</v>
      </c>
      <c r="U25" s="13">
        <f>'TUSD BE'!$U$25*'TUSD BF'!$U$70</f>
        <v>17.389946862637302</v>
      </c>
      <c r="V25" s="13">
        <f>'TUSD BE'!$V$25*'TUSD BF'!$V$70</f>
        <v>8.1161473851618027</v>
      </c>
      <c r="W25" s="13">
        <f>'TUSD BE'!$W$25*'TUSD BF'!$W$70</f>
        <v>0</v>
      </c>
      <c r="X25" s="13">
        <f>'TUSD BE'!$X$25*'TUSD BF'!$X$70</f>
        <v>0</v>
      </c>
      <c r="Y25" s="13">
        <f>'TUSD BE'!$Y$25*'TUSD BF'!$Y$70</f>
        <v>0</v>
      </c>
      <c r="Z25" s="13">
        <f>'TUSD BE'!$Z$25*'TUSD BF'!$Z$70</f>
        <v>0</v>
      </c>
      <c r="AA25" s="13">
        <f>'TUSD BE'!$AA$25*'TUSD BF'!$AA$70</f>
        <v>0</v>
      </c>
      <c r="AB25" s="13">
        <f>SUM($U$25:$AA$25)</f>
        <v>25.506094247799105</v>
      </c>
      <c r="AC25" s="13">
        <f>'TUSD BE'!$AC$25*'TUSD BF'!$AC$70</f>
        <v>0</v>
      </c>
      <c r="AD25" s="13">
        <f>SUM($AC$25:$AC$25)</f>
        <v>0</v>
      </c>
      <c r="AE25" s="13">
        <f ca="1">$AO$25*$AO$67</f>
        <v>0</v>
      </c>
      <c r="AF25" s="13">
        <f ca="1">$AP$25*$AP$67</f>
        <v>0</v>
      </c>
      <c r="AG25" s="13">
        <f ca="1">SUM($AE$25:$AF$25)</f>
        <v>0</v>
      </c>
      <c r="AH25" s="13">
        <f>'TUSD BE'!$AH$25*'TUSD BF'!$AH$70</f>
        <v>-0.58087014473073817</v>
      </c>
      <c r="AI25" s="13">
        <f>'TUSD BE'!$AI$25*'TUSD BF'!$AI$70</f>
        <v>-1.7092855041342652E-2</v>
      </c>
      <c r="AJ25" s="13">
        <f ca="1">'TUSD BE'!$AJ$25*'TUSD BF'!$AJ$70</f>
        <v>-5.2319684555639692E-2</v>
      </c>
      <c r="AK25" s="13">
        <f ca="1">'TUSD BE'!$AK$25*'TUSD BF'!$AK$70</f>
        <v>0</v>
      </c>
      <c r="AL25" s="13">
        <f ca="1">SUM($AH$25:$AK$25)</f>
        <v>-0.65028268432772052</v>
      </c>
      <c r="AM25" s="13">
        <f ca="1">SUMIF($L$4:$AL$4,"SUBTOTAL",$L$25:$AL$25)</f>
        <v>24.855811563471384</v>
      </c>
      <c r="AO25" s="20">
        <f ca="1">+'TUSD BE'!$T$25+'TUSD BE'!$AB$25+'TUSD BE'!$AD$25+'TUSD BE'!$AL$25</f>
        <v>1285.3935764685489</v>
      </c>
      <c r="AP25" s="20">
        <f ca="1">+'TUSD BE'!$T$25+'TUSD BE'!$AB$25+'TUSD BE'!$AD$25+'TUSD BE'!$AL$25</f>
        <v>1285.3935764685489</v>
      </c>
    </row>
    <row r="26" spans="1:42" ht="11.25" customHeight="1" x14ac:dyDescent="0.3">
      <c r="A26" s="137"/>
      <c r="B26" s="137"/>
      <c r="C26" s="137"/>
      <c r="D26" s="137"/>
      <c r="E26" s="137"/>
      <c r="F26" s="137"/>
      <c r="G26" s="18" t="s">
        <v>81</v>
      </c>
      <c r="H26" s="18" t="s">
        <v>79</v>
      </c>
      <c r="I26" s="18">
        <f>'MERCADO TUSD'!$U$23</f>
        <v>0</v>
      </c>
      <c r="J26" s="15"/>
      <c r="L26" s="13">
        <f>'TUSD BE'!$L$26*'TUSD BF'!$L$70</f>
        <v>0</v>
      </c>
      <c r="M26" s="13">
        <f>'TUSD BE'!$M$26*'TUSD BF'!$M$70</f>
        <v>0</v>
      </c>
      <c r="N26" s="13">
        <f ca="1">'TUSD BE'!$N$26*'TUSD BF'!$N$70</f>
        <v>0</v>
      </c>
      <c r="O26" s="13">
        <f>'TUSD BE'!$O$26*'TUSD BF'!$O$70</f>
        <v>0</v>
      </c>
      <c r="P26" s="13">
        <f>'TUSD BE'!$P$26*'TUSD BF'!$P$70</f>
        <v>0</v>
      </c>
      <c r="Q26" s="13">
        <f>'TUSD BE'!$Q$26*'TUSD BF'!$Q$70</f>
        <v>0</v>
      </c>
      <c r="R26" s="13">
        <f>'TUSD BE'!$R$26*'TUSD BF'!$R$70</f>
        <v>0</v>
      </c>
      <c r="S26" s="13">
        <f>'TUSD BE'!$R$26*'TUSD BF'!$S$70</f>
        <v>0</v>
      </c>
      <c r="T26" s="13">
        <f ca="1">SUM($L$26:$S$26)</f>
        <v>0</v>
      </c>
      <c r="U26" s="13">
        <f>'TUSD BE'!$U$26*'TUSD BF'!$U$70</f>
        <v>0</v>
      </c>
      <c r="V26" s="13">
        <f>'TUSD BE'!$V$26*'TUSD BF'!$V$70</f>
        <v>0</v>
      </c>
      <c r="W26" s="13">
        <f>'TUSD BE'!$W$26*'TUSD BF'!$W$70</f>
        <v>0</v>
      </c>
      <c r="X26" s="13">
        <f>'TUSD BE'!$X$26*'TUSD BF'!$X$70</f>
        <v>0</v>
      </c>
      <c r="Y26" s="13">
        <f>'TUSD BE'!$Y$26*'TUSD BF'!$Y$70</f>
        <v>0</v>
      </c>
      <c r="Z26" s="13">
        <f>'TUSD BE'!$Z$26*'TUSD BF'!$Z$70</f>
        <v>0</v>
      </c>
      <c r="AA26" s="13">
        <f>'TUSD BE'!$AA$26*'TUSD BF'!$AA$70</f>
        <v>0</v>
      </c>
      <c r="AB26" s="13">
        <f>SUM($U$26:$AA$26)</f>
        <v>0</v>
      </c>
      <c r="AC26" s="13">
        <f>'TUSD BE'!$AC$26*'TUSD BF'!$AC$70</f>
        <v>0</v>
      </c>
      <c r="AD26" s="13">
        <f>SUM($AC$26:$AC$26)</f>
        <v>0</v>
      </c>
      <c r="AE26" s="13">
        <f ca="1">$AO$26*$AO$67</f>
        <v>0</v>
      </c>
      <c r="AF26" s="13">
        <f ca="1">$AP$26*$AP$67</f>
        <v>0</v>
      </c>
      <c r="AG26" s="13">
        <f ca="1">SUM($AE$26:$AF$26)</f>
        <v>0</v>
      </c>
      <c r="AH26" s="13">
        <f>'TUSD BE'!$AH$26*'TUSD BF'!$AH$70</f>
        <v>-0.58087014473073817</v>
      </c>
      <c r="AI26" s="13">
        <f>'TUSD BE'!$AI$26*'TUSD BF'!$AI$70</f>
        <v>-1.7092855041342652E-2</v>
      </c>
      <c r="AJ26" s="13">
        <f ca="1">'TUSD BE'!$AJ$26*'TUSD BF'!$AJ$70</f>
        <v>-5.2319684555639692E-2</v>
      </c>
      <c r="AK26" s="13">
        <f ca="1">'TUSD BE'!$AK$26*'TUSD BF'!$AK$70</f>
        <v>0</v>
      </c>
      <c r="AL26" s="13">
        <f ca="1">SUM($AH$26:$AK$26)</f>
        <v>-0.65028268432772052</v>
      </c>
      <c r="AM26" s="13">
        <f ca="1">SUMIF($L$4:$AL$4,"SUBTOTAL",$L$26:$AL$26)</f>
        <v>-0.65028268432772052</v>
      </c>
      <c r="AO26" s="20">
        <f ca="1">+'TUSD BE'!$T$26+'TUSD BE'!$AB$26+'TUSD BE'!$AD$26+'TUSD BE'!$AL$26</f>
        <v>13.815947610236968</v>
      </c>
      <c r="AP26" s="20">
        <f ca="1">+'TUSD BE'!$T$26+'TUSD BE'!$AB$26+'TUSD BE'!$AD$26+'TUSD BE'!$AL$26</f>
        <v>13.815947610236968</v>
      </c>
    </row>
    <row r="27" spans="1:42" ht="11.25" customHeight="1" x14ac:dyDescent="0.3">
      <c r="A27" s="137" t="s">
        <v>88</v>
      </c>
      <c r="B27" s="137" t="s">
        <v>60</v>
      </c>
      <c r="C27" s="137" t="s">
        <v>25</v>
      </c>
      <c r="D27" s="137" t="s">
        <v>25</v>
      </c>
      <c r="E27" s="17" t="s">
        <v>89</v>
      </c>
      <c r="F27" s="17" t="s">
        <v>25</v>
      </c>
      <c r="G27" s="18" t="s">
        <v>9</v>
      </c>
      <c r="H27" s="18" t="s">
        <v>84</v>
      </c>
      <c r="I27" s="18">
        <f>'MERCADO TUSD'!$U$24+0.00000001</f>
        <v>1E-8</v>
      </c>
      <c r="J27" s="15"/>
      <c r="L27" s="13">
        <f>'TUSD BE'!$L$27*'TUSD BF'!$L$70</f>
        <v>0</v>
      </c>
      <c r="M27" s="13">
        <f>'TUSD BE'!$M$27*'TUSD BF'!$M$70</f>
        <v>0</v>
      </c>
      <c r="N27" s="13">
        <f ca="1">'TUSD BE'!$N$27*'TUSD BF'!$N$70</f>
        <v>0</v>
      </c>
      <c r="O27" s="13">
        <f>'TUSD BE'!$O$27*'TUSD BF'!$O$70</f>
        <v>0</v>
      </c>
      <c r="P27" s="13">
        <f>'TUSD BE'!$P$27*'TUSD BF'!$P$70</f>
        <v>0</v>
      </c>
      <c r="Q27" s="13">
        <f>'TUSD BE'!$Q$27*'TUSD BF'!$Q$70</f>
        <v>0</v>
      </c>
      <c r="R27" s="13">
        <f>'TUSD BE'!$R$27*'TUSD BF'!$R$70</f>
        <v>0</v>
      </c>
      <c r="S27" s="13">
        <f>'TUSD BE'!$R$27*'TUSD BF'!$S$70</f>
        <v>0</v>
      </c>
      <c r="T27" s="13">
        <f ca="1">SUM($L$27:$S$27)</f>
        <v>0</v>
      </c>
      <c r="U27" s="13">
        <f>'TUSD BE'!$U$27*'TUSD BF'!$U$70</f>
        <v>0</v>
      </c>
      <c r="V27" s="13">
        <f>'TUSD BE'!$V$27*'TUSD BF'!$V$70</f>
        <v>0</v>
      </c>
      <c r="W27" s="13">
        <f>'TUSD BE'!$W$27*'TUSD BF'!$W$70</f>
        <v>0</v>
      </c>
      <c r="X27" s="13">
        <f>'TUSD BE'!$X$27*'TUSD BF'!$X$70</f>
        <v>0</v>
      </c>
      <c r="Y27" s="13">
        <f>'TUSD BE'!$Y$27*'TUSD BF'!$Y$70</f>
        <v>0</v>
      </c>
      <c r="Z27" s="13">
        <f>'TUSD BE'!$Z$27*'TUSD BF'!$Z$70</f>
        <v>0</v>
      </c>
      <c r="AA27" s="13">
        <f>'TUSD BE'!$AA$27*'TUSD BF'!$AA$70</f>
        <v>0</v>
      </c>
      <c r="AB27" s="13">
        <f>SUM($U$27:$AA$27)</f>
        <v>0</v>
      </c>
      <c r="AC27" s="13">
        <f>'TUSD BE'!$AC$27*'TUSD BF'!$AC$70</f>
        <v>0</v>
      </c>
      <c r="AD27" s="13">
        <f>SUM($AC$27:$AC$27)</f>
        <v>0</v>
      </c>
      <c r="AE27" s="13">
        <f ca="1">$AO$27*$AO$67</f>
        <v>0</v>
      </c>
      <c r="AF27" s="13">
        <f ca="1">$AP$27*$AP$67</f>
        <v>0</v>
      </c>
      <c r="AG27" s="13">
        <f ca="1">SUM($AE$27:$AF$27)</f>
        <v>0</v>
      </c>
      <c r="AH27" s="13">
        <f>'TUSD BE'!$AH$27*'TUSD BF'!$AH$70</f>
        <v>0</v>
      </c>
      <c r="AI27" s="13">
        <f>'TUSD BE'!$AI$27*'TUSD BF'!$AI$70</f>
        <v>0</v>
      </c>
      <c r="AJ27" s="13">
        <f ca="1">'TUSD BE'!$AJ$27*'TUSD BF'!$AJ$70</f>
        <v>0</v>
      </c>
      <c r="AK27" s="13">
        <f ca="1">'TUSD BE'!$AK$27*'TUSD BF'!$AK$70</f>
        <v>0</v>
      </c>
      <c r="AL27" s="13">
        <f ca="1">SUM($AH$27:$AK$27)</f>
        <v>0</v>
      </c>
      <c r="AM27" s="13">
        <f ca="1">SUMIF($L$4:$AL$4,"SUBTOTAL",$L$27:$AL$27)</f>
        <v>0</v>
      </c>
      <c r="AO27" s="20">
        <f ca="1">+'TUSD BE'!$T$27+'TUSD BE'!$AB$27+'TUSD BE'!$AD$27+'TUSD BE'!$AL$27</f>
        <v>5.9634334129670856</v>
      </c>
      <c r="AP27" s="20">
        <f ca="1">+'TUSD BE'!$T$27+'TUSD BE'!$AB$27+'TUSD BE'!$AD$27+'TUSD BE'!$AL$27</f>
        <v>5.9634334129670856</v>
      </c>
    </row>
    <row r="28" spans="1:42" ht="11.25" customHeight="1" x14ac:dyDescent="0.3">
      <c r="A28" s="137"/>
      <c r="B28" s="137"/>
      <c r="C28" s="137"/>
      <c r="D28" s="137"/>
      <c r="E28" s="17" t="s">
        <v>90</v>
      </c>
      <c r="F28" s="17" t="s">
        <v>25</v>
      </c>
      <c r="G28" s="18" t="s">
        <v>9</v>
      </c>
      <c r="H28" s="18" t="s">
        <v>84</v>
      </c>
      <c r="I28" s="18">
        <f>'MERCADO TUSD'!$U$25+0.00000001</f>
        <v>1E-8</v>
      </c>
      <c r="J28" s="15"/>
      <c r="L28" s="13">
        <f>'TUSD BE'!$L$28*'TUSD BF'!$L$70</f>
        <v>0</v>
      </c>
      <c r="M28" s="13">
        <f>'TUSD BE'!$M$28*'TUSD BF'!$M$70</f>
        <v>0</v>
      </c>
      <c r="N28" s="13">
        <f ca="1">'TUSD BE'!$N$28*'TUSD BF'!$N$70</f>
        <v>0</v>
      </c>
      <c r="O28" s="13">
        <f>'TUSD BE'!$O$28*'TUSD BF'!$O$70</f>
        <v>0</v>
      </c>
      <c r="P28" s="13">
        <f>'TUSD BE'!$P$28*'TUSD BF'!$P$70</f>
        <v>0</v>
      </c>
      <c r="Q28" s="13">
        <f>'TUSD BE'!$Q$28*'TUSD BF'!$Q$70</f>
        <v>0</v>
      </c>
      <c r="R28" s="13">
        <f>'TUSD BE'!$R$28*'TUSD BF'!$R$70</f>
        <v>0</v>
      </c>
      <c r="S28" s="13">
        <f>'TUSD BE'!$R$28*'TUSD BF'!$S$70</f>
        <v>0</v>
      </c>
      <c r="T28" s="13">
        <f ca="1">SUM($L$28:$S$28)</f>
        <v>0</v>
      </c>
      <c r="U28" s="13">
        <f>'TUSD BE'!$U$28*'TUSD BF'!$U$70</f>
        <v>0</v>
      </c>
      <c r="V28" s="13">
        <f>'TUSD BE'!$V$28*'TUSD BF'!$V$70</f>
        <v>0</v>
      </c>
      <c r="W28" s="13">
        <f>'TUSD BE'!$W$28*'TUSD BF'!$W$70</f>
        <v>0</v>
      </c>
      <c r="X28" s="13">
        <f>'TUSD BE'!$X$28*'TUSD BF'!$X$70</f>
        <v>0</v>
      </c>
      <c r="Y28" s="13">
        <f>'TUSD BE'!$Y$28*'TUSD BF'!$Y$70</f>
        <v>0</v>
      </c>
      <c r="Z28" s="13">
        <f>'TUSD BE'!$Z$28*'TUSD BF'!$Z$70</f>
        <v>0</v>
      </c>
      <c r="AA28" s="13">
        <f>'TUSD BE'!$AA$28*'TUSD BF'!$AA$70</f>
        <v>0</v>
      </c>
      <c r="AB28" s="13">
        <f>SUM($U$28:$AA$28)</f>
        <v>0</v>
      </c>
      <c r="AC28" s="13">
        <f>'TUSD BE'!$AC$28*'TUSD BF'!$AC$70</f>
        <v>0</v>
      </c>
      <c r="AD28" s="13">
        <f>SUM($AC$28:$AC$28)</f>
        <v>0</v>
      </c>
      <c r="AE28" s="13">
        <f ca="1">$AO$28*$AO$67</f>
        <v>0</v>
      </c>
      <c r="AF28" s="13">
        <f ca="1">$AP$28*$AP$67</f>
        <v>0</v>
      </c>
      <c r="AG28" s="13">
        <f ca="1">SUM($AE$28:$AF$28)</f>
        <v>0</v>
      </c>
      <c r="AH28" s="13">
        <f>'TUSD BE'!$AH$28*'TUSD BF'!$AH$70</f>
        <v>0</v>
      </c>
      <c r="AI28" s="13">
        <f>'TUSD BE'!$AI$28*'TUSD BF'!$AI$70</f>
        <v>0</v>
      </c>
      <c r="AJ28" s="13">
        <f ca="1">'TUSD BE'!$AJ$28*'TUSD BF'!$AJ$70</f>
        <v>0</v>
      </c>
      <c r="AK28" s="13">
        <f ca="1">'TUSD BE'!$AK$28*'TUSD BF'!$AK$70</f>
        <v>0</v>
      </c>
      <c r="AL28" s="13">
        <f ca="1">SUM($AH$28:$AK$28)</f>
        <v>0</v>
      </c>
      <c r="AM28" s="13">
        <f ca="1">SUMIF($L$4:$AL$4,"SUBTOTAL",$L$28:$AL$28)</f>
        <v>0</v>
      </c>
      <c r="AO28" s="20">
        <f ca="1">+'TUSD BE'!$T$28+'TUSD BE'!$AB$28+'TUSD BE'!$AD$28+'TUSD BE'!$AL$28</f>
        <v>21.779429000179967</v>
      </c>
      <c r="AP28" s="20">
        <f ca="1">+'TUSD BE'!$T$28+'TUSD BE'!$AB$28+'TUSD BE'!$AD$28+'TUSD BE'!$AL$28</f>
        <v>21.779429000179967</v>
      </c>
    </row>
    <row r="29" spans="1:42" ht="11.25" customHeight="1" x14ac:dyDescent="0.3">
      <c r="A29" s="137" t="s">
        <v>22</v>
      </c>
      <c r="B29" s="137" t="s">
        <v>33</v>
      </c>
      <c r="C29" s="137" t="s">
        <v>24</v>
      </c>
      <c r="D29" s="137" t="s">
        <v>24</v>
      </c>
      <c r="E29" s="137" t="s">
        <v>25</v>
      </c>
      <c r="F29" s="137" t="s">
        <v>25</v>
      </c>
      <c r="G29" s="18" t="s">
        <v>80</v>
      </c>
      <c r="H29" s="18" t="s">
        <v>79</v>
      </c>
      <c r="I29" s="18">
        <f>'MERCADO TUSD'!$U$26</f>
        <v>5.2</v>
      </c>
      <c r="J29" s="15"/>
      <c r="L29" s="13">
        <f>'TUSD BE'!$L$29*'TUSD BF'!$L$70</f>
        <v>0.92326902583634241</v>
      </c>
      <c r="M29" s="13">
        <f>'TUSD BE'!$M$29*'TUSD BF'!$M$70</f>
        <v>0</v>
      </c>
      <c r="N29" s="13">
        <f ca="1">'TUSD BE'!$N$29*'TUSD BF'!$N$70</f>
        <v>0</v>
      </c>
      <c r="O29" s="13">
        <f>'TUSD BE'!$O$29*'TUSD BF'!$O$70</f>
        <v>0</v>
      </c>
      <c r="P29" s="13">
        <f>'TUSD BE'!$P$29*'TUSD BF'!$P$70</f>
        <v>0</v>
      </c>
      <c r="Q29" s="13">
        <f>'TUSD BE'!$Q$29*'TUSD BF'!$Q$70</f>
        <v>28.959669438518496</v>
      </c>
      <c r="R29" s="13">
        <f>'TUSD BE'!$R$29*'TUSD BF'!$R$70</f>
        <v>5.2627822833457625</v>
      </c>
      <c r="S29" s="13">
        <f>'TUSD BE'!$R$29*'TUSD BF'!$S$70</f>
        <v>0</v>
      </c>
      <c r="T29" s="13">
        <f ca="1">SUM($L$29:$S$29)</f>
        <v>35.145720747700601</v>
      </c>
      <c r="U29" s="13">
        <f>'TUSD BE'!$U$29*'TUSD BF'!$U$70</f>
        <v>11.730095411729334</v>
      </c>
      <c r="V29" s="13">
        <f>'TUSD BE'!$V$29*'TUSD BF'!$V$70</f>
        <v>5.5593453203496592</v>
      </c>
      <c r="W29" s="13">
        <f>'TUSD BE'!$W$29*'TUSD BF'!$W$70</f>
        <v>0</v>
      </c>
      <c r="X29" s="13">
        <f>'TUSD BE'!$X$29*'TUSD BF'!$X$70</f>
        <v>0</v>
      </c>
      <c r="Y29" s="13">
        <f>'TUSD BE'!$Y$29*'TUSD BF'!$Y$70</f>
        <v>0</v>
      </c>
      <c r="Z29" s="13">
        <f>'TUSD BE'!$Z$29*'TUSD BF'!$Z$70</f>
        <v>0</v>
      </c>
      <c r="AA29" s="13">
        <f>'TUSD BE'!$AA$29*'TUSD BF'!$AA$70</f>
        <v>0</v>
      </c>
      <c r="AB29" s="13">
        <f>SUM($U$29:$AA$29)</f>
        <v>17.289440732078994</v>
      </c>
      <c r="AC29" s="13">
        <f>'TUSD BE'!$AC$29*'TUSD BF'!$AC$70</f>
        <v>0</v>
      </c>
      <c r="AD29" s="13">
        <f>SUM($AC$29:$AC$29)</f>
        <v>0</v>
      </c>
      <c r="AE29" s="13">
        <f ca="1">$AO$29*$AO$67</f>
        <v>0</v>
      </c>
      <c r="AF29" s="13">
        <f ca="1">$AP$29*$AP$67</f>
        <v>0</v>
      </c>
      <c r="AG29" s="13">
        <f ca="1">SUM($AE$29:$AF$29)</f>
        <v>0</v>
      </c>
      <c r="AH29" s="13">
        <f>'TUSD BE'!$AH$29*'TUSD BF'!$AH$70</f>
        <v>-1.2005156801843442</v>
      </c>
      <c r="AI29" s="13">
        <f>'TUSD BE'!$AI$29*'TUSD BF'!$AI$70</f>
        <v>-3.5326726089119291E-2</v>
      </c>
      <c r="AJ29" s="13">
        <f ca="1">'TUSD BE'!$AJ$29*'TUSD BF'!$AJ$70</f>
        <v>-8.0547162698289418E-2</v>
      </c>
      <c r="AK29" s="13">
        <f ca="1">'TUSD BE'!$AK$29*'TUSD BF'!$AK$70</f>
        <v>0</v>
      </c>
      <c r="AL29" s="13">
        <f ca="1">SUM($AH$29:$AK$29)</f>
        <v>-1.3163895689717529</v>
      </c>
      <c r="AM29" s="13">
        <f ca="1">SUMIF($L$4:$AL$4,"SUBTOTAL",$L$29:$AL$29)</f>
        <v>51.118771910807844</v>
      </c>
      <c r="AO29" s="20">
        <f ca="1">+'TUSD BE'!$T$29+'TUSD BE'!$AB$29+'TUSD BE'!$AD$29+'TUSD BE'!$AL$29</f>
        <v>1155.9752637462675</v>
      </c>
      <c r="AP29" s="20">
        <f ca="1">+'TUSD BE'!$T$29+'TUSD BE'!$AB$29+'TUSD BE'!$AD$29+'TUSD BE'!$AL$29</f>
        <v>1155.9752637462675</v>
      </c>
    </row>
    <row r="30" spans="1:42" ht="11.25" customHeight="1" x14ac:dyDescent="0.3">
      <c r="A30" s="137"/>
      <c r="B30" s="137"/>
      <c r="C30" s="137"/>
      <c r="D30" s="137"/>
      <c r="E30" s="137"/>
      <c r="F30" s="137"/>
      <c r="G30" s="18" t="s">
        <v>91</v>
      </c>
      <c r="H30" s="18" t="s">
        <v>79</v>
      </c>
      <c r="I30" s="18">
        <f>'MERCADO TUSD'!$U$27</f>
        <v>3.3950000000000005</v>
      </c>
      <c r="J30" s="15"/>
      <c r="L30" s="13">
        <f>'TUSD BE'!$L$30*'TUSD BF'!$L$70</f>
        <v>0.92326902583634241</v>
      </c>
      <c r="M30" s="13">
        <f>'TUSD BE'!$M$30*'TUSD BF'!$M$70</f>
        <v>0</v>
      </c>
      <c r="N30" s="13">
        <f ca="1">'TUSD BE'!$N$30*'TUSD BF'!$N$70</f>
        <v>0</v>
      </c>
      <c r="O30" s="13">
        <f>'TUSD BE'!$O$30*'TUSD BF'!$O$70</f>
        <v>0</v>
      </c>
      <c r="P30" s="13">
        <f>'TUSD BE'!$P$30*'TUSD BF'!$P$70</f>
        <v>0</v>
      </c>
      <c r="Q30" s="13">
        <f>'TUSD BE'!$Q$30*'TUSD BF'!$Q$70</f>
        <v>28.959669438518496</v>
      </c>
      <c r="R30" s="13">
        <f>'TUSD BE'!$R$30*'TUSD BF'!$R$70</f>
        <v>5.2627822833457625</v>
      </c>
      <c r="S30" s="13">
        <f>'TUSD BE'!$R$30*'TUSD BF'!$S$70</f>
        <v>0</v>
      </c>
      <c r="T30" s="13">
        <f ca="1">SUM($L$30:$S$30)</f>
        <v>35.145720747700601</v>
      </c>
      <c r="U30" s="13">
        <f>'TUSD BE'!$U$30*'TUSD BF'!$U$70</f>
        <v>7.0380548093036532</v>
      </c>
      <c r="V30" s="13">
        <f>'TUSD BE'!$V$30*'TUSD BF'!$V$70</f>
        <v>3.3356093507261924</v>
      </c>
      <c r="W30" s="13">
        <f>'TUSD BE'!$W$30*'TUSD BF'!$W$70</f>
        <v>0</v>
      </c>
      <c r="X30" s="13">
        <f>'TUSD BE'!$X$30*'TUSD BF'!$X$70</f>
        <v>0</v>
      </c>
      <c r="Y30" s="13">
        <f>'TUSD BE'!$Y$30*'TUSD BF'!$Y$70</f>
        <v>0</v>
      </c>
      <c r="Z30" s="13">
        <f>'TUSD BE'!$Z$30*'TUSD BF'!$Z$70</f>
        <v>0</v>
      </c>
      <c r="AA30" s="13">
        <f>'TUSD BE'!$AA$30*'TUSD BF'!$AA$70</f>
        <v>0</v>
      </c>
      <c r="AB30" s="13">
        <f>SUM($U$30:$AA$30)</f>
        <v>10.373664160029845</v>
      </c>
      <c r="AC30" s="13">
        <f>'TUSD BE'!$AC$30*'TUSD BF'!$AC$70</f>
        <v>0</v>
      </c>
      <c r="AD30" s="13">
        <f>SUM($AC$30:$AC$30)</f>
        <v>0</v>
      </c>
      <c r="AE30" s="13">
        <f ca="1">$AO$30*$AO$67</f>
        <v>0</v>
      </c>
      <c r="AF30" s="13">
        <f ca="1">$AP$30*$AP$67</f>
        <v>0</v>
      </c>
      <c r="AG30" s="13">
        <f ca="1">SUM($AE$30:$AF$30)</f>
        <v>0</v>
      </c>
      <c r="AH30" s="13">
        <f>'TUSD BE'!$AH$30*'TUSD BF'!$AH$70</f>
        <v>-1.2005156801843442</v>
      </c>
      <c r="AI30" s="13">
        <f>'TUSD BE'!$AI$30*'TUSD BF'!$AI$70</f>
        <v>-3.5326726089119291E-2</v>
      </c>
      <c r="AJ30" s="13">
        <f ca="1">'TUSD BE'!$AJ$30*'TUSD BF'!$AJ$70</f>
        <v>-8.0547162698289418E-2</v>
      </c>
      <c r="AK30" s="13">
        <f ca="1">'TUSD BE'!$AK$30*'TUSD BF'!$AK$70</f>
        <v>0</v>
      </c>
      <c r="AL30" s="13">
        <f ca="1">SUM($AH$30:$AK$30)</f>
        <v>-1.3163895689717529</v>
      </c>
      <c r="AM30" s="13">
        <f ca="1">SUMIF($L$4:$AL$4,"SUBTOTAL",$L$30:$AL$30)</f>
        <v>44.202995338758697</v>
      </c>
      <c r="AO30" s="20">
        <f ca="1">+'TUSD BE'!$T$30+'TUSD BE'!$AB$30+'TUSD BE'!$AD$30+'TUSD BE'!$AL$30</f>
        <v>753.37021234589497</v>
      </c>
      <c r="AP30" s="20">
        <f ca="1">+'TUSD BE'!$T$30+'TUSD BE'!$AB$30+'TUSD BE'!$AD$30+'TUSD BE'!$AL$30</f>
        <v>753.37021234589497</v>
      </c>
    </row>
    <row r="31" spans="1:42" ht="11.25" customHeight="1" x14ac:dyDescent="0.3">
      <c r="A31" s="137"/>
      <c r="B31" s="137"/>
      <c r="C31" s="137"/>
      <c r="D31" s="137"/>
      <c r="E31" s="137"/>
      <c r="F31" s="137"/>
      <c r="G31" s="18" t="s">
        <v>81</v>
      </c>
      <c r="H31" s="18" t="s">
        <v>79</v>
      </c>
      <c r="I31" s="18">
        <f>'MERCADO TUSD'!$U$28</f>
        <v>48.124000000000009</v>
      </c>
      <c r="J31" s="15"/>
      <c r="L31" s="13">
        <f>'TUSD BE'!$L$31*'TUSD BF'!$L$70</f>
        <v>0.92326902583634241</v>
      </c>
      <c r="M31" s="13">
        <f>'TUSD BE'!$M$31*'TUSD BF'!$M$70</f>
        <v>0</v>
      </c>
      <c r="N31" s="13">
        <f ca="1">'TUSD BE'!$N$31*'TUSD BF'!$N$70</f>
        <v>0</v>
      </c>
      <c r="O31" s="13">
        <f>'TUSD BE'!$O$31*'TUSD BF'!$O$70</f>
        <v>0</v>
      </c>
      <c r="P31" s="13">
        <f>'TUSD BE'!$P$31*'TUSD BF'!$P$70</f>
        <v>0</v>
      </c>
      <c r="Q31" s="13">
        <f>'TUSD BE'!$Q$31*'TUSD BF'!$Q$70</f>
        <v>28.959669438518496</v>
      </c>
      <c r="R31" s="13">
        <f>'TUSD BE'!$R$31*'TUSD BF'!$R$70</f>
        <v>5.2627822833457625</v>
      </c>
      <c r="S31" s="13">
        <f>'TUSD BE'!$R$31*'TUSD BF'!$S$70</f>
        <v>0</v>
      </c>
      <c r="T31" s="13">
        <f ca="1">SUM($L$31:$S$31)</f>
        <v>35.145720747700601</v>
      </c>
      <c r="U31" s="13">
        <f>'TUSD BE'!$U$31*'TUSD BF'!$U$70</f>
        <v>2.3460142068779732</v>
      </c>
      <c r="V31" s="13">
        <f>'TUSD BE'!$V$31*'TUSD BF'!$V$70</f>
        <v>1.1118733811027248</v>
      </c>
      <c r="W31" s="13">
        <f>'TUSD BE'!$W$31*'TUSD BF'!$W$70</f>
        <v>0</v>
      </c>
      <c r="X31" s="13">
        <f>'TUSD BE'!$X$31*'TUSD BF'!$X$70</f>
        <v>0</v>
      </c>
      <c r="Y31" s="13">
        <f>'TUSD BE'!$Y$31*'TUSD BF'!$Y$70</f>
        <v>0</v>
      </c>
      <c r="Z31" s="13">
        <f>'TUSD BE'!$Z$31*'TUSD BF'!$Z$70</f>
        <v>0</v>
      </c>
      <c r="AA31" s="13">
        <f>'TUSD BE'!$AA$31*'TUSD BF'!$AA$70</f>
        <v>0</v>
      </c>
      <c r="AB31" s="13">
        <f>SUM($U$31:$AA$31)</f>
        <v>3.4578875879806983</v>
      </c>
      <c r="AC31" s="13">
        <f>'TUSD BE'!$AC$31*'TUSD BF'!$AC$70</f>
        <v>0</v>
      </c>
      <c r="AD31" s="13">
        <f>SUM($AC$31:$AC$31)</f>
        <v>0</v>
      </c>
      <c r="AE31" s="13">
        <f ca="1">$AO$31*$AO$67</f>
        <v>0</v>
      </c>
      <c r="AF31" s="13">
        <f ca="1">$AP$31*$AP$67</f>
        <v>0</v>
      </c>
      <c r="AG31" s="13">
        <f ca="1">SUM($AE$31:$AF$31)</f>
        <v>0</v>
      </c>
      <c r="AH31" s="13">
        <f>'TUSD BE'!$AH$31*'TUSD BF'!$AH$70</f>
        <v>-1.2005156801843442</v>
      </c>
      <c r="AI31" s="13">
        <f>'TUSD BE'!$AI$31*'TUSD BF'!$AI$70</f>
        <v>-3.5326726089119291E-2</v>
      </c>
      <c r="AJ31" s="13">
        <f ca="1">'TUSD BE'!$AJ$31*'TUSD BF'!$AJ$70</f>
        <v>-8.0547162698289418E-2</v>
      </c>
      <c r="AK31" s="13">
        <f ca="1">'TUSD BE'!$AK$31*'TUSD BF'!$AK$70</f>
        <v>0</v>
      </c>
      <c r="AL31" s="13">
        <f ca="1">SUM($AH$31:$AK$31)</f>
        <v>-1.3163895689717529</v>
      </c>
      <c r="AM31" s="13">
        <f ca="1">SUMIF($L$4:$AL$4,"SUBTOTAL",$L$31:$AL$31)</f>
        <v>37.28721876670955</v>
      </c>
      <c r="AO31" s="20">
        <f ca="1">+'TUSD BE'!$T$31+'TUSD BE'!$AB$31+'TUSD BE'!$AD$31+'TUSD BE'!$AL$31</f>
        <v>350.76504696074852</v>
      </c>
      <c r="AP31" s="20">
        <f ca="1">+'TUSD BE'!$T$31+'TUSD BE'!$AB$31+'TUSD BE'!$AD$31+'TUSD BE'!$AL$31</f>
        <v>350.76504696074852</v>
      </c>
    </row>
    <row r="32" spans="1:42" ht="11.25" customHeight="1" x14ac:dyDescent="0.3">
      <c r="A32" s="137"/>
      <c r="B32" s="137" t="s">
        <v>23</v>
      </c>
      <c r="C32" s="137" t="s">
        <v>24</v>
      </c>
      <c r="D32" s="17" t="s">
        <v>24</v>
      </c>
      <c r="E32" s="17" t="s">
        <v>25</v>
      </c>
      <c r="F32" s="17" t="s">
        <v>25</v>
      </c>
      <c r="G32" s="18" t="s">
        <v>83</v>
      </c>
      <c r="H32" s="18" t="s">
        <v>79</v>
      </c>
      <c r="I32" s="18">
        <f>'MERCADO TUSD'!$U$29</f>
        <v>46756.356999999996</v>
      </c>
      <c r="J32" s="15"/>
      <c r="L32" s="13">
        <f>'TUSD BE'!$L$32*'TUSD BF'!$L$70</f>
        <v>0.92326902583634241</v>
      </c>
      <c r="M32" s="13">
        <f>'TUSD BE'!$M$32*'TUSD BF'!$M$70</f>
        <v>0</v>
      </c>
      <c r="N32" s="13">
        <f ca="1">'TUSD BE'!$N$32*'TUSD BF'!$N$70</f>
        <v>0</v>
      </c>
      <c r="O32" s="13">
        <f>'TUSD BE'!$O$32*'TUSD BF'!$O$70</f>
        <v>0</v>
      </c>
      <c r="P32" s="13">
        <f>'TUSD BE'!$P$32*'TUSD BF'!$P$70</f>
        <v>0</v>
      </c>
      <c r="Q32" s="13">
        <f>'TUSD BE'!$Q$32*'TUSD BF'!$Q$70</f>
        <v>28.959669438518496</v>
      </c>
      <c r="R32" s="13">
        <f>'TUSD BE'!$R$32*'TUSD BF'!$R$70</f>
        <v>5.2627822833457625</v>
      </c>
      <c r="S32" s="13">
        <f>'TUSD BE'!$R$32*'TUSD BF'!$S$70</f>
        <v>0</v>
      </c>
      <c r="T32" s="13">
        <f ca="1">SUM($L$32:$S$32)</f>
        <v>35.145720747700601</v>
      </c>
      <c r="U32" s="13">
        <f>'TUSD BE'!$U$32*'TUSD BF'!$U$70</f>
        <v>3.6092601266859483</v>
      </c>
      <c r="V32" s="13">
        <f>'TUSD BE'!$V$32*'TUSD BF'!$V$70</f>
        <v>1.7105702814726604</v>
      </c>
      <c r="W32" s="13">
        <f>'TUSD BE'!$W$32*'TUSD BF'!$W$70</f>
        <v>0</v>
      </c>
      <c r="X32" s="13">
        <f>'TUSD BE'!$X$32*'TUSD BF'!$X$70</f>
        <v>0</v>
      </c>
      <c r="Y32" s="13">
        <f>'TUSD BE'!$Y$32*'TUSD BF'!$Y$70</f>
        <v>0</v>
      </c>
      <c r="Z32" s="13">
        <f>'TUSD BE'!$Z$32*'TUSD BF'!$Z$70</f>
        <v>0</v>
      </c>
      <c r="AA32" s="13">
        <f>'TUSD BE'!$AA$32*'TUSD BF'!$AA$70</f>
        <v>0</v>
      </c>
      <c r="AB32" s="13">
        <f>SUM($U$32:$AA$32)</f>
        <v>5.3198304081586087</v>
      </c>
      <c r="AC32" s="13">
        <f>'TUSD BE'!$AC$32*'TUSD BF'!$AC$70</f>
        <v>0</v>
      </c>
      <c r="AD32" s="13">
        <f>SUM($AC$32:$AC$32)</f>
        <v>0</v>
      </c>
      <c r="AE32" s="13">
        <f ca="1">$AO$32*$AO$67</f>
        <v>0</v>
      </c>
      <c r="AF32" s="13">
        <f ca="1">$AP$32*$AP$67</f>
        <v>0</v>
      </c>
      <c r="AG32" s="13">
        <f ca="1">SUM($AE$32:$AF$32)</f>
        <v>0</v>
      </c>
      <c r="AH32" s="13">
        <f>'TUSD BE'!$AH$32*'TUSD BF'!$AH$70</f>
        <v>-1.2005156801843442</v>
      </c>
      <c r="AI32" s="13">
        <f>'TUSD BE'!$AI$32*'TUSD BF'!$AI$70</f>
        <v>-3.5326726089119291E-2</v>
      </c>
      <c r="AJ32" s="13">
        <f ca="1">'TUSD BE'!$AJ$32*'TUSD BF'!$AJ$70</f>
        <v>-8.0547162698289418E-2</v>
      </c>
      <c r="AK32" s="13">
        <f ca="1">'TUSD BE'!$AK$32*'TUSD BF'!$AK$70</f>
        <v>0</v>
      </c>
      <c r="AL32" s="13">
        <f ca="1">SUM($AH$32:$AK$32)</f>
        <v>-1.3163895689717529</v>
      </c>
      <c r="AM32" s="13">
        <f ca="1">SUMIF($L$4:$AL$4,"SUBTOTAL",$L$32:$AL$32)</f>
        <v>39.149161586887459</v>
      </c>
      <c r="AO32" s="20">
        <f ca="1">+'TUSD BE'!$T$32+'TUSD BE'!$AB$32+'TUSD BE'!$AD$32+'TUSD BE'!$AL$32</f>
        <v>459.15878161916231</v>
      </c>
      <c r="AP32" s="20">
        <f ca="1">+'TUSD BE'!$T$32+'TUSD BE'!$AB$32+'TUSD BE'!$AD$32+'TUSD BE'!$AL$32</f>
        <v>459.15878161916231</v>
      </c>
    </row>
    <row r="33" spans="1:42" ht="11.25" customHeight="1" x14ac:dyDescent="0.3">
      <c r="A33" s="137"/>
      <c r="B33" s="137"/>
      <c r="C33" s="137"/>
      <c r="D33" s="17" t="s">
        <v>29</v>
      </c>
      <c r="E33" s="17" t="s">
        <v>25</v>
      </c>
      <c r="F33" s="17" t="s">
        <v>25</v>
      </c>
      <c r="G33" s="18" t="s">
        <v>83</v>
      </c>
      <c r="H33" s="18" t="s">
        <v>79</v>
      </c>
      <c r="I33" s="18">
        <f>'MERCADO TUSD'!$U$30</f>
        <v>1110.3100000000002</v>
      </c>
      <c r="J33" s="15"/>
      <c r="L33" s="13">
        <f>'TUSD BE'!$L$33*'TUSD BF'!$L$70</f>
        <v>0</v>
      </c>
      <c r="M33" s="13">
        <f>'TUSD BE'!$M$33*'TUSD BF'!$M$70</f>
        <v>0</v>
      </c>
      <c r="N33" s="13">
        <f ca="1">'TUSD BE'!$N$33*'TUSD BF'!$N$70</f>
        <v>0</v>
      </c>
      <c r="O33" s="13">
        <f>'TUSD BE'!$O$33*'TUSD BF'!$O$70</f>
        <v>0</v>
      </c>
      <c r="P33" s="13">
        <f>'TUSD BE'!$P$33*'TUSD BF'!$P$70</f>
        <v>0</v>
      </c>
      <c r="Q33" s="13">
        <f>'TUSD BE'!$Q$33*'TUSD BF'!$Q$70</f>
        <v>0</v>
      </c>
      <c r="R33" s="13">
        <f>'TUSD BE'!$R$33*'TUSD BF'!$R$70</f>
        <v>0</v>
      </c>
      <c r="S33" s="13">
        <f>'TUSD BE'!$R$33*'TUSD BF'!$S$70</f>
        <v>0</v>
      </c>
      <c r="T33" s="13">
        <f ca="1">SUM($L$33:$S$33)</f>
        <v>0</v>
      </c>
      <c r="U33" s="13">
        <f>'TUSD BE'!$U$33*'TUSD BF'!$U$70</f>
        <v>3.6092601266859483</v>
      </c>
      <c r="V33" s="13">
        <f>'TUSD BE'!$V$33*'TUSD BF'!$V$70</f>
        <v>1.7105702814726604</v>
      </c>
      <c r="W33" s="13">
        <f>'TUSD BE'!$W$33*'TUSD BF'!$W$70</f>
        <v>0</v>
      </c>
      <c r="X33" s="13">
        <f>'TUSD BE'!$X$33*'TUSD BF'!$X$70</f>
        <v>0</v>
      </c>
      <c r="Y33" s="13">
        <f>'TUSD BE'!$Y$33*'TUSD BF'!$Y$70</f>
        <v>0</v>
      </c>
      <c r="Z33" s="13">
        <f>'TUSD BE'!$Z$33*'TUSD BF'!$Z$70</f>
        <v>0</v>
      </c>
      <c r="AA33" s="13">
        <f>'TUSD BE'!$AA$33*'TUSD BF'!$AA$70</f>
        <v>0</v>
      </c>
      <c r="AB33" s="13">
        <f>SUM($U$33:$AA$33)</f>
        <v>5.3198304081586087</v>
      </c>
      <c r="AC33" s="13">
        <f>'TUSD BE'!$AC$33*'TUSD BF'!$AC$70</f>
        <v>0</v>
      </c>
      <c r="AD33" s="13">
        <f>SUM($AC$33:$AC$33)</f>
        <v>0</v>
      </c>
      <c r="AE33" s="13">
        <f ca="1">$AO$33*$AO$67</f>
        <v>0</v>
      </c>
      <c r="AF33" s="13">
        <f ca="1">$AP$33*$AP$67</f>
        <v>0</v>
      </c>
      <c r="AG33" s="13">
        <f ca="1">SUM($AE$33:$AF$33)</f>
        <v>0</v>
      </c>
      <c r="AH33" s="13">
        <f>'TUSD BE'!$AH$33*'TUSD BF'!$AH$70</f>
        <v>-1.2005156801843442</v>
      </c>
      <c r="AI33" s="13">
        <f>'TUSD BE'!$AI$33*'TUSD BF'!$AI$70</f>
        <v>-3.5326726089119291E-2</v>
      </c>
      <c r="AJ33" s="13">
        <f ca="1">'TUSD BE'!$AJ$33*'TUSD BF'!$AJ$70</f>
        <v>-8.0547162698289418E-2</v>
      </c>
      <c r="AK33" s="13">
        <f ca="1">'TUSD BE'!$AK$33*'TUSD BF'!$AK$70</f>
        <v>0</v>
      </c>
      <c r="AL33" s="13">
        <f ca="1">SUM($AH$33:$AK$33)</f>
        <v>-1.3163895689717529</v>
      </c>
      <c r="AM33" s="13">
        <f ca="1">SUMIF($L$4:$AL$4,"SUBTOTAL",$L$33:$AL$33)</f>
        <v>4.0034408391868563</v>
      </c>
      <c r="AO33" s="20">
        <f ca="1">+'TUSD BE'!$T$33+'TUSD BE'!$AB$33+'TUSD BE'!$AD$33+'TUSD BE'!$AL$33</f>
        <v>337.52423308575692</v>
      </c>
      <c r="AP33" s="20">
        <f ca="1">+'TUSD BE'!$T$33+'TUSD BE'!$AB$33+'TUSD BE'!$AD$33+'TUSD BE'!$AL$33</f>
        <v>337.52423308575692</v>
      </c>
    </row>
    <row r="34" spans="1:42" ht="11.25" customHeight="1" x14ac:dyDescent="0.3">
      <c r="A34" s="137"/>
      <c r="B34" s="137"/>
      <c r="C34" s="137"/>
      <c r="D34" s="17" t="s">
        <v>30</v>
      </c>
      <c r="E34" s="17" t="s">
        <v>25</v>
      </c>
      <c r="F34" s="17" t="s">
        <v>25</v>
      </c>
      <c r="G34" s="18" t="s">
        <v>83</v>
      </c>
      <c r="H34" s="18" t="s">
        <v>79</v>
      </c>
      <c r="I34" s="18">
        <f>'MERCADO TUSD'!$U$31</f>
        <v>2263.0230000000001</v>
      </c>
      <c r="J34" s="15"/>
      <c r="L34" s="13">
        <f>'TUSD BE'!$L$34*'TUSD BF'!$L$70</f>
        <v>0</v>
      </c>
      <c r="M34" s="13">
        <f>'TUSD BE'!$M$34*'TUSD BF'!$M$70</f>
        <v>0</v>
      </c>
      <c r="N34" s="13">
        <f ca="1">'TUSD BE'!$N$34*'TUSD BF'!$N$70</f>
        <v>0</v>
      </c>
      <c r="O34" s="13">
        <f>'TUSD BE'!$O$34*'TUSD BF'!$O$70</f>
        <v>0</v>
      </c>
      <c r="P34" s="13">
        <f>'TUSD BE'!$P$34*'TUSD BF'!$P$70</f>
        <v>0</v>
      </c>
      <c r="Q34" s="13">
        <f>'TUSD BE'!$Q$34*'TUSD BF'!$Q$70</f>
        <v>0</v>
      </c>
      <c r="R34" s="13">
        <f>'TUSD BE'!$R$34*'TUSD BF'!$R$70</f>
        <v>0</v>
      </c>
      <c r="S34" s="13">
        <f>'TUSD BE'!$R$34*'TUSD BF'!$S$70</f>
        <v>0</v>
      </c>
      <c r="T34" s="13">
        <f ca="1">SUM($L$34:$S$34)</f>
        <v>0</v>
      </c>
      <c r="U34" s="13">
        <f>'TUSD BE'!$U$34*'TUSD BF'!$U$70</f>
        <v>3.6092601266859483</v>
      </c>
      <c r="V34" s="13">
        <f>'TUSD BE'!$V$34*'TUSD BF'!$V$70</f>
        <v>1.7105702814726604</v>
      </c>
      <c r="W34" s="13">
        <f>'TUSD BE'!$W$34*'TUSD BF'!$W$70</f>
        <v>0</v>
      </c>
      <c r="X34" s="13">
        <f>'TUSD BE'!$X$34*'TUSD BF'!$X$70</f>
        <v>0</v>
      </c>
      <c r="Y34" s="13">
        <f>'TUSD BE'!$Y$34*'TUSD BF'!$Y$70</f>
        <v>0</v>
      </c>
      <c r="Z34" s="13">
        <f>'TUSD BE'!$Z$34*'TUSD BF'!$Z$70</f>
        <v>0</v>
      </c>
      <c r="AA34" s="13">
        <f>'TUSD BE'!$AA$34*'TUSD BF'!$AA$70</f>
        <v>0</v>
      </c>
      <c r="AB34" s="13">
        <f>SUM($U$34:$AA$34)</f>
        <v>5.3198304081586087</v>
      </c>
      <c r="AC34" s="13">
        <f>'TUSD BE'!$AC$34*'TUSD BF'!$AC$70</f>
        <v>0</v>
      </c>
      <c r="AD34" s="13">
        <f>SUM($AC$34:$AC$34)</f>
        <v>0</v>
      </c>
      <c r="AE34" s="13">
        <f ca="1">$AO$34*$AO$67</f>
        <v>0</v>
      </c>
      <c r="AF34" s="13">
        <f ca="1">$AP$34*$AP$67</f>
        <v>0</v>
      </c>
      <c r="AG34" s="13">
        <f ca="1">SUM($AE$34:$AF$34)</f>
        <v>0</v>
      </c>
      <c r="AH34" s="13">
        <f>'TUSD BE'!$AH$34*'TUSD BF'!$AH$70</f>
        <v>-1.2005156801843442</v>
      </c>
      <c r="AI34" s="13">
        <f>'TUSD BE'!$AI$34*'TUSD BF'!$AI$70</f>
        <v>-3.5326726089119291E-2</v>
      </c>
      <c r="AJ34" s="13">
        <f ca="1">'TUSD BE'!$AJ$34*'TUSD BF'!$AJ$70</f>
        <v>-8.0547162698289418E-2</v>
      </c>
      <c r="AK34" s="13">
        <f ca="1">'TUSD BE'!$AK$34*'TUSD BF'!$AK$70</f>
        <v>0</v>
      </c>
      <c r="AL34" s="13">
        <f ca="1">SUM($AH$34:$AK$34)</f>
        <v>-1.3163895689717529</v>
      </c>
      <c r="AM34" s="13">
        <f ca="1">SUMIF($L$4:$AL$4,"SUBTOTAL",$L$34:$AL$34)</f>
        <v>4.0034408391868563</v>
      </c>
      <c r="AO34" s="20">
        <f ca="1">+'TUSD BE'!$T$34+'TUSD BE'!$AB$34+'TUSD BE'!$AD$34+'TUSD BE'!$AL$34</f>
        <v>337.52423308575692</v>
      </c>
      <c r="AP34" s="20">
        <f ca="1">+'TUSD BE'!$T$34+'TUSD BE'!$AB$34+'TUSD BE'!$AD$34+'TUSD BE'!$AL$34</f>
        <v>337.52423308575692</v>
      </c>
    </row>
    <row r="35" spans="1:42" ht="11.25" customHeight="1" x14ac:dyDescent="0.3">
      <c r="A35" s="137"/>
      <c r="B35" s="137"/>
      <c r="C35" s="137"/>
      <c r="D35" s="17" t="s">
        <v>31</v>
      </c>
      <c r="E35" s="17" t="s">
        <v>25</v>
      </c>
      <c r="F35" s="17" t="s">
        <v>25</v>
      </c>
      <c r="G35" s="18" t="s">
        <v>83</v>
      </c>
      <c r="H35" s="18" t="s">
        <v>79</v>
      </c>
      <c r="I35" s="18">
        <f>'MERCADO TUSD'!$U$32</f>
        <v>1590.454</v>
      </c>
      <c r="J35" s="15"/>
      <c r="L35" s="13">
        <f>'TUSD BE'!$L$35*'TUSD BF'!$L$70</f>
        <v>0</v>
      </c>
      <c r="M35" s="13">
        <f>'TUSD BE'!$M$35*'TUSD BF'!$M$70</f>
        <v>0</v>
      </c>
      <c r="N35" s="13">
        <f ca="1">'TUSD BE'!$N$35*'TUSD BF'!$N$70</f>
        <v>0</v>
      </c>
      <c r="O35" s="13">
        <f>'TUSD BE'!$O$35*'TUSD BF'!$O$70</f>
        <v>0</v>
      </c>
      <c r="P35" s="13">
        <f>'TUSD BE'!$P$35*'TUSD BF'!$P$70</f>
        <v>0</v>
      </c>
      <c r="Q35" s="13">
        <f>'TUSD BE'!$Q$35*'TUSD BF'!$Q$70</f>
        <v>0</v>
      </c>
      <c r="R35" s="13">
        <f>'TUSD BE'!$R$35*'TUSD BF'!$R$70</f>
        <v>0</v>
      </c>
      <c r="S35" s="13">
        <f>'TUSD BE'!$R$35*'TUSD BF'!$S$70</f>
        <v>0</v>
      </c>
      <c r="T35" s="13">
        <f ca="1">SUM($L$35:$S$35)</f>
        <v>0</v>
      </c>
      <c r="U35" s="13">
        <f>'TUSD BE'!$U$35*'TUSD BF'!$U$70</f>
        <v>3.6092601266859483</v>
      </c>
      <c r="V35" s="13">
        <f>'TUSD BE'!$V$35*'TUSD BF'!$V$70</f>
        <v>1.7105702814726604</v>
      </c>
      <c r="W35" s="13">
        <f>'TUSD BE'!$W$35*'TUSD BF'!$W$70</f>
        <v>0</v>
      </c>
      <c r="X35" s="13">
        <f>'TUSD BE'!$X$35*'TUSD BF'!$X$70</f>
        <v>0</v>
      </c>
      <c r="Y35" s="13">
        <f>'TUSD BE'!$Y$35*'TUSD BF'!$Y$70</f>
        <v>0</v>
      </c>
      <c r="Z35" s="13">
        <f>'TUSD BE'!$Z$35*'TUSD BF'!$Z$70</f>
        <v>0</v>
      </c>
      <c r="AA35" s="13">
        <f>'TUSD BE'!$AA$35*'TUSD BF'!$AA$70</f>
        <v>0</v>
      </c>
      <c r="AB35" s="13">
        <f>SUM($U$35:$AA$35)</f>
        <v>5.3198304081586087</v>
      </c>
      <c r="AC35" s="13">
        <f>'TUSD BE'!$AC$35*'TUSD BF'!$AC$70</f>
        <v>0</v>
      </c>
      <c r="AD35" s="13">
        <f>SUM($AC$35:$AC$35)</f>
        <v>0</v>
      </c>
      <c r="AE35" s="13">
        <f ca="1">$AO$35*$AO$67</f>
        <v>0</v>
      </c>
      <c r="AF35" s="13">
        <f ca="1">$AP$35*$AP$67</f>
        <v>0</v>
      </c>
      <c r="AG35" s="13">
        <f ca="1">SUM($AE$35:$AF$35)</f>
        <v>0</v>
      </c>
      <c r="AH35" s="13">
        <f>'TUSD BE'!$AH$35*'TUSD BF'!$AH$70</f>
        <v>-1.2005156801843442</v>
      </c>
      <c r="AI35" s="13">
        <f>'TUSD BE'!$AI$35*'TUSD BF'!$AI$70</f>
        <v>-3.5326726089119291E-2</v>
      </c>
      <c r="AJ35" s="13">
        <f ca="1">'TUSD BE'!$AJ$35*'TUSD BF'!$AJ$70</f>
        <v>-8.0547162698289418E-2</v>
      </c>
      <c r="AK35" s="13">
        <f ca="1">'TUSD BE'!$AK$35*'TUSD BF'!$AK$70</f>
        <v>0</v>
      </c>
      <c r="AL35" s="13">
        <f ca="1">SUM($AH$35:$AK$35)</f>
        <v>-1.3163895689717529</v>
      </c>
      <c r="AM35" s="13">
        <f ca="1">SUMIF($L$4:$AL$4,"SUBTOTAL",$L$35:$AL$35)</f>
        <v>4.0034408391868563</v>
      </c>
      <c r="AO35" s="20">
        <f ca="1">+'TUSD BE'!$T$35+'TUSD BE'!$AB$35+'TUSD BE'!$AD$35+'TUSD BE'!$AL$35</f>
        <v>337.52423308575692</v>
      </c>
      <c r="AP35" s="20">
        <f ca="1">+'TUSD BE'!$T$35+'TUSD BE'!$AB$35+'TUSD BE'!$AD$35+'TUSD BE'!$AL$35</f>
        <v>337.52423308575692</v>
      </c>
    </row>
    <row r="36" spans="1:42" ht="11.25" customHeight="1" x14ac:dyDescent="0.3">
      <c r="A36" s="137"/>
      <c r="B36" s="137"/>
      <c r="C36" s="137"/>
      <c r="D36" s="17" t="s">
        <v>32</v>
      </c>
      <c r="E36" s="17" t="s">
        <v>25</v>
      </c>
      <c r="F36" s="17" t="s">
        <v>25</v>
      </c>
      <c r="G36" s="18" t="s">
        <v>83</v>
      </c>
      <c r="H36" s="18" t="s">
        <v>79</v>
      </c>
      <c r="I36" s="18">
        <f>'MERCADO TUSD'!$U$33</f>
        <v>284.12699999999995</v>
      </c>
      <c r="J36" s="15"/>
      <c r="L36" s="13">
        <f>'TUSD BE'!$L$36*'TUSD BF'!$L$70</f>
        <v>0</v>
      </c>
      <c r="M36" s="13">
        <f>'TUSD BE'!$M$36*'TUSD BF'!$M$70</f>
        <v>0</v>
      </c>
      <c r="N36" s="13">
        <f ca="1">'TUSD BE'!$N$36*'TUSD BF'!$N$70</f>
        <v>0</v>
      </c>
      <c r="O36" s="13">
        <f>'TUSD BE'!$O$36*'TUSD BF'!$O$70</f>
        <v>0</v>
      </c>
      <c r="P36" s="13">
        <f>'TUSD BE'!$P$36*'TUSD BF'!$P$70</f>
        <v>0</v>
      </c>
      <c r="Q36" s="13">
        <f>'TUSD BE'!$Q$36*'TUSD BF'!$Q$70</f>
        <v>0</v>
      </c>
      <c r="R36" s="13">
        <f>'TUSD BE'!$R$36*'TUSD BF'!$R$70</f>
        <v>0</v>
      </c>
      <c r="S36" s="13">
        <f>'TUSD BE'!$R$36*'TUSD BF'!$S$70</f>
        <v>0</v>
      </c>
      <c r="T36" s="13">
        <f ca="1">SUM($L$36:$S$36)</f>
        <v>0</v>
      </c>
      <c r="U36" s="13">
        <f>'TUSD BE'!$U$36*'TUSD BF'!$U$70</f>
        <v>3.6092601266859483</v>
      </c>
      <c r="V36" s="13">
        <f>'TUSD BE'!$V$36*'TUSD BF'!$V$70</f>
        <v>1.7105702814726604</v>
      </c>
      <c r="W36" s="13">
        <f>'TUSD BE'!$W$36*'TUSD BF'!$W$70</f>
        <v>0</v>
      </c>
      <c r="X36" s="13">
        <f>'TUSD BE'!$X$36*'TUSD BF'!$X$70</f>
        <v>0</v>
      </c>
      <c r="Y36" s="13">
        <f>'TUSD BE'!$Y$36*'TUSD BF'!$Y$70</f>
        <v>0</v>
      </c>
      <c r="Z36" s="13">
        <f>'TUSD BE'!$Z$36*'TUSD BF'!$Z$70</f>
        <v>0</v>
      </c>
      <c r="AA36" s="13">
        <f>'TUSD BE'!$AA$36*'TUSD BF'!$AA$70</f>
        <v>0</v>
      </c>
      <c r="AB36" s="13">
        <f>SUM($U$36:$AA$36)</f>
        <v>5.3198304081586087</v>
      </c>
      <c r="AC36" s="13">
        <f>'TUSD BE'!$AC$36*'TUSD BF'!$AC$70</f>
        <v>0</v>
      </c>
      <c r="AD36" s="13">
        <f>SUM($AC$36:$AC$36)</f>
        <v>0</v>
      </c>
      <c r="AE36" s="13">
        <f ca="1">$AO$36*$AO$67</f>
        <v>0</v>
      </c>
      <c r="AF36" s="13">
        <f ca="1">$AP$36*$AP$67</f>
        <v>0</v>
      </c>
      <c r="AG36" s="13">
        <f ca="1">SUM($AE$36:$AF$36)</f>
        <v>0</v>
      </c>
      <c r="AH36" s="13">
        <f>'TUSD BE'!$AH$36*'TUSD BF'!$AH$70</f>
        <v>-1.2005156801843442</v>
      </c>
      <c r="AI36" s="13">
        <f>'TUSD BE'!$AI$36*'TUSD BF'!$AI$70</f>
        <v>-3.5326726089119291E-2</v>
      </c>
      <c r="AJ36" s="13">
        <f ca="1">'TUSD BE'!$AJ$36*'TUSD BF'!$AJ$70</f>
        <v>-8.0547162698289418E-2</v>
      </c>
      <c r="AK36" s="13">
        <f ca="1">'TUSD BE'!$AK$36*'TUSD BF'!$AK$70</f>
        <v>0</v>
      </c>
      <c r="AL36" s="13">
        <f ca="1">SUM($AH$36:$AK$36)</f>
        <v>-1.3163895689717529</v>
      </c>
      <c r="AM36" s="13">
        <f ca="1">SUMIF($L$4:$AL$4,"SUBTOTAL",$L$36:$AL$36)</f>
        <v>4.0034408391868563</v>
      </c>
      <c r="AO36" s="20">
        <f ca="1">+'TUSD BE'!$T$36+'TUSD BE'!$AB$36+'TUSD BE'!$AD$36+'TUSD BE'!$AL$36</f>
        <v>337.52423308575692</v>
      </c>
      <c r="AP36" s="20">
        <f ca="1">+'TUSD BE'!$T$36+'TUSD BE'!$AB$36+'TUSD BE'!$AD$36+'TUSD BE'!$AL$36</f>
        <v>337.52423308575692</v>
      </c>
    </row>
    <row r="37" spans="1:42" ht="11.25" customHeight="1" x14ac:dyDescent="0.3">
      <c r="A37" s="137"/>
      <c r="B37" s="137" t="s">
        <v>93</v>
      </c>
      <c r="C37" s="137" t="s">
        <v>24</v>
      </c>
      <c r="D37" s="17" t="s">
        <v>24</v>
      </c>
      <c r="E37" s="17" t="s">
        <v>25</v>
      </c>
      <c r="F37" s="17" t="s">
        <v>25</v>
      </c>
      <c r="G37" s="18" t="s">
        <v>83</v>
      </c>
      <c r="H37" s="18" t="s">
        <v>79</v>
      </c>
      <c r="I37" s="18">
        <f>'MERCADO TUSD'!$U$34</f>
        <v>0</v>
      </c>
      <c r="J37" s="15"/>
      <c r="L37" s="13">
        <f>'TUSD BE'!$L$37*'TUSD BF'!$L$70</f>
        <v>0.92326902583634241</v>
      </c>
      <c r="M37" s="13">
        <f>'TUSD BE'!$M$37*'TUSD BF'!$M$70</f>
        <v>0</v>
      </c>
      <c r="N37" s="13">
        <f ca="1">'TUSD BE'!$N$37*'TUSD BF'!$N$70</f>
        <v>0</v>
      </c>
      <c r="O37" s="13">
        <f>'TUSD BE'!$O$37*'TUSD BF'!$O$70</f>
        <v>0</v>
      </c>
      <c r="P37" s="13">
        <f>'TUSD BE'!$P$37*'TUSD BF'!$P$70</f>
        <v>0</v>
      </c>
      <c r="Q37" s="13">
        <f>'TUSD BE'!$Q$37*'TUSD BF'!$Q$70</f>
        <v>28.959669438518496</v>
      </c>
      <c r="R37" s="13">
        <f>'TUSD BE'!$R$37*'TUSD BF'!$R$70</f>
        <v>5.2627822833457625</v>
      </c>
      <c r="S37" s="13">
        <f>'TUSD BE'!$R$37*'TUSD BF'!$S$70</f>
        <v>0</v>
      </c>
      <c r="T37" s="13">
        <f ca="1">SUM($L$37:$S$37)</f>
        <v>35.145720747700601</v>
      </c>
      <c r="U37" s="13">
        <f>'TUSD BE'!$U$37*'TUSD BF'!$U$70</f>
        <v>3.6092601266859483</v>
      </c>
      <c r="V37" s="13">
        <f>'TUSD BE'!$V$37*'TUSD BF'!$V$70</f>
        <v>1.7105702814726604</v>
      </c>
      <c r="W37" s="13">
        <f>'TUSD BE'!$W$37*'TUSD BF'!$W$70</f>
        <v>0</v>
      </c>
      <c r="X37" s="13">
        <f>'TUSD BE'!$X$37*'TUSD BF'!$X$70</f>
        <v>0</v>
      </c>
      <c r="Y37" s="13">
        <f>'TUSD BE'!$Y$37*'TUSD BF'!$Y$70</f>
        <v>0</v>
      </c>
      <c r="Z37" s="13">
        <f>'TUSD BE'!$Z$37*'TUSD BF'!$Z$70</f>
        <v>0</v>
      </c>
      <c r="AA37" s="13">
        <f>'TUSD BE'!$AA$37*'TUSD BF'!$AA$70</f>
        <v>0</v>
      </c>
      <c r="AB37" s="13">
        <f>SUM($U$37:$AA$37)</f>
        <v>5.3198304081586087</v>
      </c>
      <c r="AC37" s="13">
        <f>'TUSD BE'!$AC$37*'TUSD BF'!$AC$70</f>
        <v>0</v>
      </c>
      <c r="AD37" s="13">
        <f>SUM($AC$37:$AC$37)</f>
        <v>0</v>
      </c>
      <c r="AE37" s="13">
        <f ca="1">$AO$37*$AO$67</f>
        <v>0</v>
      </c>
      <c r="AF37" s="13">
        <f ca="1">$AP$37*$AP$67</f>
        <v>0</v>
      </c>
      <c r="AG37" s="13">
        <f ca="1">SUM($AE$37:$AF$37)</f>
        <v>0</v>
      </c>
      <c r="AH37" s="13">
        <f>'TUSD BE'!$AH$37*'TUSD BF'!$AH$70</f>
        <v>-1.2005156801843442</v>
      </c>
      <c r="AI37" s="13">
        <f>'TUSD BE'!$AI$37*'TUSD BF'!$AI$70</f>
        <v>-3.5326726089119291E-2</v>
      </c>
      <c r="AJ37" s="13">
        <f ca="1">'TUSD BE'!$AJ$37*'TUSD BF'!$AJ$70</f>
        <v>-8.0547162698289418E-2</v>
      </c>
      <c r="AK37" s="13">
        <f ca="1">'TUSD BE'!$AK$37*'TUSD BF'!$AK$70</f>
        <v>0</v>
      </c>
      <c r="AL37" s="13">
        <f ca="1">SUM($AH$37:$AK$37)</f>
        <v>-1.3163895689717529</v>
      </c>
      <c r="AM37" s="13">
        <f ca="1">SUMIF($L$4:$AL$4,"SUBTOTAL",$L$37:$AL$37)</f>
        <v>39.149161586887459</v>
      </c>
      <c r="AO37" s="20">
        <f ca="1">+'TUSD BE'!$T$37+'TUSD BE'!$AB$37+'TUSD BE'!$AD$37+'TUSD BE'!$AL$37</f>
        <v>459.15878161916231</v>
      </c>
      <c r="AP37" s="20">
        <f ca="1">+'TUSD BE'!$T$37+'TUSD BE'!$AB$37+'TUSD BE'!$AD$37+'TUSD BE'!$AL$37</f>
        <v>459.15878161916231</v>
      </c>
    </row>
    <row r="38" spans="1:42" ht="11.25" customHeight="1" x14ac:dyDescent="0.3">
      <c r="A38" s="137"/>
      <c r="B38" s="137"/>
      <c r="C38" s="137"/>
      <c r="D38" s="17" t="s">
        <v>29</v>
      </c>
      <c r="E38" s="17" t="s">
        <v>25</v>
      </c>
      <c r="F38" s="17" t="s">
        <v>25</v>
      </c>
      <c r="G38" s="18" t="s">
        <v>83</v>
      </c>
      <c r="H38" s="18" t="s">
        <v>79</v>
      </c>
      <c r="I38" s="18">
        <f>'MERCADO TUSD'!$U$35</f>
        <v>0</v>
      </c>
      <c r="J38" s="15"/>
      <c r="L38" s="13">
        <f>'TUSD BE'!$L$38*'TUSD BF'!$L$70</f>
        <v>0</v>
      </c>
      <c r="M38" s="13">
        <f>'TUSD BE'!$M$38*'TUSD BF'!$M$70</f>
        <v>0</v>
      </c>
      <c r="N38" s="13">
        <f ca="1">'TUSD BE'!$N$38*'TUSD BF'!$N$70</f>
        <v>0</v>
      </c>
      <c r="O38" s="13">
        <f>'TUSD BE'!$O$38*'TUSD BF'!$O$70</f>
        <v>0</v>
      </c>
      <c r="P38" s="13">
        <f>'TUSD BE'!$P$38*'TUSD BF'!$P$70</f>
        <v>0</v>
      </c>
      <c r="Q38" s="13">
        <f>'TUSD BE'!$Q$38*'TUSD BF'!$Q$70</f>
        <v>0</v>
      </c>
      <c r="R38" s="13">
        <f>'TUSD BE'!$R$38*'TUSD BF'!$R$70</f>
        <v>0</v>
      </c>
      <c r="S38" s="13">
        <f>'TUSD BE'!$R$38*'TUSD BF'!$S$70</f>
        <v>0</v>
      </c>
      <c r="T38" s="13">
        <f ca="1">SUM($L$38:$S$38)</f>
        <v>0</v>
      </c>
      <c r="U38" s="13">
        <f>'TUSD BE'!$U$38*'TUSD BF'!$U$70</f>
        <v>3.6092601266859483</v>
      </c>
      <c r="V38" s="13">
        <f>'TUSD BE'!$V$38*'TUSD BF'!$V$70</f>
        <v>1.7105702814726604</v>
      </c>
      <c r="W38" s="13">
        <f>'TUSD BE'!$W$38*'TUSD BF'!$W$70</f>
        <v>0</v>
      </c>
      <c r="X38" s="13">
        <f>'TUSD BE'!$X$38*'TUSD BF'!$X$70</f>
        <v>0</v>
      </c>
      <c r="Y38" s="13">
        <f>'TUSD BE'!$Y$38*'TUSD BF'!$Y$70</f>
        <v>0</v>
      </c>
      <c r="Z38" s="13">
        <f>'TUSD BE'!$Z$38*'TUSD BF'!$Z$70</f>
        <v>0</v>
      </c>
      <c r="AA38" s="13">
        <f>'TUSD BE'!$AA$38*'TUSD BF'!$AA$70</f>
        <v>0</v>
      </c>
      <c r="AB38" s="13">
        <f>SUM($U$38:$AA$38)</f>
        <v>5.3198304081586087</v>
      </c>
      <c r="AC38" s="13">
        <f>'TUSD BE'!$AC$38*'TUSD BF'!$AC$70</f>
        <v>0</v>
      </c>
      <c r="AD38" s="13">
        <f>SUM($AC$38:$AC$38)</f>
        <v>0</v>
      </c>
      <c r="AE38" s="13">
        <f ca="1">$AO$38*$AO$67</f>
        <v>0</v>
      </c>
      <c r="AF38" s="13">
        <f ca="1">$AP$38*$AP$67</f>
        <v>0</v>
      </c>
      <c r="AG38" s="13">
        <f ca="1">SUM($AE$38:$AF$38)</f>
        <v>0</v>
      </c>
      <c r="AH38" s="13">
        <f>'TUSD BE'!$AH$38*'TUSD BF'!$AH$70</f>
        <v>-1.2005156801843442</v>
      </c>
      <c r="AI38" s="13">
        <f>'TUSD BE'!$AI$38*'TUSD BF'!$AI$70</f>
        <v>-3.5326726089119291E-2</v>
      </c>
      <c r="AJ38" s="13">
        <f ca="1">'TUSD BE'!$AJ$38*'TUSD BF'!$AJ$70</f>
        <v>-8.0547162698289418E-2</v>
      </c>
      <c r="AK38" s="13">
        <f ca="1">'TUSD BE'!$AK$38*'TUSD BF'!$AK$70</f>
        <v>0</v>
      </c>
      <c r="AL38" s="13">
        <f ca="1">SUM($AH$38:$AK$38)</f>
        <v>-1.3163895689717529</v>
      </c>
      <c r="AM38" s="13">
        <f ca="1">SUMIF($L$4:$AL$4,"SUBTOTAL",$L$38:$AL$38)</f>
        <v>4.0034408391868563</v>
      </c>
      <c r="AO38" s="20">
        <f ca="1">+'TUSD BE'!$T$38+'TUSD BE'!$AB$38+'TUSD BE'!$AD$38+'TUSD BE'!$AL$38</f>
        <v>337.52423308575692</v>
      </c>
      <c r="AP38" s="20">
        <f ca="1">+'TUSD BE'!$T$38+'TUSD BE'!$AB$38+'TUSD BE'!$AD$38+'TUSD BE'!$AL$38</f>
        <v>337.52423308575692</v>
      </c>
    </row>
    <row r="39" spans="1:42" ht="11.25" customHeight="1" x14ac:dyDescent="0.3">
      <c r="A39" s="137"/>
      <c r="B39" s="137"/>
      <c r="C39" s="137"/>
      <c r="D39" s="17" t="s">
        <v>30</v>
      </c>
      <c r="E39" s="17" t="s">
        <v>25</v>
      </c>
      <c r="F39" s="17" t="s">
        <v>25</v>
      </c>
      <c r="G39" s="18" t="s">
        <v>83</v>
      </c>
      <c r="H39" s="18" t="s">
        <v>79</v>
      </c>
      <c r="I39" s="18">
        <f>'MERCADO TUSD'!$U$36</f>
        <v>0</v>
      </c>
      <c r="J39" s="15"/>
      <c r="L39" s="13">
        <f>'TUSD BE'!$L$39*'TUSD BF'!$L$70</f>
        <v>0</v>
      </c>
      <c r="M39" s="13">
        <f>'TUSD BE'!$M$39*'TUSD BF'!$M$70</f>
        <v>0</v>
      </c>
      <c r="N39" s="13">
        <f ca="1">'TUSD BE'!$N$39*'TUSD BF'!$N$70</f>
        <v>0</v>
      </c>
      <c r="O39" s="13">
        <f>'TUSD BE'!$O$39*'TUSD BF'!$O$70</f>
        <v>0</v>
      </c>
      <c r="P39" s="13">
        <f>'TUSD BE'!$P$39*'TUSD BF'!$P$70</f>
        <v>0</v>
      </c>
      <c r="Q39" s="13">
        <f>'TUSD BE'!$Q$39*'TUSD BF'!$Q$70</f>
        <v>0</v>
      </c>
      <c r="R39" s="13">
        <f>'TUSD BE'!$R$39*'TUSD BF'!$R$70</f>
        <v>0</v>
      </c>
      <c r="S39" s="13">
        <f>'TUSD BE'!$R$39*'TUSD BF'!$S$70</f>
        <v>0</v>
      </c>
      <c r="T39" s="13">
        <f ca="1">SUM($L$39:$S$39)</f>
        <v>0</v>
      </c>
      <c r="U39" s="13">
        <f>'TUSD BE'!$U$39*'TUSD BF'!$U$70</f>
        <v>3.6092601266859483</v>
      </c>
      <c r="V39" s="13">
        <f>'TUSD BE'!$V$39*'TUSD BF'!$V$70</f>
        <v>1.7105702814726604</v>
      </c>
      <c r="W39" s="13">
        <f>'TUSD BE'!$W$39*'TUSD BF'!$W$70</f>
        <v>0</v>
      </c>
      <c r="X39" s="13">
        <f>'TUSD BE'!$X$39*'TUSD BF'!$X$70</f>
        <v>0</v>
      </c>
      <c r="Y39" s="13">
        <f>'TUSD BE'!$Y$39*'TUSD BF'!$Y$70</f>
        <v>0</v>
      </c>
      <c r="Z39" s="13">
        <f>'TUSD BE'!$Z$39*'TUSD BF'!$Z$70</f>
        <v>0</v>
      </c>
      <c r="AA39" s="13">
        <f>'TUSD BE'!$AA$39*'TUSD BF'!$AA$70</f>
        <v>0</v>
      </c>
      <c r="AB39" s="13">
        <f>SUM($U$39:$AA$39)</f>
        <v>5.3198304081586087</v>
      </c>
      <c r="AC39" s="13">
        <f>'TUSD BE'!$AC$39*'TUSD BF'!$AC$70</f>
        <v>0</v>
      </c>
      <c r="AD39" s="13">
        <f>SUM($AC$39:$AC$39)</f>
        <v>0</v>
      </c>
      <c r="AE39" s="13">
        <f ca="1">$AO$39*$AO$67</f>
        <v>0</v>
      </c>
      <c r="AF39" s="13">
        <f ca="1">$AP$39*$AP$67</f>
        <v>0</v>
      </c>
      <c r="AG39" s="13">
        <f ca="1">SUM($AE$39:$AF$39)</f>
        <v>0</v>
      </c>
      <c r="AH39" s="13">
        <f>'TUSD BE'!$AH$39*'TUSD BF'!$AH$70</f>
        <v>-1.2005156801843442</v>
      </c>
      <c r="AI39" s="13">
        <f>'TUSD BE'!$AI$39*'TUSD BF'!$AI$70</f>
        <v>-3.5326726089119291E-2</v>
      </c>
      <c r="AJ39" s="13">
        <f ca="1">'TUSD BE'!$AJ$39*'TUSD BF'!$AJ$70</f>
        <v>-8.0547162698289418E-2</v>
      </c>
      <c r="AK39" s="13">
        <f ca="1">'TUSD BE'!$AK$39*'TUSD BF'!$AK$70</f>
        <v>0</v>
      </c>
      <c r="AL39" s="13">
        <f ca="1">SUM($AH$39:$AK$39)</f>
        <v>-1.3163895689717529</v>
      </c>
      <c r="AM39" s="13">
        <f ca="1">SUMIF($L$4:$AL$4,"SUBTOTAL",$L$39:$AL$39)</f>
        <v>4.0034408391868563</v>
      </c>
      <c r="AO39" s="20">
        <f ca="1">+'TUSD BE'!$T$39+'TUSD BE'!$AB$39+'TUSD BE'!$AD$39+'TUSD BE'!$AL$39</f>
        <v>337.52423308575692</v>
      </c>
      <c r="AP39" s="20">
        <f ca="1">+'TUSD BE'!$T$39+'TUSD BE'!$AB$39+'TUSD BE'!$AD$39+'TUSD BE'!$AL$39</f>
        <v>337.52423308575692</v>
      </c>
    </row>
    <row r="40" spans="1:42" ht="11.25" customHeight="1" x14ac:dyDescent="0.3">
      <c r="A40" s="137"/>
      <c r="B40" s="137"/>
      <c r="C40" s="137"/>
      <c r="D40" s="17" t="s">
        <v>31</v>
      </c>
      <c r="E40" s="17" t="s">
        <v>25</v>
      </c>
      <c r="F40" s="17" t="s">
        <v>25</v>
      </c>
      <c r="G40" s="18" t="s">
        <v>83</v>
      </c>
      <c r="H40" s="18" t="s">
        <v>79</v>
      </c>
      <c r="I40" s="18">
        <f>'MERCADO TUSD'!$U$37</f>
        <v>0</v>
      </c>
      <c r="J40" s="15"/>
      <c r="L40" s="13">
        <f>'TUSD BE'!$L$40*'TUSD BF'!$L$70</f>
        <v>0</v>
      </c>
      <c r="M40" s="13">
        <f>'TUSD BE'!$M$40*'TUSD BF'!$M$70</f>
        <v>0</v>
      </c>
      <c r="N40" s="13">
        <f ca="1">'TUSD BE'!$N$40*'TUSD BF'!$N$70</f>
        <v>0</v>
      </c>
      <c r="O40" s="13">
        <f>'TUSD BE'!$O$40*'TUSD BF'!$O$70</f>
        <v>0</v>
      </c>
      <c r="P40" s="13">
        <f>'TUSD BE'!$P$40*'TUSD BF'!$P$70</f>
        <v>0</v>
      </c>
      <c r="Q40" s="13">
        <f>'TUSD BE'!$Q$40*'TUSD BF'!$Q$70</f>
        <v>0</v>
      </c>
      <c r="R40" s="13">
        <f>'TUSD BE'!$R$40*'TUSD BF'!$R$70</f>
        <v>0</v>
      </c>
      <c r="S40" s="13">
        <f>'TUSD BE'!$R$40*'TUSD BF'!$S$70</f>
        <v>0</v>
      </c>
      <c r="T40" s="13">
        <f ca="1">SUM($L$40:$S$40)</f>
        <v>0</v>
      </c>
      <c r="U40" s="13">
        <f>'TUSD BE'!$U$40*'TUSD BF'!$U$70</f>
        <v>3.6092601266859483</v>
      </c>
      <c r="V40" s="13">
        <f>'TUSD BE'!$V$40*'TUSD BF'!$V$70</f>
        <v>1.7105702814726604</v>
      </c>
      <c r="W40" s="13">
        <f>'TUSD BE'!$W$40*'TUSD BF'!$W$70</f>
        <v>0</v>
      </c>
      <c r="X40" s="13">
        <f>'TUSD BE'!$X$40*'TUSD BF'!$X$70</f>
        <v>0</v>
      </c>
      <c r="Y40" s="13">
        <f>'TUSD BE'!$Y$40*'TUSD BF'!$Y$70</f>
        <v>0</v>
      </c>
      <c r="Z40" s="13">
        <f>'TUSD BE'!$Z$40*'TUSD BF'!$Z$70</f>
        <v>0</v>
      </c>
      <c r="AA40" s="13">
        <f>'TUSD BE'!$AA$40*'TUSD BF'!$AA$70</f>
        <v>0</v>
      </c>
      <c r="AB40" s="13">
        <f>SUM($U$40:$AA$40)</f>
        <v>5.3198304081586087</v>
      </c>
      <c r="AC40" s="13">
        <f>'TUSD BE'!$AC$40*'TUSD BF'!$AC$70</f>
        <v>0</v>
      </c>
      <c r="AD40" s="13">
        <f>SUM($AC$40:$AC$40)</f>
        <v>0</v>
      </c>
      <c r="AE40" s="13">
        <f ca="1">$AO$40*$AO$67</f>
        <v>0</v>
      </c>
      <c r="AF40" s="13">
        <f ca="1">$AP$40*$AP$67</f>
        <v>0</v>
      </c>
      <c r="AG40" s="13">
        <f ca="1">SUM($AE$40:$AF$40)</f>
        <v>0</v>
      </c>
      <c r="AH40" s="13">
        <f>'TUSD BE'!$AH$40*'TUSD BF'!$AH$70</f>
        <v>-1.2005156801843442</v>
      </c>
      <c r="AI40" s="13">
        <f>'TUSD BE'!$AI$40*'TUSD BF'!$AI$70</f>
        <v>-3.5326726089119291E-2</v>
      </c>
      <c r="AJ40" s="13">
        <f ca="1">'TUSD BE'!$AJ$40*'TUSD BF'!$AJ$70</f>
        <v>-8.0547162698289418E-2</v>
      </c>
      <c r="AK40" s="13">
        <f ca="1">'TUSD BE'!$AK$40*'TUSD BF'!$AK$70</f>
        <v>0</v>
      </c>
      <c r="AL40" s="13">
        <f ca="1">SUM($AH$40:$AK$40)</f>
        <v>-1.3163895689717529</v>
      </c>
      <c r="AM40" s="13">
        <f ca="1">SUMIF($L$4:$AL$4,"SUBTOTAL",$L$40:$AL$40)</f>
        <v>4.0034408391868563</v>
      </c>
      <c r="AO40" s="20">
        <f ca="1">+'TUSD BE'!$T$40+'TUSD BE'!$AB$40+'TUSD BE'!$AD$40+'TUSD BE'!$AL$40</f>
        <v>337.52423308575692</v>
      </c>
      <c r="AP40" s="20">
        <f ca="1">+'TUSD BE'!$T$40+'TUSD BE'!$AB$40+'TUSD BE'!$AD$40+'TUSD BE'!$AL$40</f>
        <v>337.52423308575692</v>
      </c>
    </row>
    <row r="41" spans="1:42" ht="11.25" customHeight="1" x14ac:dyDescent="0.3">
      <c r="A41" s="137"/>
      <c r="B41" s="137"/>
      <c r="C41" s="137"/>
      <c r="D41" s="17" t="s">
        <v>32</v>
      </c>
      <c r="E41" s="17" t="s">
        <v>25</v>
      </c>
      <c r="F41" s="17" t="s">
        <v>25</v>
      </c>
      <c r="G41" s="18" t="s">
        <v>83</v>
      </c>
      <c r="H41" s="18" t="s">
        <v>79</v>
      </c>
      <c r="I41" s="18">
        <f>'MERCADO TUSD'!$U$38</f>
        <v>0</v>
      </c>
      <c r="J41" s="15"/>
      <c r="L41" s="13">
        <f>'TUSD BE'!$L$41*'TUSD BF'!$L$70</f>
        <v>0</v>
      </c>
      <c r="M41" s="13">
        <f>'TUSD BE'!$M$41*'TUSD BF'!$M$70</f>
        <v>0</v>
      </c>
      <c r="N41" s="13">
        <f ca="1">'TUSD BE'!$N$41*'TUSD BF'!$N$70</f>
        <v>0</v>
      </c>
      <c r="O41" s="13">
        <f>'TUSD BE'!$O$41*'TUSD BF'!$O$70</f>
        <v>0</v>
      </c>
      <c r="P41" s="13">
        <f>'TUSD BE'!$P$41*'TUSD BF'!$P$70</f>
        <v>0</v>
      </c>
      <c r="Q41" s="13">
        <f>'TUSD BE'!$Q$41*'TUSD BF'!$Q$70</f>
        <v>0</v>
      </c>
      <c r="R41" s="13">
        <f>'TUSD BE'!$R$41*'TUSD BF'!$R$70</f>
        <v>0</v>
      </c>
      <c r="S41" s="13">
        <f>'TUSD BE'!$R$41*'TUSD BF'!$S$70</f>
        <v>0</v>
      </c>
      <c r="T41" s="13">
        <f ca="1">SUM($L$41:$S$41)</f>
        <v>0</v>
      </c>
      <c r="U41" s="13">
        <f>'TUSD BE'!$U$41*'TUSD BF'!$U$70</f>
        <v>3.6092601266859483</v>
      </c>
      <c r="V41" s="13">
        <f>'TUSD BE'!$V$41*'TUSD BF'!$V$70</f>
        <v>1.7105702814726604</v>
      </c>
      <c r="W41" s="13">
        <f>'TUSD BE'!$W$41*'TUSD BF'!$W$70</f>
        <v>0</v>
      </c>
      <c r="X41" s="13">
        <f>'TUSD BE'!$X$41*'TUSD BF'!$X$70</f>
        <v>0</v>
      </c>
      <c r="Y41" s="13">
        <f>'TUSD BE'!$Y$41*'TUSD BF'!$Y$70</f>
        <v>0</v>
      </c>
      <c r="Z41" s="13">
        <f>'TUSD BE'!$Z$41*'TUSD BF'!$Z$70</f>
        <v>0</v>
      </c>
      <c r="AA41" s="13">
        <f>'TUSD BE'!$AA$41*'TUSD BF'!$AA$70</f>
        <v>0</v>
      </c>
      <c r="AB41" s="13">
        <f>SUM($U$41:$AA$41)</f>
        <v>5.3198304081586087</v>
      </c>
      <c r="AC41" s="13">
        <f>'TUSD BE'!$AC$41*'TUSD BF'!$AC$70</f>
        <v>0</v>
      </c>
      <c r="AD41" s="13">
        <f>SUM($AC$41:$AC$41)</f>
        <v>0</v>
      </c>
      <c r="AE41" s="13">
        <f ca="1">$AO$41*$AO$67</f>
        <v>0</v>
      </c>
      <c r="AF41" s="13">
        <f ca="1">$AP$41*$AP$67</f>
        <v>0</v>
      </c>
      <c r="AG41" s="13">
        <f ca="1">SUM($AE$41:$AF$41)</f>
        <v>0</v>
      </c>
      <c r="AH41" s="13">
        <f>'TUSD BE'!$AH$41*'TUSD BF'!$AH$70</f>
        <v>-1.2005156801843442</v>
      </c>
      <c r="AI41" s="13">
        <f>'TUSD BE'!$AI$41*'TUSD BF'!$AI$70</f>
        <v>-3.5326726089119291E-2</v>
      </c>
      <c r="AJ41" s="13">
        <f ca="1">'TUSD BE'!$AJ$41*'TUSD BF'!$AJ$70</f>
        <v>-8.0547162698289418E-2</v>
      </c>
      <c r="AK41" s="13">
        <f ca="1">'TUSD BE'!$AK$41*'TUSD BF'!$AK$70</f>
        <v>0</v>
      </c>
      <c r="AL41" s="13">
        <f ca="1">SUM($AH$41:$AK$41)</f>
        <v>-1.3163895689717529</v>
      </c>
      <c r="AM41" s="13">
        <f ca="1">SUMIF($L$4:$AL$4,"SUBTOTAL",$L$41:$AL$41)</f>
        <v>4.0034408391868563</v>
      </c>
      <c r="AO41" s="20">
        <f ca="1">+'TUSD BE'!$T$41+'TUSD BE'!$AB$41+'TUSD BE'!$AD$41+'TUSD BE'!$AL$41</f>
        <v>337.52423308575692</v>
      </c>
      <c r="AP41" s="20">
        <f ca="1">+'TUSD BE'!$T$41+'TUSD BE'!$AB$41+'TUSD BE'!$AD$41+'TUSD BE'!$AL$41</f>
        <v>337.52423308575692</v>
      </c>
    </row>
    <row r="42" spans="1:42" ht="11.25" customHeight="1" x14ac:dyDescent="0.3">
      <c r="A42" s="137" t="s">
        <v>43</v>
      </c>
      <c r="B42" s="137" t="s">
        <v>33</v>
      </c>
      <c r="C42" s="137" t="s">
        <v>44</v>
      </c>
      <c r="D42" s="137" t="s">
        <v>25</v>
      </c>
      <c r="E42" s="137" t="s">
        <v>25</v>
      </c>
      <c r="F42" s="137" t="s">
        <v>25</v>
      </c>
      <c r="G42" s="18" t="s">
        <v>80</v>
      </c>
      <c r="H42" s="18" t="s">
        <v>79</v>
      </c>
      <c r="I42" s="18">
        <f>'MERCADO TUSD'!$U$39</f>
        <v>0</v>
      </c>
      <c r="J42" s="15"/>
      <c r="L42" s="13">
        <f>'TUSD BE'!$L$42*'TUSD BF'!$L$70</f>
        <v>0.92326902583634241</v>
      </c>
      <c r="M42" s="13">
        <f>'TUSD BE'!$M$42*'TUSD BF'!$M$70</f>
        <v>0</v>
      </c>
      <c r="N42" s="13">
        <f ca="1">'TUSD BE'!$N$42*'TUSD BF'!$N$70</f>
        <v>0</v>
      </c>
      <c r="O42" s="13">
        <f>'TUSD BE'!$O$42*'TUSD BF'!$O$70</f>
        <v>0</v>
      </c>
      <c r="P42" s="13">
        <f>'TUSD BE'!$P$42*'TUSD BF'!$P$70</f>
        <v>0</v>
      </c>
      <c r="Q42" s="13">
        <f>'TUSD BE'!$Q$42*'TUSD BF'!$Q$70</f>
        <v>28.959669438518496</v>
      </c>
      <c r="R42" s="13">
        <f>'TUSD BE'!$R$42*'TUSD BF'!$R$70</f>
        <v>5.2627822833457625</v>
      </c>
      <c r="S42" s="13">
        <f>'TUSD BE'!$R$42*'TUSD BF'!$S$70</f>
        <v>0</v>
      </c>
      <c r="T42" s="13">
        <f ca="1">SUM($L$42:$S$42)</f>
        <v>35.145720747700601</v>
      </c>
      <c r="U42" s="13">
        <f>'TUSD BE'!$U$42*'TUSD BF'!$U$70</f>
        <v>11.910560855797575</v>
      </c>
      <c r="V42" s="13">
        <f>'TUSD BE'!$V$42*'TUSD BF'!$V$70</f>
        <v>5.6448765325687873</v>
      </c>
      <c r="W42" s="13">
        <f>'TUSD BE'!$W$42*'TUSD BF'!$W$70</f>
        <v>0</v>
      </c>
      <c r="X42" s="13">
        <f>'TUSD BE'!$X$42*'TUSD BF'!$X$70</f>
        <v>0</v>
      </c>
      <c r="Y42" s="13">
        <f>'TUSD BE'!$Y$42*'TUSD BF'!$Y$70</f>
        <v>0</v>
      </c>
      <c r="Z42" s="13">
        <f>'TUSD BE'!$Z$42*'TUSD BF'!$Z$70</f>
        <v>0</v>
      </c>
      <c r="AA42" s="13">
        <f>'TUSD BE'!$AA$42*'TUSD BF'!$AA$70</f>
        <v>0</v>
      </c>
      <c r="AB42" s="13">
        <f>SUM($U$42:$AA$42)</f>
        <v>17.555437388366364</v>
      </c>
      <c r="AC42" s="13">
        <f>'TUSD BE'!$AC$42*'TUSD BF'!$AC$70</f>
        <v>0</v>
      </c>
      <c r="AD42" s="13">
        <f>SUM($AC$42:$AC$42)</f>
        <v>0</v>
      </c>
      <c r="AE42" s="13">
        <f ca="1">$AO$42*$AO$67</f>
        <v>0</v>
      </c>
      <c r="AF42" s="13">
        <f ca="1">$AP$42*$AP$67</f>
        <v>0</v>
      </c>
      <c r="AG42" s="13">
        <f ca="1">SUM($AE$42:$AF$42)</f>
        <v>0</v>
      </c>
      <c r="AH42" s="13">
        <f>'TUSD BE'!$AH$42*'TUSD BF'!$AH$70</f>
        <v>-1.2005156801843442</v>
      </c>
      <c r="AI42" s="13">
        <f>'TUSD BE'!$AI$42*'TUSD BF'!$AI$70</f>
        <v>-3.5326726089119291E-2</v>
      </c>
      <c r="AJ42" s="13">
        <f ca="1">'TUSD BE'!$AJ$42*'TUSD BF'!$AJ$70</f>
        <v>-8.0547162698289418E-2</v>
      </c>
      <c r="AK42" s="13">
        <f ca="1">'TUSD BE'!$AK$42*'TUSD BF'!$AK$70</f>
        <v>0</v>
      </c>
      <c r="AL42" s="13">
        <f ca="1">SUM($AH$42:$AK$42)</f>
        <v>-1.3163895689717529</v>
      </c>
      <c r="AM42" s="13">
        <f ca="1">SUMIF($L$4:$AL$4,"SUBTOTAL",$L$42:$AL$42)</f>
        <v>51.384768567095215</v>
      </c>
      <c r="AO42" s="20">
        <f ca="1">+'TUSD BE'!$T$42+'TUSD BE'!$AB$42+'TUSD BE'!$AD$42+'TUSD BE'!$AL$42</f>
        <v>1171.4601999383599</v>
      </c>
      <c r="AP42" s="20">
        <f ca="1">+'TUSD BE'!$T$42+'TUSD BE'!$AB$42+'TUSD BE'!$AD$42+'TUSD BE'!$AL$42</f>
        <v>1171.4601999383599</v>
      </c>
    </row>
    <row r="43" spans="1:42" ht="11.25" customHeight="1" x14ac:dyDescent="0.3">
      <c r="A43" s="137"/>
      <c r="B43" s="137"/>
      <c r="C43" s="137"/>
      <c r="D43" s="137"/>
      <c r="E43" s="137"/>
      <c r="F43" s="137"/>
      <c r="G43" s="18" t="s">
        <v>91</v>
      </c>
      <c r="H43" s="18" t="s">
        <v>79</v>
      </c>
      <c r="I43" s="18">
        <f>'MERCADO TUSD'!$U$40</f>
        <v>0</v>
      </c>
      <c r="J43" s="15"/>
      <c r="L43" s="13">
        <f>'TUSD BE'!$L$43*'TUSD BF'!$L$70</f>
        <v>0.92326902583634241</v>
      </c>
      <c r="M43" s="13">
        <f>'TUSD BE'!$M$43*'TUSD BF'!$M$70</f>
        <v>0</v>
      </c>
      <c r="N43" s="13">
        <f ca="1">'TUSD BE'!$N$43*'TUSD BF'!$N$70</f>
        <v>0</v>
      </c>
      <c r="O43" s="13">
        <f>'TUSD BE'!$O$43*'TUSD BF'!$O$70</f>
        <v>0</v>
      </c>
      <c r="P43" s="13">
        <f>'TUSD BE'!$P$43*'TUSD BF'!$P$70</f>
        <v>0</v>
      </c>
      <c r="Q43" s="13">
        <f>'TUSD BE'!$Q$43*'TUSD BF'!$Q$70</f>
        <v>28.959669438518496</v>
      </c>
      <c r="R43" s="13">
        <f>'TUSD BE'!$R$43*'TUSD BF'!$R$70</f>
        <v>5.2627822833457625</v>
      </c>
      <c r="S43" s="13">
        <f>'TUSD BE'!$R$43*'TUSD BF'!$S$70</f>
        <v>0</v>
      </c>
      <c r="T43" s="13">
        <f ca="1">SUM($L$43:$S$43)</f>
        <v>35.145720747700601</v>
      </c>
      <c r="U43" s="13">
        <f>'TUSD BE'!$U$43*'TUSD BF'!$U$70</f>
        <v>7.146338951212492</v>
      </c>
      <c r="V43" s="13">
        <f>'TUSD BE'!$V$43*'TUSD BF'!$V$70</f>
        <v>3.3869280780576694</v>
      </c>
      <c r="W43" s="13">
        <f>'TUSD BE'!$W$43*'TUSD BF'!$W$70</f>
        <v>0</v>
      </c>
      <c r="X43" s="13">
        <f>'TUSD BE'!$X$43*'TUSD BF'!$X$70</f>
        <v>0</v>
      </c>
      <c r="Y43" s="13">
        <f>'TUSD BE'!$Y$43*'TUSD BF'!$Y$70</f>
        <v>0</v>
      </c>
      <c r="Z43" s="13">
        <f>'TUSD BE'!$Z$43*'TUSD BF'!$Z$70</f>
        <v>0</v>
      </c>
      <c r="AA43" s="13">
        <f>'TUSD BE'!$AA$43*'TUSD BF'!$AA$70</f>
        <v>0</v>
      </c>
      <c r="AB43" s="13">
        <f>SUM($U$43:$AA$43)</f>
        <v>10.533267029270162</v>
      </c>
      <c r="AC43" s="13">
        <f>'TUSD BE'!$AC$43*'TUSD BF'!$AC$70</f>
        <v>0</v>
      </c>
      <c r="AD43" s="13">
        <f>SUM($AC$43:$AC$43)</f>
        <v>0</v>
      </c>
      <c r="AE43" s="13">
        <f ca="1">$AO$43*$AO$67</f>
        <v>0</v>
      </c>
      <c r="AF43" s="13">
        <f ca="1">$AP$43*$AP$67</f>
        <v>0</v>
      </c>
      <c r="AG43" s="13">
        <f ca="1">SUM($AE$43:$AF$43)</f>
        <v>0</v>
      </c>
      <c r="AH43" s="13">
        <f>'TUSD BE'!$AH$43*'TUSD BF'!$AH$70</f>
        <v>-1.2005156801843442</v>
      </c>
      <c r="AI43" s="13">
        <f>'TUSD BE'!$AI$43*'TUSD BF'!$AI$70</f>
        <v>-3.5326726089119291E-2</v>
      </c>
      <c r="AJ43" s="13">
        <f ca="1">'TUSD BE'!$AJ$43*'TUSD BF'!$AJ$70</f>
        <v>-8.0547162698289418E-2</v>
      </c>
      <c r="AK43" s="13">
        <f ca="1">'TUSD BE'!$AK$43*'TUSD BF'!$AK$70</f>
        <v>0</v>
      </c>
      <c r="AL43" s="13">
        <f ca="1">SUM($AH$43:$AK$43)</f>
        <v>-1.3163895689717529</v>
      </c>
      <c r="AM43" s="13">
        <f ca="1">SUMIF($L$4:$AL$4,"SUBTOTAL",$L$43:$AL$43)</f>
        <v>44.362598207999014</v>
      </c>
      <c r="AO43" s="20">
        <f ca="1">+'TUSD BE'!$T$43+'TUSD BE'!$AB$43+'TUSD BE'!$AD$43+'TUSD BE'!$AL$43</f>
        <v>762.66115799633064</v>
      </c>
      <c r="AP43" s="20">
        <f ca="1">+'TUSD BE'!$T$43+'TUSD BE'!$AB$43+'TUSD BE'!$AD$43+'TUSD BE'!$AL$43</f>
        <v>762.66115799633064</v>
      </c>
    </row>
    <row r="44" spans="1:42" ht="11.25" customHeight="1" x14ac:dyDescent="0.3">
      <c r="A44" s="137"/>
      <c r="B44" s="137"/>
      <c r="C44" s="137"/>
      <c r="D44" s="137"/>
      <c r="E44" s="137"/>
      <c r="F44" s="137"/>
      <c r="G44" s="18" t="s">
        <v>81</v>
      </c>
      <c r="H44" s="18" t="s">
        <v>79</v>
      </c>
      <c r="I44" s="18">
        <f>'MERCADO TUSD'!$U$41</f>
        <v>0</v>
      </c>
      <c r="J44" s="15"/>
      <c r="L44" s="13">
        <f>'TUSD BE'!$L$44*'TUSD BF'!$L$70</f>
        <v>0.92326902583634241</v>
      </c>
      <c r="M44" s="13">
        <f>'TUSD BE'!$M$44*'TUSD BF'!$M$70</f>
        <v>0</v>
      </c>
      <c r="N44" s="13">
        <f ca="1">'TUSD BE'!$N$44*'TUSD BF'!$N$70</f>
        <v>0</v>
      </c>
      <c r="O44" s="13">
        <f>'TUSD BE'!$O$44*'TUSD BF'!$O$70</f>
        <v>0</v>
      </c>
      <c r="P44" s="13">
        <f>'TUSD BE'!$P$44*'TUSD BF'!$P$70</f>
        <v>0</v>
      </c>
      <c r="Q44" s="13">
        <f>'TUSD BE'!$Q$44*'TUSD BF'!$Q$70</f>
        <v>28.959669438518496</v>
      </c>
      <c r="R44" s="13">
        <f>'TUSD BE'!$R$44*'TUSD BF'!$R$70</f>
        <v>5.2627822833457625</v>
      </c>
      <c r="S44" s="13">
        <f>'TUSD BE'!$R$44*'TUSD BF'!$S$70</f>
        <v>0</v>
      </c>
      <c r="T44" s="13">
        <f ca="1">SUM($L$44:$S$44)</f>
        <v>35.145720747700601</v>
      </c>
      <c r="U44" s="13">
        <f>'TUSD BE'!$U$44*'TUSD BF'!$U$70</f>
        <v>2.3821170466274086</v>
      </c>
      <c r="V44" s="13">
        <f>'TUSD BE'!$V$44*'TUSD BF'!$V$70</f>
        <v>1.1289796235465508</v>
      </c>
      <c r="W44" s="13">
        <f>'TUSD BE'!$W$44*'TUSD BF'!$W$70</f>
        <v>0</v>
      </c>
      <c r="X44" s="13">
        <f>'TUSD BE'!$X$44*'TUSD BF'!$X$70</f>
        <v>0</v>
      </c>
      <c r="Y44" s="13">
        <f>'TUSD BE'!$Y$44*'TUSD BF'!$Y$70</f>
        <v>0</v>
      </c>
      <c r="Z44" s="13">
        <f>'TUSD BE'!$Z$44*'TUSD BF'!$Z$70</f>
        <v>0</v>
      </c>
      <c r="AA44" s="13">
        <f>'TUSD BE'!$AA$44*'TUSD BF'!$AA$70</f>
        <v>0</v>
      </c>
      <c r="AB44" s="13">
        <f>SUM($U$44:$AA$44)</f>
        <v>3.5110966701739592</v>
      </c>
      <c r="AC44" s="13">
        <f>'TUSD BE'!$AC$44*'TUSD BF'!$AC$70</f>
        <v>0</v>
      </c>
      <c r="AD44" s="13">
        <f>SUM($AC$44:$AC$44)</f>
        <v>0</v>
      </c>
      <c r="AE44" s="13">
        <f ca="1">$AO$44*$AO$67</f>
        <v>0</v>
      </c>
      <c r="AF44" s="13">
        <f ca="1">$AP$44*$AP$67</f>
        <v>0</v>
      </c>
      <c r="AG44" s="13">
        <f ca="1">SUM($AE$44:$AF$44)</f>
        <v>0</v>
      </c>
      <c r="AH44" s="13">
        <f>'TUSD BE'!$AH$44*'TUSD BF'!$AH$70</f>
        <v>-1.2005156801843442</v>
      </c>
      <c r="AI44" s="13">
        <f>'TUSD BE'!$AI$44*'TUSD BF'!$AI$70</f>
        <v>-3.5326726089119291E-2</v>
      </c>
      <c r="AJ44" s="13">
        <f ca="1">'TUSD BE'!$AJ$44*'TUSD BF'!$AJ$70</f>
        <v>-8.0547162698289418E-2</v>
      </c>
      <c r="AK44" s="13">
        <f ca="1">'TUSD BE'!$AK$44*'TUSD BF'!$AK$70</f>
        <v>0</v>
      </c>
      <c r="AL44" s="13">
        <f ca="1">SUM($AH$44:$AK$44)</f>
        <v>-1.3163895689717529</v>
      </c>
      <c r="AM44" s="13">
        <f ca="1">SUMIF($L$4:$AL$4,"SUBTOTAL",$L$44:$AL$44)</f>
        <v>37.340427848902813</v>
      </c>
      <c r="AO44" s="20">
        <f ca="1">+'TUSD BE'!$T$44+'TUSD BE'!$AB$44+'TUSD BE'!$AD$44+'TUSD BE'!$AL$44</f>
        <v>353.86211605430111</v>
      </c>
      <c r="AP44" s="20">
        <f ca="1">+'TUSD BE'!$T$44+'TUSD BE'!$AB$44+'TUSD BE'!$AD$44+'TUSD BE'!$AL$44</f>
        <v>353.86211605430111</v>
      </c>
    </row>
    <row r="45" spans="1:42" ht="11.25" customHeight="1" x14ac:dyDescent="0.3">
      <c r="A45" s="137"/>
      <c r="B45" s="17" t="s">
        <v>23</v>
      </c>
      <c r="C45" s="17" t="s">
        <v>44</v>
      </c>
      <c r="D45" s="17" t="s">
        <v>25</v>
      </c>
      <c r="E45" s="17" t="s">
        <v>25</v>
      </c>
      <c r="F45" s="17" t="s">
        <v>25</v>
      </c>
      <c r="G45" s="18" t="s">
        <v>83</v>
      </c>
      <c r="H45" s="18" t="s">
        <v>79</v>
      </c>
      <c r="I45" s="18">
        <f>'MERCADO TUSD'!$U$42</f>
        <v>17613.978000000003</v>
      </c>
      <c r="J45" s="15"/>
      <c r="L45" s="13">
        <f>'TUSD BE'!$L$45*'TUSD BF'!$L$70</f>
        <v>0.92326902583634241</v>
      </c>
      <c r="M45" s="13">
        <f>'TUSD BE'!$M$45*'TUSD BF'!$M$70</f>
        <v>0</v>
      </c>
      <c r="N45" s="13">
        <f ca="1">'TUSD BE'!$N$45*'TUSD BF'!$N$70</f>
        <v>0</v>
      </c>
      <c r="O45" s="13">
        <f>'TUSD BE'!$O$45*'TUSD BF'!$O$70</f>
        <v>0</v>
      </c>
      <c r="P45" s="13">
        <f>'TUSD BE'!$P$45*'TUSD BF'!$P$70</f>
        <v>0</v>
      </c>
      <c r="Q45" s="13">
        <f>'TUSD BE'!$Q$45*'TUSD BF'!$Q$70</f>
        <v>28.959669438518496</v>
      </c>
      <c r="R45" s="13">
        <f>'TUSD BE'!$R$45*'TUSD BF'!$R$70</f>
        <v>5.2627822833457625</v>
      </c>
      <c r="S45" s="13">
        <f>'TUSD BE'!$R$45*'TUSD BF'!$S$70</f>
        <v>0</v>
      </c>
      <c r="T45" s="13">
        <f ca="1">SUM($L$45:$S$45)</f>
        <v>35.145720747700601</v>
      </c>
      <c r="U45" s="13">
        <f>'TUSD BE'!$U$45*'TUSD BF'!$U$70</f>
        <v>3.6092601266859483</v>
      </c>
      <c r="V45" s="13">
        <f>'TUSD BE'!$V$45*'TUSD BF'!$V$70</f>
        <v>1.7105702814726604</v>
      </c>
      <c r="W45" s="13">
        <f>'TUSD BE'!$W$45*'TUSD BF'!$W$70</f>
        <v>0</v>
      </c>
      <c r="X45" s="13">
        <f>'TUSD BE'!$X$45*'TUSD BF'!$X$70</f>
        <v>0</v>
      </c>
      <c r="Y45" s="13">
        <f>'TUSD BE'!$Y$45*'TUSD BF'!$Y$70</f>
        <v>0</v>
      </c>
      <c r="Z45" s="13">
        <f>'TUSD BE'!$Z$45*'TUSD BF'!$Z$70</f>
        <v>0</v>
      </c>
      <c r="AA45" s="13">
        <f>'TUSD BE'!$AA$45*'TUSD BF'!$AA$70</f>
        <v>0</v>
      </c>
      <c r="AB45" s="13">
        <f>SUM($U$45:$AA$45)</f>
        <v>5.3198304081586087</v>
      </c>
      <c r="AC45" s="13">
        <f>'TUSD BE'!$AC$45*'TUSD BF'!$AC$70</f>
        <v>0</v>
      </c>
      <c r="AD45" s="13">
        <f>SUM($AC$45:$AC$45)</f>
        <v>0</v>
      </c>
      <c r="AE45" s="13">
        <f ca="1">$AO$45*$AO$67</f>
        <v>0</v>
      </c>
      <c r="AF45" s="13">
        <f ca="1">$AP$45*$AP$67</f>
        <v>0</v>
      </c>
      <c r="AG45" s="13">
        <f ca="1">SUM($AE$45:$AF$45)</f>
        <v>0</v>
      </c>
      <c r="AH45" s="13">
        <f>'TUSD BE'!$AH$45*'TUSD BF'!$AH$70</f>
        <v>-1.2005156801843442</v>
      </c>
      <c r="AI45" s="13">
        <f>'TUSD BE'!$AI$45*'TUSD BF'!$AI$70</f>
        <v>-3.5326726089119291E-2</v>
      </c>
      <c r="AJ45" s="13">
        <f ca="1">'TUSD BE'!$AJ$45*'TUSD BF'!$AJ$70</f>
        <v>-8.0547162698289418E-2</v>
      </c>
      <c r="AK45" s="13">
        <f ca="1">'TUSD BE'!$AK$45*'TUSD BF'!$AK$70</f>
        <v>0</v>
      </c>
      <c r="AL45" s="13">
        <f ca="1">SUM($AH$45:$AK$45)</f>
        <v>-1.3163895689717529</v>
      </c>
      <c r="AM45" s="13">
        <f ca="1">SUMIF($L$4:$AL$4,"SUBTOTAL",$L$45:$AL$45)</f>
        <v>39.149161586887459</v>
      </c>
      <c r="AO45" s="20">
        <f ca="1">+'TUSD BE'!$T$45+'TUSD BE'!$AB$45+'TUSD BE'!$AD$45+'TUSD BE'!$AL$45</f>
        <v>459.15878161916231</v>
      </c>
      <c r="AP45" s="20">
        <f ca="1">+'TUSD BE'!$T$45+'TUSD BE'!$AB$45+'TUSD BE'!$AD$45+'TUSD BE'!$AL$45</f>
        <v>459.15878161916231</v>
      </c>
    </row>
    <row r="46" spans="1:42" ht="11.25" customHeight="1" x14ac:dyDescent="0.3">
      <c r="A46" s="137"/>
      <c r="B46" s="137" t="s">
        <v>33</v>
      </c>
      <c r="C46" s="137" t="s">
        <v>44</v>
      </c>
      <c r="D46" s="137" t="s">
        <v>94</v>
      </c>
      <c r="E46" s="137" t="s">
        <v>25</v>
      </c>
      <c r="F46" s="137" t="s">
        <v>25</v>
      </c>
      <c r="G46" s="18" t="s">
        <v>80</v>
      </c>
      <c r="H46" s="18" t="s">
        <v>79</v>
      </c>
      <c r="I46" s="18">
        <f>'MERCADO TUSD'!$U$43</f>
        <v>0</v>
      </c>
      <c r="J46" s="15"/>
      <c r="L46" s="13">
        <f>'TUSD BE'!$L$46*'TUSD BF'!$L$70</f>
        <v>0.92326902583634241</v>
      </c>
      <c r="M46" s="13">
        <f>'TUSD BE'!$M$46*'TUSD BF'!$M$70</f>
        <v>0</v>
      </c>
      <c r="N46" s="13">
        <f ca="1">'TUSD BE'!$N$46*'TUSD BF'!$N$70</f>
        <v>0</v>
      </c>
      <c r="O46" s="13">
        <f>'TUSD BE'!$O$46*'TUSD BF'!$O$70</f>
        <v>0</v>
      </c>
      <c r="P46" s="13">
        <f>'TUSD BE'!$P$46*'TUSD BF'!$P$70</f>
        <v>0</v>
      </c>
      <c r="Q46" s="13">
        <f>'TUSD BE'!$Q$46*'TUSD BF'!$Q$70</f>
        <v>28.959669438518496</v>
      </c>
      <c r="R46" s="13">
        <f>'TUSD BE'!$R$46*'TUSD BF'!$R$70</f>
        <v>5.2627822833457625</v>
      </c>
      <c r="S46" s="13">
        <f>'TUSD BE'!$R$46*'TUSD BF'!$S$70</f>
        <v>0</v>
      </c>
      <c r="T46" s="13">
        <f ca="1">SUM($L$46:$S$46)</f>
        <v>35.145720747700601</v>
      </c>
      <c r="U46" s="13">
        <f>'TUSD BE'!$U$46*'TUSD BF'!$U$70</f>
        <v>11.910560855797575</v>
      </c>
      <c r="V46" s="13">
        <f>'TUSD BE'!$V$46*'TUSD BF'!$V$70</f>
        <v>5.6448765325687873</v>
      </c>
      <c r="W46" s="13">
        <f>'TUSD BE'!$W$46*'TUSD BF'!$W$70</f>
        <v>0</v>
      </c>
      <c r="X46" s="13">
        <f>'TUSD BE'!$X$46*'TUSD BF'!$X$70</f>
        <v>0</v>
      </c>
      <c r="Y46" s="13">
        <f>'TUSD BE'!$Y$46*'TUSD BF'!$Y$70</f>
        <v>0</v>
      </c>
      <c r="Z46" s="13">
        <f>'TUSD BE'!$Z$46*'TUSD BF'!$Z$70</f>
        <v>0</v>
      </c>
      <c r="AA46" s="13">
        <f>'TUSD BE'!$AA$46*'TUSD BF'!$AA$70</f>
        <v>0</v>
      </c>
      <c r="AB46" s="13">
        <f>SUM($U$46:$AA$46)</f>
        <v>17.555437388366364</v>
      </c>
      <c r="AC46" s="13">
        <f>'TUSD BE'!$AC$46*'TUSD BF'!$AC$70</f>
        <v>0</v>
      </c>
      <c r="AD46" s="13">
        <f>SUM($AC$46:$AC$46)</f>
        <v>0</v>
      </c>
      <c r="AE46" s="13">
        <f ca="1">$AO$46*$AO$67</f>
        <v>0</v>
      </c>
      <c r="AF46" s="13">
        <f ca="1">$AP$46*$AP$67</f>
        <v>0</v>
      </c>
      <c r="AG46" s="13">
        <f ca="1">SUM($AE$46:$AF$46)</f>
        <v>0</v>
      </c>
      <c r="AH46" s="13">
        <f>'TUSD BE'!$AH$46*'TUSD BF'!$AH$70</f>
        <v>-1.2005156801843442</v>
      </c>
      <c r="AI46" s="13">
        <f>'TUSD BE'!$AI$46*'TUSD BF'!$AI$70</f>
        <v>-3.5326726089119291E-2</v>
      </c>
      <c r="AJ46" s="13">
        <f ca="1">'TUSD BE'!$AJ$46*'TUSD BF'!$AJ$70</f>
        <v>-8.0547162698289418E-2</v>
      </c>
      <c r="AK46" s="13">
        <f ca="1">'TUSD BE'!$AK$46*'TUSD BF'!$AK$70</f>
        <v>0</v>
      </c>
      <c r="AL46" s="13">
        <f ca="1">SUM($AH$46:$AK$46)</f>
        <v>-1.3163895689717529</v>
      </c>
      <c r="AM46" s="13">
        <f ca="1">SUMIF($L$4:$AL$4,"SUBTOTAL",$L$46:$AL$46)</f>
        <v>51.384768567095215</v>
      </c>
      <c r="AO46" s="20">
        <f ca="1">+'TUSD BE'!$T$46+'TUSD BE'!$AB$46+'TUSD BE'!$AD$46+'TUSD BE'!$AL$46</f>
        <v>1171.4601999383599</v>
      </c>
      <c r="AP46" s="20">
        <f ca="1">+'TUSD BE'!$T$46+'TUSD BE'!$AB$46+'TUSD BE'!$AD$46+'TUSD BE'!$AL$46</f>
        <v>1171.4601999383599</v>
      </c>
    </row>
    <row r="47" spans="1:42" ht="11.25" customHeight="1" x14ac:dyDescent="0.3">
      <c r="A47" s="137"/>
      <c r="B47" s="137"/>
      <c r="C47" s="137"/>
      <c r="D47" s="137"/>
      <c r="E47" s="137"/>
      <c r="F47" s="137"/>
      <c r="G47" s="18" t="s">
        <v>91</v>
      </c>
      <c r="H47" s="18" t="s">
        <v>79</v>
      </c>
      <c r="I47" s="18">
        <f>'MERCADO TUSD'!$U$44</f>
        <v>0</v>
      </c>
      <c r="J47" s="15"/>
      <c r="L47" s="13">
        <f>'TUSD BE'!$L$47*'TUSD BF'!$L$70</f>
        <v>0.92326902583634241</v>
      </c>
      <c r="M47" s="13">
        <f>'TUSD BE'!$M$47*'TUSD BF'!$M$70</f>
        <v>0</v>
      </c>
      <c r="N47" s="13">
        <f ca="1">'TUSD BE'!$N$47*'TUSD BF'!$N$70</f>
        <v>0</v>
      </c>
      <c r="O47" s="13">
        <f>'TUSD BE'!$O$47*'TUSD BF'!$O$70</f>
        <v>0</v>
      </c>
      <c r="P47" s="13">
        <f>'TUSD BE'!$P$47*'TUSD BF'!$P$70</f>
        <v>0</v>
      </c>
      <c r="Q47" s="13">
        <f>'TUSD BE'!$Q$47*'TUSD BF'!$Q$70</f>
        <v>28.959669438518496</v>
      </c>
      <c r="R47" s="13">
        <f>'TUSD BE'!$R$47*'TUSD BF'!$R$70</f>
        <v>5.2627822833457625</v>
      </c>
      <c r="S47" s="13">
        <f>'TUSD BE'!$R$47*'TUSD BF'!$S$70</f>
        <v>0</v>
      </c>
      <c r="T47" s="13">
        <f ca="1">SUM($L$47:$S$47)</f>
        <v>35.145720747700601</v>
      </c>
      <c r="U47" s="13">
        <f>'TUSD BE'!$U$47*'TUSD BF'!$U$70</f>
        <v>7.146338951212492</v>
      </c>
      <c r="V47" s="13">
        <f>'TUSD BE'!$V$47*'TUSD BF'!$V$70</f>
        <v>3.3869280780576694</v>
      </c>
      <c r="W47" s="13">
        <f>'TUSD BE'!$W$47*'TUSD BF'!$W$70</f>
        <v>0</v>
      </c>
      <c r="X47" s="13">
        <f>'TUSD BE'!$X$47*'TUSD BF'!$X$70</f>
        <v>0</v>
      </c>
      <c r="Y47" s="13">
        <f>'TUSD BE'!$Y$47*'TUSD BF'!$Y$70</f>
        <v>0</v>
      </c>
      <c r="Z47" s="13">
        <f>'TUSD BE'!$Z$47*'TUSD BF'!$Z$70</f>
        <v>0</v>
      </c>
      <c r="AA47" s="13">
        <f>'TUSD BE'!$AA$47*'TUSD BF'!$AA$70</f>
        <v>0</v>
      </c>
      <c r="AB47" s="13">
        <f>SUM($U$47:$AA$47)</f>
        <v>10.533267029270162</v>
      </c>
      <c r="AC47" s="13">
        <f>'TUSD BE'!$AC$47*'TUSD BF'!$AC$70</f>
        <v>0</v>
      </c>
      <c r="AD47" s="13">
        <f>SUM($AC$47:$AC$47)</f>
        <v>0</v>
      </c>
      <c r="AE47" s="13">
        <f ca="1">$AO$47*$AO$67</f>
        <v>0</v>
      </c>
      <c r="AF47" s="13">
        <f ca="1">$AP$47*$AP$67</f>
        <v>0</v>
      </c>
      <c r="AG47" s="13">
        <f ca="1">SUM($AE$47:$AF$47)</f>
        <v>0</v>
      </c>
      <c r="AH47" s="13">
        <f>'TUSD BE'!$AH$47*'TUSD BF'!$AH$70</f>
        <v>-1.2005156801843442</v>
      </c>
      <c r="AI47" s="13">
        <f>'TUSD BE'!$AI$47*'TUSD BF'!$AI$70</f>
        <v>-3.5326726089119291E-2</v>
      </c>
      <c r="AJ47" s="13">
        <f ca="1">'TUSD BE'!$AJ$47*'TUSD BF'!$AJ$70</f>
        <v>-8.0547162698289418E-2</v>
      </c>
      <c r="AK47" s="13">
        <f ca="1">'TUSD BE'!$AK$47*'TUSD BF'!$AK$70</f>
        <v>0</v>
      </c>
      <c r="AL47" s="13">
        <f ca="1">SUM($AH$47:$AK$47)</f>
        <v>-1.3163895689717529</v>
      </c>
      <c r="AM47" s="13">
        <f ca="1">SUMIF($L$4:$AL$4,"SUBTOTAL",$L$47:$AL$47)</f>
        <v>44.362598207999014</v>
      </c>
      <c r="AO47" s="20">
        <f ca="1">+'TUSD BE'!$T$47+'TUSD BE'!$AB$47+'TUSD BE'!$AD$47+'TUSD BE'!$AL$47</f>
        <v>762.66115799633064</v>
      </c>
      <c r="AP47" s="20">
        <f ca="1">+'TUSD BE'!$T$47+'TUSD BE'!$AB$47+'TUSD BE'!$AD$47+'TUSD BE'!$AL$47</f>
        <v>762.66115799633064</v>
      </c>
    </row>
    <row r="48" spans="1:42" ht="11.25" customHeight="1" x14ac:dyDescent="0.3">
      <c r="A48" s="137"/>
      <c r="B48" s="137"/>
      <c r="C48" s="137"/>
      <c r="D48" s="137"/>
      <c r="E48" s="137"/>
      <c r="F48" s="137"/>
      <c r="G48" s="18" t="s">
        <v>81</v>
      </c>
      <c r="H48" s="18" t="s">
        <v>79</v>
      </c>
      <c r="I48" s="18">
        <f>'MERCADO TUSD'!$U$45</f>
        <v>0</v>
      </c>
      <c r="J48" s="15"/>
      <c r="L48" s="13">
        <f>'TUSD BE'!$L$48*'TUSD BF'!$L$70</f>
        <v>0.92326902583634241</v>
      </c>
      <c r="M48" s="13">
        <f>'TUSD BE'!$M$48*'TUSD BF'!$M$70</f>
        <v>0</v>
      </c>
      <c r="N48" s="13">
        <f ca="1">'TUSD BE'!$N$48*'TUSD BF'!$N$70</f>
        <v>0</v>
      </c>
      <c r="O48" s="13">
        <f>'TUSD BE'!$O$48*'TUSD BF'!$O$70</f>
        <v>0</v>
      </c>
      <c r="P48" s="13">
        <f>'TUSD BE'!$P$48*'TUSD BF'!$P$70</f>
        <v>0</v>
      </c>
      <c r="Q48" s="13">
        <f>'TUSD BE'!$Q$48*'TUSD BF'!$Q$70</f>
        <v>28.959669438518496</v>
      </c>
      <c r="R48" s="13">
        <f>'TUSD BE'!$R$48*'TUSD BF'!$R$70</f>
        <v>5.2627822833457625</v>
      </c>
      <c r="S48" s="13">
        <f>'TUSD BE'!$R$48*'TUSD BF'!$S$70</f>
        <v>0</v>
      </c>
      <c r="T48" s="13">
        <f ca="1">SUM($L$48:$S$48)</f>
        <v>35.145720747700601</v>
      </c>
      <c r="U48" s="13">
        <f>'TUSD BE'!$U$48*'TUSD BF'!$U$70</f>
        <v>2.3821170466274086</v>
      </c>
      <c r="V48" s="13">
        <f>'TUSD BE'!$V$48*'TUSD BF'!$V$70</f>
        <v>1.1289796235465508</v>
      </c>
      <c r="W48" s="13">
        <f>'TUSD BE'!$W$48*'TUSD BF'!$W$70</f>
        <v>0</v>
      </c>
      <c r="X48" s="13">
        <f>'TUSD BE'!$X$48*'TUSD BF'!$X$70</f>
        <v>0</v>
      </c>
      <c r="Y48" s="13">
        <f>'TUSD BE'!$Y$48*'TUSD BF'!$Y$70</f>
        <v>0</v>
      </c>
      <c r="Z48" s="13">
        <f>'TUSD BE'!$Z$48*'TUSD BF'!$Z$70</f>
        <v>0</v>
      </c>
      <c r="AA48" s="13">
        <f>'TUSD BE'!$AA$48*'TUSD BF'!$AA$70</f>
        <v>0</v>
      </c>
      <c r="AB48" s="13">
        <f>SUM($U$48:$AA$48)</f>
        <v>3.5110966701739592</v>
      </c>
      <c r="AC48" s="13">
        <f>'TUSD BE'!$AC$48*'TUSD BF'!$AC$70</f>
        <v>0</v>
      </c>
      <c r="AD48" s="13">
        <f>SUM($AC$48:$AC$48)</f>
        <v>0</v>
      </c>
      <c r="AE48" s="13">
        <f ca="1">$AO$48*$AO$67</f>
        <v>0</v>
      </c>
      <c r="AF48" s="13">
        <f ca="1">$AP$48*$AP$67</f>
        <v>0</v>
      </c>
      <c r="AG48" s="13">
        <f ca="1">SUM($AE$48:$AF$48)</f>
        <v>0</v>
      </c>
      <c r="AH48" s="13">
        <f>'TUSD BE'!$AH$48*'TUSD BF'!$AH$70</f>
        <v>-1.2005156801843442</v>
      </c>
      <c r="AI48" s="13">
        <f>'TUSD BE'!$AI$48*'TUSD BF'!$AI$70</f>
        <v>-3.5326726089119291E-2</v>
      </c>
      <c r="AJ48" s="13">
        <f ca="1">'TUSD BE'!$AJ$48*'TUSD BF'!$AJ$70</f>
        <v>-8.0547162698289418E-2</v>
      </c>
      <c r="AK48" s="13">
        <f ca="1">'TUSD BE'!$AK$48*'TUSD BF'!$AK$70</f>
        <v>0</v>
      </c>
      <c r="AL48" s="13">
        <f ca="1">SUM($AH$48:$AK$48)</f>
        <v>-1.3163895689717529</v>
      </c>
      <c r="AM48" s="13">
        <f ca="1">SUMIF($L$4:$AL$4,"SUBTOTAL",$L$48:$AL$48)</f>
        <v>37.340427848902813</v>
      </c>
      <c r="AO48" s="20">
        <f ca="1">+'TUSD BE'!$T$48+'TUSD BE'!$AB$48+'TUSD BE'!$AD$48+'TUSD BE'!$AL$48</f>
        <v>353.86211605430111</v>
      </c>
      <c r="AP48" s="20">
        <f ca="1">+'TUSD BE'!$T$48+'TUSD BE'!$AB$48+'TUSD BE'!$AD$48+'TUSD BE'!$AL$48</f>
        <v>353.86211605430111</v>
      </c>
    </row>
    <row r="49" spans="1:42" ht="11.25" customHeight="1" x14ac:dyDescent="0.3">
      <c r="A49" s="137"/>
      <c r="B49" s="17" t="s">
        <v>23</v>
      </c>
      <c r="C49" s="17" t="s">
        <v>44</v>
      </c>
      <c r="D49" s="17" t="s">
        <v>94</v>
      </c>
      <c r="E49" s="17" t="s">
        <v>25</v>
      </c>
      <c r="F49" s="17" t="s">
        <v>25</v>
      </c>
      <c r="G49" s="18" t="s">
        <v>83</v>
      </c>
      <c r="H49" s="18" t="s">
        <v>79</v>
      </c>
      <c r="I49" s="18">
        <f>'MERCADO TUSD'!$U$46</f>
        <v>0</v>
      </c>
      <c r="J49" s="15"/>
      <c r="L49" s="13">
        <f>'TUSD BE'!$L$49*'TUSD BF'!$L$70</f>
        <v>0.92326902583634241</v>
      </c>
      <c r="M49" s="13">
        <f>'TUSD BE'!$M$49*'TUSD BF'!$M$70</f>
        <v>0</v>
      </c>
      <c r="N49" s="13">
        <f ca="1">'TUSD BE'!$N$49*'TUSD BF'!$N$70</f>
        <v>0</v>
      </c>
      <c r="O49" s="13">
        <f>'TUSD BE'!$O$49*'TUSD BF'!$O$70</f>
        <v>0</v>
      </c>
      <c r="P49" s="13">
        <f>'TUSD BE'!$P$49*'TUSD BF'!$P$70</f>
        <v>0</v>
      </c>
      <c r="Q49" s="13">
        <f>'TUSD BE'!$Q$49*'TUSD BF'!$Q$70</f>
        <v>28.959669438518496</v>
      </c>
      <c r="R49" s="13">
        <f>'TUSD BE'!$R$49*'TUSD BF'!$R$70</f>
        <v>5.2627822833457625</v>
      </c>
      <c r="S49" s="13">
        <f>'TUSD BE'!$R$49*'TUSD BF'!$S$70</f>
        <v>0</v>
      </c>
      <c r="T49" s="13">
        <f ca="1">SUM($L$49:$S$49)</f>
        <v>35.145720747700601</v>
      </c>
      <c r="U49" s="13">
        <f>'TUSD BE'!$U$49*'TUSD BF'!$U$70</f>
        <v>3.6092601266859483</v>
      </c>
      <c r="V49" s="13">
        <f>'TUSD BE'!$V$49*'TUSD BF'!$V$70</f>
        <v>1.7105702814726604</v>
      </c>
      <c r="W49" s="13">
        <f>'TUSD BE'!$W$49*'TUSD BF'!$W$70</f>
        <v>0</v>
      </c>
      <c r="X49" s="13">
        <f>'TUSD BE'!$X$49*'TUSD BF'!$X$70</f>
        <v>0</v>
      </c>
      <c r="Y49" s="13">
        <f>'TUSD BE'!$Y$49*'TUSD BF'!$Y$70</f>
        <v>0</v>
      </c>
      <c r="Z49" s="13">
        <f>'TUSD BE'!$Z$49*'TUSD BF'!$Z$70</f>
        <v>0</v>
      </c>
      <c r="AA49" s="13">
        <f>'TUSD BE'!$AA$49*'TUSD BF'!$AA$70</f>
        <v>0</v>
      </c>
      <c r="AB49" s="13">
        <f>SUM($U$49:$AA$49)</f>
        <v>5.3198304081586087</v>
      </c>
      <c r="AC49" s="13">
        <f>'TUSD BE'!$AC$49*'TUSD BF'!$AC$70</f>
        <v>0</v>
      </c>
      <c r="AD49" s="13">
        <f>SUM($AC$49:$AC$49)</f>
        <v>0</v>
      </c>
      <c r="AE49" s="13">
        <f ca="1">$AO$49*$AO$67</f>
        <v>0</v>
      </c>
      <c r="AF49" s="13">
        <f ca="1">$AP$49*$AP$67</f>
        <v>0</v>
      </c>
      <c r="AG49" s="13">
        <f ca="1">SUM($AE$49:$AF$49)</f>
        <v>0</v>
      </c>
      <c r="AH49" s="13">
        <f>'TUSD BE'!$AH$49*'TUSD BF'!$AH$70</f>
        <v>-1.2005156801843442</v>
      </c>
      <c r="AI49" s="13">
        <f>'TUSD BE'!$AI$49*'TUSD BF'!$AI$70</f>
        <v>-3.5326726089119291E-2</v>
      </c>
      <c r="AJ49" s="13">
        <f ca="1">'TUSD BE'!$AJ$49*'TUSD BF'!$AJ$70</f>
        <v>-8.0547162698289418E-2</v>
      </c>
      <c r="AK49" s="13">
        <f ca="1">'TUSD BE'!$AK$49*'TUSD BF'!$AK$70</f>
        <v>0</v>
      </c>
      <c r="AL49" s="13">
        <f ca="1">SUM($AH$49:$AK$49)</f>
        <v>-1.3163895689717529</v>
      </c>
      <c r="AM49" s="13">
        <f ca="1">SUMIF($L$4:$AL$4,"SUBTOTAL",$L$49:$AL$49)</f>
        <v>39.149161586887459</v>
      </c>
      <c r="AO49" s="20">
        <f ca="1">+'TUSD BE'!$T$49+'TUSD BE'!$AB$49+'TUSD BE'!$AD$49+'TUSD BE'!$AL$49</f>
        <v>459.15878161916231</v>
      </c>
      <c r="AP49" s="20">
        <f ca="1">+'TUSD BE'!$T$49+'TUSD BE'!$AB$49+'TUSD BE'!$AD$49+'TUSD BE'!$AL$49</f>
        <v>459.15878161916231</v>
      </c>
    </row>
    <row r="50" spans="1:42" ht="11.25" customHeight="1" x14ac:dyDescent="0.3">
      <c r="A50" s="137"/>
      <c r="B50" s="137" t="s">
        <v>33</v>
      </c>
      <c r="C50" s="137" t="s">
        <v>44</v>
      </c>
      <c r="D50" s="137" t="s">
        <v>95</v>
      </c>
      <c r="E50" s="137" t="s">
        <v>25</v>
      </c>
      <c r="F50" s="137" t="s">
        <v>25</v>
      </c>
      <c r="G50" s="18" t="s">
        <v>80</v>
      </c>
      <c r="H50" s="18" t="s">
        <v>79</v>
      </c>
      <c r="I50" s="18">
        <f>'MERCADO TUSD'!$U$47</f>
        <v>0</v>
      </c>
      <c r="J50" s="15"/>
      <c r="L50" s="13">
        <f>'TUSD BE'!$L$50*'TUSD BF'!$L$70</f>
        <v>0.92326902583634241</v>
      </c>
      <c r="M50" s="13">
        <f>'TUSD BE'!$M$50*'TUSD BF'!$M$70</f>
        <v>0</v>
      </c>
      <c r="N50" s="13">
        <f ca="1">'TUSD BE'!$N$50*'TUSD BF'!$N$70</f>
        <v>0</v>
      </c>
      <c r="O50" s="13">
        <f>'TUSD BE'!$O$50*'TUSD BF'!$O$70</f>
        <v>0</v>
      </c>
      <c r="P50" s="13">
        <f>'TUSD BE'!$P$50*'TUSD BF'!$P$70</f>
        <v>0</v>
      </c>
      <c r="Q50" s="13">
        <f>'TUSD BE'!$Q$50*'TUSD BF'!$Q$70</f>
        <v>28.959669438518496</v>
      </c>
      <c r="R50" s="13">
        <f>'TUSD BE'!$R$50*'TUSD BF'!$R$70</f>
        <v>5.2627822833457625</v>
      </c>
      <c r="S50" s="13">
        <f>'TUSD BE'!$R$50*'TUSD BF'!$S$70</f>
        <v>0</v>
      </c>
      <c r="T50" s="13">
        <f ca="1">SUM($L$50:$S$50)</f>
        <v>35.145720747700601</v>
      </c>
      <c r="U50" s="13">
        <f>'TUSD BE'!$U$50*'TUSD BF'!$U$70</f>
        <v>11.910560855797575</v>
      </c>
      <c r="V50" s="13">
        <f>'TUSD BE'!$V$50*'TUSD BF'!$V$70</f>
        <v>5.6448765325687873</v>
      </c>
      <c r="W50" s="13">
        <f>'TUSD BE'!$W$50*'TUSD BF'!$W$70</f>
        <v>0</v>
      </c>
      <c r="X50" s="13">
        <f>'TUSD BE'!$X$50*'TUSD BF'!$X$70</f>
        <v>0</v>
      </c>
      <c r="Y50" s="13">
        <f>'TUSD BE'!$Y$50*'TUSD BF'!$Y$70</f>
        <v>0</v>
      </c>
      <c r="Z50" s="13">
        <f>'TUSD BE'!$Z$50*'TUSD BF'!$Z$70</f>
        <v>0</v>
      </c>
      <c r="AA50" s="13">
        <f>'TUSD BE'!$AA$50*'TUSD BF'!$AA$70</f>
        <v>0</v>
      </c>
      <c r="AB50" s="13">
        <f>SUM($U$50:$AA$50)</f>
        <v>17.555437388366364</v>
      </c>
      <c r="AC50" s="13">
        <f>'TUSD BE'!$AC$50*'TUSD BF'!$AC$70</f>
        <v>0</v>
      </c>
      <c r="AD50" s="13">
        <f>SUM($AC$50:$AC$50)</f>
        <v>0</v>
      </c>
      <c r="AE50" s="13">
        <f ca="1">$AO$50*$AO$67</f>
        <v>0</v>
      </c>
      <c r="AF50" s="13">
        <f ca="1">$AP$50*$AP$67</f>
        <v>0</v>
      </c>
      <c r="AG50" s="13">
        <f ca="1">SUM($AE$50:$AF$50)</f>
        <v>0</v>
      </c>
      <c r="AH50" s="13">
        <f>'TUSD BE'!$AH$50*'TUSD BF'!$AH$70</f>
        <v>-1.2005156801843442</v>
      </c>
      <c r="AI50" s="13">
        <f>'TUSD BE'!$AI$50*'TUSD BF'!$AI$70</f>
        <v>-3.5326726089119291E-2</v>
      </c>
      <c r="AJ50" s="13">
        <f ca="1">'TUSD BE'!$AJ$50*'TUSD BF'!$AJ$70</f>
        <v>-8.0547162698289418E-2</v>
      </c>
      <c r="AK50" s="13">
        <f ca="1">'TUSD BE'!$AK$50*'TUSD BF'!$AK$70</f>
        <v>0</v>
      </c>
      <c r="AL50" s="13">
        <f ca="1">SUM($AH$50:$AK$50)</f>
        <v>-1.3163895689717529</v>
      </c>
      <c r="AM50" s="13">
        <f ca="1">SUMIF($L$4:$AL$4,"SUBTOTAL",$L$50:$AL$50)</f>
        <v>51.384768567095215</v>
      </c>
      <c r="AO50" s="20">
        <f ca="1">+'TUSD BE'!$T$50+'TUSD BE'!$AB$50+'TUSD BE'!$AD$50+'TUSD BE'!$AL$50</f>
        <v>1171.4601999383599</v>
      </c>
      <c r="AP50" s="20">
        <f ca="1">+'TUSD BE'!$T$50+'TUSD BE'!$AB$50+'TUSD BE'!$AD$50+'TUSD BE'!$AL$50</f>
        <v>1171.4601999383599</v>
      </c>
    </row>
    <row r="51" spans="1:42" ht="11.25" customHeight="1" x14ac:dyDescent="0.3">
      <c r="A51" s="137"/>
      <c r="B51" s="137"/>
      <c r="C51" s="137"/>
      <c r="D51" s="137"/>
      <c r="E51" s="137"/>
      <c r="F51" s="137"/>
      <c r="G51" s="18" t="s">
        <v>91</v>
      </c>
      <c r="H51" s="18" t="s">
        <v>79</v>
      </c>
      <c r="I51" s="18">
        <f>'MERCADO TUSD'!$U$48</f>
        <v>0</v>
      </c>
      <c r="J51" s="15"/>
      <c r="L51" s="13">
        <f>'TUSD BE'!$L$51*'TUSD BF'!$L$70</f>
        <v>0.92326902583634241</v>
      </c>
      <c r="M51" s="13">
        <f>'TUSD BE'!$M$51*'TUSD BF'!$M$70</f>
        <v>0</v>
      </c>
      <c r="N51" s="13">
        <f ca="1">'TUSD BE'!$N$51*'TUSD BF'!$N$70</f>
        <v>0</v>
      </c>
      <c r="O51" s="13">
        <f>'TUSD BE'!$O$51*'TUSD BF'!$O$70</f>
        <v>0</v>
      </c>
      <c r="P51" s="13">
        <f>'TUSD BE'!$P$51*'TUSD BF'!$P$70</f>
        <v>0</v>
      </c>
      <c r="Q51" s="13">
        <f>'TUSD BE'!$Q$51*'TUSD BF'!$Q$70</f>
        <v>28.959669438518496</v>
      </c>
      <c r="R51" s="13">
        <f>'TUSD BE'!$R$51*'TUSD BF'!$R$70</f>
        <v>5.2627822833457625</v>
      </c>
      <c r="S51" s="13">
        <f>'TUSD BE'!$R$51*'TUSD BF'!$S$70</f>
        <v>0</v>
      </c>
      <c r="T51" s="13">
        <f ca="1">SUM($L$51:$S$51)</f>
        <v>35.145720747700601</v>
      </c>
      <c r="U51" s="13">
        <f>'TUSD BE'!$U$51*'TUSD BF'!$U$70</f>
        <v>7.146338951212492</v>
      </c>
      <c r="V51" s="13">
        <f>'TUSD BE'!$V$51*'TUSD BF'!$V$70</f>
        <v>3.3869280780576694</v>
      </c>
      <c r="W51" s="13">
        <f>'TUSD BE'!$W$51*'TUSD BF'!$W$70</f>
        <v>0</v>
      </c>
      <c r="X51" s="13">
        <f>'TUSD BE'!$X$51*'TUSD BF'!$X$70</f>
        <v>0</v>
      </c>
      <c r="Y51" s="13">
        <f>'TUSD BE'!$Y$51*'TUSD BF'!$Y$70</f>
        <v>0</v>
      </c>
      <c r="Z51" s="13">
        <f>'TUSD BE'!$Z$51*'TUSD BF'!$Z$70</f>
        <v>0</v>
      </c>
      <c r="AA51" s="13">
        <f>'TUSD BE'!$AA$51*'TUSD BF'!$AA$70</f>
        <v>0</v>
      </c>
      <c r="AB51" s="13">
        <f>SUM($U$51:$AA$51)</f>
        <v>10.533267029270162</v>
      </c>
      <c r="AC51" s="13">
        <f>'TUSD BE'!$AC$51*'TUSD BF'!$AC$70</f>
        <v>0</v>
      </c>
      <c r="AD51" s="13">
        <f>SUM($AC$51:$AC$51)</f>
        <v>0</v>
      </c>
      <c r="AE51" s="13">
        <f ca="1">$AO$51*$AO$67</f>
        <v>0</v>
      </c>
      <c r="AF51" s="13">
        <f ca="1">$AP$51*$AP$67</f>
        <v>0</v>
      </c>
      <c r="AG51" s="13">
        <f ca="1">SUM($AE$51:$AF$51)</f>
        <v>0</v>
      </c>
      <c r="AH51" s="13">
        <f>'TUSD BE'!$AH$51*'TUSD BF'!$AH$70</f>
        <v>-1.2005156801843442</v>
      </c>
      <c r="AI51" s="13">
        <f>'TUSD BE'!$AI$51*'TUSD BF'!$AI$70</f>
        <v>-3.5326726089119291E-2</v>
      </c>
      <c r="AJ51" s="13">
        <f ca="1">'TUSD BE'!$AJ$51*'TUSD BF'!$AJ$70</f>
        <v>-8.0547162698289418E-2</v>
      </c>
      <c r="AK51" s="13">
        <f ca="1">'TUSD BE'!$AK$51*'TUSD BF'!$AK$70</f>
        <v>0</v>
      </c>
      <c r="AL51" s="13">
        <f ca="1">SUM($AH$51:$AK$51)</f>
        <v>-1.3163895689717529</v>
      </c>
      <c r="AM51" s="13">
        <f ca="1">SUMIF($L$4:$AL$4,"SUBTOTAL",$L$51:$AL$51)</f>
        <v>44.362598207999014</v>
      </c>
      <c r="AO51" s="20">
        <f ca="1">+'TUSD BE'!$T$51+'TUSD BE'!$AB$51+'TUSD BE'!$AD$51+'TUSD BE'!$AL$51</f>
        <v>762.66115799633064</v>
      </c>
      <c r="AP51" s="20">
        <f ca="1">+'TUSD BE'!$T$51+'TUSD BE'!$AB$51+'TUSD BE'!$AD$51+'TUSD BE'!$AL$51</f>
        <v>762.66115799633064</v>
      </c>
    </row>
    <row r="52" spans="1:42" ht="11.25" customHeight="1" x14ac:dyDescent="0.3">
      <c r="A52" s="137"/>
      <c r="B52" s="137"/>
      <c r="C52" s="137"/>
      <c r="D52" s="137"/>
      <c r="E52" s="137"/>
      <c r="F52" s="137"/>
      <c r="G52" s="18" t="s">
        <v>81</v>
      </c>
      <c r="H52" s="18" t="s">
        <v>79</v>
      </c>
      <c r="I52" s="18">
        <f>'MERCADO TUSD'!$U$49</f>
        <v>0</v>
      </c>
      <c r="J52" s="15"/>
      <c r="L52" s="13">
        <f>'TUSD BE'!$L$52*'TUSD BF'!$L$70</f>
        <v>0.92326902583634241</v>
      </c>
      <c r="M52" s="13">
        <f>'TUSD BE'!$M$52*'TUSD BF'!$M$70</f>
        <v>0</v>
      </c>
      <c r="N52" s="13">
        <f ca="1">'TUSD BE'!$N$52*'TUSD BF'!$N$70</f>
        <v>0</v>
      </c>
      <c r="O52" s="13">
        <f>'TUSD BE'!$O$52*'TUSD BF'!$O$70</f>
        <v>0</v>
      </c>
      <c r="P52" s="13">
        <f>'TUSD BE'!$P$52*'TUSD BF'!$P$70</f>
        <v>0</v>
      </c>
      <c r="Q52" s="13">
        <f>'TUSD BE'!$Q$52*'TUSD BF'!$Q$70</f>
        <v>28.959669438518496</v>
      </c>
      <c r="R52" s="13">
        <f>'TUSD BE'!$R$52*'TUSD BF'!$R$70</f>
        <v>5.2627822833457625</v>
      </c>
      <c r="S52" s="13">
        <f>'TUSD BE'!$R$52*'TUSD BF'!$S$70</f>
        <v>0</v>
      </c>
      <c r="T52" s="13">
        <f ca="1">SUM($L$52:$S$52)</f>
        <v>35.145720747700601</v>
      </c>
      <c r="U52" s="13">
        <f>'TUSD BE'!$U$52*'TUSD BF'!$U$70</f>
        <v>2.3821170466274086</v>
      </c>
      <c r="V52" s="13">
        <f>'TUSD BE'!$V$52*'TUSD BF'!$V$70</f>
        <v>1.1289796235465508</v>
      </c>
      <c r="W52" s="13">
        <f>'TUSD BE'!$W$52*'TUSD BF'!$W$70</f>
        <v>0</v>
      </c>
      <c r="X52" s="13">
        <f>'TUSD BE'!$X$52*'TUSD BF'!$X$70</f>
        <v>0</v>
      </c>
      <c r="Y52" s="13">
        <f>'TUSD BE'!$Y$52*'TUSD BF'!$Y$70</f>
        <v>0</v>
      </c>
      <c r="Z52" s="13">
        <f>'TUSD BE'!$Z$52*'TUSD BF'!$Z$70</f>
        <v>0</v>
      </c>
      <c r="AA52" s="13">
        <f>'TUSD BE'!$AA$52*'TUSD BF'!$AA$70</f>
        <v>0</v>
      </c>
      <c r="AB52" s="13">
        <f>SUM($U$52:$AA$52)</f>
        <v>3.5110966701739592</v>
      </c>
      <c r="AC52" s="13">
        <f>'TUSD BE'!$AC$52*'TUSD BF'!$AC$70</f>
        <v>0</v>
      </c>
      <c r="AD52" s="13">
        <f>SUM($AC$52:$AC$52)</f>
        <v>0</v>
      </c>
      <c r="AE52" s="13">
        <f ca="1">$AO$52*$AO$67</f>
        <v>0</v>
      </c>
      <c r="AF52" s="13">
        <f ca="1">$AP$52*$AP$67</f>
        <v>0</v>
      </c>
      <c r="AG52" s="13">
        <f ca="1">SUM($AE$52:$AF$52)</f>
        <v>0</v>
      </c>
      <c r="AH52" s="13">
        <f>'TUSD BE'!$AH$52*'TUSD BF'!$AH$70</f>
        <v>-1.2005156801843442</v>
      </c>
      <c r="AI52" s="13">
        <f>'TUSD BE'!$AI$52*'TUSD BF'!$AI$70</f>
        <v>-3.5326726089119291E-2</v>
      </c>
      <c r="AJ52" s="13">
        <f ca="1">'TUSD BE'!$AJ$52*'TUSD BF'!$AJ$70</f>
        <v>-8.0547162698289418E-2</v>
      </c>
      <c r="AK52" s="13">
        <f ca="1">'TUSD BE'!$AK$52*'TUSD BF'!$AK$70</f>
        <v>0</v>
      </c>
      <c r="AL52" s="13">
        <f ca="1">SUM($AH$52:$AK$52)</f>
        <v>-1.3163895689717529</v>
      </c>
      <c r="AM52" s="13">
        <f ca="1">SUMIF($L$4:$AL$4,"SUBTOTAL",$L$52:$AL$52)</f>
        <v>37.340427848902813</v>
      </c>
      <c r="AO52" s="20">
        <f ca="1">+'TUSD BE'!$T$52+'TUSD BE'!$AB$52+'TUSD BE'!$AD$52+'TUSD BE'!$AL$52</f>
        <v>353.86211605430111</v>
      </c>
      <c r="AP52" s="20">
        <f ca="1">+'TUSD BE'!$T$52+'TUSD BE'!$AB$52+'TUSD BE'!$AD$52+'TUSD BE'!$AL$52</f>
        <v>353.86211605430111</v>
      </c>
    </row>
    <row r="53" spans="1:42" ht="11.25" customHeight="1" x14ac:dyDescent="0.3">
      <c r="A53" s="137"/>
      <c r="B53" s="17" t="s">
        <v>23</v>
      </c>
      <c r="C53" s="17" t="s">
        <v>44</v>
      </c>
      <c r="D53" s="17" t="s">
        <v>95</v>
      </c>
      <c r="E53" s="17" t="s">
        <v>25</v>
      </c>
      <c r="F53" s="17" t="s">
        <v>25</v>
      </c>
      <c r="G53" s="18" t="s">
        <v>83</v>
      </c>
      <c r="H53" s="18" t="s">
        <v>79</v>
      </c>
      <c r="I53" s="18">
        <f>'MERCADO TUSD'!$U$50</f>
        <v>0</v>
      </c>
      <c r="J53" s="15"/>
      <c r="L53" s="13">
        <f>'TUSD BE'!$L$53*'TUSD BF'!$L$70</f>
        <v>0.92326902583634241</v>
      </c>
      <c r="M53" s="13">
        <f>'TUSD BE'!$M$53*'TUSD BF'!$M$70</f>
        <v>0</v>
      </c>
      <c r="N53" s="13">
        <f ca="1">'TUSD BE'!$N$53*'TUSD BF'!$N$70</f>
        <v>0</v>
      </c>
      <c r="O53" s="13">
        <f>'TUSD BE'!$O$53*'TUSD BF'!$O$70</f>
        <v>0</v>
      </c>
      <c r="P53" s="13">
        <f>'TUSD BE'!$P$53*'TUSD BF'!$P$70</f>
        <v>0</v>
      </c>
      <c r="Q53" s="13">
        <f>'TUSD BE'!$Q$53*'TUSD BF'!$Q$70</f>
        <v>28.959669438518496</v>
      </c>
      <c r="R53" s="13">
        <f>'TUSD BE'!$R$53*'TUSD BF'!$R$70</f>
        <v>5.2627822833457625</v>
      </c>
      <c r="S53" s="13">
        <f>'TUSD BE'!$R$53*'TUSD BF'!$S$70</f>
        <v>0</v>
      </c>
      <c r="T53" s="13">
        <f ca="1">SUM($L$53:$S$53)</f>
        <v>35.145720747700601</v>
      </c>
      <c r="U53" s="13">
        <f>'TUSD BE'!$U$53*'TUSD BF'!$U$70</f>
        <v>3.6092601266859483</v>
      </c>
      <c r="V53" s="13">
        <f>'TUSD BE'!$V$53*'TUSD BF'!$V$70</f>
        <v>1.7105702814726604</v>
      </c>
      <c r="W53" s="13">
        <f>'TUSD BE'!$W$53*'TUSD BF'!$W$70</f>
        <v>0</v>
      </c>
      <c r="X53" s="13">
        <f>'TUSD BE'!$X$53*'TUSD BF'!$X$70</f>
        <v>0</v>
      </c>
      <c r="Y53" s="13">
        <f>'TUSD BE'!$Y$53*'TUSD BF'!$Y$70</f>
        <v>0</v>
      </c>
      <c r="Z53" s="13">
        <f>'TUSD BE'!$Z$53*'TUSD BF'!$Z$70</f>
        <v>0</v>
      </c>
      <c r="AA53" s="13">
        <f>'TUSD BE'!$AA$53*'TUSD BF'!$AA$70</f>
        <v>0</v>
      </c>
      <c r="AB53" s="13">
        <f>SUM($U$53:$AA$53)</f>
        <v>5.3198304081586087</v>
      </c>
      <c r="AC53" s="13">
        <f>'TUSD BE'!$AC$53*'TUSD BF'!$AC$70</f>
        <v>0</v>
      </c>
      <c r="AD53" s="13">
        <f>SUM($AC$53:$AC$53)</f>
        <v>0</v>
      </c>
      <c r="AE53" s="13">
        <f ca="1">$AO$53*$AO$67</f>
        <v>0</v>
      </c>
      <c r="AF53" s="13">
        <f ca="1">$AP$53*$AP$67</f>
        <v>0</v>
      </c>
      <c r="AG53" s="13">
        <f ca="1">SUM($AE$53:$AF$53)</f>
        <v>0</v>
      </c>
      <c r="AH53" s="13">
        <f>'TUSD BE'!$AH$53*'TUSD BF'!$AH$70</f>
        <v>-1.2005156801843442</v>
      </c>
      <c r="AI53" s="13">
        <f>'TUSD BE'!$AI$53*'TUSD BF'!$AI$70</f>
        <v>-3.5326726089119291E-2</v>
      </c>
      <c r="AJ53" s="13">
        <f ca="1">'TUSD BE'!$AJ$53*'TUSD BF'!$AJ$70</f>
        <v>-8.0547162698289418E-2</v>
      </c>
      <c r="AK53" s="13">
        <f ca="1">'TUSD BE'!$AK$53*'TUSD BF'!$AK$70</f>
        <v>0</v>
      </c>
      <c r="AL53" s="13">
        <f ca="1">SUM($AH$53:$AK$53)</f>
        <v>-1.3163895689717529</v>
      </c>
      <c r="AM53" s="13">
        <f ca="1">SUMIF($L$4:$AL$4,"SUBTOTAL",$L$53:$AL$53)</f>
        <v>39.149161586887459</v>
      </c>
      <c r="AO53" s="20">
        <f ca="1">+'TUSD BE'!$T$53+'TUSD BE'!$AB$53+'TUSD BE'!$AD$53+'TUSD BE'!$AL$53</f>
        <v>459.15878161916231</v>
      </c>
      <c r="AP53" s="20">
        <f ca="1">+'TUSD BE'!$T$53+'TUSD BE'!$AB$53+'TUSD BE'!$AD$53+'TUSD BE'!$AL$53</f>
        <v>459.15878161916231</v>
      </c>
    </row>
    <row r="54" spans="1:42" ht="11.25" customHeight="1" x14ac:dyDescent="0.3">
      <c r="A54" s="137"/>
      <c r="B54" s="137" t="s">
        <v>93</v>
      </c>
      <c r="C54" s="137" t="s">
        <v>44</v>
      </c>
      <c r="D54" s="17" t="s">
        <v>25</v>
      </c>
      <c r="E54" s="17" t="s">
        <v>25</v>
      </c>
      <c r="F54" s="17" t="s">
        <v>25</v>
      </c>
      <c r="G54" s="18" t="s">
        <v>83</v>
      </c>
      <c r="H54" s="18" t="s">
        <v>79</v>
      </c>
      <c r="I54" s="18">
        <f>'MERCADO TUSD'!$U$51</f>
        <v>0</v>
      </c>
      <c r="J54" s="15"/>
      <c r="L54" s="13">
        <f>'TUSD BE'!$L$54*'TUSD BF'!$L$70</f>
        <v>0.92326902583634241</v>
      </c>
      <c r="M54" s="13">
        <f>'TUSD BE'!$M$54*'TUSD BF'!$M$70</f>
        <v>0</v>
      </c>
      <c r="N54" s="13">
        <f ca="1">'TUSD BE'!$N$54*'TUSD BF'!$N$70</f>
        <v>0</v>
      </c>
      <c r="O54" s="13">
        <f>'TUSD BE'!$O$54*'TUSD BF'!$O$70</f>
        <v>0</v>
      </c>
      <c r="P54" s="13">
        <f>'TUSD BE'!$P$54*'TUSD BF'!$P$70</f>
        <v>0</v>
      </c>
      <c r="Q54" s="13">
        <f>'TUSD BE'!$Q$54*'TUSD BF'!$Q$70</f>
        <v>28.959669438518496</v>
      </c>
      <c r="R54" s="13">
        <f>'TUSD BE'!$R$54*'TUSD BF'!$R$70</f>
        <v>5.2627822833457625</v>
      </c>
      <c r="S54" s="13">
        <f>'TUSD BE'!$R$54*'TUSD BF'!$S$70</f>
        <v>0</v>
      </c>
      <c r="T54" s="13">
        <f ca="1">SUM($L$54:$S$54)</f>
        <v>35.145720747700601</v>
      </c>
      <c r="U54" s="13">
        <f>'TUSD BE'!$U$54*'TUSD BF'!$U$70</f>
        <v>3.6092601266859483</v>
      </c>
      <c r="V54" s="13">
        <f>'TUSD BE'!$V$54*'TUSD BF'!$V$70</f>
        <v>1.7105702814726604</v>
      </c>
      <c r="W54" s="13">
        <f>'TUSD BE'!$W$54*'TUSD BF'!$W$70</f>
        <v>0</v>
      </c>
      <c r="X54" s="13">
        <f>'TUSD BE'!$X$54*'TUSD BF'!$X$70</f>
        <v>0</v>
      </c>
      <c r="Y54" s="13">
        <f>'TUSD BE'!$Y$54*'TUSD BF'!$Y$70</f>
        <v>0</v>
      </c>
      <c r="Z54" s="13">
        <f>'TUSD BE'!$Z$54*'TUSD BF'!$Z$70</f>
        <v>0</v>
      </c>
      <c r="AA54" s="13">
        <f>'TUSD BE'!$AA$54*'TUSD BF'!$AA$70</f>
        <v>0</v>
      </c>
      <c r="AB54" s="13">
        <f>SUM($U$54:$AA$54)</f>
        <v>5.3198304081586087</v>
      </c>
      <c r="AC54" s="13">
        <f>'TUSD BE'!$AC$54*'TUSD BF'!$AC$70</f>
        <v>0</v>
      </c>
      <c r="AD54" s="13">
        <f>SUM($AC$54:$AC$54)</f>
        <v>0</v>
      </c>
      <c r="AE54" s="13">
        <f ca="1">$AO$54*$AO$67</f>
        <v>0</v>
      </c>
      <c r="AF54" s="13">
        <f ca="1">$AP$54*$AP$67</f>
        <v>0</v>
      </c>
      <c r="AG54" s="13">
        <f ca="1">SUM($AE$54:$AF$54)</f>
        <v>0</v>
      </c>
      <c r="AH54" s="13">
        <f>'TUSD BE'!$AH$54*'TUSD BF'!$AH$70</f>
        <v>-1.2005156801843442</v>
      </c>
      <c r="AI54" s="13">
        <f>'TUSD BE'!$AI$54*'TUSD BF'!$AI$70</f>
        <v>-3.5326726089119291E-2</v>
      </c>
      <c r="AJ54" s="13">
        <f ca="1">'TUSD BE'!$AJ$54*'TUSD BF'!$AJ$70</f>
        <v>-8.0547162698289418E-2</v>
      </c>
      <c r="AK54" s="13">
        <f ca="1">'TUSD BE'!$AK$54*'TUSD BF'!$AK$70</f>
        <v>0</v>
      </c>
      <c r="AL54" s="13">
        <f ca="1">SUM($AH$54:$AK$54)</f>
        <v>-1.3163895689717529</v>
      </c>
      <c r="AM54" s="13">
        <f ca="1">SUMIF($L$4:$AL$4,"SUBTOTAL",$L$54:$AL$54)</f>
        <v>39.149161586887459</v>
      </c>
      <c r="AO54" s="20">
        <f ca="1">+'TUSD BE'!$T$54+'TUSD BE'!$AB$54+'TUSD BE'!$AD$54+'TUSD BE'!$AL$54</f>
        <v>459.15878161916231</v>
      </c>
      <c r="AP54" s="20">
        <f ca="1">+'TUSD BE'!$T$54+'TUSD BE'!$AB$54+'TUSD BE'!$AD$54+'TUSD BE'!$AL$54</f>
        <v>459.15878161916231</v>
      </c>
    </row>
    <row r="55" spans="1:42" ht="11.25" customHeight="1" x14ac:dyDescent="0.3">
      <c r="A55" s="137"/>
      <c r="B55" s="137"/>
      <c r="C55" s="137"/>
      <c r="D55" s="17" t="s">
        <v>94</v>
      </c>
      <c r="E55" s="17" t="s">
        <v>25</v>
      </c>
      <c r="F55" s="17" t="s">
        <v>25</v>
      </c>
      <c r="G55" s="18" t="s">
        <v>83</v>
      </c>
      <c r="H55" s="18" t="s">
        <v>79</v>
      </c>
      <c r="I55" s="18">
        <f>'MERCADO TUSD'!$U$52</f>
        <v>0</v>
      </c>
      <c r="J55" s="15"/>
      <c r="L55" s="13">
        <f>'TUSD BE'!$L$55*'TUSD BF'!$L$70</f>
        <v>0.92326902583634241</v>
      </c>
      <c r="M55" s="13">
        <f>'TUSD BE'!$M$55*'TUSD BF'!$M$70</f>
        <v>0</v>
      </c>
      <c r="N55" s="13">
        <f ca="1">'TUSD BE'!$N$55*'TUSD BF'!$N$70</f>
        <v>0</v>
      </c>
      <c r="O55" s="13">
        <f>'TUSD BE'!$O$55*'TUSD BF'!$O$70</f>
        <v>0</v>
      </c>
      <c r="P55" s="13">
        <f>'TUSD BE'!$P$55*'TUSD BF'!$P$70</f>
        <v>0</v>
      </c>
      <c r="Q55" s="13">
        <f>'TUSD BE'!$Q$55*'TUSD BF'!$Q$70</f>
        <v>28.959669438518496</v>
      </c>
      <c r="R55" s="13">
        <f>'TUSD BE'!$R$55*'TUSD BF'!$R$70</f>
        <v>5.2627822833457625</v>
      </c>
      <c r="S55" s="13">
        <f>'TUSD BE'!$R$55*'TUSD BF'!$S$70</f>
        <v>0</v>
      </c>
      <c r="T55" s="13">
        <f ca="1">SUM($L$55:$S$55)</f>
        <v>35.145720747700601</v>
      </c>
      <c r="U55" s="13">
        <f>'TUSD BE'!$U$55*'TUSD BF'!$U$70</f>
        <v>3.6092601266859483</v>
      </c>
      <c r="V55" s="13">
        <f>'TUSD BE'!$V$55*'TUSD BF'!$V$70</f>
        <v>1.7105702814726604</v>
      </c>
      <c r="W55" s="13">
        <f>'TUSD BE'!$W$55*'TUSD BF'!$W$70</f>
        <v>0</v>
      </c>
      <c r="X55" s="13">
        <f>'TUSD BE'!$X$55*'TUSD BF'!$X$70</f>
        <v>0</v>
      </c>
      <c r="Y55" s="13">
        <f>'TUSD BE'!$Y$55*'TUSD BF'!$Y$70</f>
        <v>0</v>
      </c>
      <c r="Z55" s="13">
        <f>'TUSD BE'!$Z$55*'TUSD BF'!$Z$70</f>
        <v>0</v>
      </c>
      <c r="AA55" s="13">
        <f>'TUSD BE'!$AA$55*'TUSD BF'!$AA$70</f>
        <v>0</v>
      </c>
      <c r="AB55" s="13">
        <f>SUM($U$55:$AA$55)</f>
        <v>5.3198304081586087</v>
      </c>
      <c r="AC55" s="13">
        <f>'TUSD BE'!$AC$55*'TUSD BF'!$AC$70</f>
        <v>0</v>
      </c>
      <c r="AD55" s="13">
        <f>SUM($AC$55:$AC$55)</f>
        <v>0</v>
      </c>
      <c r="AE55" s="13">
        <f ca="1">$AO$55*$AO$67</f>
        <v>0</v>
      </c>
      <c r="AF55" s="13">
        <f ca="1">$AP$55*$AP$67</f>
        <v>0</v>
      </c>
      <c r="AG55" s="13">
        <f ca="1">SUM($AE$55:$AF$55)</f>
        <v>0</v>
      </c>
      <c r="AH55" s="13">
        <f>'TUSD BE'!$AH$55*'TUSD BF'!$AH$70</f>
        <v>-1.2005156801843442</v>
      </c>
      <c r="AI55" s="13">
        <f>'TUSD BE'!$AI$55*'TUSD BF'!$AI$70</f>
        <v>-3.5326726089119291E-2</v>
      </c>
      <c r="AJ55" s="13">
        <f ca="1">'TUSD BE'!$AJ$55*'TUSD BF'!$AJ$70</f>
        <v>-8.0547162698289418E-2</v>
      </c>
      <c r="AK55" s="13">
        <f ca="1">'TUSD BE'!$AK$55*'TUSD BF'!$AK$70</f>
        <v>0</v>
      </c>
      <c r="AL55" s="13">
        <f ca="1">SUM($AH$55:$AK$55)</f>
        <v>-1.3163895689717529</v>
      </c>
      <c r="AM55" s="13">
        <f ca="1">SUMIF($L$4:$AL$4,"SUBTOTAL",$L$55:$AL$55)</f>
        <v>39.149161586887459</v>
      </c>
      <c r="AO55" s="20">
        <f ca="1">+'TUSD BE'!$T$55+'TUSD BE'!$AB$55+'TUSD BE'!$AD$55+'TUSD BE'!$AL$55</f>
        <v>459.15878161916231</v>
      </c>
      <c r="AP55" s="20">
        <f ca="1">+'TUSD BE'!$T$55+'TUSD BE'!$AB$55+'TUSD BE'!$AD$55+'TUSD BE'!$AL$55</f>
        <v>459.15878161916231</v>
      </c>
    </row>
    <row r="56" spans="1:42" ht="11.25" customHeight="1" x14ac:dyDescent="0.3">
      <c r="A56" s="137"/>
      <c r="B56" s="137"/>
      <c r="C56" s="137"/>
      <c r="D56" s="17" t="s">
        <v>95</v>
      </c>
      <c r="E56" s="17" t="s">
        <v>25</v>
      </c>
      <c r="F56" s="17" t="s">
        <v>25</v>
      </c>
      <c r="G56" s="18" t="s">
        <v>83</v>
      </c>
      <c r="H56" s="18" t="s">
        <v>79</v>
      </c>
      <c r="I56" s="18">
        <f>'MERCADO TUSD'!$U$53</f>
        <v>0</v>
      </c>
      <c r="J56" s="15"/>
      <c r="L56" s="13">
        <f>'TUSD BE'!$L$56*'TUSD BF'!$L$70</f>
        <v>0.92326902583634241</v>
      </c>
      <c r="M56" s="13">
        <f>'TUSD BE'!$M$56*'TUSD BF'!$M$70</f>
        <v>0</v>
      </c>
      <c r="N56" s="13">
        <f ca="1">'TUSD BE'!$N$56*'TUSD BF'!$N$70</f>
        <v>0</v>
      </c>
      <c r="O56" s="13">
        <f>'TUSD BE'!$O$56*'TUSD BF'!$O$70</f>
        <v>0</v>
      </c>
      <c r="P56" s="13">
        <f>'TUSD BE'!$P$56*'TUSD BF'!$P$70</f>
        <v>0</v>
      </c>
      <c r="Q56" s="13">
        <f>'TUSD BE'!$Q$56*'TUSD BF'!$Q$70</f>
        <v>28.959669438518496</v>
      </c>
      <c r="R56" s="13">
        <f>'TUSD BE'!$R$56*'TUSD BF'!$R$70</f>
        <v>5.2627822833457625</v>
      </c>
      <c r="S56" s="13">
        <f>'TUSD BE'!$R$56*'TUSD BF'!$S$70</f>
        <v>0</v>
      </c>
      <c r="T56" s="13">
        <f ca="1">SUM($L$56:$S$56)</f>
        <v>35.145720747700601</v>
      </c>
      <c r="U56" s="13">
        <f>'TUSD BE'!$U$56*'TUSD BF'!$U$70</f>
        <v>3.6092601266859483</v>
      </c>
      <c r="V56" s="13">
        <f>'TUSD BE'!$V$56*'TUSD BF'!$V$70</f>
        <v>1.7105702814726604</v>
      </c>
      <c r="W56" s="13">
        <f>'TUSD BE'!$W$56*'TUSD BF'!$W$70</f>
        <v>0</v>
      </c>
      <c r="X56" s="13">
        <f>'TUSD BE'!$X$56*'TUSD BF'!$X$70</f>
        <v>0</v>
      </c>
      <c r="Y56" s="13">
        <f>'TUSD BE'!$Y$56*'TUSD BF'!$Y$70</f>
        <v>0</v>
      </c>
      <c r="Z56" s="13">
        <f>'TUSD BE'!$Z$56*'TUSD BF'!$Z$70</f>
        <v>0</v>
      </c>
      <c r="AA56" s="13">
        <f>'TUSD BE'!$AA$56*'TUSD BF'!$AA$70</f>
        <v>0</v>
      </c>
      <c r="AB56" s="13">
        <f>SUM($U$56:$AA$56)</f>
        <v>5.3198304081586087</v>
      </c>
      <c r="AC56" s="13">
        <f>'TUSD BE'!$AC$56*'TUSD BF'!$AC$70</f>
        <v>0</v>
      </c>
      <c r="AD56" s="13">
        <f>SUM($AC$56:$AC$56)</f>
        <v>0</v>
      </c>
      <c r="AE56" s="13">
        <f ca="1">$AO$56*$AO$67</f>
        <v>0</v>
      </c>
      <c r="AF56" s="13">
        <f ca="1">$AP$56*$AP$67</f>
        <v>0</v>
      </c>
      <c r="AG56" s="13">
        <f ca="1">SUM($AE$56:$AF$56)</f>
        <v>0</v>
      </c>
      <c r="AH56" s="13">
        <f>'TUSD BE'!$AH$56*'TUSD BF'!$AH$70</f>
        <v>-1.2005156801843442</v>
      </c>
      <c r="AI56" s="13">
        <f>'TUSD BE'!$AI$56*'TUSD BF'!$AI$70</f>
        <v>-3.5326726089119291E-2</v>
      </c>
      <c r="AJ56" s="13">
        <f ca="1">'TUSD BE'!$AJ$56*'TUSD BF'!$AJ$70</f>
        <v>-8.0547162698289418E-2</v>
      </c>
      <c r="AK56" s="13">
        <f ca="1">'TUSD BE'!$AK$56*'TUSD BF'!$AK$70</f>
        <v>0</v>
      </c>
      <c r="AL56" s="13">
        <f ca="1">SUM($AH$56:$AK$56)</f>
        <v>-1.3163895689717529</v>
      </c>
      <c r="AM56" s="13">
        <f ca="1">SUMIF($L$4:$AL$4,"SUBTOTAL",$L$56:$AL$56)</f>
        <v>39.149161586887459</v>
      </c>
      <c r="AO56" s="20">
        <f ca="1">+'TUSD BE'!$T$56+'TUSD BE'!$AB$56+'TUSD BE'!$AD$56+'TUSD BE'!$AL$56</f>
        <v>459.15878161916231</v>
      </c>
      <c r="AP56" s="20">
        <f ca="1">+'TUSD BE'!$T$56+'TUSD BE'!$AB$56+'TUSD BE'!$AD$56+'TUSD BE'!$AL$56</f>
        <v>459.15878161916231</v>
      </c>
    </row>
    <row r="57" spans="1:42" ht="11.25" customHeight="1" x14ac:dyDescent="0.3">
      <c r="A57" s="137" t="s">
        <v>37</v>
      </c>
      <c r="B57" s="137" t="s">
        <v>33</v>
      </c>
      <c r="C57" s="137" t="s">
        <v>25</v>
      </c>
      <c r="D57" s="137" t="s">
        <v>25</v>
      </c>
      <c r="E57" s="137" t="s">
        <v>25</v>
      </c>
      <c r="F57" s="137" t="s">
        <v>25</v>
      </c>
      <c r="G57" s="18" t="s">
        <v>80</v>
      </c>
      <c r="H57" s="18" t="s">
        <v>79</v>
      </c>
      <c r="I57" s="18">
        <f>'MERCADO TUSD'!$U$54</f>
        <v>10.468</v>
      </c>
      <c r="J57" s="15"/>
      <c r="L57" s="13">
        <f>'TUSD BE'!$L$57*'TUSD BF'!$L$70</f>
        <v>0.92326902583634241</v>
      </c>
      <c r="M57" s="13">
        <f>'TUSD BE'!$M$57*'TUSD BF'!$M$70</f>
        <v>0</v>
      </c>
      <c r="N57" s="13">
        <f ca="1">'TUSD BE'!$N$57*'TUSD BF'!$N$70</f>
        <v>0</v>
      </c>
      <c r="O57" s="13">
        <f>'TUSD BE'!$O$57*'TUSD BF'!$O$70</f>
        <v>0</v>
      </c>
      <c r="P57" s="13">
        <f>'TUSD BE'!$P$57*'TUSD BF'!$P$70</f>
        <v>0</v>
      </c>
      <c r="Q57" s="13">
        <f>'TUSD BE'!$Q$57*'TUSD BF'!$Q$70</f>
        <v>28.959669438518496</v>
      </c>
      <c r="R57" s="13">
        <f>'TUSD BE'!$R$57*'TUSD BF'!$R$70</f>
        <v>5.2627822833457625</v>
      </c>
      <c r="S57" s="13">
        <f>'TUSD BE'!$R$57*'TUSD BF'!$S$70</f>
        <v>0</v>
      </c>
      <c r="T57" s="13">
        <f ca="1">SUM($L$57:$S$57)</f>
        <v>35.145720747700601</v>
      </c>
      <c r="U57" s="13">
        <f>'TUSD BE'!$U$57*'TUSD BF'!$U$70</f>
        <v>12.451957188002309</v>
      </c>
      <c r="V57" s="13">
        <f>'TUSD BE'!$V$57*'TUSD BF'!$V$70</f>
        <v>5.9014593766441905</v>
      </c>
      <c r="W57" s="13">
        <f>'TUSD BE'!$W$57*'TUSD BF'!$W$70</f>
        <v>0</v>
      </c>
      <c r="X57" s="13">
        <f>'TUSD BE'!$X$57*'TUSD BF'!$X$70</f>
        <v>0</v>
      </c>
      <c r="Y57" s="13">
        <f>'TUSD BE'!$Y$57*'TUSD BF'!$Y$70</f>
        <v>0</v>
      </c>
      <c r="Z57" s="13">
        <f>'TUSD BE'!$Z$57*'TUSD BF'!$Z$70</f>
        <v>0</v>
      </c>
      <c r="AA57" s="13">
        <f>'TUSD BE'!$AA$57*'TUSD BF'!$AA$70</f>
        <v>0</v>
      </c>
      <c r="AB57" s="13">
        <f>SUM($U$57:$AA$57)</f>
        <v>18.353416564646501</v>
      </c>
      <c r="AC57" s="13">
        <f>'TUSD BE'!$AC$57*'TUSD BF'!$AC$70</f>
        <v>0</v>
      </c>
      <c r="AD57" s="13">
        <f>SUM($AC$57:$AC$57)</f>
        <v>0</v>
      </c>
      <c r="AE57" s="13">
        <f ca="1">$AO$57*$AO$67</f>
        <v>0</v>
      </c>
      <c r="AF57" s="13">
        <f ca="1">$AP$57*$AP$67</f>
        <v>0</v>
      </c>
      <c r="AG57" s="13">
        <f ca="1">SUM($AE$57:$AF$57)</f>
        <v>0</v>
      </c>
      <c r="AH57" s="13">
        <f>'TUSD BE'!$AH$57*'TUSD BF'!$AH$70</f>
        <v>-1.2005156801843442</v>
      </c>
      <c r="AI57" s="13">
        <f>'TUSD BE'!$AI$57*'TUSD BF'!$AI$70</f>
        <v>-3.5326726089119291E-2</v>
      </c>
      <c r="AJ57" s="13">
        <f ca="1">'TUSD BE'!$AJ$57*'TUSD BF'!$AJ$70</f>
        <v>-8.0547162698289418E-2</v>
      </c>
      <c r="AK57" s="13">
        <f ca="1">'TUSD BE'!$AK$57*'TUSD BF'!$AK$70</f>
        <v>0</v>
      </c>
      <c r="AL57" s="13">
        <f ca="1">SUM($AH$57:$AK$57)</f>
        <v>-1.3163895689717529</v>
      </c>
      <c r="AM57" s="13">
        <f ca="1">SUMIF($L$4:$AL$4,"SUBTOTAL",$L$57:$AL$57)</f>
        <v>52.182747743375351</v>
      </c>
      <c r="AO57" s="20">
        <f ca="1">+'TUSD BE'!$T$57+'TUSD BE'!$AB$57+'TUSD BE'!$AD$57+'TUSD BE'!$AL$57</f>
        <v>1217.9146645790761</v>
      </c>
      <c r="AP57" s="20">
        <f ca="1">+'TUSD BE'!$T$57+'TUSD BE'!$AB$57+'TUSD BE'!$AD$57+'TUSD BE'!$AL$57</f>
        <v>1217.9146645790761</v>
      </c>
    </row>
    <row r="58" spans="1:42" ht="11.25" customHeight="1" x14ac:dyDescent="0.3">
      <c r="A58" s="137"/>
      <c r="B58" s="137"/>
      <c r="C58" s="137"/>
      <c r="D58" s="137"/>
      <c r="E58" s="137"/>
      <c r="F58" s="137"/>
      <c r="G58" s="18" t="s">
        <v>91</v>
      </c>
      <c r="H58" s="18" t="s">
        <v>79</v>
      </c>
      <c r="I58" s="18">
        <f>'MERCADO TUSD'!$U$55</f>
        <v>9.6909999999999989</v>
      </c>
      <c r="J58" s="15"/>
      <c r="L58" s="13">
        <f>'TUSD BE'!$L$58*'TUSD BF'!$L$70</f>
        <v>0.92326902583634241</v>
      </c>
      <c r="M58" s="13">
        <f>'TUSD BE'!$M$58*'TUSD BF'!$M$70</f>
        <v>0</v>
      </c>
      <c r="N58" s="13">
        <f ca="1">'TUSD BE'!$N$58*'TUSD BF'!$N$70</f>
        <v>0</v>
      </c>
      <c r="O58" s="13">
        <f>'TUSD BE'!$O$58*'TUSD BF'!$O$70</f>
        <v>0</v>
      </c>
      <c r="P58" s="13">
        <f>'TUSD BE'!$P$58*'TUSD BF'!$P$70</f>
        <v>0</v>
      </c>
      <c r="Q58" s="13">
        <f>'TUSD BE'!$Q$58*'TUSD BF'!$Q$70</f>
        <v>28.959669438518496</v>
      </c>
      <c r="R58" s="13">
        <f>'TUSD BE'!$R$58*'TUSD BF'!$R$70</f>
        <v>5.2627822833457625</v>
      </c>
      <c r="S58" s="13">
        <f>'TUSD BE'!$R$58*'TUSD BF'!$S$70</f>
        <v>0</v>
      </c>
      <c r="T58" s="13">
        <f ca="1">SUM($L$58:$S$58)</f>
        <v>35.145720747700601</v>
      </c>
      <c r="U58" s="13">
        <f>'TUSD BE'!$U$58*'TUSD BF'!$U$70</f>
        <v>7.4711669995995456</v>
      </c>
      <c r="V58" s="13">
        <f>'TUSD BE'!$V$58*'TUSD BF'!$V$70</f>
        <v>3.5408734674701172</v>
      </c>
      <c r="W58" s="13">
        <f>'TUSD BE'!$W$58*'TUSD BF'!$W$70</f>
        <v>0</v>
      </c>
      <c r="X58" s="13">
        <f>'TUSD BE'!$X$58*'TUSD BF'!$X$70</f>
        <v>0</v>
      </c>
      <c r="Y58" s="13">
        <f>'TUSD BE'!$Y$58*'TUSD BF'!$Y$70</f>
        <v>0</v>
      </c>
      <c r="Z58" s="13">
        <f>'TUSD BE'!$Z$58*'TUSD BF'!$Z$70</f>
        <v>0</v>
      </c>
      <c r="AA58" s="13">
        <f>'TUSD BE'!$AA$58*'TUSD BF'!$AA$70</f>
        <v>0</v>
      </c>
      <c r="AB58" s="13">
        <f>SUM($U$58:$AA$58)</f>
        <v>11.012040467069664</v>
      </c>
      <c r="AC58" s="13">
        <f>'TUSD BE'!$AC$58*'TUSD BF'!$AC$70</f>
        <v>0</v>
      </c>
      <c r="AD58" s="13">
        <f>SUM($AC$58:$AC$58)</f>
        <v>0</v>
      </c>
      <c r="AE58" s="13">
        <f ca="1">$AO$58*$AO$67</f>
        <v>0</v>
      </c>
      <c r="AF58" s="13">
        <f ca="1">$AP$58*$AP$67</f>
        <v>0</v>
      </c>
      <c r="AG58" s="13">
        <f ca="1">SUM($AE$58:$AF$58)</f>
        <v>0</v>
      </c>
      <c r="AH58" s="13">
        <f>'TUSD BE'!$AH$58*'TUSD BF'!$AH$70</f>
        <v>-1.2005156801843442</v>
      </c>
      <c r="AI58" s="13">
        <f>'TUSD BE'!$AI$58*'TUSD BF'!$AI$70</f>
        <v>-3.5326726089119291E-2</v>
      </c>
      <c r="AJ58" s="13">
        <f ca="1">'TUSD BE'!$AJ$58*'TUSD BF'!$AJ$70</f>
        <v>-8.0547162698289418E-2</v>
      </c>
      <c r="AK58" s="13">
        <f ca="1">'TUSD BE'!$AK$58*'TUSD BF'!$AK$70</f>
        <v>0</v>
      </c>
      <c r="AL58" s="13">
        <f ca="1">SUM($AH$58:$AK$58)</f>
        <v>-1.3163895689717529</v>
      </c>
      <c r="AM58" s="13">
        <f ca="1">SUMIF($L$4:$AL$4,"SUBTOTAL",$L$58:$AL$58)</f>
        <v>44.84137164579851</v>
      </c>
      <c r="AO58" s="20">
        <f ca="1">+'TUSD BE'!$T$58+'TUSD BE'!$AB$58+'TUSD BE'!$AD$58+'TUSD BE'!$AL$58</f>
        <v>790.53373133617549</v>
      </c>
      <c r="AP58" s="20">
        <f ca="1">+'TUSD BE'!$T$58+'TUSD BE'!$AB$58+'TUSD BE'!$AD$58+'TUSD BE'!$AL$58</f>
        <v>790.53373133617549</v>
      </c>
    </row>
    <row r="59" spans="1:42" ht="11.25" customHeight="1" x14ac:dyDescent="0.3">
      <c r="A59" s="137"/>
      <c r="B59" s="137"/>
      <c r="C59" s="137"/>
      <c r="D59" s="137"/>
      <c r="E59" s="137"/>
      <c r="F59" s="137"/>
      <c r="G59" s="18" t="s">
        <v>81</v>
      </c>
      <c r="H59" s="18" t="s">
        <v>79</v>
      </c>
      <c r="I59" s="18">
        <f>'MERCADO TUSD'!$U$56</f>
        <v>150.328</v>
      </c>
      <c r="J59" s="15"/>
      <c r="L59" s="13">
        <f>'TUSD BE'!$L$59*'TUSD BF'!$L$70</f>
        <v>0.92326902583634241</v>
      </c>
      <c r="M59" s="13">
        <f>'TUSD BE'!$M$59*'TUSD BF'!$M$70</f>
        <v>0</v>
      </c>
      <c r="N59" s="13">
        <f ca="1">'TUSD BE'!$N$59*'TUSD BF'!$N$70</f>
        <v>0</v>
      </c>
      <c r="O59" s="13">
        <f>'TUSD BE'!$O$59*'TUSD BF'!$O$70</f>
        <v>0</v>
      </c>
      <c r="P59" s="13">
        <f>'TUSD BE'!$P$59*'TUSD BF'!$P$70</f>
        <v>0</v>
      </c>
      <c r="Q59" s="13">
        <f>'TUSD BE'!$Q$59*'TUSD BF'!$Q$70</f>
        <v>28.959669438518496</v>
      </c>
      <c r="R59" s="13">
        <f>'TUSD BE'!$R$59*'TUSD BF'!$R$70</f>
        <v>5.2627822833457625</v>
      </c>
      <c r="S59" s="13">
        <f>'TUSD BE'!$R$59*'TUSD BF'!$S$70</f>
        <v>0</v>
      </c>
      <c r="T59" s="13">
        <f ca="1">SUM($L$59:$S$59)</f>
        <v>35.145720747700601</v>
      </c>
      <c r="U59" s="13">
        <f>'TUSD BE'!$U$59*'TUSD BF'!$U$70</f>
        <v>2.4903889998665147</v>
      </c>
      <c r="V59" s="13">
        <f>'TUSD BE'!$V$59*'TUSD BF'!$V$70</f>
        <v>1.1802875582960446</v>
      </c>
      <c r="W59" s="13">
        <f>'TUSD BE'!$W$59*'TUSD BF'!$W$70</f>
        <v>0</v>
      </c>
      <c r="X59" s="13">
        <f>'TUSD BE'!$X$59*'TUSD BF'!$X$70</f>
        <v>0</v>
      </c>
      <c r="Y59" s="13">
        <f>'TUSD BE'!$Y$59*'TUSD BF'!$Y$70</f>
        <v>0</v>
      </c>
      <c r="Z59" s="13">
        <f>'TUSD BE'!$Z$59*'TUSD BF'!$Z$70</f>
        <v>0</v>
      </c>
      <c r="AA59" s="13">
        <f>'TUSD BE'!$AA$59*'TUSD BF'!$AA$70</f>
        <v>0</v>
      </c>
      <c r="AB59" s="13">
        <f>SUM($U$59:$AA$59)</f>
        <v>3.6706765581625591</v>
      </c>
      <c r="AC59" s="13">
        <f>'TUSD BE'!$AC$59*'TUSD BF'!$AC$70</f>
        <v>0</v>
      </c>
      <c r="AD59" s="13">
        <f>SUM($AC$59:$AC$59)</f>
        <v>0</v>
      </c>
      <c r="AE59" s="13">
        <f ca="1">$AO$59*$AO$67</f>
        <v>0</v>
      </c>
      <c r="AF59" s="13">
        <f ca="1">$AP$59*$AP$67</f>
        <v>0</v>
      </c>
      <c r="AG59" s="13">
        <f ca="1">SUM($AE$59:$AF$59)</f>
        <v>0</v>
      </c>
      <c r="AH59" s="13">
        <f>'TUSD BE'!$AH$59*'TUSD BF'!$AH$70</f>
        <v>-1.2005156801843442</v>
      </c>
      <c r="AI59" s="13">
        <f>'TUSD BE'!$AI$59*'TUSD BF'!$AI$70</f>
        <v>-3.5326726089119291E-2</v>
      </c>
      <c r="AJ59" s="13">
        <f ca="1">'TUSD BE'!$AJ$59*'TUSD BF'!$AJ$70</f>
        <v>-8.0547162698289418E-2</v>
      </c>
      <c r="AK59" s="13">
        <f ca="1">'TUSD BE'!$AK$59*'TUSD BF'!$AK$70</f>
        <v>0</v>
      </c>
      <c r="AL59" s="13">
        <f ca="1">SUM($AH$59:$AK$59)</f>
        <v>-1.3163895689717529</v>
      </c>
      <c r="AM59" s="13">
        <f ca="1">SUMIF($L$4:$AL$4,"SUBTOTAL",$L$59:$AL$59)</f>
        <v>37.500007736891412</v>
      </c>
      <c r="AO59" s="20">
        <f ca="1">+'TUSD BE'!$T$59+'TUSD BE'!$AB$59+'TUSD BE'!$AD$59+'TUSD BE'!$AL$59</f>
        <v>363.15292890838589</v>
      </c>
      <c r="AP59" s="20">
        <f ca="1">+'TUSD BE'!$T$59+'TUSD BE'!$AB$59+'TUSD BE'!$AD$59+'TUSD BE'!$AL$59</f>
        <v>363.15292890838589</v>
      </c>
    </row>
    <row r="60" spans="1:42" ht="11.25" customHeight="1" x14ac:dyDescent="0.3">
      <c r="A60" s="137"/>
      <c r="B60" s="17" t="s">
        <v>23</v>
      </c>
      <c r="C60" s="17" t="s">
        <v>25</v>
      </c>
      <c r="D60" s="17" t="s">
        <v>25</v>
      </c>
      <c r="E60" s="17" t="s">
        <v>25</v>
      </c>
      <c r="F60" s="17" t="s">
        <v>25</v>
      </c>
      <c r="G60" s="18" t="s">
        <v>83</v>
      </c>
      <c r="H60" s="18" t="s">
        <v>79</v>
      </c>
      <c r="I60" s="18">
        <f>'MERCADO TUSD'!$U$57</f>
        <v>24187.291000000001</v>
      </c>
      <c r="J60" s="15"/>
      <c r="L60" s="13">
        <f>'TUSD BE'!$L$60*'TUSD BF'!$L$70</f>
        <v>0.92326902583634241</v>
      </c>
      <c r="M60" s="13">
        <f>'TUSD BE'!$M$60*'TUSD BF'!$M$70</f>
        <v>0</v>
      </c>
      <c r="N60" s="13">
        <f ca="1">'TUSD BE'!$N$60*'TUSD BF'!$N$70</f>
        <v>0</v>
      </c>
      <c r="O60" s="13">
        <f>'TUSD BE'!$O$60*'TUSD BF'!$O$70</f>
        <v>0</v>
      </c>
      <c r="P60" s="13">
        <f>'TUSD BE'!$P$60*'TUSD BF'!$P$70</f>
        <v>0</v>
      </c>
      <c r="Q60" s="13">
        <f>'TUSD BE'!$Q$60*'TUSD BF'!$Q$70</f>
        <v>28.959669438518496</v>
      </c>
      <c r="R60" s="13">
        <f>'TUSD BE'!$R$60*'TUSD BF'!$R$70</f>
        <v>5.2627822833457625</v>
      </c>
      <c r="S60" s="13">
        <f>'TUSD BE'!$R$60*'TUSD BF'!$S$70</f>
        <v>0</v>
      </c>
      <c r="T60" s="13">
        <f ca="1">SUM($L$60:$S$60)</f>
        <v>35.145720747700601</v>
      </c>
      <c r="U60" s="13">
        <f>'TUSD BE'!$U$60*'TUSD BF'!$U$70</f>
        <v>3.6092601266859483</v>
      </c>
      <c r="V60" s="13">
        <f>'TUSD BE'!$V$60*'TUSD BF'!$V$70</f>
        <v>1.7105702814726604</v>
      </c>
      <c r="W60" s="13">
        <f>'TUSD BE'!$W$60*'TUSD BF'!$W$70</f>
        <v>0</v>
      </c>
      <c r="X60" s="13">
        <f>'TUSD BE'!$X$60*'TUSD BF'!$X$70</f>
        <v>0</v>
      </c>
      <c r="Y60" s="13">
        <f>'TUSD BE'!$Y$60*'TUSD BF'!$Y$70</f>
        <v>0</v>
      </c>
      <c r="Z60" s="13">
        <f>'TUSD BE'!$Z$60*'TUSD BF'!$Z$70</f>
        <v>0</v>
      </c>
      <c r="AA60" s="13">
        <f>'TUSD BE'!$AA$60*'TUSD BF'!$AA$70</f>
        <v>0</v>
      </c>
      <c r="AB60" s="13">
        <f>SUM($U$60:$AA$60)</f>
        <v>5.3198304081586087</v>
      </c>
      <c r="AC60" s="13">
        <f>'TUSD BE'!$AC$60*'TUSD BF'!$AC$70</f>
        <v>0</v>
      </c>
      <c r="AD60" s="13">
        <f>SUM($AC$60:$AC$60)</f>
        <v>0</v>
      </c>
      <c r="AE60" s="13">
        <f ca="1">$AO$60*$AO$67</f>
        <v>0</v>
      </c>
      <c r="AF60" s="13">
        <f ca="1">$AP$60*$AP$67</f>
        <v>0</v>
      </c>
      <c r="AG60" s="13">
        <f ca="1">SUM($AE$60:$AF$60)</f>
        <v>0</v>
      </c>
      <c r="AH60" s="13">
        <f>'TUSD BE'!$AH$60*'TUSD BF'!$AH$70</f>
        <v>-1.2005156801843442</v>
      </c>
      <c r="AI60" s="13">
        <f>'TUSD BE'!$AI$60*'TUSD BF'!$AI$70</f>
        <v>-3.5326726089119291E-2</v>
      </c>
      <c r="AJ60" s="13">
        <f ca="1">'TUSD BE'!$AJ$60*'TUSD BF'!$AJ$70</f>
        <v>-8.0547162698289418E-2</v>
      </c>
      <c r="AK60" s="13">
        <f ca="1">'TUSD BE'!$AK$60*'TUSD BF'!$AK$70</f>
        <v>0</v>
      </c>
      <c r="AL60" s="13">
        <f ca="1">SUM($AH$60:$AK$60)</f>
        <v>-1.3163895689717529</v>
      </c>
      <c r="AM60" s="13">
        <f ca="1">SUMIF($L$4:$AL$4,"SUBTOTAL",$L$60:$AL$60)</f>
        <v>39.149161586887459</v>
      </c>
      <c r="AO60" s="20">
        <f ca="1">+'TUSD BE'!$T$60+'TUSD BE'!$AB$60+'TUSD BE'!$AD$60+'TUSD BE'!$AL$60</f>
        <v>459.15878161916231</v>
      </c>
      <c r="AP60" s="20">
        <f ca="1">+'TUSD BE'!$T$60+'TUSD BE'!$AB$60+'TUSD BE'!$AD$60+'TUSD BE'!$AL$60</f>
        <v>459.15878161916231</v>
      </c>
    </row>
    <row r="61" spans="1:42" ht="11.25" customHeight="1" x14ac:dyDescent="0.3">
      <c r="A61" s="137"/>
      <c r="B61" s="17" t="s">
        <v>93</v>
      </c>
      <c r="C61" s="17" t="s">
        <v>25</v>
      </c>
      <c r="D61" s="17" t="s">
        <v>25</v>
      </c>
      <c r="E61" s="17" t="s">
        <v>25</v>
      </c>
      <c r="F61" s="17" t="s">
        <v>25</v>
      </c>
      <c r="G61" s="18" t="s">
        <v>83</v>
      </c>
      <c r="H61" s="18" t="s">
        <v>79</v>
      </c>
      <c r="I61" s="18">
        <f>'MERCADO TUSD'!$U$58</f>
        <v>0</v>
      </c>
      <c r="J61" s="15"/>
      <c r="L61" s="13">
        <f>'TUSD BE'!$L$61*'TUSD BF'!$L$70</f>
        <v>0.92326902583634241</v>
      </c>
      <c r="M61" s="13">
        <f>'TUSD BE'!$M$61*'TUSD BF'!$M$70</f>
        <v>0</v>
      </c>
      <c r="N61" s="13">
        <f ca="1">'TUSD BE'!$N$61*'TUSD BF'!$N$70</f>
        <v>0</v>
      </c>
      <c r="O61" s="13">
        <f>'TUSD BE'!$O$61*'TUSD BF'!$O$70</f>
        <v>0</v>
      </c>
      <c r="P61" s="13">
        <f>'TUSD BE'!$P$61*'TUSD BF'!$P$70</f>
        <v>0</v>
      </c>
      <c r="Q61" s="13">
        <f>'TUSD BE'!$Q$61*'TUSD BF'!$Q$70</f>
        <v>28.959669438518496</v>
      </c>
      <c r="R61" s="13">
        <f>'TUSD BE'!$R$61*'TUSD BF'!$R$70</f>
        <v>5.2627822833457625</v>
      </c>
      <c r="S61" s="13">
        <f>'TUSD BE'!$R$61*'TUSD BF'!$S$70</f>
        <v>0</v>
      </c>
      <c r="T61" s="13">
        <f ca="1">SUM($L$61:$S$61)</f>
        <v>35.145720747700601</v>
      </c>
      <c r="U61" s="13">
        <f>'TUSD BE'!$U$61*'TUSD BF'!$U$70</f>
        <v>3.6092601266859483</v>
      </c>
      <c r="V61" s="13">
        <f>'TUSD BE'!$V$61*'TUSD BF'!$V$70</f>
        <v>1.7105702814726604</v>
      </c>
      <c r="W61" s="13">
        <f>'TUSD BE'!$W$61*'TUSD BF'!$W$70</f>
        <v>0</v>
      </c>
      <c r="X61" s="13">
        <f>'TUSD BE'!$X$61*'TUSD BF'!$X$70</f>
        <v>0</v>
      </c>
      <c r="Y61" s="13">
        <f>'TUSD BE'!$Y$61*'TUSD BF'!$Y$70</f>
        <v>0</v>
      </c>
      <c r="Z61" s="13">
        <f>'TUSD BE'!$Z$61*'TUSD BF'!$Z$70</f>
        <v>0</v>
      </c>
      <c r="AA61" s="13">
        <f>'TUSD BE'!$AA$61*'TUSD BF'!$AA$70</f>
        <v>0</v>
      </c>
      <c r="AB61" s="13">
        <f>SUM($U$61:$AA$61)</f>
        <v>5.3198304081586087</v>
      </c>
      <c r="AC61" s="13">
        <f>'TUSD BE'!$AC$61*'TUSD BF'!$AC$70</f>
        <v>0</v>
      </c>
      <c r="AD61" s="13">
        <f>SUM($AC$61:$AC$61)</f>
        <v>0</v>
      </c>
      <c r="AE61" s="13">
        <f ca="1">$AO$61*$AO$67</f>
        <v>0</v>
      </c>
      <c r="AF61" s="13">
        <f ca="1">$AP$61*$AP$67</f>
        <v>0</v>
      </c>
      <c r="AG61" s="13">
        <f ca="1">SUM($AE$61:$AF$61)</f>
        <v>0</v>
      </c>
      <c r="AH61" s="13">
        <f>'TUSD BE'!$AH$61*'TUSD BF'!$AH$70</f>
        <v>-1.2005156801843442</v>
      </c>
      <c r="AI61" s="13">
        <f>'TUSD BE'!$AI$61*'TUSD BF'!$AI$70</f>
        <v>-3.5326726089119291E-2</v>
      </c>
      <c r="AJ61" s="13">
        <f ca="1">'TUSD BE'!$AJ$61*'TUSD BF'!$AJ$70</f>
        <v>-8.0547162698289418E-2</v>
      </c>
      <c r="AK61" s="13">
        <f ca="1">'TUSD BE'!$AK$61*'TUSD BF'!$AK$70</f>
        <v>0</v>
      </c>
      <c r="AL61" s="13">
        <f ca="1">SUM($AH$61:$AK$61)</f>
        <v>-1.3163895689717529</v>
      </c>
      <c r="AM61" s="13">
        <f ca="1">SUMIF($L$4:$AL$4,"SUBTOTAL",$L$61:$AL$61)</f>
        <v>39.149161586887459</v>
      </c>
      <c r="AO61" s="20">
        <f ca="1">+'TUSD BE'!$T$61+'TUSD BE'!$AB$61+'TUSD BE'!$AD$61+'TUSD BE'!$AL$61</f>
        <v>459.15878161916231</v>
      </c>
      <c r="AP61" s="20">
        <f ca="1">+'TUSD BE'!$T$61+'TUSD BE'!$AB$61+'TUSD BE'!$AD$61+'TUSD BE'!$AL$61</f>
        <v>459.15878161916231</v>
      </c>
    </row>
    <row r="62" spans="1:42" ht="11.25" customHeight="1" x14ac:dyDescent="0.3">
      <c r="A62" s="137" t="s">
        <v>47</v>
      </c>
      <c r="B62" s="137" t="s">
        <v>23</v>
      </c>
      <c r="C62" s="137" t="s">
        <v>48</v>
      </c>
      <c r="D62" s="17" t="s">
        <v>49</v>
      </c>
      <c r="E62" s="17" t="s">
        <v>25</v>
      </c>
      <c r="F62" s="17" t="s">
        <v>25</v>
      </c>
      <c r="G62" s="18" t="s">
        <v>83</v>
      </c>
      <c r="H62" s="18" t="s">
        <v>79</v>
      </c>
      <c r="I62" s="18">
        <f>'MERCADO TUSD'!$U$59</f>
        <v>5104.487000000001</v>
      </c>
      <c r="J62" s="15"/>
      <c r="L62" s="13">
        <f>'TUSD BE'!$L$62*'TUSD BF'!$L$70</f>
        <v>0.50779796420998835</v>
      </c>
      <c r="M62" s="13">
        <f>'TUSD BE'!$M$62*'TUSD BF'!$M$70</f>
        <v>0</v>
      </c>
      <c r="N62" s="13">
        <f ca="1">'TUSD BE'!$N$62*'TUSD BF'!$N$70</f>
        <v>0</v>
      </c>
      <c r="O62" s="13">
        <f>'TUSD BE'!$O$62*'TUSD BF'!$O$70</f>
        <v>0</v>
      </c>
      <c r="P62" s="13">
        <f>'TUSD BE'!$P$62*'TUSD BF'!$P$70</f>
        <v>0</v>
      </c>
      <c r="Q62" s="13">
        <f>'TUSD BE'!$Q$62*'TUSD BF'!$Q$70</f>
        <v>15.927818191185176</v>
      </c>
      <c r="R62" s="13">
        <f>'TUSD BE'!$R$62*'TUSD BF'!$R$70</f>
        <v>2.8945302558401691</v>
      </c>
      <c r="S62" s="13">
        <f>'TUSD BE'!$R$62*'TUSD BF'!$S$70</f>
        <v>0</v>
      </c>
      <c r="T62" s="13">
        <f ca="1">SUM($L$62:$S$62)</f>
        <v>19.330146411235337</v>
      </c>
      <c r="U62" s="13">
        <f>'TUSD BE'!$U$62*'TUSD BF'!$U$70</f>
        <v>1.9850930696772719</v>
      </c>
      <c r="V62" s="13">
        <f>'TUSD BE'!$V$62*'TUSD BF'!$V$70</f>
        <v>0.94081365480996326</v>
      </c>
      <c r="W62" s="13">
        <f>'TUSD BE'!$W$62*'TUSD BF'!$W$70</f>
        <v>0</v>
      </c>
      <c r="X62" s="13">
        <f>'TUSD BE'!$X$62*'TUSD BF'!$X$70</f>
        <v>0</v>
      </c>
      <c r="Y62" s="13">
        <f>'TUSD BE'!$Y$62*'TUSD BF'!$Y$70</f>
        <v>0</v>
      </c>
      <c r="Z62" s="13">
        <f>'TUSD BE'!$Z$62*'TUSD BF'!$Z$70</f>
        <v>0</v>
      </c>
      <c r="AA62" s="13">
        <f>'TUSD BE'!$AA$62*'TUSD BF'!$AA$70</f>
        <v>0</v>
      </c>
      <c r="AB62" s="13">
        <f>SUM($U$62:$AA$62)</f>
        <v>2.925906724487235</v>
      </c>
      <c r="AC62" s="13">
        <f>'TUSD BE'!$AC$62*'TUSD BF'!$AC$70</f>
        <v>0</v>
      </c>
      <c r="AD62" s="13">
        <f>SUM($AC$62:$AC$62)</f>
        <v>0</v>
      </c>
      <c r="AE62" s="13">
        <f ca="1">$AO$62*$AO$67</f>
        <v>0</v>
      </c>
      <c r="AF62" s="13">
        <f ca="1">$AP$62*$AP$67</f>
        <v>0</v>
      </c>
      <c r="AG62" s="13">
        <f ca="1">SUM($AE$62:$AF$62)</f>
        <v>0</v>
      </c>
      <c r="AH62" s="13">
        <f>'TUSD BE'!$AH$62*'TUSD BF'!$AH$70</f>
        <v>-0.6602836241013893</v>
      </c>
      <c r="AI62" s="13">
        <f>'TUSD BE'!$AI$62*'TUSD BF'!$AI$70</f>
        <v>-1.942969934901561E-2</v>
      </c>
      <c r="AJ62" s="13">
        <f ca="1">'TUSD BE'!$AJ$62*'TUSD BF'!$AJ$70</f>
        <v>-4.4300939484059179E-2</v>
      </c>
      <c r="AK62" s="13">
        <f ca="1">'TUSD BE'!$AK$62*'TUSD BF'!$AK$70</f>
        <v>0</v>
      </c>
      <c r="AL62" s="13">
        <f ca="1">SUM($AH$62:$AK$62)</f>
        <v>-0.72401426293446414</v>
      </c>
      <c r="AM62" s="13">
        <f ca="1">SUMIF($L$4:$AL$4,"SUBTOTAL",$L$62:$AL$62)</f>
        <v>21.532038872788107</v>
      </c>
      <c r="AO62" s="20">
        <f ca="1">+'TUSD BE'!$T$62+'TUSD BE'!$AB$62+'TUSD BE'!$AD$62+'TUSD BE'!$AL$62</f>
        <v>252.53732989053927</v>
      </c>
      <c r="AP62" s="20">
        <f ca="1">+'TUSD BE'!$T$62+'TUSD BE'!$AB$62+'TUSD BE'!$AD$62+'TUSD BE'!$AL$62</f>
        <v>252.53732989053927</v>
      </c>
    </row>
    <row r="63" spans="1:42" ht="11.25" customHeight="1" x14ac:dyDescent="0.3">
      <c r="A63" s="137"/>
      <c r="B63" s="137"/>
      <c r="C63" s="137"/>
      <c r="D63" s="18" t="s">
        <v>96</v>
      </c>
      <c r="E63" s="18" t="s">
        <v>25</v>
      </c>
      <c r="F63" s="18" t="s">
        <v>25</v>
      </c>
      <c r="G63" s="18" t="s">
        <v>83</v>
      </c>
      <c r="H63" s="18" t="s">
        <v>79</v>
      </c>
      <c r="I63" s="18">
        <f>'MERCADO TUSD'!$U$60</f>
        <v>0</v>
      </c>
      <c r="J63" s="15"/>
      <c r="L63" s="13">
        <f>'TUSD BE'!$L$63*'TUSD BF'!$L$70</f>
        <v>0.55396141550180544</v>
      </c>
      <c r="M63" s="13">
        <f>'TUSD BE'!$M$63*'TUSD BF'!$M$70</f>
        <v>0</v>
      </c>
      <c r="N63" s="13">
        <f ca="1">'TUSD BE'!$N$63*'TUSD BF'!$N$70</f>
        <v>0</v>
      </c>
      <c r="O63" s="13">
        <f>'TUSD BE'!$O$63*'TUSD BF'!$O$70</f>
        <v>0</v>
      </c>
      <c r="P63" s="13">
        <f>'TUSD BE'!$P$63*'TUSD BF'!$P$70</f>
        <v>0</v>
      </c>
      <c r="Q63" s="13">
        <f>'TUSD BE'!$Q$63*'TUSD BF'!$Q$70</f>
        <v>17.375801663111098</v>
      </c>
      <c r="R63" s="13">
        <f>'TUSD BE'!$R$63*'TUSD BF'!$R$70</f>
        <v>3.1576693700074574</v>
      </c>
      <c r="S63" s="13">
        <f>'TUSD BE'!$R$63*'TUSD BF'!$S$70</f>
        <v>0</v>
      </c>
      <c r="T63" s="13">
        <f ca="1">SUM($L$63:$S$63)</f>
        <v>21.087432448620362</v>
      </c>
      <c r="U63" s="13">
        <f>'TUSD BE'!$U$63*'TUSD BF'!$U$70</f>
        <v>2.1655560760115686</v>
      </c>
      <c r="V63" s="13">
        <f>'TUSD BE'!$V$63*'TUSD BF'!$V$70</f>
        <v>1.0263421688835963</v>
      </c>
      <c r="W63" s="13">
        <f>'TUSD BE'!$W$63*'TUSD BF'!$W$70</f>
        <v>0</v>
      </c>
      <c r="X63" s="13">
        <f>'TUSD BE'!$X$63*'TUSD BF'!$X$70</f>
        <v>0</v>
      </c>
      <c r="Y63" s="13">
        <f>'TUSD BE'!$Y$63*'TUSD BF'!$Y$70</f>
        <v>0</v>
      </c>
      <c r="Z63" s="13">
        <f>'TUSD BE'!$Z$63*'TUSD BF'!$Z$70</f>
        <v>0</v>
      </c>
      <c r="AA63" s="13">
        <f>'TUSD BE'!$AA$63*'TUSD BF'!$AA$70</f>
        <v>0</v>
      </c>
      <c r="AB63" s="13">
        <f>SUM($U$63:$AA$63)</f>
        <v>3.1918982448951647</v>
      </c>
      <c r="AC63" s="13">
        <f>'TUSD BE'!$AC$63*'TUSD BF'!$AC$70</f>
        <v>0</v>
      </c>
      <c r="AD63" s="13">
        <f>SUM($AC$63:$AC$63)</f>
        <v>0</v>
      </c>
      <c r="AE63" s="13">
        <f ca="1">$AO$63*$AO$67</f>
        <v>0</v>
      </c>
      <c r="AF63" s="13">
        <f ca="1">$AP$63*$AP$67</f>
        <v>0</v>
      </c>
      <c r="AG63" s="13">
        <f ca="1">SUM($AE$63:$AF$63)</f>
        <v>0</v>
      </c>
      <c r="AH63" s="13">
        <f>'TUSD BE'!$AH$63*'TUSD BF'!$AH$70</f>
        <v>-0.72030940811060651</v>
      </c>
      <c r="AI63" s="13">
        <f>'TUSD BE'!$AI$63*'TUSD BF'!$AI$70</f>
        <v>-2.1196035653471574E-2</v>
      </c>
      <c r="AJ63" s="13">
        <f ca="1">'TUSD BE'!$AJ$63*'TUSD BF'!$AJ$70</f>
        <v>-4.8328297618973649E-2</v>
      </c>
      <c r="AK63" s="13">
        <f ca="1">'TUSD BE'!$AK$63*'TUSD BF'!$AK$70</f>
        <v>0</v>
      </c>
      <c r="AL63" s="13">
        <f ca="1">SUM($AH$63:$AK$63)</f>
        <v>-0.78983374138305174</v>
      </c>
      <c r="AM63" s="13">
        <f ca="1">SUMIF($L$4:$AL$4,"SUBTOTAL",$L$63:$AL$63)</f>
        <v>23.489496952132473</v>
      </c>
      <c r="AO63" s="20">
        <f ca="1">+'TUSD BE'!$T$63+'TUSD BE'!$AB$63+'TUSD BE'!$AD$63+'TUSD BE'!$AL$63</f>
        <v>275.49526897149735</v>
      </c>
      <c r="AP63" s="20">
        <f ca="1">+'TUSD BE'!$T$63+'TUSD BE'!$AB$63+'TUSD BE'!$AD$63+'TUSD BE'!$AL$63</f>
        <v>275.49526897149735</v>
      </c>
    </row>
    <row r="65" spans="11:42" ht="11.25" customHeight="1" x14ac:dyDescent="0.3">
      <c r="K65" s="16" t="s">
        <v>725</v>
      </c>
      <c r="L65" s="13">
        <f>SUMPRODUCT($I$5:$I63,$L$5:$L63)</f>
        <v>107454.95932846866</v>
      </c>
      <c r="M65" s="13">
        <f>SUMPRODUCT($I$5:$I63,$M$5:$M63)</f>
        <v>0</v>
      </c>
      <c r="N65" s="13">
        <f ca="1">SUMPRODUCT($I$5:$I63,$N$5:$N63)</f>
        <v>0</v>
      </c>
      <c r="O65" s="13">
        <f>SUMPRODUCT($I$5:$I63,$O$5:$O63)</f>
        <v>0</v>
      </c>
      <c r="P65" s="13">
        <f>SUMPRODUCT($I$5:$I63,$P$5:$P63)</f>
        <v>0</v>
      </c>
      <c r="Q65" s="13">
        <f>SUMPRODUCT($I$5:$I63,$Q$5:$Q63)</f>
        <v>3370480.3417000002</v>
      </c>
      <c r="R65" s="13">
        <f>SUMPRODUCT($I$5:$I63,$R$5:$R63)</f>
        <v>637363.97289999994</v>
      </c>
      <c r="S65" s="13">
        <f>SUMPRODUCT($I$5:$I63,$S$5:$S63)</f>
        <v>0</v>
      </c>
      <c r="T65" s="13">
        <f ca="1">SUMPRODUCT($I$5:$I63,$T$5:$T63)</f>
        <v>4115299.2739284695</v>
      </c>
      <c r="U65" s="13">
        <f>SUMPRODUCT($I$5:$I63,$U$5:$U63)</f>
        <v>434116.13274168281</v>
      </c>
      <c r="V65" s="13">
        <f>SUMPRODUCT($I$5:$I63,$V$5:$V63)</f>
        <v>206089.6046190981</v>
      </c>
      <c r="W65" s="13">
        <f>SUMPRODUCT($I$5:$I63,$W$5:$W63)</f>
        <v>0</v>
      </c>
      <c r="X65" s="13">
        <f>SUMPRODUCT($I$5:$I63,$X$5:$X63)</f>
        <v>0</v>
      </c>
      <c r="Y65" s="13">
        <f>SUMPRODUCT($I$5:$I63,$Y$5:$Y63)</f>
        <v>0</v>
      </c>
      <c r="Z65" s="13">
        <f>SUMPRODUCT($I$5:$I63,$Z$5:$Z63)</f>
        <v>0</v>
      </c>
      <c r="AA65" s="13">
        <f>SUMPRODUCT($I$5:$I63,$AA$5:$AA63)</f>
        <v>0</v>
      </c>
      <c r="AB65" s="13">
        <f>SUMPRODUCT($I$5:$I63,$AB$5:$AB63)</f>
        <v>640205.73736078083</v>
      </c>
      <c r="AC65" s="13">
        <f>SUMPRODUCT($I$5:$I63,$AC$5:$AC63)</f>
        <v>0</v>
      </c>
      <c r="AD65" s="13">
        <f>SUMPRODUCT($I$5:$I63,$AD$5:$AD63)</f>
        <v>0</v>
      </c>
      <c r="AE65" s="13">
        <f ca="1">SUMPRODUCT($I$5:$I63,$AE$5:$AE63)</f>
        <v>0</v>
      </c>
      <c r="AF65" s="13">
        <f ca="1">SUMPRODUCT($I$5:$I63,$AF$5:$AF63)</f>
        <v>0</v>
      </c>
      <c r="AG65" s="13">
        <f ca="1">SUMPRODUCT($I$5:$I63,$AG$5:$AG63)</f>
        <v>0</v>
      </c>
      <c r="AH65" s="13">
        <f>SUMPRODUCT($I$5:$I63,$AH$5:$AH63)</f>
        <v>-133415.26963667042</v>
      </c>
      <c r="AI65" s="13">
        <f>SUMPRODUCT($I$5:$I63,$AI$5:$AI63)</f>
        <v>-3925.5518378777251</v>
      </c>
      <c r="AJ65" s="13">
        <f ca="1">SUMPRODUCT($I$5:$I63,$AJ$5:$AJ63)</f>
        <v>-9344.4460055757063</v>
      </c>
      <c r="AK65" s="13">
        <f ca="1">SUMPRODUCT($I$5:$I63,$AK$5:$AK63)</f>
        <v>0</v>
      </c>
      <c r="AL65" s="13">
        <f ca="1">SUMPRODUCT($I$5:$I63,$AL$5:$AL63)</f>
        <v>-146685.26748012388</v>
      </c>
      <c r="AM65" s="13">
        <f ca="1">SUMPRODUCT($I$5:$I63,$AM$5:$AM63)</f>
        <v>4608819.7438091263</v>
      </c>
      <c r="AO65" s="18">
        <f ca="1">SUMPRODUCT($I$5:$I63,$AO$5:$AO63)</f>
        <v>52767980.055180945</v>
      </c>
      <c r="AP65" s="18">
        <f ca="1">SUMPRODUCT($I$5:$I63,$AP$5:$AP63)</f>
        <v>52767980.055180945</v>
      </c>
    </row>
    <row r="66" spans="11:42" ht="11.25" customHeight="1" x14ac:dyDescent="0.3">
      <c r="K66" s="16" t="s">
        <v>657</v>
      </c>
      <c r="L66" s="13">
        <f>'TR TUSD'!$L$68</f>
        <v>1551829.9039835632</v>
      </c>
      <c r="M66" s="13">
        <f>'TR TUSD'!$M$68</f>
        <v>115619.58079800264</v>
      </c>
      <c r="N66" s="13">
        <f>'TR TUSD'!$N$68</f>
        <v>392972.65161152824</v>
      </c>
      <c r="O66" s="13">
        <f>'TR TUSD'!$O$68</f>
        <v>0</v>
      </c>
      <c r="P66" s="13">
        <f>'TR TUSD'!$P$68</f>
        <v>0</v>
      </c>
      <c r="Q66" s="13">
        <f>'TR TUSD'!$Q$68</f>
        <v>10880845.732772296</v>
      </c>
      <c r="R66" s="13">
        <f>'TR TUSD'!$R$68</f>
        <v>1792323.8549367813</v>
      </c>
      <c r="S66" s="13">
        <f>'TR TUSD'!$S$68</f>
        <v>0</v>
      </c>
      <c r="T66" s="13">
        <f>'TR TUSD'!$T$68</f>
        <v>14733591.724102173</v>
      </c>
      <c r="U66" s="13">
        <f>'TR TUSD'!$U$68</f>
        <v>4617355</v>
      </c>
      <c r="V66" s="13">
        <f>'TR TUSD'!$V$68</f>
        <v>2192014.5200000005</v>
      </c>
      <c r="W66" s="13">
        <f>'TR TUSD'!$W$68</f>
        <v>0</v>
      </c>
      <c r="X66" s="13">
        <f>'TR TUSD'!$X$68</f>
        <v>0</v>
      </c>
      <c r="Y66" s="13">
        <f>'TR TUSD'!$Y$68</f>
        <v>0</v>
      </c>
      <c r="Z66" s="13">
        <f>'TR TUSD'!$Z$68</f>
        <v>0</v>
      </c>
      <c r="AA66" s="13">
        <f>'TR TUSD'!$AA$68</f>
        <v>0</v>
      </c>
      <c r="AB66" s="13">
        <f>'TR TUSD'!$AB$68</f>
        <v>6809369.5200000005</v>
      </c>
      <c r="AC66" s="13">
        <f>'TR TUSD'!$AC$68</f>
        <v>28301549.061569352</v>
      </c>
      <c r="AD66" s="13">
        <f>'TR TUSD'!$AD$68</f>
        <v>28301549.061569352</v>
      </c>
      <c r="AE66" s="13">
        <f>'TR TUSD'!$AE$68</f>
        <v>0</v>
      </c>
      <c r="AF66" s="13">
        <f>'TR TUSD'!$AF$68</f>
        <v>0</v>
      </c>
      <c r="AG66" s="13">
        <f>'TR TUSD'!$AG$68</f>
        <v>0</v>
      </c>
      <c r="AH66" s="13">
        <f>'TR TUSD'!$AH$68</f>
        <v>2615581.195068636</v>
      </c>
      <c r="AI66" s="13">
        <f>'TR TUSD'!$AI$68</f>
        <v>76959.703303691102</v>
      </c>
      <c r="AJ66" s="13">
        <f>'TR TUSD'!$AJ$68</f>
        <v>183196.10129394187</v>
      </c>
      <c r="AK66" s="13">
        <f>'TR TUSD'!$AK$68</f>
        <v>47732.749843158228</v>
      </c>
      <c r="AL66" s="13">
        <f>'TR TUSD'!$AL$68</f>
        <v>2923469.7495094272</v>
      </c>
      <c r="AM66" s="13">
        <f>CUSTOS!$D$29</f>
        <v>52767980.055180952</v>
      </c>
      <c r="AO66" s="18">
        <f>$AE$68</f>
        <v>0</v>
      </c>
      <c r="AP66" s="18">
        <f>$AF$68</f>
        <v>0</v>
      </c>
    </row>
    <row r="67" spans="11:42" ht="11.25" customHeight="1" x14ac:dyDescent="0.3">
      <c r="K67" s="16" t="s">
        <v>658</v>
      </c>
      <c r="L67" s="13">
        <f>CUSTOS!$E$2</f>
        <v>-14425.698031375883</v>
      </c>
      <c r="M67" s="13">
        <f>CUSTOS!$E$3</f>
        <v>541.0626507235047</v>
      </c>
      <c r="N67" s="13">
        <f>CUSTOS!$E$4</f>
        <v>6.7265974004737262E-3</v>
      </c>
      <c r="O67" s="13">
        <f>CUSTOS!$E$5</f>
        <v>0</v>
      </c>
      <c r="P67" s="13">
        <f>CUSTOS!$E$6</f>
        <v>0</v>
      </c>
      <c r="Q67" s="13">
        <f>CUSTOS!$E$7</f>
        <v>196810.8238506862</v>
      </c>
      <c r="R67" s="13">
        <f>CUSTOS!$E$8</f>
        <v>48819.572107194923</v>
      </c>
      <c r="S67" s="13">
        <f>CUSTOS!$E$9</f>
        <v>0</v>
      </c>
      <c r="T67" s="13">
        <f>CUSTOS!$E$10</f>
        <v>231745.76730382614</v>
      </c>
      <c r="U67" s="13">
        <f>CUSTOS!$E$11</f>
        <v>-31105.252549044439</v>
      </c>
      <c r="V67" s="13">
        <f>CUSTOS!$E$12</f>
        <v>-28744.987272467522</v>
      </c>
      <c r="W67" s="13">
        <f>CUSTOS!$E$13</f>
        <v>0</v>
      </c>
      <c r="X67" s="13">
        <f>CUSTOS!$E$14</f>
        <v>0</v>
      </c>
      <c r="Y67" s="13">
        <f>CUSTOS!$E$15</f>
        <v>0</v>
      </c>
      <c r="Z67" s="13">
        <f>CUSTOS!$E$16</f>
        <v>0</v>
      </c>
      <c r="AA67" s="13">
        <f>CUSTOS!$E$17</f>
        <v>0</v>
      </c>
      <c r="AB67" s="13">
        <f>CUSTOS!$E$18</f>
        <v>-59850.239821511961</v>
      </c>
      <c r="AC67" s="13">
        <f>CUSTOS!$E$19</f>
        <v>0</v>
      </c>
      <c r="AD67" s="13">
        <f>CUSTOS!$E$20</f>
        <v>0</v>
      </c>
      <c r="AE67" s="13">
        <f>CUSTOS!$E$21</f>
        <v>-2279498.7846037233</v>
      </c>
      <c r="AF67" s="13">
        <f>CUSTOS!$E$22</f>
        <v>0</v>
      </c>
      <c r="AG67" s="13">
        <f>CUSTOS!$E$23</f>
        <v>-2279498.7846037233</v>
      </c>
      <c r="AH67" s="13">
        <f>CUSTOS!$E$24</f>
        <v>217797.28994568801</v>
      </c>
      <c r="AI67" s="13">
        <f>CUSTOS!$E$25</f>
        <v>6408.371051975043</v>
      </c>
      <c r="AJ67" s="13">
        <f>CUSTOS!$E$26</f>
        <v>15254.588336107561</v>
      </c>
      <c r="AK67" s="13">
        <f>CUSTOS!$E$27</f>
        <v>-3749.3210909030186</v>
      </c>
      <c r="AL67" s="13">
        <f>CUSTOS!$E$28</f>
        <v>235710.92824286758</v>
      </c>
      <c r="AM67" s="13">
        <f>CUSTOS!$E$29</f>
        <v>-1871892.3288785417</v>
      </c>
      <c r="AO67" s="18">
        <f ca="1">IF(AO65&lt;&gt;0,AO66/AO65,0)</f>
        <v>0</v>
      </c>
      <c r="AP67" s="18">
        <f ca="1">IF(AP65&lt;&gt;0,AP66/AP65,0)</f>
        <v>0</v>
      </c>
    </row>
    <row r="68" spans="11:42" ht="11.25" customHeight="1" x14ac:dyDescent="0.3">
      <c r="K68" s="16" t="s">
        <v>659</v>
      </c>
      <c r="L68" s="13">
        <f>CUSTOS!$F$2</f>
        <v>107454.95932846866</v>
      </c>
      <c r="M68" s="13">
        <f>CUSTOS!$F$3</f>
        <v>0</v>
      </c>
      <c r="N68" s="13">
        <f>CUSTOS!$F$4</f>
        <v>0</v>
      </c>
      <c r="O68" s="13">
        <f>CUSTOS!$F$5</f>
        <v>0</v>
      </c>
      <c r="P68" s="13">
        <f>CUSTOS!$F$6</f>
        <v>0</v>
      </c>
      <c r="Q68" s="13">
        <f>CUSTOS!$F$7</f>
        <v>3370480.3417000002</v>
      </c>
      <c r="R68" s="13">
        <f>CUSTOS!$F$8</f>
        <v>637363.97290000005</v>
      </c>
      <c r="S68" s="13">
        <f>CUSTOS!$F$9</f>
        <v>0</v>
      </c>
      <c r="T68" s="13">
        <f>CUSTOS!$F$10</f>
        <v>4115299.2739284686</v>
      </c>
      <c r="U68" s="13">
        <f>CUSTOS!$F$11</f>
        <v>434116.13274168264</v>
      </c>
      <c r="V68" s="13">
        <f>CUSTOS!$F$12</f>
        <v>206089.60461909813</v>
      </c>
      <c r="W68" s="13">
        <f>CUSTOS!$F$13</f>
        <v>0</v>
      </c>
      <c r="X68" s="13">
        <f>CUSTOS!$F$14</f>
        <v>0</v>
      </c>
      <c r="Y68" s="13">
        <f>CUSTOS!$F$15</f>
        <v>0</v>
      </c>
      <c r="Z68" s="13">
        <f>CUSTOS!$F$16</f>
        <v>0</v>
      </c>
      <c r="AA68" s="13">
        <f>CUSTOS!$F$17</f>
        <v>0</v>
      </c>
      <c r="AB68" s="13">
        <f>CUSTOS!$F$18</f>
        <v>640205.73736078083</v>
      </c>
      <c r="AC68" s="13">
        <f>CUSTOS!$F$19</f>
        <v>0</v>
      </c>
      <c r="AD68" s="13">
        <f>CUSTOS!$F$20</f>
        <v>0</v>
      </c>
      <c r="AE68" s="13">
        <f>CUSTOS!$F$21</f>
        <v>0</v>
      </c>
      <c r="AF68" s="13">
        <f>CUSTOS!$F$22</f>
        <v>0</v>
      </c>
      <c r="AG68" s="13">
        <f>CUSTOS!$F$23</f>
        <v>0</v>
      </c>
      <c r="AH68" s="13">
        <f>CUSTOS!$F$24</f>
        <v>-133415.26963667042</v>
      </c>
      <c r="AI68" s="13">
        <f>CUSTOS!$F$25</f>
        <v>-3925.5518378777251</v>
      </c>
      <c r="AJ68" s="13">
        <f>CUSTOS!$F$26</f>
        <v>-9344.4460055757027</v>
      </c>
      <c r="AK68" s="13">
        <f>CUSTOS!$F$27</f>
        <v>0</v>
      </c>
      <c r="AL68" s="13">
        <f>CUSTOS!$F$28</f>
        <v>-146685.26748012385</v>
      </c>
      <c r="AM68" s="13">
        <f>CUSTOS!$F$29</f>
        <v>4608819.7438091254</v>
      </c>
    </row>
    <row r="69" spans="11:42" ht="11.25" customHeight="1" x14ac:dyDescent="0.3">
      <c r="K69" s="16" t="s">
        <v>722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/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/>
      <c r="AC69" s="13">
        <v>0</v>
      </c>
      <c r="AD69" s="13"/>
      <c r="AE69" s="13">
        <v>0</v>
      </c>
      <c r="AF69" s="13">
        <v>0</v>
      </c>
      <c r="AG69" s="13"/>
      <c r="AH69" s="13">
        <v>0</v>
      </c>
      <c r="AI69" s="13">
        <v>0</v>
      </c>
      <c r="AJ69" s="13">
        <v>0</v>
      </c>
      <c r="AK69" s="13">
        <v>0</v>
      </c>
      <c r="AL69" s="13"/>
      <c r="AM69" s="13"/>
    </row>
  </sheetData>
  <mergeCells count="91">
    <mergeCell ref="E57:E59"/>
    <mergeCell ref="F57:F59"/>
    <mergeCell ref="A62:A63"/>
    <mergeCell ref="B62:B63"/>
    <mergeCell ref="C62:C63"/>
    <mergeCell ref="D57:D59"/>
    <mergeCell ref="B54:B56"/>
    <mergeCell ref="C54:C56"/>
    <mergeCell ref="A57:A61"/>
    <mergeCell ref="B57:B59"/>
    <mergeCell ref="C57:C59"/>
    <mergeCell ref="A42:A56"/>
    <mergeCell ref="B42:B44"/>
    <mergeCell ref="C42:C44"/>
    <mergeCell ref="B50:B52"/>
    <mergeCell ref="C50:C52"/>
    <mergeCell ref="B46:B48"/>
    <mergeCell ref="C46:C48"/>
    <mergeCell ref="D50:D52"/>
    <mergeCell ref="E50:E52"/>
    <mergeCell ref="F50:F52"/>
    <mergeCell ref="D42:D44"/>
    <mergeCell ref="E42:E44"/>
    <mergeCell ref="F42:F44"/>
    <mergeCell ref="D46:D48"/>
    <mergeCell ref="E46:E48"/>
    <mergeCell ref="F46:F48"/>
    <mergeCell ref="E29:E31"/>
    <mergeCell ref="F29:F31"/>
    <mergeCell ref="B32:B36"/>
    <mergeCell ref="C32:C36"/>
    <mergeCell ref="B37:B41"/>
    <mergeCell ref="C37:C41"/>
    <mergeCell ref="A27:A28"/>
    <mergeCell ref="B27:B28"/>
    <mergeCell ref="C27:C28"/>
    <mergeCell ref="D27:D28"/>
    <mergeCell ref="A29:A41"/>
    <mergeCell ref="B29:B31"/>
    <mergeCell ref="C29:C31"/>
    <mergeCell ref="D29:D31"/>
    <mergeCell ref="F15:F16"/>
    <mergeCell ref="F17:F19"/>
    <mergeCell ref="B22:B26"/>
    <mergeCell ref="C22:C26"/>
    <mergeCell ref="D22:D26"/>
    <mergeCell ref="E22:E24"/>
    <mergeCell ref="F22:F24"/>
    <mergeCell ref="E25:E26"/>
    <mergeCell ref="F25:F26"/>
    <mergeCell ref="A17:A26"/>
    <mergeCell ref="B17:B20"/>
    <mergeCell ref="C17:C20"/>
    <mergeCell ref="D17:D20"/>
    <mergeCell ref="E17:E19"/>
    <mergeCell ref="J1:J4"/>
    <mergeCell ref="L1:AM1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G1:G4"/>
    <mergeCell ref="H1:H4"/>
    <mergeCell ref="I1:I4"/>
    <mergeCell ref="A5:A16"/>
    <mergeCell ref="B5:B8"/>
    <mergeCell ref="C5:C8"/>
    <mergeCell ref="D5:D8"/>
    <mergeCell ref="E5:E7"/>
    <mergeCell ref="B15:B16"/>
    <mergeCell ref="C15:C16"/>
    <mergeCell ref="D15:D16"/>
    <mergeCell ref="E15:E16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conditionalFormatting sqref="L65">
    <cfRule type="cellIs" dxfId="1313" priority="55" operator="notEqual">
      <formula>$L$68</formula>
    </cfRule>
    <cfRule type="cellIs" dxfId="1312" priority="56" operator="equal">
      <formula>$L$68</formula>
    </cfRule>
  </conditionalFormatting>
  <conditionalFormatting sqref="M65">
    <cfRule type="cellIs" dxfId="1311" priority="53" operator="notEqual">
      <formula>$M$68</formula>
    </cfRule>
    <cfRule type="cellIs" dxfId="1310" priority="54" operator="equal">
      <formula>$M$68</formula>
    </cfRule>
  </conditionalFormatting>
  <conditionalFormatting sqref="N65">
    <cfRule type="cellIs" dxfId="1309" priority="51" operator="notEqual">
      <formula>$N$68</formula>
    </cfRule>
    <cfRule type="cellIs" dxfId="1308" priority="52" operator="equal">
      <formula>$N$68</formula>
    </cfRule>
  </conditionalFormatting>
  <conditionalFormatting sqref="O65">
    <cfRule type="cellIs" dxfId="1307" priority="49" operator="notEqual">
      <formula>$O$68</formula>
    </cfRule>
    <cfRule type="cellIs" dxfId="1306" priority="50" operator="equal">
      <formula>$O$68</formula>
    </cfRule>
  </conditionalFormatting>
  <conditionalFormatting sqref="P65">
    <cfRule type="cellIs" dxfId="1305" priority="47" operator="notEqual">
      <formula>$P$68</formula>
    </cfRule>
    <cfRule type="cellIs" dxfId="1304" priority="48" operator="equal">
      <formula>$P$68</formula>
    </cfRule>
  </conditionalFormatting>
  <conditionalFormatting sqref="Q65">
    <cfRule type="cellIs" dxfId="1303" priority="45" operator="notEqual">
      <formula>$Q$68</formula>
    </cfRule>
    <cfRule type="cellIs" dxfId="1302" priority="46" operator="equal">
      <formula>$Q$68</formula>
    </cfRule>
  </conditionalFormatting>
  <conditionalFormatting sqref="R65">
    <cfRule type="cellIs" dxfId="1301" priority="43" operator="notEqual">
      <formula>$R$68</formula>
    </cfRule>
    <cfRule type="cellIs" dxfId="1300" priority="44" operator="equal">
      <formula>$R$68</formula>
    </cfRule>
  </conditionalFormatting>
  <conditionalFormatting sqref="S65">
    <cfRule type="cellIs" dxfId="1299" priority="41" operator="notEqual">
      <formula>$S$68</formula>
    </cfRule>
    <cfRule type="cellIs" dxfId="1298" priority="42" operator="equal">
      <formula>$S$68</formula>
    </cfRule>
  </conditionalFormatting>
  <conditionalFormatting sqref="T65">
    <cfRule type="cellIs" dxfId="1297" priority="39" operator="notEqual">
      <formula>$T$68</formula>
    </cfRule>
    <cfRule type="cellIs" dxfId="1296" priority="40" operator="equal">
      <formula>$T$68</formula>
    </cfRule>
  </conditionalFormatting>
  <conditionalFormatting sqref="U65">
    <cfRule type="cellIs" dxfId="1295" priority="37" operator="notEqual">
      <formula>$U$68</formula>
    </cfRule>
    <cfRule type="cellIs" dxfId="1294" priority="38" operator="equal">
      <formula>$U$68</formula>
    </cfRule>
  </conditionalFormatting>
  <conditionalFormatting sqref="V65">
    <cfRule type="cellIs" dxfId="1293" priority="35" operator="notEqual">
      <formula>$V$68</formula>
    </cfRule>
    <cfRule type="cellIs" dxfId="1292" priority="36" operator="equal">
      <formula>$V$68</formula>
    </cfRule>
  </conditionalFormatting>
  <conditionalFormatting sqref="W65">
    <cfRule type="cellIs" dxfId="1291" priority="33" operator="notEqual">
      <formula>$W$68</formula>
    </cfRule>
    <cfRule type="cellIs" dxfId="1290" priority="34" operator="equal">
      <formula>$W$68</formula>
    </cfRule>
  </conditionalFormatting>
  <conditionalFormatting sqref="X65">
    <cfRule type="cellIs" dxfId="1289" priority="31" operator="notEqual">
      <formula>$X$68</formula>
    </cfRule>
    <cfRule type="cellIs" dxfId="1288" priority="32" operator="equal">
      <formula>$X$68</formula>
    </cfRule>
  </conditionalFormatting>
  <conditionalFormatting sqref="Y65">
    <cfRule type="cellIs" dxfId="1287" priority="29" operator="notEqual">
      <formula>$Y$68</formula>
    </cfRule>
    <cfRule type="cellIs" dxfId="1286" priority="30" operator="equal">
      <formula>$Y$68</formula>
    </cfRule>
  </conditionalFormatting>
  <conditionalFormatting sqref="Z65">
    <cfRule type="cellIs" dxfId="1285" priority="27" operator="notEqual">
      <formula>$Z$68</formula>
    </cfRule>
    <cfRule type="cellIs" dxfId="1284" priority="28" operator="equal">
      <formula>$Z$68</formula>
    </cfRule>
  </conditionalFormatting>
  <conditionalFormatting sqref="AA65">
    <cfRule type="cellIs" dxfId="1283" priority="25" operator="notEqual">
      <formula>$AA$68</formula>
    </cfRule>
    <cfRule type="cellIs" dxfId="1282" priority="26" operator="equal">
      <formula>$AA$68</formula>
    </cfRule>
  </conditionalFormatting>
  <conditionalFormatting sqref="AB65">
    <cfRule type="cellIs" dxfId="1281" priority="23" operator="notEqual">
      <formula>$AB$68</formula>
    </cfRule>
    <cfRule type="cellIs" dxfId="1280" priority="24" operator="equal">
      <formula>$AB$68</formula>
    </cfRule>
  </conditionalFormatting>
  <conditionalFormatting sqref="AC65">
    <cfRule type="cellIs" dxfId="1279" priority="21" operator="notEqual">
      <formula>$AC$68</formula>
    </cfRule>
    <cfRule type="cellIs" dxfId="1278" priority="22" operator="equal">
      <formula>$AC$68</formula>
    </cfRule>
  </conditionalFormatting>
  <conditionalFormatting sqref="AD65">
    <cfRule type="cellIs" dxfId="1277" priority="19" operator="notEqual">
      <formula>$AD$68</formula>
    </cfRule>
    <cfRule type="cellIs" dxfId="1276" priority="20" operator="equal">
      <formula>$AD$68</formula>
    </cfRule>
  </conditionalFormatting>
  <conditionalFormatting sqref="AE65">
    <cfRule type="cellIs" dxfId="1275" priority="17" operator="notEqual">
      <formula>$AE$68</formula>
    </cfRule>
    <cfRule type="cellIs" dxfId="1274" priority="18" operator="equal">
      <formula>$AE$68</formula>
    </cfRule>
  </conditionalFormatting>
  <conditionalFormatting sqref="AF65">
    <cfRule type="cellIs" dxfId="1273" priority="16" operator="equal">
      <formula>$AF$68</formula>
    </cfRule>
  </conditionalFormatting>
  <conditionalFormatting sqref="AF65">
    <cfRule type="cellIs" dxfId="1272" priority="15" operator="notEqual">
      <formula>$AF$68</formula>
    </cfRule>
  </conditionalFormatting>
  <conditionalFormatting sqref="AG65">
    <cfRule type="cellIs" dxfId="1271" priority="14" operator="equal">
      <formula>$AG$68</formula>
    </cfRule>
  </conditionalFormatting>
  <conditionalFormatting sqref="AG65">
    <cfRule type="cellIs" dxfId="1270" priority="13" operator="notEqual">
      <formula>$AG$68</formula>
    </cfRule>
  </conditionalFormatting>
  <conditionalFormatting sqref="AH65">
    <cfRule type="cellIs" dxfId="1269" priority="12" operator="equal">
      <formula>$AH$68</formula>
    </cfRule>
  </conditionalFormatting>
  <conditionalFormatting sqref="AH65">
    <cfRule type="cellIs" dxfId="1268" priority="11" operator="notEqual">
      <formula>$AH$68</formula>
    </cfRule>
  </conditionalFormatting>
  <conditionalFormatting sqref="AI65">
    <cfRule type="cellIs" dxfId="1267" priority="10" operator="equal">
      <formula>$AI$68</formula>
    </cfRule>
  </conditionalFormatting>
  <conditionalFormatting sqref="AI65">
    <cfRule type="cellIs" dxfId="1266" priority="9" operator="notEqual">
      <formula>$AI$68</formula>
    </cfRule>
  </conditionalFormatting>
  <conditionalFormatting sqref="AJ65">
    <cfRule type="cellIs" dxfId="1265" priority="8" operator="equal">
      <formula>$AJ$68</formula>
    </cfRule>
  </conditionalFormatting>
  <conditionalFormatting sqref="AJ65">
    <cfRule type="cellIs" dxfId="1264" priority="7" operator="notEqual">
      <formula>$AJ$68</formula>
    </cfRule>
  </conditionalFormatting>
  <conditionalFormatting sqref="AK65">
    <cfRule type="cellIs" dxfId="1263" priority="6" operator="equal">
      <formula>$AK$68</formula>
    </cfRule>
  </conditionalFormatting>
  <conditionalFormatting sqref="AK65">
    <cfRule type="cellIs" dxfId="1262" priority="5" operator="notEqual">
      <formula>$AK$68</formula>
    </cfRule>
  </conditionalFormatting>
  <conditionalFormatting sqref="AL65">
    <cfRule type="cellIs" dxfId="1261" priority="4" operator="equal">
      <formula>$AL$68</formula>
    </cfRule>
  </conditionalFormatting>
  <conditionalFormatting sqref="AL65">
    <cfRule type="cellIs" dxfId="1260" priority="3" operator="notEqual">
      <formula>$AL$68</formula>
    </cfRule>
  </conditionalFormatting>
  <conditionalFormatting sqref="AM65">
    <cfRule type="cellIs" dxfId="1259" priority="2" operator="equal">
      <formula>$AM$68</formula>
    </cfRule>
  </conditionalFormatting>
  <conditionalFormatting sqref="AM65">
    <cfRule type="cellIs" dxfId="1258" priority="1" operator="notEqual">
      <formula>$AM$68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26DEE-CB02-4062-8CB8-52E90E50BB9F}">
  <sheetPr codeName="Planilha12"/>
  <dimension ref="A1:AB52"/>
  <sheetViews>
    <sheetView showGridLines="0" topLeftCell="A28" workbookViewId="0">
      <selection activeCell="K46" sqref="K46:AB52"/>
    </sheetView>
  </sheetViews>
  <sheetFormatPr defaultRowHeight="11.25" customHeight="1" x14ac:dyDescent="0.3"/>
  <cols>
    <col min="1" max="1" width="9" style="9" bestFit="1" customWidth="1"/>
    <col min="2" max="2" width="26.33203125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9" width="7.6640625" style="9" bestFit="1" customWidth="1"/>
    <col min="10" max="10" width="8.88671875" style="9"/>
    <col min="11" max="11" width="19.88671875" style="9" bestFit="1" customWidth="1"/>
    <col min="12" max="12" width="8.44140625" style="9" bestFit="1" customWidth="1"/>
    <col min="13" max="13" width="9.6640625" style="9" bestFit="1" customWidth="1"/>
    <col min="14" max="14" width="8.44140625" style="9" bestFit="1" customWidth="1"/>
    <col min="15" max="15" width="10.77734375" style="9" bestFit="1" customWidth="1"/>
    <col min="16" max="16" width="10.21875" style="9" bestFit="1" customWidth="1"/>
    <col min="17" max="17" width="9.6640625" style="9" bestFit="1" customWidth="1"/>
    <col min="18" max="18" width="14.5546875" style="9" bestFit="1" customWidth="1"/>
    <col min="19" max="19" width="10.5546875" style="9" bestFit="1" customWidth="1"/>
    <col min="20" max="20" width="8.44140625" style="9" bestFit="1" customWidth="1"/>
    <col min="21" max="21" width="10.109375" style="9" bestFit="1" customWidth="1"/>
    <col min="22" max="22" width="8.44140625" style="9" bestFit="1" customWidth="1"/>
    <col min="23" max="23" width="9.6640625" style="9" bestFit="1" customWidth="1"/>
    <col min="24" max="24" width="7.77734375" style="9" bestFit="1" customWidth="1"/>
    <col min="25" max="25" width="9" style="9" bestFit="1" customWidth="1"/>
    <col min="26" max="26" width="10.6640625" style="9" bestFit="1" customWidth="1"/>
    <col min="27" max="27" width="9" style="9" bestFit="1" customWidth="1"/>
    <col min="28" max="28" width="10.5546875" style="9" bestFit="1" customWidth="1"/>
    <col min="29" max="16384" width="8.88671875" style="9"/>
  </cols>
  <sheetData>
    <row r="1" spans="1:28" ht="11.25" customHeight="1" x14ac:dyDescent="0.3">
      <c r="A1" s="147" t="s">
        <v>69</v>
      </c>
      <c r="B1" s="147" t="s">
        <v>70</v>
      </c>
      <c r="C1" s="147" t="s">
        <v>71</v>
      </c>
      <c r="D1" s="147" t="s">
        <v>72</v>
      </c>
      <c r="E1" s="147" t="s">
        <v>73</v>
      </c>
      <c r="F1" s="147" t="s">
        <v>15</v>
      </c>
      <c r="G1" s="147" t="s">
        <v>75</v>
      </c>
      <c r="H1" s="147" t="s">
        <v>76</v>
      </c>
      <c r="I1" s="147" t="s">
        <v>716</v>
      </c>
      <c r="J1" s="131"/>
      <c r="L1" s="145" t="s">
        <v>737</v>
      </c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</row>
    <row r="2" spans="1:28" ht="11.25" customHeight="1" x14ac:dyDescent="0.3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5" t="s">
        <v>643</v>
      </c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</row>
    <row r="3" spans="1:28" ht="11.25" customHeight="1" x14ac:dyDescent="0.3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5" t="s">
        <v>616</v>
      </c>
      <c r="M3" s="145"/>
      <c r="N3" s="145"/>
      <c r="O3" s="145"/>
      <c r="P3" s="145"/>
      <c r="Q3" s="145"/>
      <c r="R3" s="145" t="s">
        <v>647</v>
      </c>
      <c r="S3" s="145"/>
      <c r="T3" s="145" t="s">
        <v>625</v>
      </c>
      <c r="U3" s="145"/>
      <c r="V3" s="145"/>
      <c r="W3" s="145"/>
      <c r="X3" s="145" t="s">
        <v>635</v>
      </c>
      <c r="Y3" s="145"/>
      <c r="Z3" s="145" t="s">
        <v>638</v>
      </c>
      <c r="AA3" s="145"/>
      <c r="AB3" s="145" t="s">
        <v>624</v>
      </c>
    </row>
    <row r="4" spans="1:28" ht="11.25" customHeight="1" x14ac:dyDescent="0.3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24" t="s">
        <v>618</v>
      </c>
      <c r="M4" s="24" t="s">
        <v>644</v>
      </c>
      <c r="N4" s="24" t="s">
        <v>645</v>
      </c>
      <c r="O4" s="24" t="s">
        <v>704</v>
      </c>
      <c r="P4" s="24" t="s">
        <v>646</v>
      </c>
      <c r="Q4" s="24" t="s">
        <v>624</v>
      </c>
      <c r="R4" s="24" t="s">
        <v>648</v>
      </c>
      <c r="S4" s="24" t="s">
        <v>624</v>
      </c>
      <c r="T4" s="24" t="s">
        <v>649</v>
      </c>
      <c r="U4" s="24" t="s">
        <v>650</v>
      </c>
      <c r="V4" s="24" t="s">
        <v>651</v>
      </c>
      <c r="W4" s="24" t="s">
        <v>624</v>
      </c>
      <c r="X4" s="24" t="s">
        <v>636</v>
      </c>
      <c r="Y4" s="24" t="s">
        <v>624</v>
      </c>
      <c r="Z4" s="24" t="s">
        <v>652</v>
      </c>
      <c r="AA4" s="24" t="s">
        <v>624</v>
      </c>
      <c r="AB4" s="146"/>
    </row>
    <row r="5" spans="1:28" ht="11.25" customHeight="1" x14ac:dyDescent="0.3">
      <c r="A5" s="148" t="s">
        <v>45</v>
      </c>
      <c r="B5" s="148" t="s">
        <v>78</v>
      </c>
      <c r="C5" s="148" t="s">
        <v>25</v>
      </c>
      <c r="D5" s="148" t="s">
        <v>25</v>
      </c>
      <c r="E5" s="148" t="s">
        <v>25</v>
      </c>
      <c r="F5" s="148" t="s">
        <v>25</v>
      </c>
      <c r="G5" s="23" t="s">
        <v>80</v>
      </c>
      <c r="H5" s="23" t="s">
        <v>79</v>
      </c>
      <c r="I5" s="23">
        <f>'MERCADO TE'!$U$2</f>
        <v>6.42</v>
      </c>
      <c r="J5" s="15"/>
      <c r="L5" s="20">
        <v>1</v>
      </c>
      <c r="M5" s="20">
        <v>1</v>
      </c>
      <c r="N5" s="20">
        <v>1</v>
      </c>
      <c r="O5" s="20">
        <v>1</v>
      </c>
      <c r="P5" s="20">
        <v>1</v>
      </c>
      <c r="Q5" s="20"/>
      <c r="R5" s="20">
        <v>1.72</v>
      </c>
      <c r="S5" s="20"/>
      <c r="T5" s="20">
        <v>1</v>
      </c>
      <c r="U5" s="20">
        <v>1</v>
      </c>
      <c r="V5" s="20">
        <v>1</v>
      </c>
      <c r="W5" s="20"/>
      <c r="X5" s="20"/>
      <c r="Y5" s="20"/>
      <c r="Z5" s="20">
        <v>1</v>
      </c>
      <c r="AA5" s="20"/>
      <c r="AB5" s="20"/>
    </row>
    <row r="6" spans="1:28" ht="11.25" customHeight="1" x14ac:dyDescent="0.3">
      <c r="A6" s="148"/>
      <c r="B6" s="148"/>
      <c r="C6" s="148"/>
      <c r="D6" s="148"/>
      <c r="E6" s="148"/>
      <c r="F6" s="148"/>
      <c r="G6" s="23" t="s">
        <v>81</v>
      </c>
      <c r="H6" s="23" t="s">
        <v>79</v>
      </c>
      <c r="I6" s="23">
        <f>'MERCADO TE'!$U$3</f>
        <v>1805.7700000000004</v>
      </c>
      <c r="J6" s="15"/>
      <c r="L6" s="20">
        <v>1</v>
      </c>
      <c r="M6" s="20">
        <v>1</v>
      </c>
      <c r="N6" s="20">
        <v>1</v>
      </c>
      <c r="O6" s="20">
        <v>1</v>
      </c>
      <c r="P6" s="20">
        <v>1</v>
      </c>
      <c r="Q6" s="20"/>
      <c r="R6" s="20">
        <v>1</v>
      </c>
      <c r="S6" s="20"/>
      <c r="T6" s="20">
        <v>1</v>
      </c>
      <c r="U6" s="20">
        <v>1</v>
      </c>
      <c r="V6" s="20">
        <v>1</v>
      </c>
      <c r="W6" s="20"/>
      <c r="X6" s="20"/>
      <c r="Y6" s="20"/>
      <c r="Z6" s="20">
        <v>1</v>
      </c>
      <c r="AA6" s="20"/>
      <c r="AB6" s="20"/>
    </row>
    <row r="7" spans="1:28" ht="11.25" customHeight="1" x14ac:dyDescent="0.3">
      <c r="A7" s="148"/>
      <c r="B7" s="22" t="s">
        <v>82</v>
      </c>
      <c r="C7" s="22" t="s">
        <v>25</v>
      </c>
      <c r="D7" s="22" t="s">
        <v>25</v>
      </c>
      <c r="E7" s="22" t="s">
        <v>25</v>
      </c>
      <c r="F7" s="22" t="s">
        <v>25</v>
      </c>
      <c r="G7" s="23" t="s">
        <v>83</v>
      </c>
      <c r="H7" s="23" t="s">
        <v>79</v>
      </c>
      <c r="I7" s="23">
        <f>'MERCADO TE'!$U$4</f>
        <v>0</v>
      </c>
      <c r="J7" s="15"/>
      <c r="L7" s="20">
        <v>1</v>
      </c>
      <c r="M7" s="20">
        <v>1</v>
      </c>
      <c r="N7" s="20">
        <v>1</v>
      </c>
      <c r="O7" s="20">
        <v>1</v>
      </c>
      <c r="P7" s="20">
        <v>1</v>
      </c>
      <c r="Q7" s="20"/>
      <c r="R7" s="20">
        <v>1.06</v>
      </c>
      <c r="S7" s="20"/>
      <c r="T7" s="20">
        <v>1</v>
      </c>
      <c r="U7" s="20">
        <v>1</v>
      </c>
      <c r="V7" s="20">
        <v>1</v>
      </c>
      <c r="W7" s="20"/>
      <c r="X7" s="20"/>
      <c r="Y7" s="20"/>
      <c r="Z7" s="20">
        <v>1</v>
      </c>
      <c r="AA7" s="20"/>
      <c r="AB7" s="20"/>
    </row>
    <row r="8" spans="1:28" ht="11.25" customHeight="1" x14ac:dyDescent="0.3">
      <c r="A8" s="148" t="s">
        <v>39</v>
      </c>
      <c r="B8" s="148" t="s">
        <v>78</v>
      </c>
      <c r="C8" s="148" t="s">
        <v>25</v>
      </c>
      <c r="D8" s="148" t="s">
        <v>25</v>
      </c>
      <c r="E8" s="148" t="s">
        <v>25</v>
      </c>
      <c r="F8" s="148" t="s">
        <v>25</v>
      </c>
      <c r="G8" s="23" t="s">
        <v>80</v>
      </c>
      <c r="H8" s="23" t="s">
        <v>79</v>
      </c>
      <c r="I8" s="23">
        <f>'MERCADO TE'!$U$5</f>
        <v>1184.028</v>
      </c>
      <c r="J8" s="15"/>
      <c r="L8" s="20">
        <v>1</v>
      </c>
      <c r="M8" s="20">
        <v>1</v>
      </c>
      <c r="N8" s="20">
        <v>1</v>
      </c>
      <c r="O8" s="20">
        <v>1</v>
      </c>
      <c r="P8" s="20">
        <v>1</v>
      </c>
      <c r="Q8" s="20"/>
      <c r="R8" s="20">
        <v>1.72</v>
      </c>
      <c r="S8" s="20"/>
      <c r="T8" s="20">
        <v>1</v>
      </c>
      <c r="U8" s="20">
        <v>1</v>
      </c>
      <c r="V8" s="20">
        <v>1</v>
      </c>
      <c r="W8" s="20"/>
      <c r="X8" s="20"/>
      <c r="Y8" s="20"/>
      <c r="Z8" s="20">
        <v>1</v>
      </c>
      <c r="AA8" s="20"/>
      <c r="AB8" s="20"/>
    </row>
    <row r="9" spans="1:28" ht="11.25" customHeight="1" x14ac:dyDescent="0.3">
      <c r="A9" s="148"/>
      <c r="B9" s="148"/>
      <c r="C9" s="148"/>
      <c r="D9" s="148"/>
      <c r="E9" s="148"/>
      <c r="F9" s="148"/>
      <c r="G9" s="23" t="s">
        <v>81</v>
      </c>
      <c r="H9" s="23" t="s">
        <v>79</v>
      </c>
      <c r="I9" s="23">
        <f>'MERCADO TE'!$U$6</f>
        <v>18584.842000000001</v>
      </c>
      <c r="J9" s="15"/>
      <c r="L9" s="20">
        <v>1</v>
      </c>
      <c r="M9" s="20">
        <v>1</v>
      </c>
      <c r="N9" s="20">
        <v>1</v>
      </c>
      <c r="O9" s="20">
        <v>1</v>
      </c>
      <c r="P9" s="20">
        <v>1</v>
      </c>
      <c r="Q9" s="20"/>
      <c r="R9" s="20">
        <v>1</v>
      </c>
      <c r="S9" s="20"/>
      <c r="T9" s="20">
        <v>1</v>
      </c>
      <c r="U9" s="20">
        <v>1</v>
      </c>
      <c r="V9" s="20">
        <v>1</v>
      </c>
      <c r="W9" s="20"/>
      <c r="X9" s="20"/>
      <c r="Y9" s="20"/>
      <c r="Z9" s="20">
        <v>1</v>
      </c>
      <c r="AA9" s="20"/>
      <c r="AB9" s="20"/>
    </row>
    <row r="10" spans="1:28" ht="11.25" customHeight="1" x14ac:dyDescent="0.3">
      <c r="A10" s="148" t="s">
        <v>22</v>
      </c>
      <c r="B10" s="148" t="s">
        <v>78</v>
      </c>
      <c r="C10" s="148" t="s">
        <v>24</v>
      </c>
      <c r="D10" s="148" t="s">
        <v>24</v>
      </c>
      <c r="E10" s="148" t="s">
        <v>25</v>
      </c>
      <c r="F10" s="148" t="s">
        <v>25</v>
      </c>
      <c r="G10" s="23" t="s">
        <v>80</v>
      </c>
      <c r="H10" s="23" t="s">
        <v>79</v>
      </c>
      <c r="I10" s="23">
        <f>'MERCADO TE'!$U$7</f>
        <v>5.2</v>
      </c>
      <c r="J10" s="15"/>
      <c r="L10" s="20">
        <v>1</v>
      </c>
      <c r="M10" s="20">
        <v>1</v>
      </c>
      <c r="N10" s="20">
        <v>1</v>
      </c>
      <c r="O10" s="20">
        <v>1</v>
      </c>
      <c r="P10" s="20">
        <v>1</v>
      </c>
      <c r="Q10" s="20"/>
      <c r="R10" s="20">
        <v>1.72</v>
      </c>
      <c r="S10" s="20"/>
      <c r="T10" s="20">
        <v>1</v>
      </c>
      <c r="U10" s="20">
        <v>1</v>
      </c>
      <c r="V10" s="20">
        <v>1</v>
      </c>
      <c r="W10" s="20"/>
      <c r="X10" s="20"/>
      <c r="Y10" s="20"/>
      <c r="Z10" s="20">
        <v>1</v>
      </c>
      <c r="AA10" s="20"/>
      <c r="AB10" s="20"/>
    </row>
    <row r="11" spans="1:28" ht="11.25" customHeight="1" x14ac:dyDescent="0.3">
      <c r="A11" s="148"/>
      <c r="B11" s="148"/>
      <c r="C11" s="148"/>
      <c r="D11" s="148"/>
      <c r="E11" s="148"/>
      <c r="F11" s="148"/>
      <c r="G11" s="23" t="s">
        <v>91</v>
      </c>
      <c r="H11" s="23" t="s">
        <v>79</v>
      </c>
      <c r="I11" s="23">
        <f>'MERCADO TE'!$U$8</f>
        <v>3.3950000000000005</v>
      </c>
      <c r="J11" s="15"/>
      <c r="L11" s="20">
        <v>1</v>
      </c>
      <c r="M11" s="20">
        <v>1</v>
      </c>
      <c r="N11" s="20">
        <v>1</v>
      </c>
      <c r="O11" s="20">
        <v>1</v>
      </c>
      <c r="P11" s="20">
        <v>1</v>
      </c>
      <c r="Q11" s="20"/>
      <c r="R11" s="20">
        <v>1</v>
      </c>
      <c r="S11" s="20"/>
      <c r="T11" s="20">
        <v>1</v>
      </c>
      <c r="U11" s="20">
        <v>1</v>
      </c>
      <c r="V11" s="20">
        <v>1</v>
      </c>
      <c r="W11" s="20"/>
      <c r="X11" s="20"/>
      <c r="Y11" s="20"/>
      <c r="Z11" s="20">
        <v>1</v>
      </c>
      <c r="AA11" s="20"/>
      <c r="AB11" s="20"/>
    </row>
    <row r="12" spans="1:28" ht="11.25" customHeight="1" x14ac:dyDescent="0.3">
      <c r="A12" s="148"/>
      <c r="B12" s="148"/>
      <c r="C12" s="148"/>
      <c r="D12" s="148"/>
      <c r="E12" s="148"/>
      <c r="F12" s="148"/>
      <c r="G12" s="23" t="s">
        <v>81</v>
      </c>
      <c r="H12" s="23" t="s">
        <v>79</v>
      </c>
      <c r="I12" s="23">
        <f>'MERCADO TE'!$U$9</f>
        <v>48.124000000000009</v>
      </c>
      <c r="J12" s="15"/>
      <c r="L12" s="20">
        <v>1</v>
      </c>
      <c r="M12" s="20">
        <v>1</v>
      </c>
      <c r="N12" s="20">
        <v>1</v>
      </c>
      <c r="O12" s="20">
        <v>1</v>
      </c>
      <c r="P12" s="20">
        <v>1</v>
      </c>
      <c r="Q12" s="20"/>
      <c r="R12" s="20">
        <v>1</v>
      </c>
      <c r="S12" s="20"/>
      <c r="T12" s="20">
        <v>1</v>
      </c>
      <c r="U12" s="20">
        <v>1</v>
      </c>
      <c r="V12" s="20">
        <v>1</v>
      </c>
      <c r="W12" s="20"/>
      <c r="X12" s="20"/>
      <c r="Y12" s="20"/>
      <c r="Z12" s="20">
        <v>1</v>
      </c>
      <c r="AA12" s="20"/>
      <c r="AB12" s="20"/>
    </row>
    <row r="13" spans="1:28" ht="11.25" customHeight="1" x14ac:dyDescent="0.3">
      <c r="A13" s="148"/>
      <c r="B13" s="148" t="s">
        <v>82</v>
      </c>
      <c r="C13" s="148" t="s">
        <v>24</v>
      </c>
      <c r="D13" s="22" t="s">
        <v>24</v>
      </c>
      <c r="E13" s="22" t="s">
        <v>25</v>
      </c>
      <c r="F13" s="22" t="s">
        <v>25</v>
      </c>
      <c r="G13" s="23" t="s">
        <v>83</v>
      </c>
      <c r="H13" s="23" t="s">
        <v>79</v>
      </c>
      <c r="I13" s="23">
        <f>'MERCADO TE'!$U$10</f>
        <v>46756.356999999996</v>
      </c>
      <c r="J13" s="15"/>
      <c r="L13" s="20">
        <v>1</v>
      </c>
      <c r="M13" s="20">
        <v>1</v>
      </c>
      <c r="N13" s="20">
        <v>1</v>
      </c>
      <c r="O13" s="20">
        <v>1</v>
      </c>
      <c r="P13" s="20">
        <v>1</v>
      </c>
      <c r="Q13" s="20"/>
      <c r="R13" s="20">
        <v>1.06</v>
      </c>
      <c r="S13" s="20"/>
      <c r="T13" s="20">
        <v>1</v>
      </c>
      <c r="U13" s="20">
        <v>1</v>
      </c>
      <c r="V13" s="20">
        <v>1</v>
      </c>
      <c r="W13" s="20"/>
      <c r="X13" s="20"/>
      <c r="Y13" s="20"/>
      <c r="Z13" s="20">
        <v>1</v>
      </c>
      <c r="AA13" s="20"/>
      <c r="AB13" s="20"/>
    </row>
    <row r="14" spans="1:28" ht="11.25" customHeight="1" x14ac:dyDescent="0.3">
      <c r="A14" s="148"/>
      <c r="B14" s="148"/>
      <c r="C14" s="148"/>
      <c r="D14" s="22" t="s">
        <v>29</v>
      </c>
      <c r="E14" s="22" t="s">
        <v>25</v>
      </c>
      <c r="F14" s="22" t="s">
        <v>25</v>
      </c>
      <c r="G14" s="23" t="s">
        <v>83</v>
      </c>
      <c r="H14" s="23" t="s">
        <v>79</v>
      </c>
      <c r="I14" s="23">
        <f>'MERCADO TE'!$U$11</f>
        <v>1110.3100000000002</v>
      </c>
      <c r="J14" s="15"/>
      <c r="L14" s="20">
        <f>1 - CUSTOS!$M$24</f>
        <v>1</v>
      </c>
      <c r="M14" s="20">
        <f>1 - CUSTOS!$M$24</f>
        <v>1</v>
      </c>
      <c r="N14" s="20">
        <f>1 - CUSTOS!$M$24</f>
        <v>1</v>
      </c>
      <c r="O14" s="20">
        <f>1 - CUSTOS!$M$24</f>
        <v>1</v>
      </c>
      <c r="P14" s="20">
        <f>1 - CUSTOS!$M$24</f>
        <v>1</v>
      </c>
      <c r="Q14" s="20"/>
      <c r="R14" s="20">
        <f>(1 - CUSTOS!$M$24)*1.06</f>
        <v>1.06</v>
      </c>
      <c r="S14" s="20"/>
      <c r="T14" s="20">
        <f>1 - CUSTOS!$M$24</f>
        <v>1</v>
      </c>
      <c r="U14" s="20">
        <f>1 - CUSTOS!$M$24</f>
        <v>1</v>
      </c>
      <c r="V14" s="20">
        <f>1 - CUSTOS!$M$24</f>
        <v>1</v>
      </c>
      <c r="W14" s="20"/>
      <c r="X14" s="20"/>
      <c r="Y14" s="20"/>
      <c r="Z14" s="20">
        <f>1 - CUSTOS!$M$24</f>
        <v>1</v>
      </c>
      <c r="AA14" s="20"/>
      <c r="AB14" s="20"/>
    </row>
    <row r="15" spans="1:28" ht="11.25" customHeight="1" x14ac:dyDescent="0.3">
      <c r="A15" s="148"/>
      <c r="B15" s="148"/>
      <c r="C15" s="148"/>
      <c r="D15" s="22" t="s">
        <v>30</v>
      </c>
      <c r="E15" s="22" t="s">
        <v>25</v>
      </c>
      <c r="F15" s="22" t="s">
        <v>25</v>
      </c>
      <c r="G15" s="23" t="s">
        <v>83</v>
      </c>
      <c r="H15" s="23" t="s">
        <v>79</v>
      </c>
      <c r="I15" s="23">
        <f>'MERCADO TE'!$U$12</f>
        <v>2263.0230000000001</v>
      </c>
      <c r="J15" s="15"/>
      <c r="L15" s="20">
        <f>1 - CUSTOS!$M$25</f>
        <v>1</v>
      </c>
      <c r="M15" s="20">
        <f>1 - CUSTOS!$M$25</f>
        <v>1</v>
      </c>
      <c r="N15" s="20">
        <f>1 - CUSTOS!$M$25</f>
        <v>1</v>
      </c>
      <c r="O15" s="20">
        <f>1 - CUSTOS!$M$25</f>
        <v>1</v>
      </c>
      <c r="P15" s="20">
        <f>1 - CUSTOS!$M$25</f>
        <v>1</v>
      </c>
      <c r="Q15" s="20"/>
      <c r="R15" s="20">
        <f>(1 - CUSTOS!$M$25)*1.06</f>
        <v>1.06</v>
      </c>
      <c r="S15" s="20"/>
      <c r="T15" s="20">
        <f>1 - CUSTOS!$M$25</f>
        <v>1</v>
      </c>
      <c r="U15" s="20">
        <f>1 - CUSTOS!$M$25</f>
        <v>1</v>
      </c>
      <c r="V15" s="20">
        <f>1 - CUSTOS!$M$25</f>
        <v>1</v>
      </c>
      <c r="W15" s="20"/>
      <c r="X15" s="20"/>
      <c r="Y15" s="20"/>
      <c r="Z15" s="20">
        <f>1 - CUSTOS!$M$25</f>
        <v>1</v>
      </c>
      <c r="AA15" s="20"/>
      <c r="AB15" s="20"/>
    </row>
    <row r="16" spans="1:28" ht="11.25" customHeight="1" x14ac:dyDescent="0.3">
      <c r="A16" s="148"/>
      <c r="B16" s="148"/>
      <c r="C16" s="148"/>
      <c r="D16" s="22" t="s">
        <v>31</v>
      </c>
      <c r="E16" s="22" t="s">
        <v>25</v>
      </c>
      <c r="F16" s="22" t="s">
        <v>25</v>
      </c>
      <c r="G16" s="23" t="s">
        <v>83</v>
      </c>
      <c r="H16" s="23" t="s">
        <v>79</v>
      </c>
      <c r="I16" s="23">
        <f>'MERCADO TE'!$U$13</f>
        <v>1590.454</v>
      </c>
      <c r="J16" s="15"/>
      <c r="L16" s="20">
        <f>1 - CUSTOS!$M$26</f>
        <v>1</v>
      </c>
      <c r="M16" s="20">
        <f>1 - CUSTOS!$M$26</f>
        <v>1</v>
      </c>
      <c r="N16" s="20">
        <f>1 - CUSTOS!$M$26</f>
        <v>1</v>
      </c>
      <c r="O16" s="20">
        <f>1 - CUSTOS!$M$26</f>
        <v>1</v>
      </c>
      <c r="P16" s="20">
        <f>1 - CUSTOS!$M$26</f>
        <v>1</v>
      </c>
      <c r="Q16" s="20"/>
      <c r="R16" s="20">
        <f>(1 - CUSTOS!$M$26)*1.06</f>
        <v>1.06</v>
      </c>
      <c r="S16" s="20"/>
      <c r="T16" s="20">
        <f>1 - CUSTOS!$M$26</f>
        <v>1</v>
      </c>
      <c r="U16" s="20">
        <f>1 - CUSTOS!$M$26</f>
        <v>1</v>
      </c>
      <c r="V16" s="20">
        <f>1 - CUSTOS!$M$26</f>
        <v>1</v>
      </c>
      <c r="W16" s="20"/>
      <c r="X16" s="20"/>
      <c r="Y16" s="20"/>
      <c r="Z16" s="20">
        <f>1 - CUSTOS!$M$26</f>
        <v>1</v>
      </c>
      <c r="AA16" s="20"/>
      <c r="AB16" s="20"/>
    </row>
    <row r="17" spans="1:28" ht="11.25" customHeight="1" x14ac:dyDescent="0.3">
      <c r="A17" s="148"/>
      <c r="B17" s="148"/>
      <c r="C17" s="148"/>
      <c r="D17" s="22" t="s">
        <v>32</v>
      </c>
      <c r="E17" s="22" t="s">
        <v>25</v>
      </c>
      <c r="F17" s="22" t="s">
        <v>25</v>
      </c>
      <c r="G17" s="23" t="s">
        <v>83</v>
      </c>
      <c r="H17" s="23" t="s">
        <v>79</v>
      </c>
      <c r="I17" s="23">
        <f>'MERCADO TE'!$U$14</f>
        <v>284.12699999999995</v>
      </c>
      <c r="J17" s="15"/>
      <c r="L17" s="20">
        <f>1 - CUSTOS!$M$27</f>
        <v>1</v>
      </c>
      <c r="M17" s="20">
        <f>1 - CUSTOS!$M$27</f>
        <v>1</v>
      </c>
      <c r="N17" s="20">
        <f>1 - CUSTOS!$M$27</f>
        <v>1</v>
      </c>
      <c r="O17" s="20">
        <f>1 - CUSTOS!$M$27</f>
        <v>1</v>
      </c>
      <c r="P17" s="20">
        <f>1 - CUSTOS!$M$27</f>
        <v>1</v>
      </c>
      <c r="Q17" s="20"/>
      <c r="R17" s="20">
        <f>(1 - CUSTOS!$M$27)*1.06</f>
        <v>1.06</v>
      </c>
      <c r="S17" s="20"/>
      <c r="T17" s="20">
        <f>1 - CUSTOS!$M$27</f>
        <v>1</v>
      </c>
      <c r="U17" s="20">
        <f>1 - CUSTOS!$M$27</f>
        <v>1</v>
      </c>
      <c r="V17" s="20">
        <f>1 - CUSTOS!$M$27</f>
        <v>1</v>
      </c>
      <c r="W17" s="20"/>
      <c r="X17" s="20"/>
      <c r="Y17" s="20"/>
      <c r="Z17" s="20">
        <f>1 - CUSTOS!$M$27</f>
        <v>1</v>
      </c>
      <c r="AA17" s="20"/>
      <c r="AB17" s="20"/>
    </row>
    <row r="18" spans="1:28" ht="11.25" customHeight="1" x14ac:dyDescent="0.3">
      <c r="A18" s="148"/>
      <c r="B18" s="148" t="s">
        <v>92</v>
      </c>
      <c r="C18" s="148" t="s">
        <v>24</v>
      </c>
      <c r="D18" s="22" t="s">
        <v>24</v>
      </c>
      <c r="E18" s="22" t="s">
        <v>25</v>
      </c>
      <c r="F18" s="22" t="s">
        <v>25</v>
      </c>
      <c r="G18" s="23" t="s">
        <v>83</v>
      </c>
      <c r="H18" s="23" t="s">
        <v>79</v>
      </c>
      <c r="I18" s="23">
        <f>'MERCADO TE'!$U$15</f>
        <v>0</v>
      </c>
      <c r="J18" s="15"/>
      <c r="L18" s="20">
        <v>1</v>
      </c>
      <c r="M18" s="20">
        <v>1</v>
      </c>
      <c r="N18" s="20">
        <v>1</v>
      </c>
      <c r="O18" s="20">
        <v>1</v>
      </c>
      <c r="P18" s="20">
        <v>1</v>
      </c>
      <c r="Q18" s="20"/>
      <c r="R18" s="20">
        <v>1.06</v>
      </c>
      <c r="S18" s="20"/>
      <c r="T18" s="20">
        <v>1</v>
      </c>
      <c r="U18" s="20">
        <v>1</v>
      </c>
      <c r="V18" s="20">
        <v>1</v>
      </c>
      <c r="W18" s="20"/>
      <c r="X18" s="20"/>
      <c r="Y18" s="20"/>
      <c r="Z18" s="20">
        <v>1</v>
      </c>
      <c r="AA18" s="20"/>
      <c r="AB18" s="20"/>
    </row>
    <row r="19" spans="1:28" ht="11.25" customHeight="1" x14ac:dyDescent="0.3">
      <c r="A19" s="148"/>
      <c r="B19" s="148"/>
      <c r="C19" s="148"/>
      <c r="D19" s="22" t="s">
        <v>29</v>
      </c>
      <c r="E19" s="22" t="s">
        <v>25</v>
      </c>
      <c r="F19" s="22" t="s">
        <v>25</v>
      </c>
      <c r="G19" s="23" t="s">
        <v>83</v>
      </c>
      <c r="H19" s="23" t="s">
        <v>79</v>
      </c>
      <c r="I19" s="23">
        <f>'MERCADO TE'!$U$16</f>
        <v>0</v>
      </c>
      <c r="J19" s="15"/>
      <c r="L19" s="20">
        <f>1 - CUSTOS!$M$24</f>
        <v>1</v>
      </c>
      <c r="M19" s="20">
        <f>1 - CUSTOS!$M$24</f>
        <v>1</v>
      </c>
      <c r="N19" s="20">
        <f>1 - CUSTOS!$M$24</f>
        <v>1</v>
      </c>
      <c r="O19" s="20">
        <f>1 - CUSTOS!$M$24</f>
        <v>1</v>
      </c>
      <c r="P19" s="20">
        <f>1 - CUSTOS!$M$24</f>
        <v>1</v>
      </c>
      <c r="Q19" s="20"/>
      <c r="R19" s="20">
        <f>(1 - CUSTOS!$M$24)*1.06</f>
        <v>1.06</v>
      </c>
      <c r="S19" s="20"/>
      <c r="T19" s="20">
        <f>1 - CUSTOS!$M$24</f>
        <v>1</v>
      </c>
      <c r="U19" s="20">
        <f>1 - CUSTOS!$M$24</f>
        <v>1</v>
      </c>
      <c r="V19" s="20">
        <f>1 - CUSTOS!$M$24</f>
        <v>1</v>
      </c>
      <c r="W19" s="20"/>
      <c r="X19" s="20"/>
      <c r="Y19" s="20"/>
      <c r="Z19" s="20">
        <f>1 - CUSTOS!$M$24</f>
        <v>1</v>
      </c>
      <c r="AA19" s="20"/>
      <c r="AB19" s="20"/>
    </row>
    <row r="20" spans="1:28" ht="11.25" customHeight="1" x14ac:dyDescent="0.3">
      <c r="A20" s="148"/>
      <c r="B20" s="148"/>
      <c r="C20" s="148"/>
      <c r="D20" s="22" t="s">
        <v>30</v>
      </c>
      <c r="E20" s="22" t="s">
        <v>25</v>
      </c>
      <c r="F20" s="22" t="s">
        <v>25</v>
      </c>
      <c r="G20" s="23" t="s">
        <v>83</v>
      </c>
      <c r="H20" s="23" t="s">
        <v>79</v>
      </c>
      <c r="I20" s="23">
        <f>'MERCADO TE'!$U$17</f>
        <v>0</v>
      </c>
      <c r="J20" s="15"/>
      <c r="L20" s="20">
        <f>1 - CUSTOS!$M$25</f>
        <v>1</v>
      </c>
      <c r="M20" s="20">
        <f>1 - CUSTOS!$M$25</f>
        <v>1</v>
      </c>
      <c r="N20" s="20">
        <f>1 - CUSTOS!$M$25</f>
        <v>1</v>
      </c>
      <c r="O20" s="20">
        <f>1 - CUSTOS!$M$25</f>
        <v>1</v>
      </c>
      <c r="P20" s="20">
        <f>1 - CUSTOS!$M$25</f>
        <v>1</v>
      </c>
      <c r="Q20" s="20"/>
      <c r="R20" s="20">
        <f>(1 - CUSTOS!$M$25)*1.06</f>
        <v>1.06</v>
      </c>
      <c r="S20" s="20"/>
      <c r="T20" s="20">
        <f>1 - CUSTOS!$M$25</f>
        <v>1</v>
      </c>
      <c r="U20" s="20">
        <f>1 - CUSTOS!$M$25</f>
        <v>1</v>
      </c>
      <c r="V20" s="20">
        <f>1 - CUSTOS!$M$25</f>
        <v>1</v>
      </c>
      <c r="W20" s="20"/>
      <c r="X20" s="20"/>
      <c r="Y20" s="20"/>
      <c r="Z20" s="20">
        <f>1 - CUSTOS!$M$25</f>
        <v>1</v>
      </c>
      <c r="AA20" s="20"/>
      <c r="AB20" s="20"/>
    </row>
    <row r="21" spans="1:28" ht="11.25" customHeight="1" x14ac:dyDescent="0.3">
      <c r="A21" s="148"/>
      <c r="B21" s="148"/>
      <c r="C21" s="148"/>
      <c r="D21" s="22" t="s">
        <v>31</v>
      </c>
      <c r="E21" s="22" t="s">
        <v>25</v>
      </c>
      <c r="F21" s="22" t="s">
        <v>25</v>
      </c>
      <c r="G21" s="23" t="s">
        <v>83</v>
      </c>
      <c r="H21" s="23" t="s">
        <v>79</v>
      </c>
      <c r="I21" s="23">
        <f>'MERCADO TE'!$U$18</f>
        <v>0</v>
      </c>
      <c r="J21" s="15"/>
      <c r="L21" s="20">
        <f>1 - CUSTOS!$M$26</f>
        <v>1</v>
      </c>
      <c r="M21" s="20">
        <f>1 - CUSTOS!$M$26</f>
        <v>1</v>
      </c>
      <c r="N21" s="20">
        <f>1 - CUSTOS!$M$26</f>
        <v>1</v>
      </c>
      <c r="O21" s="20">
        <f>1 - CUSTOS!$M$26</f>
        <v>1</v>
      </c>
      <c r="P21" s="20">
        <f>1 - CUSTOS!$M$26</f>
        <v>1</v>
      </c>
      <c r="Q21" s="20"/>
      <c r="R21" s="20">
        <f>(1 - CUSTOS!$M$26)*1.06</f>
        <v>1.06</v>
      </c>
      <c r="S21" s="20"/>
      <c r="T21" s="20">
        <f>1 - CUSTOS!$M$26</f>
        <v>1</v>
      </c>
      <c r="U21" s="20">
        <f>1 - CUSTOS!$M$26</f>
        <v>1</v>
      </c>
      <c r="V21" s="20">
        <f>1 - CUSTOS!$M$26</f>
        <v>1</v>
      </c>
      <c r="W21" s="20"/>
      <c r="X21" s="20"/>
      <c r="Y21" s="20"/>
      <c r="Z21" s="20">
        <f>1 - CUSTOS!$M$26</f>
        <v>1</v>
      </c>
      <c r="AA21" s="20"/>
      <c r="AB21" s="20"/>
    </row>
    <row r="22" spans="1:28" ht="11.25" customHeight="1" x14ac:dyDescent="0.3">
      <c r="A22" s="148"/>
      <c r="B22" s="148"/>
      <c r="C22" s="148"/>
      <c r="D22" s="22" t="s">
        <v>32</v>
      </c>
      <c r="E22" s="22" t="s">
        <v>25</v>
      </c>
      <c r="F22" s="22" t="s">
        <v>25</v>
      </c>
      <c r="G22" s="23" t="s">
        <v>83</v>
      </c>
      <c r="H22" s="23" t="s">
        <v>79</v>
      </c>
      <c r="I22" s="23">
        <f>'MERCADO TE'!$U$19</f>
        <v>0</v>
      </c>
      <c r="J22" s="15"/>
      <c r="L22" s="20">
        <f>1 - CUSTOS!$M$27</f>
        <v>1</v>
      </c>
      <c r="M22" s="20">
        <f>1 - CUSTOS!$M$27</f>
        <v>1</v>
      </c>
      <c r="N22" s="20">
        <f>1 - CUSTOS!$M$27</f>
        <v>1</v>
      </c>
      <c r="O22" s="20">
        <f>1 - CUSTOS!$M$27</f>
        <v>1</v>
      </c>
      <c r="P22" s="20">
        <f>1 - CUSTOS!$M$27</f>
        <v>1</v>
      </c>
      <c r="Q22" s="20"/>
      <c r="R22" s="20">
        <f>(1 - CUSTOS!$M$27)*1.06</f>
        <v>1.06</v>
      </c>
      <c r="S22" s="20"/>
      <c r="T22" s="20">
        <f>1 - CUSTOS!$M$27</f>
        <v>1</v>
      </c>
      <c r="U22" s="20">
        <f>1 - CUSTOS!$M$27</f>
        <v>1</v>
      </c>
      <c r="V22" s="20">
        <f>1 - CUSTOS!$M$27</f>
        <v>1</v>
      </c>
      <c r="W22" s="20"/>
      <c r="X22" s="20"/>
      <c r="Y22" s="20"/>
      <c r="Z22" s="20">
        <f>1 - CUSTOS!$M$27</f>
        <v>1</v>
      </c>
      <c r="AA22" s="20"/>
      <c r="AB22" s="20"/>
    </row>
    <row r="23" spans="1:28" ht="11.25" customHeight="1" x14ac:dyDescent="0.3">
      <c r="A23" s="148" t="s">
        <v>43</v>
      </c>
      <c r="B23" s="148" t="s">
        <v>78</v>
      </c>
      <c r="C23" s="148" t="s">
        <v>44</v>
      </c>
      <c r="D23" s="148" t="s">
        <v>25</v>
      </c>
      <c r="E23" s="148" t="s">
        <v>25</v>
      </c>
      <c r="F23" s="148" t="s">
        <v>25</v>
      </c>
      <c r="G23" s="23" t="s">
        <v>80</v>
      </c>
      <c r="H23" s="23" t="s">
        <v>79</v>
      </c>
      <c r="I23" s="23">
        <f>'MERCADO TE'!$U$20</f>
        <v>0</v>
      </c>
      <c r="J23" s="15"/>
      <c r="L23" s="20">
        <f>1 - CUSTOS!$M$28</f>
        <v>1</v>
      </c>
      <c r="M23" s="20">
        <f>1 - CUSTOS!$M$28</f>
        <v>1</v>
      </c>
      <c r="N23" s="20">
        <f>1 - CUSTOS!$M$28</f>
        <v>1</v>
      </c>
      <c r="O23" s="20">
        <f>1 - CUSTOS!$M$28</f>
        <v>1</v>
      </c>
      <c r="P23" s="20">
        <f>1 - CUSTOS!$M$28</f>
        <v>1</v>
      </c>
      <c r="Q23" s="20"/>
      <c r="R23" s="20">
        <f>(1 - CUSTOS!$M$28)*1.72</f>
        <v>1.72</v>
      </c>
      <c r="S23" s="20"/>
      <c r="T23" s="20">
        <f>1 - CUSTOS!$M$28</f>
        <v>1</v>
      </c>
      <c r="U23" s="20">
        <f>1 - CUSTOS!$M$28</f>
        <v>1</v>
      </c>
      <c r="V23" s="20">
        <f>1 - CUSTOS!$M$28</f>
        <v>1</v>
      </c>
      <c r="W23" s="20"/>
      <c r="X23" s="20"/>
      <c r="Y23" s="20"/>
      <c r="Z23" s="20">
        <f>1 - CUSTOS!$M$28</f>
        <v>1</v>
      </c>
      <c r="AA23" s="20"/>
      <c r="AB23" s="20"/>
    </row>
    <row r="24" spans="1:28" ht="11.25" customHeight="1" x14ac:dyDescent="0.3">
      <c r="A24" s="148"/>
      <c r="B24" s="148"/>
      <c r="C24" s="148"/>
      <c r="D24" s="148"/>
      <c r="E24" s="148"/>
      <c r="F24" s="148"/>
      <c r="G24" s="23" t="s">
        <v>91</v>
      </c>
      <c r="H24" s="23" t="s">
        <v>79</v>
      </c>
      <c r="I24" s="23">
        <f>'MERCADO TE'!$U$21</f>
        <v>0</v>
      </c>
      <c r="J24" s="15"/>
      <c r="L24" s="20">
        <f>1 - CUSTOS!$M$28</f>
        <v>1</v>
      </c>
      <c r="M24" s="20">
        <f>1 - CUSTOS!$M$28</f>
        <v>1</v>
      </c>
      <c r="N24" s="20">
        <f>1 - CUSTOS!$M$28</f>
        <v>1</v>
      </c>
      <c r="O24" s="20">
        <f>1 - CUSTOS!$M$28</f>
        <v>1</v>
      </c>
      <c r="P24" s="20">
        <f>1 - CUSTOS!$M$28</f>
        <v>1</v>
      </c>
      <c r="Q24" s="20"/>
      <c r="R24" s="20">
        <f>(1 - CUSTOS!$M$28)*1</f>
        <v>1</v>
      </c>
      <c r="S24" s="20"/>
      <c r="T24" s="20">
        <f>1 - CUSTOS!$M$28</f>
        <v>1</v>
      </c>
      <c r="U24" s="20">
        <f>1 - CUSTOS!$M$28</f>
        <v>1</v>
      </c>
      <c r="V24" s="20">
        <f>1 - CUSTOS!$M$28</f>
        <v>1</v>
      </c>
      <c r="W24" s="20"/>
      <c r="X24" s="20"/>
      <c r="Y24" s="20"/>
      <c r="Z24" s="20">
        <f>1 - CUSTOS!$M$28</f>
        <v>1</v>
      </c>
      <c r="AA24" s="20"/>
      <c r="AB24" s="20"/>
    </row>
    <row r="25" spans="1:28" ht="11.25" customHeight="1" x14ac:dyDescent="0.3">
      <c r="A25" s="148"/>
      <c r="B25" s="148"/>
      <c r="C25" s="148"/>
      <c r="D25" s="148"/>
      <c r="E25" s="148"/>
      <c r="F25" s="148"/>
      <c r="G25" s="23" t="s">
        <v>81</v>
      </c>
      <c r="H25" s="23" t="s">
        <v>79</v>
      </c>
      <c r="I25" s="23">
        <f>'MERCADO TE'!$U$22</f>
        <v>0</v>
      </c>
      <c r="J25" s="15"/>
      <c r="L25" s="20">
        <f>1 - CUSTOS!$M$28</f>
        <v>1</v>
      </c>
      <c r="M25" s="20">
        <f>1 - CUSTOS!$M$28</f>
        <v>1</v>
      </c>
      <c r="N25" s="20">
        <f>1 - CUSTOS!$M$28</f>
        <v>1</v>
      </c>
      <c r="O25" s="20">
        <f>1 - CUSTOS!$M$28</f>
        <v>1</v>
      </c>
      <c r="P25" s="20">
        <f>1 - CUSTOS!$M$28</f>
        <v>1</v>
      </c>
      <c r="Q25" s="20"/>
      <c r="R25" s="20">
        <f>(1 - CUSTOS!$M$28)*1</f>
        <v>1</v>
      </c>
      <c r="S25" s="20"/>
      <c r="T25" s="20">
        <f>1 - CUSTOS!$M$28</f>
        <v>1</v>
      </c>
      <c r="U25" s="20">
        <f>1 - CUSTOS!$M$28</f>
        <v>1</v>
      </c>
      <c r="V25" s="20">
        <f>1 - CUSTOS!$M$28</f>
        <v>1</v>
      </c>
      <c r="W25" s="20"/>
      <c r="X25" s="20"/>
      <c r="Y25" s="20"/>
      <c r="Z25" s="20">
        <f>1 - CUSTOS!$M$28</f>
        <v>1</v>
      </c>
      <c r="AA25" s="20"/>
      <c r="AB25" s="20"/>
    </row>
    <row r="26" spans="1:28" ht="11.25" customHeight="1" x14ac:dyDescent="0.3">
      <c r="A26" s="148"/>
      <c r="B26" s="22" t="s">
        <v>82</v>
      </c>
      <c r="C26" s="22" t="s">
        <v>44</v>
      </c>
      <c r="D26" s="22" t="s">
        <v>25</v>
      </c>
      <c r="E26" s="22" t="s">
        <v>25</v>
      </c>
      <c r="F26" s="22" t="s">
        <v>25</v>
      </c>
      <c r="G26" s="23" t="s">
        <v>83</v>
      </c>
      <c r="H26" s="23" t="s">
        <v>79</v>
      </c>
      <c r="I26" s="23">
        <f>'MERCADO TE'!$U$23</f>
        <v>17613.978000000003</v>
      </c>
      <c r="J26" s="15"/>
      <c r="L26" s="20">
        <f>1 - CUSTOS!$M$28</f>
        <v>1</v>
      </c>
      <c r="M26" s="20">
        <f>1 - CUSTOS!$M$28</f>
        <v>1</v>
      </c>
      <c r="N26" s="20">
        <f>1 - CUSTOS!$M$28</f>
        <v>1</v>
      </c>
      <c r="O26" s="20">
        <f>1 - CUSTOS!$M$28</f>
        <v>1</v>
      </c>
      <c r="P26" s="20">
        <f>1 - CUSTOS!$M$28</f>
        <v>1</v>
      </c>
      <c r="Q26" s="20"/>
      <c r="R26" s="20">
        <f>(1 - CUSTOS!$M$28)*1.06</f>
        <v>1.06</v>
      </c>
      <c r="S26" s="20"/>
      <c r="T26" s="20">
        <f>1 - CUSTOS!$M$28</f>
        <v>1</v>
      </c>
      <c r="U26" s="20">
        <f>1 - CUSTOS!$M$28</f>
        <v>1</v>
      </c>
      <c r="V26" s="20">
        <f>1 - CUSTOS!$M$28</f>
        <v>1</v>
      </c>
      <c r="W26" s="20"/>
      <c r="X26" s="20"/>
      <c r="Y26" s="20"/>
      <c r="Z26" s="20">
        <f>1 - CUSTOS!$M$28</f>
        <v>1</v>
      </c>
      <c r="AA26" s="20"/>
      <c r="AB26" s="20"/>
    </row>
    <row r="27" spans="1:28" ht="11.25" customHeight="1" x14ac:dyDescent="0.3">
      <c r="A27" s="148"/>
      <c r="B27" s="148" t="s">
        <v>78</v>
      </c>
      <c r="C27" s="148" t="s">
        <v>44</v>
      </c>
      <c r="D27" s="148" t="s">
        <v>94</v>
      </c>
      <c r="E27" s="148" t="s">
        <v>25</v>
      </c>
      <c r="F27" s="148" t="s">
        <v>25</v>
      </c>
      <c r="G27" s="23" t="s">
        <v>80</v>
      </c>
      <c r="H27" s="23" t="s">
        <v>79</v>
      </c>
      <c r="I27" s="23">
        <f>'MERCADO TE'!$U$24</f>
        <v>0</v>
      </c>
      <c r="J27" s="15"/>
      <c r="L27" s="20">
        <f>1 - CUSTOS!$M$29</f>
        <v>1</v>
      </c>
      <c r="M27" s="20">
        <f>1 - CUSTOS!$M$29</f>
        <v>1</v>
      </c>
      <c r="N27" s="20">
        <f>1 - CUSTOS!$M$29</f>
        <v>1</v>
      </c>
      <c r="O27" s="20">
        <f>1 - CUSTOS!$M$29</f>
        <v>1</v>
      </c>
      <c r="P27" s="20">
        <f>1 - CUSTOS!$M$29</f>
        <v>1</v>
      </c>
      <c r="Q27" s="20"/>
      <c r="R27" s="20">
        <f>(1 - CUSTOS!$M$29)*1.72</f>
        <v>1.72</v>
      </c>
      <c r="S27" s="20"/>
      <c r="T27" s="20">
        <f>1 - CUSTOS!$M$29</f>
        <v>1</v>
      </c>
      <c r="U27" s="20">
        <f>1 - CUSTOS!$M$29</f>
        <v>1</v>
      </c>
      <c r="V27" s="20">
        <f>1 - CUSTOS!$M$29</f>
        <v>1</v>
      </c>
      <c r="W27" s="20"/>
      <c r="X27" s="20"/>
      <c r="Y27" s="20"/>
      <c r="Z27" s="20">
        <f>1 - CUSTOS!$M$29</f>
        <v>1</v>
      </c>
      <c r="AA27" s="20"/>
      <c r="AB27" s="20"/>
    </row>
    <row r="28" spans="1:28" ht="11.25" customHeight="1" x14ac:dyDescent="0.3">
      <c r="A28" s="148"/>
      <c r="B28" s="148"/>
      <c r="C28" s="148"/>
      <c r="D28" s="148"/>
      <c r="E28" s="148"/>
      <c r="F28" s="148"/>
      <c r="G28" s="23" t="s">
        <v>91</v>
      </c>
      <c r="H28" s="23" t="s">
        <v>79</v>
      </c>
      <c r="I28" s="23">
        <f>'MERCADO TE'!$U$25</f>
        <v>0</v>
      </c>
      <c r="J28" s="15"/>
      <c r="L28" s="20">
        <f>1 - CUSTOS!$M$29</f>
        <v>1</v>
      </c>
      <c r="M28" s="20">
        <f>1 - CUSTOS!$M$29</f>
        <v>1</v>
      </c>
      <c r="N28" s="20">
        <f>1 - CUSTOS!$M$29</f>
        <v>1</v>
      </c>
      <c r="O28" s="20">
        <f>1 - CUSTOS!$M$29</f>
        <v>1</v>
      </c>
      <c r="P28" s="20">
        <f>1 - CUSTOS!$M$29</f>
        <v>1</v>
      </c>
      <c r="Q28" s="20"/>
      <c r="R28" s="20">
        <f>(1 - CUSTOS!$M$29)*1</f>
        <v>1</v>
      </c>
      <c r="S28" s="20"/>
      <c r="T28" s="20">
        <f>1 - CUSTOS!$M$29</f>
        <v>1</v>
      </c>
      <c r="U28" s="20">
        <f>1 - CUSTOS!$M$29</f>
        <v>1</v>
      </c>
      <c r="V28" s="20">
        <f>1 - CUSTOS!$M$29</f>
        <v>1</v>
      </c>
      <c r="W28" s="20"/>
      <c r="X28" s="20"/>
      <c r="Y28" s="20"/>
      <c r="Z28" s="20">
        <f>1 - CUSTOS!$M$29</f>
        <v>1</v>
      </c>
      <c r="AA28" s="20"/>
      <c r="AB28" s="20"/>
    </row>
    <row r="29" spans="1:28" ht="11.25" customHeight="1" x14ac:dyDescent="0.3">
      <c r="A29" s="148"/>
      <c r="B29" s="148"/>
      <c r="C29" s="148"/>
      <c r="D29" s="148"/>
      <c r="E29" s="148"/>
      <c r="F29" s="148"/>
      <c r="G29" s="23" t="s">
        <v>81</v>
      </c>
      <c r="H29" s="23" t="s">
        <v>79</v>
      </c>
      <c r="I29" s="23">
        <f>'MERCADO TE'!$U$26</f>
        <v>0</v>
      </c>
      <c r="J29" s="15"/>
      <c r="L29" s="20">
        <f>1 - CUSTOS!$M$29</f>
        <v>1</v>
      </c>
      <c r="M29" s="20">
        <f>1 - CUSTOS!$M$29</f>
        <v>1</v>
      </c>
      <c r="N29" s="20">
        <f>1 - CUSTOS!$M$29</f>
        <v>1</v>
      </c>
      <c r="O29" s="20">
        <f>1 - CUSTOS!$M$29</f>
        <v>1</v>
      </c>
      <c r="P29" s="20">
        <f>1 - CUSTOS!$M$29</f>
        <v>1</v>
      </c>
      <c r="Q29" s="20"/>
      <c r="R29" s="20">
        <f>(1 - CUSTOS!$M$29)*1</f>
        <v>1</v>
      </c>
      <c r="S29" s="20"/>
      <c r="T29" s="20">
        <f>1 - CUSTOS!$M$29</f>
        <v>1</v>
      </c>
      <c r="U29" s="20">
        <f>1 - CUSTOS!$M$29</f>
        <v>1</v>
      </c>
      <c r="V29" s="20">
        <f>1 - CUSTOS!$M$29</f>
        <v>1</v>
      </c>
      <c r="W29" s="20"/>
      <c r="X29" s="20"/>
      <c r="Y29" s="20"/>
      <c r="Z29" s="20">
        <f>1 - CUSTOS!$M$29</f>
        <v>1</v>
      </c>
      <c r="AA29" s="20"/>
      <c r="AB29" s="20"/>
    </row>
    <row r="30" spans="1:28" ht="11.25" customHeight="1" x14ac:dyDescent="0.3">
      <c r="A30" s="148"/>
      <c r="B30" s="22" t="s">
        <v>82</v>
      </c>
      <c r="C30" s="22" t="s">
        <v>44</v>
      </c>
      <c r="D30" s="22" t="s">
        <v>94</v>
      </c>
      <c r="E30" s="22" t="s">
        <v>25</v>
      </c>
      <c r="F30" s="22" t="s">
        <v>25</v>
      </c>
      <c r="G30" s="23" t="s">
        <v>83</v>
      </c>
      <c r="H30" s="23" t="s">
        <v>79</v>
      </c>
      <c r="I30" s="23">
        <f>'MERCADO TE'!$U$27</f>
        <v>0</v>
      </c>
      <c r="J30" s="15"/>
      <c r="L30" s="20">
        <f>1 - CUSTOS!$M$29</f>
        <v>1</v>
      </c>
      <c r="M30" s="20">
        <f>1 - CUSTOS!$M$29</f>
        <v>1</v>
      </c>
      <c r="N30" s="20">
        <f>1 - CUSTOS!$M$29</f>
        <v>1</v>
      </c>
      <c r="O30" s="20">
        <f>1 - CUSTOS!$M$29</f>
        <v>1</v>
      </c>
      <c r="P30" s="20">
        <f>1 - CUSTOS!$M$29</f>
        <v>1</v>
      </c>
      <c r="Q30" s="20"/>
      <c r="R30" s="20">
        <f>(1 - CUSTOS!$M$29)*1.06</f>
        <v>1.06</v>
      </c>
      <c r="S30" s="20"/>
      <c r="T30" s="20">
        <f>1 - CUSTOS!$M$29</f>
        <v>1</v>
      </c>
      <c r="U30" s="20">
        <f>1 - CUSTOS!$M$29</f>
        <v>1</v>
      </c>
      <c r="V30" s="20">
        <f>1 - CUSTOS!$M$29</f>
        <v>1</v>
      </c>
      <c r="W30" s="20"/>
      <c r="X30" s="20"/>
      <c r="Y30" s="20"/>
      <c r="Z30" s="20">
        <f>1 - CUSTOS!$M$29</f>
        <v>1</v>
      </c>
      <c r="AA30" s="20"/>
      <c r="AB30" s="20"/>
    </row>
    <row r="31" spans="1:28" ht="11.25" customHeight="1" x14ac:dyDescent="0.3">
      <c r="A31" s="148"/>
      <c r="B31" s="148" t="s">
        <v>78</v>
      </c>
      <c r="C31" s="148" t="s">
        <v>44</v>
      </c>
      <c r="D31" s="148" t="s">
        <v>95</v>
      </c>
      <c r="E31" s="148" t="s">
        <v>25</v>
      </c>
      <c r="F31" s="148" t="s">
        <v>25</v>
      </c>
      <c r="G31" s="23" t="s">
        <v>80</v>
      </c>
      <c r="H31" s="23" t="s">
        <v>79</v>
      </c>
      <c r="I31" s="23">
        <f>'MERCADO TE'!$U$28</f>
        <v>0</v>
      </c>
      <c r="J31" s="15"/>
      <c r="L31" s="20">
        <f>1 - CUSTOS!$M$30</f>
        <v>1</v>
      </c>
      <c r="M31" s="20">
        <f>1 - CUSTOS!$M$30</f>
        <v>1</v>
      </c>
      <c r="N31" s="20">
        <f>1 - CUSTOS!$M$30</f>
        <v>1</v>
      </c>
      <c r="O31" s="20">
        <f>1 - CUSTOS!$M$30</f>
        <v>1</v>
      </c>
      <c r="P31" s="20">
        <f>1 - CUSTOS!$M$30</f>
        <v>1</v>
      </c>
      <c r="Q31" s="20"/>
      <c r="R31" s="20">
        <f>(1 - CUSTOS!$M$30)*1.72</f>
        <v>1.72</v>
      </c>
      <c r="S31" s="20"/>
      <c r="T31" s="20">
        <f>1 - CUSTOS!$M$30</f>
        <v>1</v>
      </c>
      <c r="U31" s="20">
        <f>1 - CUSTOS!$M$30</f>
        <v>1</v>
      </c>
      <c r="V31" s="20">
        <f>1 - CUSTOS!$M$30</f>
        <v>1</v>
      </c>
      <c r="W31" s="20"/>
      <c r="X31" s="20"/>
      <c r="Y31" s="20"/>
      <c r="Z31" s="20">
        <f>1 - CUSTOS!$M$30</f>
        <v>1</v>
      </c>
      <c r="AA31" s="20"/>
      <c r="AB31" s="20"/>
    </row>
    <row r="32" spans="1:28" ht="11.25" customHeight="1" x14ac:dyDescent="0.3">
      <c r="A32" s="148"/>
      <c r="B32" s="148"/>
      <c r="C32" s="148"/>
      <c r="D32" s="148"/>
      <c r="E32" s="148"/>
      <c r="F32" s="148"/>
      <c r="G32" s="23" t="s">
        <v>91</v>
      </c>
      <c r="H32" s="23" t="s">
        <v>79</v>
      </c>
      <c r="I32" s="23">
        <f>'MERCADO TE'!$U$29</f>
        <v>0</v>
      </c>
      <c r="J32" s="15"/>
      <c r="L32" s="20">
        <f>1 - CUSTOS!$M$30</f>
        <v>1</v>
      </c>
      <c r="M32" s="20">
        <f>1 - CUSTOS!$M$30</f>
        <v>1</v>
      </c>
      <c r="N32" s="20">
        <f>1 - CUSTOS!$M$30</f>
        <v>1</v>
      </c>
      <c r="O32" s="20">
        <f>1 - CUSTOS!$M$30</f>
        <v>1</v>
      </c>
      <c r="P32" s="20">
        <f>1 - CUSTOS!$M$30</f>
        <v>1</v>
      </c>
      <c r="Q32" s="20"/>
      <c r="R32" s="20">
        <f>(1 - CUSTOS!$M$30)*1</f>
        <v>1</v>
      </c>
      <c r="S32" s="20"/>
      <c r="T32" s="20">
        <f>1 - CUSTOS!$M$30</f>
        <v>1</v>
      </c>
      <c r="U32" s="20">
        <f>1 - CUSTOS!$M$30</f>
        <v>1</v>
      </c>
      <c r="V32" s="20">
        <f>1 - CUSTOS!$M$30</f>
        <v>1</v>
      </c>
      <c r="W32" s="20"/>
      <c r="X32" s="20"/>
      <c r="Y32" s="20"/>
      <c r="Z32" s="20">
        <f>1 - CUSTOS!$M$30</f>
        <v>1</v>
      </c>
      <c r="AA32" s="20"/>
      <c r="AB32" s="20"/>
    </row>
    <row r="33" spans="1:28" ht="11.25" customHeight="1" x14ac:dyDescent="0.3">
      <c r="A33" s="148"/>
      <c r="B33" s="148"/>
      <c r="C33" s="148"/>
      <c r="D33" s="148"/>
      <c r="E33" s="148"/>
      <c r="F33" s="148"/>
      <c r="G33" s="23" t="s">
        <v>81</v>
      </c>
      <c r="H33" s="23" t="s">
        <v>79</v>
      </c>
      <c r="I33" s="23">
        <f>'MERCADO TE'!$U$30</f>
        <v>0</v>
      </c>
      <c r="J33" s="15"/>
      <c r="L33" s="20">
        <f>1 - CUSTOS!$M$30</f>
        <v>1</v>
      </c>
      <c r="M33" s="20">
        <f>1 - CUSTOS!$M$30</f>
        <v>1</v>
      </c>
      <c r="N33" s="20">
        <f>1 - CUSTOS!$M$30</f>
        <v>1</v>
      </c>
      <c r="O33" s="20">
        <f>1 - CUSTOS!$M$30</f>
        <v>1</v>
      </c>
      <c r="P33" s="20">
        <f>1 - CUSTOS!$M$30</f>
        <v>1</v>
      </c>
      <c r="Q33" s="20"/>
      <c r="R33" s="20">
        <f>(1 - CUSTOS!$M$30)*1</f>
        <v>1</v>
      </c>
      <c r="S33" s="20"/>
      <c r="T33" s="20">
        <f>1 - CUSTOS!$M$30</f>
        <v>1</v>
      </c>
      <c r="U33" s="20">
        <f>1 - CUSTOS!$M$30</f>
        <v>1</v>
      </c>
      <c r="V33" s="20">
        <f>1 - CUSTOS!$M$30</f>
        <v>1</v>
      </c>
      <c r="W33" s="20"/>
      <c r="X33" s="20"/>
      <c r="Y33" s="20"/>
      <c r="Z33" s="20">
        <f>1 - CUSTOS!$M$30</f>
        <v>1</v>
      </c>
      <c r="AA33" s="20"/>
      <c r="AB33" s="20"/>
    </row>
    <row r="34" spans="1:28" ht="11.25" customHeight="1" x14ac:dyDescent="0.3">
      <c r="A34" s="148"/>
      <c r="B34" s="22" t="s">
        <v>82</v>
      </c>
      <c r="C34" s="22" t="s">
        <v>44</v>
      </c>
      <c r="D34" s="22" t="s">
        <v>95</v>
      </c>
      <c r="E34" s="22" t="s">
        <v>25</v>
      </c>
      <c r="F34" s="22" t="s">
        <v>25</v>
      </c>
      <c r="G34" s="23" t="s">
        <v>83</v>
      </c>
      <c r="H34" s="23" t="s">
        <v>79</v>
      </c>
      <c r="I34" s="23">
        <f>'MERCADO TE'!$U$31</f>
        <v>0</v>
      </c>
      <c r="J34" s="15"/>
      <c r="L34" s="20">
        <f>1 - CUSTOS!$M$30</f>
        <v>1</v>
      </c>
      <c r="M34" s="20">
        <f>1 - CUSTOS!$M$30</f>
        <v>1</v>
      </c>
      <c r="N34" s="20">
        <f>1 - CUSTOS!$M$30</f>
        <v>1</v>
      </c>
      <c r="O34" s="20">
        <f>1 - CUSTOS!$M$30</f>
        <v>1</v>
      </c>
      <c r="P34" s="20">
        <f>1 - CUSTOS!$M$30</f>
        <v>1</v>
      </c>
      <c r="Q34" s="20"/>
      <c r="R34" s="20">
        <f>(1 - CUSTOS!$M$30)*1.06</f>
        <v>1.06</v>
      </c>
      <c r="S34" s="20"/>
      <c r="T34" s="20">
        <f>1 - CUSTOS!$M$30</f>
        <v>1</v>
      </c>
      <c r="U34" s="20">
        <f>1 - CUSTOS!$M$30</f>
        <v>1</v>
      </c>
      <c r="V34" s="20">
        <f>1 - CUSTOS!$M$30</f>
        <v>1</v>
      </c>
      <c r="W34" s="20"/>
      <c r="X34" s="20"/>
      <c r="Y34" s="20"/>
      <c r="Z34" s="20">
        <f>1 - CUSTOS!$M$30</f>
        <v>1</v>
      </c>
      <c r="AA34" s="20"/>
      <c r="AB34" s="20"/>
    </row>
    <row r="35" spans="1:28" ht="11.25" customHeight="1" x14ac:dyDescent="0.3">
      <c r="A35" s="148"/>
      <c r="B35" s="148" t="s">
        <v>92</v>
      </c>
      <c r="C35" s="148" t="s">
        <v>44</v>
      </c>
      <c r="D35" s="22" t="s">
        <v>25</v>
      </c>
      <c r="E35" s="22" t="s">
        <v>25</v>
      </c>
      <c r="F35" s="22" t="s">
        <v>25</v>
      </c>
      <c r="G35" s="23" t="s">
        <v>83</v>
      </c>
      <c r="H35" s="23" t="s">
        <v>79</v>
      </c>
      <c r="I35" s="23">
        <f>'MERCADO TE'!$U$32</f>
        <v>0</v>
      </c>
      <c r="J35" s="15"/>
      <c r="L35" s="20">
        <f>1 - CUSTOS!$M$28</f>
        <v>1</v>
      </c>
      <c r="M35" s="20">
        <f>1 - CUSTOS!$M$28</f>
        <v>1</v>
      </c>
      <c r="N35" s="20">
        <f>1 - CUSTOS!$M$28</f>
        <v>1</v>
      </c>
      <c r="O35" s="20">
        <f>1 - CUSTOS!$M$28</f>
        <v>1</v>
      </c>
      <c r="P35" s="20">
        <f>1 - CUSTOS!$M$28</f>
        <v>1</v>
      </c>
      <c r="Q35" s="20"/>
      <c r="R35" s="20">
        <f>(1 - CUSTOS!$M$28)*1.06</f>
        <v>1.06</v>
      </c>
      <c r="S35" s="20"/>
      <c r="T35" s="20">
        <f>1 - CUSTOS!$M$28</f>
        <v>1</v>
      </c>
      <c r="U35" s="20">
        <f>1 - CUSTOS!$M$28</f>
        <v>1</v>
      </c>
      <c r="V35" s="20">
        <f>1 - CUSTOS!$M$28</f>
        <v>1</v>
      </c>
      <c r="W35" s="20"/>
      <c r="X35" s="20"/>
      <c r="Y35" s="20"/>
      <c r="Z35" s="20">
        <f>1 - CUSTOS!$M$28</f>
        <v>1</v>
      </c>
      <c r="AA35" s="20"/>
      <c r="AB35" s="20"/>
    </row>
    <row r="36" spans="1:28" ht="11.25" customHeight="1" x14ac:dyDescent="0.3">
      <c r="A36" s="148"/>
      <c r="B36" s="148"/>
      <c r="C36" s="148"/>
      <c r="D36" s="22" t="s">
        <v>94</v>
      </c>
      <c r="E36" s="22" t="s">
        <v>25</v>
      </c>
      <c r="F36" s="22" t="s">
        <v>25</v>
      </c>
      <c r="G36" s="23" t="s">
        <v>83</v>
      </c>
      <c r="H36" s="23" t="s">
        <v>79</v>
      </c>
      <c r="I36" s="23">
        <f>'MERCADO TE'!$U$33</f>
        <v>0</v>
      </c>
      <c r="J36" s="15"/>
      <c r="L36" s="20">
        <f>1 - CUSTOS!$M$29</f>
        <v>1</v>
      </c>
      <c r="M36" s="20">
        <f>1 - CUSTOS!$M$29</f>
        <v>1</v>
      </c>
      <c r="N36" s="20">
        <f>1 - CUSTOS!$M$29</f>
        <v>1</v>
      </c>
      <c r="O36" s="20">
        <f>1 - CUSTOS!$M$29</f>
        <v>1</v>
      </c>
      <c r="P36" s="20">
        <f>1 - CUSTOS!$M$29</f>
        <v>1</v>
      </c>
      <c r="Q36" s="20"/>
      <c r="R36" s="20">
        <f>(1 - CUSTOS!$M$29)*1.06</f>
        <v>1.06</v>
      </c>
      <c r="S36" s="20"/>
      <c r="T36" s="20">
        <f>1 - CUSTOS!$M$29</f>
        <v>1</v>
      </c>
      <c r="U36" s="20">
        <f>1 - CUSTOS!$M$29</f>
        <v>1</v>
      </c>
      <c r="V36" s="20">
        <f>1 - CUSTOS!$M$29</f>
        <v>1</v>
      </c>
      <c r="W36" s="20"/>
      <c r="X36" s="20"/>
      <c r="Y36" s="20"/>
      <c r="Z36" s="20">
        <f>1 - CUSTOS!$M$29</f>
        <v>1</v>
      </c>
      <c r="AA36" s="20"/>
      <c r="AB36" s="20"/>
    </row>
    <row r="37" spans="1:28" ht="11.25" customHeight="1" x14ac:dyDescent="0.3">
      <c r="A37" s="148"/>
      <c r="B37" s="148"/>
      <c r="C37" s="148"/>
      <c r="D37" s="22" t="s">
        <v>95</v>
      </c>
      <c r="E37" s="22" t="s">
        <v>25</v>
      </c>
      <c r="F37" s="22" t="s">
        <v>25</v>
      </c>
      <c r="G37" s="23" t="s">
        <v>83</v>
      </c>
      <c r="H37" s="23" t="s">
        <v>79</v>
      </c>
      <c r="I37" s="23">
        <f>'MERCADO TE'!$U$34</f>
        <v>0</v>
      </c>
      <c r="J37" s="15"/>
      <c r="L37" s="20">
        <f>1 - CUSTOS!$M$30</f>
        <v>1</v>
      </c>
      <c r="M37" s="20">
        <f>1 - CUSTOS!$M$30</f>
        <v>1</v>
      </c>
      <c r="N37" s="20">
        <f>1 - CUSTOS!$M$30</f>
        <v>1</v>
      </c>
      <c r="O37" s="20">
        <f>1 - CUSTOS!$M$30</f>
        <v>1</v>
      </c>
      <c r="P37" s="20">
        <f>1 - CUSTOS!$M$30</f>
        <v>1</v>
      </c>
      <c r="Q37" s="20"/>
      <c r="R37" s="20">
        <f>(1 - CUSTOS!$M$30)*1.06</f>
        <v>1.06</v>
      </c>
      <c r="S37" s="20"/>
      <c r="T37" s="20">
        <f>1 - CUSTOS!$M$30</f>
        <v>1</v>
      </c>
      <c r="U37" s="20">
        <f>1 - CUSTOS!$M$30</f>
        <v>1</v>
      </c>
      <c r="V37" s="20">
        <f>1 - CUSTOS!$M$30</f>
        <v>1</v>
      </c>
      <c r="W37" s="20"/>
      <c r="X37" s="20"/>
      <c r="Y37" s="20"/>
      <c r="Z37" s="20">
        <f>1 - CUSTOS!$M$30</f>
        <v>1</v>
      </c>
      <c r="AA37" s="20"/>
      <c r="AB37" s="20"/>
    </row>
    <row r="38" spans="1:28" ht="11.25" customHeight="1" x14ac:dyDescent="0.3">
      <c r="A38" s="148" t="s">
        <v>37</v>
      </c>
      <c r="B38" s="148" t="s">
        <v>78</v>
      </c>
      <c r="C38" s="148" t="s">
        <v>25</v>
      </c>
      <c r="D38" s="148" t="s">
        <v>25</v>
      </c>
      <c r="E38" s="148" t="s">
        <v>25</v>
      </c>
      <c r="F38" s="148" t="s">
        <v>25</v>
      </c>
      <c r="G38" s="23" t="s">
        <v>80</v>
      </c>
      <c r="H38" s="23" t="s">
        <v>79</v>
      </c>
      <c r="I38" s="23">
        <f>'MERCADO TE'!$U$35</f>
        <v>10.468</v>
      </c>
      <c r="J38" s="15"/>
      <c r="L38" s="20">
        <f>1 - CUSTOS!$M$31</f>
        <v>1</v>
      </c>
      <c r="M38" s="20">
        <f>1 - CUSTOS!$M$31</f>
        <v>1</v>
      </c>
      <c r="N38" s="20">
        <f>1 - CUSTOS!$M$31</f>
        <v>1</v>
      </c>
      <c r="O38" s="20">
        <f>1 - CUSTOS!$M$31</f>
        <v>1</v>
      </c>
      <c r="P38" s="20">
        <f>1 - CUSTOS!$M$31</f>
        <v>1</v>
      </c>
      <c r="Q38" s="20"/>
      <c r="R38" s="20">
        <f>(1 - CUSTOS!$M$31)*1.72</f>
        <v>1.72</v>
      </c>
      <c r="S38" s="20"/>
      <c r="T38" s="20">
        <f>1 - CUSTOS!$M$31</f>
        <v>1</v>
      </c>
      <c r="U38" s="20">
        <f>1 - CUSTOS!$M$31</f>
        <v>1</v>
      </c>
      <c r="V38" s="20">
        <f>1 - CUSTOS!$M$31</f>
        <v>1</v>
      </c>
      <c r="W38" s="20"/>
      <c r="X38" s="20"/>
      <c r="Y38" s="20"/>
      <c r="Z38" s="20">
        <f>1 - CUSTOS!$M$31</f>
        <v>1</v>
      </c>
      <c r="AA38" s="20"/>
      <c r="AB38" s="20"/>
    </row>
    <row r="39" spans="1:28" ht="11.25" customHeight="1" x14ac:dyDescent="0.3">
      <c r="A39" s="148"/>
      <c r="B39" s="148"/>
      <c r="C39" s="148"/>
      <c r="D39" s="148"/>
      <c r="E39" s="148"/>
      <c r="F39" s="148"/>
      <c r="G39" s="23" t="s">
        <v>91</v>
      </c>
      <c r="H39" s="23" t="s">
        <v>79</v>
      </c>
      <c r="I39" s="23">
        <f>'MERCADO TE'!$U$36</f>
        <v>9.6909999999999989</v>
      </c>
      <c r="J39" s="15"/>
      <c r="L39" s="20">
        <f>1 - CUSTOS!$M$31</f>
        <v>1</v>
      </c>
      <c r="M39" s="20">
        <f>1 - CUSTOS!$M$31</f>
        <v>1</v>
      </c>
      <c r="N39" s="20">
        <f>1 - CUSTOS!$M$31</f>
        <v>1</v>
      </c>
      <c r="O39" s="20">
        <f>1 - CUSTOS!$M$31</f>
        <v>1</v>
      </c>
      <c r="P39" s="20">
        <f>1 - CUSTOS!$M$31</f>
        <v>1</v>
      </c>
      <c r="Q39" s="20"/>
      <c r="R39" s="20">
        <f>(1 - CUSTOS!$M$31)*1</f>
        <v>1</v>
      </c>
      <c r="S39" s="20"/>
      <c r="T39" s="20">
        <f>1 - CUSTOS!$M$31</f>
        <v>1</v>
      </c>
      <c r="U39" s="20">
        <f>1 - CUSTOS!$M$31</f>
        <v>1</v>
      </c>
      <c r="V39" s="20">
        <f>1 - CUSTOS!$M$31</f>
        <v>1</v>
      </c>
      <c r="W39" s="20"/>
      <c r="X39" s="20"/>
      <c r="Y39" s="20"/>
      <c r="Z39" s="20">
        <f>1 - CUSTOS!$M$31</f>
        <v>1</v>
      </c>
      <c r="AA39" s="20"/>
      <c r="AB39" s="20"/>
    </row>
    <row r="40" spans="1:28" ht="11.25" customHeight="1" x14ac:dyDescent="0.3">
      <c r="A40" s="148"/>
      <c r="B40" s="148"/>
      <c r="C40" s="148"/>
      <c r="D40" s="148"/>
      <c r="E40" s="148"/>
      <c r="F40" s="148"/>
      <c r="G40" s="23" t="s">
        <v>81</v>
      </c>
      <c r="H40" s="23" t="s">
        <v>79</v>
      </c>
      <c r="I40" s="23">
        <f>'MERCADO TE'!$U$37</f>
        <v>150.328</v>
      </c>
      <c r="J40" s="15"/>
      <c r="L40" s="20">
        <f>1 - CUSTOS!$M$31</f>
        <v>1</v>
      </c>
      <c r="M40" s="20">
        <f>1 - CUSTOS!$M$31</f>
        <v>1</v>
      </c>
      <c r="N40" s="20">
        <f>1 - CUSTOS!$M$31</f>
        <v>1</v>
      </c>
      <c r="O40" s="20">
        <f>1 - CUSTOS!$M$31</f>
        <v>1</v>
      </c>
      <c r="P40" s="20">
        <f>1 - CUSTOS!$M$31</f>
        <v>1</v>
      </c>
      <c r="Q40" s="20"/>
      <c r="R40" s="20">
        <f>(1 - CUSTOS!$M$31)*1</f>
        <v>1</v>
      </c>
      <c r="S40" s="20"/>
      <c r="T40" s="20">
        <f>1 - CUSTOS!$M$31</f>
        <v>1</v>
      </c>
      <c r="U40" s="20">
        <f>1 - CUSTOS!$M$31</f>
        <v>1</v>
      </c>
      <c r="V40" s="20">
        <f>1 - CUSTOS!$M$31</f>
        <v>1</v>
      </c>
      <c r="W40" s="20"/>
      <c r="X40" s="20"/>
      <c r="Y40" s="20"/>
      <c r="Z40" s="20">
        <f>1 - CUSTOS!$M$31</f>
        <v>1</v>
      </c>
      <c r="AA40" s="20"/>
      <c r="AB40" s="20"/>
    </row>
    <row r="41" spans="1:28" ht="11.25" customHeight="1" x14ac:dyDescent="0.3">
      <c r="A41" s="148"/>
      <c r="B41" s="22" t="s">
        <v>82</v>
      </c>
      <c r="C41" s="22" t="s">
        <v>25</v>
      </c>
      <c r="D41" s="22" t="s">
        <v>25</v>
      </c>
      <c r="E41" s="22" t="s">
        <v>25</v>
      </c>
      <c r="F41" s="22" t="s">
        <v>25</v>
      </c>
      <c r="G41" s="23" t="s">
        <v>83</v>
      </c>
      <c r="H41" s="23" t="s">
        <v>79</v>
      </c>
      <c r="I41" s="23">
        <f>'MERCADO TE'!$U$38</f>
        <v>24187.291000000001</v>
      </c>
      <c r="J41" s="15"/>
      <c r="L41" s="20">
        <f>1 - CUSTOS!$M$31</f>
        <v>1</v>
      </c>
      <c r="M41" s="20">
        <f>1 - CUSTOS!$M$31</f>
        <v>1</v>
      </c>
      <c r="N41" s="20">
        <f>1 - CUSTOS!$M$31</f>
        <v>1</v>
      </c>
      <c r="O41" s="20">
        <f>1 - CUSTOS!$M$31</f>
        <v>1</v>
      </c>
      <c r="P41" s="20">
        <f>1 - CUSTOS!$M$31</f>
        <v>1</v>
      </c>
      <c r="Q41" s="20"/>
      <c r="R41" s="20">
        <f>(1 - CUSTOS!$M$31)*1.06</f>
        <v>1.06</v>
      </c>
      <c r="S41" s="20"/>
      <c r="T41" s="20">
        <f>1 - CUSTOS!$M$31</f>
        <v>1</v>
      </c>
      <c r="U41" s="20">
        <f>1 - CUSTOS!$M$31</f>
        <v>1</v>
      </c>
      <c r="V41" s="20">
        <f>1 - CUSTOS!$M$31</f>
        <v>1</v>
      </c>
      <c r="W41" s="20"/>
      <c r="X41" s="20"/>
      <c r="Y41" s="20"/>
      <c r="Z41" s="20">
        <f>1 - CUSTOS!$M$31</f>
        <v>1</v>
      </c>
      <c r="AA41" s="20"/>
      <c r="AB41" s="20"/>
    </row>
    <row r="42" spans="1:28" ht="11.25" customHeight="1" x14ac:dyDescent="0.3">
      <c r="A42" s="148"/>
      <c r="B42" s="22" t="s">
        <v>92</v>
      </c>
      <c r="C42" s="22" t="s">
        <v>25</v>
      </c>
      <c r="D42" s="22" t="s">
        <v>25</v>
      </c>
      <c r="E42" s="22" t="s">
        <v>25</v>
      </c>
      <c r="F42" s="22" t="s">
        <v>25</v>
      </c>
      <c r="G42" s="23" t="s">
        <v>83</v>
      </c>
      <c r="H42" s="23" t="s">
        <v>79</v>
      </c>
      <c r="I42" s="23">
        <f>'MERCADO TE'!$U$39</f>
        <v>0</v>
      </c>
      <c r="J42" s="15"/>
      <c r="L42" s="20">
        <f>1 - CUSTOS!$M$31</f>
        <v>1</v>
      </c>
      <c r="M42" s="20">
        <f>1 - CUSTOS!$M$31</f>
        <v>1</v>
      </c>
      <c r="N42" s="20">
        <f>1 - CUSTOS!$M$31</f>
        <v>1</v>
      </c>
      <c r="O42" s="20">
        <f>1 - CUSTOS!$M$31</f>
        <v>1</v>
      </c>
      <c r="P42" s="20">
        <f>1 - CUSTOS!$M$31</f>
        <v>1</v>
      </c>
      <c r="Q42" s="20"/>
      <c r="R42" s="20">
        <f>(1 - CUSTOS!$M$31)*1.06</f>
        <v>1.06</v>
      </c>
      <c r="S42" s="20"/>
      <c r="T42" s="20">
        <f>1 - CUSTOS!$M$31</f>
        <v>1</v>
      </c>
      <c r="U42" s="20">
        <f>1 - CUSTOS!$M$31</f>
        <v>1</v>
      </c>
      <c r="V42" s="20">
        <f>1 - CUSTOS!$M$31</f>
        <v>1</v>
      </c>
      <c r="W42" s="20"/>
      <c r="X42" s="20"/>
      <c r="Y42" s="20"/>
      <c r="Z42" s="20">
        <f>1 - CUSTOS!$M$31</f>
        <v>1</v>
      </c>
      <c r="AA42" s="20"/>
      <c r="AB42" s="20"/>
    </row>
    <row r="43" spans="1:28" ht="11.25" customHeight="1" x14ac:dyDescent="0.3">
      <c r="A43" s="148" t="s">
        <v>47</v>
      </c>
      <c r="B43" s="148" t="s">
        <v>82</v>
      </c>
      <c r="C43" s="148" t="s">
        <v>48</v>
      </c>
      <c r="D43" s="22" t="s">
        <v>49</v>
      </c>
      <c r="E43" s="22" t="s">
        <v>25</v>
      </c>
      <c r="F43" s="22" t="s">
        <v>25</v>
      </c>
      <c r="G43" s="23" t="s">
        <v>83</v>
      </c>
      <c r="H43" s="23" t="s">
        <v>79</v>
      </c>
      <c r="I43" s="23">
        <f>'MERCADO TE'!$U$40</f>
        <v>5104.487000000001</v>
      </c>
      <c r="J43" s="15"/>
      <c r="L43" s="20">
        <f>1 - CUSTOS!$M$32</f>
        <v>0.55000000000000004</v>
      </c>
      <c r="M43" s="20">
        <f>1 - CUSTOS!$M$32</f>
        <v>0.55000000000000004</v>
      </c>
      <c r="N43" s="20">
        <f>1 - CUSTOS!$M$32</f>
        <v>0.55000000000000004</v>
      </c>
      <c r="O43" s="20">
        <f>1 - CUSTOS!$M$32</f>
        <v>0.55000000000000004</v>
      </c>
      <c r="P43" s="20">
        <f>1 - CUSTOS!$M$32</f>
        <v>0.55000000000000004</v>
      </c>
      <c r="Q43" s="20"/>
      <c r="R43" s="20">
        <f>(1 - CUSTOS!$M$32)*1.06</f>
        <v>0.58300000000000007</v>
      </c>
      <c r="S43" s="20"/>
      <c r="T43" s="20">
        <f>1 - CUSTOS!$M$32</f>
        <v>0.55000000000000004</v>
      </c>
      <c r="U43" s="20">
        <f>1 - CUSTOS!$M$32</f>
        <v>0.55000000000000004</v>
      </c>
      <c r="V43" s="20">
        <f>1 - CUSTOS!$M$32</f>
        <v>0.55000000000000004</v>
      </c>
      <c r="W43" s="20"/>
      <c r="X43" s="20"/>
      <c r="Y43" s="20"/>
      <c r="Z43" s="20">
        <f>1 - CUSTOS!$M$32</f>
        <v>0.55000000000000004</v>
      </c>
      <c r="AA43" s="20"/>
      <c r="AB43" s="20"/>
    </row>
    <row r="44" spans="1:28" ht="11.25" customHeight="1" x14ac:dyDescent="0.3">
      <c r="A44" s="148"/>
      <c r="B44" s="148"/>
      <c r="C44" s="148"/>
      <c r="D44" s="23" t="s">
        <v>96</v>
      </c>
      <c r="E44" s="23" t="s">
        <v>25</v>
      </c>
      <c r="F44" s="23" t="s">
        <v>25</v>
      </c>
      <c r="G44" s="23" t="s">
        <v>83</v>
      </c>
      <c r="H44" s="23" t="s">
        <v>79</v>
      </c>
      <c r="I44" s="23">
        <f>'MERCADO TE'!$U$41</f>
        <v>0</v>
      </c>
      <c r="J44" s="15"/>
      <c r="L44" s="20">
        <f>1 - CUSTOS!$M$33</f>
        <v>0.6</v>
      </c>
      <c r="M44" s="20">
        <f>1 - CUSTOS!$M$33</f>
        <v>0.6</v>
      </c>
      <c r="N44" s="20">
        <f>1 - CUSTOS!$M$33</f>
        <v>0.6</v>
      </c>
      <c r="O44" s="20">
        <f>1 - CUSTOS!$M$33</f>
        <v>0.6</v>
      </c>
      <c r="P44" s="20">
        <f>1 - CUSTOS!$M$33</f>
        <v>0.6</v>
      </c>
      <c r="Q44" s="20"/>
      <c r="R44" s="20">
        <f>(1 - CUSTOS!$M$33)*1.06</f>
        <v>0.63600000000000001</v>
      </c>
      <c r="S44" s="20"/>
      <c r="T44" s="20">
        <f>1 - CUSTOS!$M$33</f>
        <v>0.6</v>
      </c>
      <c r="U44" s="20">
        <f>1 - CUSTOS!$M$33</f>
        <v>0.6</v>
      </c>
      <c r="V44" s="20">
        <f>1 - CUSTOS!$M$33</f>
        <v>0.6</v>
      </c>
      <c r="W44" s="20"/>
      <c r="X44" s="20"/>
      <c r="Y44" s="20"/>
      <c r="Z44" s="20">
        <f>1 - CUSTOS!$M$33</f>
        <v>0.6</v>
      </c>
      <c r="AA44" s="20"/>
      <c r="AB44" s="20"/>
    </row>
    <row r="46" spans="1:28" ht="11.25" customHeight="1" x14ac:dyDescent="0.3">
      <c r="K46" s="25" t="s">
        <v>738</v>
      </c>
      <c r="L46" s="20">
        <f t="shared" ref="L46:AB46" si="0">SUMPRODUCT($I$5:$I$44,L$5:L$44)</f>
        <v>118421.27384999998</v>
      </c>
      <c r="M46" s="20">
        <f t="shared" si="0"/>
        <v>118421.27384999998</v>
      </c>
      <c r="N46" s="20">
        <f t="shared" si="0"/>
        <v>118421.27384999998</v>
      </c>
      <c r="O46" s="20">
        <f t="shared" si="0"/>
        <v>118421.27384999998</v>
      </c>
      <c r="P46" s="20">
        <f t="shared" si="0"/>
        <v>118421.27384999998</v>
      </c>
      <c r="Q46" s="20">
        <f t="shared" si="0"/>
        <v>0</v>
      </c>
      <c r="R46" s="20">
        <f t="shared" si="0"/>
        <v>125086.45784100002</v>
      </c>
      <c r="S46" s="20">
        <f t="shared" si="0"/>
        <v>0</v>
      </c>
      <c r="T46" s="20">
        <f t="shared" si="0"/>
        <v>118421.27384999998</v>
      </c>
      <c r="U46" s="20">
        <f t="shared" si="0"/>
        <v>118421.27384999998</v>
      </c>
      <c r="V46" s="20">
        <f t="shared" si="0"/>
        <v>118421.27384999998</v>
      </c>
      <c r="W46" s="20">
        <f t="shared" si="0"/>
        <v>0</v>
      </c>
      <c r="X46" s="20">
        <f t="shared" si="0"/>
        <v>0</v>
      </c>
      <c r="Y46" s="20">
        <f t="shared" si="0"/>
        <v>0</v>
      </c>
      <c r="Z46" s="20">
        <f t="shared" si="0"/>
        <v>118421.27384999998</v>
      </c>
      <c r="AA46" s="20">
        <f t="shared" si="0"/>
        <v>0</v>
      </c>
      <c r="AB46" s="20">
        <f t="shared" si="0"/>
        <v>0</v>
      </c>
    </row>
    <row r="47" spans="1:28" ht="11.25" customHeight="1" x14ac:dyDescent="0.3">
      <c r="K47" s="25" t="s">
        <v>657</v>
      </c>
      <c r="L47" s="20">
        <f>CUSTOS!$D$30</f>
        <v>284525.99601777049</v>
      </c>
      <c r="M47" s="20">
        <f>CUSTOS!$D$31</f>
        <v>2475580.2399999998</v>
      </c>
      <c r="N47" s="20">
        <f>CUSTOS!$D$32</f>
        <v>0</v>
      </c>
      <c r="O47" s="20">
        <f>CUSTOS!$D$33</f>
        <v>647468.58264426538</v>
      </c>
      <c r="P47" s="20">
        <f>CUSTOS!$D$34</f>
        <v>-2067541.67</v>
      </c>
      <c r="Q47" s="20">
        <f>CUSTOS!$D$35</f>
        <v>1340033.1486620354</v>
      </c>
      <c r="R47" s="20">
        <f>CUSTOS!$D$36</f>
        <v>24513826.961265057</v>
      </c>
      <c r="S47" s="20">
        <f>CUSTOS!$D$37</f>
        <v>24513826.961265057</v>
      </c>
      <c r="T47" s="20">
        <f>CUSTOS!$D$38</f>
        <v>689862.60845790023</v>
      </c>
      <c r="U47" s="20">
        <f>CUSTOS!$D$39</f>
        <v>475460.58518987527</v>
      </c>
      <c r="V47" s="20">
        <f>CUSTOS!$D$40</f>
        <v>0</v>
      </c>
      <c r="W47" s="20">
        <f>CUSTOS!$D$41</f>
        <v>1165323.1936477756</v>
      </c>
      <c r="X47" s="20">
        <f>CUSTOS!$D$42</f>
        <v>0</v>
      </c>
      <c r="Y47" s="20">
        <f>CUSTOS!$D$43</f>
        <v>0</v>
      </c>
      <c r="Z47" s="20">
        <f>CUSTOS!$D$44</f>
        <v>674071.7999352311</v>
      </c>
      <c r="AA47" s="20">
        <f>CUSTOS!$D$45</f>
        <v>674071.7999352311</v>
      </c>
      <c r="AB47" s="20">
        <f>CUSTOS!$D$46</f>
        <v>27693255.1035101</v>
      </c>
    </row>
    <row r="48" spans="1:28" ht="11.25" customHeight="1" x14ac:dyDescent="0.3">
      <c r="K48" s="25" t="s">
        <v>658</v>
      </c>
      <c r="L48" s="20">
        <f>CUSTOS!$E$30</f>
        <v>4.8702926713391345E-3</v>
      </c>
      <c r="M48" s="20">
        <f>CUSTOS!$E$31</f>
        <v>162608.95868575876</v>
      </c>
      <c r="N48" s="20">
        <f>CUSTOS!$E$32</f>
        <v>0</v>
      </c>
      <c r="O48" s="20">
        <f>CUSTOS!$E$33</f>
        <v>-12123.931476909624</v>
      </c>
      <c r="P48" s="20">
        <f>CUSTOS!$E$34</f>
        <v>0</v>
      </c>
      <c r="Q48" s="20">
        <f>CUSTOS!$E$35</f>
        <v>150485.03207914182</v>
      </c>
      <c r="R48" s="20">
        <f>CUSTOS!$E$36</f>
        <v>2041246.1629664556</v>
      </c>
      <c r="S48" s="20">
        <f>CUSTOS!$E$37</f>
        <v>2041246.1629664556</v>
      </c>
      <c r="T48" s="20">
        <f>CUSTOS!$E$38</f>
        <v>-8497.6257817691003</v>
      </c>
      <c r="U48" s="20">
        <f>CUSTOS!$E$39</f>
        <v>7300.1092293118591</v>
      </c>
      <c r="V48" s="20">
        <f>CUSTOS!$E$40</f>
        <v>0</v>
      </c>
      <c r="W48" s="20">
        <f>CUSTOS!$E$41</f>
        <v>-1197.5165524572412</v>
      </c>
      <c r="X48" s="20">
        <f>CUSTOS!$E$42</f>
        <v>-1196307.7094131464</v>
      </c>
      <c r="Y48" s="20">
        <f>CUSTOS!$E$43</f>
        <v>-1196307.7094131464</v>
      </c>
      <c r="Z48" s="20">
        <f>CUSTOS!$E$44</f>
        <v>56129.403106085883</v>
      </c>
      <c r="AA48" s="20">
        <f>CUSTOS!$E$45</f>
        <v>56129.403106085883</v>
      </c>
      <c r="AB48" s="20">
        <f>CUSTOS!$E$46</f>
        <v>1050355.3721860799</v>
      </c>
    </row>
    <row r="49" spans="11:28" ht="11.25" customHeight="1" x14ac:dyDescent="0.3">
      <c r="K49" s="25" t="s">
        <v>659</v>
      </c>
      <c r="L49" s="20">
        <f>CUSTOS!$F$30</f>
        <v>0</v>
      </c>
      <c r="M49" s="20">
        <f>CUSTOS!$F$31</f>
        <v>20328.808799999999</v>
      </c>
      <c r="N49" s="20">
        <f>CUSTOS!$F$32</f>
        <v>0</v>
      </c>
      <c r="O49" s="20">
        <f>CUSTOS!$F$33</f>
        <v>44833.335171531602</v>
      </c>
      <c r="P49" s="20">
        <f>CUSTOS!$F$34</f>
        <v>0</v>
      </c>
      <c r="Q49" s="20">
        <f>CUSTOS!$F$35</f>
        <v>65162.143971531601</v>
      </c>
      <c r="R49" s="20">
        <f>CUSTOS!$F$36</f>
        <v>-1250398.5118221636</v>
      </c>
      <c r="S49" s="20">
        <f>CUSTOS!$F$37</f>
        <v>-1250398.5118221636</v>
      </c>
      <c r="T49" s="20">
        <f>CUSTOS!$F$38</f>
        <v>59395.178999999996</v>
      </c>
      <c r="U49" s="20">
        <f>CUSTOS!$F$39</f>
        <v>44702.023239219423</v>
      </c>
      <c r="V49" s="20">
        <f>CUSTOS!$F$40</f>
        <v>0</v>
      </c>
      <c r="W49" s="20">
        <f>CUSTOS!$F$41</f>
        <v>104097.20223921942</v>
      </c>
      <c r="X49" s="20">
        <f>CUSTOS!$F$42</f>
        <v>0</v>
      </c>
      <c r="Y49" s="20">
        <f>CUSTOS!$F$43</f>
        <v>0</v>
      </c>
      <c r="Z49" s="20">
        <f>CUSTOS!$F$44</f>
        <v>-34382.978097712883</v>
      </c>
      <c r="AA49" s="20">
        <f>CUSTOS!$F$45</f>
        <v>-34382.978097712883</v>
      </c>
      <c r="AB49" s="20">
        <f>CUSTOS!$F$46</f>
        <v>-1115522.1437091255</v>
      </c>
    </row>
    <row r="50" spans="11:28" ht="11.25" customHeight="1" x14ac:dyDescent="0.3">
      <c r="K50" s="25" t="s">
        <v>739</v>
      </c>
      <c r="L50" s="20">
        <f>IF(SUMPRODUCT($I$5:$I$44,$L$5:$L$44)&lt;&gt;0,L47/SUMPRODUCT($I$5:$I$44,$L$5:$L$44),0)</f>
        <v>2.4026594780442023</v>
      </c>
      <c r="M50" s="20">
        <f>IF(SUMPRODUCT($I$5:$I$44,$M$5:$M$44)&lt;&gt;0,M47/SUMPRODUCT($I$5:$I$44,$M$5:$M$44),0)</f>
        <v>20.904860752770901</v>
      </c>
      <c r="N50" s="20">
        <f>IF(SUMPRODUCT($I$5:$I$44,$N$5:$N$44)&lt;&gt;0,N47/SUMPRODUCT($I$5:$I$44,$N$5:$N$44),0)</f>
        <v>0</v>
      </c>
      <c r="O50" s="20">
        <f>IF(SUMPRODUCT($I$5:$I$44,$O$5:$O$44)&lt;&gt;0,O47/SUMPRODUCT($I$5:$I$44,$O$5:$O$44),0)</f>
        <v>5.4675022620039604</v>
      </c>
      <c r="P50" s="20">
        <f>IF(SUMPRODUCT($I$5:$I$44,$P$5:$P$44)&lt;&gt;0,P47/SUMPRODUCT($I$5:$I$44,$P$5:$P$44),0)</f>
        <v>-17.459208153924113</v>
      </c>
      <c r="Q50" s="20"/>
      <c r="R50" s="20">
        <f>IF((CUSTOS!$M$12-CUSTOS!$M$13)&lt;&gt;0,(CUSTOS!$M$12*CUSTOS!$M$14)/(CUSTOS!$M$12-CUSTOS!$M$13),0)</f>
        <v>207.44111582591856</v>
      </c>
      <c r="S50" s="20"/>
      <c r="T50" s="20">
        <f>IF(SUMPRODUCT($I$5:$I$44,$T$5:$T$44)&lt;&gt;0,T47/SUMPRODUCT($I$5:$I$44,$T$5:$T$44),0)</f>
        <v>5.8254955890081428</v>
      </c>
      <c r="U50" s="20">
        <f>IF(SUMPRODUCT($I$5:$I$44,$U$5:$U$44)&lt;&gt;0,U47/SUMPRODUCT($I$5:$I$44,$U$5:$U$44),0)</f>
        <v>4.014992996884363</v>
      </c>
      <c r="V50" s="20">
        <f>IF(SUMPRODUCT($I$5:$I$44,$V$5:$V$44)&lt;&gt;0,V47/SUMPRODUCT($I$5:$I$44,$V$5:$V$44),0)</f>
        <v>0</v>
      </c>
      <c r="W50" s="20"/>
      <c r="X50" s="20">
        <f>IF(SUMPRODUCT($I$5:$I$44,$X$5:$X$44)&lt;&gt;0,X47/SUMPRODUCT($I$5:$I$44,$X$5:$X$44),0)</f>
        <v>0</v>
      </c>
      <c r="Y50" s="20"/>
      <c r="Z50" s="20">
        <f>IF(SUMPRODUCT($I$5:$I$44,$Z$5:$Z$44)&lt;&gt;0,Z47/SUMPRODUCT($I$5:$I$44,$Z$5:$Z$44),0)</f>
        <v>5.6921512328017503</v>
      </c>
      <c r="AA50" s="20"/>
      <c r="AB50" s="20"/>
    </row>
    <row r="51" spans="11:28" ht="11.25" customHeight="1" x14ac:dyDescent="0.3">
      <c r="K51" s="25" t="s">
        <v>740</v>
      </c>
      <c r="L51" s="20">
        <f>IF(L46&lt;&gt;0,(L47-L50*0)/(L46-0),0)</f>
        <v>2.4026594780442023</v>
      </c>
      <c r="M51" s="20">
        <f>IF(M46&lt;&gt;0,(M47-M50*0)/(M46-0),0)</f>
        <v>20.904860752770901</v>
      </c>
      <c r="N51" s="20">
        <f>IF(N46&lt;&gt;0,(N47-N50*0)/(N46-0),0)</f>
        <v>0</v>
      </c>
      <c r="O51" s="20">
        <f>IF(O46&lt;&gt;0,(O47-O50*0)/(O46-0),0)</f>
        <v>5.4675022620039604</v>
      </c>
      <c r="P51" s="20">
        <f>IF(P46&lt;&gt;0,(P47-P50*0)/(P46-0),0)</f>
        <v>-17.459208153924113</v>
      </c>
      <c r="Q51" s="20"/>
      <c r="R51" s="20">
        <f>IF(R46&lt;&gt;0,(R47-R50*0)/(R46-0),0)</f>
        <v>195.9750670406311</v>
      </c>
      <c r="S51" s="20"/>
      <c r="T51" s="20">
        <f>IF(T46&lt;&gt;0,(T47-T50*0)/(T46-0),0)</f>
        <v>5.8254955890081428</v>
      </c>
      <c r="U51" s="20">
        <f>IF(U46&lt;&gt;0,(U47-U50*0)/(U46-0),0)</f>
        <v>4.014992996884363</v>
      </c>
      <c r="V51" s="20">
        <f>IF(V46&lt;&gt;0,(V47-V50*0)/(V46-0),0)</f>
        <v>0</v>
      </c>
      <c r="W51" s="20"/>
      <c r="X51" s="20">
        <f>IF(X46&lt;&gt;0,(X47-X50*0)/(X46-0),0)</f>
        <v>0</v>
      </c>
      <c r="Y51" s="20"/>
      <c r="Z51" s="20">
        <f>IF(Z46&lt;&gt;0,(Z47-Z50*0)/(Z46-0),0)</f>
        <v>5.6921512328017503</v>
      </c>
      <c r="AA51" s="20"/>
      <c r="AB51" s="20"/>
    </row>
    <row r="52" spans="11:28" ht="11.25" customHeight="1" x14ac:dyDescent="0.3">
      <c r="K52" s="25" t="s">
        <v>741</v>
      </c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</sheetData>
  <mergeCells count="67">
    <mergeCell ref="F8:F9"/>
    <mergeCell ref="A5:A7"/>
    <mergeCell ref="B5:B6"/>
    <mergeCell ref="C5:C6"/>
    <mergeCell ref="D5:D6"/>
    <mergeCell ref="E5:E6"/>
    <mergeCell ref="F5:F6"/>
    <mergeCell ref="A8:A9"/>
    <mergeCell ref="B8:B9"/>
    <mergeCell ref="C8:C9"/>
    <mergeCell ref="D8:D9"/>
    <mergeCell ref="E8:E9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E31:E33"/>
    <mergeCell ref="F31:F33"/>
    <mergeCell ref="A23:A37"/>
    <mergeCell ref="B23:B25"/>
    <mergeCell ref="C23:C25"/>
    <mergeCell ref="D23:D25"/>
    <mergeCell ref="E23:E25"/>
    <mergeCell ref="F23:F25"/>
    <mergeCell ref="B27:B29"/>
    <mergeCell ref="C27:C29"/>
    <mergeCell ref="D27:D29"/>
    <mergeCell ref="E27:E29"/>
    <mergeCell ref="F1:F4"/>
    <mergeCell ref="E38:E40"/>
    <mergeCell ref="F38:F40"/>
    <mergeCell ref="A43:A44"/>
    <mergeCell ref="B43:B44"/>
    <mergeCell ref="C43:C44"/>
    <mergeCell ref="B35:B37"/>
    <mergeCell ref="C35:C37"/>
    <mergeCell ref="A38:A42"/>
    <mergeCell ref="B38:B40"/>
    <mergeCell ref="C38:C40"/>
    <mergeCell ref="D38:D40"/>
    <mergeCell ref="F27:F29"/>
    <mergeCell ref="B31:B33"/>
    <mergeCell ref="C31:C33"/>
    <mergeCell ref="D31:D33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0208-6754-4F1F-AEF1-8534CB1242E3}">
  <sheetPr codeName="Planilha13"/>
  <dimension ref="A1:AB52"/>
  <sheetViews>
    <sheetView showGridLines="0" topLeftCell="R28" workbookViewId="0">
      <selection activeCell="AB46" sqref="AB46"/>
    </sheetView>
  </sheetViews>
  <sheetFormatPr defaultRowHeight="11.25" customHeight="1" x14ac:dyDescent="0.3"/>
  <cols>
    <col min="1" max="1" width="9" style="9" bestFit="1" customWidth="1"/>
    <col min="2" max="2" width="26.33203125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9" width="7.6640625" style="9" bestFit="1" customWidth="1"/>
    <col min="10" max="10" width="8.88671875" style="9"/>
    <col min="11" max="11" width="19.88671875" style="9" bestFit="1" customWidth="1"/>
    <col min="12" max="12" width="8.44140625" style="9" bestFit="1" customWidth="1"/>
    <col min="13" max="13" width="9.6640625" style="9" bestFit="1" customWidth="1"/>
    <col min="14" max="14" width="8.44140625" style="9" bestFit="1" customWidth="1"/>
    <col min="15" max="15" width="10.77734375" style="9" bestFit="1" customWidth="1"/>
    <col min="16" max="16" width="10.21875" style="9" bestFit="1" customWidth="1"/>
    <col min="17" max="17" width="9.6640625" style="9" bestFit="1" customWidth="1"/>
    <col min="18" max="18" width="14.5546875" style="9" bestFit="1" customWidth="1"/>
    <col min="19" max="19" width="10.5546875" style="9" bestFit="1" customWidth="1"/>
    <col min="20" max="20" width="8.44140625" style="9" bestFit="1" customWidth="1"/>
    <col min="21" max="21" width="10.109375" style="9" bestFit="1" customWidth="1"/>
    <col min="22" max="22" width="8.44140625" style="9" bestFit="1" customWidth="1"/>
    <col min="23" max="23" width="9.6640625" style="9" bestFit="1" customWidth="1"/>
    <col min="24" max="24" width="7.77734375" style="9" bestFit="1" customWidth="1"/>
    <col min="25" max="25" width="9" style="9" bestFit="1" customWidth="1"/>
    <col min="26" max="26" width="10.6640625" style="9" bestFit="1" customWidth="1"/>
    <col min="27" max="27" width="9" style="9" bestFit="1" customWidth="1"/>
    <col min="28" max="28" width="10.5546875" style="9" bestFit="1" customWidth="1"/>
    <col min="29" max="16384" width="8.88671875" style="9"/>
  </cols>
  <sheetData>
    <row r="1" spans="1:28" ht="11.25" customHeight="1" x14ac:dyDescent="0.3">
      <c r="A1" s="147" t="s">
        <v>69</v>
      </c>
      <c r="B1" s="147" t="s">
        <v>70</v>
      </c>
      <c r="C1" s="147" t="s">
        <v>71</v>
      </c>
      <c r="D1" s="147" t="s">
        <v>72</v>
      </c>
      <c r="E1" s="147" t="s">
        <v>73</v>
      </c>
      <c r="F1" s="147" t="s">
        <v>15</v>
      </c>
      <c r="G1" s="147" t="s">
        <v>75</v>
      </c>
      <c r="H1" s="147" t="s">
        <v>76</v>
      </c>
      <c r="I1" s="147" t="s">
        <v>716</v>
      </c>
      <c r="J1" s="131"/>
      <c r="L1" s="145" t="s">
        <v>742</v>
      </c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</row>
    <row r="2" spans="1:28" ht="11.25" customHeight="1" x14ac:dyDescent="0.3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5" t="s">
        <v>643</v>
      </c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</row>
    <row r="3" spans="1:28" ht="11.25" customHeight="1" x14ac:dyDescent="0.3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5" t="s">
        <v>616</v>
      </c>
      <c r="M3" s="145"/>
      <c r="N3" s="145"/>
      <c r="O3" s="145"/>
      <c r="P3" s="145"/>
      <c r="Q3" s="145"/>
      <c r="R3" s="145" t="s">
        <v>647</v>
      </c>
      <c r="S3" s="145"/>
      <c r="T3" s="145" t="s">
        <v>625</v>
      </c>
      <c r="U3" s="145"/>
      <c r="V3" s="145"/>
      <c r="W3" s="145"/>
      <c r="X3" s="145" t="s">
        <v>635</v>
      </c>
      <c r="Y3" s="145"/>
      <c r="Z3" s="145" t="s">
        <v>638</v>
      </c>
      <c r="AA3" s="145"/>
      <c r="AB3" s="145" t="s">
        <v>624</v>
      </c>
    </row>
    <row r="4" spans="1:28" ht="11.25" customHeight="1" x14ac:dyDescent="0.3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24" t="s">
        <v>618</v>
      </c>
      <c r="M4" s="24" t="s">
        <v>644</v>
      </c>
      <c r="N4" s="24" t="s">
        <v>645</v>
      </c>
      <c r="O4" s="24" t="s">
        <v>704</v>
      </c>
      <c r="P4" s="24" t="s">
        <v>646</v>
      </c>
      <c r="Q4" s="24" t="s">
        <v>624</v>
      </c>
      <c r="R4" s="24" t="s">
        <v>648</v>
      </c>
      <c r="S4" s="24" t="s">
        <v>624</v>
      </c>
      <c r="T4" s="24" t="s">
        <v>649</v>
      </c>
      <c r="U4" s="24" t="s">
        <v>650</v>
      </c>
      <c r="V4" s="24" t="s">
        <v>651</v>
      </c>
      <c r="W4" s="24" t="s">
        <v>624</v>
      </c>
      <c r="X4" s="24" t="s">
        <v>636</v>
      </c>
      <c r="Y4" s="24" t="s">
        <v>624</v>
      </c>
      <c r="Z4" s="24" t="s">
        <v>652</v>
      </c>
      <c r="AA4" s="24" t="s">
        <v>624</v>
      </c>
      <c r="AB4" s="146"/>
    </row>
    <row r="5" spans="1:28" ht="11.25" customHeight="1" x14ac:dyDescent="0.3">
      <c r="A5" s="148" t="s">
        <v>45</v>
      </c>
      <c r="B5" s="148" t="s">
        <v>78</v>
      </c>
      <c r="C5" s="148" t="s">
        <v>25</v>
      </c>
      <c r="D5" s="148" t="s">
        <v>25</v>
      </c>
      <c r="E5" s="148" t="s">
        <v>25</v>
      </c>
      <c r="F5" s="148" t="s">
        <v>25</v>
      </c>
      <c r="G5" s="23" t="s">
        <v>80</v>
      </c>
      <c r="H5" s="23" t="s">
        <v>79</v>
      </c>
      <c r="I5" s="23">
        <f>'MERCADO TE'!$U$2</f>
        <v>6.42</v>
      </c>
      <c r="J5" s="15"/>
      <c r="L5" s="20">
        <f>'TR TE'!$L$5*'TR TE'!$L$51</f>
        <v>2.4026594780442023</v>
      </c>
      <c r="M5" s="20">
        <f>'TR TE'!$M$5*'TR TE'!$M$51</f>
        <v>20.904860752770901</v>
      </c>
      <c r="N5" s="20">
        <f>'TR TE'!$N$5*'TR TE'!$N$51</f>
        <v>0</v>
      </c>
      <c r="O5" s="20">
        <f>'TR TE'!$O$5*'TR TE'!$O$51</f>
        <v>5.4675022620039604</v>
      </c>
      <c r="P5" s="20">
        <f>'TR TE'!$P$5*'TR TE'!$P$51</f>
        <v>-17.459208153924113</v>
      </c>
      <c r="Q5" s="20">
        <f>SUM($L$5:$P$5)</f>
        <v>11.315814338894953</v>
      </c>
      <c r="R5" s="20">
        <f>'TR TE'!$R$5*'TR TE'!$R$51</f>
        <v>337.07711530988547</v>
      </c>
      <c r="S5" s="20">
        <f>SUM($R$5:$R$5)</f>
        <v>337.07711530988547</v>
      </c>
      <c r="T5" s="20">
        <f>'TR TE'!$T$5*'TR TE'!$T$51</f>
        <v>5.8254955890081428</v>
      </c>
      <c r="U5" s="20">
        <f>'TR TE'!$U$5*'TR TE'!$U$51</f>
        <v>4.014992996884363</v>
      </c>
      <c r="V5" s="20">
        <f>'TR TE'!$V$5*'TR TE'!$V$51</f>
        <v>0</v>
      </c>
      <c r="W5" s="20">
        <f>SUM($T$5:$V$5)</f>
        <v>9.8404885858925049</v>
      </c>
      <c r="X5" s="20"/>
      <c r="Y5" s="20">
        <f>SUM($X$5:$X$5)</f>
        <v>0</v>
      </c>
      <c r="Z5" s="20">
        <f>'TR TE'!$Z$5*'TR TE'!$Z$51</f>
        <v>5.6921512328017503</v>
      </c>
      <c r="AA5" s="20">
        <f>SUM($Z$5:$Z$5)</f>
        <v>5.6921512328017503</v>
      </c>
      <c r="AB5" s="20">
        <f>SUMIF($L$4:$AA$4,"SUBTOTAL",$L$5:$AA$5)</f>
        <v>363.92556946747465</v>
      </c>
    </row>
    <row r="6" spans="1:28" ht="11.25" customHeight="1" x14ac:dyDescent="0.3">
      <c r="A6" s="148"/>
      <c r="B6" s="148"/>
      <c r="C6" s="148"/>
      <c r="D6" s="148"/>
      <c r="E6" s="148"/>
      <c r="F6" s="148"/>
      <c r="G6" s="23" t="s">
        <v>81</v>
      </c>
      <c r="H6" s="23" t="s">
        <v>79</v>
      </c>
      <c r="I6" s="23">
        <f>'MERCADO TE'!$U$3</f>
        <v>1805.7700000000004</v>
      </c>
      <c r="J6" s="15"/>
      <c r="L6" s="20">
        <f>'TR TE'!$L$6*'TR TE'!$L$51</f>
        <v>2.4026594780442023</v>
      </c>
      <c r="M6" s="20">
        <f>'TR TE'!$M$6*'TR TE'!$M$51</f>
        <v>20.904860752770901</v>
      </c>
      <c r="N6" s="20">
        <f>'TR TE'!$N$6*'TR TE'!$N$51</f>
        <v>0</v>
      </c>
      <c r="O6" s="20">
        <f>'TR TE'!$O$6*'TR TE'!$O$51</f>
        <v>5.4675022620039604</v>
      </c>
      <c r="P6" s="20">
        <f>'TR TE'!$P$6*'TR TE'!$P$51</f>
        <v>-17.459208153924113</v>
      </c>
      <c r="Q6" s="20">
        <f>SUM($L$6:$P$6)</f>
        <v>11.315814338894953</v>
      </c>
      <c r="R6" s="20">
        <f>'TR TE'!$R$6*'TR TE'!$R$51</f>
        <v>195.9750670406311</v>
      </c>
      <c r="S6" s="20">
        <f>SUM($R$6:$R$6)</f>
        <v>195.9750670406311</v>
      </c>
      <c r="T6" s="20">
        <f>'TR TE'!$T$6*'TR TE'!$T$51</f>
        <v>5.8254955890081428</v>
      </c>
      <c r="U6" s="20">
        <f>'TR TE'!$U$6*'TR TE'!$U$51</f>
        <v>4.014992996884363</v>
      </c>
      <c r="V6" s="20">
        <f>'TR TE'!$V$6*'TR TE'!$V$51</f>
        <v>0</v>
      </c>
      <c r="W6" s="20">
        <f>SUM($T$6:$V$6)</f>
        <v>9.8404885858925049</v>
      </c>
      <c r="X6" s="20"/>
      <c r="Y6" s="20">
        <f>SUM($X$6:$X$6)</f>
        <v>0</v>
      </c>
      <c r="Z6" s="20">
        <f>'TR TE'!$Z$6*'TR TE'!$Z$51</f>
        <v>5.6921512328017503</v>
      </c>
      <c r="AA6" s="20">
        <f>SUM($Z$6:$Z$6)</f>
        <v>5.6921512328017503</v>
      </c>
      <c r="AB6" s="20">
        <f>SUMIF($L$4:$AA$4,"SUBTOTAL",$L$6:$AA$6)</f>
        <v>222.82352119822033</v>
      </c>
    </row>
    <row r="7" spans="1:28" ht="11.25" customHeight="1" x14ac:dyDescent="0.3">
      <c r="A7" s="148"/>
      <c r="B7" s="22" t="s">
        <v>82</v>
      </c>
      <c r="C7" s="22" t="s">
        <v>25</v>
      </c>
      <c r="D7" s="22" t="s">
        <v>25</v>
      </c>
      <c r="E7" s="22" t="s">
        <v>25</v>
      </c>
      <c r="F7" s="22" t="s">
        <v>25</v>
      </c>
      <c r="G7" s="23" t="s">
        <v>83</v>
      </c>
      <c r="H7" s="23" t="s">
        <v>79</v>
      </c>
      <c r="I7" s="23">
        <f>'MERCADO TE'!$U$4</f>
        <v>0</v>
      </c>
      <c r="J7" s="15"/>
      <c r="L7" s="20">
        <f>'TR TE'!$L$7*'TR TE'!$L$51</f>
        <v>2.4026594780442023</v>
      </c>
      <c r="M7" s="20">
        <f>'TR TE'!$M$7*'TR TE'!$M$51</f>
        <v>20.904860752770901</v>
      </c>
      <c r="N7" s="20">
        <f>'TR TE'!$N$7*'TR TE'!$N$51</f>
        <v>0</v>
      </c>
      <c r="O7" s="20">
        <f>'TR TE'!$O$7*'TR TE'!$O$51</f>
        <v>5.4675022620039604</v>
      </c>
      <c r="P7" s="20">
        <f>'TR TE'!$P$7*'TR TE'!$P$51</f>
        <v>-17.459208153924113</v>
      </c>
      <c r="Q7" s="20">
        <f>SUM($L$7:$P$7)</f>
        <v>11.315814338894953</v>
      </c>
      <c r="R7" s="20">
        <f>'TR TE'!$R$7*'TR TE'!$R$51</f>
        <v>207.73357106306898</v>
      </c>
      <c r="S7" s="20">
        <f>SUM($R$7:$R$7)</f>
        <v>207.73357106306898</v>
      </c>
      <c r="T7" s="20">
        <f>'TR TE'!$T$7*'TR TE'!$T$51</f>
        <v>5.8254955890081428</v>
      </c>
      <c r="U7" s="20">
        <f>'TR TE'!$U$7*'TR TE'!$U$51</f>
        <v>4.014992996884363</v>
      </c>
      <c r="V7" s="20">
        <f>'TR TE'!$V$7*'TR TE'!$V$51</f>
        <v>0</v>
      </c>
      <c r="W7" s="20">
        <f>SUM($T$7:$V$7)</f>
        <v>9.8404885858925049</v>
      </c>
      <c r="X7" s="20"/>
      <c r="Y7" s="20">
        <f>SUM($X$7:$X$7)</f>
        <v>0</v>
      </c>
      <c r="Z7" s="20">
        <f>'TR TE'!$Z$7*'TR TE'!$Z$51</f>
        <v>5.6921512328017503</v>
      </c>
      <c r="AA7" s="20">
        <f>SUM($Z$7:$Z$7)</f>
        <v>5.6921512328017503</v>
      </c>
      <c r="AB7" s="20">
        <f>SUMIF($L$4:$AA$4,"SUBTOTAL",$L$7:$AA$7)</f>
        <v>234.58202522065821</v>
      </c>
    </row>
    <row r="8" spans="1:28" ht="11.25" customHeight="1" x14ac:dyDescent="0.3">
      <c r="A8" s="148" t="s">
        <v>39</v>
      </c>
      <c r="B8" s="148" t="s">
        <v>78</v>
      </c>
      <c r="C8" s="148" t="s">
        <v>25</v>
      </c>
      <c r="D8" s="148" t="s">
        <v>25</v>
      </c>
      <c r="E8" s="148" t="s">
        <v>25</v>
      </c>
      <c r="F8" s="148" t="s">
        <v>25</v>
      </c>
      <c r="G8" s="23" t="s">
        <v>80</v>
      </c>
      <c r="H8" s="23" t="s">
        <v>79</v>
      </c>
      <c r="I8" s="23">
        <f>'MERCADO TE'!$U$5</f>
        <v>1184.028</v>
      </c>
      <c r="J8" s="15"/>
      <c r="L8" s="20">
        <f>'TR TE'!$L$8*'TR TE'!$L$51</f>
        <v>2.4026594780442023</v>
      </c>
      <c r="M8" s="20">
        <f>'TR TE'!$M$8*'TR TE'!$M$51</f>
        <v>20.904860752770901</v>
      </c>
      <c r="N8" s="20">
        <f>'TR TE'!$N$8*'TR TE'!$N$51</f>
        <v>0</v>
      </c>
      <c r="O8" s="20">
        <f>'TR TE'!$O$8*'TR TE'!$O$51</f>
        <v>5.4675022620039604</v>
      </c>
      <c r="P8" s="20">
        <f>'TR TE'!$P$8*'TR TE'!$P$51</f>
        <v>-17.459208153924113</v>
      </c>
      <c r="Q8" s="20">
        <f>SUM($L$8:$P$8)</f>
        <v>11.315814338894953</v>
      </c>
      <c r="R8" s="20">
        <f>'TR TE'!$R$8*'TR TE'!$R$51</f>
        <v>337.07711530988547</v>
      </c>
      <c r="S8" s="20">
        <f>SUM($R$8:$R$8)</f>
        <v>337.07711530988547</v>
      </c>
      <c r="T8" s="20">
        <f>'TR TE'!$T$8*'TR TE'!$T$51</f>
        <v>5.8254955890081428</v>
      </c>
      <c r="U8" s="20">
        <f>'TR TE'!$U$8*'TR TE'!$U$51</f>
        <v>4.014992996884363</v>
      </c>
      <c r="V8" s="20">
        <f>'TR TE'!$V$8*'TR TE'!$V$51</f>
        <v>0</v>
      </c>
      <c r="W8" s="20">
        <f>SUM($T$8:$V$8)</f>
        <v>9.8404885858925049</v>
      </c>
      <c r="X8" s="20"/>
      <c r="Y8" s="20">
        <f>SUM($X$8:$X$8)</f>
        <v>0</v>
      </c>
      <c r="Z8" s="20">
        <f>'TR TE'!$Z$8*'TR TE'!$Z$51</f>
        <v>5.6921512328017503</v>
      </c>
      <c r="AA8" s="20">
        <f>SUM($Z$8:$Z$8)</f>
        <v>5.6921512328017503</v>
      </c>
      <c r="AB8" s="20">
        <f>SUMIF($L$4:$AA$4,"SUBTOTAL",$L$8:$AA$8)</f>
        <v>363.92556946747465</v>
      </c>
    </row>
    <row r="9" spans="1:28" ht="11.25" customHeight="1" x14ac:dyDescent="0.3">
      <c r="A9" s="148"/>
      <c r="B9" s="148"/>
      <c r="C9" s="148"/>
      <c r="D9" s="148"/>
      <c r="E9" s="148"/>
      <c r="F9" s="148"/>
      <c r="G9" s="23" t="s">
        <v>81</v>
      </c>
      <c r="H9" s="23" t="s">
        <v>79</v>
      </c>
      <c r="I9" s="23">
        <f>'MERCADO TE'!$U$6</f>
        <v>18584.842000000001</v>
      </c>
      <c r="J9" s="15"/>
      <c r="L9" s="20">
        <f>'TR TE'!$L$9*'TR TE'!$L$51</f>
        <v>2.4026594780442023</v>
      </c>
      <c r="M9" s="20">
        <f>'TR TE'!$M$9*'TR TE'!$M$51</f>
        <v>20.904860752770901</v>
      </c>
      <c r="N9" s="20">
        <f>'TR TE'!$N$9*'TR TE'!$N$51</f>
        <v>0</v>
      </c>
      <c r="O9" s="20">
        <f>'TR TE'!$O$9*'TR TE'!$O$51</f>
        <v>5.4675022620039604</v>
      </c>
      <c r="P9" s="20">
        <f>'TR TE'!$P$9*'TR TE'!$P$51</f>
        <v>-17.459208153924113</v>
      </c>
      <c r="Q9" s="20">
        <f>SUM($L$9:$P$9)</f>
        <v>11.315814338894953</v>
      </c>
      <c r="R9" s="20">
        <f>'TR TE'!$R$9*'TR TE'!$R$51</f>
        <v>195.9750670406311</v>
      </c>
      <c r="S9" s="20">
        <f>SUM($R$9:$R$9)</f>
        <v>195.9750670406311</v>
      </c>
      <c r="T9" s="20">
        <f>'TR TE'!$T$9*'TR TE'!$T$51</f>
        <v>5.8254955890081428</v>
      </c>
      <c r="U9" s="20">
        <f>'TR TE'!$U$9*'TR TE'!$U$51</f>
        <v>4.014992996884363</v>
      </c>
      <c r="V9" s="20">
        <f>'TR TE'!$V$9*'TR TE'!$V$51</f>
        <v>0</v>
      </c>
      <c r="W9" s="20">
        <f>SUM($T$9:$V$9)</f>
        <v>9.8404885858925049</v>
      </c>
      <c r="X9" s="20"/>
      <c r="Y9" s="20">
        <f>SUM($X$9:$X$9)</f>
        <v>0</v>
      </c>
      <c r="Z9" s="20">
        <f>'TR TE'!$Z$9*'TR TE'!$Z$51</f>
        <v>5.6921512328017503</v>
      </c>
      <c r="AA9" s="20">
        <f>SUM($Z$9:$Z$9)</f>
        <v>5.6921512328017503</v>
      </c>
      <c r="AB9" s="20">
        <f>SUMIF($L$4:$AA$4,"SUBTOTAL",$L$9:$AA$9)</f>
        <v>222.82352119822033</v>
      </c>
    </row>
    <row r="10" spans="1:28" ht="11.25" customHeight="1" x14ac:dyDescent="0.3">
      <c r="A10" s="148" t="s">
        <v>22</v>
      </c>
      <c r="B10" s="148" t="s">
        <v>78</v>
      </c>
      <c r="C10" s="148" t="s">
        <v>24</v>
      </c>
      <c r="D10" s="148" t="s">
        <v>24</v>
      </c>
      <c r="E10" s="148" t="s">
        <v>25</v>
      </c>
      <c r="F10" s="148" t="s">
        <v>25</v>
      </c>
      <c r="G10" s="23" t="s">
        <v>80</v>
      </c>
      <c r="H10" s="23" t="s">
        <v>79</v>
      </c>
      <c r="I10" s="23">
        <f>'MERCADO TE'!$U$7</f>
        <v>5.2</v>
      </c>
      <c r="J10" s="15"/>
      <c r="L10" s="20">
        <f>'TR TE'!$L$10*'TR TE'!$L$51</f>
        <v>2.4026594780442023</v>
      </c>
      <c r="M10" s="20">
        <f>'TR TE'!$M$10*'TR TE'!$M$51</f>
        <v>20.904860752770901</v>
      </c>
      <c r="N10" s="20">
        <f>'TR TE'!$N$10*'TR TE'!$N$51</f>
        <v>0</v>
      </c>
      <c r="O10" s="20">
        <f>'TR TE'!$O$10*'TR TE'!$O$51</f>
        <v>5.4675022620039604</v>
      </c>
      <c r="P10" s="20">
        <f>'TR TE'!$P$10*'TR TE'!$P$51</f>
        <v>-17.459208153924113</v>
      </c>
      <c r="Q10" s="20">
        <f>SUM($L$10:$P$10)</f>
        <v>11.315814338894953</v>
      </c>
      <c r="R10" s="20">
        <f>'TR TE'!$R$10*'TR TE'!$R$51</f>
        <v>337.07711530988547</v>
      </c>
      <c r="S10" s="20">
        <f>SUM($R$10:$R$10)</f>
        <v>337.07711530988547</v>
      </c>
      <c r="T10" s="20">
        <f>'TR TE'!$T$10*'TR TE'!$T$51</f>
        <v>5.8254955890081428</v>
      </c>
      <c r="U10" s="20">
        <f>'TR TE'!$U$10*'TR TE'!$U$51</f>
        <v>4.014992996884363</v>
      </c>
      <c r="V10" s="20">
        <f>'TR TE'!$V$10*'TR TE'!$V$51</f>
        <v>0</v>
      </c>
      <c r="W10" s="20">
        <f>SUM($T$10:$V$10)</f>
        <v>9.8404885858925049</v>
      </c>
      <c r="X10" s="20"/>
      <c r="Y10" s="20">
        <f>SUM($X$10:$X$10)</f>
        <v>0</v>
      </c>
      <c r="Z10" s="20">
        <f>'TR TE'!$Z$10*'TR TE'!$Z$51</f>
        <v>5.6921512328017503</v>
      </c>
      <c r="AA10" s="20">
        <f>SUM($Z$10:$Z$10)</f>
        <v>5.6921512328017503</v>
      </c>
      <c r="AB10" s="20">
        <f>SUMIF($L$4:$AA$4,"SUBTOTAL",$L$10:$AA$10)</f>
        <v>363.92556946747465</v>
      </c>
    </row>
    <row r="11" spans="1:28" ht="11.25" customHeight="1" x14ac:dyDescent="0.3">
      <c r="A11" s="148"/>
      <c r="B11" s="148"/>
      <c r="C11" s="148"/>
      <c r="D11" s="148"/>
      <c r="E11" s="148"/>
      <c r="F11" s="148"/>
      <c r="G11" s="23" t="s">
        <v>91</v>
      </c>
      <c r="H11" s="23" t="s">
        <v>79</v>
      </c>
      <c r="I11" s="23">
        <f>'MERCADO TE'!$U$8</f>
        <v>3.3950000000000005</v>
      </c>
      <c r="J11" s="15"/>
      <c r="L11" s="20">
        <f>'TR TE'!$L$11*'TR TE'!$L$51</f>
        <v>2.4026594780442023</v>
      </c>
      <c r="M11" s="20">
        <f>'TR TE'!$M$11*'TR TE'!$M$51</f>
        <v>20.904860752770901</v>
      </c>
      <c r="N11" s="20">
        <f>'TR TE'!$N$11*'TR TE'!$N$51</f>
        <v>0</v>
      </c>
      <c r="O11" s="20">
        <f>'TR TE'!$O$11*'TR TE'!$O$51</f>
        <v>5.4675022620039604</v>
      </c>
      <c r="P11" s="20">
        <f>'TR TE'!$P$11*'TR TE'!$P$51</f>
        <v>-17.459208153924113</v>
      </c>
      <c r="Q11" s="20">
        <f>SUM($L$11:$P$11)</f>
        <v>11.315814338894953</v>
      </c>
      <c r="R11" s="20">
        <f>'TR TE'!$R$11*'TR TE'!$R$51</f>
        <v>195.9750670406311</v>
      </c>
      <c r="S11" s="20">
        <f>SUM($R$11:$R$11)</f>
        <v>195.9750670406311</v>
      </c>
      <c r="T11" s="20">
        <f>'TR TE'!$T$11*'TR TE'!$T$51</f>
        <v>5.8254955890081428</v>
      </c>
      <c r="U11" s="20">
        <f>'TR TE'!$U$11*'TR TE'!$U$51</f>
        <v>4.014992996884363</v>
      </c>
      <c r="V11" s="20">
        <f>'TR TE'!$V$11*'TR TE'!$V$51</f>
        <v>0</v>
      </c>
      <c r="W11" s="20">
        <f>SUM($T$11:$V$11)</f>
        <v>9.8404885858925049</v>
      </c>
      <c r="X11" s="20"/>
      <c r="Y11" s="20">
        <f>SUM($X$11:$X$11)</f>
        <v>0</v>
      </c>
      <c r="Z11" s="20">
        <f>'TR TE'!$Z$11*'TR TE'!$Z$51</f>
        <v>5.6921512328017503</v>
      </c>
      <c r="AA11" s="20">
        <f>SUM($Z$11:$Z$11)</f>
        <v>5.6921512328017503</v>
      </c>
      <c r="AB11" s="20">
        <f>SUMIF($L$4:$AA$4,"SUBTOTAL",$L$11:$AA$11)</f>
        <v>222.82352119822033</v>
      </c>
    </row>
    <row r="12" spans="1:28" ht="11.25" customHeight="1" x14ac:dyDescent="0.3">
      <c r="A12" s="148"/>
      <c r="B12" s="148"/>
      <c r="C12" s="148"/>
      <c r="D12" s="148"/>
      <c r="E12" s="148"/>
      <c r="F12" s="148"/>
      <c r="G12" s="23" t="s">
        <v>81</v>
      </c>
      <c r="H12" s="23" t="s">
        <v>79</v>
      </c>
      <c r="I12" s="23">
        <f>'MERCADO TE'!$U$9</f>
        <v>48.124000000000009</v>
      </c>
      <c r="J12" s="15"/>
      <c r="L12" s="20">
        <f>'TR TE'!$L$12*'TR TE'!$L$51</f>
        <v>2.4026594780442023</v>
      </c>
      <c r="M12" s="20">
        <f>'TR TE'!$M$12*'TR TE'!$M$51</f>
        <v>20.904860752770901</v>
      </c>
      <c r="N12" s="20">
        <f>'TR TE'!$N$12*'TR TE'!$N$51</f>
        <v>0</v>
      </c>
      <c r="O12" s="20">
        <f>'TR TE'!$O$12*'TR TE'!$O$51</f>
        <v>5.4675022620039604</v>
      </c>
      <c r="P12" s="20">
        <f>'TR TE'!$P$12*'TR TE'!$P$51</f>
        <v>-17.459208153924113</v>
      </c>
      <c r="Q12" s="20">
        <f>SUM($L$12:$P$12)</f>
        <v>11.315814338894953</v>
      </c>
      <c r="R12" s="20">
        <f>'TR TE'!$R$12*'TR TE'!$R$51</f>
        <v>195.9750670406311</v>
      </c>
      <c r="S12" s="20">
        <f>SUM($R$12:$R$12)</f>
        <v>195.9750670406311</v>
      </c>
      <c r="T12" s="20">
        <f>'TR TE'!$T$12*'TR TE'!$T$51</f>
        <v>5.8254955890081428</v>
      </c>
      <c r="U12" s="20">
        <f>'TR TE'!$U$12*'TR TE'!$U$51</f>
        <v>4.014992996884363</v>
      </c>
      <c r="V12" s="20">
        <f>'TR TE'!$V$12*'TR TE'!$V$51</f>
        <v>0</v>
      </c>
      <c r="W12" s="20">
        <f>SUM($T$12:$V$12)</f>
        <v>9.8404885858925049</v>
      </c>
      <c r="X12" s="20"/>
      <c r="Y12" s="20">
        <f>SUM($X$12:$X$12)</f>
        <v>0</v>
      </c>
      <c r="Z12" s="20">
        <f>'TR TE'!$Z$12*'TR TE'!$Z$51</f>
        <v>5.6921512328017503</v>
      </c>
      <c r="AA12" s="20">
        <f>SUM($Z$12:$Z$12)</f>
        <v>5.6921512328017503</v>
      </c>
      <c r="AB12" s="20">
        <f>SUMIF($L$4:$AA$4,"SUBTOTAL",$L$12:$AA$12)</f>
        <v>222.82352119822033</v>
      </c>
    </row>
    <row r="13" spans="1:28" ht="11.25" customHeight="1" x14ac:dyDescent="0.3">
      <c r="A13" s="148"/>
      <c r="B13" s="148" t="s">
        <v>82</v>
      </c>
      <c r="C13" s="148" t="s">
        <v>24</v>
      </c>
      <c r="D13" s="22" t="s">
        <v>24</v>
      </c>
      <c r="E13" s="22" t="s">
        <v>25</v>
      </c>
      <c r="F13" s="22" t="s">
        <v>25</v>
      </c>
      <c r="G13" s="23" t="s">
        <v>83</v>
      </c>
      <c r="H13" s="23" t="s">
        <v>79</v>
      </c>
      <c r="I13" s="23">
        <f>'MERCADO TE'!$U$10</f>
        <v>46756.356999999996</v>
      </c>
      <c r="J13" s="15"/>
      <c r="L13" s="20">
        <f>'TR TE'!$L$13*'TR TE'!$L$51</f>
        <v>2.4026594780442023</v>
      </c>
      <c r="M13" s="20">
        <f>'TR TE'!$M$13*'TR TE'!$M$51</f>
        <v>20.904860752770901</v>
      </c>
      <c r="N13" s="20">
        <f>'TR TE'!$N$13*'TR TE'!$N$51</f>
        <v>0</v>
      </c>
      <c r="O13" s="20">
        <f>'TR TE'!$O$13*'TR TE'!$O$51</f>
        <v>5.4675022620039604</v>
      </c>
      <c r="P13" s="20">
        <f>'TR TE'!$P$13*'TR TE'!$P$51</f>
        <v>-17.459208153924113</v>
      </c>
      <c r="Q13" s="20">
        <f>SUM($L$13:$P$13)</f>
        <v>11.315814338894953</v>
      </c>
      <c r="R13" s="20">
        <f>'TR TE'!$R$13*'TR TE'!$R$51</f>
        <v>207.73357106306898</v>
      </c>
      <c r="S13" s="20">
        <f>SUM($R$13:$R$13)</f>
        <v>207.73357106306898</v>
      </c>
      <c r="T13" s="20">
        <f>'TR TE'!$T$13*'TR TE'!$T$51</f>
        <v>5.8254955890081428</v>
      </c>
      <c r="U13" s="20">
        <f>'TR TE'!$U$13*'TR TE'!$U$51</f>
        <v>4.014992996884363</v>
      </c>
      <c r="V13" s="20">
        <f>'TR TE'!$V$13*'TR TE'!$V$51</f>
        <v>0</v>
      </c>
      <c r="W13" s="20">
        <f>SUM($T$13:$V$13)</f>
        <v>9.8404885858925049</v>
      </c>
      <c r="X13" s="20"/>
      <c r="Y13" s="20">
        <f>SUM($X$13:$X$13)</f>
        <v>0</v>
      </c>
      <c r="Z13" s="20">
        <f>'TR TE'!$Z$13*'TR TE'!$Z$51</f>
        <v>5.6921512328017503</v>
      </c>
      <c r="AA13" s="20">
        <f>SUM($Z$13:$Z$13)</f>
        <v>5.6921512328017503</v>
      </c>
      <c r="AB13" s="20">
        <f>SUMIF($L$4:$AA$4,"SUBTOTAL",$L$13:$AA$13)</f>
        <v>234.58202522065821</v>
      </c>
    </row>
    <row r="14" spans="1:28" ht="11.25" customHeight="1" x14ac:dyDescent="0.3">
      <c r="A14" s="148"/>
      <c r="B14" s="148"/>
      <c r="C14" s="148"/>
      <c r="D14" s="22" t="s">
        <v>29</v>
      </c>
      <c r="E14" s="22" t="s">
        <v>25</v>
      </c>
      <c r="F14" s="22" t="s">
        <v>25</v>
      </c>
      <c r="G14" s="23" t="s">
        <v>83</v>
      </c>
      <c r="H14" s="23" t="s">
        <v>79</v>
      </c>
      <c r="I14" s="23">
        <f>'MERCADO TE'!$U$11</f>
        <v>1110.3100000000002</v>
      </c>
      <c r="J14" s="15"/>
      <c r="L14" s="20">
        <f>'TR TE'!$L$14*'TR TE'!$L$51</f>
        <v>2.4026594780442023</v>
      </c>
      <c r="M14" s="20">
        <f>'TR TE'!$M$14*'TR TE'!$M$51</f>
        <v>20.904860752770901</v>
      </c>
      <c r="N14" s="20">
        <f>'TR TE'!$N$14*'TR TE'!$N$51</f>
        <v>0</v>
      </c>
      <c r="O14" s="20">
        <f>'TR TE'!$O$14*'TR TE'!$O$51</f>
        <v>5.4675022620039604</v>
      </c>
      <c r="P14" s="20">
        <f>'TR TE'!$P$14*'TR TE'!$P$51</f>
        <v>-17.459208153924113</v>
      </c>
      <c r="Q14" s="20">
        <f>SUM($L$14:$P$14)</f>
        <v>11.315814338894953</v>
      </c>
      <c r="R14" s="20">
        <f>'TR TE'!$R$14*'TR TE'!$R$51</f>
        <v>207.73357106306898</v>
      </c>
      <c r="S14" s="20">
        <f>SUM($R$14:$R$14)</f>
        <v>207.73357106306898</v>
      </c>
      <c r="T14" s="20">
        <f>'TR TE'!$T$14*'TR TE'!$T$51</f>
        <v>5.8254955890081428</v>
      </c>
      <c r="U14" s="20">
        <f>'TR TE'!$U$14*'TR TE'!$U$51</f>
        <v>4.014992996884363</v>
      </c>
      <c r="V14" s="20">
        <f>'TR TE'!$V$14*'TR TE'!$V$51</f>
        <v>0</v>
      </c>
      <c r="W14" s="20">
        <f>SUM($T$14:$V$14)</f>
        <v>9.8404885858925049</v>
      </c>
      <c r="X14" s="20"/>
      <c r="Y14" s="20">
        <f>SUM($X$14:$X$14)</f>
        <v>0</v>
      </c>
      <c r="Z14" s="20">
        <f>'TR TE'!$Z$14*'TR TE'!$Z$51</f>
        <v>5.6921512328017503</v>
      </c>
      <c r="AA14" s="20">
        <f>SUM($Z$14:$Z$14)</f>
        <v>5.6921512328017503</v>
      </c>
      <c r="AB14" s="20">
        <f>SUMIF($L$4:$AA$4,"SUBTOTAL",$L$14:$AA$14)</f>
        <v>234.58202522065821</v>
      </c>
    </row>
    <row r="15" spans="1:28" ht="11.25" customHeight="1" x14ac:dyDescent="0.3">
      <c r="A15" s="148"/>
      <c r="B15" s="148"/>
      <c r="C15" s="148"/>
      <c r="D15" s="22" t="s">
        <v>30</v>
      </c>
      <c r="E15" s="22" t="s">
        <v>25</v>
      </c>
      <c r="F15" s="22" t="s">
        <v>25</v>
      </c>
      <c r="G15" s="23" t="s">
        <v>83</v>
      </c>
      <c r="H15" s="23" t="s">
        <v>79</v>
      </c>
      <c r="I15" s="23">
        <f>'MERCADO TE'!$U$12</f>
        <v>2263.0230000000001</v>
      </c>
      <c r="J15" s="15"/>
      <c r="L15" s="20">
        <f>'TR TE'!$L$15*'TR TE'!$L$51</f>
        <v>2.4026594780442023</v>
      </c>
      <c r="M15" s="20">
        <f>'TR TE'!$M$15*'TR TE'!$M$51</f>
        <v>20.904860752770901</v>
      </c>
      <c r="N15" s="20">
        <f>'TR TE'!$N$15*'TR TE'!$N$51</f>
        <v>0</v>
      </c>
      <c r="O15" s="20">
        <f>'TR TE'!$O$15*'TR TE'!$O$51</f>
        <v>5.4675022620039604</v>
      </c>
      <c r="P15" s="20">
        <f>'TR TE'!$P$15*'TR TE'!$P$51</f>
        <v>-17.459208153924113</v>
      </c>
      <c r="Q15" s="20">
        <f>SUM($L$15:$P$15)</f>
        <v>11.315814338894953</v>
      </c>
      <c r="R15" s="20">
        <f>'TR TE'!$R$15*'TR TE'!$R$51</f>
        <v>207.73357106306898</v>
      </c>
      <c r="S15" s="20">
        <f>SUM($R$15:$R$15)</f>
        <v>207.73357106306898</v>
      </c>
      <c r="T15" s="20">
        <f>'TR TE'!$T$15*'TR TE'!$T$51</f>
        <v>5.8254955890081428</v>
      </c>
      <c r="U15" s="20">
        <f>'TR TE'!$U$15*'TR TE'!$U$51</f>
        <v>4.014992996884363</v>
      </c>
      <c r="V15" s="20">
        <f>'TR TE'!$V$15*'TR TE'!$V$51</f>
        <v>0</v>
      </c>
      <c r="W15" s="20">
        <f>SUM($T$15:$V$15)</f>
        <v>9.8404885858925049</v>
      </c>
      <c r="X15" s="20"/>
      <c r="Y15" s="20">
        <f>SUM($X$15:$X$15)</f>
        <v>0</v>
      </c>
      <c r="Z15" s="20">
        <f>'TR TE'!$Z$15*'TR TE'!$Z$51</f>
        <v>5.6921512328017503</v>
      </c>
      <c r="AA15" s="20">
        <f>SUM($Z$15:$Z$15)</f>
        <v>5.6921512328017503</v>
      </c>
      <c r="AB15" s="20">
        <f>SUMIF($L$4:$AA$4,"SUBTOTAL",$L$15:$AA$15)</f>
        <v>234.58202522065821</v>
      </c>
    </row>
    <row r="16" spans="1:28" ht="11.25" customHeight="1" x14ac:dyDescent="0.3">
      <c r="A16" s="148"/>
      <c r="B16" s="148"/>
      <c r="C16" s="148"/>
      <c r="D16" s="22" t="s">
        <v>31</v>
      </c>
      <c r="E16" s="22" t="s">
        <v>25</v>
      </c>
      <c r="F16" s="22" t="s">
        <v>25</v>
      </c>
      <c r="G16" s="23" t="s">
        <v>83</v>
      </c>
      <c r="H16" s="23" t="s">
        <v>79</v>
      </c>
      <c r="I16" s="23">
        <f>'MERCADO TE'!$U$13</f>
        <v>1590.454</v>
      </c>
      <c r="J16" s="15"/>
      <c r="L16" s="20">
        <f>'TR TE'!$L$16*'TR TE'!$L$51</f>
        <v>2.4026594780442023</v>
      </c>
      <c r="M16" s="20">
        <f>'TR TE'!$M$16*'TR TE'!$M$51</f>
        <v>20.904860752770901</v>
      </c>
      <c r="N16" s="20">
        <f>'TR TE'!$N$16*'TR TE'!$N$51</f>
        <v>0</v>
      </c>
      <c r="O16" s="20">
        <f>'TR TE'!$O$16*'TR TE'!$O$51</f>
        <v>5.4675022620039604</v>
      </c>
      <c r="P16" s="20">
        <f>'TR TE'!$P$16*'TR TE'!$P$51</f>
        <v>-17.459208153924113</v>
      </c>
      <c r="Q16" s="20">
        <f>SUM($L$16:$P$16)</f>
        <v>11.315814338894953</v>
      </c>
      <c r="R16" s="20">
        <f>'TR TE'!$R$16*'TR TE'!$R$51</f>
        <v>207.73357106306898</v>
      </c>
      <c r="S16" s="20">
        <f>SUM($R$16:$R$16)</f>
        <v>207.73357106306898</v>
      </c>
      <c r="T16" s="20">
        <f>'TR TE'!$T$16*'TR TE'!$T$51</f>
        <v>5.8254955890081428</v>
      </c>
      <c r="U16" s="20">
        <f>'TR TE'!$U$16*'TR TE'!$U$51</f>
        <v>4.014992996884363</v>
      </c>
      <c r="V16" s="20">
        <f>'TR TE'!$V$16*'TR TE'!$V$51</f>
        <v>0</v>
      </c>
      <c r="W16" s="20">
        <f>SUM($T$16:$V$16)</f>
        <v>9.8404885858925049</v>
      </c>
      <c r="X16" s="20"/>
      <c r="Y16" s="20">
        <f>SUM($X$16:$X$16)</f>
        <v>0</v>
      </c>
      <c r="Z16" s="20">
        <f>'TR TE'!$Z$16*'TR TE'!$Z$51</f>
        <v>5.6921512328017503</v>
      </c>
      <c r="AA16" s="20">
        <f>SUM($Z$16:$Z$16)</f>
        <v>5.6921512328017503</v>
      </c>
      <c r="AB16" s="20">
        <f>SUMIF($L$4:$AA$4,"SUBTOTAL",$L$16:$AA$16)</f>
        <v>234.58202522065821</v>
      </c>
    </row>
    <row r="17" spans="1:28" ht="11.25" customHeight="1" x14ac:dyDescent="0.3">
      <c r="A17" s="148"/>
      <c r="B17" s="148"/>
      <c r="C17" s="148"/>
      <c r="D17" s="22" t="s">
        <v>32</v>
      </c>
      <c r="E17" s="22" t="s">
        <v>25</v>
      </c>
      <c r="F17" s="22" t="s">
        <v>25</v>
      </c>
      <c r="G17" s="23" t="s">
        <v>83</v>
      </c>
      <c r="H17" s="23" t="s">
        <v>79</v>
      </c>
      <c r="I17" s="23">
        <f>'MERCADO TE'!$U$14</f>
        <v>284.12699999999995</v>
      </c>
      <c r="J17" s="15"/>
      <c r="L17" s="20">
        <f>'TR TE'!$L$17*'TR TE'!$L$51</f>
        <v>2.4026594780442023</v>
      </c>
      <c r="M17" s="20">
        <f>'TR TE'!$M$17*'TR TE'!$M$51</f>
        <v>20.904860752770901</v>
      </c>
      <c r="N17" s="20">
        <f>'TR TE'!$N$17*'TR TE'!$N$51</f>
        <v>0</v>
      </c>
      <c r="O17" s="20">
        <f>'TR TE'!$O$17*'TR TE'!$O$51</f>
        <v>5.4675022620039604</v>
      </c>
      <c r="P17" s="20">
        <f>'TR TE'!$P$17*'TR TE'!$P$51</f>
        <v>-17.459208153924113</v>
      </c>
      <c r="Q17" s="20">
        <f>SUM($L$17:$P$17)</f>
        <v>11.315814338894953</v>
      </c>
      <c r="R17" s="20">
        <f>'TR TE'!$R$17*'TR TE'!$R$51</f>
        <v>207.73357106306898</v>
      </c>
      <c r="S17" s="20">
        <f>SUM($R$17:$R$17)</f>
        <v>207.73357106306898</v>
      </c>
      <c r="T17" s="20">
        <f>'TR TE'!$T$17*'TR TE'!$T$51</f>
        <v>5.8254955890081428</v>
      </c>
      <c r="U17" s="20">
        <f>'TR TE'!$U$17*'TR TE'!$U$51</f>
        <v>4.014992996884363</v>
      </c>
      <c r="V17" s="20">
        <f>'TR TE'!$V$17*'TR TE'!$V$51</f>
        <v>0</v>
      </c>
      <c r="W17" s="20">
        <f>SUM($T$17:$V$17)</f>
        <v>9.8404885858925049</v>
      </c>
      <c r="X17" s="20"/>
      <c r="Y17" s="20">
        <f>SUM($X$17:$X$17)</f>
        <v>0</v>
      </c>
      <c r="Z17" s="20">
        <f>'TR TE'!$Z$17*'TR TE'!$Z$51</f>
        <v>5.6921512328017503</v>
      </c>
      <c r="AA17" s="20">
        <f>SUM($Z$17:$Z$17)</f>
        <v>5.6921512328017503</v>
      </c>
      <c r="AB17" s="20">
        <f>SUMIF($L$4:$AA$4,"SUBTOTAL",$L$17:$AA$17)</f>
        <v>234.58202522065821</v>
      </c>
    </row>
    <row r="18" spans="1:28" ht="11.25" customHeight="1" x14ac:dyDescent="0.3">
      <c r="A18" s="148"/>
      <c r="B18" s="148" t="s">
        <v>92</v>
      </c>
      <c r="C18" s="148" t="s">
        <v>24</v>
      </c>
      <c r="D18" s="22" t="s">
        <v>24</v>
      </c>
      <c r="E18" s="22" t="s">
        <v>25</v>
      </c>
      <c r="F18" s="22" t="s">
        <v>25</v>
      </c>
      <c r="G18" s="23" t="s">
        <v>83</v>
      </c>
      <c r="H18" s="23" t="s">
        <v>79</v>
      </c>
      <c r="I18" s="23">
        <f>'MERCADO TE'!$U$15</f>
        <v>0</v>
      </c>
      <c r="J18" s="15"/>
      <c r="L18" s="20">
        <f>'TR TE'!$L$18*'TR TE'!$L$51</f>
        <v>2.4026594780442023</v>
      </c>
      <c r="M18" s="20">
        <f>'TR TE'!$M$18*'TR TE'!$M$51</f>
        <v>20.904860752770901</v>
      </c>
      <c r="N18" s="20">
        <f>'TR TE'!$N$18*'TR TE'!$N$51</f>
        <v>0</v>
      </c>
      <c r="O18" s="20">
        <f>'TR TE'!$O$18*'TR TE'!$O$51</f>
        <v>5.4675022620039604</v>
      </c>
      <c r="P18" s="20">
        <f>'TR TE'!$P$18*'TR TE'!$P$51</f>
        <v>-17.459208153924113</v>
      </c>
      <c r="Q18" s="20">
        <f>SUM($L$18:$P$18)</f>
        <v>11.315814338894953</v>
      </c>
      <c r="R18" s="20">
        <f>'TR TE'!$R$18*'TR TE'!$R$51</f>
        <v>207.73357106306898</v>
      </c>
      <c r="S18" s="20">
        <f>SUM($R$18:$R$18)</f>
        <v>207.73357106306898</v>
      </c>
      <c r="T18" s="20">
        <f>'TR TE'!$T$18*'TR TE'!$T$51</f>
        <v>5.8254955890081428</v>
      </c>
      <c r="U18" s="20">
        <f>'TR TE'!$U$18*'TR TE'!$U$51</f>
        <v>4.014992996884363</v>
      </c>
      <c r="V18" s="20">
        <f>'TR TE'!$V$18*'TR TE'!$V$51</f>
        <v>0</v>
      </c>
      <c r="W18" s="20">
        <f>SUM($T$18:$V$18)</f>
        <v>9.8404885858925049</v>
      </c>
      <c r="X18" s="20"/>
      <c r="Y18" s="20">
        <f>SUM($X$18:$X$18)</f>
        <v>0</v>
      </c>
      <c r="Z18" s="20">
        <f>'TR TE'!$Z$18*'TR TE'!$Z$51</f>
        <v>5.6921512328017503</v>
      </c>
      <c r="AA18" s="20">
        <f>SUM($Z$18:$Z$18)</f>
        <v>5.6921512328017503</v>
      </c>
      <c r="AB18" s="20">
        <f>SUMIF($L$4:$AA$4,"SUBTOTAL",$L$18:$AA$18)</f>
        <v>234.58202522065821</v>
      </c>
    </row>
    <row r="19" spans="1:28" ht="11.25" customHeight="1" x14ac:dyDescent="0.3">
      <c r="A19" s="148"/>
      <c r="B19" s="148"/>
      <c r="C19" s="148"/>
      <c r="D19" s="22" t="s">
        <v>29</v>
      </c>
      <c r="E19" s="22" t="s">
        <v>25</v>
      </c>
      <c r="F19" s="22" t="s">
        <v>25</v>
      </c>
      <c r="G19" s="23" t="s">
        <v>83</v>
      </c>
      <c r="H19" s="23" t="s">
        <v>79</v>
      </c>
      <c r="I19" s="23">
        <f>'MERCADO TE'!$U$16</f>
        <v>0</v>
      </c>
      <c r="J19" s="15"/>
      <c r="L19" s="20">
        <f>'TR TE'!$L$19*'TR TE'!$L$51</f>
        <v>2.4026594780442023</v>
      </c>
      <c r="M19" s="20">
        <f>'TR TE'!$M$19*'TR TE'!$M$51</f>
        <v>20.904860752770901</v>
      </c>
      <c r="N19" s="20">
        <f>'TR TE'!$N$19*'TR TE'!$N$51</f>
        <v>0</v>
      </c>
      <c r="O19" s="20">
        <f>'TR TE'!$O$19*'TR TE'!$O$51</f>
        <v>5.4675022620039604</v>
      </c>
      <c r="P19" s="20">
        <f>'TR TE'!$P$19*'TR TE'!$P$51</f>
        <v>-17.459208153924113</v>
      </c>
      <c r="Q19" s="20">
        <f>SUM($L$19:$P$19)</f>
        <v>11.315814338894953</v>
      </c>
      <c r="R19" s="20">
        <f>'TR TE'!$R$19*'TR TE'!$R$51</f>
        <v>207.73357106306898</v>
      </c>
      <c r="S19" s="20">
        <f>SUM($R$19:$R$19)</f>
        <v>207.73357106306898</v>
      </c>
      <c r="T19" s="20">
        <f>'TR TE'!$T$19*'TR TE'!$T$51</f>
        <v>5.8254955890081428</v>
      </c>
      <c r="U19" s="20">
        <f>'TR TE'!$U$19*'TR TE'!$U$51</f>
        <v>4.014992996884363</v>
      </c>
      <c r="V19" s="20">
        <f>'TR TE'!$V$19*'TR TE'!$V$51</f>
        <v>0</v>
      </c>
      <c r="W19" s="20">
        <f>SUM($T$19:$V$19)</f>
        <v>9.8404885858925049</v>
      </c>
      <c r="X19" s="20"/>
      <c r="Y19" s="20">
        <f>SUM($X$19:$X$19)</f>
        <v>0</v>
      </c>
      <c r="Z19" s="20">
        <f>'TR TE'!$Z$19*'TR TE'!$Z$51</f>
        <v>5.6921512328017503</v>
      </c>
      <c r="AA19" s="20">
        <f>SUM($Z$19:$Z$19)</f>
        <v>5.6921512328017503</v>
      </c>
      <c r="AB19" s="20">
        <f>SUMIF($L$4:$AA$4,"SUBTOTAL",$L$19:$AA$19)</f>
        <v>234.58202522065821</v>
      </c>
    </row>
    <row r="20" spans="1:28" ht="11.25" customHeight="1" x14ac:dyDescent="0.3">
      <c r="A20" s="148"/>
      <c r="B20" s="148"/>
      <c r="C20" s="148"/>
      <c r="D20" s="22" t="s">
        <v>30</v>
      </c>
      <c r="E20" s="22" t="s">
        <v>25</v>
      </c>
      <c r="F20" s="22" t="s">
        <v>25</v>
      </c>
      <c r="G20" s="23" t="s">
        <v>83</v>
      </c>
      <c r="H20" s="23" t="s">
        <v>79</v>
      </c>
      <c r="I20" s="23">
        <f>'MERCADO TE'!$U$17</f>
        <v>0</v>
      </c>
      <c r="J20" s="15"/>
      <c r="L20" s="20">
        <f>'TR TE'!$L$20*'TR TE'!$L$51</f>
        <v>2.4026594780442023</v>
      </c>
      <c r="M20" s="20">
        <f>'TR TE'!$M$20*'TR TE'!$M$51</f>
        <v>20.904860752770901</v>
      </c>
      <c r="N20" s="20">
        <f>'TR TE'!$N$20*'TR TE'!$N$51</f>
        <v>0</v>
      </c>
      <c r="O20" s="20">
        <f>'TR TE'!$O$20*'TR TE'!$O$51</f>
        <v>5.4675022620039604</v>
      </c>
      <c r="P20" s="20">
        <f>'TR TE'!$P$20*'TR TE'!$P$51</f>
        <v>-17.459208153924113</v>
      </c>
      <c r="Q20" s="20">
        <f>SUM($L$20:$P$20)</f>
        <v>11.315814338894953</v>
      </c>
      <c r="R20" s="20">
        <f>'TR TE'!$R$20*'TR TE'!$R$51</f>
        <v>207.73357106306898</v>
      </c>
      <c r="S20" s="20">
        <f>SUM($R$20:$R$20)</f>
        <v>207.73357106306898</v>
      </c>
      <c r="T20" s="20">
        <f>'TR TE'!$T$20*'TR TE'!$T$51</f>
        <v>5.8254955890081428</v>
      </c>
      <c r="U20" s="20">
        <f>'TR TE'!$U$20*'TR TE'!$U$51</f>
        <v>4.014992996884363</v>
      </c>
      <c r="V20" s="20">
        <f>'TR TE'!$V$20*'TR TE'!$V$51</f>
        <v>0</v>
      </c>
      <c r="W20" s="20">
        <f>SUM($T$20:$V$20)</f>
        <v>9.8404885858925049</v>
      </c>
      <c r="X20" s="20"/>
      <c r="Y20" s="20">
        <f>SUM($X$20:$X$20)</f>
        <v>0</v>
      </c>
      <c r="Z20" s="20">
        <f>'TR TE'!$Z$20*'TR TE'!$Z$51</f>
        <v>5.6921512328017503</v>
      </c>
      <c r="AA20" s="20">
        <f>SUM($Z$20:$Z$20)</f>
        <v>5.6921512328017503</v>
      </c>
      <c r="AB20" s="20">
        <f>SUMIF($L$4:$AA$4,"SUBTOTAL",$L$20:$AA$20)</f>
        <v>234.58202522065821</v>
      </c>
    </row>
    <row r="21" spans="1:28" ht="11.25" customHeight="1" x14ac:dyDescent="0.3">
      <c r="A21" s="148"/>
      <c r="B21" s="148"/>
      <c r="C21" s="148"/>
      <c r="D21" s="22" t="s">
        <v>31</v>
      </c>
      <c r="E21" s="22" t="s">
        <v>25</v>
      </c>
      <c r="F21" s="22" t="s">
        <v>25</v>
      </c>
      <c r="G21" s="23" t="s">
        <v>83</v>
      </c>
      <c r="H21" s="23" t="s">
        <v>79</v>
      </c>
      <c r="I21" s="23">
        <f>'MERCADO TE'!$U$18</f>
        <v>0</v>
      </c>
      <c r="J21" s="15"/>
      <c r="L21" s="20">
        <f>'TR TE'!$L$21*'TR TE'!$L$51</f>
        <v>2.4026594780442023</v>
      </c>
      <c r="M21" s="20">
        <f>'TR TE'!$M$21*'TR TE'!$M$51</f>
        <v>20.904860752770901</v>
      </c>
      <c r="N21" s="20">
        <f>'TR TE'!$N$21*'TR TE'!$N$51</f>
        <v>0</v>
      </c>
      <c r="O21" s="20">
        <f>'TR TE'!$O$21*'TR TE'!$O$51</f>
        <v>5.4675022620039604</v>
      </c>
      <c r="P21" s="20">
        <f>'TR TE'!$P$21*'TR TE'!$P$51</f>
        <v>-17.459208153924113</v>
      </c>
      <c r="Q21" s="20">
        <f>SUM($L$21:$P$21)</f>
        <v>11.315814338894953</v>
      </c>
      <c r="R21" s="20">
        <f>'TR TE'!$R$21*'TR TE'!$R$51</f>
        <v>207.73357106306898</v>
      </c>
      <c r="S21" s="20">
        <f>SUM($R$21:$R$21)</f>
        <v>207.73357106306898</v>
      </c>
      <c r="T21" s="20">
        <f>'TR TE'!$T$21*'TR TE'!$T$51</f>
        <v>5.8254955890081428</v>
      </c>
      <c r="U21" s="20">
        <f>'TR TE'!$U$21*'TR TE'!$U$51</f>
        <v>4.014992996884363</v>
      </c>
      <c r="V21" s="20">
        <f>'TR TE'!$V$21*'TR TE'!$V$51</f>
        <v>0</v>
      </c>
      <c r="W21" s="20">
        <f>SUM($T$21:$V$21)</f>
        <v>9.8404885858925049</v>
      </c>
      <c r="X21" s="20"/>
      <c r="Y21" s="20">
        <f>SUM($X$21:$X$21)</f>
        <v>0</v>
      </c>
      <c r="Z21" s="20">
        <f>'TR TE'!$Z$21*'TR TE'!$Z$51</f>
        <v>5.6921512328017503</v>
      </c>
      <c r="AA21" s="20">
        <f>SUM($Z$21:$Z$21)</f>
        <v>5.6921512328017503</v>
      </c>
      <c r="AB21" s="20">
        <f>SUMIF($L$4:$AA$4,"SUBTOTAL",$L$21:$AA$21)</f>
        <v>234.58202522065821</v>
      </c>
    </row>
    <row r="22" spans="1:28" ht="11.25" customHeight="1" x14ac:dyDescent="0.3">
      <c r="A22" s="148"/>
      <c r="B22" s="148"/>
      <c r="C22" s="148"/>
      <c r="D22" s="22" t="s">
        <v>32</v>
      </c>
      <c r="E22" s="22" t="s">
        <v>25</v>
      </c>
      <c r="F22" s="22" t="s">
        <v>25</v>
      </c>
      <c r="G22" s="23" t="s">
        <v>83</v>
      </c>
      <c r="H22" s="23" t="s">
        <v>79</v>
      </c>
      <c r="I22" s="23">
        <f>'MERCADO TE'!$U$19</f>
        <v>0</v>
      </c>
      <c r="J22" s="15"/>
      <c r="L22" s="20">
        <f>'TR TE'!$L$22*'TR TE'!$L$51</f>
        <v>2.4026594780442023</v>
      </c>
      <c r="M22" s="20">
        <f>'TR TE'!$M$22*'TR TE'!$M$51</f>
        <v>20.904860752770901</v>
      </c>
      <c r="N22" s="20">
        <f>'TR TE'!$N$22*'TR TE'!$N$51</f>
        <v>0</v>
      </c>
      <c r="O22" s="20">
        <f>'TR TE'!$O$22*'TR TE'!$O$51</f>
        <v>5.4675022620039604</v>
      </c>
      <c r="P22" s="20">
        <f>'TR TE'!$P$22*'TR TE'!$P$51</f>
        <v>-17.459208153924113</v>
      </c>
      <c r="Q22" s="20">
        <f>SUM($L$22:$P$22)</f>
        <v>11.315814338894953</v>
      </c>
      <c r="R22" s="20">
        <f>'TR TE'!$R$22*'TR TE'!$R$51</f>
        <v>207.73357106306898</v>
      </c>
      <c r="S22" s="20">
        <f>SUM($R$22:$R$22)</f>
        <v>207.73357106306898</v>
      </c>
      <c r="T22" s="20">
        <f>'TR TE'!$T$22*'TR TE'!$T$51</f>
        <v>5.8254955890081428</v>
      </c>
      <c r="U22" s="20">
        <f>'TR TE'!$U$22*'TR TE'!$U$51</f>
        <v>4.014992996884363</v>
      </c>
      <c r="V22" s="20">
        <f>'TR TE'!$V$22*'TR TE'!$V$51</f>
        <v>0</v>
      </c>
      <c r="W22" s="20">
        <f>SUM($T$22:$V$22)</f>
        <v>9.8404885858925049</v>
      </c>
      <c r="X22" s="20"/>
      <c r="Y22" s="20">
        <f>SUM($X$22:$X$22)</f>
        <v>0</v>
      </c>
      <c r="Z22" s="20">
        <f>'TR TE'!$Z$22*'TR TE'!$Z$51</f>
        <v>5.6921512328017503</v>
      </c>
      <c r="AA22" s="20">
        <f>SUM($Z$22:$Z$22)</f>
        <v>5.6921512328017503</v>
      </c>
      <c r="AB22" s="20">
        <f>SUMIF($L$4:$AA$4,"SUBTOTAL",$L$22:$AA$22)</f>
        <v>234.58202522065821</v>
      </c>
    </row>
    <row r="23" spans="1:28" ht="11.25" customHeight="1" x14ac:dyDescent="0.3">
      <c r="A23" s="148" t="s">
        <v>43</v>
      </c>
      <c r="B23" s="148" t="s">
        <v>78</v>
      </c>
      <c r="C23" s="148" t="s">
        <v>44</v>
      </c>
      <c r="D23" s="148" t="s">
        <v>25</v>
      </c>
      <c r="E23" s="148" t="s">
        <v>25</v>
      </c>
      <c r="F23" s="148" t="s">
        <v>25</v>
      </c>
      <c r="G23" s="23" t="s">
        <v>80</v>
      </c>
      <c r="H23" s="23" t="s">
        <v>79</v>
      </c>
      <c r="I23" s="23">
        <f>'MERCADO TE'!$U$20</f>
        <v>0</v>
      </c>
      <c r="J23" s="15"/>
      <c r="L23" s="20">
        <f>'TR TE'!$L$23*'TR TE'!$L$51</f>
        <v>2.4026594780442023</v>
      </c>
      <c r="M23" s="20">
        <f>'TR TE'!$M$23*'TR TE'!$M$51</f>
        <v>20.904860752770901</v>
      </c>
      <c r="N23" s="20">
        <f>'TR TE'!$N$23*'TR TE'!$N$51</f>
        <v>0</v>
      </c>
      <c r="O23" s="20">
        <f>'TR TE'!$O$23*'TR TE'!$O$51</f>
        <v>5.4675022620039604</v>
      </c>
      <c r="P23" s="20">
        <f>'TR TE'!$P$23*'TR TE'!$P$51</f>
        <v>-17.459208153924113</v>
      </c>
      <c r="Q23" s="20">
        <f>SUM($L$23:$P$23)</f>
        <v>11.315814338894953</v>
      </c>
      <c r="R23" s="20">
        <f>'TR TE'!$R$23*'TR TE'!$R$51</f>
        <v>337.07711530988547</v>
      </c>
      <c r="S23" s="20">
        <f>SUM($R$23:$R$23)</f>
        <v>337.07711530988547</v>
      </c>
      <c r="T23" s="20">
        <f>'TR TE'!$T$23*'TR TE'!$T$51</f>
        <v>5.8254955890081428</v>
      </c>
      <c r="U23" s="20">
        <f>'TR TE'!$U$23*'TR TE'!$U$51</f>
        <v>4.014992996884363</v>
      </c>
      <c r="V23" s="20">
        <f>'TR TE'!$V$23*'TR TE'!$V$51</f>
        <v>0</v>
      </c>
      <c r="W23" s="20">
        <f>SUM($T$23:$V$23)</f>
        <v>9.8404885858925049</v>
      </c>
      <c r="X23" s="20"/>
      <c r="Y23" s="20">
        <f>SUM($X$23:$X$23)</f>
        <v>0</v>
      </c>
      <c r="Z23" s="20">
        <f>'TR TE'!$Z$23*'TR TE'!$Z$51</f>
        <v>5.6921512328017503</v>
      </c>
      <c r="AA23" s="20">
        <f>SUM($Z$23:$Z$23)</f>
        <v>5.6921512328017503</v>
      </c>
      <c r="AB23" s="20">
        <f>SUMIF($L$4:$AA$4,"SUBTOTAL",$L$23:$AA$23)</f>
        <v>363.92556946747465</v>
      </c>
    </row>
    <row r="24" spans="1:28" ht="11.25" customHeight="1" x14ac:dyDescent="0.3">
      <c r="A24" s="148"/>
      <c r="B24" s="148"/>
      <c r="C24" s="148"/>
      <c r="D24" s="148"/>
      <c r="E24" s="148"/>
      <c r="F24" s="148"/>
      <c r="G24" s="23" t="s">
        <v>91</v>
      </c>
      <c r="H24" s="23" t="s">
        <v>79</v>
      </c>
      <c r="I24" s="23">
        <f>'MERCADO TE'!$U$21</f>
        <v>0</v>
      </c>
      <c r="J24" s="15"/>
      <c r="L24" s="20">
        <f>'TR TE'!$L$24*'TR TE'!$L$51</f>
        <v>2.4026594780442023</v>
      </c>
      <c r="M24" s="20">
        <f>'TR TE'!$M$24*'TR TE'!$M$51</f>
        <v>20.904860752770901</v>
      </c>
      <c r="N24" s="20">
        <f>'TR TE'!$N$24*'TR TE'!$N$51</f>
        <v>0</v>
      </c>
      <c r="O24" s="20">
        <f>'TR TE'!$O$24*'TR TE'!$O$51</f>
        <v>5.4675022620039604</v>
      </c>
      <c r="P24" s="20">
        <f>'TR TE'!$P$24*'TR TE'!$P$51</f>
        <v>-17.459208153924113</v>
      </c>
      <c r="Q24" s="20">
        <f>SUM($L$24:$P$24)</f>
        <v>11.315814338894953</v>
      </c>
      <c r="R24" s="20">
        <f>'TR TE'!$R$24*'TR TE'!$R$51</f>
        <v>195.9750670406311</v>
      </c>
      <c r="S24" s="20">
        <f>SUM($R$24:$R$24)</f>
        <v>195.9750670406311</v>
      </c>
      <c r="T24" s="20">
        <f>'TR TE'!$T$24*'TR TE'!$T$51</f>
        <v>5.8254955890081428</v>
      </c>
      <c r="U24" s="20">
        <f>'TR TE'!$U$24*'TR TE'!$U$51</f>
        <v>4.014992996884363</v>
      </c>
      <c r="V24" s="20">
        <f>'TR TE'!$V$24*'TR TE'!$V$51</f>
        <v>0</v>
      </c>
      <c r="W24" s="20">
        <f>SUM($T$24:$V$24)</f>
        <v>9.8404885858925049</v>
      </c>
      <c r="X24" s="20"/>
      <c r="Y24" s="20">
        <f>SUM($X$24:$X$24)</f>
        <v>0</v>
      </c>
      <c r="Z24" s="20">
        <f>'TR TE'!$Z$24*'TR TE'!$Z$51</f>
        <v>5.6921512328017503</v>
      </c>
      <c r="AA24" s="20">
        <f>SUM($Z$24:$Z$24)</f>
        <v>5.6921512328017503</v>
      </c>
      <c r="AB24" s="20">
        <f>SUMIF($L$4:$AA$4,"SUBTOTAL",$L$24:$AA$24)</f>
        <v>222.82352119822033</v>
      </c>
    </row>
    <row r="25" spans="1:28" ht="11.25" customHeight="1" x14ac:dyDescent="0.3">
      <c r="A25" s="148"/>
      <c r="B25" s="148"/>
      <c r="C25" s="148"/>
      <c r="D25" s="148"/>
      <c r="E25" s="148"/>
      <c r="F25" s="148"/>
      <c r="G25" s="23" t="s">
        <v>81</v>
      </c>
      <c r="H25" s="23" t="s">
        <v>79</v>
      </c>
      <c r="I25" s="23">
        <f>'MERCADO TE'!$U$22</f>
        <v>0</v>
      </c>
      <c r="J25" s="15"/>
      <c r="L25" s="20">
        <f>'TR TE'!$L$25*'TR TE'!$L$51</f>
        <v>2.4026594780442023</v>
      </c>
      <c r="M25" s="20">
        <f>'TR TE'!$M$25*'TR TE'!$M$51</f>
        <v>20.904860752770901</v>
      </c>
      <c r="N25" s="20">
        <f>'TR TE'!$N$25*'TR TE'!$N$51</f>
        <v>0</v>
      </c>
      <c r="O25" s="20">
        <f>'TR TE'!$O$25*'TR TE'!$O$51</f>
        <v>5.4675022620039604</v>
      </c>
      <c r="P25" s="20">
        <f>'TR TE'!$P$25*'TR TE'!$P$51</f>
        <v>-17.459208153924113</v>
      </c>
      <c r="Q25" s="20">
        <f>SUM($L$25:$P$25)</f>
        <v>11.315814338894953</v>
      </c>
      <c r="R25" s="20">
        <f>'TR TE'!$R$25*'TR TE'!$R$51</f>
        <v>195.9750670406311</v>
      </c>
      <c r="S25" s="20">
        <f>SUM($R$25:$R$25)</f>
        <v>195.9750670406311</v>
      </c>
      <c r="T25" s="20">
        <f>'TR TE'!$T$25*'TR TE'!$T$51</f>
        <v>5.8254955890081428</v>
      </c>
      <c r="U25" s="20">
        <f>'TR TE'!$U$25*'TR TE'!$U$51</f>
        <v>4.014992996884363</v>
      </c>
      <c r="V25" s="20">
        <f>'TR TE'!$V$25*'TR TE'!$V$51</f>
        <v>0</v>
      </c>
      <c r="W25" s="20">
        <f>SUM($T$25:$V$25)</f>
        <v>9.8404885858925049</v>
      </c>
      <c r="X25" s="20"/>
      <c r="Y25" s="20">
        <f>SUM($X$25:$X$25)</f>
        <v>0</v>
      </c>
      <c r="Z25" s="20">
        <f>'TR TE'!$Z$25*'TR TE'!$Z$51</f>
        <v>5.6921512328017503</v>
      </c>
      <c r="AA25" s="20">
        <f>SUM($Z$25:$Z$25)</f>
        <v>5.6921512328017503</v>
      </c>
      <c r="AB25" s="20">
        <f>SUMIF($L$4:$AA$4,"SUBTOTAL",$L$25:$AA$25)</f>
        <v>222.82352119822033</v>
      </c>
    </row>
    <row r="26" spans="1:28" ht="11.25" customHeight="1" x14ac:dyDescent="0.3">
      <c r="A26" s="148"/>
      <c r="B26" s="22" t="s">
        <v>82</v>
      </c>
      <c r="C26" s="22" t="s">
        <v>44</v>
      </c>
      <c r="D26" s="22" t="s">
        <v>25</v>
      </c>
      <c r="E26" s="22" t="s">
        <v>25</v>
      </c>
      <c r="F26" s="22" t="s">
        <v>25</v>
      </c>
      <c r="G26" s="23" t="s">
        <v>83</v>
      </c>
      <c r="H26" s="23" t="s">
        <v>79</v>
      </c>
      <c r="I26" s="23">
        <f>'MERCADO TE'!$U$23</f>
        <v>17613.978000000003</v>
      </c>
      <c r="J26" s="15"/>
      <c r="L26" s="20">
        <f>'TR TE'!$L$26*'TR TE'!$L$51</f>
        <v>2.4026594780442023</v>
      </c>
      <c r="M26" s="20">
        <f>'TR TE'!$M$26*'TR TE'!$M$51</f>
        <v>20.904860752770901</v>
      </c>
      <c r="N26" s="20">
        <f>'TR TE'!$N$26*'TR TE'!$N$51</f>
        <v>0</v>
      </c>
      <c r="O26" s="20">
        <f>'TR TE'!$O$26*'TR TE'!$O$51</f>
        <v>5.4675022620039604</v>
      </c>
      <c r="P26" s="20">
        <f>'TR TE'!$P$26*'TR TE'!$P$51</f>
        <v>-17.459208153924113</v>
      </c>
      <c r="Q26" s="20">
        <f>SUM($L$26:$P$26)</f>
        <v>11.315814338894953</v>
      </c>
      <c r="R26" s="20">
        <f>'TR TE'!$R$26*'TR TE'!$R$51</f>
        <v>207.73357106306898</v>
      </c>
      <c r="S26" s="20">
        <f>SUM($R$26:$R$26)</f>
        <v>207.73357106306898</v>
      </c>
      <c r="T26" s="20">
        <f>'TR TE'!$T$26*'TR TE'!$T$51</f>
        <v>5.8254955890081428</v>
      </c>
      <c r="U26" s="20">
        <f>'TR TE'!$U$26*'TR TE'!$U$51</f>
        <v>4.014992996884363</v>
      </c>
      <c r="V26" s="20">
        <f>'TR TE'!$V$26*'TR TE'!$V$51</f>
        <v>0</v>
      </c>
      <c r="W26" s="20">
        <f>SUM($T$26:$V$26)</f>
        <v>9.8404885858925049</v>
      </c>
      <c r="X26" s="20"/>
      <c r="Y26" s="20">
        <f>SUM($X$26:$X$26)</f>
        <v>0</v>
      </c>
      <c r="Z26" s="20">
        <f>'TR TE'!$Z$26*'TR TE'!$Z$51</f>
        <v>5.6921512328017503</v>
      </c>
      <c r="AA26" s="20">
        <f>SUM($Z$26:$Z$26)</f>
        <v>5.6921512328017503</v>
      </c>
      <c r="AB26" s="20">
        <f>SUMIF($L$4:$AA$4,"SUBTOTAL",$L$26:$AA$26)</f>
        <v>234.58202522065821</v>
      </c>
    </row>
    <row r="27" spans="1:28" ht="11.25" customHeight="1" x14ac:dyDescent="0.3">
      <c r="A27" s="148"/>
      <c r="B27" s="148" t="s">
        <v>78</v>
      </c>
      <c r="C27" s="148" t="s">
        <v>44</v>
      </c>
      <c r="D27" s="148" t="s">
        <v>94</v>
      </c>
      <c r="E27" s="148" t="s">
        <v>25</v>
      </c>
      <c r="F27" s="148" t="s">
        <v>25</v>
      </c>
      <c r="G27" s="23" t="s">
        <v>80</v>
      </c>
      <c r="H27" s="23" t="s">
        <v>79</v>
      </c>
      <c r="I27" s="23">
        <f>'MERCADO TE'!$U$24</f>
        <v>0</v>
      </c>
      <c r="J27" s="15"/>
      <c r="L27" s="20">
        <f>'TR TE'!$L$27*'TR TE'!$L$51</f>
        <v>2.4026594780442023</v>
      </c>
      <c r="M27" s="20">
        <f>'TR TE'!$M$27*'TR TE'!$M$51</f>
        <v>20.904860752770901</v>
      </c>
      <c r="N27" s="20">
        <f>'TR TE'!$N$27*'TR TE'!$N$51</f>
        <v>0</v>
      </c>
      <c r="O27" s="20">
        <f>'TR TE'!$O$27*'TR TE'!$O$51</f>
        <v>5.4675022620039604</v>
      </c>
      <c r="P27" s="20">
        <f>'TR TE'!$P$27*'TR TE'!$P$51</f>
        <v>-17.459208153924113</v>
      </c>
      <c r="Q27" s="20">
        <f>SUM($L$27:$P$27)</f>
        <v>11.315814338894953</v>
      </c>
      <c r="R27" s="20">
        <f>'TR TE'!$R$27*'TR TE'!$R$51</f>
        <v>337.07711530988547</v>
      </c>
      <c r="S27" s="20">
        <f>SUM($R$27:$R$27)</f>
        <v>337.07711530988547</v>
      </c>
      <c r="T27" s="20">
        <f>'TR TE'!$T$27*'TR TE'!$T$51</f>
        <v>5.8254955890081428</v>
      </c>
      <c r="U27" s="20">
        <f>'TR TE'!$U$27*'TR TE'!$U$51</f>
        <v>4.014992996884363</v>
      </c>
      <c r="V27" s="20">
        <f>'TR TE'!$V$27*'TR TE'!$V$51</f>
        <v>0</v>
      </c>
      <c r="W27" s="20">
        <f>SUM($T$27:$V$27)</f>
        <v>9.8404885858925049</v>
      </c>
      <c r="X27" s="20"/>
      <c r="Y27" s="20">
        <f>SUM($X$27:$X$27)</f>
        <v>0</v>
      </c>
      <c r="Z27" s="20">
        <f>'TR TE'!$Z$27*'TR TE'!$Z$51</f>
        <v>5.6921512328017503</v>
      </c>
      <c r="AA27" s="20">
        <f>SUM($Z$27:$Z$27)</f>
        <v>5.6921512328017503</v>
      </c>
      <c r="AB27" s="20">
        <f>SUMIF($L$4:$AA$4,"SUBTOTAL",$L$27:$AA$27)</f>
        <v>363.92556946747465</v>
      </c>
    </row>
    <row r="28" spans="1:28" ht="11.25" customHeight="1" x14ac:dyDescent="0.3">
      <c r="A28" s="148"/>
      <c r="B28" s="148"/>
      <c r="C28" s="148"/>
      <c r="D28" s="148"/>
      <c r="E28" s="148"/>
      <c r="F28" s="148"/>
      <c r="G28" s="23" t="s">
        <v>91</v>
      </c>
      <c r="H28" s="23" t="s">
        <v>79</v>
      </c>
      <c r="I28" s="23">
        <f>'MERCADO TE'!$U$25</f>
        <v>0</v>
      </c>
      <c r="J28" s="15"/>
      <c r="L28" s="20">
        <f>'TR TE'!$L$28*'TR TE'!$L$51</f>
        <v>2.4026594780442023</v>
      </c>
      <c r="M28" s="20">
        <f>'TR TE'!$M$28*'TR TE'!$M$51</f>
        <v>20.904860752770901</v>
      </c>
      <c r="N28" s="20">
        <f>'TR TE'!$N$28*'TR TE'!$N$51</f>
        <v>0</v>
      </c>
      <c r="O28" s="20">
        <f>'TR TE'!$O$28*'TR TE'!$O$51</f>
        <v>5.4675022620039604</v>
      </c>
      <c r="P28" s="20">
        <f>'TR TE'!$P$28*'TR TE'!$P$51</f>
        <v>-17.459208153924113</v>
      </c>
      <c r="Q28" s="20">
        <f>SUM($L$28:$P$28)</f>
        <v>11.315814338894953</v>
      </c>
      <c r="R28" s="20">
        <f>'TR TE'!$R$28*'TR TE'!$R$51</f>
        <v>195.9750670406311</v>
      </c>
      <c r="S28" s="20">
        <f>SUM($R$28:$R$28)</f>
        <v>195.9750670406311</v>
      </c>
      <c r="T28" s="20">
        <f>'TR TE'!$T$28*'TR TE'!$T$51</f>
        <v>5.8254955890081428</v>
      </c>
      <c r="U28" s="20">
        <f>'TR TE'!$U$28*'TR TE'!$U$51</f>
        <v>4.014992996884363</v>
      </c>
      <c r="V28" s="20">
        <f>'TR TE'!$V$28*'TR TE'!$V$51</f>
        <v>0</v>
      </c>
      <c r="W28" s="20">
        <f>SUM($T$28:$V$28)</f>
        <v>9.8404885858925049</v>
      </c>
      <c r="X28" s="20"/>
      <c r="Y28" s="20">
        <f>SUM($X$28:$X$28)</f>
        <v>0</v>
      </c>
      <c r="Z28" s="20">
        <f>'TR TE'!$Z$28*'TR TE'!$Z$51</f>
        <v>5.6921512328017503</v>
      </c>
      <c r="AA28" s="20">
        <f>SUM($Z$28:$Z$28)</f>
        <v>5.6921512328017503</v>
      </c>
      <c r="AB28" s="20">
        <f>SUMIF($L$4:$AA$4,"SUBTOTAL",$L$28:$AA$28)</f>
        <v>222.82352119822033</v>
      </c>
    </row>
    <row r="29" spans="1:28" ht="11.25" customHeight="1" x14ac:dyDescent="0.3">
      <c r="A29" s="148"/>
      <c r="B29" s="148"/>
      <c r="C29" s="148"/>
      <c r="D29" s="148"/>
      <c r="E29" s="148"/>
      <c r="F29" s="148"/>
      <c r="G29" s="23" t="s">
        <v>81</v>
      </c>
      <c r="H29" s="23" t="s">
        <v>79</v>
      </c>
      <c r="I29" s="23">
        <f>'MERCADO TE'!$U$26</f>
        <v>0</v>
      </c>
      <c r="J29" s="15"/>
      <c r="L29" s="20">
        <f>'TR TE'!$L$29*'TR TE'!$L$51</f>
        <v>2.4026594780442023</v>
      </c>
      <c r="M29" s="20">
        <f>'TR TE'!$M$29*'TR TE'!$M$51</f>
        <v>20.904860752770901</v>
      </c>
      <c r="N29" s="20">
        <f>'TR TE'!$N$29*'TR TE'!$N$51</f>
        <v>0</v>
      </c>
      <c r="O29" s="20">
        <f>'TR TE'!$O$29*'TR TE'!$O$51</f>
        <v>5.4675022620039604</v>
      </c>
      <c r="P29" s="20">
        <f>'TR TE'!$P$29*'TR TE'!$P$51</f>
        <v>-17.459208153924113</v>
      </c>
      <c r="Q29" s="20">
        <f>SUM($L$29:$P$29)</f>
        <v>11.315814338894953</v>
      </c>
      <c r="R29" s="20">
        <f>'TR TE'!$R$29*'TR TE'!$R$51</f>
        <v>195.9750670406311</v>
      </c>
      <c r="S29" s="20">
        <f>SUM($R$29:$R$29)</f>
        <v>195.9750670406311</v>
      </c>
      <c r="T29" s="20">
        <f>'TR TE'!$T$29*'TR TE'!$T$51</f>
        <v>5.8254955890081428</v>
      </c>
      <c r="U29" s="20">
        <f>'TR TE'!$U$29*'TR TE'!$U$51</f>
        <v>4.014992996884363</v>
      </c>
      <c r="V29" s="20">
        <f>'TR TE'!$V$29*'TR TE'!$V$51</f>
        <v>0</v>
      </c>
      <c r="W29" s="20">
        <f>SUM($T$29:$V$29)</f>
        <v>9.8404885858925049</v>
      </c>
      <c r="X29" s="20"/>
      <c r="Y29" s="20">
        <f>SUM($X$29:$X$29)</f>
        <v>0</v>
      </c>
      <c r="Z29" s="20">
        <f>'TR TE'!$Z$29*'TR TE'!$Z$51</f>
        <v>5.6921512328017503</v>
      </c>
      <c r="AA29" s="20">
        <f>SUM($Z$29:$Z$29)</f>
        <v>5.6921512328017503</v>
      </c>
      <c r="AB29" s="20">
        <f>SUMIF($L$4:$AA$4,"SUBTOTAL",$L$29:$AA$29)</f>
        <v>222.82352119822033</v>
      </c>
    </row>
    <row r="30" spans="1:28" ht="11.25" customHeight="1" x14ac:dyDescent="0.3">
      <c r="A30" s="148"/>
      <c r="B30" s="22" t="s">
        <v>82</v>
      </c>
      <c r="C30" s="22" t="s">
        <v>44</v>
      </c>
      <c r="D30" s="22" t="s">
        <v>94</v>
      </c>
      <c r="E30" s="22" t="s">
        <v>25</v>
      </c>
      <c r="F30" s="22" t="s">
        <v>25</v>
      </c>
      <c r="G30" s="23" t="s">
        <v>83</v>
      </c>
      <c r="H30" s="23" t="s">
        <v>79</v>
      </c>
      <c r="I30" s="23">
        <f>'MERCADO TE'!$U$27</f>
        <v>0</v>
      </c>
      <c r="J30" s="15"/>
      <c r="L30" s="20">
        <f>'TR TE'!$L$30*'TR TE'!$L$51</f>
        <v>2.4026594780442023</v>
      </c>
      <c r="M30" s="20">
        <f>'TR TE'!$M$30*'TR TE'!$M$51</f>
        <v>20.904860752770901</v>
      </c>
      <c r="N30" s="20">
        <f>'TR TE'!$N$30*'TR TE'!$N$51</f>
        <v>0</v>
      </c>
      <c r="O30" s="20">
        <f>'TR TE'!$O$30*'TR TE'!$O$51</f>
        <v>5.4675022620039604</v>
      </c>
      <c r="P30" s="20">
        <f>'TR TE'!$P$30*'TR TE'!$P$51</f>
        <v>-17.459208153924113</v>
      </c>
      <c r="Q30" s="20">
        <f>SUM($L$30:$P$30)</f>
        <v>11.315814338894953</v>
      </c>
      <c r="R30" s="20">
        <f>'TR TE'!$R$30*'TR TE'!$R$51</f>
        <v>207.73357106306898</v>
      </c>
      <c r="S30" s="20">
        <f>SUM($R$30:$R$30)</f>
        <v>207.73357106306898</v>
      </c>
      <c r="T30" s="20">
        <f>'TR TE'!$T$30*'TR TE'!$T$51</f>
        <v>5.8254955890081428</v>
      </c>
      <c r="U30" s="20">
        <f>'TR TE'!$U$30*'TR TE'!$U$51</f>
        <v>4.014992996884363</v>
      </c>
      <c r="V30" s="20">
        <f>'TR TE'!$V$30*'TR TE'!$V$51</f>
        <v>0</v>
      </c>
      <c r="W30" s="20">
        <f>SUM($T$30:$V$30)</f>
        <v>9.8404885858925049</v>
      </c>
      <c r="X30" s="20"/>
      <c r="Y30" s="20">
        <f>SUM($X$30:$X$30)</f>
        <v>0</v>
      </c>
      <c r="Z30" s="20">
        <f>'TR TE'!$Z$30*'TR TE'!$Z$51</f>
        <v>5.6921512328017503</v>
      </c>
      <c r="AA30" s="20">
        <f>SUM($Z$30:$Z$30)</f>
        <v>5.6921512328017503</v>
      </c>
      <c r="AB30" s="20">
        <f>SUMIF($L$4:$AA$4,"SUBTOTAL",$L$30:$AA$30)</f>
        <v>234.58202522065821</v>
      </c>
    </row>
    <row r="31" spans="1:28" ht="11.25" customHeight="1" x14ac:dyDescent="0.3">
      <c r="A31" s="148"/>
      <c r="B31" s="148" t="s">
        <v>78</v>
      </c>
      <c r="C31" s="148" t="s">
        <v>44</v>
      </c>
      <c r="D31" s="148" t="s">
        <v>95</v>
      </c>
      <c r="E31" s="148" t="s">
        <v>25</v>
      </c>
      <c r="F31" s="148" t="s">
        <v>25</v>
      </c>
      <c r="G31" s="23" t="s">
        <v>80</v>
      </c>
      <c r="H31" s="23" t="s">
        <v>79</v>
      </c>
      <c r="I31" s="23">
        <f>'MERCADO TE'!$U$28</f>
        <v>0</v>
      </c>
      <c r="J31" s="15"/>
      <c r="L31" s="20">
        <f>'TR TE'!$L$31*'TR TE'!$L$51</f>
        <v>2.4026594780442023</v>
      </c>
      <c r="M31" s="20">
        <f>'TR TE'!$M$31*'TR TE'!$M$51</f>
        <v>20.904860752770901</v>
      </c>
      <c r="N31" s="20">
        <f>'TR TE'!$N$31*'TR TE'!$N$51</f>
        <v>0</v>
      </c>
      <c r="O31" s="20">
        <f>'TR TE'!$O$31*'TR TE'!$O$51</f>
        <v>5.4675022620039604</v>
      </c>
      <c r="P31" s="20">
        <f>'TR TE'!$P$31*'TR TE'!$P$51</f>
        <v>-17.459208153924113</v>
      </c>
      <c r="Q31" s="20">
        <f>SUM($L$31:$P$31)</f>
        <v>11.315814338894953</v>
      </c>
      <c r="R31" s="20">
        <f>'TR TE'!$R$31*'TR TE'!$R$51</f>
        <v>337.07711530988547</v>
      </c>
      <c r="S31" s="20">
        <f>SUM($R$31:$R$31)</f>
        <v>337.07711530988547</v>
      </c>
      <c r="T31" s="20">
        <f>'TR TE'!$T$31*'TR TE'!$T$51</f>
        <v>5.8254955890081428</v>
      </c>
      <c r="U31" s="20">
        <f>'TR TE'!$U$31*'TR TE'!$U$51</f>
        <v>4.014992996884363</v>
      </c>
      <c r="V31" s="20">
        <f>'TR TE'!$V$31*'TR TE'!$V$51</f>
        <v>0</v>
      </c>
      <c r="W31" s="20">
        <f>SUM($T$31:$V$31)</f>
        <v>9.8404885858925049</v>
      </c>
      <c r="X31" s="20"/>
      <c r="Y31" s="20">
        <f>SUM($X$31:$X$31)</f>
        <v>0</v>
      </c>
      <c r="Z31" s="20">
        <f>'TR TE'!$Z$31*'TR TE'!$Z$51</f>
        <v>5.6921512328017503</v>
      </c>
      <c r="AA31" s="20">
        <f>SUM($Z$31:$Z$31)</f>
        <v>5.6921512328017503</v>
      </c>
      <c r="AB31" s="20">
        <f>SUMIF($L$4:$AA$4,"SUBTOTAL",$L$31:$AA$31)</f>
        <v>363.92556946747465</v>
      </c>
    </row>
    <row r="32" spans="1:28" ht="11.25" customHeight="1" x14ac:dyDescent="0.3">
      <c r="A32" s="148"/>
      <c r="B32" s="148"/>
      <c r="C32" s="148"/>
      <c r="D32" s="148"/>
      <c r="E32" s="148"/>
      <c r="F32" s="148"/>
      <c r="G32" s="23" t="s">
        <v>91</v>
      </c>
      <c r="H32" s="23" t="s">
        <v>79</v>
      </c>
      <c r="I32" s="23">
        <f>'MERCADO TE'!$U$29</f>
        <v>0</v>
      </c>
      <c r="J32" s="15"/>
      <c r="L32" s="20">
        <f>'TR TE'!$L$32*'TR TE'!$L$51</f>
        <v>2.4026594780442023</v>
      </c>
      <c r="M32" s="20">
        <f>'TR TE'!$M$32*'TR TE'!$M$51</f>
        <v>20.904860752770901</v>
      </c>
      <c r="N32" s="20">
        <f>'TR TE'!$N$32*'TR TE'!$N$51</f>
        <v>0</v>
      </c>
      <c r="O32" s="20">
        <f>'TR TE'!$O$32*'TR TE'!$O$51</f>
        <v>5.4675022620039604</v>
      </c>
      <c r="P32" s="20">
        <f>'TR TE'!$P$32*'TR TE'!$P$51</f>
        <v>-17.459208153924113</v>
      </c>
      <c r="Q32" s="20">
        <f>SUM($L$32:$P$32)</f>
        <v>11.315814338894953</v>
      </c>
      <c r="R32" s="20">
        <f>'TR TE'!$R$32*'TR TE'!$R$51</f>
        <v>195.9750670406311</v>
      </c>
      <c r="S32" s="20">
        <f>SUM($R$32:$R$32)</f>
        <v>195.9750670406311</v>
      </c>
      <c r="T32" s="20">
        <f>'TR TE'!$T$32*'TR TE'!$T$51</f>
        <v>5.8254955890081428</v>
      </c>
      <c r="U32" s="20">
        <f>'TR TE'!$U$32*'TR TE'!$U$51</f>
        <v>4.014992996884363</v>
      </c>
      <c r="V32" s="20">
        <f>'TR TE'!$V$32*'TR TE'!$V$51</f>
        <v>0</v>
      </c>
      <c r="W32" s="20">
        <f>SUM($T$32:$V$32)</f>
        <v>9.8404885858925049</v>
      </c>
      <c r="X32" s="20"/>
      <c r="Y32" s="20">
        <f>SUM($X$32:$X$32)</f>
        <v>0</v>
      </c>
      <c r="Z32" s="20">
        <f>'TR TE'!$Z$32*'TR TE'!$Z$51</f>
        <v>5.6921512328017503</v>
      </c>
      <c r="AA32" s="20">
        <f>SUM($Z$32:$Z$32)</f>
        <v>5.6921512328017503</v>
      </c>
      <c r="AB32" s="20">
        <f>SUMIF($L$4:$AA$4,"SUBTOTAL",$L$32:$AA$32)</f>
        <v>222.82352119822033</v>
      </c>
    </row>
    <row r="33" spans="1:28" ht="11.25" customHeight="1" x14ac:dyDescent="0.3">
      <c r="A33" s="148"/>
      <c r="B33" s="148"/>
      <c r="C33" s="148"/>
      <c r="D33" s="148"/>
      <c r="E33" s="148"/>
      <c r="F33" s="148"/>
      <c r="G33" s="23" t="s">
        <v>81</v>
      </c>
      <c r="H33" s="23" t="s">
        <v>79</v>
      </c>
      <c r="I33" s="23">
        <f>'MERCADO TE'!$U$30</f>
        <v>0</v>
      </c>
      <c r="J33" s="15"/>
      <c r="L33" s="20">
        <f>'TR TE'!$L$33*'TR TE'!$L$51</f>
        <v>2.4026594780442023</v>
      </c>
      <c r="M33" s="20">
        <f>'TR TE'!$M$33*'TR TE'!$M$51</f>
        <v>20.904860752770901</v>
      </c>
      <c r="N33" s="20">
        <f>'TR TE'!$N$33*'TR TE'!$N$51</f>
        <v>0</v>
      </c>
      <c r="O33" s="20">
        <f>'TR TE'!$O$33*'TR TE'!$O$51</f>
        <v>5.4675022620039604</v>
      </c>
      <c r="P33" s="20">
        <f>'TR TE'!$P$33*'TR TE'!$P$51</f>
        <v>-17.459208153924113</v>
      </c>
      <c r="Q33" s="20">
        <f>SUM($L$33:$P$33)</f>
        <v>11.315814338894953</v>
      </c>
      <c r="R33" s="20">
        <f>'TR TE'!$R$33*'TR TE'!$R$51</f>
        <v>195.9750670406311</v>
      </c>
      <c r="S33" s="20">
        <f>SUM($R$33:$R$33)</f>
        <v>195.9750670406311</v>
      </c>
      <c r="T33" s="20">
        <f>'TR TE'!$T$33*'TR TE'!$T$51</f>
        <v>5.8254955890081428</v>
      </c>
      <c r="U33" s="20">
        <f>'TR TE'!$U$33*'TR TE'!$U$51</f>
        <v>4.014992996884363</v>
      </c>
      <c r="V33" s="20">
        <f>'TR TE'!$V$33*'TR TE'!$V$51</f>
        <v>0</v>
      </c>
      <c r="W33" s="20">
        <f>SUM($T$33:$V$33)</f>
        <v>9.8404885858925049</v>
      </c>
      <c r="X33" s="20"/>
      <c r="Y33" s="20">
        <f>SUM($X$33:$X$33)</f>
        <v>0</v>
      </c>
      <c r="Z33" s="20">
        <f>'TR TE'!$Z$33*'TR TE'!$Z$51</f>
        <v>5.6921512328017503</v>
      </c>
      <c r="AA33" s="20">
        <f>SUM($Z$33:$Z$33)</f>
        <v>5.6921512328017503</v>
      </c>
      <c r="AB33" s="20">
        <f>SUMIF($L$4:$AA$4,"SUBTOTAL",$L$33:$AA$33)</f>
        <v>222.82352119822033</v>
      </c>
    </row>
    <row r="34" spans="1:28" ht="11.25" customHeight="1" x14ac:dyDescent="0.3">
      <c r="A34" s="148"/>
      <c r="B34" s="22" t="s">
        <v>82</v>
      </c>
      <c r="C34" s="22" t="s">
        <v>44</v>
      </c>
      <c r="D34" s="22" t="s">
        <v>95</v>
      </c>
      <c r="E34" s="22" t="s">
        <v>25</v>
      </c>
      <c r="F34" s="22" t="s">
        <v>25</v>
      </c>
      <c r="G34" s="23" t="s">
        <v>83</v>
      </c>
      <c r="H34" s="23" t="s">
        <v>79</v>
      </c>
      <c r="I34" s="23">
        <f>'MERCADO TE'!$U$31</f>
        <v>0</v>
      </c>
      <c r="J34" s="15"/>
      <c r="L34" s="20">
        <f>'TR TE'!$L$34*'TR TE'!$L$51</f>
        <v>2.4026594780442023</v>
      </c>
      <c r="M34" s="20">
        <f>'TR TE'!$M$34*'TR TE'!$M$51</f>
        <v>20.904860752770901</v>
      </c>
      <c r="N34" s="20">
        <f>'TR TE'!$N$34*'TR TE'!$N$51</f>
        <v>0</v>
      </c>
      <c r="O34" s="20">
        <f>'TR TE'!$O$34*'TR TE'!$O$51</f>
        <v>5.4675022620039604</v>
      </c>
      <c r="P34" s="20">
        <f>'TR TE'!$P$34*'TR TE'!$P$51</f>
        <v>-17.459208153924113</v>
      </c>
      <c r="Q34" s="20">
        <f>SUM($L$34:$P$34)</f>
        <v>11.315814338894953</v>
      </c>
      <c r="R34" s="20">
        <f>'TR TE'!$R$34*'TR TE'!$R$51</f>
        <v>207.73357106306898</v>
      </c>
      <c r="S34" s="20">
        <f>SUM($R$34:$R$34)</f>
        <v>207.73357106306898</v>
      </c>
      <c r="T34" s="20">
        <f>'TR TE'!$T$34*'TR TE'!$T$51</f>
        <v>5.8254955890081428</v>
      </c>
      <c r="U34" s="20">
        <f>'TR TE'!$U$34*'TR TE'!$U$51</f>
        <v>4.014992996884363</v>
      </c>
      <c r="V34" s="20">
        <f>'TR TE'!$V$34*'TR TE'!$V$51</f>
        <v>0</v>
      </c>
      <c r="W34" s="20">
        <f>SUM($T$34:$V$34)</f>
        <v>9.8404885858925049</v>
      </c>
      <c r="X34" s="20"/>
      <c r="Y34" s="20">
        <f>SUM($X$34:$X$34)</f>
        <v>0</v>
      </c>
      <c r="Z34" s="20">
        <f>'TR TE'!$Z$34*'TR TE'!$Z$51</f>
        <v>5.6921512328017503</v>
      </c>
      <c r="AA34" s="20">
        <f>SUM($Z$34:$Z$34)</f>
        <v>5.6921512328017503</v>
      </c>
      <c r="AB34" s="20">
        <f>SUMIF($L$4:$AA$4,"SUBTOTAL",$L$34:$AA$34)</f>
        <v>234.58202522065821</v>
      </c>
    </row>
    <row r="35" spans="1:28" ht="11.25" customHeight="1" x14ac:dyDescent="0.3">
      <c r="A35" s="148"/>
      <c r="B35" s="148" t="s">
        <v>92</v>
      </c>
      <c r="C35" s="148" t="s">
        <v>44</v>
      </c>
      <c r="D35" s="22" t="s">
        <v>25</v>
      </c>
      <c r="E35" s="22" t="s">
        <v>25</v>
      </c>
      <c r="F35" s="22" t="s">
        <v>25</v>
      </c>
      <c r="G35" s="23" t="s">
        <v>83</v>
      </c>
      <c r="H35" s="23" t="s">
        <v>79</v>
      </c>
      <c r="I35" s="23">
        <f>'MERCADO TE'!$U$32</f>
        <v>0</v>
      </c>
      <c r="J35" s="15"/>
      <c r="L35" s="20">
        <f>'TR TE'!$L$35*'TR TE'!$L$51</f>
        <v>2.4026594780442023</v>
      </c>
      <c r="M35" s="20">
        <f>'TR TE'!$M$35*'TR TE'!$M$51</f>
        <v>20.904860752770901</v>
      </c>
      <c r="N35" s="20">
        <f>'TR TE'!$N$35*'TR TE'!$N$51</f>
        <v>0</v>
      </c>
      <c r="O35" s="20">
        <f>'TR TE'!$O$35*'TR TE'!$O$51</f>
        <v>5.4675022620039604</v>
      </c>
      <c r="P35" s="20">
        <f>'TR TE'!$P$35*'TR TE'!$P$51</f>
        <v>-17.459208153924113</v>
      </c>
      <c r="Q35" s="20">
        <f>SUM($L$35:$P$35)</f>
        <v>11.315814338894953</v>
      </c>
      <c r="R35" s="20">
        <f>'TR TE'!$R$35*'TR TE'!$R$51</f>
        <v>207.73357106306898</v>
      </c>
      <c r="S35" s="20">
        <f>SUM($R$35:$R$35)</f>
        <v>207.73357106306898</v>
      </c>
      <c r="T35" s="20">
        <f>'TR TE'!$T$35*'TR TE'!$T$51</f>
        <v>5.8254955890081428</v>
      </c>
      <c r="U35" s="20">
        <f>'TR TE'!$U$35*'TR TE'!$U$51</f>
        <v>4.014992996884363</v>
      </c>
      <c r="V35" s="20">
        <f>'TR TE'!$V$35*'TR TE'!$V$51</f>
        <v>0</v>
      </c>
      <c r="W35" s="20">
        <f>SUM($T$35:$V$35)</f>
        <v>9.8404885858925049</v>
      </c>
      <c r="X35" s="20"/>
      <c r="Y35" s="20">
        <f>SUM($X$35:$X$35)</f>
        <v>0</v>
      </c>
      <c r="Z35" s="20">
        <f>'TR TE'!$Z$35*'TR TE'!$Z$51</f>
        <v>5.6921512328017503</v>
      </c>
      <c r="AA35" s="20">
        <f>SUM($Z$35:$Z$35)</f>
        <v>5.6921512328017503</v>
      </c>
      <c r="AB35" s="20">
        <f>SUMIF($L$4:$AA$4,"SUBTOTAL",$L$35:$AA$35)</f>
        <v>234.58202522065821</v>
      </c>
    </row>
    <row r="36" spans="1:28" ht="11.25" customHeight="1" x14ac:dyDescent="0.3">
      <c r="A36" s="148"/>
      <c r="B36" s="148"/>
      <c r="C36" s="148"/>
      <c r="D36" s="22" t="s">
        <v>94</v>
      </c>
      <c r="E36" s="22" t="s">
        <v>25</v>
      </c>
      <c r="F36" s="22" t="s">
        <v>25</v>
      </c>
      <c r="G36" s="23" t="s">
        <v>83</v>
      </c>
      <c r="H36" s="23" t="s">
        <v>79</v>
      </c>
      <c r="I36" s="23">
        <f>'MERCADO TE'!$U$33</f>
        <v>0</v>
      </c>
      <c r="J36" s="15"/>
      <c r="L36" s="20">
        <f>'TR TE'!$L$36*'TR TE'!$L$51</f>
        <v>2.4026594780442023</v>
      </c>
      <c r="M36" s="20">
        <f>'TR TE'!$M$36*'TR TE'!$M$51</f>
        <v>20.904860752770901</v>
      </c>
      <c r="N36" s="20">
        <f>'TR TE'!$N$36*'TR TE'!$N$51</f>
        <v>0</v>
      </c>
      <c r="O36" s="20">
        <f>'TR TE'!$O$36*'TR TE'!$O$51</f>
        <v>5.4675022620039604</v>
      </c>
      <c r="P36" s="20">
        <f>'TR TE'!$P$36*'TR TE'!$P$51</f>
        <v>-17.459208153924113</v>
      </c>
      <c r="Q36" s="20">
        <f>SUM($L$36:$P$36)</f>
        <v>11.315814338894953</v>
      </c>
      <c r="R36" s="20">
        <f>'TR TE'!$R$36*'TR TE'!$R$51</f>
        <v>207.73357106306898</v>
      </c>
      <c r="S36" s="20">
        <f>SUM($R$36:$R$36)</f>
        <v>207.73357106306898</v>
      </c>
      <c r="T36" s="20">
        <f>'TR TE'!$T$36*'TR TE'!$T$51</f>
        <v>5.8254955890081428</v>
      </c>
      <c r="U36" s="20">
        <f>'TR TE'!$U$36*'TR TE'!$U$51</f>
        <v>4.014992996884363</v>
      </c>
      <c r="V36" s="20">
        <f>'TR TE'!$V$36*'TR TE'!$V$51</f>
        <v>0</v>
      </c>
      <c r="W36" s="20">
        <f>SUM($T$36:$V$36)</f>
        <v>9.8404885858925049</v>
      </c>
      <c r="X36" s="20"/>
      <c r="Y36" s="20">
        <f>SUM($X$36:$X$36)</f>
        <v>0</v>
      </c>
      <c r="Z36" s="20">
        <f>'TR TE'!$Z$36*'TR TE'!$Z$51</f>
        <v>5.6921512328017503</v>
      </c>
      <c r="AA36" s="20">
        <f>SUM($Z$36:$Z$36)</f>
        <v>5.6921512328017503</v>
      </c>
      <c r="AB36" s="20">
        <f>SUMIF($L$4:$AA$4,"SUBTOTAL",$L$36:$AA$36)</f>
        <v>234.58202522065821</v>
      </c>
    </row>
    <row r="37" spans="1:28" ht="11.25" customHeight="1" x14ac:dyDescent="0.3">
      <c r="A37" s="148"/>
      <c r="B37" s="148"/>
      <c r="C37" s="148"/>
      <c r="D37" s="22" t="s">
        <v>95</v>
      </c>
      <c r="E37" s="22" t="s">
        <v>25</v>
      </c>
      <c r="F37" s="22" t="s">
        <v>25</v>
      </c>
      <c r="G37" s="23" t="s">
        <v>83</v>
      </c>
      <c r="H37" s="23" t="s">
        <v>79</v>
      </c>
      <c r="I37" s="23">
        <f>'MERCADO TE'!$U$34</f>
        <v>0</v>
      </c>
      <c r="J37" s="15"/>
      <c r="L37" s="20">
        <f>'TR TE'!$L$37*'TR TE'!$L$51</f>
        <v>2.4026594780442023</v>
      </c>
      <c r="M37" s="20">
        <f>'TR TE'!$M$37*'TR TE'!$M$51</f>
        <v>20.904860752770901</v>
      </c>
      <c r="N37" s="20">
        <f>'TR TE'!$N$37*'TR TE'!$N$51</f>
        <v>0</v>
      </c>
      <c r="O37" s="20">
        <f>'TR TE'!$O$37*'TR TE'!$O$51</f>
        <v>5.4675022620039604</v>
      </c>
      <c r="P37" s="20">
        <f>'TR TE'!$P$37*'TR TE'!$P$51</f>
        <v>-17.459208153924113</v>
      </c>
      <c r="Q37" s="20">
        <f>SUM($L$37:$P$37)</f>
        <v>11.315814338894953</v>
      </c>
      <c r="R37" s="20">
        <f>'TR TE'!$R$37*'TR TE'!$R$51</f>
        <v>207.73357106306898</v>
      </c>
      <c r="S37" s="20">
        <f>SUM($R$37:$R$37)</f>
        <v>207.73357106306898</v>
      </c>
      <c r="T37" s="20">
        <f>'TR TE'!$T$37*'TR TE'!$T$51</f>
        <v>5.8254955890081428</v>
      </c>
      <c r="U37" s="20">
        <f>'TR TE'!$U$37*'TR TE'!$U$51</f>
        <v>4.014992996884363</v>
      </c>
      <c r="V37" s="20">
        <f>'TR TE'!$V$37*'TR TE'!$V$51</f>
        <v>0</v>
      </c>
      <c r="W37" s="20">
        <f>SUM($T$37:$V$37)</f>
        <v>9.8404885858925049</v>
      </c>
      <c r="X37" s="20"/>
      <c r="Y37" s="20">
        <f>SUM($X$37:$X$37)</f>
        <v>0</v>
      </c>
      <c r="Z37" s="20">
        <f>'TR TE'!$Z$37*'TR TE'!$Z$51</f>
        <v>5.6921512328017503</v>
      </c>
      <c r="AA37" s="20">
        <f>SUM($Z$37:$Z$37)</f>
        <v>5.6921512328017503</v>
      </c>
      <c r="AB37" s="20">
        <f>SUMIF($L$4:$AA$4,"SUBTOTAL",$L$37:$AA$37)</f>
        <v>234.58202522065821</v>
      </c>
    </row>
    <row r="38" spans="1:28" ht="11.25" customHeight="1" x14ac:dyDescent="0.3">
      <c r="A38" s="148" t="s">
        <v>37</v>
      </c>
      <c r="B38" s="148" t="s">
        <v>78</v>
      </c>
      <c r="C38" s="148" t="s">
        <v>25</v>
      </c>
      <c r="D38" s="148" t="s">
        <v>25</v>
      </c>
      <c r="E38" s="148" t="s">
        <v>25</v>
      </c>
      <c r="F38" s="148" t="s">
        <v>25</v>
      </c>
      <c r="G38" s="23" t="s">
        <v>80</v>
      </c>
      <c r="H38" s="23" t="s">
        <v>79</v>
      </c>
      <c r="I38" s="23">
        <f>'MERCADO TE'!$U$35</f>
        <v>10.468</v>
      </c>
      <c r="J38" s="15"/>
      <c r="L38" s="20">
        <f>'TR TE'!$L$38*'TR TE'!$L$51</f>
        <v>2.4026594780442023</v>
      </c>
      <c r="M38" s="20">
        <f>'TR TE'!$M$38*'TR TE'!$M$51</f>
        <v>20.904860752770901</v>
      </c>
      <c r="N38" s="20">
        <f>'TR TE'!$N$38*'TR TE'!$N$51</f>
        <v>0</v>
      </c>
      <c r="O38" s="20">
        <f>'TR TE'!$O$38*'TR TE'!$O$51</f>
        <v>5.4675022620039604</v>
      </c>
      <c r="P38" s="20">
        <f>'TR TE'!$P$38*'TR TE'!$P$51</f>
        <v>-17.459208153924113</v>
      </c>
      <c r="Q38" s="20">
        <f>SUM($L$38:$P$38)</f>
        <v>11.315814338894953</v>
      </c>
      <c r="R38" s="20">
        <f>'TR TE'!$R$38*'TR TE'!$R$51</f>
        <v>337.07711530988547</v>
      </c>
      <c r="S38" s="20">
        <f>SUM($R$38:$R$38)</f>
        <v>337.07711530988547</v>
      </c>
      <c r="T38" s="20">
        <f>'TR TE'!$T$38*'TR TE'!$T$51</f>
        <v>5.8254955890081428</v>
      </c>
      <c r="U38" s="20">
        <f>'TR TE'!$U$38*'TR TE'!$U$51</f>
        <v>4.014992996884363</v>
      </c>
      <c r="V38" s="20">
        <f>'TR TE'!$V$38*'TR TE'!$V$51</f>
        <v>0</v>
      </c>
      <c r="W38" s="20">
        <f>SUM($T$38:$V$38)</f>
        <v>9.8404885858925049</v>
      </c>
      <c r="X38" s="20"/>
      <c r="Y38" s="20">
        <f>SUM($X$38:$X$38)</f>
        <v>0</v>
      </c>
      <c r="Z38" s="20">
        <f>'TR TE'!$Z$38*'TR TE'!$Z$51</f>
        <v>5.6921512328017503</v>
      </c>
      <c r="AA38" s="20">
        <f>SUM($Z$38:$Z$38)</f>
        <v>5.6921512328017503</v>
      </c>
      <c r="AB38" s="20">
        <f>SUMIF($L$4:$AA$4,"SUBTOTAL",$L$38:$AA$38)</f>
        <v>363.92556946747465</v>
      </c>
    </row>
    <row r="39" spans="1:28" ht="11.25" customHeight="1" x14ac:dyDescent="0.3">
      <c r="A39" s="148"/>
      <c r="B39" s="148"/>
      <c r="C39" s="148"/>
      <c r="D39" s="148"/>
      <c r="E39" s="148"/>
      <c r="F39" s="148"/>
      <c r="G39" s="23" t="s">
        <v>91</v>
      </c>
      <c r="H39" s="23" t="s">
        <v>79</v>
      </c>
      <c r="I39" s="23">
        <f>'MERCADO TE'!$U$36</f>
        <v>9.6909999999999989</v>
      </c>
      <c r="J39" s="15"/>
      <c r="L39" s="20">
        <f>'TR TE'!$L$39*'TR TE'!$L$51</f>
        <v>2.4026594780442023</v>
      </c>
      <c r="M39" s="20">
        <f>'TR TE'!$M$39*'TR TE'!$M$51</f>
        <v>20.904860752770901</v>
      </c>
      <c r="N39" s="20">
        <f>'TR TE'!$N$39*'TR TE'!$N$51</f>
        <v>0</v>
      </c>
      <c r="O39" s="20">
        <f>'TR TE'!$O$39*'TR TE'!$O$51</f>
        <v>5.4675022620039604</v>
      </c>
      <c r="P39" s="20">
        <f>'TR TE'!$P$39*'TR TE'!$P$51</f>
        <v>-17.459208153924113</v>
      </c>
      <c r="Q39" s="20">
        <f>SUM($L$39:$P$39)</f>
        <v>11.315814338894953</v>
      </c>
      <c r="R39" s="20">
        <f>'TR TE'!$R$39*'TR TE'!$R$51</f>
        <v>195.9750670406311</v>
      </c>
      <c r="S39" s="20">
        <f>SUM($R$39:$R$39)</f>
        <v>195.9750670406311</v>
      </c>
      <c r="T39" s="20">
        <f>'TR TE'!$T$39*'TR TE'!$T$51</f>
        <v>5.8254955890081428</v>
      </c>
      <c r="U39" s="20">
        <f>'TR TE'!$U$39*'TR TE'!$U$51</f>
        <v>4.014992996884363</v>
      </c>
      <c r="V39" s="20">
        <f>'TR TE'!$V$39*'TR TE'!$V$51</f>
        <v>0</v>
      </c>
      <c r="W39" s="20">
        <f>SUM($T$39:$V$39)</f>
        <v>9.8404885858925049</v>
      </c>
      <c r="X39" s="20"/>
      <c r="Y39" s="20">
        <f>SUM($X$39:$X$39)</f>
        <v>0</v>
      </c>
      <c r="Z39" s="20">
        <f>'TR TE'!$Z$39*'TR TE'!$Z$51</f>
        <v>5.6921512328017503</v>
      </c>
      <c r="AA39" s="20">
        <f>SUM($Z$39:$Z$39)</f>
        <v>5.6921512328017503</v>
      </c>
      <c r="AB39" s="20">
        <f>SUMIF($L$4:$AA$4,"SUBTOTAL",$L$39:$AA$39)</f>
        <v>222.82352119822033</v>
      </c>
    </row>
    <row r="40" spans="1:28" ht="11.25" customHeight="1" x14ac:dyDescent="0.3">
      <c r="A40" s="148"/>
      <c r="B40" s="148"/>
      <c r="C40" s="148"/>
      <c r="D40" s="148"/>
      <c r="E40" s="148"/>
      <c r="F40" s="148"/>
      <c r="G40" s="23" t="s">
        <v>81</v>
      </c>
      <c r="H40" s="23" t="s">
        <v>79</v>
      </c>
      <c r="I40" s="23">
        <f>'MERCADO TE'!$U$37</f>
        <v>150.328</v>
      </c>
      <c r="J40" s="15"/>
      <c r="L40" s="20">
        <f>'TR TE'!$L$40*'TR TE'!$L$51</f>
        <v>2.4026594780442023</v>
      </c>
      <c r="M40" s="20">
        <f>'TR TE'!$M$40*'TR TE'!$M$51</f>
        <v>20.904860752770901</v>
      </c>
      <c r="N40" s="20">
        <f>'TR TE'!$N$40*'TR TE'!$N$51</f>
        <v>0</v>
      </c>
      <c r="O40" s="20">
        <f>'TR TE'!$O$40*'TR TE'!$O$51</f>
        <v>5.4675022620039604</v>
      </c>
      <c r="P40" s="20">
        <f>'TR TE'!$P$40*'TR TE'!$P$51</f>
        <v>-17.459208153924113</v>
      </c>
      <c r="Q40" s="20">
        <f>SUM($L$40:$P$40)</f>
        <v>11.315814338894953</v>
      </c>
      <c r="R40" s="20">
        <f>'TR TE'!$R$40*'TR TE'!$R$51</f>
        <v>195.9750670406311</v>
      </c>
      <c r="S40" s="20">
        <f>SUM($R$40:$R$40)</f>
        <v>195.9750670406311</v>
      </c>
      <c r="T40" s="20">
        <f>'TR TE'!$T$40*'TR TE'!$T$51</f>
        <v>5.8254955890081428</v>
      </c>
      <c r="U40" s="20">
        <f>'TR TE'!$U$40*'TR TE'!$U$51</f>
        <v>4.014992996884363</v>
      </c>
      <c r="V40" s="20">
        <f>'TR TE'!$V$40*'TR TE'!$V$51</f>
        <v>0</v>
      </c>
      <c r="W40" s="20">
        <f>SUM($T$40:$V$40)</f>
        <v>9.8404885858925049</v>
      </c>
      <c r="X40" s="20"/>
      <c r="Y40" s="20">
        <f>SUM($X$40:$X$40)</f>
        <v>0</v>
      </c>
      <c r="Z40" s="20">
        <f>'TR TE'!$Z$40*'TR TE'!$Z$51</f>
        <v>5.6921512328017503</v>
      </c>
      <c r="AA40" s="20">
        <f>SUM($Z$40:$Z$40)</f>
        <v>5.6921512328017503</v>
      </c>
      <c r="AB40" s="20">
        <f>SUMIF($L$4:$AA$4,"SUBTOTAL",$L$40:$AA$40)</f>
        <v>222.82352119822033</v>
      </c>
    </row>
    <row r="41" spans="1:28" ht="11.25" customHeight="1" x14ac:dyDescent="0.3">
      <c r="A41" s="148"/>
      <c r="B41" s="22" t="s">
        <v>82</v>
      </c>
      <c r="C41" s="22" t="s">
        <v>25</v>
      </c>
      <c r="D41" s="22" t="s">
        <v>25</v>
      </c>
      <c r="E41" s="22" t="s">
        <v>25</v>
      </c>
      <c r="F41" s="22" t="s">
        <v>25</v>
      </c>
      <c r="G41" s="23" t="s">
        <v>83</v>
      </c>
      <c r="H41" s="23" t="s">
        <v>79</v>
      </c>
      <c r="I41" s="23">
        <f>'MERCADO TE'!$U$38</f>
        <v>24187.291000000001</v>
      </c>
      <c r="J41" s="15"/>
      <c r="L41" s="20">
        <f>'TR TE'!$L$41*'TR TE'!$L$51</f>
        <v>2.4026594780442023</v>
      </c>
      <c r="M41" s="20">
        <f>'TR TE'!$M$41*'TR TE'!$M$51</f>
        <v>20.904860752770901</v>
      </c>
      <c r="N41" s="20">
        <f>'TR TE'!$N$41*'TR TE'!$N$51</f>
        <v>0</v>
      </c>
      <c r="O41" s="20">
        <f>'TR TE'!$O$41*'TR TE'!$O$51</f>
        <v>5.4675022620039604</v>
      </c>
      <c r="P41" s="20">
        <f>'TR TE'!$P$41*'TR TE'!$P$51</f>
        <v>-17.459208153924113</v>
      </c>
      <c r="Q41" s="20">
        <f>SUM($L$41:$P$41)</f>
        <v>11.315814338894953</v>
      </c>
      <c r="R41" s="20">
        <f>'TR TE'!$R$41*'TR TE'!$R$51</f>
        <v>207.73357106306898</v>
      </c>
      <c r="S41" s="20">
        <f>SUM($R$41:$R$41)</f>
        <v>207.73357106306898</v>
      </c>
      <c r="T41" s="20">
        <f>'TR TE'!$T$41*'TR TE'!$T$51</f>
        <v>5.8254955890081428</v>
      </c>
      <c r="U41" s="20">
        <f>'TR TE'!$U$41*'TR TE'!$U$51</f>
        <v>4.014992996884363</v>
      </c>
      <c r="V41" s="20">
        <f>'TR TE'!$V$41*'TR TE'!$V$51</f>
        <v>0</v>
      </c>
      <c r="W41" s="20">
        <f>SUM($T$41:$V$41)</f>
        <v>9.8404885858925049</v>
      </c>
      <c r="X41" s="20"/>
      <c r="Y41" s="20">
        <f>SUM($X$41:$X$41)</f>
        <v>0</v>
      </c>
      <c r="Z41" s="20">
        <f>'TR TE'!$Z$41*'TR TE'!$Z$51</f>
        <v>5.6921512328017503</v>
      </c>
      <c r="AA41" s="20">
        <f>SUM($Z$41:$Z$41)</f>
        <v>5.6921512328017503</v>
      </c>
      <c r="AB41" s="20">
        <f>SUMIF($L$4:$AA$4,"SUBTOTAL",$L$41:$AA$41)</f>
        <v>234.58202522065821</v>
      </c>
    </row>
    <row r="42" spans="1:28" ht="11.25" customHeight="1" x14ac:dyDescent="0.3">
      <c r="A42" s="148"/>
      <c r="B42" s="22" t="s">
        <v>92</v>
      </c>
      <c r="C42" s="22" t="s">
        <v>25</v>
      </c>
      <c r="D42" s="22" t="s">
        <v>25</v>
      </c>
      <c r="E42" s="22" t="s">
        <v>25</v>
      </c>
      <c r="F42" s="22" t="s">
        <v>25</v>
      </c>
      <c r="G42" s="23" t="s">
        <v>83</v>
      </c>
      <c r="H42" s="23" t="s">
        <v>79</v>
      </c>
      <c r="I42" s="23">
        <f>'MERCADO TE'!$U$39</f>
        <v>0</v>
      </c>
      <c r="J42" s="15"/>
      <c r="L42" s="20">
        <f>'TR TE'!$L$42*'TR TE'!$L$51</f>
        <v>2.4026594780442023</v>
      </c>
      <c r="M42" s="20">
        <f>'TR TE'!$M$42*'TR TE'!$M$51</f>
        <v>20.904860752770901</v>
      </c>
      <c r="N42" s="20">
        <f>'TR TE'!$N$42*'TR TE'!$N$51</f>
        <v>0</v>
      </c>
      <c r="O42" s="20">
        <f>'TR TE'!$O$42*'TR TE'!$O$51</f>
        <v>5.4675022620039604</v>
      </c>
      <c r="P42" s="20">
        <f>'TR TE'!$P$42*'TR TE'!$P$51</f>
        <v>-17.459208153924113</v>
      </c>
      <c r="Q42" s="20">
        <f>SUM($L$42:$P$42)</f>
        <v>11.315814338894953</v>
      </c>
      <c r="R42" s="20">
        <f>'TR TE'!$R$42*'TR TE'!$R$51</f>
        <v>207.73357106306898</v>
      </c>
      <c r="S42" s="20">
        <f>SUM($R$42:$R$42)</f>
        <v>207.73357106306898</v>
      </c>
      <c r="T42" s="20">
        <f>'TR TE'!$T$42*'TR TE'!$T$51</f>
        <v>5.8254955890081428</v>
      </c>
      <c r="U42" s="20">
        <f>'TR TE'!$U$42*'TR TE'!$U$51</f>
        <v>4.014992996884363</v>
      </c>
      <c r="V42" s="20">
        <f>'TR TE'!$V$42*'TR TE'!$V$51</f>
        <v>0</v>
      </c>
      <c r="W42" s="20">
        <f>SUM($T$42:$V$42)</f>
        <v>9.8404885858925049</v>
      </c>
      <c r="X42" s="20"/>
      <c r="Y42" s="20">
        <f>SUM($X$42:$X$42)</f>
        <v>0</v>
      </c>
      <c r="Z42" s="20">
        <f>'TR TE'!$Z$42*'TR TE'!$Z$51</f>
        <v>5.6921512328017503</v>
      </c>
      <c r="AA42" s="20">
        <f>SUM($Z$42:$Z$42)</f>
        <v>5.6921512328017503</v>
      </c>
      <c r="AB42" s="20">
        <f>SUMIF($L$4:$AA$4,"SUBTOTAL",$L$42:$AA$42)</f>
        <v>234.58202522065821</v>
      </c>
    </row>
    <row r="43" spans="1:28" ht="11.25" customHeight="1" x14ac:dyDescent="0.3">
      <c r="A43" s="148" t="s">
        <v>47</v>
      </c>
      <c r="B43" s="148" t="s">
        <v>82</v>
      </c>
      <c r="C43" s="148" t="s">
        <v>48</v>
      </c>
      <c r="D43" s="22" t="s">
        <v>49</v>
      </c>
      <c r="E43" s="22" t="s">
        <v>25</v>
      </c>
      <c r="F43" s="22" t="s">
        <v>25</v>
      </c>
      <c r="G43" s="23" t="s">
        <v>83</v>
      </c>
      <c r="H43" s="23" t="s">
        <v>79</v>
      </c>
      <c r="I43" s="23">
        <f>'MERCADO TE'!$U$40</f>
        <v>5104.487000000001</v>
      </c>
      <c r="J43" s="15"/>
      <c r="L43" s="20">
        <f>'TR TE'!$L$43*'TR TE'!$L$51</f>
        <v>1.3214627129243113</v>
      </c>
      <c r="M43" s="20">
        <f>'TR TE'!$M$43*'TR TE'!$M$51</f>
        <v>11.497673414023996</v>
      </c>
      <c r="N43" s="20">
        <f>'TR TE'!$N$43*'TR TE'!$N$51</f>
        <v>0</v>
      </c>
      <c r="O43" s="20">
        <f>'TR TE'!$O$43*'TR TE'!$O$51</f>
        <v>3.0071262441021784</v>
      </c>
      <c r="P43" s="20">
        <f>'TR TE'!$P$43*'TR TE'!$P$51</f>
        <v>-9.602564484658263</v>
      </c>
      <c r="Q43" s="20">
        <f>SUM($L$43:$P$43)</f>
        <v>6.2236978863922232</v>
      </c>
      <c r="R43" s="20">
        <f>'TR TE'!$R$43*'TR TE'!$R$51</f>
        <v>114.25346408468795</v>
      </c>
      <c r="S43" s="20">
        <f>SUM($R$43:$R$43)</f>
        <v>114.25346408468795</v>
      </c>
      <c r="T43" s="20">
        <f>'TR TE'!$T$43*'TR TE'!$T$51</f>
        <v>3.2040225739544788</v>
      </c>
      <c r="U43" s="20">
        <f>'TR TE'!$U$43*'TR TE'!$U$51</f>
        <v>2.2082461482864</v>
      </c>
      <c r="V43" s="20">
        <f>'TR TE'!$V$43*'TR TE'!$V$51</f>
        <v>0</v>
      </c>
      <c r="W43" s="20">
        <f>SUM($T$43:$V$43)</f>
        <v>5.4122687222408787</v>
      </c>
      <c r="X43" s="20"/>
      <c r="Y43" s="20">
        <f>SUM($X$43:$X$43)</f>
        <v>0</v>
      </c>
      <c r="Z43" s="20">
        <f>'TR TE'!$Z$43*'TR TE'!$Z$51</f>
        <v>3.1306831780409627</v>
      </c>
      <c r="AA43" s="20">
        <f>SUM($Z$43:$Z$43)</f>
        <v>3.1306831780409627</v>
      </c>
      <c r="AB43" s="20">
        <f>SUMIF($L$4:$AA$4,"SUBTOTAL",$L$43:$AA$43)</f>
        <v>129.02011387136201</v>
      </c>
    </row>
    <row r="44" spans="1:28" ht="11.25" customHeight="1" x14ac:dyDescent="0.3">
      <c r="A44" s="148"/>
      <c r="B44" s="148"/>
      <c r="C44" s="148"/>
      <c r="D44" s="23" t="s">
        <v>96</v>
      </c>
      <c r="E44" s="23" t="s">
        <v>25</v>
      </c>
      <c r="F44" s="23" t="s">
        <v>25</v>
      </c>
      <c r="G44" s="23" t="s">
        <v>83</v>
      </c>
      <c r="H44" s="23" t="s">
        <v>79</v>
      </c>
      <c r="I44" s="23">
        <f>'MERCADO TE'!$U$41</f>
        <v>0</v>
      </c>
      <c r="J44" s="15"/>
      <c r="L44" s="20">
        <f>'TR TE'!$L$44*'TR TE'!$L$51</f>
        <v>1.4415956868265214</v>
      </c>
      <c r="M44" s="20">
        <f>'TR TE'!$M$44*'TR TE'!$M$51</f>
        <v>12.54291645166254</v>
      </c>
      <c r="N44" s="20">
        <f>'TR TE'!$N$44*'TR TE'!$N$51</f>
        <v>0</v>
      </c>
      <c r="O44" s="20">
        <f>'TR TE'!$O$44*'TR TE'!$O$51</f>
        <v>3.2805013572023762</v>
      </c>
      <c r="P44" s="20">
        <f>'TR TE'!$P$44*'TR TE'!$P$51</f>
        <v>-10.475524892354468</v>
      </c>
      <c r="Q44" s="20">
        <f>SUM($L$44:$P$44)</f>
        <v>6.7894886033369701</v>
      </c>
      <c r="R44" s="20">
        <f>'TR TE'!$R$44*'TR TE'!$R$51</f>
        <v>124.64014263784138</v>
      </c>
      <c r="S44" s="20">
        <f>SUM($R$44:$R$44)</f>
        <v>124.64014263784138</v>
      </c>
      <c r="T44" s="20">
        <f>'TR TE'!$T$44*'TR TE'!$T$51</f>
        <v>3.4952973534048857</v>
      </c>
      <c r="U44" s="20">
        <f>'TR TE'!$U$44*'TR TE'!$U$51</f>
        <v>2.4089957981306176</v>
      </c>
      <c r="V44" s="20">
        <f>'TR TE'!$V$44*'TR TE'!$V$51</f>
        <v>0</v>
      </c>
      <c r="W44" s="20">
        <f>SUM($T$44:$V$44)</f>
        <v>5.9042931515355033</v>
      </c>
      <c r="X44" s="20"/>
      <c r="Y44" s="20">
        <f>SUM($X$44:$X$44)</f>
        <v>0</v>
      </c>
      <c r="Z44" s="20">
        <f>'TR TE'!$Z$44*'TR TE'!$Z$51</f>
        <v>3.4152907396810499</v>
      </c>
      <c r="AA44" s="20">
        <f>SUM($Z$44:$Z$44)</f>
        <v>3.4152907396810499</v>
      </c>
      <c r="AB44" s="20">
        <f>SUMIF($L$4:$AA$4,"SUBTOTAL",$L$44:$AA$44)</f>
        <v>140.74921513239491</v>
      </c>
    </row>
    <row r="46" spans="1:28" ht="11.25" customHeight="1" x14ac:dyDescent="0.3">
      <c r="K46" s="25" t="s">
        <v>738</v>
      </c>
      <c r="L46" s="20">
        <f t="shared" ref="L46:AB46" si="0">SUMPRODUCT($I$5:$I$44,L$5:L$44)</f>
        <v>284525.99601777061</v>
      </c>
      <c r="M46" s="20">
        <f t="shared" si="0"/>
        <v>2475580.2399999998</v>
      </c>
      <c r="N46" s="20">
        <f t="shared" si="0"/>
        <v>0</v>
      </c>
      <c r="O46" s="20">
        <f t="shared" si="0"/>
        <v>647468.58264426561</v>
      </c>
      <c r="P46" s="20">
        <f t="shared" si="0"/>
        <v>-2067541.6700000002</v>
      </c>
      <c r="Q46" s="20">
        <f t="shared" si="0"/>
        <v>1340033.1486620356</v>
      </c>
      <c r="R46" s="20">
        <f t="shared" si="0"/>
        <v>24513826.961265057</v>
      </c>
      <c r="S46" s="20">
        <f t="shared" si="0"/>
        <v>24513826.961265057</v>
      </c>
      <c r="T46" s="20">
        <f t="shared" si="0"/>
        <v>689862.60845790023</v>
      </c>
      <c r="U46" s="20">
        <f t="shared" si="0"/>
        <v>475460.58518987533</v>
      </c>
      <c r="V46" s="20">
        <f t="shared" si="0"/>
        <v>0</v>
      </c>
      <c r="W46" s="20">
        <f t="shared" si="0"/>
        <v>1165323.1936477756</v>
      </c>
      <c r="X46" s="20">
        <f t="shared" si="0"/>
        <v>0</v>
      </c>
      <c r="Y46" s="20">
        <f t="shared" si="0"/>
        <v>0</v>
      </c>
      <c r="Z46" s="20">
        <f t="shared" si="0"/>
        <v>674071.7999352311</v>
      </c>
      <c r="AA46" s="20">
        <f t="shared" si="0"/>
        <v>674071.7999352311</v>
      </c>
      <c r="AB46" s="20">
        <f t="shared" si="0"/>
        <v>27693255.1035101</v>
      </c>
    </row>
    <row r="47" spans="1:28" ht="11.25" customHeight="1" x14ac:dyDescent="0.3">
      <c r="K47" s="25" t="s">
        <v>657</v>
      </c>
      <c r="L47" s="20">
        <f>CUSTOS!$D$30</f>
        <v>284525.99601777049</v>
      </c>
      <c r="M47" s="20">
        <f>CUSTOS!$D$31</f>
        <v>2475580.2399999998</v>
      </c>
      <c r="N47" s="20">
        <f>CUSTOS!$D$32</f>
        <v>0</v>
      </c>
      <c r="O47" s="20">
        <f>CUSTOS!$D$33</f>
        <v>647468.58264426538</v>
      </c>
      <c r="P47" s="20">
        <f>CUSTOS!$D$34</f>
        <v>-2067541.67</v>
      </c>
      <c r="Q47" s="20">
        <f>CUSTOS!$D$35</f>
        <v>1340033.1486620354</v>
      </c>
      <c r="R47" s="20">
        <f>CUSTOS!$D$36</f>
        <v>24513826.961265057</v>
      </c>
      <c r="S47" s="20">
        <f>CUSTOS!$D$37</f>
        <v>24513826.961265057</v>
      </c>
      <c r="T47" s="20">
        <f>CUSTOS!$D$38</f>
        <v>689862.60845790023</v>
      </c>
      <c r="U47" s="20">
        <f>CUSTOS!$D$39</f>
        <v>475460.58518987527</v>
      </c>
      <c r="V47" s="20">
        <f>CUSTOS!$D$40</f>
        <v>0</v>
      </c>
      <c r="W47" s="20">
        <f>CUSTOS!$D$41</f>
        <v>1165323.1936477756</v>
      </c>
      <c r="X47" s="20">
        <f>CUSTOS!$D$42</f>
        <v>0</v>
      </c>
      <c r="Y47" s="20">
        <f>CUSTOS!$D$43</f>
        <v>0</v>
      </c>
      <c r="Z47" s="20">
        <f>CUSTOS!$D$44</f>
        <v>674071.7999352311</v>
      </c>
      <c r="AA47" s="20">
        <f>CUSTOS!$D$45</f>
        <v>674071.7999352311</v>
      </c>
      <c r="AB47" s="20">
        <f>CUSTOS!$D$46</f>
        <v>27693255.1035101</v>
      </c>
    </row>
    <row r="48" spans="1:28" ht="11.25" customHeight="1" x14ac:dyDescent="0.3">
      <c r="K48" s="25" t="s">
        <v>658</v>
      </c>
      <c r="L48" s="20">
        <f>CUSTOS!$E$30</f>
        <v>4.8702926713391345E-3</v>
      </c>
      <c r="M48" s="20">
        <f>CUSTOS!$E$31</f>
        <v>162608.95868575876</v>
      </c>
      <c r="N48" s="20">
        <f>CUSTOS!$E$32</f>
        <v>0</v>
      </c>
      <c r="O48" s="20">
        <f>CUSTOS!$E$33</f>
        <v>-12123.931476909624</v>
      </c>
      <c r="P48" s="20">
        <f>CUSTOS!$E$34</f>
        <v>0</v>
      </c>
      <c r="Q48" s="20">
        <f>CUSTOS!$E$35</f>
        <v>150485.03207914182</v>
      </c>
      <c r="R48" s="20">
        <f>CUSTOS!$E$36</f>
        <v>2041246.1629664556</v>
      </c>
      <c r="S48" s="20">
        <f>CUSTOS!$E$37</f>
        <v>2041246.1629664556</v>
      </c>
      <c r="T48" s="20">
        <f>CUSTOS!$E$38</f>
        <v>-8497.6257817691003</v>
      </c>
      <c r="U48" s="20">
        <f>CUSTOS!$E$39</f>
        <v>7300.1092293118591</v>
      </c>
      <c r="V48" s="20">
        <f>CUSTOS!$E$40</f>
        <v>0</v>
      </c>
      <c r="W48" s="20">
        <f>CUSTOS!$E$41</f>
        <v>-1197.5165524572412</v>
      </c>
      <c r="X48" s="20">
        <f>CUSTOS!$E$42</f>
        <v>-1196307.7094131464</v>
      </c>
      <c r="Y48" s="20">
        <f>CUSTOS!$E$43</f>
        <v>-1196307.7094131464</v>
      </c>
      <c r="Z48" s="20">
        <f>CUSTOS!$E$44</f>
        <v>56129.403106085883</v>
      </c>
      <c r="AA48" s="20">
        <f>CUSTOS!$E$45</f>
        <v>56129.403106085883</v>
      </c>
      <c r="AB48" s="20">
        <f>CUSTOS!$E$46</f>
        <v>1050355.3721860799</v>
      </c>
    </row>
    <row r="49" spans="11:28" ht="11.25" customHeight="1" x14ac:dyDescent="0.3">
      <c r="K49" s="25" t="s">
        <v>659</v>
      </c>
      <c r="L49" s="20">
        <f>CUSTOS!$F$30</f>
        <v>0</v>
      </c>
      <c r="M49" s="20">
        <f>CUSTOS!$F$31</f>
        <v>20328.808799999999</v>
      </c>
      <c r="N49" s="20">
        <f>CUSTOS!$F$32</f>
        <v>0</v>
      </c>
      <c r="O49" s="20">
        <f>CUSTOS!$F$33</f>
        <v>44833.335171531602</v>
      </c>
      <c r="P49" s="20">
        <f>CUSTOS!$F$34</f>
        <v>0</v>
      </c>
      <c r="Q49" s="20">
        <f>CUSTOS!$F$35</f>
        <v>65162.143971531601</v>
      </c>
      <c r="R49" s="20">
        <f>CUSTOS!$F$36</f>
        <v>-1250398.5118221636</v>
      </c>
      <c r="S49" s="20">
        <f>CUSTOS!$F$37</f>
        <v>-1250398.5118221636</v>
      </c>
      <c r="T49" s="20">
        <f>CUSTOS!$F$38</f>
        <v>59395.178999999996</v>
      </c>
      <c r="U49" s="20">
        <f>CUSTOS!$F$39</f>
        <v>44702.023239219423</v>
      </c>
      <c r="V49" s="20">
        <f>CUSTOS!$F$40</f>
        <v>0</v>
      </c>
      <c r="W49" s="20">
        <f>CUSTOS!$F$41</f>
        <v>104097.20223921942</v>
      </c>
      <c r="X49" s="20">
        <f>CUSTOS!$F$42</f>
        <v>0</v>
      </c>
      <c r="Y49" s="20">
        <f>CUSTOS!$F$43</f>
        <v>0</v>
      </c>
      <c r="Z49" s="20">
        <f>CUSTOS!$F$44</f>
        <v>-34382.978097712883</v>
      </c>
      <c r="AA49" s="20">
        <f>CUSTOS!$F$45</f>
        <v>-34382.978097712883</v>
      </c>
      <c r="AB49" s="20">
        <f>CUSTOS!$F$46</f>
        <v>-1115522.1437091255</v>
      </c>
    </row>
    <row r="50" spans="11:28" ht="11.25" customHeight="1" x14ac:dyDescent="0.3">
      <c r="K50" s="25" t="s">
        <v>739</v>
      </c>
      <c r="L50" s="20">
        <f>'TR TE'!$L$50*L51</f>
        <v>4.1126839063631094E-8</v>
      </c>
      <c r="M50" s="20">
        <f>'TR TE'!$M$50*M51</f>
        <v>1.3731397526742513</v>
      </c>
      <c r="N50" s="20">
        <f>'TR TE'!$N$50*N51</f>
        <v>0</v>
      </c>
      <c r="O50" s="20">
        <f>'TR TE'!$O$50*O51</f>
        <v>-0.10237967455295723</v>
      </c>
      <c r="P50" s="20">
        <f>'TR TE'!$P$50*P51</f>
        <v>0</v>
      </c>
      <c r="Q50" s="20"/>
      <c r="R50" s="20">
        <f>'TR TE'!$R$50*R51</f>
        <v>17.27345070968407</v>
      </c>
      <c r="S50" s="20"/>
      <c r="T50" s="20">
        <f>'TR TE'!$T$50*T51</f>
        <v>-7.1757594775857081E-2</v>
      </c>
      <c r="U50" s="20">
        <f>'TR TE'!$U$50*U51</f>
        <v>6.1645251667860355E-2</v>
      </c>
      <c r="V50" s="20">
        <f>'TR TE'!$V$50*V51</f>
        <v>0</v>
      </c>
      <c r="W50" s="20"/>
      <c r="X50" s="20"/>
      <c r="Y50" s="20"/>
      <c r="Z50" s="20">
        <f>'TR TE'!$Z$50*Z51</f>
        <v>0.47398074080154723</v>
      </c>
      <c r="AA50" s="20"/>
      <c r="AB50" s="20"/>
    </row>
    <row r="51" spans="11:28" ht="11.25" customHeight="1" x14ac:dyDescent="0.3">
      <c r="K51" s="25" t="s">
        <v>726</v>
      </c>
      <c r="L51" s="20">
        <f>IF(L47&lt;&gt;0,L48/L47,0)</f>
        <v>1.7117215085805211E-8</v>
      </c>
      <c r="M51" s="20">
        <f>IF(M47&lt;&gt;0,M48/M47,0)</f>
        <v>6.5685190105475549E-2</v>
      </c>
      <c r="N51" s="20">
        <f>IF(N47&lt;&gt;0,N48/N47,0)</f>
        <v>0</v>
      </c>
      <c r="O51" s="20">
        <f>IF(O47&lt;&gt;0,O48/O47,0)</f>
        <v>-1.87251270592859E-2</v>
      </c>
      <c r="P51" s="20">
        <f>IF(P47&lt;&gt;0,P48/P47,0)</f>
        <v>0</v>
      </c>
      <c r="Q51" s="20"/>
      <c r="R51" s="20">
        <f>IF(R47&lt;&gt;0,R48/R47,0)</f>
        <v>8.3269175644907767E-2</v>
      </c>
      <c r="S51" s="20"/>
      <c r="T51" s="20">
        <f>IF(T47&lt;&gt;0,T48/T47,0)</f>
        <v>-1.2317852392035651E-2</v>
      </c>
      <c r="U51" s="20">
        <f>IF(U47&lt;&gt;0,U48/U47,0)</f>
        <v>1.535376318606212E-2</v>
      </c>
      <c r="V51" s="20">
        <f>IF(V47&lt;&gt;0,V48/V47,0)</f>
        <v>0</v>
      </c>
      <c r="W51" s="20"/>
      <c r="X51" s="20">
        <f>IF(($AB47-0)&lt;&gt;0,X48/($AB47-0),0)</f>
        <v>-4.3198522706762457E-2</v>
      </c>
      <c r="Y51" s="20"/>
      <c r="Z51" s="20">
        <f>IF(Z47&lt;&gt;0,Z48/Z47,0)</f>
        <v>8.3269175644907767E-2</v>
      </c>
      <c r="AA51" s="20"/>
      <c r="AB51" s="20"/>
    </row>
    <row r="52" spans="11:28" ht="11.25" customHeight="1" x14ac:dyDescent="0.3">
      <c r="K52" s="25" t="s">
        <v>741</v>
      </c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</sheetData>
  <mergeCells count="67">
    <mergeCell ref="E38:E40"/>
    <mergeCell ref="F38:F40"/>
    <mergeCell ref="A43:A44"/>
    <mergeCell ref="B43:B44"/>
    <mergeCell ref="C43:C44"/>
    <mergeCell ref="D38:D40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A10:A22"/>
    <mergeCell ref="B10:B12"/>
    <mergeCell ref="C10:C12"/>
    <mergeCell ref="D10:D12"/>
    <mergeCell ref="E10:E12"/>
    <mergeCell ref="F10:F12"/>
    <mergeCell ref="B13:B17"/>
    <mergeCell ref="C13:C17"/>
    <mergeCell ref="B18:B22"/>
    <mergeCell ref="C18:C22"/>
    <mergeCell ref="A8:A9"/>
    <mergeCell ref="B8:B9"/>
    <mergeCell ref="C8:C9"/>
    <mergeCell ref="D8:D9"/>
    <mergeCell ref="E8:E9"/>
    <mergeCell ref="F8:F9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6">
    <cfRule type="cellIs" dxfId="1257" priority="33" operator="notEqual">
      <formula>$L$47</formula>
    </cfRule>
    <cfRule type="cellIs" dxfId="1256" priority="34" operator="equal">
      <formula>$L$47</formula>
    </cfRule>
  </conditionalFormatting>
  <conditionalFormatting sqref="M46">
    <cfRule type="cellIs" dxfId="1255" priority="31" operator="notEqual">
      <formula>$M$47</formula>
    </cfRule>
    <cfRule type="cellIs" dxfId="1254" priority="32" operator="equal">
      <formula>$M$47</formula>
    </cfRule>
  </conditionalFormatting>
  <conditionalFormatting sqref="N46">
    <cfRule type="cellIs" dxfId="1253" priority="29" operator="notEqual">
      <formula>$N$47</formula>
    </cfRule>
    <cfRule type="cellIs" dxfId="1252" priority="30" operator="equal">
      <formula>$N$47</formula>
    </cfRule>
  </conditionalFormatting>
  <conditionalFormatting sqref="O46">
    <cfRule type="cellIs" dxfId="1251" priority="27" operator="notEqual">
      <formula>$O$47</formula>
    </cfRule>
    <cfRule type="cellIs" dxfId="1250" priority="28" operator="equal">
      <formula>$O$47</formula>
    </cfRule>
  </conditionalFormatting>
  <conditionalFormatting sqref="P46">
    <cfRule type="cellIs" dxfId="1249" priority="25" operator="notEqual">
      <formula>$P$47</formula>
    </cfRule>
    <cfRule type="cellIs" dxfId="1248" priority="26" operator="equal">
      <formula>$P$47</formula>
    </cfRule>
  </conditionalFormatting>
  <conditionalFormatting sqref="Q46">
    <cfRule type="cellIs" dxfId="1247" priority="23" operator="notEqual">
      <formula>$Q$47</formula>
    </cfRule>
    <cfRule type="cellIs" dxfId="1246" priority="24" operator="equal">
      <formula>$Q$47</formula>
    </cfRule>
  </conditionalFormatting>
  <conditionalFormatting sqref="R46">
    <cfRule type="cellIs" dxfId="1245" priority="21" operator="notEqual">
      <formula>$R$47</formula>
    </cfRule>
    <cfRule type="cellIs" dxfId="1244" priority="22" operator="equal">
      <formula>$R$47</formula>
    </cfRule>
  </conditionalFormatting>
  <conditionalFormatting sqref="S46">
    <cfRule type="cellIs" dxfId="1243" priority="19" operator="notEqual">
      <formula>$S$47</formula>
    </cfRule>
    <cfRule type="cellIs" dxfId="1242" priority="20" operator="equal">
      <formula>$S$47</formula>
    </cfRule>
  </conditionalFormatting>
  <conditionalFormatting sqref="T46">
    <cfRule type="cellIs" dxfId="1241" priority="17" operator="notEqual">
      <formula>$T$47</formula>
    </cfRule>
    <cfRule type="cellIs" dxfId="1240" priority="18" operator="equal">
      <formula>$T$47</formula>
    </cfRule>
  </conditionalFormatting>
  <conditionalFormatting sqref="U46">
    <cfRule type="cellIs" dxfId="1239" priority="15" operator="notEqual">
      <formula>$U$47</formula>
    </cfRule>
    <cfRule type="cellIs" dxfId="1238" priority="16" operator="equal">
      <formula>$U$47</formula>
    </cfRule>
  </conditionalFormatting>
  <conditionalFormatting sqref="V46">
    <cfRule type="cellIs" dxfId="1237" priority="13" operator="notEqual">
      <formula>$V$47</formula>
    </cfRule>
    <cfRule type="cellIs" dxfId="1236" priority="14" operator="equal">
      <formula>$V$47</formula>
    </cfRule>
  </conditionalFormatting>
  <conditionalFormatting sqref="W46">
    <cfRule type="cellIs" dxfId="1235" priority="11" operator="notEqual">
      <formula>$W$47</formula>
    </cfRule>
    <cfRule type="cellIs" dxfId="1234" priority="12" operator="equal">
      <formula>$W$47</formula>
    </cfRule>
  </conditionalFormatting>
  <conditionalFormatting sqref="X46">
    <cfRule type="cellIs" dxfId="1233" priority="9" operator="notEqual">
      <formula>$X$47</formula>
    </cfRule>
    <cfRule type="cellIs" dxfId="1232" priority="10" operator="equal">
      <formula>$X$47</formula>
    </cfRule>
  </conditionalFormatting>
  <conditionalFormatting sqref="Y46">
    <cfRule type="cellIs" dxfId="1231" priority="7" operator="notEqual">
      <formula>$Y$47</formula>
    </cfRule>
    <cfRule type="cellIs" dxfId="1230" priority="8" operator="equal">
      <formula>$Y$47</formula>
    </cfRule>
  </conditionalFormatting>
  <conditionalFormatting sqref="Z46">
    <cfRule type="cellIs" dxfId="1229" priority="5" operator="notEqual">
      <formula>$Z$47</formula>
    </cfRule>
    <cfRule type="cellIs" dxfId="1228" priority="6" operator="equal">
      <formula>$Z$47</formula>
    </cfRule>
  </conditionalFormatting>
  <conditionalFormatting sqref="AA46">
    <cfRule type="cellIs" dxfId="1227" priority="3" operator="notEqual">
      <formula>$AA$47</formula>
    </cfRule>
    <cfRule type="cellIs" dxfId="1226" priority="4" operator="equal">
      <formula>$AA$47</formula>
    </cfRule>
  </conditionalFormatting>
  <conditionalFormatting sqref="AB46">
    <cfRule type="cellIs" dxfId="1225" priority="1" operator="notEqual">
      <formula>$AB$47</formula>
    </cfRule>
    <cfRule type="cellIs" dxfId="1224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C8EE2-67AA-4070-A1C2-7E902527E6AC}">
  <sheetPr codeName="Planilha14"/>
  <dimension ref="A1:AB52"/>
  <sheetViews>
    <sheetView showGridLines="0" topLeftCell="R28" workbookViewId="0">
      <selection activeCell="AB46" sqref="AB46"/>
    </sheetView>
  </sheetViews>
  <sheetFormatPr defaultRowHeight="11.25" customHeight="1" x14ac:dyDescent="0.3"/>
  <cols>
    <col min="1" max="1" width="9" style="9" bestFit="1" customWidth="1"/>
    <col min="2" max="2" width="26.33203125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9" width="7.6640625" style="9" bestFit="1" customWidth="1"/>
    <col min="10" max="10" width="8.88671875" style="9"/>
    <col min="11" max="11" width="19.88671875" style="9" bestFit="1" customWidth="1"/>
    <col min="12" max="12" width="8.44140625" style="9" bestFit="1" customWidth="1"/>
    <col min="13" max="13" width="9.6640625" style="9" bestFit="1" customWidth="1"/>
    <col min="14" max="14" width="8.44140625" style="9" bestFit="1" customWidth="1"/>
    <col min="15" max="15" width="10.77734375" style="9" bestFit="1" customWidth="1"/>
    <col min="16" max="16" width="10.21875" style="9" bestFit="1" customWidth="1"/>
    <col min="17" max="17" width="9.6640625" style="9" bestFit="1" customWidth="1"/>
    <col min="18" max="18" width="14.5546875" style="9" bestFit="1" customWidth="1"/>
    <col min="19" max="19" width="10.5546875" style="9" bestFit="1" customWidth="1"/>
    <col min="20" max="20" width="8.44140625" style="9" bestFit="1" customWidth="1"/>
    <col min="21" max="21" width="10.109375" style="9" bestFit="1" customWidth="1"/>
    <col min="22" max="22" width="8.44140625" style="9" bestFit="1" customWidth="1"/>
    <col min="23" max="23" width="9.6640625" style="9" bestFit="1" customWidth="1"/>
    <col min="24" max="24" width="7.77734375" style="9" bestFit="1" customWidth="1"/>
    <col min="25" max="25" width="9" style="9" bestFit="1" customWidth="1"/>
    <col min="26" max="26" width="10.6640625" style="9" bestFit="1" customWidth="1"/>
    <col min="27" max="27" width="9" style="9" bestFit="1" customWidth="1"/>
    <col min="28" max="28" width="10.5546875" style="9" bestFit="1" customWidth="1"/>
    <col min="29" max="16384" width="8.88671875" style="9"/>
  </cols>
  <sheetData>
    <row r="1" spans="1:28" ht="11.25" customHeight="1" x14ac:dyDescent="0.3">
      <c r="A1" s="147" t="s">
        <v>69</v>
      </c>
      <c r="B1" s="147" t="s">
        <v>70</v>
      </c>
      <c r="C1" s="147" t="s">
        <v>71</v>
      </c>
      <c r="D1" s="147" t="s">
        <v>72</v>
      </c>
      <c r="E1" s="147" t="s">
        <v>73</v>
      </c>
      <c r="F1" s="147" t="s">
        <v>15</v>
      </c>
      <c r="G1" s="147" t="s">
        <v>75</v>
      </c>
      <c r="H1" s="147" t="s">
        <v>76</v>
      </c>
      <c r="I1" s="147" t="s">
        <v>716</v>
      </c>
      <c r="J1" s="131"/>
      <c r="L1" s="145" t="s">
        <v>743</v>
      </c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</row>
    <row r="2" spans="1:28" ht="11.25" customHeight="1" x14ac:dyDescent="0.3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5" t="s">
        <v>643</v>
      </c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</row>
    <row r="3" spans="1:28" ht="11.25" customHeight="1" x14ac:dyDescent="0.3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5" t="s">
        <v>616</v>
      </c>
      <c r="M3" s="145"/>
      <c r="N3" s="145"/>
      <c r="O3" s="145"/>
      <c r="P3" s="145"/>
      <c r="Q3" s="145"/>
      <c r="R3" s="145" t="s">
        <v>647</v>
      </c>
      <c r="S3" s="145"/>
      <c r="T3" s="145" t="s">
        <v>625</v>
      </c>
      <c r="U3" s="145"/>
      <c r="V3" s="145"/>
      <c r="W3" s="145"/>
      <c r="X3" s="145" t="s">
        <v>635</v>
      </c>
      <c r="Y3" s="145"/>
      <c r="Z3" s="145" t="s">
        <v>638</v>
      </c>
      <c r="AA3" s="145"/>
      <c r="AB3" s="145" t="s">
        <v>624</v>
      </c>
    </row>
    <row r="4" spans="1:28" ht="11.25" customHeight="1" x14ac:dyDescent="0.3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24" t="s">
        <v>618</v>
      </c>
      <c r="M4" s="24" t="s">
        <v>644</v>
      </c>
      <c r="N4" s="24" t="s">
        <v>645</v>
      </c>
      <c r="O4" s="24" t="s">
        <v>704</v>
      </c>
      <c r="P4" s="24" t="s">
        <v>646</v>
      </c>
      <c r="Q4" s="24" t="s">
        <v>624</v>
      </c>
      <c r="R4" s="24" t="s">
        <v>648</v>
      </c>
      <c r="S4" s="24" t="s">
        <v>624</v>
      </c>
      <c r="T4" s="24" t="s">
        <v>649</v>
      </c>
      <c r="U4" s="24" t="s">
        <v>650</v>
      </c>
      <c r="V4" s="24" t="s">
        <v>651</v>
      </c>
      <c r="W4" s="24" t="s">
        <v>624</v>
      </c>
      <c r="X4" s="24" t="s">
        <v>636</v>
      </c>
      <c r="Y4" s="24" t="s">
        <v>624</v>
      </c>
      <c r="Z4" s="24" t="s">
        <v>652</v>
      </c>
      <c r="AA4" s="24" t="s">
        <v>624</v>
      </c>
      <c r="AB4" s="146"/>
    </row>
    <row r="5" spans="1:28" ht="11.25" customHeight="1" x14ac:dyDescent="0.3">
      <c r="A5" s="148" t="s">
        <v>45</v>
      </c>
      <c r="B5" s="148" t="s">
        <v>78</v>
      </c>
      <c r="C5" s="148" t="s">
        <v>25</v>
      </c>
      <c r="D5" s="148" t="s">
        <v>25</v>
      </c>
      <c r="E5" s="148" t="s">
        <v>25</v>
      </c>
      <c r="F5" s="148" t="s">
        <v>25</v>
      </c>
      <c r="G5" s="23" t="s">
        <v>80</v>
      </c>
      <c r="H5" s="23" t="s">
        <v>79</v>
      </c>
      <c r="I5" s="23">
        <f>'MERCADO TE'!$U$2</f>
        <v>6.42</v>
      </c>
      <c r="J5" s="15"/>
      <c r="L5" s="20">
        <f>'TE BE'!$L$5*'TE BE'!$L$51</f>
        <v>4.1126839063631094E-8</v>
      </c>
      <c r="M5" s="20">
        <f>'TE BE'!$M$5*'TE BE'!$M$51</f>
        <v>1.3731397526742513</v>
      </c>
      <c r="N5" s="20">
        <f>'TE BE'!$N$5*'TE BE'!$N$51</f>
        <v>0</v>
      </c>
      <c r="O5" s="20">
        <f>'TE BE'!$O$5*'TE BE'!$O$51</f>
        <v>-0.10237967455295723</v>
      </c>
      <c r="P5" s="20">
        <f>'TE BE'!$P$5*'TE BE'!$P$51</f>
        <v>0</v>
      </c>
      <c r="Q5" s="20">
        <f>SUM($L$5:$P$5)</f>
        <v>1.270760119248133</v>
      </c>
      <c r="R5" s="20">
        <f>'TE BE'!$R$5*'TE BE'!$R$51</f>
        <v>28.068133520617682</v>
      </c>
      <c r="S5" s="20">
        <f>SUM($R$5:$R$5)</f>
        <v>28.068133520617682</v>
      </c>
      <c r="T5" s="20">
        <f>'TE BE'!$T$5*'TE BE'!$T$51</f>
        <v>-7.1757594775857081E-2</v>
      </c>
      <c r="U5" s="20">
        <f>'TE BE'!$U$5*'TE BE'!$U$51</f>
        <v>6.1645251667860355E-2</v>
      </c>
      <c r="V5" s="20">
        <f>'TE BE'!$V$5*'TE BE'!$V$51</f>
        <v>0</v>
      </c>
      <c r="W5" s="20">
        <f>SUM($T$5:$V$5)</f>
        <v>-1.0112343107996725E-2</v>
      </c>
      <c r="X5" s="20">
        <f>'TE BE'!$AB$5*'TE BE'!$X$51</f>
        <v>-15.721046976212161</v>
      </c>
      <c r="Y5" s="20">
        <f>SUM($X$5:$X$5)</f>
        <v>-15.721046976212161</v>
      </c>
      <c r="Z5" s="20">
        <f>'TE BE'!$Z$5*'TE BE'!$Z$51</f>
        <v>0.47398074080154723</v>
      </c>
      <c r="AA5" s="20">
        <f>SUM($Z$5:$Z$5)</f>
        <v>0.47398074080154723</v>
      </c>
      <c r="AB5" s="20">
        <f>SUMIF($L$4:$AA$4,"SUBTOTAL",$L$5:$AA$5)</f>
        <v>14.081715061347204</v>
      </c>
    </row>
    <row r="6" spans="1:28" ht="11.25" customHeight="1" x14ac:dyDescent="0.3">
      <c r="A6" s="148"/>
      <c r="B6" s="148"/>
      <c r="C6" s="148"/>
      <c r="D6" s="148"/>
      <c r="E6" s="148"/>
      <c r="F6" s="148"/>
      <c r="G6" s="23" t="s">
        <v>81</v>
      </c>
      <c r="H6" s="23" t="s">
        <v>79</v>
      </c>
      <c r="I6" s="23">
        <f>'MERCADO TE'!$U$3</f>
        <v>1805.7700000000004</v>
      </c>
      <c r="J6" s="15"/>
      <c r="L6" s="20">
        <f>'TE BE'!$L$6*'TE BE'!$L$51</f>
        <v>4.1126839063631094E-8</v>
      </c>
      <c r="M6" s="20">
        <f>'TE BE'!$M$6*'TE BE'!$M$51</f>
        <v>1.3731397526742513</v>
      </c>
      <c r="N6" s="20">
        <f>'TE BE'!$N$6*'TE BE'!$N$51</f>
        <v>0</v>
      </c>
      <c r="O6" s="20">
        <f>'TE BE'!$O$6*'TE BE'!$O$51</f>
        <v>-0.10237967455295723</v>
      </c>
      <c r="P6" s="20">
        <f>'TE BE'!$P$6*'TE BE'!$P$51</f>
        <v>0</v>
      </c>
      <c r="Q6" s="20">
        <f>SUM($L$6:$P$6)</f>
        <v>1.270760119248133</v>
      </c>
      <c r="R6" s="20">
        <f>'TE BE'!$R$6*'TE BE'!$R$51</f>
        <v>16.318682279428888</v>
      </c>
      <c r="S6" s="20">
        <f>SUM($R$6:$R$6)</f>
        <v>16.318682279428888</v>
      </c>
      <c r="T6" s="20">
        <f>'TE BE'!$T$6*'TE BE'!$T$51</f>
        <v>-7.1757594775857081E-2</v>
      </c>
      <c r="U6" s="20">
        <f>'TE BE'!$U$6*'TE BE'!$U$51</f>
        <v>6.1645251667860355E-2</v>
      </c>
      <c r="V6" s="20">
        <f>'TE BE'!$V$6*'TE BE'!$V$51</f>
        <v>0</v>
      </c>
      <c r="W6" s="20">
        <f>SUM($T$6:$V$6)</f>
        <v>-1.0112343107996725E-2</v>
      </c>
      <c r="X6" s="20">
        <f>'TE BE'!$AB$6*'TE BE'!$X$51</f>
        <v>-9.6256469400820865</v>
      </c>
      <c r="Y6" s="20">
        <f>SUM($X$6:$X$6)</f>
        <v>-9.6256469400820865</v>
      </c>
      <c r="Z6" s="20">
        <f>'TE BE'!$Z$6*'TE BE'!$Z$51</f>
        <v>0.47398074080154723</v>
      </c>
      <c r="AA6" s="20">
        <f>SUM($Z$6:$Z$6)</f>
        <v>0.47398074080154723</v>
      </c>
      <c r="AB6" s="20">
        <f>SUMIF($L$4:$AA$4,"SUBTOTAL",$L$6:$AA$6)</f>
        <v>8.4276638562884845</v>
      </c>
    </row>
    <row r="7" spans="1:28" ht="11.25" customHeight="1" x14ac:dyDescent="0.3">
      <c r="A7" s="148"/>
      <c r="B7" s="22" t="s">
        <v>82</v>
      </c>
      <c r="C7" s="22" t="s">
        <v>25</v>
      </c>
      <c r="D7" s="22" t="s">
        <v>25</v>
      </c>
      <c r="E7" s="22" t="s">
        <v>25</v>
      </c>
      <c r="F7" s="22" t="s">
        <v>25</v>
      </c>
      <c r="G7" s="23" t="s">
        <v>83</v>
      </c>
      <c r="H7" s="23" t="s">
        <v>79</v>
      </c>
      <c r="I7" s="23">
        <f>'MERCADO TE'!$U$4</f>
        <v>0</v>
      </c>
      <c r="J7" s="15"/>
      <c r="L7" s="20">
        <f>'TE BE'!$L$7*'TE BE'!$L$51</f>
        <v>4.1126839063631094E-8</v>
      </c>
      <c r="M7" s="20">
        <f>'TE BE'!$M$7*'TE BE'!$M$51</f>
        <v>1.3731397526742513</v>
      </c>
      <c r="N7" s="20">
        <f>'TE BE'!$N$7*'TE BE'!$N$51</f>
        <v>0</v>
      </c>
      <c r="O7" s="20">
        <f>'TE BE'!$O$7*'TE BE'!$O$51</f>
        <v>-0.10237967455295723</v>
      </c>
      <c r="P7" s="20">
        <f>'TE BE'!$P$7*'TE BE'!$P$51</f>
        <v>0</v>
      </c>
      <c r="Q7" s="20">
        <f>SUM($L$7:$P$7)</f>
        <v>1.270760119248133</v>
      </c>
      <c r="R7" s="20">
        <f>'TE BE'!$R$7*'TE BE'!$R$51</f>
        <v>17.29780321619462</v>
      </c>
      <c r="S7" s="20">
        <f>SUM($R$7:$R$7)</f>
        <v>17.29780321619462</v>
      </c>
      <c r="T7" s="20">
        <f>'TE BE'!$T$7*'TE BE'!$T$51</f>
        <v>-7.1757594775857081E-2</v>
      </c>
      <c r="U7" s="20">
        <f>'TE BE'!$U$7*'TE BE'!$U$51</f>
        <v>6.1645251667860355E-2</v>
      </c>
      <c r="V7" s="20">
        <f>'TE BE'!$V$7*'TE BE'!$V$51</f>
        <v>0</v>
      </c>
      <c r="W7" s="20">
        <f>SUM($T$7:$V$7)</f>
        <v>-1.0112343107996725E-2</v>
      </c>
      <c r="X7" s="20">
        <f>'TE BE'!$AB$7*'TE BE'!$X$51</f>
        <v>-10.133596943092927</v>
      </c>
      <c r="Y7" s="20">
        <f>SUM($X$7:$X$7)</f>
        <v>-10.133596943092927</v>
      </c>
      <c r="Z7" s="20">
        <f>'TE BE'!$Z$7*'TE BE'!$Z$51</f>
        <v>0.47398074080154723</v>
      </c>
      <c r="AA7" s="20">
        <f>SUM($Z$7:$Z$7)</f>
        <v>0.47398074080154723</v>
      </c>
      <c r="AB7" s="20">
        <f>SUMIF($L$4:$AA$4,"SUBTOTAL",$L$7:$AA$7)</f>
        <v>8.8988347900433755</v>
      </c>
    </row>
    <row r="8" spans="1:28" ht="11.25" customHeight="1" x14ac:dyDescent="0.3">
      <c r="A8" s="148" t="s">
        <v>39</v>
      </c>
      <c r="B8" s="148" t="s">
        <v>78</v>
      </c>
      <c r="C8" s="148" t="s">
        <v>25</v>
      </c>
      <c r="D8" s="148" t="s">
        <v>25</v>
      </c>
      <c r="E8" s="148" t="s">
        <v>25</v>
      </c>
      <c r="F8" s="148" t="s">
        <v>25</v>
      </c>
      <c r="G8" s="23" t="s">
        <v>80</v>
      </c>
      <c r="H8" s="23" t="s">
        <v>79</v>
      </c>
      <c r="I8" s="23">
        <f>'MERCADO TE'!$U$5</f>
        <v>1184.028</v>
      </c>
      <c r="J8" s="15"/>
      <c r="L8" s="20">
        <f>'TE BE'!$L$8*'TE BE'!$L$51</f>
        <v>4.1126839063631094E-8</v>
      </c>
      <c r="M8" s="20">
        <f>'TE BE'!$M$8*'TE BE'!$M$51</f>
        <v>1.3731397526742513</v>
      </c>
      <c r="N8" s="20">
        <f>'TE BE'!$N$8*'TE BE'!$N$51</f>
        <v>0</v>
      </c>
      <c r="O8" s="20">
        <f>'TE BE'!$O$8*'TE BE'!$O$51</f>
        <v>-0.10237967455295723</v>
      </c>
      <c r="P8" s="20">
        <f>'TE BE'!$P$8*'TE BE'!$P$51</f>
        <v>0</v>
      </c>
      <c r="Q8" s="20">
        <f>SUM($L$8:$P$8)</f>
        <v>1.270760119248133</v>
      </c>
      <c r="R8" s="20">
        <f>'TE BE'!$R$8*'TE BE'!$R$51</f>
        <v>28.068133520617682</v>
      </c>
      <c r="S8" s="20">
        <f>SUM($R$8:$R$8)</f>
        <v>28.068133520617682</v>
      </c>
      <c r="T8" s="20">
        <f>'TE BE'!$T$8*'TE BE'!$T$51</f>
        <v>-7.1757594775857081E-2</v>
      </c>
      <c r="U8" s="20">
        <f>'TE BE'!$U$8*'TE BE'!$U$51</f>
        <v>6.1645251667860355E-2</v>
      </c>
      <c r="V8" s="20">
        <f>'TE BE'!$V$8*'TE BE'!$V$51</f>
        <v>0</v>
      </c>
      <c r="W8" s="20">
        <f>SUM($T$8:$V$8)</f>
        <v>-1.0112343107996725E-2</v>
      </c>
      <c r="X8" s="20">
        <f>'TE BE'!$AB$8*'TE BE'!$X$51</f>
        <v>-15.721046976212161</v>
      </c>
      <c r="Y8" s="20">
        <f>SUM($X$8:$X$8)</f>
        <v>-15.721046976212161</v>
      </c>
      <c r="Z8" s="20">
        <f>'TE BE'!$Z$8*'TE BE'!$Z$51</f>
        <v>0.47398074080154723</v>
      </c>
      <c r="AA8" s="20">
        <f>SUM($Z$8:$Z$8)</f>
        <v>0.47398074080154723</v>
      </c>
      <c r="AB8" s="20">
        <f>SUMIF($L$4:$AA$4,"SUBTOTAL",$L$8:$AA$8)</f>
        <v>14.081715061347204</v>
      </c>
    </row>
    <row r="9" spans="1:28" ht="11.25" customHeight="1" x14ac:dyDescent="0.3">
      <c r="A9" s="148"/>
      <c r="B9" s="148"/>
      <c r="C9" s="148"/>
      <c r="D9" s="148"/>
      <c r="E9" s="148"/>
      <c r="F9" s="148"/>
      <c r="G9" s="23" t="s">
        <v>81</v>
      </c>
      <c r="H9" s="23" t="s">
        <v>79</v>
      </c>
      <c r="I9" s="23">
        <f>'MERCADO TE'!$U$6</f>
        <v>18584.842000000001</v>
      </c>
      <c r="J9" s="15"/>
      <c r="L9" s="20">
        <f>'TE BE'!$L$9*'TE BE'!$L$51</f>
        <v>4.1126839063631094E-8</v>
      </c>
      <c r="M9" s="20">
        <f>'TE BE'!$M$9*'TE BE'!$M$51</f>
        <v>1.3731397526742513</v>
      </c>
      <c r="N9" s="20">
        <f>'TE BE'!$N$9*'TE BE'!$N$51</f>
        <v>0</v>
      </c>
      <c r="O9" s="20">
        <f>'TE BE'!$O$9*'TE BE'!$O$51</f>
        <v>-0.10237967455295723</v>
      </c>
      <c r="P9" s="20">
        <f>'TE BE'!$P$9*'TE BE'!$P$51</f>
        <v>0</v>
      </c>
      <c r="Q9" s="20">
        <f>SUM($L$9:$P$9)</f>
        <v>1.270760119248133</v>
      </c>
      <c r="R9" s="20">
        <f>'TE BE'!$R$9*'TE BE'!$R$51</f>
        <v>16.318682279428888</v>
      </c>
      <c r="S9" s="20">
        <f>SUM($R$9:$R$9)</f>
        <v>16.318682279428888</v>
      </c>
      <c r="T9" s="20">
        <f>'TE BE'!$T$9*'TE BE'!$T$51</f>
        <v>-7.1757594775857081E-2</v>
      </c>
      <c r="U9" s="20">
        <f>'TE BE'!$U$9*'TE BE'!$U$51</f>
        <v>6.1645251667860355E-2</v>
      </c>
      <c r="V9" s="20">
        <f>'TE BE'!$V$9*'TE BE'!$V$51</f>
        <v>0</v>
      </c>
      <c r="W9" s="20">
        <f>SUM($T$9:$V$9)</f>
        <v>-1.0112343107996725E-2</v>
      </c>
      <c r="X9" s="20">
        <f>'TE BE'!$AB$9*'TE BE'!$X$51</f>
        <v>-9.6256469400820865</v>
      </c>
      <c r="Y9" s="20">
        <f>SUM($X$9:$X$9)</f>
        <v>-9.6256469400820865</v>
      </c>
      <c r="Z9" s="20">
        <f>'TE BE'!$Z$9*'TE BE'!$Z$51</f>
        <v>0.47398074080154723</v>
      </c>
      <c r="AA9" s="20">
        <f>SUM($Z$9:$Z$9)</f>
        <v>0.47398074080154723</v>
      </c>
      <c r="AB9" s="20">
        <f>SUMIF($L$4:$AA$4,"SUBTOTAL",$L$9:$AA$9)</f>
        <v>8.4276638562884845</v>
      </c>
    </row>
    <row r="10" spans="1:28" ht="11.25" customHeight="1" x14ac:dyDescent="0.3">
      <c r="A10" s="148" t="s">
        <v>22</v>
      </c>
      <c r="B10" s="148" t="s">
        <v>78</v>
      </c>
      <c r="C10" s="148" t="s">
        <v>24</v>
      </c>
      <c r="D10" s="148" t="s">
        <v>24</v>
      </c>
      <c r="E10" s="148" t="s">
        <v>25</v>
      </c>
      <c r="F10" s="148" t="s">
        <v>25</v>
      </c>
      <c r="G10" s="23" t="s">
        <v>80</v>
      </c>
      <c r="H10" s="23" t="s">
        <v>79</v>
      </c>
      <c r="I10" s="23">
        <f>'MERCADO TE'!$U$7</f>
        <v>5.2</v>
      </c>
      <c r="J10" s="15"/>
      <c r="L10" s="20">
        <f>'TE BE'!$L$10*'TE BE'!$L$51</f>
        <v>4.1126839063631094E-8</v>
      </c>
      <c r="M10" s="20">
        <f>'TE BE'!$M$10*'TE BE'!$M$51</f>
        <v>1.3731397526742513</v>
      </c>
      <c r="N10" s="20">
        <f>'TE BE'!$N$10*'TE BE'!$N$51</f>
        <v>0</v>
      </c>
      <c r="O10" s="20">
        <f>'TE BE'!$O$10*'TE BE'!$O$51</f>
        <v>-0.10237967455295723</v>
      </c>
      <c r="P10" s="20">
        <f>'TE BE'!$P$10*'TE BE'!$P$51</f>
        <v>0</v>
      </c>
      <c r="Q10" s="20">
        <f>SUM($L$10:$P$10)</f>
        <v>1.270760119248133</v>
      </c>
      <c r="R10" s="20">
        <f>'TE BE'!$R$10*'TE BE'!$R$51</f>
        <v>28.068133520617682</v>
      </c>
      <c r="S10" s="20">
        <f>SUM($R$10:$R$10)</f>
        <v>28.068133520617682</v>
      </c>
      <c r="T10" s="20">
        <f>'TE BE'!$T$10*'TE BE'!$T$51</f>
        <v>-7.1757594775857081E-2</v>
      </c>
      <c r="U10" s="20">
        <f>'TE BE'!$U$10*'TE BE'!$U$51</f>
        <v>6.1645251667860355E-2</v>
      </c>
      <c r="V10" s="20">
        <f>'TE BE'!$V$10*'TE BE'!$V$51</f>
        <v>0</v>
      </c>
      <c r="W10" s="20">
        <f>SUM($T$10:$V$10)</f>
        <v>-1.0112343107996725E-2</v>
      </c>
      <c r="X10" s="20">
        <f>'TE BE'!$AB$10*'TE BE'!$X$51</f>
        <v>-15.721046976212161</v>
      </c>
      <c r="Y10" s="20">
        <f>SUM($X$10:$X$10)</f>
        <v>-15.721046976212161</v>
      </c>
      <c r="Z10" s="20">
        <f>'TE BE'!$Z$10*'TE BE'!$Z$51</f>
        <v>0.47398074080154723</v>
      </c>
      <c r="AA10" s="20">
        <f>SUM($Z$10:$Z$10)</f>
        <v>0.47398074080154723</v>
      </c>
      <c r="AB10" s="20">
        <f>SUMIF($L$4:$AA$4,"SUBTOTAL",$L$10:$AA$10)</f>
        <v>14.081715061347204</v>
      </c>
    </row>
    <row r="11" spans="1:28" ht="11.25" customHeight="1" x14ac:dyDescent="0.3">
      <c r="A11" s="148"/>
      <c r="B11" s="148"/>
      <c r="C11" s="148"/>
      <c r="D11" s="148"/>
      <c r="E11" s="148"/>
      <c r="F11" s="148"/>
      <c r="G11" s="23" t="s">
        <v>91</v>
      </c>
      <c r="H11" s="23" t="s">
        <v>79</v>
      </c>
      <c r="I11" s="23">
        <f>'MERCADO TE'!$U$8</f>
        <v>3.3950000000000005</v>
      </c>
      <c r="J11" s="15"/>
      <c r="L11" s="20">
        <f>'TE BE'!$L$11*'TE BE'!$L$51</f>
        <v>4.1126839063631094E-8</v>
      </c>
      <c r="M11" s="20">
        <f>'TE BE'!$M$11*'TE BE'!$M$51</f>
        <v>1.3731397526742513</v>
      </c>
      <c r="N11" s="20">
        <f>'TE BE'!$N$11*'TE BE'!$N$51</f>
        <v>0</v>
      </c>
      <c r="O11" s="20">
        <f>'TE BE'!$O$11*'TE BE'!$O$51</f>
        <v>-0.10237967455295723</v>
      </c>
      <c r="P11" s="20">
        <f>'TE BE'!$P$11*'TE BE'!$P$51</f>
        <v>0</v>
      </c>
      <c r="Q11" s="20">
        <f>SUM($L$11:$P$11)</f>
        <v>1.270760119248133</v>
      </c>
      <c r="R11" s="20">
        <f>'TE BE'!$R$11*'TE BE'!$R$51</f>
        <v>16.318682279428888</v>
      </c>
      <c r="S11" s="20">
        <f>SUM($R$11:$R$11)</f>
        <v>16.318682279428888</v>
      </c>
      <c r="T11" s="20">
        <f>'TE BE'!$T$11*'TE BE'!$T$51</f>
        <v>-7.1757594775857081E-2</v>
      </c>
      <c r="U11" s="20">
        <f>'TE BE'!$U$11*'TE BE'!$U$51</f>
        <v>6.1645251667860355E-2</v>
      </c>
      <c r="V11" s="20">
        <f>'TE BE'!$V$11*'TE BE'!$V$51</f>
        <v>0</v>
      </c>
      <c r="W11" s="20">
        <f>SUM($T$11:$V$11)</f>
        <v>-1.0112343107996725E-2</v>
      </c>
      <c r="X11" s="20">
        <f>'TE BE'!$AB$11*'TE BE'!$X$51</f>
        <v>-9.6256469400820865</v>
      </c>
      <c r="Y11" s="20">
        <f>SUM($X$11:$X$11)</f>
        <v>-9.6256469400820865</v>
      </c>
      <c r="Z11" s="20">
        <f>'TE BE'!$Z$11*'TE BE'!$Z$51</f>
        <v>0.47398074080154723</v>
      </c>
      <c r="AA11" s="20">
        <f>SUM($Z$11:$Z$11)</f>
        <v>0.47398074080154723</v>
      </c>
      <c r="AB11" s="20">
        <f>SUMIF($L$4:$AA$4,"SUBTOTAL",$L$11:$AA$11)</f>
        <v>8.4276638562884845</v>
      </c>
    </row>
    <row r="12" spans="1:28" ht="11.25" customHeight="1" x14ac:dyDescent="0.3">
      <c r="A12" s="148"/>
      <c r="B12" s="148"/>
      <c r="C12" s="148"/>
      <c r="D12" s="148"/>
      <c r="E12" s="148"/>
      <c r="F12" s="148"/>
      <c r="G12" s="23" t="s">
        <v>81</v>
      </c>
      <c r="H12" s="23" t="s">
        <v>79</v>
      </c>
      <c r="I12" s="23">
        <f>'MERCADO TE'!$U$9</f>
        <v>48.124000000000009</v>
      </c>
      <c r="J12" s="15"/>
      <c r="L12" s="20">
        <f>'TE BE'!$L$12*'TE BE'!$L$51</f>
        <v>4.1126839063631094E-8</v>
      </c>
      <c r="M12" s="20">
        <f>'TE BE'!$M$12*'TE BE'!$M$51</f>
        <v>1.3731397526742513</v>
      </c>
      <c r="N12" s="20">
        <f>'TE BE'!$N$12*'TE BE'!$N$51</f>
        <v>0</v>
      </c>
      <c r="O12" s="20">
        <f>'TE BE'!$O$12*'TE BE'!$O$51</f>
        <v>-0.10237967455295723</v>
      </c>
      <c r="P12" s="20">
        <f>'TE BE'!$P$12*'TE BE'!$P$51</f>
        <v>0</v>
      </c>
      <c r="Q12" s="20">
        <f>SUM($L$12:$P$12)</f>
        <v>1.270760119248133</v>
      </c>
      <c r="R12" s="20">
        <f>'TE BE'!$R$12*'TE BE'!$R$51</f>
        <v>16.318682279428888</v>
      </c>
      <c r="S12" s="20">
        <f>SUM($R$12:$R$12)</f>
        <v>16.318682279428888</v>
      </c>
      <c r="T12" s="20">
        <f>'TE BE'!$T$12*'TE BE'!$T$51</f>
        <v>-7.1757594775857081E-2</v>
      </c>
      <c r="U12" s="20">
        <f>'TE BE'!$U$12*'TE BE'!$U$51</f>
        <v>6.1645251667860355E-2</v>
      </c>
      <c r="V12" s="20">
        <f>'TE BE'!$V$12*'TE BE'!$V$51</f>
        <v>0</v>
      </c>
      <c r="W12" s="20">
        <f>SUM($T$12:$V$12)</f>
        <v>-1.0112343107996725E-2</v>
      </c>
      <c r="X12" s="20">
        <f>'TE BE'!$AB$12*'TE BE'!$X$51</f>
        <v>-9.6256469400820865</v>
      </c>
      <c r="Y12" s="20">
        <f>SUM($X$12:$X$12)</f>
        <v>-9.6256469400820865</v>
      </c>
      <c r="Z12" s="20">
        <f>'TE BE'!$Z$12*'TE BE'!$Z$51</f>
        <v>0.47398074080154723</v>
      </c>
      <c r="AA12" s="20">
        <f>SUM($Z$12:$Z$12)</f>
        <v>0.47398074080154723</v>
      </c>
      <c r="AB12" s="20">
        <f>SUMIF($L$4:$AA$4,"SUBTOTAL",$L$12:$AA$12)</f>
        <v>8.4276638562884845</v>
      </c>
    </row>
    <row r="13" spans="1:28" ht="11.25" customHeight="1" x14ac:dyDescent="0.3">
      <c r="A13" s="148"/>
      <c r="B13" s="148" t="s">
        <v>82</v>
      </c>
      <c r="C13" s="148" t="s">
        <v>24</v>
      </c>
      <c r="D13" s="22" t="s">
        <v>24</v>
      </c>
      <c r="E13" s="22" t="s">
        <v>25</v>
      </c>
      <c r="F13" s="22" t="s">
        <v>25</v>
      </c>
      <c r="G13" s="23" t="s">
        <v>83</v>
      </c>
      <c r="H13" s="23" t="s">
        <v>79</v>
      </c>
      <c r="I13" s="23">
        <f>'MERCADO TE'!$U$10</f>
        <v>46756.356999999996</v>
      </c>
      <c r="J13" s="15"/>
      <c r="L13" s="20">
        <f>'TE BE'!$L$13*'TE BE'!$L$51</f>
        <v>4.1126839063631094E-8</v>
      </c>
      <c r="M13" s="20">
        <f>'TE BE'!$M$13*'TE BE'!$M$51</f>
        <v>1.3731397526742513</v>
      </c>
      <c r="N13" s="20">
        <f>'TE BE'!$N$13*'TE BE'!$N$51</f>
        <v>0</v>
      </c>
      <c r="O13" s="20">
        <f>'TE BE'!$O$13*'TE BE'!$O$51</f>
        <v>-0.10237967455295723</v>
      </c>
      <c r="P13" s="20">
        <f>'TE BE'!$P$13*'TE BE'!$P$51</f>
        <v>0</v>
      </c>
      <c r="Q13" s="20">
        <f>SUM($L$13:$P$13)</f>
        <v>1.270760119248133</v>
      </c>
      <c r="R13" s="20">
        <f>'TE BE'!$R$13*'TE BE'!$R$51</f>
        <v>17.29780321619462</v>
      </c>
      <c r="S13" s="20">
        <f>SUM($R$13:$R$13)</f>
        <v>17.29780321619462</v>
      </c>
      <c r="T13" s="20">
        <f>'TE BE'!$T$13*'TE BE'!$T$51</f>
        <v>-7.1757594775857081E-2</v>
      </c>
      <c r="U13" s="20">
        <f>'TE BE'!$U$13*'TE BE'!$U$51</f>
        <v>6.1645251667860355E-2</v>
      </c>
      <c r="V13" s="20">
        <f>'TE BE'!$V$13*'TE BE'!$V$51</f>
        <v>0</v>
      </c>
      <c r="W13" s="20">
        <f>SUM($T$13:$V$13)</f>
        <v>-1.0112343107996725E-2</v>
      </c>
      <c r="X13" s="20">
        <f>'TE BE'!$AB$13*'TE BE'!$X$51</f>
        <v>-10.133596943092927</v>
      </c>
      <c r="Y13" s="20">
        <f>SUM($X$13:$X$13)</f>
        <v>-10.133596943092927</v>
      </c>
      <c r="Z13" s="20">
        <f>'TE BE'!$Z$13*'TE BE'!$Z$51</f>
        <v>0.47398074080154723</v>
      </c>
      <c r="AA13" s="20">
        <f>SUM($Z$13:$Z$13)</f>
        <v>0.47398074080154723</v>
      </c>
      <c r="AB13" s="20">
        <f>SUMIF($L$4:$AA$4,"SUBTOTAL",$L$13:$AA$13)</f>
        <v>8.8988347900433755</v>
      </c>
    </row>
    <row r="14" spans="1:28" ht="11.25" customHeight="1" x14ac:dyDescent="0.3">
      <c r="A14" s="148"/>
      <c r="B14" s="148"/>
      <c r="C14" s="148"/>
      <c r="D14" s="22" t="s">
        <v>29</v>
      </c>
      <c r="E14" s="22" t="s">
        <v>25</v>
      </c>
      <c r="F14" s="22" t="s">
        <v>25</v>
      </c>
      <c r="G14" s="23" t="s">
        <v>83</v>
      </c>
      <c r="H14" s="23" t="s">
        <v>79</v>
      </c>
      <c r="I14" s="23">
        <f>'MERCADO TE'!$U$11</f>
        <v>1110.3100000000002</v>
      </c>
      <c r="J14" s="15"/>
      <c r="L14" s="20">
        <f>'TE BE'!$L$14*'TE BE'!$L$51</f>
        <v>4.1126839063631094E-8</v>
      </c>
      <c r="M14" s="20">
        <f>'TE BE'!$M$14*'TE BE'!$M$51</f>
        <v>1.3731397526742513</v>
      </c>
      <c r="N14" s="20">
        <f>'TE BE'!$N$14*'TE BE'!$N$51</f>
        <v>0</v>
      </c>
      <c r="O14" s="20">
        <f>'TE BE'!$O$14*'TE BE'!$O$51</f>
        <v>-0.10237967455295723</v>
      </c>
      <c r="P14" s="20">
        <f>'TE BE'!$P$14*'TE BE'!$P$51</f>
        <v>0</v>
      </c>
      <c r="Q14" s="20">
        <f>SUM($L$14:$P$14)</f>
        <v>1.270760119248133</v>
      </c>
      <c r="R14" s="20">
        <f>'TE BE'!$R$14*'TE BE'!$R$51</f>
        <v>17.29780321619462</v>
      </c>
      <c r="S14" s="20">
        <f>SUM($R$14:$R$14)</f>
        <v>17.29780321619462</v>
      </c>
      <c r="T14" s="20">
        <f>'TE BE'!$T$14*'TE BE'!$T$51</f>
        <v>-7.1757594775857081E-2</v>
      </c>
      <c r="U14" s="20">
        <f>'TE BE'!$U$14*'TE BE'!$U$51</f>
        <v>6.1645251667860355E-2</v>
      </c>
      <c r="V14" s="20">
        <f>'TE BE'!$V$14*'TE BE'!$V$51</f>
        <v>0</v>
      </c>
      <c r="W14" s="20">
        <f>SUM($T$14:$V$14)</f>
        <v>-1.0112343107996725E-2</v>
      </c>
      <c r="X14" s="20">
        <f>'TE BE'!$AB$14*'TE BE'!$X$51</f>
        <v>-10.133596943092927</v>
      </c>
      <c r="Y14" s="20">
        <f>SUM($X$14:$X$14)</f>
        <v>-10.133596943092927</v>
      </c>
      <c r="Z14" s="20">
        <f>'TE BE'!$Z$14*'TE BE'!$Z$51</f>
        <v>0.47398074080154723</v>
      </c>
      <c r="AA14" s="20">
        <f>SUM($Z$14:$Z$14)</f>
        <v>0.47398074080154723</v>
      </c>
      <c r="AB14" s="20">
        <f>SUMIF($L$4:$AA$4,"SUBTOTAL",$L$14:$AA$14)</f>
        <v>8.8988347900433755</v>
      </c>
    </row>
    <row r="15" spans="1:28" ht="11.25" customHeight="1" x14ac:dyDescent="0.3">
      <c r="A15" s="148"/>
      <c r="B15" s="148"/>
      <c r="C15" s="148"/>
      <c r="D15" s="22" t="s">
        <v>30</v>
      </c>
      <c r="E15" s="22" t="s">
        <v>25</v>
      </c>
      <c r="F15" s="22" t="s">
        <v>25</v>
      </c>
      <c r="G15" s="23" t="s">
        <v>83</v>
      </c>
      <c r="H15" s="23" t="s">
        <v>79</v>
      </c>
      <c r="I15" s="23">
        <f>'MERCADO TE'!$U$12</f>
        <v>2263.0230000000001</v>
      </c>
      <c r="J15" s="15"/>
      <c r="L15" s="20">
        <f>'TE BE'!$L$15*'TE BE'!$L$51</f>
        <v>4.1126839063631094E-8</v>
      </c>
      <c r="M15" s="20">
        <f>'TE BE'!$M$15*'TE BE'!$M$51</f>
        <v>1.3731397526742513</v>
      </c>
      <c r="N15" s="20">
        <f>'TE BE'!$N$15*'TE BE'!$N$51</f>
        <v>0</v>
      </c>
      <c r="O15" s="20">
        <f>'TE BE'!$O$15*'TE BE'!$O$51</f>
        <v>-0.10237967455295723</v>
      </c>
      <c r="P15" s="20">
        <f>'TE BE'!$P$15*'TE BE'!$P$51</f>
        <v>0</v>
      </c>
      <c r="Q15" s="20">
        <f>SUM($L$15:$P$15)</f>
        <v>1.270760119248133</v>
      </c>
      <c r="R15" s="20">
        <f>'TE BE'!$R$15*'TE BE'!$R$51</f>
        <v>17.29780321619462</v>
      </c>
      <c r="S15" s="20">
        <f>SUM($R$15:$R$15)</f>
        <v>17.29780321619462</v>
      </c>
      <c r="T15" s="20">
        <f>'TE BE'!$T$15*'TE BE'!$T$51</f>
        <v>-7.1757594775857081E-2</v>
      </c>
      <c r="U15" s="20">
        <f>'TE BE'!$U$15*'TE BE'!$U$51</f>
        <v>6.1645251667860355E-2</v>
      </c>
      <c r="V15" s="20">
        <f>'TE BE'!$V$15*'TE BE'!$V$51</f>
        <v>0</v>
      </c>
      <c r="W15" s="20">
        <f>SUM($T$15:$V$15)</f>
        <v>-1.0112343107996725E-2</v>
      </c>
      <c r="X15" s="20">
        <f>'TE BE'!$AB$15*'TE BE'!$X$51</f>
        <v>-10.133596943092927</v>
      </c>
      <c r="Y15" s="20">
        <f>SUM($X$15:$X$15)</f>
        <v>-10.133596943092927</v>
      </c>
      <c r="Z15" s="20">
        <f>'TE BE'!$Z$15*'TE BE'!$Z$51</f>
        <v>0.47398074080154723</v>
      </c>
      <c r="AA15" s="20">
        <f>SUM($Z$15:$Z$15)</f>
        <v>0.47398074080154723</v>
      </c>
      <c r="AB15" s="20">
        <f>SUMIF($L$4:$AA$4,"SUBTOTAL",$L$15:$AA$15)</f>
        <v>8.8988347900433755</v>
      </c>
    </row>
    <row r="16" spans="1:28" ht="11.25" customHeight="1" x14ac:dyDescent="0.3">
      <c r="A16" s="148"/>
      <c r="B16" s="148"/>
      <c r="C16" s="148"/>
      <c r="D16" s="22" t="s">
        <v>31</v>
      </c>
      <c r="E16" s="22" t="s">
        <v>25</v>
      </c>
      <c r="F16" s="22" t="s">
        <v>25</v>
      </c>
      <c r="G16" s="23" t="s">
        <v>83</v>
      </c>
      <c r="H16" s="23" t="s">
        <v>79</v>
      </c>
      <c r="I16" s="23">
        <f>'MERCADO TE'!$U$13</f>
        <v>1590.454</v>
      </c>
      <c r="J16" s="15"/>
      <c r="L16" s="20">
        <f>'TE BE'!$L$16*'TE BE'!$L$51</f>
        <v>4.1126839063631094E-8</v>
      </c>
      <c r="M16" s="20">
        <f>'TE BE'!$M$16*'TE BE'!$M$51</f>
        <v>1.3731397526742513</v>
      </c>
      <c r="N16" s="20">
        <f>'TE BE'!$N$16*'TE BE'!$N$51</f>
        <v>0</v>
      </c>
      <c r="O16" s="20">
        <f>'TE BE'!$O$16*'TE BE'!$O$51</f>
        <v>-0.10237967455295723</v>
      </c>
      <c r="P16" s="20">
        <f>'TE BE'!$P$16*'TE BE'!$P$51</f>
        <v>0</v>
      </c>
      <c r="Q16" s="20">
        <f>SUM($L$16:$P$16)</f>
        <v>1.270760119248133</v>
      </c>
      <c r="R16" s="20">
        <f>'TE BE'!$R$16*'TE BE'!$R$51</f>
        <v>17.29780321619462</v>
      </c>
      <c r="S16" s="20">
        <f>SUM($R$16:$R$16)</f>
        <v>17.29780321619462</v>
      </c>
      <c r="T16" s="20">
        <f>'TE BE'!$T$16*'TE BE'!$T$51</f>
        <v>-7.1757594775857081E-2</v>
      </c>
      <c r="U16" s="20">
        <f>'TE BE'!$U$16*'TE BE'!$U$51</f>
        <v>6.1645251667860355E-2</v>
      </c>
      <c r="V16" s="20">
        <f>'TE BE'!$V$16*'TE BE'!$V$51</f>
        <v>0</v>
      </c>
      <c r="W16" s="20">
        <f>SUM($T$16:$V$16)</f>
        <v>-1.0112343107996725E-2</v>
      </c>
      <c r="X16" s="20">
        <f>'TE BE'!$AB$16*'TE BE'!$X$51</f>
        <v>-10.133596943092927</v>
      </c>
      <c r="Y16" s="20">
        <f>SUM($X$16:$X$16)</f>
        <v>-10.133596943092927</v>
      </c>
      <c r="Z16" s="20">
        <f>'TE BE'!$Z$16*'TE BE'!$Z$51</f>
        <v>0.47398074080154723</v>
      </c>
      <c r="AA16" s="20">
        <f>SUM($Z$16:$Z$16)</f>
        <v>0.47398074080154723</v>
      </c>
      <c r="AB16" s="20">
        <f>SUMIF($L$4:$AA$4,"SUBTOTAL",$L$16:$AA$16)</f>
        <v>8.8988347900433755</v>
      </c>
    </row>
    <row r="17" spans="1:28" ht="11.25" customHeight="1" x14ac:dyDescent="0.3">
      <c r="A17" s="148"/>
      <c r="B17" s="148"/>
      <c r="C17" s="148"/>
      <c r="D17" s="22" t="s">
        <v>32</v>
      </c>
      <c r="E17" s="22" t="s">
        <v>25</v>
      </c>
      <c r="F17" s="22" t="s">
        <v>25</v>
      </c>
      <c r="G17" s="23" t="s">
        <v>83</v>
      </c>
      <c r="H17" s="23" t="s">
        <v>79</v>
      </c>
      <c r="I17" s="23">
        <f>'MERCADO TE'!$U$14</f>
        <v>284.12699999999995</v>
      </c>
      <c r="J17" s="15"/>
      <c r="L17" s="20">
        <f>'TE BE'!$L$17*'TE BE'!$L$51</f>
        <v>4.1126839063631094E-8</v>
      </c>
      <c r="M17" s="20">
        <f>'TE BE'!$M$17*'TE BE'!$M$51</f>
        <v>1.3731397526742513</v>
      </c>
      <c r="N17" s="20">
        <f>'TE BE'!$N$17*'TE BE'!$N$51</f>
        <v>0</v>
      </c>
      <c r="O17" s="20">
        <f>'TE BE'!$O$17*'TE BE'!$O$51</f>
        <v>-0.10237967455295723</v>
      </c>
      <c r="P17" s="20">
        <f>'TE BE'!$P$17*'TE BE'!$P$51</f>
        <v>0</v>
      </c>
      <c r="Q17" s="20">
        <f>SUM($L$17:$P$17)</f>
        <v>1.270760119248133</v>
      </c>
      <c r="R17" s="20">
        <f>'TE BE'!$R$17*'TE BE'!$R$51</f>
        <v>17.29780321619462</v>
      </c>
      <c r="S17" s="20">
        <f>SUM($R$17:$R$17)</f>
        <v>17.29780321619462</v>
      </c>
      <c r="T17" s="20">
        <f>'TE BE'!$T$17*'TE BE'!$T$51</f>
        <v>-7.1757594775857081E-2</v>
      </c>
      <c r="U17" s="20">
        <f>'TE BE'!$U$17*'TE BE'!$U$51</f>
        <v>6.1645251667860355E-2</v>
      </c>
      <c r="V17" s="20">
        <f>'TE BE'!$V$17*'TE BE'!$V$51</f>
        <v>0</v>
      </c>
      <c r="W17" s="20">
        <f>SUM($T$17:$V$17)</f>
        <v>-1.0112343107996725E-2</v>
      </c>
      <c r="X17" s="20">
        <f>'TE BE'!$AB$17*'TE BE'!$X$51</f>
        <v>-10.133596943092927</v>
      </c>
      <c r="Y17" s="20">
        <f>SUM($X$17:$X$17)</f>
        <v>-10.133596943092927</v>
      </c>
      <c r="Z17" s="20">
        <f>'TE BE'!$Z$17*'TE BE'!$Z$51</f>
        <v>0.47398074080154723</v>
      </c>
      <c r="AA17" s="20">
        <f>SUM($Z$17:$Z$17)</f>
        <v>0.47398074080154723</v>
      </c>
      <c r="AB17" s="20">
        <f>SUMIF($L$4:$AA$4,"SUBTOTAL",$L$17:$AA$17)</f>
        <v>8.8988347900433755</v>
      </c>
    </row>
    <row r="18" spans="1:28" ht="11.25" customHeight="1" x14ac:dyDescent="0.3">
      <c r="A18" s="148"/>
      <c r="B18" s="148" t="s">
        <v>92</v>
      </c>
      <c r="C18" s="148" t="s">
        <v>24</v>
      </c>
      <c r="D18" s="22" t="s">
        <v>24</v>
      </c>
      <c r="E18" s="22" t="s">
        <v>25</v>
      </c>
      <c r="F18" s="22" t="s">
        <v>25</v>
      </c>
      <c r="G18" s="23" t="s">
        <v>83</v>
      </c>
      <c r="H18" s="23" t="s">
        <v>79</v>
      </c>
      <c r="I18" s="23">
        <f>'MERCADO TE'!$U$15</f>
        <v>0</v>
      </c>
      <c r="J18" s="15"/>
      <c r="L18" s="20">
        <f>'TE BE'!$L$18*'TE BE'!$L$51</f>
        <v>4.1126839063631094E-8</v>
      </c>
      <c r="M18" s="20">
        <f>'TE BE'!$M$18*'TE BE'!$M$51</f>
        <v>1.3731397526742513</v>
      </c>
      <c r="N18" s="20">
        <f>'TE BE'!$N$18*'TE BE'!$N$51</f>
        <v>0</v>
      </c>
      <c r="O18" s="20">
        <f>'TE BE'!$O$18*'TE BE'!$O$51</f>
        <v>-0.10237967455295723</v>
      </c>
      <c r="P18" s="20">
        <f>'TE BE'!$P$18*'TE BE'!$P$51</f>
        <v>0</v>
      </c>
      <c r="Q18" s="20">
        <f>SUM($L$18:$P$18)</f>
        <v>1.270760119248133</v>
      </c>
      <c r="R18" s="20">
        <f>'TE BE'!$R$18*'TE BE'!$R$51</f>
        <v>17.29780321619462</v>
      </c>
      <c r="S18" s="20">
        <f>SUM($R$18:$R$18)</f>
        <v>17.29780321619462</v>
      </c>
      <c r="T18" s="20">
        <f>'TE BE'!$T$18*'TE BE'!$T$51</f>
        <v>-7.1757594775857081E-2</v>
      </c>
      <c r="U18" s="20">
        <f>'TE BE'!$U$18*'TE BE'!$U$51</f>
        <v>6.1645251667860355E-2</v>
      </c>
      <c r="V18" s="20">
        <f>'TE BE'!$V$18*'TE BE'!$V$51</f>
        <v>0</v>
      </c>
      <c r="W18" s="20">
        <f>SUM($T$18:$V$18)</f>
        <v>-1.0112343107996725E-2</v>
      </c>
      <c r="X18" s="20">
        <f>'TE BE'!$AB$18*'TE BE'!$X$51</f>
        <v>-10.133596943092927</v>
      </c>
      <c r="Y18" s="20">
        <f>SUM($X$18:$X$18)</f>
        <v>-10.133596943092927</v>
      </c>
      <c r="Z18" s="20">
        <f>'TE BE'!$Z$18*'TE BE'!$Z$51</f>
        <v>0.47398074080154723</v>
      </c>
      <c r="AA18" s="20">
        <f>SUM($Z$18:$Z$18)</f>
        <v>0.47398074080154723</v>
      </c>
      <c r="AB18" s="20">
        <f>SUMIF($L$4:$AA$4,"SUBTOTAL",$L$18:$AA$18)</f>
        <v>8.8988347900433755</v>
      </c>
    </row>
    <row r="19" spans="1:28" ht="11.25" customHeight="1" x14ac:dyDescent="0.3">
      <c r="A19" s="148"/>
      <c r="B19" s="148"/>
      <c r="C19" s="148"/>
      <c r="D19" s="22" t="s">
        <v>29</v>
      </c>
      <c r="E19" s="22" t="s">
        <v>25</v>
      </c>
      <c r="F19" s="22" t="s">
        <v>25</v>
      </c>
      <c r="G19" s="23" t="s">
        <v>83</v>
      </c>
      <c r="H19" s="23" t="s">
        <v>79</v>
      </c>
      <c r="I19" s="23">
        <f>'MERCADO TE'!$U$16</f>
        <v>0</v>
      </c>
      <c r="J19" s="15"/>
      <c r="L19" s="20">
        <f>'TE BE'!$L$19*'TE BE'!$L$51</f>
        <v>4.1126839063631094E-8</v>
      </c>
      <c r="M19" s="20">
        <f>'TE BE'!$M$19*'TE BE'!$M$51</f>
        <v>1.3731397526742513</v>
      </c>
      <c r="N19" s="20">
        <f>'TE BE'!$N$19*'TE BE'!$N$51</f>
        <v>0</v>
      </c>
      <c r="O19" s="20">
        <f>'TE BE'!$O$19*'TE BE'!$O$51</f>
        <v>-0.10237967455295723</v>
      </c>
      <c r="P19" s="20">
        <f>'TE BE'!$P$19*'TE BE'!$P$51</f>
        <v>0</v>
      </c>
      <c r="Q19" s="20">
        <f>SUM($L$19:$P$19)</f>
        <v>1.270760119248133</v>
      </c>
      <c r="R19" s="20">
        <f>'TE BE'!$R$19*'TE BE'!$R$51</f>
        <v>17.29780321619462</v>
      </c>
      <c r="S19" s="20">
        <f>SUM($R$19:$R$19)</f>
        <v>17.29780321619462</v>
      </c>
      <c r="T19" s="20">
        <f>'TE BE'!$T$19*'TE BE'!$T$51</f>
        <v>-7.1757594775857081E-2</v>
      </c>
      <c r="U19" s="20">
        <f>'TE BE'!$U$19*'TE BE'!$U$51</f>
        <v>6.1645251667860355E-2</v>
      </c>
      <c r="V19" s="20">
        <f>'TE BE'!$V$19*'TE BE'!$V$51</f>
        <v>0</v>
      </c>
      <c r="W19" s="20">
        <f>SUM($T$19:$V$19)</f>
        <v>-1.0112343107996725E-2</v>
      </c>
      <c r="X19" s="20">
        <f>'TE BE'!$AB$19*'TE BE'!$X$51</f>
        <v>-10.133596943092927</v>
      </c>
      <c r="Y19" s="20">
        <f>SUM($X$19:$X$19)</f>
        <v>-10.133596943092927</v>
      </c>
      <c r="Z19" s="20">
        <f>'TE BE'!$Z$19*'TE BE'!$Z$51</f>
        <v>0.47398074080154723</v>
      </c>
      <c r="AA19" s="20">
        <f>SUM($Z$19:$Z$19)</f>
        <v>0.47398074080154723</v>
      </c>
      <c r="AB19" s="20">
        <f>SUMIF($L$4:$AA$4,"SUBTOTAL",$L$19:$AA$19)</f>
        <v>8.8988347900433755</v>
      </c>
    </row>
    <row r="20" spans="1:28" ht="11.25" customHeight="1" x14ac:dyDescent="0.3">
      <c r="A20" s="148"/>
      <c r="B20" s="148"/>
      <c r="C20" s="148"/>
      <c r="D20" s="22" t="s">
        <v>30</v>
      </c>
      <c r="E20" s="22" t="s">
        <v>25</v>
      </c>
      <c r="F20" s="22" t="s">
        <v>25</v>
      </c>
      <c r="G20" s="23" t="s">
        <v>83</v>
      </c>
      <c r="H20" s="23" t="s">
        <v>79</v>
      </c>
      <c r="I20" s="23">
        <f>'MERCADO TE'!$U$17</f>
        <v>0</v>
      </c>
      <c r="J20" s="15"/>
      <c r="L20" s="20">
        <f>'TE BE'!$L$20*'TE BE'!$L$51</f>
        <v>4.1126839063631094E-8</v>
      </c>
      <c r="M20" s="20">
        <f>'TE BE'!$M$20*'TE BE'!$M$51</f>
        <v>1.3731397526742513</v>
      </c>
      <c r="N20" s="20">
        <f>'TE BE'!$N$20*'TE BE'!$N$51</f>
        <v>0</v>
      </c>
      <c r="O20" s="20">
        <f>'TE BE'!$O$20*'TE BE'!$O$51</f>
        <v>-0.10237967455295723</v>
      </c>
      <c r="P20" s="20">
        <f>'TE BE'!$P$20*'TE BE'!$P$51</f>
        <v>0</v>
      </c>
      <c r="Q20" s="20">
        <f>SUM($L$20:$P$20)</f>
        <v>1.270760119248133</v>
      </c>
      <c r="R20" s="20">
        <f>'TE BE'!$R$20*'TE BE'!$R$51</f>
        <v>17.29780321619462</v>
      </c>
      <c r="S20" s="20">
        <f>SUM($R$20:$R$20)</f>
        <v>17.29780321619462</v>
      </c>
      <c r="T20" s="20">
        <f>'TE BE'!$T$20*'TE BE'!$T$51</f>
        <v>-7.1757594775857081E-2</v>
      </c>
      <c r="U20" s="20">
        <f>'TE BE'!$U$20*'TE BE'!$U$51</f>
        <v>6.1645251667860355E-2</v>
      </c>
      <c r="V20" s="20">
        <f>'TE BE'!$V$20*'TE BE'!$V$51</f>
        <v>0</v>
      </c>
      <c r="W20" s="20">
        <f>SUM($T$20:$V$20)</f>
        <v>-1.0112343107996725E-2</v>
      </c>
      <c r="X20" s="20">
        <f>'TE BE'!$AB$20*'TE BE'!$X$51</f>
        <v>-10.133596943092927</v>
      </c>
      <c r="Y20" s="20">
        <f>SUM($X$20:$X$20)</f>
        <v>-10.133596943092927</v>
      </c>
      <c r="Z20" s="20">
        <f>'TE BE'!$Z$20*'TE BE'!$Z$51</f>
        <v>0.47398074080154723</v>
      </c>
      <c r="AA20" s="20">
        <f>SUM($Z$20:$Z$20)</f>
        <v>0.47398074080154723</v>
      </c>
      <c r="AB20" s="20">
        <f>SUMIF($L$4:$AA$4,"SUBTOTAL",$L$20:$AA$20)</f>
        <v>8.8988347900433755</v>
      </c>
    </row>
    <row r="21" spans="1:28" ht="11.25" customHeight="1" x14ac:dyDescent="0.3">
      <c r="A21" s="148"/>
      <c r="B21" s="148"/>
      <c r="C21" s="148"/>
      <c r="D21" s="22" t="s">
        <v>31</v>
      </c>
      <c r="E21" s="22" t="s">
        <v>25</v>
      </c>
      <c r="F21" s="22" t="s">
        <v>25</v>
      </c>
      <c r="G21" s="23" t="s">
        <v>83</v>
      </c>
      <c r="H21" s="23" t="s">
        <v>79</v>
      </c>
      <c r="I21" s="23">
        <f>'MERCADO TE'!$U$18</f>
        <v>0</v>
      </c>
      <c r="J21" s="15"/>
      <c r="L21" s="20">
        <f>'TE BE'!$L$21*'TE BE'!$L$51</f>
        <v>4.1126839063631094E-8</v>
      </c>
      <c r="M21" s="20">
        <f>'TE BE'!$M$21*'TE BE'!$M$51</f>
        <v>1.3731397526742513</v>
      </c>
      <c r="N21" s="20">
        <f>'TE BE'!$N$21*'TE BE'!$N$51</f>
        <v>0</v>
      </c>
      <c r="O21" s="20">
        <f>'TE BE'!$O$21*'TE BE'!$O$51</f>
        <v>-0.10237967455295723</v>
      </c>
      <c r="P21" s="20">
        <f>'TE BE'!$P$21*'TE BE'!$P$51</f>
        <v>0</v>
      </c>
      <c r="Q21" s="20">
        <f>SUM($L$21:$P$21)</f>
        <v>1.270760119248133</v>
      </c>
      <c r="R21" s="20">
        <f>'TE BE'!$R$21*'TE BE'!$R$51</f>
        <v>17.29780321619462</v>
      </c>
      <c r="S21" s="20">
        <f>SUM($R$21:$R$21)</f>
        <v>17.29780321619462</v>
      </c>
      <c r="T21" s="20">
        <f>'TE BE'!$T$21*'TE BE'!$T$51</f>
        <v>-7.1757594775857081E-2</v>
      </c>
      <c r="U21" s="20">
        <f>'TE BE'!$U$21*'TE BE'!$U$51</f>
        <v>6.1645251667860355E-2</v>
      </c>
      <c r="V21" s="20">
        <f>'TE BE'!$V$21*'TE BE'!$V$51</f>
        <v>0</v>
      </c>
      <c r="W21" s="20">
        <f>SUM($T$21:$V$21)</f>
        <v>-1.0112343107996725E-2</v>
      </c>
      <c r="X21" s="20">
        <f>'TE BE'!$AB$21*'TE BE'!$X$51</f>
        <v>-10.133596943092927</v>
      </c>
      <c r="Y21" s="20">
        <f>SUM($X$21:$X$21)</f>
        <v>-10.133596943092927</v>
      </c>
      <c r="Z21" s="20">
        <f>'TE BE'!$Z$21*'TE BE'!$Z$51</f>
        <v>0.47398074080154723</v>
      </c>
      <c r="AA21" s="20">
        <f>SUM($Z$21:$Z$21)</f>
        <v>0.47398074080154723</v>
      </c>
      <c r="AB21" s="20">
        <f>SUMIF($L$4:$AA$4,"SUBTOTAL",$L$21:$AA$21)</f>
        <v>8.8988347900433755</v>
      </c>
    </row>
    <row r="22" spans="1:28" ht="11.25" customHeight="1" x14ac:dyDescent="0.3">
      <c r="A22" s="148"/>
      <c r="B22" s="148"/>
      <c r="C22" s="148"/>
      <c r="D22" s="22" t="s">
        <v>32</v>
      </c>
      <c r="E22" s="22" t="s">
        <v>25</v>
      </c>
      <c r="F22" s="22" t="s">
        <v>25</v>
      </c>
      <c r="G22" s="23" t="s">
        <v>83</v>
      </c>
      <c r="H22" s="23" t="s">
        <v>79</v>
      </c>
      <c r="I22" s="23">
        <f>'MERCADO TE'!$U$19</f>
        <v>0</v>
      </c>
      <c r="J22" s="15"/>
      <c r="L22" s="20">
        <f>'TE BE'!$L$22*'TE BE'!$L$51</f>
        <v>4.1126839063631094E-8</v>
      </c>
      <c r="M22" s="20">
        <f>'TE BE'!$M$22*'TE BE'!$M$51</f>
        <v>1.3731397526742513</v>
      </c>
      <c r="N22" s="20">
        <f>'TE BE'!$N$22*'TE BE'!$N$51</f>
        <v>0</v>
      </c>
      <c r="O22" s="20">
        <f>'TE BE'!$O$22*'TE BE'!$O$51</f>
        <v>-0.10237967455295723</v>
      </c>
      <c r="P22" s="20">
        <f>'TE BE'!$P$22*'TE BE'!$P$51</f>
        <v>0</v>
      </c>
      <c r="Q22" s="20">
        <f>SUM($L$22:$P$22)</f>
        <v>1.270760119248133</v>
      </c>
      <c r="R22" s="20">
        <f>'TE BE'!$R$22*'TE BE'!$R$51</f>
        <v>17.29780321619462</v>
      </c>
      <c r="S22" s="20">
        <f>SUM($R$22:$R$22)</f>
        <v>17.29780321619462</v>
      </c>
      <c r="T22" s="20">
        <f>'TE BE'!$T$22*'TE BE'!$T$51</f>
        <v>-7.1757594775857081E-2</v>
      </c>
      <c r="U22" s="20">
        <f>'TE BE'!$U$22*'TE BE'!$U$51</f>
        <v>6.1645251667860355E-2</v>
      </c>
      <c r="V22" s="20">
        <f>'TE BE'!$V$22*'TE BE'!$V$51</f>
        <v>0</v>
      </c>
      <c r="W22" s="20">
        <f>SUM($T$22:$V$22)</f>
        <v>-1.0112343107996725E-2</v>
      </c>
      <c r="X22" s="20">
        <f>'TE BE'!$AB$22*'TE BE'!$X$51</f>
        <v>-10.133596943092927</v>
      </c>
      <c r="Y22" s="20">
        <f>SUM($X$22:$X$22)</f>
        <v>-10.133596943092927</v>
      </c>
      <c r="Z22" s="20">
        <f>'TE BE'!$Z$22*'TE BE'!$Z$51</f>
        <v>0.47398074080154723</v>
      </c>
      <c r="AA22" s="20">
        <f>SUM($Z$22:$Z$22)</f>
        <v>0.47398074080154723</v>
      </c>
      <c r="AB22" s="20">
        <f>SUMIF($L$4:$AA$4,"SUBTOTAL",$L$22:$AA$22)</f>
        <v>8.8988347900433755</v>
      </c>
    </row>
    <row r="23" spans="1:28" ht="11.25" customHeight="1" x14ac:dyDescent="0.3">
      <c r="A23" s="148" t="s">
        <v>43</v>
      </c>
      <c r="B23" s="148" t="s">
        <v>78</v>
      </c>
      <c r="C23" s="148" t="s">
        <v>44</v>
      </c>
      <c r="D23" s="148" t="s">
        <v>25</v>
      </c>
      <c r="E23" s="148" t="s">
        <v>25</v>
      </c>
      <c r="F23" s="148" t="s">
        <v>25</v>
      </c>
      <c r="G23" s="23" t="s">
        <v>80</v>
      </c>
      <c r="H23" s="23" t="s">
        <v>79</v>
      </c>
      <c r="I23" s="23">
        <f>'MERCADO TE'!$U$20</f>
        <v>0</v>
      </c>
      <c r="J23" s="15"/>
      <c r="L23" s="20">
        <f>'TE BE'!$L$23*'TE BE'!$L$51</f>
        <v>4.1126839063631094E-8</v>
      </c>
      <c r="M23" s="20">
        <f>'TE BE'!$M$23*'TE BE'!$M$51</f>
        <v>1.3731397526742513</v>
      </c>
      <c r="N23" s="20">
        <f>'TE BE'!$N$23*'TE BE'!$N$51</f>
        <v>0</v>
      </c>
      <c r="O23" s="20">
        <f>'TE BE'!$O$23*'TE BE'!$O$51</f>
        <v>-0.10237967455295723</v>
      </c>
      <c r="P23" s="20">
        <f>'TE BE'!$P$23*'TE BE'!$P$51</f>
        <v>0</v>
      </c>
      <c r="Q23" s="20">
        <f>SUM($L$23:$P$23)</f>
        <v>1.270760119248133</v>
      </c>
      <c r="R23" s="20">
        <f>'TE BE'!$R$23*'TE BE'!$R$51</f>
        <v>28.068133520617682</v>
      </c>
      <c r="S23" s="20">
        <f>SUM($R$23:$R$23)</f>
        <v>28.068133520617682</v>
      </c>
      <c r="T23" s="20">
        <f>'TE BE'!$T$23*'TE BE'!$T$51</f>
        <v>-7.1757594775857081E-2</v>
      </c>
      <c r="U23" s="20">
        <f>'TE BE'!$U$23*'TE BE'!$U$51</f>
        <v>6.1645251667860355E-2</v>
      </c>
      <c r="V23" s="20">
        <f>'TE BE'!$V$23*'TE BE'!$V$51</f>
        <v>0</v>
      </c>
      <c r="W23" s="20">
        <f>SUM($T$23:$V$23)</f>
        <v>-1.0112343107996725E-2</v>
      </c>
      <c r="X23" s="20">
        <f>'TE BE'!$AB$23*'TE BE'!$X$51</f>
        <v>-15.721046976212161</v>
      </c>
      <c r="Y23" s="20">
        <f>SUM($X$23:$X$23)</f>
        <v>-15.721046976212161</v>
      </c>
      <c r="Z23" s="20">
        <f>'TE BE'!$Z$23*'TE BE'!$Z$51</f>
        <v>0.47398074080154723</v>
      </c>
      <c r="AA23" s="20">
        <f>SUM($Z$23:$Z$23)</f>
        <v>0.47398074080154723</v>
      </c>
      <c r="AB23" s="20">
        <f>SUMIF($L$4:$AA$4,"SUBTOTAL",$L$23:$AA$23)</f>
        <v>14.081715061347204</v>
      </c>
    </row>
    <row r="24" spans="1:28" ht="11.25" customHeight="1" x14ac:dyDescent="0.3">
      <c r="A24" s="148"/>
      <c r="B24" s="148"/>
      <c r="C24" s="148"/>
      <c r="D24" s="148"/>
      <c r="E24" s="148"/>
      <c r="F24" s="148"/>
      <c r="G24" s="23" t="s">
        <v>91</v>
      </c>
      <c r="H24" s="23" t="s">
        <v>79</v>
      </c>
      <c r="I24" s="23">
        <f>'MERCADO TE'!$U$21</f>
        <v>0</v>
      </c>
      <c r="J24" s="15"/>
      <c r="L24" s="20">
        <f>'TE BE'!$L$24*'TE BE'!$L$51</f>
        <v>4.1126839063631094E-8</v>
      </c>
      <c r="M24" s="20">
        <f>'TE BE'!$M$24*'TE BE'!$M$51</f>
        <v>1.3731397526742513</v>
      </c>
      <c r="N24" s="20">
        <f>'TE BE'!$N$24*'TE BE'!$N$51</f>
        <v>0</v>
      </c>
      <c r="O24" s="20">
        <f>'TE BE'!$O$24*'TE BE'!$O$51</f>
        <v>-0.10237967455295723</v>
      </c>
      <c r="P24" s="20">
        <f>'TE BE'!$P$24*'TE BE'!$P$51</f>
        <v>0</v>
      </c>
      <c r="Q24" s="20">
        <f>SUM($L$24:$P$24)</f>
        <v>1.270760119248133</v>
      </c>
      <c r="R24" s="20">
        <f>'TE BE'!$R$24*'TE BE'!$R$51</f>
        <v>16.318682279428888</v>
      </c>
      <c r="S24" s="20">
        <f>SUM($R$24:$R$24)</f>
        <v>16.318682279428888</v>
      </c>
      <c r="T24" s="20">
        <f>'TE BE'!$T$24*'TE BE'!$T$51</f>
        <v>-7.1757594775857081E-2</v>
      </c>
      <c r="U24" s="20">
        <f>'TE BE'!$U$24*'TE BE'!$U$51</f>
        <v>6.1645251667860355E-2</v>
      </c>
      <c r="V24" s="20">
        <f>'TE BE'!$V$24*'TE BE'!$V$51</f>
        <v>0</v>
      </c>
      <c r="W24" s="20">
        <f>SUM($T$24:$V$24)</f>
        <v>-1.0112343107996725E-2</v>
      </c>
      <c r="X24" s="20">
        <f>'TE BE'!$AB$24*'TE BE'!$X$51</f>
        <v>-9.6256469400820865</v>
      </c>
      <c r="Y24" s="20">
        <f>SUM($X$24:$X$24)</f>
        <v>-9.6256469400820865</v>
      </c>
      <c r="Z24" s="20">
        <f>'TE BE'!$Z$24*'TE BE'!$Z$51</f>
        <v>0.47398074080154723</v>
      </c>
      <c r="AA24" s="20">
        <f>SUM($Z$24:$Z$24)</f>
        <v>0.47398074080154723</v>
      </c>
      <c r="AB24" s="20">
        <f>SUMIF($L$4:$AA$4,"SUBTOTAL",$L$24:$AA$24)</f>
        <v>8.4276638562884845</v>
      </c>
    </row>
    <row r="25" spans="1:28" ht="11.25" customHeight="1" x14ac:dyDescent="0.3">
      <c r="A25" s="148"/>
      <c r="B25" s="148"/>
      <c r="C25" s="148"/>
      <c r="D25" s="148"/>
      <c r="E25" s="148"/>
      <c r="F25" s="148"/>
      <c r="G25" s="23" t="s">
        <v>81</v>
      </c>
      <c r="H25" s="23" t="s">
        <v>79</v>
      </c>
      <c r="I25" s="23">
        <f>'MERCADO TE'!$U$22</f>
        <v>0</v>
      </c>
      <c r="J25" s="15"/>
      <c r="L25" s="20">
        <f>'TE BE'!$L$25*'TE BE'!$L$51</f>
        <v>4.1126839063631094E-8</v>
      </c>
      <c r="M25" s="20">
        <f>'TE BE'!$M$25*'TE BE'!$M$51</f>
        <v>1.3731397526742513</v>
      </c>
      <c r="N25" s="20">
        <f>'TE BE'!$N$25*'TE BE'!$N$51</f>
        <v>0</v>
      </c>
      <c r="O25" s="20">
        <f>'TE BE'!$O$25*'TE BE'!$O$51</f>
        <v>-0.10237967455295723</v>
      </c>
      <c r="P25" s="20">
        <f>'TE BE'!$P$25*'TE BE'!$P$51</f>
        <v>0</v>
      </c>
      <c r="Q25" s="20">
        <f>SUM($L$25:$P$25)</f>
        <v>1.270760119248133</v>
      </c>
      <c r="R25" s="20">
        <f>'TE BE'!$R$25*'TE BE'!$R$51</f>
        <v>16.318682279428888</v>
      </c>
      <c r="S25" s="20">
        <f>SUM($R$25:$R$25)</f>
        <v>16.318682279428888</v>
      </c>
      <c r="T25" s="20">
        <f>'TE BE'!$T$25*'TE BE'!$T$51</f>
        <v>-7.1757594775857081E-2</v>
      </c>
      <c r="U25" s="20">
        <f>'TE BE'!$U$25*'TE BE'!$U$51</f>
        <v>6.1645251667860355E-2</v>
      </c>
      <c r="V25" s="20">
        <f>'TE BE'!$V$25*'TE BE'!$V$51</f>
        <v>0</v>
      </c>
      <c r="W25" s="20">
        <f>SUM($T$25:$V$25)</f>
        <v>-1.0112343107996725E-2</v>
      </c>
      <c r="X25" s="20">
        <f>'TE BE'!$AB$25*'TE BE'!$X$51</f>
        <v>-9.6256469400820865</v>
      </c>
      <c r="Y25" s="20">
        <f>SUM($X$25:$X$25)</f>
        <v>-9.6256469400820865</v>
      </c>
      <c r="Z25" s="20">
        <f>'TE BE'!$Z$25*'TE BE'!$Z$51</f>
        <v>0.47398074080154723</v>
      </c>
      <c r="AA25" s="20">
        <f>SUM($Z$25:$Z$25)</f>
        <v>0.47398074080154723</v>
      </c>
      <c r="AB25" s="20">
        <f>SUMIF($L$4:$AA$4,"SUBTOTAL",$L$25:$AA$25)</f>
        <v>8.4276638562884845</v>
      </c>
    </row>
    <row r="26" spans="1:28" ht="11.25" customHeight="1" x14ac:dyDescent="0.3">
      <c r="A26" s="148"/>
      <c r="B26" s="22" t="s">
        <v>82</v>
      </c>
      <c r="C26" s="22" t="s">
        <v>44</v>
      </c>
      <c r="D26" s="22" t="s">
        <v>25</v>
      </c>
      <c r="E26" s="22" t="s">
        <v>25</v>
      </c>
      <c r="F26" s="22" t="s">
        <v>25</v>
      </c>
      <c r="G26" s="23" t="s">
        <v>83</v>
      </c>
      <c r="H26" s="23" t="s">
        <v>79</v>
      </c>
      <c r="I26" s="23">
        <f>'MERCADO TE'!$U$23</f>
        <v>17613.978000000003</v>
      </c>
      <c r="J26" s="15"/>
      <c r="L26" s="20">
        <f>'TE BE'!$L$26*'TE BE'!$L$51</f>
        <v>4.1126839063631094E-8</v>
      </c>
      <c r="M26" s="20">
        <f>'TE BE'!$M$26*'TE BE'!$M$51</f>
        <v>1.3731397526742513</v>
      </c>
      <c r="N26" s="20">
        <f>'TE BE'!$N$26*'TE BE'!$N$51</f>
        <v>0</v>
      </c>
      <c r="O26" s="20">
        <f>'TE BE'!$O$26*'TE BE'!$O$51</f>
        <v>-0.10237967455295723</v>
      </c>
      <c r="P26" s="20">
        <f>'TE BE'!$P$26*'TE BE'!$P$51</f>
        <v>0</v>
      </c>
      <c r="Q26" s="20">
        <f>SUM($L$26:$P$26)</f>
        <v>1.270760119248133</v>
      </c>
      <c r="R26" s="20">
        <f>'TE BE'!$R$26*'TE BE'!$R$51</f>
        <v>17.29780321619462</v>
      </c>
      <c r="S26" s="20">
        <f>SUM($R$26:$R$26)</f>
        <v>17.29780321619462</v>
      </c>
      <c r="T26" s="20">
        <f>'TE BE'!$T$26*'TE BE'!$T$51</f>
        <v>-7.1757594775857081E-2</v>
      </c>
      <c r="U26" s="20">
        <f>'TE BE'!$U$26*'TE BE'!$U$51</f>
        <v>6.1645251667860355E-2</v>
      </c>
      <c r="V26" s="20">
        <f>'TE BE'!$V$26*'TE BE'!$V$51</f>
        <v>0</v>
      </c>
      <c r="W26" s="20">
        <f>SUM($T$26:$V$26)</f>
        <v>-1.0112343107996725E-2</v>
      </c>
      <c r="X26" s="20">
        <f>'TE BE'!$AB$26*'TE BE'!$X$51</f>
        <v>-10.133596943092927</v>
      </c>
      <c r="Y26" s="20">
        <f>SUM($X$26:$X$26)</f>
        <v>-10.133596943092927</v>
      </c>
      <c r="Z26" s="20">
        <f>'TE BE'!$Z$26*'TE BE'!$Z$51</f>
        <v>0.47398074080154723</v>
      </c>
      <c r="AA26" s="20">
        <f>SUM($Z$26:$Z$26)</f>
        <v>0.47398074080154723</v>
      </c>
      <c r="AB26" s="20">
        <f>SUMIF($L$4:$AA$4,"SUBTOTAL",$L$26:$AA$26)</f>
        <v>8.8988347900433755</v>
      </c>
    </row>
    <row r="27" spans="1:28" ht="11.25" customHeight="1" x14ac:dyDescent="0.3">
      <c r="A27" s="148"/>
      <c r="B27" s="148" t="s">
        <v>78</v>
      </c>
      <c r="C27" s="148" t="s">
        <v>44</v>
      </c>
      <c r="D27" s="148" t="s">
        <v>94</v>
      </c>
      <c r="E27" s="148" t="s">
        <v>25</v>
      </c>
      <c r="F27" s="148" t="s">
        <v>25</v>
      </c>
      <c r="G27" s="23" t="s">
        <v>80</v>
      </c>
      <c r="H27" s="23" t="s">
        <v>79</v>
      </c>
      <c r="I27" s="23">
        <f>'MERCADO TE'!$U$24</f>
        <v>0</v>
      </c>
      <c r="J27" s="15"/>
      <c r="L27" s="20">
        <f>'TE BE'!$L$27*'TE BE'!$L$51</f>
        <v>4.1126839063631094E-8</v>
      </c>
      <c r="M27" s="20">
        <f>'TE BE'!$M$27*'TE BE'!$M$51</f>
        <v>1.3731397526742513</v>
      </c>
      <c r="N27" s="20">
        <f>'TE BE'!$N$27*'TE BE'!$N$51</f>
        <v>0</v>
      </c>
      <c r="O27" s="20">
        <f>'TE BE'!$O$27*'TE BE'!$O$51</f>
        <v>-0.10237967455295723</v>
      </c>
      <c r="P27" s="20">
        <f>'TE BE'!$P$27*'TE BE'!$P$51</f>
        <v>0</v>
      </c>
      <c r="Q27" s="20">
        <f>SUM($L$27:$P$27)</f>
        <v>1.270760119248133</v>
      </c>
      <c r="R27" s="20">
        <f>'TE BE'!$R$27*'TE BE'!$R$51</f>
        <v>28.068133520617682</v>
      </c>
      <c r="S27" s="20">
        <f>SUM($R$27:$R$27)</f>
        <v>28.068133520617682</v>
      </c>
      <c r="T27" s="20">
        <f>'TE BE'!$T$27*'TE BE'!$T$51</f>
        <v>-7.1757594775857081E-2</v>
      </c>
      <c r="U27" s="20">
        <f>'TE BE'!$U$27*'TE BE'!$U$51</f>
        <v>6.1645251667860355E-2</v>
      </c>
      <c r="V27" s="20">
        <f>'TE BE'!$V$27*'TE BE'!$V$51</f>
        <v>0</v>
      </c>
      <c r="W27" s="20">
        <f>SUM($T$27:$V$27)</f>
        <v>-1.0112343107996725E-2</v>
      </c>
      <c r="X27" s="20">
        <f>'TE BE'!$AB$27*'TE BE'!$X$51</f>
        <v>-15.721046976212161</v>
      </c>
      <c r="Y27" s="20">
        <f>SUM($X$27:$X$27)</f>
        <v>-15.721046976212161</v>
      </c>
      <c r="Z27" s="20">
        <f>'TE BE'!$Z$27*'TE BE'!$Z$51</f>
        <v>0.47398074080154723</v>
      </c>
      <c r="AA27" s="20">
        <f>SUM($Z$27:$Z$27)</f>
        <v>0.47398074080154723</v>
      </c>
      <c r="AB27" s="20">
        <f>SUMIF($L$4:$AA$4,"SUBTOTAL",$L$27:$AA$27)</f>
        <v>14.081715061347204</v>
      </c>
    </row>
    <row r="28" spans="1:28" ht="11.25" customHeight="1" x14ac:dyDescent="0.3">
      <c r="A28" s="148"/>
      <c r="B28" s="148"/>
      <c r="C28" s="148"/>
      <c r="D28" s="148"/>
      <c r="E28" s="148"/>
      <c r="F28" s="148"/>
      <c r="G28" s="23" t="s">
        <v>91</v>
      </c>
      <c r="H28" s="23" t="s">
        <v>79</v>
      </c>
      <c r="I28" s="23">
        <f>'MERCADO TE'!$U$25</f>
        <v>0</v>
      </c>
      <c r="J28" s="15"/>
      <c r="L28" s="20">
        <f>'TE BE'!$L$28*'TE BE'!$L$51</f>
        <v>4.1126839063631094E-8</v>
      </c>
      <c r="M28" s="20">
        <f>'TE BE'!$M$28*'TE BE'!$M$51</f>
        <v>1.3731397526742513</v>
      </c>
      <c r="N28" s="20">
        <f>'TE BE'!$N$28*'TE BE'!$N$51</f>
        <v>0</v>
      </c>
      <c r="O28" s="20">
        <f>'TE BE'!$O$28*'TE BE'!$O$51</f>
        <v>-0.10237967455295723</v>
      </c>
      <c r="P28" s="20">
        <f>'TE BE'!$P$28*'TE BE'!$P$51</f>
        <v>0</v>
      </c>
      <c r="Q28" s="20">
        <f>SUM($L$28:$P$28)</f>
        <v>1.270760119248133</v>
      </c>
      <c r="R28" s="20">
        <f>'TE BE'!$R$28*'TE BE'!$R$51</f>
        <v>16.318682279428888</v>
      </c>
      <c r="S28" s="20">
        <f>SUM($R$28:$R$28)</f>
        <v>16.318682279428888</v>
      </c>
      <c r="T28" s="20">
        <f>'TE BE'!$T$28*'TE BE'!$T$51</f>
        <v>-7.1757594775857081E-2</v>
      </c>
      <c r="U28" s="20">
        <f>'TE BE'!$U$28*'TE BE'!$U$51</f>
        <v>6.1645251667860355E-2</v>
      </c>
      <c r="V28" s="20">
        <f>'TE BE'!$V$28*'TE BE'!$V$51</f>
        <v>0</v>
      </c>
      <c r="W28" s="20">
        <f>SUM($T$28:$V$28)</f>
        <v>-1.0112343107996725E-2</v>
      </c>
      <c r="X28" s="20">
        <f>'TE BE'!$AB$28*'TE BE'!$X$51</f>
        <v>-9.6256469400820865</v>
      </c>
      <c r="Y28" s="20">
        <f>SUM($X$28:$X$28)</f>
        <v>-9.6256469400820865</v>
      </c>
      <c r="Z28" s="20">
        <f>'TE BE'!$Z$28*'TE BE'!$Z$51</f>
        <v>0.47398074080154723</v>
      </c>
      <c r="AA28" s="20">
        <f>SUM($Z$28:$Z$28)</f>
        <v>0.47398074080154723</v>
      </c>
      <c r="AB28" s="20">
        <f>SUMIF($L$4:$AA$4,"SUBTOTAL",$L$28:$AA$28)</f>
        <v>8.4276638562884845</v>
      </c>
    </row>
    <row r="29" spans="1:28" ht="11.25" customHeight="1" x14ac:dyDescent="0.3">
      <c r="A29" s="148"/>
      <c r="B29" s="148"/>
      <c r="C29" s="148"/>
      <c r="D29" s="148"/>
      <c r="E29" s="148"/>
      <c r="F29" s="148"/>
      <c r="G29" s="23" t="s">
        <v>81</v>
      </c>
      <c r="H29" s="23" t="s">
        <v>79</v>
      </c>
      <c r="I29" s="23">
        <f>'MERCADO TE'!$U$26</f>
        <v>0</v>
      </c>
      <c r="J29" s="15"/>
      <c r="L29" s="20">
        <f>'TE BE'!$L$29*'TE BE'!$L$51</f>
        <v>4.1126839063631094E-8</v>
      </c>
      <c r="M29" s="20">
        <f>'TE BE'!$M$29*'TE BE'!$M$51</f>
        <v>1.3731397526742513</v>
      </c>
      <c r="N29" s="20">
        <f>'TE BE'!$N$29*'TE BE'!$N$51</f>
        <v>0</v>
      </c>
      <c r="O29" s="20">
        <f>'TE BE'!$O$29*'TE BE'!$O$51</f>
        <v>-0.10237967455295723</v>
      </c>
      <c r="P29" s="20">
        <f>'TE BE'!$P$29*'TE BE'!$P$51</f>
        <v>0</v>
      </c>
      <c r="Q29" s="20">
        <f>SUM($L$29:$P$29)</f>
        <v>1.270760119248133</v>
      </c>
      <c r="R29" s="20">
        <f>'TE BE'!$R$29*'TE BE'!$R$51</f>
        <v>16.318682279428888</v>
      </c>
      <c r="S29" s="20">
        <f>SUM($R$29:$R$29)</f>
        <v>16.318682279428888</v>
      </c>
      <c r="T29" s="20">
        <f>'TE BE'!$T$29*'TE BE'!$T$51</f>
        <v>-7.1757594775857081E-2</v>
      </c>
      <c r="U29" s="20">
        <f>'TE BE'!$U$29*'TE BE'!$U$51</f>
        <v>6.1645251667860355E-2</v>
      </c>
      <c r="V29" s="20">
        <f>'TE BE'!$V$29*'TE BE'!$V$51</f>
        <v>0</v>
      </c>
      <c r="W29" s="20">
        <f>SUM($T$29:$V$29)</f>
        <v>-1.0112343107996725E-2</v>
      </c>
      <c r="X29" s="20">
        <f>'TE BE'!$AB$29*'TE BE'!$X$51</f>
        <v>-9.6256469400820865</v>
      </c>
      <c r="Y29" s="20">
        <f>SUM($X$29:$X$29)</f>
        <v>-9.6256469400820865</v>
      </c>
      <c r="Z29" s="20">
        <f>'TE BE'!$Z$29*'TE BE'!$Z$51</f>
        <v>0.47398074080154723</v>
      </c>
      <c r="AA29" s="20">
        <f>SUM($Z$29:$Z$29)</f>
        <v>0.47398074080154723</v>
      </c>
      <c r="AB29" s="20">
        <f>SUMIF($L$4:$AA$4,"SUBTOTAL",$L$29:$AA$29)</f>
        <v>8.4276638562884845</v>
      </c>
    </row>
    <row r="30" spans="1:28" ht="11.25" customHeight="1" x14ac:dyDescent="0.3">
      <c r="A30" s="148"/>
      <c r="B30" s="22" t="s">
        <v>82</v>
      </c>
      <c r="C30" s="22" t="s">
        <v>44</v>
      </c>
      <c r="D30" s="22" t="s">
        <v>94</v>
      </c>
      <c r="E30" s="22" t="s">
        <v>25</v>
      </c>
      <c r="F30" s="22" t="s">
        <v>25</v>
      </c>
      <c r="G30" s="23" t="s">
        <v>83</v>
      </c>
      <c r="H30" s="23" t="s">
        <v>79</v>
      </c>
      <c r="I30" s="23">
        <f>'MERCADO TE'!$U$27</f>
        <v>0</v>
      </c>
      <c r="J30" s="15"/>
      <c r="L30" s="20">
        <f>'TE BE'!$L$30*'TE BE'!$L$51</f>
        <v>4.1126839063631094E-8</v>
      </c>
      <c r="M30" s="20">
        <f>'TE BE'!$M$30*'TE BE'!$M$51</f>
        <v>1.3731397526742513</v>
      </c>
      <c r="N30" s="20">
        <f>'TE BE'!$N$30*'TE BE'!$N$51</f>
        <v>0</v>
      </c>
      <c r="O30" s="20">
        <f>'TE BE'!$O$30*'TE BE'!$O$51</f>
        <v>-0.10237967455295723</v>
      </c>
      <c r="P30" s="20">
        <f>'TE BE'!$P$30*'TE BE'!$P$51</f>
        <v>0</v>
      </c>
      <c r="Q30" s="20">
        <f>SUM($L$30:$P$30)</f>
        <v>1.270760119248133</v>
      </c>
      <c r="R30" s="20">
        <f>'TE BE'!$R$30*'TE BE'!$R$51</f>
        <v>17.29780321619462</v>
      </c>
      <c r="S30" s="20">
        <f>SUM($R$30:$R$30)</f>
        <v>17.29780321619462</v>
      </c>
      <c r="T30" s="20">
        <f>'TE BE'!$T$30*'TE BE'!$T$51</f>
        <v>-7.1757594775857081E-2</v>
      </c>
      <c r="U30" s="20">
        <f>'TE BE'!$U$30*'TE BE'!$U$51</f>
        <v>6.1645251667860355E-2</v>
      </c>
      <c r="V30" s="20">
        <f>'TE BE'!$V$30*'TE BE'!$V$51</f>
        <v>0</v>
      </c>
      <c r="W30" s="20">
        <f>SUM($T$30:$V$30)</f>
        <v>-1.0112343107996725E-2</v>
      </c>
      <c r="X30" s="20">
        <f>'TE BE'!$AB$30*'TE BE'!$X$51</f>
        <v>-10.133596943092927</v>
      </c>
      <c r="Y30" s="20">
        <f>SUM($X$30:$X$30)</f>
        <v>-10.133596943092927</v>
      </c>
      <c r="Z30" s="20">
        <f>'TE BE'!$Z$30*'TE BE'!$Z$51</f>
        <v>0.47398074080154723</v>
      </c>
      <c r="AA30" s="20">
        <f>SUM($Z$30:$Z$30)</f>
        <v>0.47398074080154723</v>
      </c>
      <c r="AB30" s="20">
        <f>SUMIF($L$4:$AA$4,"SUBTOTAL",$L$30:$AA$30)</f>
        <v>8.8988347900433755</v>
      </c>
    </row>
    <row r="31" spans="1:28" ht="11.25" customHeight="1" x14ac:dyDescent="0.3">
      <c r="A31" s="148"/>
      <c r="B31" s="148" t="s">
        <v>78</v>
      </c>
      <c r="C31" s="148" t="s">
        <v>44</v>
      </c>
      <c r="D31" s="148" t="s">
        <v>95</v>
      </c>
      <c r="E31" s="148" t="s">
        <v>25</v>
      </c>
      <c r="F31" s="148" t="s">
        <v>25</v>
      </c>
      <c r="G31" s="23" t="s">
        <v>80</v>
      </c>
      <c r="H31" s="23" t="s">
        <v>79</v>
      </c>
      <c r="I31" s="23">
        <f>'MERCADO TE'!$U$28</f>
        <v>0</v>
      </c>
      <c r="J31" s="15"/>
      <c r="L31" s="20">
        <f>'TE BE'!$L$31*'TE BE'!$L$51</f>
        <v>4.1126839063631094E-8</v>
      </c>
      <c r="M31" s="20">
        <f>'TE BE'!$M$31*'TE BE'!$M$51</f>
        <v>1.3731397526742513</v>
      </c>
      <c r="N31" s="20">
        <f>'TE BE'!$N$31*'TE BE'!$N$51</f>
        <v>0</v>
      </c>
      <c r="O31" s="20">
        <f>'TE BE'!$O$31*'TE BE'!$O$51</f>
        <v>-0.10237967455295723</v>
      </c>
      <c r="P31" s="20">
        <f>'TE BE'!$P$31*'TE BE'!$P$51</f>
        <v>0</v>
      </c>
      <c r="Q31" s="20">
        <f>SUM($L$31:$P$31)</f>
        <v>1.270760119248133</v>
      </c>
      <c r="R31" s="20">
        <f>'TE BE'!$R$31*'TE BE'!$R$51</f>
        <v>28.068133520617682</v>
      </c>
      <c r="S31" s="20">
        <f>SUM($R$31:$R$31)</f>
        <v>28.068133520617682</v>
      </c>
      <c r="T31" s="20">
        <f>'TE BE'!$T$31*'TE BE'!$T$51</f>
        <v>-7.1757594775857081E-2</v>
      </c>
      <c r="U31" s="20">
        <f>'TE BE'!$U$31*'TE BE'!$U$51</f>
        <v>6.1645251667860355E-2</v>
      </c>
      <c r="V31" s="20">
        <f>'TE BE'!$V$31*'TE BE'!$V$51</f>
        <v>0</v>
      </c>
      <c r="W31" s="20">
        <f>SUM($T$31:$V$31)</f>
        <v>-1.0112343107996725E-2</v>
      </c>
      <c r="X31" s="20">
        <f>'TE BE'!$AB$31*'TE BE'!$X$51</f>
        <v>-15.721046976212161</v>
      </c>
      <c r="Y31" s="20">
        <f>SUM($X$31:$X$31)</f>
        <v>-15.721046976212161</v>
      </c>
      <c r="Z31" s="20">
        <f>'TE BE'!$Z$31*'TE BE'!$Z$51</f>
        <v>0.47398074080154723</v>
      </c>
      <c r="AA31" s="20">
        <f>SUM($Z$31:$Z$31)</f>
        <v>0.47398074080154723</v>
      </c>
      <c r="AB31" s="20">
        <f>SUMIF($L$4:$AA$4,"SUBTOTAL",$L$31:$AA$31)</f>
        <v>14.081715061347204</v>
      </c>
    </row>
    <row r="32" spans="1:28" ht="11.25" customHeight="1" x14ac:dyDescent="0.3">
      <c r="A32" s="148"/>
      <c r="B32" s="148"/>
      <c r="C32" s="148"/>
      <c r="D32" s="148"/>
      <c r="E32" s="148"/>
      <c r="F32" s="148"/>
      <c r="G32" s="23" t="s">
        <v>91</v>
      </c>
      <c r="H32" s="23" t="s">
        <v>79</v>
      </c>
      <c r="I32" s="23">
        <f>'MERCADO TE'!$U$29</f>
        <v>0</v>
      </c>
      <c r="J32" s="15"/>
      <c r="L32" s="20">
        <f>'TE BE'!$L$32*'TE BE'!$L$51</f>
        <v>4.1126839063631094E-8</v>
      </c>
      <c r="M32" s="20">
        <f>'TE BE'!$M$32*'TE BE'!$M$51</f>
        <v>1.3731397526742513</v>
      </c>
      <c r="N32" s="20">
        <f>'TE BE'!$N$32*'TE BE'!$N$51</f>
        <v>0</v>
      </c>
      <c r="O32" s="20">
        <f>'TE BE'!$O$32*'TE BE'!$O$51</f>
        <v>-0.10237967455295723</v>
      </c>
      <c r="P32" s="20">
        <f>'TE BE'!$P$32*'TE BE'!$P$51</f>
        <v>0</v>
      </c>
      <c r="Q32" s="20">
        <f>SUM($L$32:$P$32)</f>
        <v>1.270760119248133</v>
      </c>
      <c r="R32" s="20">
        <f>'TE BE'!$R$32*'TE BE'!$R$51</f>
        <v>16.318682279428888</v>
      </c>
      <c r="S32" s="20">
        <f>SUM($R$32:$R$32)</f>
        <v>16.318682279428888</v>
      </c>
      <c r="T32" s="20">
        <f>'TE BE'!$T$32*'TE BE'!$T$51</f>
        <v>-7.1757594775857081E-2</v>
      </c>
      <c r="U32" s="20">
        <f>'TE BE'!$U$32*'TE BE'!$U$51</f>
        <v>6.1645251667860355E-2</v>
      </c>
      <c r="V32" s="20">
        <f>'TE BE'!$V$32*'TE BE'!$V$51</f>
        <v>0</v>
      </c>
      <c r="W32" s="20">
        <f>SUM($T$32:$V$32)</f>
        <v>-1.0112343107996725E-2</v>
      </c>
      <c r="X32" s="20">
        <f>'TE BE'!$AB$32*'TE BE'!$X$51</f>
        <v>-9.6256469400820865</v>
      </c>
      <c r="Y32" s="20">
        <f>SUM($X$32:$X$32)</f>
        <v>-9.6256469400820865</v>
      </c>
      <c r="Z32" s="20">
        <f>'TE BE'!$Z$32*'TE BE'!$Z$51</f>
        <v>0.47398074080154723</v>
      </c>
      <c r="AA32" s="20">
        <f>SUM($Z$32:$Z$32)</f>
        <v>0.47398074080154723</v>
      </c>
      <c r="AB32" s="20">
        <f>SUMIF($L$4:$AA$4,"SUBTOTAL",$L$32:$AA$32)</f>
        <v>8.4276638562884845</v>
      </c>
    </row>
    <row r="33" spans="1:28" ht="11.25" customHeight="1" x14ac:dyDescent="0.3">
      <c r="A33" s="148"/>
      <c r="B33" s="148"/>
      <c r="C33" s="148"/>
      <c r="D33" s="148"/>
      <c r="E33" s="148"/>
      <c r="F33" s="148"/>
      <c r="G33" s="23" t="s">
        <v>81</v>
      </c>
      <c r="H33" s="23" t="s">
        <v>79</v>
      </c>
      <c r="I33" s="23">
        <f>'MERCADO TE'!$U$30</f>
        <v>0</v>
      </c>
      <c r="J33" s="15"/>
      <c r="L33" s="20">
        <f>'TE BE'!$L$33*'TE BE'!$L$51</f>
        <v>4.1126839063631094E-8</v>
      </c>
      <c r="M33" s="20">
        <f>'TE BE'!$M$33*'TE BE'!$M$51</f>
        <v>1.3731397526742513</v>
      </c>
      <c r="N33" s="20">
        <f>'TE BE'!$N$33*'TE BE'!$N$51</f>
        <v>0</v>
      </c>
      <c r="O33" s="20">
        <f>'TE BE'!$O$33*'TE BE'!$O$51</f>
        <v>-0.10237967455295723</v>
      </c>
      <c r="P33" s="20">
        <f>'TE BE'!$P$33*'TE BE'!$P$51</f>
        <v>0</v>
      </c>
      <c r="Q33" s="20">
        <f>SUM($L$33:$P$33)</f>
        <v>1.270760119248133</v>
      </c>
      <c r="R33" s="20">
        <f>'TE BE'!$R$33*'TE BE'!$R$51</f>
        <v>16.318682279428888</v>
      </c>
      <c r="S33" s="20">
        <f>SUM($R$33:$R$33)</f>
        <v>16.318682279428888</v>
      </c>
      <c r="T33" s="20">
        <f>'TE BE'!$T$33*'TE BE'!$T$51</f>
        <v>-7.1757594775857081E-2</v>
      </c>
      <c r="U33" s="20">
        <f>'TE BE'!$U$33*'TE BE'!$U$51</f>
        <v>6.1645251667860355E-2</v>
      </c>
      <c r="V33" s="20">
        <f>'TE BE'!$V$33*'TE BE'!$V$51</f>
        <v>0</v>
      </c>
      <c r="W33" s="20">
        <f>SUM($T$33:$V$33)</f>
        <v>-1.0112343107996725E-2</v>
      </c>
      <c r="X33" s="20">
        <f>'TE BE'!$AB$33*'TE BE'!$X$51</f>
        <v>-9.6256469400820865</v>
      </c>
      <c r="Y33" s="20">
        <f>SUM($X$33:$X$33)</f>
        <v>-9.6256469400820865</v>
      </c>
      <c r="Z33" s="20">
        <f>'TE BE'!$Z$33*'TE BE'!$Z$51</f>
        <v>0.47398074080154723</v>
      </c>
      <c r="AA33" s="20">
        <f>SUM($Z$33:$Z$33)</f>
        <v>0.47398074080154723</v>
      </c>
      <c r="AB33" s="20">
        <f>SUMIF($L$4:$AA$4,"SUBTOTAL",$L$33:$AA$33)</f>
        <v>8.4276638562884845</v>
      </c>
    </row>
    <row r="34" spans="1:28" ht="11.25" customHeight="1" x14ac:dyDescent="0.3">
      <c r="A34" s="148"/>
      <c r="B34" s="22" t="s">
        <v>82</v>
      </c>
      <c r="C34" s="22" t="s">
        <v>44</v>
      </c>
      <c r="D34" s="22" t="s">
        <v>95</v>
      </c>
      <c r="E34" s="22" t="s">
        <v>25</v>
      </c>
      <c r="F34" s="22" t="s">
        <v>25</v>
      </c>
      <c r="G34" s="23" t="s">
        <v>83</v>
      </c>
      <c r="H34" s="23" t="s">
        <v>79</v>
      </c>
      <c r="I34" s="23">
        <f>'MERCADO TE'!$U$31</f>
        <v>0</v>
      </c>
      <c r="J34" s="15"/>
      <c r="L34" s="20">
        <f>'TE BE'!$L$34*'TE BE'!$L$51</f>
        <v>4.1126839063631094E-8</v>
      </c>
      <c r="M34" s="20">
        <f>'TE BE'!$M$34*'TE BE'!$M$51</f>
        <v>1.3731397526742513</v>
      </c>
      <c r="N34" s="20">
        <f>'TE BE'!$N$34*'TE BE'!$N$51</f>
        <v>0</v>
      </c>
      <c r="O34" s="20">
        <f>'TE BE'!$O$34*'TE BE'!$O$51</f>
        <v>-0.10237967455295723</v>
      </c>
      <c r="P34" s="20">
        <f>'TE BE'!$P$34*'TE BE'!$P$51</f>
        <v>0</v>
      </c>
      <c r="Q34" s="20">
        <f>SUM($L$34:$P$34)</f>
        <v>1.270760119248133</v>
      </c>
      <c r="R34" s="20">
        <f>'TE BE'!$R$34*'TE BE'!$R$51</f>
        <v>17.29780321619462</v>
      </c>
      <c r="S34" s="20">
        <f>SUM($R$34:$R$34)</f>
        <v>17.29780321619462</v>
      </c>
      <c r="T34" s="20">
        <f>'TE BE'!$T$34*'TE BE'!$T$51</f>
        <v>-7.1757594775857081E-2</v>
      </c>
      <c r="U34" s="20">
        <f>'TE BE'!$U$34*'TE BE'!$U$51</f>
        <v>6.1645251667860355E-2</v>
      </c>
      <c r="V34" s="20">
        <f>'TE BE'!$V$34*'TE BE'!$V$51</f>
        <v>0</v>
      </c>
      <c r="W34" s="20">
        <f>SUM($T$34:$V$34)</f>
        <v>-1.0112343107996725E-2</v>
      </c>
      <c r="X34" s="20">
        <f>'TE BE'!$AB$34*'TE BE'!$X$51</f>
        <v>-10.133596943092927</v>
      </c>
      <c r="Y34" s="20">
        <f>SUM($X$34:$X$34)</f>
        <v>-10.133596943092927</v>
      </c>
      <c r="Z34" s="20">
        <f>'TE BE'!$Z$34*'TE BE'!$Z$51</f>
        <v>0.47398074080154723</v>
      </c>
      <c r="AA34" s="20">
        <f>SUM($Z$34:$Z$34)</f>
        <v>0.47398074080154723</v>
      </c>
      <c r="AB34" s="20">
        <f>SUMIF($L$4:$AA$4,"SUBTOTAL",$L$34:$AA$34)</f>
        <v>8.8988347900433755</v>
      </c>
    </row>
    <row r="35" spans="1:28" ht="11.25" customHeight="1" x14ac:dyDescent="0.3">
      <c r="A35" s="148"/>
      <c r="B35" s="148" t="s">
        <v>92</v>
      </c>
      <c r="C35" s="148" t="s">
        <v>44</v>
      </c>
      <c r="D35" s="22" t="s">
        <v>25</v>
      </c>
      <c r="E35" s="22" t="s">
        <v>25</v>
      </c>
      <c r="F35" s="22" t="s">
        <v>25</v>
      </c>
      <c r="G35" s="23" t="s">
        <v>83</v>
      </c>
      <c r="H35" s="23" t="s">
        <v>79</v>
      </c>
      <c r="I35" s="23">
        <f>'MERCADO TE'!$U$32</f>
        <v>0</v>
      </c>
      <c r="J35" s="15"/>
      <c r="L35" s="20">
        <f>'TE BE'!$L$35*'TE BE'!$L$51</f>
        <v>4.1126839063631094E-8</v>
      </c>
      <c r="M35" s="20">
        <f>'TE BE'!$M$35*'TE BE'!$M$51</f>
        <v>1.3731397526742513</v>
      </c>
      <c r="N35" s="20">
        <f>'TE BE'!$N$35*'TE BE'!$N$51</f>
        <v>0</v>
      </c>
      <c r="O35" s="20">
        <f>'TE BE'!$O$35*'TE BE'!$O$51</f>
        <v>-0.10237967455295723</v>
      </c>
      <c r="P35" s="20">
        <f>'TE BE'!$P$35*'TE BE'!$P$51</f>
        <v>0</v>
      </c>
      <c r="Q35" s="20">
        <f>SUM($L$35:$P$35)</f>
        <v>1.270760119248133</v>
      </c>
      <c r="R35" s="20">
        <f>'TE BE'!$R$35*'TE BE'!$R$51</f>
        <v>17.29780321619462</v>
      </c>
      <c r="S35" s="20">
        <f>SUM($R$35:$R$35)</f>
        <v>17.29780321619462</v>
      </c>
      <c r="T35" s="20">
        <f>'TE BE'!$T$35*'TE BE'!$T$51</f>
        <v>-7.1757594775857081E-2</v>
      </c>
      <c r="U35" s="20">
        <f>'TE BE'!$U$35*'TE BE'!$U$51</f>
        <v>6.1645251667860355E-2</v>
      </c>
      <c r="V35" s="20">
        <f>'TE BE'!$V$35*'TE BE'!$V$51</f>
        <v>0</v>
      </c>
      <c r="W35" s="20">
        <f>SUM($T$35:$V$35)</f>
        <v>-1.0112343107996725E-2</v>
      </c>
      <c r="X35" s="20">
        <f>'TE BE'!$AB$35*'TE BE'!$X$51</f>
        <v>-10.133596943092927</v>
      </c>
      <c r="Y35" s="20">
        <f>SUM($X$35:$X$35)</f>
        <v>-10.133596943092927</v>
      </c>
      <c r="Z35" s="20">
        <f>'TE BE'!$Z$35*'TE BE'!$Z$51</f>
        <v>0.47398074080154723</v>
      </c>
      <c r="AA35" s="20">
        <f>SUM($Z$35:$Z$35)</f>
        <v>0.47398074080154723</v>
      </c>
      <c r="AB35" s="20">
        <f>SUMIF($L$4:$AA$4,"SUBTOTAL",$L$35:$AA$35)</f>
        <v>8.8988347900433755</v>
      </c>
    </row>
    <row r="36" spans="1:28" ht="11.25" customHeight="1" x14ac:dyDescent="0.3">
      <c r="A36" s="148"/>
      <c r="B36" s="148"/>
      <c r="C36" s="148"/>
      <c r="D36" s="22" t="s">
        <v>94</v>
      </c>
      <c r="E36" s="22" t="s">
        <v>25</v>
      </c>
      <c r="F36" s="22" t="s">
        <v>25</v>
      </c>
      <c r="G36" s="23" t="s">
        <v>83</v>
      </c>
      <c r="H36" s="23" t="s">
        <v>79</v>
      </c>
      <c r="I36" s="23">
        <f>'MERCADO TE'!$U$33</f>
        <v>0</v>
      </c>
      <c r="J36" s="15"/>
      <c r="L36" s="20">
        <f>'TE BE'!$L$36*'TE BE'!$L$51</f>
        <v>4.1126839063631094E-8</v>
      </c>
      <c r="M36" s="20">
        <f>'TE BE'!$M$36*'TE BE'!$M$51</f>
        <v>1.3731397526742513</v>
      </c>
      <c r="N36" s="20">
        <f>'TE BE'!$N$36*'TE BE'!$N$51</f>
        <v>0</v>
      </c>
      <c r="O36" s="20">
        <f>'TE BE'!$O$36*'TE BE'!$O$51</f>
        <v>-0.10237967455295723</v>
      </c>
      <c r="P36" s="20">
        <f>'TE BE'!$P$36*'TE BE'!$P$51</f>
        <v>0</v>
      </c>
      <c r="Q36" s="20">
        <f>SUM($L$36:$P$36)</f>
        <v>1.270760119248133</v>
      </c>
      <c r="R36" s="20">
        <f>'TE BE'!$R$36*'TE BE'!$R$51</f>
        <v>17.29780321619462</v>
      </c>
      <c r="S36" s="20">
        <f>SUM($R$36:$R$36)</f>
        <v>17.29780321619462</v>
      </c>
      <c r="T36" s="20">
        <f>'TE BE'!$T$36*'TE BE'!$T$51</f>
        <v>-7.1757594775857081E-2</v>
      </c>
      <c r="U36" s="20">
        <f>'TE BE'!$U$36*'TE BE'!$U$51</f>
        <v>6.1645251667860355E-2</v>
      </c>
      <c r="V36" s="20">
        <f>'TE BE'!$V$36*'TE BE'!$V$51</f>
        <v>0</v>
      </c>
      <c r="W36" s="20">
        <f>SUM($T$36:$V$36)</f>
        <v>-1.0112343107996725E-2</v>
      </c>
      <c r="X36" s="20">
        <f>'TE BE'!$AB$36*'TE BE'!$X$51</f>
        <v>-10.133596943092927</v>
      </c>
      <c r="Y36" s="20">
        <f>SUM($X$36:$X$36)</f>
        <v>-10.133596943092927</v>
      </c>
      <c r="Z36" s="20">
        <f>'TE BE'!$Z$36*'TE BE'!$Z$51</f>
        <v>0.47398074080154723</v>
      </c>
      <c r="AA36" s="20">
        <f>SUM($Z$36:$Z$36)</f>
        <v>0.47398074080154723</v>
      </c>
      <c r="AB36" s="20">
        <f>SUMIF($L$4:$AA$4,"SUBTOTAL",$L$36:$AA$36)</f>
        <v>8.8988347900433755</v>
      </c>
    </row>
    <row r="37" spans="1:28" ht="11.25" customHeight="1" x14ac:dyDescent="0.3">
      <c r="A37" s="148"/>
      <c r="B37" s="148"/>
      <c r="C37" s="148"/>
      <c r="D37" s="22" t="s">
        <v>95</v>
      </c>
      <c r="E37" s="22" t="s">
        <v>25</v>
      </c>
      <c r="F37" s="22" t="s">
        <v>25</v>
      </c>
      <c r="G37" s="23" t="s">
        <v>83</v>
      </c>
      <c r="H37" s="23" t="s">
        <v>79</v>
      </c>
      <c r="I37" s="23">
        <f>'MERCADO TE'!$U$34</f>
        <v>0</v>
      </c>
      <c r="J37" s="15"/>
      <c r="L37" s="20">
        <f>'TE BE'!$L$37*'TE BE'!$L$51</f>
        <v>4.1126839063631094E-8</v>
      </c>
      <c r="M37" s="20">
        <f>'TE BE'!$M$37*'TE BE'!$M$51</f>
        <v>1.3731397526742513</v>
      </c>
      <c r="N37" s="20">
        <f>'TE BE'!$N$37*'TE BE'!$N$51</f>
        <v>0</v>
      </c>
      <c r="O37" s="20">
        <f>'TE BE'!$O$37*'TE BE'!$O$51</f>
        <v>-0.10237967455295723</v>
      </c>
      <c r="P37" s="20">
        <f>'TE BE'!$P$37*'TE BE'!$P$51</f>
        <v>0</v>
      </c>
      <c r="Q37" s="20">
        <f>SUM($L$37:$P$37)</f>
        <v>1.270760119248133</v>
      </c>
      <c r="R37" s="20">
        <f>'TE BE'!$R$37*'TE BE'!$R$51</f>
        <v>17.29780321619462</v>
      </c>
      <c r="S37" s="20">
        <f>SUM($R$37:$R$37)</f>
        <v>17.29780321619462</v>
      </c>
      <c r="T37" s="20">
        <f>'TE BE'!$T$37*'TE BE'!$T$51</f>
        <v>-7.1757594775857081E-2</v>
      </c>
      <c r="U37" s="20">
        <f>'TE BE'!$U$37*'TE BE'!$U$51</f>
        <v>6.1645251667860355E-2</v>
      </c>
      <c r="V37" s="20">
        <f>'TE BE'!$V$37*'TE BE'!$V$51</f>
        <v>0</v>
      </c>
      <c r="W37" s="20">
        <f>SUM($T$37:$V$37)</f>
        <v>-1.0112343107996725E-2</v>
      </c>
      <c r="X37" s="20">
        <f>'TE BE'!$AB$37*'TE BE'!$X$51</f>
        <v>-10.133596943092927</v>
      </c>
      <c r="Y37" s="20">
        <f>SUM($X$37:$X$37)</f>
        <v>-10.133596943092927</v>
      </c>
      <c r="Z37" s="20">
        <f>'TE BE'!$Z$37*'TE BE'!$Z$51</f>
        <v>0.47398074080154723</v>
      </c>
      <c r="AA37" s="20">
        <f>SUM($Z$37:$Z$37)</f>
        <v>0.47398074080154723</v>
      </c>
      <c r="AB37" s="20">
        <f>SUMIF($L$4:$AA$4,"SUBTOTAL",$L$37:$AA$37)</f>
        <v>8.8988347900433755</v>
      </c>
    </row>
    <row r="38" spans="1:28" ht="11.25" customHeight="1" x14ac:dyDescent="0.3">
      <c r="A38" s="148" t="s">
        <v>37</v>
      </c>
      <c r="B38" s="148" t="s">
        <v>78</v>
      </c>
      <c r="C38" s="148" t="s">
        <v>25</v>
      </c>
      <c r="D38" s="148" t="s">
        <v>25</v>
      </c>
      <c r="E38" s="148" t="s">
        <v>25</v>
      </c>
      <c r="F38" s="148" t="s">
        <v>25</v>
      </c>
      <c r="G38" s="23" t="s">
        <v>80</v>
      </c>
      <c r="H38" s="23" t="s">
        <v>79</v>
      </c>
      <c r="I38" s="23">
        <f>'MERCADO TE'!$U$35</f>
        <v>10.468</v>
      </c>
      <c r="J38" s="15"/>
      <c r="L38" s="20">
        <f>'TE BE'!$L$38*'TE BE'!$L$51</f>
        <v>4.1126839063631094E-8</v>
      </c>
      <c r="M38" s="20">
        <f>'TE BE'!$M$38*'TE BE'!$M$51</f>
        <v>1.3731397526742513</v>
      </c>
      <c r="N38" s="20">
        <f>'TE BE'!$N$38*'TE BE'!$N$51</f>
        <v>0</v>
      </c>
      <c r="O38" s="20">
        <f>'TE BE'!$O$38*'TE BE'!$O$51</f>
        <v>-0.10237967455295723</v>
      </c>
      <c r="P38" s="20">
        <f>'TE BE'!$P$38*'TE BE'!$P$51</f>
        <v>0</v>
      </c>
      <c r="Q38" s="20">
        <f>SUM($L$38:$P$38)</f>
        <v>1.270760119248133</v>
      </c>
      <c r="R38" s="20">
        <f>'TE BE'!$R$38*'TE BE'!$R$51</f>
        <v>28.068133520617682</v>
      </c>
      <c r="S38" s="20">
        <f>SUM($R$38:$R$38)</f>
        <v>28.068133520617682</v>
      </c>
      <c r="T38" s="20">
        <f>'TE BE'!$T$38*'TE BE'!$T$51</f>
        <v>-7.1757594775857081E-2</v>
      </c>
      <c r="U38" s="20">
        <f>'TE BE'!$U$38*'TE BE'!$U$51</f>
        <v>6.1645251667860355E-2</v>
      </c>
      <c r="V38" s="20">
        <f>'TE BE'!$V$38*'TE BE'!$V$51</f>
        <v>0</v>
      </c>
      <c r="W38" s="20">
        <f>SUM($T$38:$V$38)</f>
        <v>-1.0112343107996725E-2</v>
      </c>
      <c r="X38" s="20">
        <f>'TE BE'!$AB$38*'TE BE'!$X$51</f>
        <v>-15.721046976212161</v>
      </c>
      <c r="Y38" s="20">
        <f>SUM($X$38:$X$38)</f>
        <v>-15.721046976212161</v>
      </c>
      <c r="Z38" s="20">
        <f>'TE BE'!$Z$38*'TE BE'!$Z$51</f>
        <v>0.47398074080154723</v>
      </c>
      <c r="AA38" s="20">
        <f>SUM($Z$38:$Z$38)</f>
        <v>0.47398074080154723</v>
      </c>
      <c r="AB38" s="20">
        <f>SUMIF($L$4:$AA$4,"SUBTOTAL",$L$38:$AA$38)</f>
        <v>14.081715061347204</v>
      </c>
    </row>
    <row r="39" spans="1:28" ht="11.25" customHeight="1" x14ac:dyDescent="0.3">
      <c r="A39" s="148"/>
      <c r="B39" s="148"/>
      <c r="C39" s="148"/>
      <c r="D39" s="148"/>
      <c r="E39" s="148"/>
      <c r="F39" s="148"/>
      <c r="G39" s="23" t="s">
        <v>91</v>
      </c>
      <c r="H39" s="23" t="s">
        <v>79</v>
      </c>
      <c r="I39" s="23">
        <f>'MERCADO TE'!$U$36</f>
        <v>9.6909999999999989</v>
      </c>
      <c r="J39" s="15"/>
      <c r="L39" s="20">
        <f>'TE BE'!$L$39*'TE BE'!$L$51</f>
        <v>4.1126839063631094E-8</v>
      </c>
      <c r="M39" s="20">
        <f>'TE BE'!$M$39*'TE BE'!$M$51</f>
        <v>1.3731397526742513</v>
      </c>
      <c r="N39" s="20">
        <f>'TE BE'!$N$39*'TE BE'!$N$51</f>
        <v>0</v>
      </c>
      <c r="O39" s="20">
        <f>'TE BE'!$O$39*'TE BE'!$O$51</f>
        <v>-0.10237967455295723</v>
      </c>
      <c r="P39" s="20">
        <f>'TE BE'!$P$39*'TE BE'!$P$51</f>
        <v>0</v>
      </c>
      <c r="Q39" s="20">
        <f>SUM($L$39:$P$39)</f>
        <v>1.270760119248133</v>
      </c>
      <c r="R39" s="20">
        <f>'TE BE'!$R$39*'TE BE'!$R$51</f>
        <v>16.318682279428888</v>
      </c>
      <c r="S39" s="20">
        <f>SUM($R$39:$R$39)</f>
        <v>16.318682279428888</v>
      </c>
      <c r="T39" s="20">
        <f>'TE BE'!$T$39*'TE BE'!$T$51</f>
        <v>-7.1757594775857081E-2</v>
      </c>
      <c r="U39" s="20">
        <f>'TE BE'!$U$39*'TE BE'!$U$51</f>
        <v>6.1645251667860355E-2</v>
      </c>
      <c r="V39" s="20">
        <f>'TE BE'!$V$39*'TE BE'!$V$51</f>
        <v>0</v>
      </c>
      <c r="W39" s="20">
        <f>SUM($T$39:$V$39)</f>
        <v>-1.0112343107996725E-2</v>
      </c>
      <c r="X39" s="20">
        <f>'TE BE'!$AB$39*'TE BE'!$X$51</f>
        <v>-9.6256469400820865</v>
      </c>
      <c r="Y39" s="20">
        <f>SUM($X$39:$X$39)</f>
        <v>-9.6256469400820865</v>
      </c>
      <c r="Z39" s="20">
        <f>'TE BE'!$Z$39*'TE BE'!$Z$51</f>
        <v>0.47398074080154723</v>
      </c>
      <c r="AA39" s="20">
        <f>SUM($Z$39:$Z$39)</f>
        <v>0.47398074080154723</v>
      </c>
      <c r="AB39" s="20">
        <f>SUMIF($L$4:$AA$4,"SUBTOTAL",$L$39:$AA$39)</f>
        <v>8.4276638562884845</v>
      </c>
    </row>
    <row r="40" spans="1:28" ht="11.25" customHeight="1" x14ac:dyDescent="0.3">
      <c r="A40" s="148"/>
      <c r="B40" s="148"/>
      <c r="C40" s="148"/>
      <c r="D40" s="148"/>
      <c r="E40" s="148"/>
      <c r="F40" s="148"/>
      <c r="G40" s="23" t="s">
        <v>81</v>
      </c>
      <c r="H40" s="23" t="s">
        <v>79</v>
      </c>
      <c r="I40" s="23">
        <f>'MERCADO TE'!$U$37</f>
        <v>150.328</v>
      </c>
      <c r="J40" s="15"/>
      <c r="L40" s="20">
        <f>'TE BE'!$L$40*'TE BE'!$L$51</f>
        <v>4.1126839063631094E-8</v>
      </c>
      <c r="M40" s="20">
        <f>'TE BE'!$M$40*'TE BE'!$M$51</f>
        <v>1.3731397526742513</v>
      </c>
      <c r="N40" s="20">
        <f>'TE BE'!$N$40*'TE BE'!$N$51</f>
        <v>0</v>
      </c>
      <c r="O40" s="20">
        <f>'TE BE'!$O$40*'TE BE'!$O$51</f>
        <v>-0.10237967455295723</v>
      </c>
      <c r="P40" s="20">
        <f>'TE BE'!$P$40*'TE BE'!$P$51</f>
        <v>0</v>
      </c>
      <c r="Q40" s="20">
        <f>SUM($L$40:$P$40)</f>
        <v>1.270760119248133</v>
      </c>
      <c r="R40" s="20">
        <f>'TE BE'!$R$40*'TE BE'!$R$51</f>
        <v>16.318682279428888</v>
      </c>
      <c r="S40" s="20">
        <f>SUM($R$40:$R$40)</f>
        <v>16.318682279428888</v>
      </c>
      <c r="T40" s="20">
        <f>'TE BE'!$T$40*'TE BE'!$T$51</f>
        <v>-7.1757594775857081E-2</v>
      </c>
      <c r="U40" s="20">
        <f>'TE BE'!$U$40*'TE BE'!$U$51</f>
        <v>6.1645251667860355E-2</v>
      </c>
      <c r="V40" s="20">
        <f>'TE BE'!$V$40*'TE BE'!$V$51</f>
        <v>0</v>
      </c>
      <c r="W40" s="20">
        <f>SUM($T$40:$V$40)</f>
        <v>-1.0112343107996725E-2</v>
      </c>
      <c r="X40" s="20">
        <f>'TE BE'!$AB$40*'TE BE'!$X$51</f>
        <v>-9.6256469400820865</v>
      </c>
      <c r="Y40" s="20">
        <f>SUM($X$40:$X$40)</f>
        <v>-9.6256469400820865</v>
      </c>
      <c r="Z40" s="20">
        <f>'TE BE'!$Z$40*'TE BE'!$Z$51</f>
        <v>0.47398074080154723</v>
      </c>
      <c r="AA40" s="20">
        <f>SUM($Z$40:$Z$40)</f>
        <v>0.47398074080154723</v>
      </c>
      <c r="AB40" s="20">
        <f>SUMIF($L$4:$AA$4,"SUBTOTAL",$L$40:$AA$40)</f>
        <v>8.4276638562884845</v>
      </c>
    </row>
    <row r="41" spans="1:28" ht="11.25" customHeight="1" x14ac:dyDescent="0.3">
      <c r="A41" s="148"/>
      <c r="B41" s="22" t="s">
        <v>82</v>
      </c>
      <c r="C41" s="22" t="s">
        <v>25</v>
      </c>
      <c r="D41" s="22" t="s">
        <v>25</v>
      </c>
      <c r="E41" s="22" t="s">
        <v>25</v>
      </c>
      <c r="F41" s="22" t="s">
        <v>25</v>
      </c>
      <c r="G41" s="23" t="s">
        <v>83</v>
      </c>
      <c r="H41" s="23" t="s">
        <v>79</v>
      </c>
      <c r="I41" s="23">
        <f>'MERCADO TE'!$U$38</f>
        <v>24187.291000000001</v>
      </c>
      <c r="J41" s="15"/>
      <c r="L41" s="20">
        <f>'TE BE'!$L$41*'TE BE'!$L$51</f>
        <v>4.1126839063631094E-8</v>
      </c>
      <c r="M41" s="20">
        <f>'TE BE'!$M$41*'TE BE'!$M$51</f>
        <v>1.3731397526742513</v>
      </c>
      <c r="N41" s="20">
        <f>'TE BE'!$N$41*'TE BE'!$N$51</f>
        <v>0</v>
      </c>
      <c r="O41" s="20">
        <f>'TE BE'!$O$41*'TE BE'!$O$51</f>
        <v>-0.10237967455295723</v>
      </c>
      <c r="P41" s="20">
        <f>'TE BE'!$P$41*'TE BE'!$P$51</f>
        <v>0</v>
      </c>
      <c r="Q41" s="20">
        <f>SUM($L$41:$P$41)</f>
        <v>1.270760119248133</v>
      </c>
      <c r="R41" s="20">
        <f>'TE BE'!$R$41*'TE BE'!$R$51</f>
        <v>17.29780321619462</v>
      </c>
      <c r="S41" s="20">
        <f>SUM($R$41:$R$41)</f>
        <v>17.29780321619462</v>
      </c>
      <c r="T41" s="20">
        <f>'TE BE'!$T$41*'TE BE'!$T$51</f>
        <v>-7.1757594775857081E-2</v>
      </c>
      <c r="U41" s="20">
        <f>'TE BE'!$U$41*'TE BE'!$U$51</f>
        <v>6.1645251667860355E-2</v>
      </c>
      <c r="V41" s="20">
        <f>'TE BE'!$V$41*'TE BE'!$V$51</f>
        <v>0</v>
      </c>
      <c r="W41" s="20">
        <f>SUM($T$41:$V$41)</f>
        <v>-1.0112343107996725E-2</v>
      </c>
      <c r="X41" s="20">
        <f>'TE BE'!$AB$41*'TE BE'!$X$51</f>
        <v>-10.133596943092927</v>
      </c>
      <c r="Y41" s="20">
        <f>SUM($X$41:$X$41)</f>
        <v>-10.133596943092927</v>
      </c>
      <c r="Z41" s="20">
        <f>'TE BE'!$Z$41*'TE BE'!$Z$51</f>
        <v>0.47398074080154723</v>
      </c>
      <c r="AA41" s="20">
        <f>SUM($Z$41:$Z$41)</f>
        <v>0.47398074080154723</v>
      </c>
      <c r="AB41" s="20">
        <f>SUMIF($L$4:$AA$4,"SUBTOTAL",$L$41:$AA$41)</f>
        <v>8.8988347900433755</v>
      </c>
    </row>
    <row r="42" spans="1:28" ht="11.25" customHeight="1" x14ac:dyDescent="0.3">
      <c r="A42" s="148"/>
      <c r="B42" s="22" t="s">
        <v>92</v>
      </c>
      <c r="C42" s="22" t="s">
        <v>25</v>
      </c>
      <c r="D42" s="22" t="s">
        <v>25</v>
      </c>
      <c r="E42" s="22" t="s">
        <v>25</v>
      </c>
      <c r="F42" s="22" t="s">
        <v>25</v>
      </c>
      <c r="G42" s="23" t="s">
        <v>83</v>
      </c>
      <c r="H42" s="23" t="s">
        <v>79</v>
      </c>
      <c r="I42" s="23">
        <f>'MERCADO TE'!$U$39</f>
        <v>0</v>
      </c>
      <c r="J42" s="15"/>
      <c r="L42" s="20">
        <f>'TE BE'!$L$42*'TE BE'!$L$51</f>
        <v>4.1126839063631094E-8</v>
      </c>
      <c r="M42" s="20">
        <f>'TE BE'!$M$42*'TE BE'!$M$51</f>
        <v>1.3731397526742513</v>
      </c>
      <c r="N42" s="20">
        <f>'TE BE'!$N$42*'TE BE'!$N$51</f>
        <v>0</v>
      </c>
      <c r="O42" s="20">
        <f>'TE BE'!$O$42*'TE BE'!$O$51</f>
        <v>-0.10237967455295723</v>
      </c>
      <c r="P42" s="20">
        <f>'TE BE'!$P$42*'TE BE'!$P$51</f>
        <v>0</v>
      </c>
      <c r="Q42" s="20">
        <f>SUM($L$42:$P$42)</f>
        <v>1.270760119248133</v>
      </c>
      <c r="R42" s="20">
        <f>'TE BE'!$R$42*'TE BE'!$R$51</f>
        <v>17.29780321619462</v>
      </c>
      <c r="S42" s="20">
        <f>SUM($R$42:$R$42)</f>
        <v>17.29780321619462</v>
      </c>
      <c r="T42" s="20">
        <f>'TE BE'!$T$42*'TE BE'!$T$51</f>
        <v>-7.1757594775857081E-2</v>
      </c>
      <c r="U42" s="20">
        <f>'TE BE'!$U$42*'TE BE'!$U$51</f>
        <v>6.1645251667860355E-2</v>
      </c>
      <c r="V42" s="20">
        <f>'TE BE'!$V$42*'TE BE'!$V$51</f>
        <v>0</v>
      </c>
      <c r="W42" s="20">
        <f>SUM($T$42:$V$42)</f>
        <v>-1.0112343107996725E-2</v>
      </c>
      <c r="X42" s="20">
        <f>'TE BE'!$AB$42*'TE BE'!$X$51</f>
        <v>-10.133596943092927</v>
      </c>
      <c r="Y42" s="20">
        <f>SUM($X$42:$X$42)</f>
        <v>-10.133596943092927</v>
      </c>
      <c r="Z42" s="20">
        <f>'TE BE'!$Z$42*'TE BE'!$Z$51</f>
        <v>0.47398074080154723</v>
      </c>
      <c r="AA42" s="20">
        <f>SUM($Z$42:$Z$42)</f>
        <v>0.47398074080154723</v>
      </c>
      <c r="AB42" s="20">
        <f>SUMIF($L$4:$AA$4,"SUBTOTAL",$L$42:$AA$42)</f>
        <v>8.8988347900433755</v>
      </c>
    </row>
    <row r="43" spans="1:28" ht="11.25" customHeight="1" x14ac:dyDescent="0.3">
      <c r="A43" s="148" t="s">
        <v>47</v>
      </c>
      <c r="B43" s="148" t="s">
        <v>82</v>
      </c>
      <c r="C43" s="148" t="s">
        <v>48</v>
      </c>
      <c r="D43" s="22" t="s">
        <v>49</v>
      </c>
      <c r="E43" s="22" t="s">
        <v>25</v>
      </c>
      <c r="F43" s="22" t="s">
        <v>25</v>
      </c>
      <c r="G43" s="23" t="s">
        <v>83</v>
      </c>
      <c r="H43" s="23" t="s">
        <v>79</v>
      </c>
      <c r="I43" s="23">
        <f>'MERCADO TE'!$U$40</f>
        <v>5104.487000000001</v>
      </c>
      <c r="J43" s="15"/>
      <c r="L43" s="20">
        <f>'TE BE'!$L$43*'TE BE'!$L$51</f>
        <v>2.2619761484997103E-8</v>
      </c>
      <c r="M43" s="20">
        <f>'TE BE'!$M$43*'TE BE'!$M$51</f>
        <v>0.75522686397083827</v>
      </c>
      <c r="N43" s="20">
        <f>'TE BE'!$N$43*'TE BE'!$N$51</f>
        <v>0</v>
      </c>
      <c r="O43" s="20">
        <f>'TE BE'!$O$43*'TE BE'!$O$51</f>
        <v>-5.6308821004126479E-2</v>
      </c>
      <c r="P43" s="20">
        <f>'TE BE'!$P$43*'TE BE'!$P$51</f>
        <v>0</v>
      </c>
      <c r="Q43" s="20">
        <f>SUM($L$43:$P$43)</f>
        <v>0.69891806558647329</v>
      </c>
      <c r="R43" s="20">
        <f>'TE BE'!$R$43*'TE BE'!$R$51</f>
        <v>9.5137917689070424</v>
      </c>
      <c r="S43" s="20">
        <f>SUM($R$43:$R$43)</f>
        <v>9.5137917689070424</v>
      </c>
      <c r="T43" s="20">
        <f>'TE BE'!$T$43*'TE BE'!$T$51</f>
        <v>-3.9466677126721403E-2</v>
      </c>
      <c r="U43" s="20">
        <f>'TE BE'!$U$43*'TE BE'!$U$51</f>
        <v>3.3904888417323198E-2</v>
      </c>
      <c r="V43" s="20">
        <f>'TE BE'!$V$43*'TE BE'!$V$51</f>
        <v>0</v>
      </c>
      <c r="W43" s="20">
        <f>SUM($T$43:$V$43)</f>
        <v>-5.5617887093982049E-3</v>
      </c>
      <c r="X43" s="20">
        <f>'TE BE'!$AB$43*'TE BE'!$X$51</f>
        <v>-5.5734783187011097</v>
      </c>
      <c r="Y43" s="20">
        <f>SUM($X$43:$X$43)</f>
        <v>-5.5734783187011097</v>
      </c>
      <c r="Z43" s="20">
        <f>'TE BE'!$Z$43*'TE BE'!$Z$51</f>
        <v>0.26068940744085101</v>
      </c>
      <c r="AA43" s="20">
        <f>SUM($Z$43:$Z$43)</f>
        <v>0.26068940744085101</v>
      </c>
      <c r="AB43" s="20">
        <f>SUMIF($L$4:$AA$4,"SUBTOTAL",$L$43:$AA$43)</f>
        <v>4.8943591345238593</v>
      </c>
    </row>
    <row r="44" spans="1:28" ht="11.25" customHeight="1" x14ac:dyDescent="0.3">
      <c r="A44" s="148"/>
      <c r="B44" s="148"/>
      <c r="C44" s="148"/>
      <c r="D44" s="23" t="s">
        <v>96</v>
      </c>
      <c r="E44" s="23" t="s">
        <v>25</v>
      </c>
      <c r="F44" s="23" t="s">
        <v>25</v>
      </c>
      <c r="G44" s="23" t="s">
        <v>83</v>
      </c>
      <c r="H44" s="23" t="s">
        <v>79</v>
      </c>
      <c r="I44" s="23">
        <f>'MERCADO TE'!$U$41</f>
        <v>0</v>
      </c>
      <c r="J44" s="15"/>
      <c r="L44" s="20">
        <f>'TE BE'!$L$44*'TE BE'!$L$51</f>
        <v>2.4676103438178655E-8</v>
      </c>
      <c r="M44" s="20">
        <f>'TE BE'!$M$44*'TE BE'!$M$51</f>
        <v>0.8238838516045508</v>
      </c>
      <c r="N44" s="20">
        <f>'TE BE'!$N$44*'TE BE'!$N$51</f>
        <v>0</v>
      </c>
      <c r="O44" s="20">
        <f>'TE BE'!$O$44*'TE BE'!$O$51</f>
        <v>-6.1427804731774338E-2</v>
      </c>
      <c r="P44" s="20">
        <f>'TE BE'!$P$44*'TE BE'!$P$51</f>
        <v>0</v>
      </c>
      <c r="Q44" s="20">
        <f>SUM($L$44:$P$44)</f>
        <v>0.76245607154887984</v>
      </c>
      <c r="R44" s="20">
        <f>'TE BE'!$R$44*'TE BE'!$R$51</f>
        <v>10.378681929716771</v>
      </c>
      <c r="S44" s="20">
        <f>SUM($R$44:$R$44)</f>
        <v>10.378681929716771</v>
      </c>
      <c r="T44" s="20">
        <f>'TE BE'!$T$44*'TE BE'!$T$51</f>
        <v>-4.3054556865514251E-2</v>
      </c>
      <c r="U44" s="20">
        <f>'TE BE'!$U$44*'TE BE'!$U$51</f>
        <v>3.6987151000716208E-2</v>
      </c>
      <c r="V44" s="20">
        <f>'TE BE'!$V$44*'TE BE'!$V$51</f>
        <v>0</v>
      </c>
      <c r="W44" s="20">
        <f>SUM($T$44:$V$44)</f>
        <v>-6.0674058647980436E-3</v>
      </c>
      <c r="X44" s="20">
        <f>'TE BE'!$AB$44*'TE BE'!$X$51</f>
        <v>-6.0801581658557557</v>
      </c>
      <c r="Y44" s="20">
        <f>SUM($X$44:$X$44)</f>
        <v>-6.0801581658557557</v>
      </c>
      <c r="Z44" s="20">
        <f>'TE BE'!$Z$44*'TE BE'!$Z$51</f>
        <v>0.28438844448092832</v>
      </c>
      <c r="AA44" s="20">
        <f>SUM($Z$44:$Z$44)</f>
        <v>0.28438844448092832</v>
      </c>
      <c r="AB44" s="20">
        <f>SUMIF($L$4:$AA$4,"SUBTOTAL",$L$44:$AA$44)</f>
        <v>5.3393008740260255</v>
      </c>
    </row>
    <row r="46" spans="1:28" ht="11.25" customHeight="1" x14ac:dyDescent="0.3">
      <c r="K46" s="25" t="s">
        <v>738</v>
      </c>
      <c r="L46" s="20">
        <f t="shared" ref="L46:AB46" si="0">SUMPRODUCT($I$5:$I$44,L$5:L$44)</f>
        <v>4.8702926713391353E-3</v>
      </c>
      <c r="M46" s="20">
        <f t="shared" si="0"/>
        <v>162608.95868575876</v>
      </c>
      <c r="N46" s="20">
        <f t="shared" si="0"/>
        <v>0</v>
      </c>
      <c r="O46" s="20">
        <f t="shared" si="0"/>
        <v>-12123.931476909625</v>
      </c>
      <c r="P46" s="20">
        <f t="shared" si="0"/>
        <v>0</v>
      </c>
      <c r="Q46" s="20">
        <f t="shared" si="0"/>
        <v>150485.03207914185</v>
      </c>
      <c r="R46" s="20">
        <f t="shared" si="0"/>
        <v>2041246.1629664551</v>
      </c>
      <c r="S46" s="20">
        <f t="shared" si="0"/>
        <v>2041246.1629664551</v>
      </c>
      <c r="T46" s="20">
        <f t="shared" si="0"/>
        <v>-8497.6257817691021</v>
      </c>
      <c r="U46" s="20">
        <f t="shared" si="0"/>
        <v>7300.1092293118609</v>
      </c>
      <c r="V46" s="20">
        <f t="shared" si="0"/>
        <v>0</v>
      </c>
      <c r="W46" s="20">
        <f t="shared" si="0"/>
        <v>-1197.5165524572406</v>
      </c>
      <c r="X46" s="20">
        <f t="shared" si="0"/>
        <v>-1196307.7094131461</v>
      </c>
      <c r="Y46" s="20">
        <f t="shared" si="0"/>
        <v>-1196307.7094131461</v>
      </c>
      <c r="Z46" s="20">
        <f t="shared" si="0"/>
        <v>56129.403106085905</v>
      </c>
      <c r="AA46" s="20">
        <f t="shared" si="0"/>
        <v>56129.403106085905</v>
      </c>
      <c r="AB46" s="20">
        <f t="shared" si="0"/>
        <v>1050355.3721860794</v>
      </c>
    </row>
    <row r="47" spans="1:28" ht="11.25" customHeight="1" x14ac:dyDescent="0.3">
      <c r="K47" s="25" t="s">
        <v>657</v>
      </c>
      <c r="L47" s="20">
        <f>CUSTOS!$D$30</f>
        <v>284525.99601777049</v>
      </c>
      <c r="M47" s="20">
        <f>CUSTOS!$D$31</f>
        <v>2475580.2399999998</v>
      </c>
      <c r="N47" s="20">
        <f>CUSTOS!$D$32</f>
        <v>0</v>
      </c>
      <c r="O47" s="20">
        <f>CUSTOS!$D$33</f>
        <v>647468.58264426538</v>
      </c>
      <c r="P47" s="20">
        <f>CUSTOS!$D$34</f>
        <v>-2067541.67</v>
      </c>
      <c r="Q47" s="20">
        <f>CUSTOS!$D$35</f>
        <v>1340033.1486620354</v>
      </c>
      <c r="R47" s="20">
        <f>CUSTOS!$D$36</f>
        <v>24513826.961265057</v>
      </c>
      <c r="S47" s="20">
        <f>CUSTOS!$D$37</f>
        <v>24513826.961265057</v>
      </c>
      <c r="T47" s="20">
        <f>CUSTOS!$D$38</f>
        <v>689862.60845790023</v>
      </c>
      <c r="U47" s="20">
        <f>CUSTOS!$D$39</f>
        <v>475460.58518987527</v>
      </c>
      <c r="V47" s="20">
        <f>CUSTOS!$D$40</f>
        <v>0</v>
      </c>
      <c r="W47" s="20">
        <f>CUSTOS!$D$41</f>
        <v>1165323.1936477756</v>
      </c>
      <c r="X47" s="20">
        <f>CUSTOS!$D$42</f>
        <v>0</v>
      </c>
      <c r="Y47" s="20">
        <f>CUSTOS!$D$43</f>
        <v>0</v>
      </c>
      <c r="Z47" s="20">
        <f>CUSTOS!$D$44</f>
        <v>674071.7999352311</v>
      </c>
      <c r="AA47" s="20">
        <f>CUSTOS!$D$45</f>
        <v>674071.7999352311</v>
      </c>
      <c r="AB47" s="20">
        <f>CUSTOS!$D$46</f>
        <v>27693255.1035101</v>
      </c>
    </row>
    <row r="48" spans="1:28" ht="11.25" customHeight="1" x14ac:dyDescent="0.3">
      <c r="K48" s="25" t="s">
        <v>658</v>
      </c>
      <c r="L48" s="20">
        <f>CUSTOS!$E$30</f>
        <v>4.8702926713391345E-3</v>
      </c>
      <c r="M48" s="20">
        <f>CUSTOS!$E$31</f>
        <v>162608.95868575876</v>
      </c>
      <c r="N48" s="20">
        <f>CUSTOS!$E$32</f>
        <v>0</v>
      </c>
      <c r="O48" s="20">
        <f>CUSTOS!$E$33</f>
        <v>-12123.931476909624</v>
      </c>
      <c r="P48" s="20">
        <f>CUSTOS!$E$34</f>
        <v>0</v>
      </c>
      <c r="Q48" s="20">
        <f>CUSTOS!$E$35</f>
        <v>150485.03207914182</v>
      </c>
      <c r="R48" s="20">
        <f>CUSTOS!$E$36</f>
        <v>2041246.1629664556</v>
      </c>
      <c r="S48" s="20">
        <f>CUSTOS!$E$37</f>
        <v>2041246.1629664556</v>
      </c>
      <c r="T48" s="20">
        <f>CUSTOS!$E$38</f>
        <v>-8497.6257817691003</v>
      </c>
      <c r="U48" s="20">
        <f>CUSTOS!$E$39</f>
        <v>7300.1092293118591</v>
      </c>
      <c r="V48" s="20">
        <f>CUSTOS!$E$40</f>
        <v>0</v>
      </c>
      <c r="W48" s="20">
        <f>CUSTOS!$E$41</f>
        <v>-1197.5165524572412</v>
      </c>
      <c r="X48" s="20">
        <f>CUSTOS!$E$42</f>
        <v>-1196307.7094131464</v>
      </c>
      <c r="Y48" s="20">
        <f>CUSTOS!$E$43</f>
        <v>-1196307.7094131464</v>
      </c>
      <c r="Z48" s="20">
        <f>CUSTOS!$E$44</f>
        <v>56129.403106085883</v>
      </c>
      <c r="AA48" s="20">
        <f>CUSTOS!$E$45</f>
        <v>56129.403106085883</v>
      </c>
      <c r="AB48" s="20">
        <f>CUSTOS!$E$46</f>
        <v>1050355.3721860799</v>
      </c>
    </row>
    <row r="49" spans="11:28" ht="11.25" customHeight="1" x14ac:dyDescent="0.3">
      <c r="K49" s="25" t="s">
        <v>659</v>
      </c>
      <c r="L49" s="20">
        <f>CUSTOS!$F$30</f>
        <v>0</v>
      </c>
      <c r="M49" s="20">
        <f>CUSTOS!$F$31</f>
        <v>20328.808799999999</v>
      </c>
      <c r="N49" s="20">
        <f>CUSTOS!$F$32</f>
        <v>0</v>
      </c>
      <c r="O49" s="20">
        <f>CUSTOS!$F$33</f>
        <v>44833.335171531602</v>
      </c>
      <c r="P49" s="20">
        <f>CUSTOS!$F$34</f>
        <v>0</v>
      </c>
      <c r="Q49" s="20">
        <f>CUSTOS!$F$35</f>
        <v>65162.143971531601</v>
      </c>
      <c r="R49" s="20">
        <f>CUSTOS!$F$36</f>
        <v>-1250398.5118221636</v>
      </c>
      <c r="S49" s="20">
        <f>CUSTOS!$F$37</f>
        <v>-1250398.5118221636</v>
      </c>
      <c r="T49" s="20">
        <f>CUSTOS!$F$38</f>
        <v>59395.178999999996</v>
      </c>
      <c r="U49" s="20">
        <f>CUSTOS!$F$39</f>
        <v>44702.023239219423</v>
      </c>
      <c r="V49" s="20">
        <f>CUSTOS!$F$40</f>
        <v>0</v>
      </c>
      <c r="W49" s="20">
        <f>CUSTOS!$F$41</f>
        <v>104097.20223921942</v>
      </c>
      <c r="X49" s="20">
        <f>CUSTOS!$F$42</f>
        <v>0</v>
      </c>
      <c r="Y49" s="20">
        <f>CUSTOS!$F$43</f>
        <v>0</v>
      </c>
      <c r="Z49" s="20">
        <f>CUSTOS!$F$44</f>
        <v>-34382.978097712883</v>
      </c>
      <c r="AA49" s="20">
        <f>CUSTOS!$F$45</f>
        <v>-34382.978097712883</v>
      </c>
      <c r="AB49" s="20">
        <f>CUSTOS!$F$46</f>
        <v>-1115522.1437091255</v>
      </c>
    </row>
    <row r="50" spans="11:28" ht="11.25" customHeight="1" x14ac:dyDescent="0.3">
      <c r="K50" s="25" t="s">
        <v>739</v>
      </c>
      <c r="L50" s="20">
        <f>'TR TE'!$L$50*L51</f>
        <v>0</v>
      </c>
      <c r="M50" s="20">
        <f>'TR TE'!$M$50*M51</f>
        <v>0.17166517585134053</v>
      </c>
      <c r="N50" s="20">
        <f>'TR TE'!$N$50*N51</f>
        <v>0</v>
      </c>
      <c r="O50" s="20">
        <f>'TR TE'!$O$50*O51</f>
        <v>0.37859190088024552</v>
      </c>
      <c r="P50" s="20">
        <f>'TR TE'!$P$50*P51</f>
        <v>0</v>
      </c>
      <c r="Q50" s="20"/>
      <c r="R50" s="20">
        <f>'TR TE'!$R$50*R51</f>
        <v>-10.581132963421712</v>
      </c>
      <c r="S50" s="20"/>
      <c r="T50" s="20">
        <f>'TR TE'!$T$50*T51</f>
        <v>0.5015583523888939</v>
      </c>
      <c r="U50" s="20">
        <f>'TR TE'!$U$50*U51</f>
        <v>0.37748304663435633</v>
      </c>
      <c r="V50" s="20">
        <f>'TR TE'!$V$50*V51</f>
        <v>0</v>
      </c>
      <c r="W50" s="20"/>
      <c r="X50" s="20"/>
      <c r="Y50" s="20"/>
      <c r="Z50" s="20">
        <f>'TR TE'!$Z$50*Z51</f>
        <v>-0.29034460599760631</v>
      </c>
      <c r="AA50" s="20"/>
      <c r="AB50" s="20"/>
    </row>
    <row r="51" spans="11:28" ht="11.25" customHeight="1" x14ac:dyDescent="0.3">
      <c r="K51" s="25" t="s">
        <v>734</v>
      </c>
      <c r="L51" s="20">
        <f>IF(L47&lt;&gt;0,L49/L47,0)</f>
        <v>0</v>
      </c>
      <c r="M51" s="20">
        <f>IF(M47&lt;&gt;0,M49/M47,0)</f>
        <v>8.21173495875052E-3</v>
      </c>
      <c r="N51" s="20">
        <f>IF(N47&lt;&gt;0,N49/N47,0)</f>
        <v>0</v>
      </c>
      <c r="O51" s="20">
        <f>IF(O47&lt;&gt;0,O49/O47,0)</f>
        <v>6.9244031870136474E-2</v>
      </c>
      <c r="P51" s="20">
        <f>IF(P47&lt;&gt;0,P49/P47,0)</f>
        <v>0</v>
      </c>
      <c r="Q51" s="20"/>
      <c r="R51" s="20">
        <f>IF(R47&lt;&gt;0,R49/R47,0)</f>
        <v>-5.1007886846796753E-2</v>
      </c>
      <c r="S51" s="20"/>
      <c r="T51" s="20">
        <f>IF(T47&lt;&gt;0,T49/T47,0)</f>
        <v>8.6097113065412165E-2</v>
      </c>
      <c r="U51" s="20">
        <f>IF(U47&lt;&gt;0,U49/U47,0)</f>
        <v>9.4018357423607812E-2</v>
      </c>
      <c r="V51" s="20">
        <f>IF(V47&lt;&gt;0,V49/V47,0)</f>
        <v>0</v>
      </c>
      <c r="W51" s="20"/>
      <c r="X51" s="20">
        <f>IF($AB47&lt;&gt;0,X49/($AB47-SUM('TR TE'!$L50:'TR TE'!$AA50)*0),0)</f>
        <v>0</v>
      </c>
      <c r="Y51" s="20"/>
      <c r="Z51" s="20">
        <f>IF(Z47&lt;&gt;0,Z49/Z47,0)</f>
        <v>-5.1007886846796746E-2</v>
      </c>
      <c r="AA51" s="20"/>
      <c r="AB51" s="20"/>
    </row>
    <row r="52" spans="11:28" ht="11.25" customHeight="1" x14ac:dyDescent="0.3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</sheetData>
  <mergeCells count="67"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F8:F9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A8:A9"/>
    <mergeCell ref="B8:B9"/>
    <mergeCell ref="C8:C9"/>
    <mergeCell ref="D8:D9"/>
    <mergeCell ref="E8:E9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E38:E40"/>
    <mergeCell ref="F38:F40"/>
    <mergeCell ref="A43:A44"/>
    <mergeCell ref="B43:B44"/>
    <mergeCell ref="C43:C44"/>
    <mergeCell ref="D38:D40"/>
  </mergeCells>
  <conditionalFormatting sqref="L46">
    <cfRule type="cellIs" dxfId="1223" priority="33" operator="notEqual">
      <formula>$L$48</formula>
    </cfRule>
    <cfRule type="cellIs" dxfId="1222" priority="34" operator="equal">
      <formula>$L$48</formula>
    </cfRule>
  </conditionalFormatting>
  <conditionalFormatting sqref="M46">
    <cfRule type="cellIs" dxfId="1221" priority="31" operator="notEqual">
      <formula>$M$48</formula>
    </cfRule>
    <cfRule type="cellIs" dxfId="1220" priority="32" operator="equal">
      <formula>$M$48</formula>
    </cfRule>
  </conditionalFormatting>
  <conditionalFormatting sqref="N46">
    <cfRule type="cellIs" dxfId="1219" priority="29" operator="notEqual">
      <formula>$N$48</formula>
    </cfRule>
    <cfRule type="cellIs" dxfId="1218" priority="30" operator="equal">
      <formula>$N$48</formula>
    </cfRule>
  </conditionalFormatting>
  <conditionalFormatting sqref="O46">
    <cfRule type="cellIs" dxfId="1217" priority="27" operator="notEqual">
      <formula>$O$48</formula>
    </cfRule>
    <cfRule type="cellIs" dxfId="1216" priority="28" operator="equal">
      <formula>$O$48</formula>
    </cfRule>
  </conditionalFormatting>
  <conditionalFormatting sqref="P46">
    <cfRule type="cellIs" dxfId="1215" priority="25" operator="notEqual">
      <formula>$P$48</formula>
    </cfRule>
    <cfRule type="cellIs" dxfId="1214" priority="26" operator="equal">
      <formula>$P$48</formula>
    </cfRule>
  </conditionalFormatting>
  <conditionalFormatting sqref="Q46">
    <cfRule type="cellIs" dxfId="1213" priority="23" operator="notEqual">
      <formula>$Q$48</formula>
    </cfRule>
    <cfRule type="cellIs" dxfId="1212" priority="24" operator="equal">
      <formula>$Q$48</formula>
    </cfRule>
  </conditionalFormatting>
  <conditionalFormatting sqref="R46">
    <cfRule type="cellIs" dxfId="1211" priority="21" operator="notEqual">
      <formula>$R$48</formula>
    </cfRule>
    <cfRule type="cellIs" dxfId="1210" priority="22" operator="equal">
      <formula>$R$48</formula>
    </cfRule>
  </conditionalFormatting>
  <conditionalFormatting sqref="S46">
    <cfRule type="cellIs" dxfId="1209" priority="19" operator="notEqual">
      <formula>$S$48</formula>
    </cfRule>
    <cfRule type="cellIs" dxfId="1208" priority="20" operator="equal">
      <formula>$S$48</formula>
    </cfRule>
  </conditionalFormatting>
  <conditionalFormatting sqref="T46">
    <cfRule type="cellIs" dxfId="1207" priority="17" operator="notEqual">
      <formula>$T$48</formula>
    </cfRule>
    <cfRule type="cellIs" dxfId="1206" priority="18" operator="equal">
      <formula>$T$48</formula>
    </cfRule>
  </conditionalFormatting>
  <conditionalFormatting sqref="U46">
    <cfRule type="cellIs" dxfId="1205" priority="15" operator="notEqual">
      <formula>$U$48</formula>
    </cfRule>
    <cfRule type="cellIs" dxfId="1204" priority="16" operator="equal">
      <formula>$U$48</formula>
    </cfRule>
  </conditionalFormatting>
  <conditionalFormatting sqref="V46">
    <cfRule type="cellIs" dxfId="1203" priority="13" operator="notEqual">
      <formula>$V$48</formula>
    </cfRule>
    <cfRule type="cellIs" dxfId="1202" priority="14" operator="equal">
      <formula>$V$48</formula>
    </cfRule>
  </conditionalFormatting>
  <conditionalFormatting sqref="W46">
    <cfRule type="cellIs" dxfId="1201" priority="11" operator="notEqual">
      <formula>$W$48</formula>
    </cfRule>
    <cfRule type="cellIs" dxfId="1200" priority="12" operator="equal">
      <formula>$W$48</formula>
    </cfRule>
  </conditionalFormatting>
  <conditionalFormatting sqref="X46">
    <cfRule type="cellIs" dxfId="1199" priority="9" operator="notEqual">
      <formula>$X$48</formula>
    </cfRule>
    <cfRule type="cellIs" dxfId="1198" priority="10" operator="equal">
      <formula>$X$48</formula>
    </cfRule>
  </conditionalFormatting>
  <conditionalFormatting sqref="Y46">
    <cfRule type="cellIs" dxfId="1197" priority="7" operator="notEqual">
      <formula>$Y$48</formula>
    </cfRule>
    <cfRule type="cellIs" dxfId="1196" priority="8" operator="equal">
      <formula>$Y$48</formula>
    </cfRule>
  </conditionalFormatting>
  <conditionalFormatting sqref="Z46">
    <cfRule type="cellIs" dxfId="1195" priority="5" operator="notEqual">
      <formula>$Z$48</formula>
    </cfRule>
    <cfRule type="cellIs" dxfId="1194" priority="6" operator="equal">
      <formula>$Z$48</formula>
    </cfRule>
  </conditionalFormatting>
  <conditionalFormatting sqref="AA46">
    <cfRule type="cellIs" dxfId="1193" priority="3" operator="notEqual">
      <formula>$AA$48</formula>
    </cfRule>
    <cfRule type="cellIs" dxfId="1192" priority="4" operator="equal">
      <formula>$AA$48</formula>
    </cfRule>
  </conditionalFormatting>
  <conditionalFormatting sqref="AB46">
    <cfRule type="cellIs" dxfId="1191" priority="1" operator="notEqual">
      <formula>$AB$48</formula>
    </cfRule>
    <cfRule type="cellIs" dxfId="1190" priority="2" operator="equal">
      <formula>$AB$48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415C2-E580-4E15-A68F-D01EFB1D94E0}">
  <sheetPr codeName="Planilha15"/>
  <dimension ref="A1:AB52"/>
  <sheetViews>
    <sheetView showGridLines="0" topLeftCell="R28" workbookViewId="0">
      <selection activeCell="AB46" sqref="AB46"/>
    </sheetView>
  </sheetViews>
  <sheetFormatPr defaultRowHeight="11.25" customHeight="1" x14ac:dyDescent="0.3"/>
  <cols>
    <col min="1" max="1" width="9" style="9" bestFit="1" customWidth="1"/>
    <col min="2" max="2" width="26.33203125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9" width="7.6640625" style="9" bestFit="1" customWidth="1"/>
    <col min="10" max="10" width="8.88671875" style="9"/>
    <col min="11" max="11" width="14.109375" style="9" bestFit="1" customWidth="1"/>
    <col min="12" max="12" width="8.44140625" style="9" bestFit="1" customWidth="1"/>
    <col min="13" max="13" width="9.6640625" style="9" bestFit="1" customWidth="1"/>
    <col min="14" max="14" width="8.44140625" style="9" bestFit="1" customWidth="1"/>
    <col min="15" max="15" width="10.77734375" style="9" bestFit="1" customWidth="1"/>
    <col min="16" max="16" width="10.21875" style="9" bestFit="1" customWidth="1"/>
    <col min="17" max="17" width="9.6640625" style="9" bestFit="1" customWidth="1"/>
    <col min="18" max="18" width="14.5546875" style="9" bestFit="1" customWidth="1"/>
    <col min="19" max="19" width="10.5546875" style="9" bestFit="1" customWidth="1"/>
    <col min="20" max="20" width="8.44140625" style="9" bestFit="1" customWidth="1"/>
    <col min="21" max="21" width="10.109375" style="9" bestFit="1" customWidth="1"/>
    <col min="22" max="22" width="8.44140625" style="9" bestFit="1" customWidth="1"/>
    <col min="23" max="23" width="9.6640625" style="9" bestFit="1" customWidth="1"/>
    <col min="24" max="24" width="7.77734375" style="9" bestFit="1" customWidth="1"/>
    <col min="25" max="25" width="9" style="9" bestFit="1" customWidth="1"/>
    <col min="26" max="26" width="10.6640625" style="9" bestFit="1" customWidth="1"/>
    <col min="27" max="27" width="9" style="9" bestFit="1" customWidth="1"/>
    <col min="28" max="28" width="10.5546875" style="9" bestFit="1" customWidth="1"/>
    <col min="29" max="16384" width="8.88671875" style="9"/>
  </cols>
  <sheetData>
    <row r="1" spans="1:28" ht="11.25" customHeight="1" x14ac:dyDescent="0.3">
      <c r="A1" s="147" t="s">
        <v>69</v>
      </c>
      <c r="B1" s="147" t="s">
        <v>70</v>
      </c>
      <c r="C1" s="147" t="s">
        <v>71</v>
      </c>
      <c r="D1" s="147" t="s">
        <v>72</v>
      </c>
      <c r="E1" s="147" t="s">
        <v>73</v>
      </c>
      <c r="F1" s="147" t="s">
        <v>15</v>
      </c>
      <c r="G1" s="147" t="s">
        <v>75</v>
      </c>
      <c r="H1" s="147" t="s">
        <v>76</v>
      </c>
      <c r="I1" s="147" t="s">
        <v>716</v>
      </c>
      <c r="J1" s="131"/>
      <c r="L1" s="145" t="s">
        <v>744</v>
      </c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</row>
    <row r="2" spans="1:28" ht="11.25" customHeight="1" x14ac:dyDescent="0.3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5" t="s">
        <v>643</v>
      </c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</row>
    <row r="3" spans="1:28" ht="11.25" customHeight="1" x14ac:dyDescent="0.3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5" t="s">
        <v>616</v>
      </c>
      <c r="M3" s="145"/>
      <c r="N3" s="145"/>
      <c r="O3" s="145"/>
      <c r="P3" s="145"/>
      <c r="Q3" s="145"/>
      <c r="R3" s="145" t="s">
        <v>647</v>
      </c>
      <c r="S3" s="145"/>
      <c r="T3" s="145" t="s">
        <v>625</v>
      </c>
      <c r="U3" s="145"/>
      <c r="V3" s="145"/>
      <c r="W3" s="145"/>
      <c r="X3" s="145" t="s">
        <v>635</v>
      </c>
      <c r="Y3" s="145"/>
      <c r="Z3" s="145" t="s">
        <v>638</v>
      </c>
      <c r="AA3" s="145"/>
      <c r="AB3" s="145" t="s">
        <v>624</v>
      </c>
    </row>
    <row r="4" spans="1:28" ht="11.25" customHeight="1" x14ac:dyDescent="0.3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24" t="s">
        <v>618</v>
      </c>
      <c r="M4" s="24" t="s">
        <v>644</v>
      </c>
      <c r="N4" s="24" t="s">
        <v>645</v>
      </c>
      <c r="O4" s="24" t="s">
        <v>704</v>
      </c>
      <c r="P4" s="24" t="s">
        <v>646</v>
      </c>
      <c r="Q4" s="24" t="s">
        <v>624</v>
      </c>
      <c r="R4" s="24" t="s">
        <v>648</v>
      </c>
      <c r="S4" s="24" t="s">
        <v>624</v>
      </c>
      <c r="T4" s="24" t="s">
        <v>649</v>
      </c>
      <c r="U4" s="24" t="s">
        <v>650</v>
      </c>
      <c r="V4" s="24" t="s">
        <v>651</v>
      </c>
      <c r="W4" s="24" t="s">
        <v>624</v>
      </c>
      <c r="X4" s="24" t="s">
        <v>636</v>
      </c>
      <c r="Y4" s="24" t="s">
        <v>624</v>
      </c>
      <c r="Z4" s="24" t="s">
        <v>652</v>
      </c>
      <c r="AA4" s="24" t="s">
        <v>624</v>
      </c>
      <c r="AB4" s="146"/>
    </row>
    <row r="5" spans="1:28" ht="11.25" customHeight="1" x14ac:dyDescent="0.3">
      <c r="A5" s="148" t="s">
        <v>45</v>
      </c>
      <c r="B5" s="148" t="s">
        <v>78</v>
      </c>
      <c r="C5" s="148" t="s">
        <v>25</v>
      </c>
      <c r="D5" s="148" t="s">
        <v>25</v>
      </c>
      <c r="E5" s="148" t="s">
        <v>25</v>
      </c>
      <c r="F5" s="148" t="s">
        <v>25</v>
      </c>
      <c r="G5" s="23" t="s">
        <v>80</v>
      </c>
      <c r="H5" s="23" t="s">
        <v>79</v>
      </c>
      <c r="I5" s="23">
        <f>'MERCADO TE'!$U$2</f>
        <v>6.42</v>
      </c>
      <c r="J5" s="15"/>
      <c r="L5" s="20">
        <f>'TE BE'!$L$5*'TE BF'!$L$51</f>
        <v>0</v>
      </c>
      <c r="M5" s="20">
        <f>'TE BE'!$M$5*'TE BF'!$M$51</f>
        <v>0.17166517585134053</v>
      </c>
      <c r="N5" s="20">
        <f>'TE BE'!$N$5*'TE BF'!$N$51</f>
        <v>0</v>
      </c>
      <c r="O5" s="20">
        <f>'TE BE'!$O$5*'TE BF'!$O$51</f>
        <v>0.37859190088024552</v>
      </c>
      <c r="P5" s="20">
        <f>'TE BE'!$P$5*'TE BF'!$P$51</f>
        <v>0</v>
      </c>
      <c r="Q5" s="20">
        <f>SUM($L$5:$P$5)</f>
        <v>0.55025707673158608</v>
      </c>
      <c r="R5" s="20">
        <f>'TE BE'!$R$5*'TE BF'!$R$51</f>
        <v>-17.1935913563713</v>
      </c>
      <c r="S5" s="20">
        <f>SUM($R$5:$R$5)</f>
        <v>-17.1935913563713</v>
      </c>
      <c r="T5" s="20">
        <f>'TE BE'!$T$5*'TE BF'!$T$51</f>
        <v>0.5015583523888939</v>
      </c>
      <c r="U5" s="20">
        <f>'TE BE'!$U$5*'TE BF'!$U$51</f>
        <v>0.37748304663435633</v>
      </c>
      <c r="V5" s="20">
        <f>'TE BE'!$V$5*'TE BF'!$V$51</f>
        <v>0</v>
      </c>
      <c r="W5" s="20">
        <f>SUM($T$5:$V$5)</f>
        <v>0.87904139902325018</v>
      </c>
      <c r="X5" s="20">
        <f>'TE BE'!$AB$5*'TE BF'!$X$51</f>
        <v>0</v>
      </c>
      <c r="Y5" s="20">
        <f>SUM($X$5:$X$5)</f>
        <v>0</v>
      </c>
      <c r="Z5" s="20">
        <f>'TE BE'!$Z$5*'TE BF'!$Z$51</f>
        <v>-0.29034460599760631</v>
      </c>
      <c r="AA5" s="20">
        <f>SUM($Z$5:$Z$5)</f>
        <v>-0.29034460599760631</v>
      </c>
      <c r="AB5" s="20">
        <f>SUMIF($L$4:$AA$4,"SUBTOTAL",$L$5:$AA$5)</f>
        <v>-16.05463748661407</v>
      </c>
    </row>
    <row r="6" spans="1:28" ht="11.25" customHeight="1" x14ac:dyDescent="0.3">
      <c r="A6" s="148"/>
      <c r="B6" s="148"/>
      <c r="C6" s="148"/>
      <c r="D6" s="148"/>
      <c r="E6" s="148"/>
      <c r="F6" s="148"/>
      <c r="G6" s="23" t="s">
        <v>81</v>
      </c>
      <c r="H6" s="23" t="s">
        <v>79</v>
      </c>
      <c r="I6" s="23">
        <f>'MERCADO TE'!$U$3</f>
        <v>1805.7700000000004</v>
      </c>
      <c r="J6" s="15"/>
      <c r="L6" s="20">
        <f>'TE BE'!$L$6*'TE BF'!$L$51</f>
        <v>0</v>
      </c>
      <c r="M6" s="20">
        <f>'TE BE'!$M$6*'TE BF'!$M$51</f>
        <v>0.17166517585134053</v>
      </c>
      <c r="N6" s="20">
        <f>'TE BE'!$N$6*'TE BF'!$N$51</f>
        <v>0</v>
      </c>
      <c r="O6" s="20">
        <f>'TE BE'!$O$6*'TE BF'!$O$51</f>
        <v>0.37859190088024552</v>
      </c>
      <c r="P6" s="20">
        <f>'TE BE'!$P$6*'TE BF'!$P$51</f>
        <v>0</v>
      </c>
      <c r="Q6" s="20">
        <f>SUM($L$6:$P$6)</f>
        <v>0.55025707673158608</v>
      </c>
      <c r="R6" s="20">
        <f>'TE BE'!$R$6*'TE BF'!$R$51</f>
        <v>-9.9962740444019182</v>
      </c>
      <c r="S6" s="20">
        <f>SUM($R$6:$R$6)</f>
        <v>-9.9962740444019182</v>
      </c>
      <c r="T6" s="20">
        <f>'TE BE'!$T$6*'TE BF'!$T$51</f>
        <v>0.5015583523888939</v>
      </c>
      <c r="U6" s="20">
        <f>'TE BE'!$U$6*'TE BF'!$U$51</f>
        <v>0.37748304663435633</v>
      </c>
      <c r="V6" s="20">
        <f>'TE BE'!$V$6*'TE BF'!$V$51</f>
        <v>0</v>
      </c>
      <c r="W6" s="20">
        <f>SUM($T$6:$V$6)</f>
        <v>0.87904139902325018</v>
      </c>
      <c r="X6" s="20">
        <f>'TE BE'!$AB$6*'TE BF'!$X$51</f>
        <v>0</v>
      </c>
      <c r="Y6" s="20">
        <f>SUM($X$6:$X$6)</f>
        <v>0</v>
      </c>
      <c r="Z6" s="20">
        <f>'TE BE'!$Z$6*'TE BF'!$Z$51</f>
        <v>-0.29034460599760631</v>
      </c>
      <c r="AA6" s="20">
        <f>SUM($Z$6:$Z$6)</f>
        <v>-0.29034460599760631</v>
      </c>
      <c r="AB6" s="20">
        <f>SUMIF($L$4:$AA$4,"SUBTOTAL",$L$6:$AA$6)</f>
        <v>-8.8573201746446877</v>
      </c>
    </row>
    <row r="7" spans="1:28" ht="11.25" customHeight="1" x14ac:dyDescent="0.3">
      <c r="A7" s="148"/>
      <c r="B7" s="22" t="s">
        <v>82</v>
      </c>
      <c r="C7" s="22" t="s">
        <v>25</v>
      </c>
      <c r="D7" s="22" t="s">
        <v>25</v>
      </c>
      <c r="E7" s="22" t="s">
        <v>25</v>
      </c>
      <c r="F7" s="22" t="s">
        <v>25</v>
      </c>
      <c r="G7" s="23" t="s">
        <v>83</v>
      </c>
      <c r="H7" s="23" t="s">
        <v>79</v>
      </c>
      <c r="I7" s="23">
        <f>'MERCADO TE'!$U$4</f>
        <v>0</v>
      </c>
      <c r="J7" s="15"/>
      <c r="L7" s="20">
        <f>'TE BE'!$L$7*'TE BF'!$L$51</f>
        <v>0</v>
      </c>
      <c r="M7" s="20">
        <f>'TE BE'!$M$7*'TE BF'!$M$51</f>
        <v>0.17166517585134053</v>
      </c>
      <c r="N7" s="20">
        <f>'TE BE'!$N$7*'TE BF'!$N$51</f>
        <v>0</v>
      </c>
      <c r="O7" s="20">
        <f>'TE BE'!$O$7*'TE BF'!$O$51</f>
        <v>0.37859190088024552</v>
      </c>
      <c r="P7" s="20">
        <f>'TE BE'!$P$7*'TE BF'!$P$51</f>
        <v>0</v>
      </c>
      <c r="Q7" s="20">
        <f>SUM($L$7:$P$7)</f>
        <v>0.55025707673158608</v>
      </c>
      <c r="R7" s="20">
        <f>'TE BE'!$R$7*'TE BF'!$R$51</f>
        <v>-10.596050487066035</v>
      </c>
      <c r="S7" s="20">
        <f>SUM($R$7:$R$7)</f>
        <v>-10.596050487066035</v>
      </c>
      <c r="T7" s="20">
        <f>'TE BE'!$T$7*'TE BF'!$T$51</f>
        <v>0.5015583523888939</v>
      </c>
      <c r="U7" s="20">
        <f>'TE BE'!$U$7*'TE BF'!$U$51</f>
        <v>0.37748304663435633</v>
      </c>
      <c r="V7" s="20">
        <f>'TE BE'!$V$7*'TE BF'!$V$51</f>
        <v>0</v>
      </c>
      <c r="W7" s="20">
        <f>SUM($T$7:$V$7)</f>
        <v>0.87904139902325018</v>
      </c>
      <c r="X7" s="20">
        <f>'TE BE'!$AB$7*'TE BF'!$X$51</f>
        <v>0</v>
      </c>
      <c r="Y7" s="20">
        <f>SUM($X$7:$X$7)</f>
        <v>0</v>
      </c>
      <c r="Z7" s="20">
        <f>'TE BE'!$Z$7*'TE BF'!$Z$51</f>
        <v>-0.29034460599760631</v>
      </c>
      <c r="AA7" s="20">
        <f>SUM($Z$7:$Z$7)</f>
        <v>-0.29034460599760631</v>
      </c>
      <c r="AB7" s="20">
        <f>SUMIF($L$4:$AA$4,"SUBTOTAL",$L$7:$AA$7)</f>
        <v>-9.4570966173088049</v>
      </c>
    </row>
    <row r="8" spans="1:28" ht="11.25" customHeight="1" x14ac:dyDescent="0.3">
      <c r="A8" s="148" t="s">
        <v>39</v>
      </c>
      <c r="B8" s="148" t="s">
        <v>78</v>
      </c>
      <c r="C8" s="148" t="s">
        <v>25</v>
      </c>
      <c r="D8" s="148" t="s">
        <v>25</v>
      </c>
      <c r="E8" s="148" t="s">
        <v>25</v>
      </c>
      <c r="F8" s="148" t="s">
        <v>25</v>
      </c>
      <c r="G8" s="23" t="s">
        <v>80</v>
      </c>
      <c r="H8" s="23" t="s">
        <v>79</v>
      </c>
      <c r="I8" s="23">
        <f>'MERCADO TE'!$U$5</f>
        <v>1184.028</v>
      </c>
      <c r="J8" s="15"/>
      <c r="L8" s="20">
        <f>'TE BE'!$L$8*'TE BF'!$L$51</f>
        <v>0</v>
      </c>
      <c r="M8" s="20">
        <f>'TE BE'!$M$8*'TE BF'!$M$51</f>
        <v>0.17166517585134053</v>
      </c>
      <c r="N8" s="20">
        <f>'TE BE'!$N$8*'TE BF'!$N$51</f>
        <v>0</v>
      </c>
      <c r="O8" s="20">
        <f>'TE BE'!$O$8*'TE BF'!$O$51</f>
        <v>0.37859190088024552</v>
      </c>
      <c r="P8" s="20">
        <f>'TE BE'!$P$8*'TE BF'!$P$51</f>
        <v>0</v>
      </c>
      <c r="Q8" s="20">
        <f>SUM($L$8:$P$8)</f>
        <v>0.55025707673158608</v>
      </c>
      <c r="R8" s="20">
        <f>'TE BE'!$R$8*'TE BF'!$R$51</f>
        <v>-17.1935913563713</v>
      </c>
      <c r="S8" s="20">
        <f>SUM($R$8:$R$8)</f>
        <v>-17.1935913563713</v>
      </c>
      <c r="T8" s="20">
        <f>'TE BE'!$T$8*'TE BF'!$T$51</f>
        <v>0.5015583523888939</v>
      </c>
      <c r="U8" s="20">
        <f>'TE BE'!$U$8*'TE BF'!$U$51</f>
        <v>0.37748304663435633</v>
      </c>
      <c r="V8" s="20">
        <f>'TE BE'!$V$8*'TE BF'!$V$51</f>
        <v>0</v>
      </c>
      <c r="W8" s="20">
        <f>SUM($T$8:$V$8)</f>
        <v>0.87904139902325018</v>
      </c>
      <c r="X8" s="20">
        <f>'TE BE'!$AB$8*'TE BF'!$X$51</f>
        <v>0</v>
      </c>
      <c r="Y8" s="20">
        <f>SUM($X$8:$X$8)</f>
        <v>0</v>
      </c>
      <c r="Z8" s="20">
        <f>'TE BE'!$Z$8*'TE BF'!$Z$51</f>
        <v>-0.29034460599760631</v>
      </c>
      <c r="AA8" s="20">
        <f>SUM($Z$8:$Z$8)</f>
        <v>-0.29034460599760631</v>
      </c>
      <c r="AB8" s="20">
        <f>SUMIF($L$4:$AA$4,"SUBTOTAL",$L$8:$AA$8)</f>
        <v>-16.05463748661407</v>
      </c>
    </row>
    <row r="9" spans="1:28" ht="11.25" customHeight="1" x14ac:dyDescent="0.3">
      <c r="A9" s="148"/>
      <c r="B9" s="148"/>
      <c r="C9" s="148"/>
      <c r="D9" s="148"/>
      <c r="E9" s="148"/>
      <c r="F9" s="148"/>
      <c r="G9" s="23" t="s">
        <v>81</v>
      </c>
      <c r="H9" s="23" t="s">
        <v>79</v>
      </c>
      <c r="I9" s="23">
        <f>'MERCADO TE'!$U$6</f>
        <v>18584.842000000001</v>
      </c>
      <c r="J9" s="15"/>
      <c r="L9" s="20">
        <f>'TE BE'!$L$9*'TE BF'!$L$51</f>
        <v>0</v>
      </c>
      <c r="M9" s="20">
        <f>'TE BE'!$M$9*'TE BF'!$M$51</f>
        <v>0.17166517585134053</v>
      </c>
      <c r="N9" s="20">
        <f>'TE BE'!$N$9*'TE BF'!$N$51</f>
        <v>0</v>
      </c>
      <c r="O9" s="20">
        <f>'TE BE'!$O$9*'TE BF'!$O$51</f>
        <v>0.37859190088024552</v>
      </c>
      <c r="P9" s="20">
        <f>'TE BE'!$P$9*'TE BF'!$P$51</f>
        <v>0</v>
      </c>
      <c r="Q9" s="20">
        <f>SUM($L$9:$P$9)</f>
        <v>0.55025707673158608</v>
      </c>
      <c r="R9" s="20">
        <f>'TE BE'!$R$9*'TE BF'!$R$51</f>
        <v>-9.9962740444019182</v>
      </c>
      <c r="S9" s="20">
        <f>SUM($R$9:$R$9)</f>
        <v>-9.9962740444019182</v>
      </c>
      <c r="T9" s="20">
        <f>'TE BE'!$T$9*'TE BF'!$T$51</f>
        <v>0.5015583523888939</v>
      </c>
      <c r="U9" s="20">
        <f>'TE BE'!$U$9*'TE BF'!$U$51</f>
        <v>0.37748304663435633</v>
      </c>
      <c r="V9" s="20">
        <f>'TE BE'!$V$9*'TE BF'!$V$51</f>
        <v>0</v>
      </c>
      <c r="W9" s="20">
        <f>SUM($T$9:$V$9)</f>
        <v>0.87904139902325018</v>
      </c>
      <c r="X9" s="20">
        <f>'TE BE'!$AB$9*'TE BF'!$X$51</f>
        <v>0</v>
      </c>
      <c r="Y9" s="20">
        <f>SUM($X$9:$X$9)</f>
        <v>0</v>
      </c>
      <c r="Z9" s="20">
        <f>'TE BE'!$Z$9*'TE BF'!$Z$51</f>
        <v>-0.29034460599760631</v>
      </c>
      <c r="AA9" s="20">
        <f>SUM($Z$9:$Z$9)</f>
        <v>-0.29034460599760631</v>
      </c>
      <c r="AB9" s="20">
        <f>SUMIF($L$4:$AA$4,"SUBTOTAL",$L$9:$AA$9)</f>
        <v>-8.8573201746446877</v>
      </c>
    </row>
    <row r="10" spans="1:28" ht="11.25" customHeight="1" x14ac:dyDescent="0.3">
      <c r="A10" s="148" t="s">
        <v>22</v>
      </c>
      <c r="B10" s="148" t="s">
        <v>78</v>
      </c>
      <c r="C10" s="148" t="s">
        <v>24</v>
      </c>
      <c r="D10" s="148" t="s">
        <v>24</v>
      </c>
      <c r="E10" s="148" t="s">
        <v>25</v>
      </c>
      <c r="F10" s="148" t="s">
        <v>25</v>
      </c>
      <c r="G10" s="23" t="s">
        <v>80</v>
      </c>
      <c r="H10" s="23" t="s">
        <v>79</v>
      </c>
      <c r="I10" s="23">
        <f>'MERCADO TE'!$U$7</f>
        <v>5.2</v>
      </c>
      <c r="J10" s="15"/>
      <c r="L10" s="20">
        <f>'TE BE'!$L$10*'TE BF'!$L$51</f>
        <v>0</v>
      </c>
      <c r="M10" s="20">
        <f>'TE BE'!$M$10*'TE BF'!$M$51</f>
        <v>0.17166517585134053</v>
      </c>
      <c r="N10" s="20">
        <f>'TE BE'!$N$10*'TE BF'!$N$51</f>
        <v>0</v>
      </c>
      <c r="O10" s="20">
        <f>'TE BE'!$O$10*'TE BF'!$O$51</f>
        <v>0.37859190088024552</v>
      </c>
      <c r="P10" s="20">
        <f>'TE BE'!$P$10*'TE BF'!$P$51</f>
        <v>0</v>
      </c>
      <c r="Q10" s="20">
        <f>SUM($L$10:$P$10)</f>
        <v>0.55025707673158608</v>
      </c>
      <c r="R10" s="20">
        <f>'TE BE'!$R$10*'TE BF'!$R$51</f>
        <v>-17.1935913563713</v>
      </c>
      <c r="S10" s="20">
        <f>SUM($R$10:$R$10)</f>
        <v>-17.1935913563713</v>
      </c>
      <c r="T10" s="20">
        <f>'TE BE'!$T$10*'TE BF'!$T$51</f>
        <v>0.5015583523888939</v>
      </c>
      <c r="U10" s="20">
        <f>'TE BE'!$U$10*'TE BF'!$U$51</f>
        <v>0.37748304663435633</v>
      </c>
      <c r="V10" s="20">
        <f>'TE BE'!$V$10*'TE BF'!$V$51</f>
        <v>0</v>
      </c>
      <c r="W10" s="20">
        <f>SUM($T$10:$V$10)</f>
        <v>0.87904139902325018</v>
      </c>
      <c r="X10" s="20">
        <f>'TE BE'!$AB$10*'TE BF'!$X$51</f>
        <v>0</v>
      </c>
      <c r="Y10" s="20">
        <f>SUM($X$10:$X$10)</f>
        <v>0</v>
      </c>
      <c r="Z10" s="20">
        <f>'TE BE'!$Z$10*'TE BF'!$Z$51</f>
        <v>-0.29034460599760631</v>
      </c>
      <c r="AA10" s="20">
        <f>SUM($Z$10:$Z$10)</f>
        <v>-0.29034460599760631</v>
      </c>
      <c r="AB10" s="20">
        <f>SUMIF($L$4:$AA$4,"SUBTOTAL",$L$10:$AA$10)</f>
        <v>-16.05463748661407</v>
      </c>
    </row>
    <row r="11" spans="1:28" ht="11.25" customHeight="1" x14ac:dyDescent="0.3">
      <c r="A11" s="148"/>
      <c r="B11" s="148"/>
      <c r="C11" s="148"/>
      <c r="D11" s="148"/>
      <c r="E11" s="148"/>
      <c r="F11" s="148"/>
      <c r="G11" s="23" t="s">
        <v>91</v>
      </c>
      <c r="H11" s="23" t="s">
        <v>79</v>
      </c>
      <c r="I11" s="23">
        <f>'MERCADO TE'!$U$8</f>
        <v>3.3950000000000005</v>
      </c>
      <c r="J11" s="15"/>
      <c r="L11" s="20">
        <f>'TE BE'!$L$11*'TE BF'!$L$51</f>
        <v>0</v>
      </c>
      <c r="M11" s="20">
        <f>'TE BE'!$M$11*'TE BF'!$M$51</f>
        <v>0.17166517585134053</v>
      </c>
      <c r="N11" s="20">
        <f>'TE BE'!$N$11*'TE BF'!$N$51</f>
        <v>0</v>
      </c>
      <c r="O11" s="20">
        <f>'TE BE'!$O$11*'TE BF'!$O$51</f>
        <v>0.37859190088024552</v>
      </c>
      <c r="P11" s="20">
        <f>'TE BE'!$P$11*'TE BF'!$P$51</f>
        <v>0</v>
      </c>
      <c r="Q11" s="20">
        <f>SUM($L$11:$P$11)</f>
        <v>0.55025707673158608</v>
      </c>
      <c r="R11" s="20">
        <f>'TE BE'!$R$11*'TE BF'!$R$51</f>
        <v>-9.9962740444019182</v>
      </c>
      <c r="S11" s="20">
        <f>SUM($R$11:$R$11)</f>
        <v>-9.9962740444019182</v>
      </c>
      <c r="T11" s="20">
        <f>'TE BE'!$T$11*'TE BF'!$T$51</f>
        <v>0.5015583523888939</v>
      </c>
      <c r="U11" s="20">
        <f>'TE BE'!$U$11*'TE BF'!$U$51</f>
        <v>0.37748304663435633</v>
      </c>
      <c r="V11" s="20">
        <f>'TE BE'!$V$11*'TE BF'!$V$51</f>
        <v>0</v>
      </c>
      <c r="W11" s="20">
        <f>SUM($T$11:$V$11)</f>
        <v>0.87904139902325018</v>
      </c>
      <c r="X11" s="20">
        <f>'TE BE'!$AB$11*'TE BF'!$X$51</f>
        <v>0</v>
      </c>
      <c r="Y11" s="20">
        <f>SUM($X$11:$X$11)</f>
        <v>0</v>
      </c>
      <c r="Z11" s="20">
        <f>'TE BE'!$Z$11*'TE BF'!$Z$51</f>
        <v>-0.29034460599760631</v>
      </c>
      <c r="AA11" s="20">
        <f>SUM($Z$11:$Z$11)</f>
        <v>-0.29034460599760631</v>
      </c>
      <c r="AB11" s="20">
        <f>SUMIF($L$4:$AA$4,"SUBTOTAL",$L$11:$AA$11)</f>
        <v>-8.8573201746446877</v>
      </c>
    </row>
    <row r="12" spans="1:28" ht="11.25" customHeight="1" x14ac:dyDescent="0.3">
      <c r="A12" s="148"/>
      <c r="B12" s="148"/>
      <c r="C12" s="148"/>
      <c r="D12" s="148"/>
      <c r="E12" s="148"/>
      <c r="F12" s="148"/>
      <c r="G12" s="23" t="s">
        <v>81</v>
      </c>
      <c r="H12" s="23" t="s">
        <v>79</v>
      </c>
      <c r="I12" s="23">
        <f>'MERCADO TE'!$U$9</f>
        <v>48.124000000000009</v>
      </c>
      <c r="J12" s="15"/>
      <c r="L12" s="20">
        <f>'TE BE'!$L$12*'TE BF'!$L$51</f>
        <v>0</v>
      </c>
      <c r="M12" s="20">
        <f>'TE BE'!$M$12*'TE BF'!$M$51</f>
        <v>0.17166517585134053</v>
      </c>
      <c r="N12" s="20">
        <f>'TE BE'!$N$12*'TE BF'!$N$51</f>
        <v>0</v>
      </c>
      <c r="O12" s="20">
        <f>'TE BE'!$O$12*'TE BF'!$O$51</f>
        <v>0.37859190088024552</v>
      </c>
      <c r="P12" s="20">
        <f>'TE BE'!$P$12*'TE BF'!$P$51</f>
        <v>0</v>
      </c>
      <c r="Q12" s="20">
        <f>SUM($L$12:$P$12)</f>
        <v>0.55025707673158608</v>
      </c>
      <c r="R12" s="20">
        <f>'TE BE'!$R$12*'TE BF'!$R$51</f>
        <v>-9.9962740444019182</v>
      </c>
      <c r="S12" s="20">
        <f>SUM($R$12:$R$12)</f>
        <v>-9.9962740444019182</v>
      </c>
      <c r="T12" s="20">
        <f>'TE BE'!$T$12*'TE BF'!$T$51</f>
        <v>0.5015583523888939</v>
      </c>
      <c r="U12" s="20">
        <f>'TE BE'!$U$12*'TE BF'!$U$51</f>
        <v>0.37748304663435633</v>
      </c>
      <c r="V12" s="20">
        <f>'TE BE'!$V$12*'TE BF'!$V$51</f>
        <v>0</v>
      </c>
      <c r="W12" s="20">
        <f>SUM($T$12:$V$12)</f>
        <v>0.87904139902325018</v>
      </c>
      <c r="X12" s="20">
        <f>'TE BE'!$AB$12*'TE BF'!$X$51</f>
        <v>0</v>
      </c>
      <c r="Y12" s="20">
        <f>SUM($X$12:$X$12)</f>
        <v>0</v>
      </c>
      <c r="Z12" s="20">
        <f>'TE BE'!$Z$12*'TE BF'!$Z$51</f>
        <v>-0.29034460599760631</v>
      </c>
      <c r="AA12" s="20">
        <f>SUM($Z$12:$Z$12)</f>
        <v>-0.29034460599760631</v>
      </c>
      <c r="AB12" s="20">
        <f>SUMIF($L$4:$AA$4,"SUBTOTAL",$L$12:$AA$12)</f>
        <v>-8.8573201746446877</v>
      </c>
    </row>
    <row r="13" spans="1:28" ht="11.25" customHeight="1" x14ac:dyDescent="0.3">
      <c r="A13" s="148"/>
      <c r="B13" s="148" t="s">
        <v>82</v>
      </c>
      <c r="C13" s="148" t="s">
        <v>24</v>
      </c>
      <c r="D13" s="22" t="s">
        <v>24</v>
      </c>
      <c r="E13" s="22" t="s">
        <v>25</v>
      </c>
      <c r="F13" s="22" t="s">
        <v>25</v>
      </c>
      <c r="G13" s="23" t="s">
        <v>83</v>
      </c>
      <c r="H13" s="23" t="s">
        <v>79</v>
      </c>
      <c r="I13" s="23">
        <f>'MERCADO TE'!$U$10</f>
        <v>46756.356999999996</v>
      </c>
      <c r="J13" s="15"/>
      <c r="L13" s="20">
        <f>'TE BE'!$L$13*'TE BF'!$L$51</f>
        <v>0</v>
      </c>
      <c r="M13" s="20">
        <f>'TE BE'!$M$13*'TE BF'!$M$51</f>
        <v>0.17166517585134053</v>
      </c>
      <c r="N13" s="20">
        <f>'TE BE'!$N$13*'TE BF'!$N$51</f>
        <v>0</v>
      </c>
      <c r="O13" s="20">
        <f>'TE BE'!$O$13*'TE BF'!$O$51</f>
        <v>0.37859190088024552</v>
      </c>
      <c r="P13" s="20">
        <f>'TE BE'!$P$13*'TE BF'!$P$51</f>
        <v>0</v>
      </c>
      <c r="Q13" s="20">
        <f>SUM($L$13:$P$13)</f>
        <v>0.55025707673158608</v>
      </c>
      <c r="R13" s="20">
        <f>'TE BE'!$R$13*'TE BF'!$R$51</f>
        <v>-10.596050487066035</v>
      </c>
      <c r="S13" s="20">
        <f>SUM($R$13:$R$13)</f>
        <v>-10.596050487066035</v>
      </c>
      <c r="T13" s="20">
        <f>'TE BE'!$T$13*'TE BF'!$T$51</f>
        <v>0.5015583523888939</v>
      </c>
      <c r="U13" s="20">
        <f>'TE BE'!$U$13*'TE BF'!$U$51</f>
        <v>0.37748304663435633</v>
      </c>
      <c r="V13" s="20">
        <f>'TE BE'!$V$13*'TE BF'!$V$51</f>
        <v>0</v>
      </c>
      <c r="W13" s="20">
        <f>SUM($T$13:$V$13)</f>
        <v>0.87904139902325018</v>
      </c>
      <c r="X13" s="20">
        <f>'TE BE'!$AB$13*'TE BF'!$X$51</f>
        <v>0</v>
      </c>
      <c r="Y13" s="20">
        <f>SUM($X$13:$X$13)</f>
        <v>0</v>
      </c>
      <c r="Z13" s="20">
        <f>'TE BE'!$Z$13*'TE BF'!$Z$51</f>
        <v>-0.29034460599760631</v>
      </c>
      <c r="AA13" s="20">
        <f>SUM($Z$13:$Z$13)</f>
        <v>-0.29034460599760631</v>
      </c>
      <c r="AB13" s="20">
        <f>SUMIF($L$4:$AA$4,"SUBTOTAL",$L$13:$AA$13)</f>
        <v>-9.4570966173088049</v>
      </c>
    </row>
    <row r="14" spans="1:28" ht="11.25" customHeight="1" x14ac:dyDescent="0.3">
      <c r="A14" s="148"/>
      <c r="B14" s="148"/>
      <c r="C14" s="148"/>
      <c r="D14" s="22" t="s">
        <v>29</v>
      </c>
      <c r="E14" s="22" t="s">
        <v>25</v>
      </c>
      <c r="F14" s="22" t="s">
        <v>25</v>
      </c>
      <c r="G14" s="23" t="s">
        <v>83</v>
      </c>
      <c r="H14" s="23" t="s">
        <v>79</v>
      </c>
      <c r="I14" s="23">
        <f>'MERCADO TE'!$U$11</f>
        <v>1110.3100000000002</v>
      </c>
      <c r="J14" s="15"/>
      <c r="L14" s="20">
        <f>'TE BE'!$L$14*'TE BF'!$L$51</f>
        <v>0</v>
      </c>
      <c r="M14" s="20">
        <f>'TE BE'!$M$14*'TE BF'!$M$51</f>
        <v>0.17166517585134053</v>
      </c>
      <c r="N14" s="20">
        <f>'TE BE'!$N$14*'TE BF'!$N$51</f>
        <v>0</v>
      </c>
      <c r="O14" s="20">
        <f>'TE BE'!$O$14*'TE BF'!$O$51</f>
        <v>0.37859190088024552</v>
      </c>
      <c r="P14" s="20">
        <f>'TE BE'!$P$14*'TE BF'!$P$51</f>
        <v>0</v>
      </c>
      <c r="Q14" s="20">
        <f>SUM($L$14:$P$14)</f>
        <v>0.55025707673158608</v>
      </c>
      <c r="R14" s="20">
        <f>'TE BE'!$R$14*'TE BF'!$R$51</f>
        <v>-10.596050487066035</v>
      </c>
      <c r="S14" s="20">
        <f>SUM($R$14:$R$14)</f>
        <v>-10.596050487066035</v>
      </c>
      <c r="T14" s="20">
        <f>'TE BE'!$T$14*'TE BF'!$T$51</f>
        <v>0.5015583523888939</v>
      </c>
      <c r="U14" s="20">
        <f>'TE BE'!$U$14*'TE BF'!$U$51</f>
        <v>0.37748304663435633</v>
      </c>
      <c r="V14" s="20">
        <f>'TE BE'!$V$14*'TE BF'!$V$51</f>
        <v>0</v>
      </c>
      <c r="W14" s="20">
        <f>SUM($T$14:$V$14)</f>
        <v>0.87904139902325018</v>
      </c>
      <c r="X14" s="20">
        <f>'TE BE'!$AB$14*'TE BF'!$X$51</f>
        <v>0</v>
      </c>
      <c r="Y14" s="20">
        <f>SUM($X$14:$X$14)</f>
        <v>0</v>
      </c>
      <c r="Z14" s="20">
        <f>'TE BE'!$Z$14*'TE BF'!$Z$51</f>
        <v>-0.29034460599760631</v>
      </c>
      <c r="AA14" s="20">
        <f>SUM($Z$14:$Z$14)</f>
        <v>-0.29034460599760631</v>
      </c>
      <c r="AB14" s="20">
        <f>SUMIF($L$4:$AA$4,"SUBTOTAL",$L$14:$AA$14)</f>
        <v>-9.4570966173088049</v>
      </c>
    </row>
    <row r="15" spans="1:28" ht="11.25" customHeight="1" x14ac:dyDescent="0.3">
      <c r="A15" s="148"/>
      <c r="B15" s="148"/>
      <c r="C15" s="148"/>
      <c r="D15" s="22" t="s">
        <v>30</v>
      </c>
      <c r="E15" s="22" t="s">
        <v>25</v>
      </c>
      <c r="F15" s="22" t="s">
        <v>25</v>
      </c>
      <c r="G15" s="23" t="s">
        <v>83</v>
      </c>
      <c r="H15" s="23" t="s">
        <v>79</v>
      </c>
      <c r="I15" s="23">
        <f>'MERCADO TE'!$U$12</f>
        <v>2263.0230000000001</v>
      </c>
      <c r="J15" s="15"/>
      <c r="L15" s="20">
        <f>'TE BE'!$L$15*'TE BF'!$L$51</f>
        <v>0</v>
      </c>
      <c r="M15" s="20">
        <f>'TE BE'!$M$15*'TE BF'!$M$51</f>
        <v>0.17166517585134053</v>
      </c>
      <c r="N15" s="20">
        <f>'TE BE'!$N$15*'TE BF'!$N$51</f>
        <v>0</v>
      </c>
      <c r="O15" s="20">
        <f>'TE BE'!$O$15*'TE BF'!$O$51</f>
        <v>0.37859190088024552</v>
      </c>
      <c r="P15" s="20">
        <f>'TE BE'!$P$15*'TE BF'!$P$51</f>
        <v>0</v>
      </c>
      <c r="Q15" s="20">
        <f>SUM($L$15:$P$15)</f>
        <v>0.55025707673158608</v>
      </c>
      <c r="R15" s="20">
        <f>'TE BE'!$R$15*'TE BF'!$R$51</f>
        <v>-10.596050487066035</v>
      </c>
      <c r="S15" s="20">
        <f>SUM($R$15:$R$15)</f>
        <v>-10.596050487066035</v>
      </c>
      <c r="T15" s="20">
        <f>'TE BE'!$T$15*'TE BF'!$T$51</f>
        <v>0.5015583523888939</v>
      </c>
      <c r="U15" s="20">
        <f>'TE BE'!$U$15*'TE BF'!$U$51</f>
        <v>0.37748304663435633</v>
      </c>
      <c r="V15" s="20">
        <f>'TE BE'!$V$15*'TE BF'!$V$51</f>
        <v>0</v>
      </c>
      <c r="W15" s="20">
        <f>SUM($T$15:$V$15)</f>
        <v>0.87904139902325018</v>
      </c>
      <c r="X15" s="20">
        <f>'TE BE'!$AB$15*'TE BF'!$X$51</f>
        <v>0</v>
      </c>
      <c r="Y15" s="20">
        <f>SUM($X$15:$X$15)</f>
        <v>0</v>
      </c>
      <c r="Z15" s="20">
        <f>'TE BE'!$Z$15*'TE BF'!$Z$51</f>
        <v>-0.29034460599760631</v>
      </c>
      <c r="AA15" s="20">
        <f>SUM($Z$15:$Z$15)</f>
        <v>-0.29034460599760631</v>
      </c>
      <c r="AB15" s="20">
        <f>SUMIF($L$4:$AA$4,"SUBTOTAL",$L$15:$AA$15)</f>
        <v>-9.4570966173088049</v>
      </c>
    </row>
    <row r="16" spans="1:28" ht="11.25" customHeight="1" x14ac:dyDescent="0.3">
      <c r="A16" s="148"/>
      <c r="B16" s="148"/>
      <c r="C16" s="148"/>
      <c r="D16" s="22" t="s">
        <v>31</v>
      </c>
      <c r="E16" s="22" t="s">
        <v>25</v>
      </c>
      <c r="F16" s="22" t="s">
        <v>25</v>
      </c>
      <c r="G16" s="23" t="s">
        <v>83</v>
      </c>
      <c r="H16" s="23" t="s">
        <v>79</v>
      </c>
      <c r="I16" s="23">
        <f>'MERCADO TE'!$U$13</f>
        <v>1590.454</v>
      </c>
      <c r="J16" s="15"/>
      <c r="L16" s="20">
        <f>'TE BE'!$L$16*'TE BF'!$L$51</f>
        <v>0</v>
      </c>
      <c r="M16" s="20">
        <f>'TE BE'!$M$16*'TE BF'!$M$51</f>
        <v>0.17166517585134053</v>
      </c>
      <c r="N16" s="20">
        <f>'TE BE'!$N$16*'TE BF'!$N$51</f>
        <v>0</v>
      </c>
      <c r="O16" s="20">
        <f>'TE BE'!$O$16*'TE BF'!$O$51</f>
        <v>0.37859190088024552</v>
      </c>
      <c r="P16" s="20">
        <f>'TE BE'!$P$16*'TE BF'!$P$51</f>
        <v>0</v>
      </c>
      <c r="Q16" s="20">
        <f>SUM($L$16:$P$16)</f>
        <v>0.55025707673158608</v>
      </c>
      <c r="R16" s="20">
        <f>'TE BE'!$R$16*'TE BF'!$R$51</f>
        <v>-10.596050487066035</v>
      </c>
      <c r="S16" s="20">
        <f>SUM($R$16:$R$16)</f>
        <v>-10.596050487066035</v>
      </c>
      <c r="T16" s="20">
        <f>'TE BE'!$T$16*'TE BF'!$T$51</f>
        <v>0.5015583523888939</v>
      </c>
      <c r="U16" s="20">
        <f>'TE BE'!$U$16*'TE BF'!$U$51</f>
        <v>0.37748304663435633</v>
      </c>
      <c r="V16" s="20">
        <f>'TE BE'!$V$16*'TE BF'!$V$51</f>
        <v>0</v>
      </c>
      <c r="W16" s="20">
        <f>SUM($T$16:$V$16)</f>
        <v>0.87904139902325018</v>
      </c>
      <c r="X16" s="20">
        <f>'TE BE'!$AB$16*'TE BF'!$X$51</f>
        <v>0</v>
      </c>
      <c r="Y16" s="20">
        <f>SUM($X$16:$X$16)</f>
        <v>0</v>
      </c>
      <c r="Z16" s="20">
        <f>'TE BE'!$Z$16*'TE BF'!$Z$51</f>
        <v>-0.29034460599760631</v>
      </c>
      <c r="AA16" s="20">
        <f>SUM($Z$16:$Z$16)</f>
        <v>-0.29034460599760631</v>
      </c>
      <c r="AB16" s="20">
        <f>SUMIF($L$4:$AA$4,"SUBTOTAL",$L$16:$AA$16)</f>
        <v>-9.4570966173088049</v>
      </c>
    </row>
    <row r="17" spans="1:28" ht="11.25" customHeight="1" x14ac:dyDescent="0.3">
      <c r="A17" s="148"/>
      <c r="B17" s="148"/>
      <c r="C17" s="148"/>
      <c r="D17" s="22" t="s">
        <v>32</v>
      </c>
      <c r="E17" s="22" t="s">
        <v>25</v>
      </c>
      <c r="F17" s="22" t="s">
        <v>25</v>
      </c>
      <c r="G17" s="23" t="s">
        <v>83</v>
      </c>
      <c r="H17" s="23" t="s">
        <v>79</v>
      </c>
      <c r="I17" s="23">
        <f>'MERCADO TE'!$U$14</f>
        <v>284.12699999999995</v>
      </c>
      <c r="J17" s="15"/>
      <c r="L17" s="20">
        <f>'TE BE'!$L$17*'TE BF'!$L$51</f>
        <v>0</v>
      </c>
      <c r="M17" s="20">
        <f>'TE BE'!$M$17*'TE BF'!$M$51</f>
        <v>0.17166517585134053</v>
      </c>
      <c r="N17" s="20">
        <f>'TE BE'!$N$17*'TE BF'!$N$51</f>
        <v>0</v>
      </c>
      <c r="O17" s="20">
        <f>'TE BE'!$O$17*'TE BF'!$O$51</f>
        <v>0.37859190088024552</v>
      </c>
      <c r="P17" s="20">
        <f>'TE BE'!$P$17*'TE BF'!$P$51</f>
        <v>0</v>
      </c>
      <c r="Q17" s="20">
        <f>SUM($L$17:$P$17)</f>
        <v>0.55025707673158608</v>
      </c>
      <c r="R17" s="20">
        <f>'TE BE'!$R$17*'TE BF'!$R$51</f>
        <v>-10.596050487066035</v>
      </c>
      <c r="S17" s="20">
        <f>SUM($R$17:$R$17)</f>
        <v>-10.596050487066035</v>
      </c>
      <c r="T17" s="20">
        <f>'TE BE'!$T$17*'TE BF'!$T$51</f>
        <v>0.5015583523888939</v>
      </c>
      <c r="U17" s="20">
        <f>'TE BE'!$U$17*'TE BF'!$U$51</f>
        <v>0.37748304663435633</v>
      </c>
      <c r="V17" s="20">
        <f>'TE BE'!$V$17*'TE BF'!$V$51</f>
        <v>0</v>
      </c>
      <c r="W17" s="20">
        <f>SUM($T$17:$V$17)</f>
        <v>0.87904139902325018</v>
      </c>
      <c r="X17" s="20">
        <f>'TE BE'!$AB$17*'TE BF'!$X$51</f>
        <v>0</v>
      </c>
      <c r="Y17" s="20">
        <f>SUM($X$17:$X$17)</f>
        <v>0</v>
      </c>
      <c r="Z17" s="20">
        <f>'TE BE'!$Z$17*'TE BF'!$Z$51</f>
        <v>-0.29034460599760631</v>
      </c>
      <c r="AA17" s="20">
        <f>SUM($Z$17:$Z$17)</f>
        <v>-0.29034460599760631</v>
      </c>
      <c r="AB17" s="20">
        <f>SUMIF($L$4:$AA$4,"SUBTOTAL",$L$17:$AA$17)</f>
        <v>-9.4570966173088049</v>
      </c>
    </row>
    <row r="18" spans="1:28" ht="11.25" customHeight="1" x14ac:dyDescent="0.3">
      <c r="A18" s="148"/>
      <c r="B18" s="148" t="s">
        <v>92</v>
      </c>
      <c r="C18" s="148" t="s">
        <v>24</v>
      </c>
      <c r="D18" s="22" t="s">
        <v>24</v>
      </c>
      <c r="E18" s="22" t="s">
        <v>25</v>
      </c>
      <c r="F18" s="22" t="s">
        <v>25</v>
      </c>
      <c r="G18" s="23" t="s">
        <v>83</v>
      </c>
      <c r="H18" s="23" t="s">
        <v>79</v>
      </c>
      <c r="I18" s="23">
        <f>'MERCADO TE'!$U$15</f>
        <v>0</v>
      </c>
      <c r="J18" s="15"/>
      <c r="L18" s="20">
        <f>'TE BE'!$L$18*'TE BF'!$L$51</f>
        <v>0</v>
      </c>
      <c r="M18" s="20">
        <f>'TE BE'!$M$18*'TE BF'!$M$51</f>
        <v>0.17166517585134053</v>
      </c>
      <c r="N18" s="20">
        <f>'TE BE'!$N$18*'TE BF'!$N$51</f>
        <v>0</v>
      </c>
      <c r="O18" s="20">
        <f>'TE BE'!$O$18*'TE BF'!$O$51</f>
        <v>0.37859190088024552</v>
      </c>
      <c r="P18" s="20">
        <f>'TE BE'!$P$18*'TE BF'!$P$51</f>
        <v>0</v>
      </c>
      <c r="Q18" s="20">
        <f>SUM($L$18:$P$18)</f>
        <v>0.55025707673158608</v>
      </c>
      <c r="R18" s="20">
        <f>'TE BE'!$R$18*'TE BF'!$R$51</f>
        <v>-10.596050487066035</v>
      </c>
      <c r="S18" s="20">
        <f>SUM($R$18:$R$18)</f>
        <v>-10.596050487066035</v>
      </c>
      <c r="T18" s="20">
        <f>'TE BE'!$T$18*'TE BF'!$T$51</f>
        <v>0.5015583523888939</v>
      </c>
      <c r="U18" s="20">
        <f>'TE BE'!$U$18*'TE BF'!$U$51</f>
        <v>0.37748304663435633</v>
      </c>
      <c r="V18" s="20">
        <f>'TE BE'!$V$18*'TE BF'!$V$51</f>
        <v>0</v>
      </c>
      <c r="W18" s="20">
        <f>SUM($T$18:$V$18)</f>
        <v>0.87904139902325018</v>
      </c>
      <c r="X18" s="20">
        <f>'TE BE'!$AB$18*'TE BF'!$X$51</f>
        <v>0</v>
      </c>
      <c r="Y18" s="20">
        <f>SUM($X$18:$X$18)</f>
        <v>0</v>
      </c>
      <c r="Z18" s="20">
        <f>'TE BE'!$Z$18*'TE BF'!$Z$51</f>
        <v>-0.29034460599760631</v>
      </c>
      <c r="AA18" s="20">
        <f>SUM($Z$18:$Z$18)</f>
        <v>-0.29034460599760631</v>
      </c>
      <c r="AB18" s="20">
        <f>SUMIF($L$4:$AA$4,"SUBTOTAL",$L$18:$AA$18)</f>
        <v>-9.4570966173088049</v>
      </c>
    </row>
    <row r="19" spans="1:28" ht="11.25" customHeight="1" x14ac:dyDescent="0.3">
      <c r="A19" s="148"/>
      <c r="B19" s="148"/>
      <c r="C19" s="148"/>
      <c r="D19" s="22" t="s">
        <v>29</v>
      </c>
      <c r="E19" s="22" t="s">
        <v>25</v>
      </c>
      <c r="F19" s="22" t="s">
        <v>25</v>
      </c>
      <c r="G19" s="23" t="s">
        <v>83</v>
      </c>
      <c r="H19" s="23" t="s">
        <v>79</v>
      </c>
      <c r="I19" s="23">
        <f>'MERCADO TE'!$U$16</f>
        <v>0</v>
      </c>
      <c r="J19" s="15"/>
      <c r="L19" s="20">
        <f>'TE BE'!$L$19*'TE BF'!$L$51</f>
        <v>0</v>
      </c>
      <c r="M19" s="20">
        <f>'TE BE'!$M$19*'TE BF'!$M$51</f>
        <v>0.17166517585134053</v>
      </c>
      <c r="N19" s="20">
        <f>'TE BE'!$N$19*'TE BF'!$N$51</f>
        <v>0</v>
      </c>
      <c r="O19" s="20">
        <f>'TE BE'!$O$19*'TE BF'!$O$51</f>
        <v>0.37859190088024552</v>
      </c>
      <c r="P19" s="20">
        <f>'TE BE'!$P$19*'TE BF'!$P$51</f>
        <v>0</v>
      </c>
      <c r="Q19" s="20">
        <f>SUM($L$19:$P$19)</f>
        <v>0.55025707673158608</v>
      </c>
      <c r="R19" s="20">
        <f>'TE BE'!$R$19*'TE BF'!$R$51</f>
        <v>-10.596050487066035</v>
      </c>
      <c r="S19" s="20">
        <f>SUM($R$19:$R$19)</f>
        <v>-10.596050487066035</v>
      </c>
      <c r="T19" s="20">
        <f>'TE BE'!$T$19*'TE BF'!$T$51</f>
        <v>0.5015583523888939</v>
      </c>
      <c r="U19" s="20">
        <f>'TE BE'!$U$19*'TE BF'!$U$51</f>
        <v>0.37748304663435633</v>
      </c>
      <c r="V19" s="20">
        <f>'TE BE'!$V$19*'TE BF'!$V$51</f>
        <v>0</v>
      </c>
      <c r="W19" s="20">
        <f>SUM($T$19:$V$19)</f>
        <v>0.87904139902325018</v>
      </c>
      <c r="X19" s="20">
        <f>'TE BE'!$AB$19*'TE BF'!$X$51</f>
        <v>0</v>
      </c>
      <c r="Y19" s="20">
        <f>SUM($X$19:$X$19)</f>
        <v>0</v>
      </c>
      <c r="Z19" s="20">
        <f>'TE BE'!$Z$19*'TE BF'!$Z$51</f>
        <v>-0.29034460599760631</v>
      </c>
      <c r="AA19" s="20">
        <f>SUM($Z$19:$Z$19)</f>
        <v>-0.29034460599760631</v>
      </c>
      <c r="AB19" s="20">
        <f>SUMIF($L$4:$AA$4,"SUBTOTAL",$L$19:$AA$19)</f>
        <v>-9.4570966173088049</v>
      </c>
    </row>
    <row r="20" spans="1:28" ht="11.25" customHeight="1" x14ac:dyDescent="0.3">
      <c r="A20" s="148"/>
      <c r="B20" s="148"/>
      <c r="C20" s="148"/>
      <c r="D20" s="22" t="s">
        <v>30</v>
      </c>
      <c r="E20" s="22" t="s">
        <v>25</v>
      </c>
      <c r="F20" s="22" t="s">
        <v>25</v>
      </c>
      <c r="G20" s="23" t="s">
        <v>83</v>
      </c>
      <c r="H20" s="23" t="s">
        <v>79</v>
      </c>
      <c r="I20" s="23">
        <f>'MERCADO TE'!$U$17</f>
        <v>0</v>
      </c>
      <c r="J20" s="15"/>
      <c r="L20" s="20">
        <f>'TE BE'!$L$20*'TE BF'!$L$51</f>
        <v>0</v>
      </c>
      <c r="M20" s="20">
        <f>'TE BE'!$M$20*'TE BF'!$M$51</f>
        <v>0.17166517585134053</v>
      </c>
      <c r="N20" s="20">
        <f>'TE BE'!$N$20*'TE BF'!$N$51</f>
        <v>0</v>
      </c>
      <c r="O20" s="20">
        <f>'TE BE'!$O$20*'TE BF'!$O$51</f>
        <v>0.37859190088024552</v>
      </c>
      <c r="P20" s="20">
        <f>'TE BE'!$P$20*'TE BF'!$P$51</f>
        <v>0</v>
      </c>
      <c r="Q20" s="20">
        <f>SUM($L$20:$P$20)</f>
        <v>0.55025707673158608</v>
      </c>
      <c r="R20" s="20">
        <f>'TE BE'!$R$20*'TE BF'!$R$51</f>
        <v>-10.596050487066035</v>
      </c>
      <c r="S20" s="20">
        <f>SUM($R$20:$R$20)</f>
        <v>-10.596050487066035</v>
      </c>
      <c r="T20" s="20">
        <f>'TE BE'!$T$20*'TE BF'!$T$51</f>
        <v>0.5015583523888939</v>
      </c>
      <c r="U20" s="20">
        <f>'TE BE'!$U$20*'TE BF'!$U$51</f>
        <v>0.37748304663435633</v>
      </c>
      <c r="V20" s="20">
        <f>'TE BE'!$V$20*'TE BF'!$V$51</f>
        <v>0</v>
      </c>
      <c r="W20" s="20">
        <f>SUM($T$20:$V$20)</f>
        <v>0.87904139902325018</v>
      </c>
      <c r="X20" s="20">
        <f>'TE BE'!$AB$20*'TE BF'!$X$51</f>
        <v>0</v>
      </c>
      <c r="Y20" s="20">
        <f>SUM($X$20:$X$20)</f>
        <v>0</v>
      </c>
      <c r="Z20" s="20">
        <f>'TE BE'!$Z$20*'TE BF'!$Z$51</f>
        <v>-0.29034460599760631</v>
      </c>
      <c r="AA20" s="20">
        <f>SUM($Z$20:$Z$20)</f>
        <v>-0.29034460599760631</v>
      </c>
      <c r="AB20" s="20">
        <f>SUMIF($L$4:$AA$4,"SUBTOTAL",$L$20:$AA$20)</f>
        <v>-9.4570966173088049</v>
      </c>
    </row>
    <row r="21" spans="1:28" ht="11.25" customHeight="1" x14ac:dyDescent="0.3">
      <c r="A21" s="148"/>
      <c r="B21" s="148"/>
      <c r="C21" s="148"/>
      <c r="D21" s="22" t="s">
        <v>31</v>
      </c>
      <c r="E21" s="22" t="s">
        <v>25</v>
      </c>
      <c r="F21" s="22" t="s">
        <v>25</v>
      </c>
      <c r="G21" s="23" t="s">
        <v>83</v>
      </c>
      <c r="H21" s="23" t="s">
        <v>79</v>
      </c>
      <c r="I21" s="23">
        <f>'MERCADO TE'!$U$18</f>
        <v>0</v>
      </c>
      <c r="J21" s="15"/>
      <c r="L21" s="20">
        <f>'TE BE'!$L$21*'TE BF'!$L$51</f>
        <v>0</v>
      </c>
      <c r="M21" s="20">
        <f>'TE BE'!$M$21*'TE BF'!$M$51</f>
        <v>0.17166517585134053</v>
      </c>
      <c r="N21" s="20">
        <f>'TE BE'!$N$21*'TE BF'!$N$51</f>
        <v>0</v>
      </c>
      <c r="O21" s="20">
        <f>'TE BE'!$O$21*'TE BF'!$O$51</f>
        <v>0.37859190088024552</v>
      </c>
      <c r="P21" s="20">
        <f>'TE BE'!$P$21*'TE BF'!$P$51</f>
        <v>0</v>
      </c>
      <c r="Q21" s="20">
        <f>SUM($L$21:$P$21)</f>
        <v>0.55025707673158608</v>
      </c>
      <c r="R21" s="20">
        <f>'TE BE'!$R$21*'TE BF'!$R$51</f>
        <v>-10.596050487066035</v>
      </c>
      <c r="S21" s="20">
        <f>SUM($R$21:$R$21)</f>
        <v>-10.596050487066035</v>
      </c>
      <c r="T21" s="20">
        <f>'TE BE'!$T$21*'TE BF'!$T$51</f>
        <v>0.5015583523888939</v>
      </c>
      <c r="U21" s="20">
        <f>'TE BE'!$U$21*'TE BF'!$U$51</f>
        <v>0.37748304663435633</v>
      </c>
      <c r="V21" s="20">
        <f>'TE BE'!$V$21*'TE BF'!$V$51</f>
        <v>0</v>
      </c>
      <c r="W21" s="20">
        <f>SUM($T$21:$V$21)</f>
        <v>0.87904139902325018</v>
      </c>
      <c r="X21" s="20">
        <f>'TE BE'!$AB$21*'TE BF'!$X$51</f>
        <v>0</v>
      </c>
      <c r="Y21" s="20">
        <f>SUM($X$21:$X$21)</f>
        <v>0</v>
      </c>
      <c r="Z21" s="20">
        <f>'TE BE'!$Z$21*'TE BF'!$Z$51</f>
        <v>-0.29034460599760631</v>
      </c>
      <c r="AA21" s="20">
        <f>SUM($Z$21:$Z$21)</f>
        <v>-0.29034460599760631</v>
      </c>
      <c r="AB21" s="20">
        <f>SUMIF($L$4:$AA$4,"SUBTOTAL",$L$21:$AA$21)</f>
        <v>-9.4570966173088049</v>
      </c>
    </row>
    <row r="22" spans="1:28" ht="11.25" customHeight="1" x14ac:dyDescent="0.3">
      <c r="A22" s="148"/>
      <c r="B22" s="148"/>
      <c r="C22" s="148"/>
      <c r="D22" s="22" t="s">
        <v>32</v>
      </c>
      <c r="E22" s="22" t="s">
        <v>25</v>
      </c>
      <c r="F22" s="22" t="s">
        <v>25</v>
      </c>
      <c r="G22" s="23" t="s">
        <v>83</v>
      </c>
      <c r="H22" s="23" t="s">
        <v>79</v>
      </c>
      <c r="I22" s="23">
        <f>'MERCADO TE'!$U$19</f>
        <v>0</v>
      </c>
      <c r="J22" s="15"/>
      <c r="L22" s="20">
        <f>'TE BE'!$L$22*'TE BF'!$L$51</f>
        <v>0</v>
      </c>
      <c r="M22" s="20">
        <f>'TE BE'!$M$22*'TE BF'!$M$51</f>
        <v>0.17166517585134053</v>
      </c>
      <c r="N22" s="20">
        <f>'TE BE'!$N$22*'TE BF'!$N$51</f>
        <v>0</v>
      </c>
      <c r="O22" s="20">
        <f>'TE BE'!$O$22*'TE BF'!$O$51</f>
        <v>0.37859190088024552</v>
      </c>
      <c r="P22" s="20">
        <f>'TE BE'!$P$22*'TE BF'!$P$51</f>
        <v>0</v>
      </c>
      <c r="Q22" s="20">
        <f>SUM($L$22:$P$22)</f>
        <v>0.55025707673158608</v>
      </c>
      <c r="R22" s="20">
        <f>'TE BE'!$R$22*'TE BF'!$R$51</f>
        <v>-10.596050487066035</v>
      </c>
      <c r="S22" s="20">
        <f>SUM($R$22:$R$22)</f>
        <v>-10.596050487066035</v>
      </c>
      <c r="T22" s="20">
        <f>'TE BE'!$T$22*'TE BF'!$T$51</f>
        <v>0.5015583523888939</v>
      </c>
      <c r="U22" s="20">
        <f>'TE BE'!$U$22*'TE BF'!$U$51</f>
        <v>0.37748304663435633</v>
      </c>
      <c r="V22" s="20">
        <f>'TE BE'!$V$22*'TE BF'!$V$51</f>
        <v>0</v>
      </c>
      <c r="W22" s="20">
        <f>SUM($T$22:$V$22)</f>
        <v>0.87904139902325018</v>
      </c>
      <c r="X22" s="20">
        <f>'TE BE'!$AB$22*'TE BF'!$X$51</f>
        <v>0</v>
      </c>
      <c r="Y22" s="20">
        <f>SUM($X$22:$X$22)</f>
        <v>0</v>
      </c>
      <c r="Z22" s="20">
        <f>'TE BE'!$Z$22*'TE BF'!$Z$51</f>
        <v>-0.29034460599760631</v>
      </c>
      <c r="AA22" s="20">
        <f>SUM($Z$22:$Z$22)</f>
        <v>-0.29034460599760631</v>
      </c>
      <c r="AB22" s="20">
        <f>SUMIF($L$4:$AA$4,"SUBTOTAL",$L$22:$AA$22)</f>
        <v>-9.4570966173088049</v>
      </c>
    </row>
    <row r="23" spans="1:28" ht="11.25" customHeight="1" x14ac:dyDescent="0.3">
      <c r="A23" s="148" t="s">
        <v>43</v>
      </c>
      <c r="B23" s="148" t="s">
        <v>78</v>
      </c>
      <c r="C23" s="148" t="s">
        <v>44</v>
      </c>
      <c r="D23" s="148" t="s">
        <v>25</v>
      </c>
      <c r="E23" s="148" t="s">
        <v>25</v>
      </c>
      <c r="F23" s="148" t="s">
        <v>25</v>
      </c>
      <c r="G23" s="23" t="s">
        <v>80</v>
      </c>
      <c r="H23" s="23" t="s">
        <v>79</v>
      </c>
      <c r="I23" s="23">
        <f>'MERCADO TE'!$U$20</f>
        <v>0</v>
      </c>
      <c r="J23" s="15"/>
      <c r="L23" s="20">
        <f>'TE BE'!$L$23*'TE BF'!$L$51</f>
        <v>0</v>
      </c>
      <c r="M23" s="20">
        <f>'TE BE'!$M$23*'TE BF'!$M$51</f>
        <v>0.17166517585134053</v>
      </c>
      <c r="N23" s="20">
        <f>'TE BE'!$N$23*'TE BF'!$N$51</f>
        <v>0</v>
      </c>
      <c r="O23" s="20">
        <f>'TE BE'!$O$23*'TE BF'!$O$51</f>
        <v>0.37859190088024552</v>
      </c>
      <c r="P23" s="20">
        <f>'TE BE'!$P$23*'TE BF'!$P$51</f>
        <v>0</v>
      </c>
      <c r="Q23" s="20">
        <f>SUM($L$23:$P$23)</f>
        <v>0.55025707673158608</v>
      </c>
      <c r="R23" s="20">
        <f>'TE BE'!$R$23*'TE BF'!$R$51</f>
        <v>-17.1935913563713</v>
      </c>
      <c r="S23" s="20">
        <f>SUM($R$23:$R$23)</f>
        <v>-17.1935913563713</v>
      </c>
      <c r="T23" s="20">
        <f>'TE BE'!$T$23*'TE BF'!$T$51</f>
        <v>0.5015583523888939</v>
      </c>
      <c r="U23" s="20">
        <f>'TE BE'!$U$23*'TE BF'!$U$51</f>
        <v>0.37748304663435633</v>
      </c>
      <c r="V23" s="20">
        <f>'TE BE'!$V$23*'TE BF'!$V$51</f>
        <v>0</v>
      </c>
      <c r="W23" s="20">
        <f>SUM($T$23:$V$23)</f>
        <v>0.87904139902325018</v>
      </c>
      <c r="X23" s="20">
        <f>'TE BE'!$AB$23*'TE BF'!$X$51</f>
        <v>0</v>
      </c>
      <c r="Y23" s="20">
        <f>SUM($X$23:$X$23)</f>
        <v>0</v>
      </c>
      <c r="Z23" s="20">
        <f>'TE BE'!$Z$23*'TE BF'!$Z$51</f>
        <v>-0.29034460599760631</v>
      </c>
      <c r="AA23" s="20">
        <f>SUM($Z$23:$Z$23)</f>
        <v>-0.29034460599760631</v>
      </c>
      <c r="AB23" s="20">
        <f>SUMIF($L$4:$AA$4,"SUBTOTAL",$L$23:$AA$23)</f>
        <v>-16.05463748661407</v>
      </c>
    </row>
    <row r="24" spans="1:28" ht="11.25" customHeight="1" x14ac:dyDescent="0.3">
      <c r="A24" s="148"/>
      <c r="B24" s="148"/>
      <c r="C24" s="148"/>
      <c r="D24" s="148"/>
      <c r="E24" s="148"/>
      <c r="F24" s="148"/>
      <c r="G24" s="23" t="s">
        <v>91</v>
      </c>
      <c r="H24" s="23" t="s">
        <v>79</v>
      </c>
      <c r="I24" s="23">
        <f>'MERCADO TE'!$U$21</f>
        <v>0</v>
      </c>
      <c r="J24" s="15"/>
      <c r="L24" s="20">
        <f>'TE BE'!$L$24*'TE BF'!$L$51</f>
        <v>0</v>
      </c>
      <c r="M24" s="20">
        <f>'TE BE'!$M$24*'TE BF'!$M$51</f>
        <v>0.17166517585134053</v>
      </c>
      <c r="N24" s="20">
        <f>'TE BE'!$N$24*'TE BF'!$N$51</f>
        <v>0</v>
      </c>
      <c r="O24" s="20">
        <f>'TE BE'!$O$24*'TE BF'!$O$51</f>
        <v>0.37859190088024552</v>
      </c>
      <c r="P24" s="20">
        <f>'TE BE'!$P$24*'TE BF'!$P$51</f>
        <v>0</v>
      </c>
      <c r="Q24" s="20">
        <f>SUM($L$24:$P$24)</f>
        <v>0.55025707673158608</v>
      </c>
      <c r="R24" s="20">
        <f>'TE BE'!$R$24*'TE BF'!$R$51</f>
        <v>-9.9962740444019182</v>
      </c>
      <c r="S24" s="20">
        <f>SUM($R$24:$R$24)</f>
        <v>-9.9962740444019182</v>
      </c>
      <c r="T24" s="20">
        <f>'TE BE'!$T$24*'TE BF'!$T$51</f>
        <v>0.5015583523888939</v>
      </c>
      <c r="U24" s="20">
        <f>'TE BE'!$U$24*'TE BF'!$U$51</f>
        <v>0.37748304663435633</v>
      </c>
      <c r="V24" s="20">
        <f>'TE BE'!$V$24*'TE BF'!$V$51</f>
        <v>0</v>
      </c>
      <c r="W24" s="20">
        <f>SUM($T$24:$V$24)</f>
        <v>0.87904139902325018</v>
      </c>
      <c r="X24" s="20">
        <f>'TE BE'!$AB$24*'TE BF'!$X$51</f>
        <v>0</v>
      </c>
      <c r="Y24" s="20">
        <f>SUM($X$24:$X$24)</f>
        <v>0</v>
      </c>
      <c r="Z24" s="20">
        <f>'TE BE'!$Z$24*'TE BF'!$Z$51</f>
        <v>-0.29034460599760631</v>
      </c>
      <c r="AA24" s="20">
        <f>SUM($Z$24:$Z$24)</f>
        <v>-0.29034460599760631</v>
      </c>
      <c r="AB24" s="20">
        <f>SUMIF($L$4:$AA$4,"SUBTOTAL",$L$24:$AA$24)</f>
        <v>-8.8573201746446877</v>
      </c>
    </row>
    <row r="25" spans="1:28" ht="11.25" customHeight="1" x14ac:dyDescent="0.3">
      <c r="A25" s="148"/>
      <c r="B25" s="148"/>
      <c r="C25" s="148"/>
      <c r="D25" s="148"/>
      <c r="E25" s="148"/>
      <c r="F25" s="148"/>
      <c r="G25" s="23" t="s">
        <v>81</v>
      </c>
      <c r="H25" s="23" t="s">
        <v>79</v>
      </c>
      <c r="I25" s="23">
        <f>'MERCADO TE'!$U$22</f>
        <v>0</v>
      </c>
      <c r="J25" s="15"/>
      <c r="L25" s="20">
        <f>'TE BE'!$L$25*'TE BF'!$L$51</f>
        <v>0</v>
      </c>
      <c r="M25" s="20">
        <f>'TE BE'!$M$25*'TE BF'!$M$51</f>
        <v>0.17166517585134053</v>
      </c>
      <c r="N25" s="20">
        <f>'TE BE'!$N$25*'TE BF'!$N$51</f>
        <v>0</v>
      </c>
      <c r="O25" s="20">
        <f>'TE BE'!$O$25*'TE BF'!$O$51</f>
        <v>0.37859190088024552</v>
      </c>
      <c r="P25" s="20">
        <f>'TE BE'!$P$25*'TE BF'!$P$51</f>
        <v>0</v>
      </c>
      <c r="Q25" s="20">
        <f>SUM($L$25:$P$25)</f>
        <v>0.55025707673158608</v>
      </c>
      <c r="R25" s="20">
        <f>'TE BE'!$R$25*'TE BF'!$R$51</f>
        <v>-9.9962740444019182</v>
      </c>
      <c r="S25" s="20">
        <f>SUM($R$25:$R$25)</f>
        <v>-9.9962740444019182</v>
      </c>
      <c r="T25" s="20">
        <f>'TE BE'!$T$25*'TE BF'!$T$51</f>
        <v>0.5015583523888939</v>
      </c>
      <c r="U25" s="20">
        <f>'TE BE'!$U$25*'TE BF'!$U$51</f>
        <v>0.37748304663435633</v>
      </c>
      <c r="V25" s="20">
        <f>'TE BE'!$V$25*'TE BF'!$V$51</f>
        <v>0</v>
      </c>
      <c r="W25" s="20">
        <f>SUM($T$25:$V$25)</f>
        <v>0.87904139902325018</v>
      </c>
      <c r="X25" s="20">
        <f>'TE BE'!$AB$25*'TE BF'!$X$51</f>
        <v>0</v>
      </c>
      <c r="Y25" s="20">
        <f>SUM($X$25:$X$25)</f>
        <v>0</v>
      </c>
      <c r="Z25" s="20">
        <f>'TE BE'!$Z$25*'TE BF'!$Z$51</f>
        <v>-0.29034460599760631</v>
      </c>
      <c r="AA25" s="20">
        <f>SUM($Z$25:$Z$25)</f>
        <v>-0.29034460599760631</v>
      </c>
      <c r="AB25" s="20">
        <f>SUMIF($L$4:$AA$4,"SUBTOTAL",$L$25:$AA$25)</f>
        <v>-8.8573201746446877</v>
      </c>
    </row>
    <row r="26" spans="1:28" ht="11.25" customHeight="1" x14ac:dyDescent="0.3">
      <c r="A26" s="148"/>
      <c r="B26" s="22" t="s">
        <v>82</v>
      </c>
      <c r="C26" s="22" t="s">
        <v>44</v>
      </c>
      <c r="D26" s="22" t="s">
        <v>25</v>
      </c>
      <c r="E26" s="22" t="s">
        <v>25</v>
      </c>
      <c r="F26" s="22" t="s">
        <v>25</v>
      </c>
      <c r="G26" s="23" t="s">
        <v>83</v>
      </c>
      <c r="H26" s="23" t="s">
        <v>79</v>
      </c>
      <c r="I26" s="23">
        <f>'MERCADO TE'!$U$23</f>
        <v>17613.978000000003</v>
      </c>
      <c r="J26" s="15"/>
      <c r="L26" s="20">
        <f>'TE BE'!$L$26*'TE BF'!$L$51</f>
        <v>0</v>
      </c>
      <c r="M26" s="20">
        <f>'TE BE'!$M$26*'TE BF'!$M$51</f>
        <v>0.17166517585134053</v>
      </c>
      <c r="N26" s="20">
        <f>'TE BE'!$N$26*'TE BF'!$N$51</f>
        <v>0</v>
      </c>
      <c r="O26" s="20">
        <f>'TE BE'!$O$26*'TE BF'!$O$51</f>
        <v>0.37859190088024552</v>
      </c>
      <c r="P26" s="20">
        <f>'TE BE'!$P$26*'TE BF'!$P$51</f>
        <v>0</v>
      </c>
      <c r="Q26" s="20">
        <f>SUM($L$26:$P$26)</f>
        <v>0.55025707673158608</v>
      </c>
      <c r="R26" s="20">
        <f>'TE BE'!$R$26*'TE BF'!$R$51</f>
        <v>-10.596050487066035</v>
      </c>
      <c r="S26" s="20">
        <f>SUM($R$26:$R$26)</f>
        <v>-10.596050487066035</v>
      </c>
      <c r="T26" s="20">
        <f>'TE BE'!$T$26*'TE BF'!$T$51</f>
        <v>0.5015583523888939</v>
      </c>
      <c r="U26" s="20">
        <f>'TE BE'!$U$26*'TE BF'!$U$51</f>
        <v>0.37748304663435633</v>
      </c>
      <c r="V26" s="20">
        <f>'TE BE'!$V$26*'TE BF'!$V$51</f>
        <v>0</v>
      </c>
      <c r="W26" s="20">
        <f>SUM($T$26:$V$26)</f>
        <v>0.87904139902325018</v>
      </c>
      <c r="X26" s="20">
        <f>'TE BE'!$AB$26*'TE BF'!$X$51</f>
        <v>0</v>
      </c>
      <c r="Y26" s="20">
        <f>SUM($X$26:$X$26)</f>
        <v>0</v>
      </c>
      <c r="Z26" s="20">
        <f>'TE BE'!$Z$26*'TE BF'!$Z$51</f>
        <v>-0.29034460599760631</v>
      </c>
      <c r="AA26" s="20">
        <f>SUM($Z$26:$Z$26)</f>
        <v>-0.29034460599760631</v>
      </c>
      <c r="AB26" s="20">
        <f>SUMIF($L$4:$AA$4,"SUBTOTAL",$L$26:$AA$26)</f>
        <v>-9.4570966173088049</v>
      </c>
    </row>
    <row r="27" spans="1:28" ht="11.25" customHeight="1" x14ac:dyDescent="0.3">
      <c r="A27" s="148"/>
      <c r="B27" s="148" t="s">
        <v>78</v>
      </c>
      <c r="C27" s="148" t="s">
        <v>44</v>
      </c>
      <c r="D27" s="148" t="s">
        <v>94</v>
      </c>
      <c r="E27" s="148" t="s">
        <v>25</v>
      </c>
      <c r="F27" s="148" t="s">
        <v>25</v>
      </c>
      <c r="G27" s="23" t="s">
        <v>80</v>
      </c>
      <c r="H27" s="23" t="s">
        <v>79</v>
      </c>
      <c r="I27" s="23">
        <f>'MERCADO TE'!$U$24</f>
        <v>0</v>
      </c>
      <c r="J27" s="15"/>
      <c r="L27" s="20">
        <f>'TE BE'!$L$27*'TE BF'!$L$51</f>
        <v>0</v>
      </c>
      <c r="M27" s="20">
        <f>'TE BE'!$M$27*'TE BF'!$M$51</f>
        <v>0.17166517585134053</v>
      </c>
      <c r="N27" s="20">
        <f>'TE BE'!$N$27*'TE BF'!$N$51</f>
        <v>0</v>
      </c>
      <c r="O27" s="20">
        <f>'TE BE'!$O$27*'TE BF'!$O$51</f>
        <v>0.37859190088024552</v>
      </c>
      <c r="P27" s="20">
        <f>'TE BE'!$P$27*'TE BF'!$P$51</f>
        <v>0</v>
      </c>
      <c r="Q27" s="20">
        <f>SUM($L$27:$P$27)</f>
        <v>0.55025707673158608</v>
      </c>
      <c r="R27" s="20">
        <f>'TE BE'!$R$27*'TE BF'!$R$51</f>
        <v>-17.1935913563713</v>
      </c>
      <c r="S27" s="20">
        <f>SUM($R$27:$R$27)</f>
        <v>-17.1935913563713</v>
      </c>
      <c r="T27" s="20">
        <f>'TE BE'!$T$27*'TE BF'!$T$51</f>
        <v>0.5015583523888939</v>
      </c>
      <c r="U27" s="20">
        <f>'TE BE'!$U$27*'TE BF'!$U$51</f>
        <v>0.37748304663435633</v>
      </c>
      <c r="V27" s="20">
        <f>'TE BE'!$V$27*'TE BF'!$V$51</f>
        <v>0</v>
      </c>
      <c r="W27" s="20">
        <f>SUM($T$27:$V$27)</f>
        <v>0.87904139902325018</v>
      </c>
      <c r="X27" s="20">
        <f>'TE BE'!$AB$27*'TE BF'!$X$51</f>
        <v>0</v>
      </c>
      <c r="Y27" s="20">
        <f>SUM($X$27:$X$27)</f>
        <v>0</v>
      </c>
      <c r="Z27" s="20">
        <f>'TE BE'!$Z$27*'TE BF'!$Z$51</f>
        <v>-0.29034460599760631</v>
      </c>
      <c r="AA27" s="20">
        <f>SUM($Z$27:$Z$27)</f>
        <v>-0.29034460599760631</v>
      </c>
      <c r="AB27" s="20">
        <f>SUMIF($L$4:$AA$4,"SUBTOTAL",$L$27:$AA$27)</f>
        <v>-16.05463748661407</v>
      </c>
    </row>
    <row r="28" spans="1:28" ht="11.25" customHeight="1" x14ac:dyDescent="0.3">
      <c r="A28" s="148"/>
      <c r="B28" s="148"/>
      <c r="C28" s="148"/>
      <c r="D28" s="148"/>
      <c r="E28" s="148"/>
      <c r="F28" s="148"/>
      <c r="G28" s="23" t="s">
        <v>91</v>
      </c>
      <c r="H28" s="23" t="s">
        <v>79</v>
      </c>
      <c r="I28" s="23">
        <f>'MERCADO TE'!$U$25</f>
        <v>0</v>
      </c>
      <c r="J28" s="15"/>
      <c r="L28" s="20">
        <f>'TE BE'!$L$28*'TE BF'!$L$51</f>
        <v>0</v>
      </c>
      <c r="M28" s="20">
        <f>'TE BE'!$M$28*'TE BF'!$M$51</f>
        <v>0.17166517585134053</v>
      </c>
      <c r="N28" s="20">
        <f>'TE BE'!$N$28*'TE BF'!$N$51</f>
        <v>0</v>
      </c>
      <c r="O28" s="20">
        <f>'TE BE'!$O$28*'TE BF'!$O$51</f>
        <v>0.37859190088024552</v>
      </c>
      <c r="P28" s="20">
        <f>'TE BE'!$P$28*'TE BF'!$P$51</f>
        <v>0</v>
      </c>
      <c r="Q28" s="20">
        <f>SUM($L$28:$P$28)</f>
        <v>0.55025707673158608</v>
      </c>
      <c r="R28" s="20">
        <f>'TE BE'!$R$28*'TE BF'!$R$51</f>
        <v>-9.9962740444019182</v>
      </c>
      <c r="S28" s="20">
        <f>SUM($R$28:$R$28)</f>
        <v>-9.9962740444019182</v>
      </c>
      <c r="T28" s="20">
        <f>'TE BE'!$T$28*'TE BF'!$T$51</f>
        <v>0.5015583523888939</v>
      </c>
      <c r="U28" s="20">
        <f>'TE BE'!$U$28*'TE BF'!$U$51</f>
        <v>0.37748304663435633</v>
      </c>
      <c r="V28" s="20">
        <f>'TE BE'!$V$28*'TE BF'!$V$51</f>
        <v>0</v>
      </c>
      <c r="W28" s="20">
        <f>SUM($T$28:$V$28)</f>
        <v>0.87904139902325018</v>
      </c>
      <c r="X28" s="20">
        <f>'TE BE'!$AB$28*'TE BF'!$X$51</f>
        <v>0</v>
      </c>
      <c r="Y28" s="20">
        <f>SUM($X$28:$X$28)</f>
        <v>0</v>
      </c>
      <c r="Z28" s="20">
        <f>'TE BE'!$Z$28*'TE BF'!$Z$51</f>
        <v>-0.29034460599760631</v>
      </c>
      <c r="AA28" s="20">
        <f>SUM($Z$28:$Z$28)</f>
        <v>-0.29034460599760631</v>
      </c>
      <c r="AB28" s="20">
        <f>SUMIF($L$4:$AA$4,"SUBTOTAL",$L$28:$AA$28)</f>
        <v>-8.8573201746446877</v>
      </c>
    </row>
    <row r="29" spans="1:28" ht="11.25" customHeight="1" x14ac:dyDescent="0.3">
      <c r="A29" s="148"/>
      <c r="B29" s="148"/>
      <c r="C29" s="148"/>
      <c r="D29" s="148"/>
      <c r="E29" s="148"/>
      <c r="F29" s="148"/>
      <c r="G29" s="23" t="s">
        <v>81</v>
      </c>
      <c r="H29" s="23" t="s">
        <v>79</v>
      </c>
      <c r="I29" s="23">
        <f>'MERCADO TE'!$U$26</f>
        <v>0</v>
      </c>
      <c r="J29" s="15"/>
      <c r="L29" s="20">
        <f>'TE BE'!$L$29*'TE BF'!$L$51</f>
        <v>0</v>
      </c>
      <c r="M29" s="20">
        <f>'TE BE'!$M$29*'TE BF'!$M$51</f>
        <v>0.17166517585134053</v>
      </c>
      <c r="N29" s="20">
        <f>'TE BE'!$N$29*'TE BF'!$N$51</f>
        <v>0</v>
      </c>
      <c r="O29" s="20">
        <f>'TE BE'!$O$29*'TE BF'!$O$51</f>
        <v>0.37859190088024552</v>
      </c>
      <c r="P29" s="20">
        <f>'TE BE'!$P$29*'TE BF'!$P$51</f>
        <v>0</v>
      </c>
      <c r="Q29" s="20">
        <f>SUM($L$29:$P$29)</f>
        <v>0.55025707673158608</v>
      </c>
      <c r="R29" s="20">
        <f>'TE BE'!$R$29*'TE BF'!$R$51</f>
        <v>-9.9962740444019182</v>
      </c>
      <c r="S29" s="20">
        <f>SUM($R$29:$R$29)</f>
        <v>-9.9962740444019182</v>
      </c>
      <c r="T29" s="20">
        <f>'TE BE'!$T$29*'TE BF'!$T$51</f>
        <v>0.5015583523888939</v>
      </c>
      <c r="U29" s="20">
        <f>'TE BE'!$U$29*'TE BF'!$U$51</f>
        <v>0.37748304663435633</v>
      </c>
      <c r="V29" s="20">
        <f>'TE BE'!$V$29*'TE BF'!$V$51</f>
        <v>0</v>
      </c>
      <c r="W29" s="20">
        <f>SUM($T$29:$V$29)</f>
        <v>0.87904139902325018</v>
      </c>
      <c r="X29" s="20">
        <f>'TE BE'!$AB$29*'TE BF'!$X$51</f>
        <v>0</v>
      </c>
      <c r="Y29" s="20">
        <f>SUM($X$29:$X$29)</f>
        <v>0</v>
      </c>
      <c r="Z29" s="20">
        <f>'TE BE'!$Z$29*'TE BF'!$Z$51</f>
        <v>-0.29034460599760631</v>
      </c>
      <c r="AA29" s="20">
        <f>SUM($Z$29:$Z$29)</f>
        <v>-0.29034460599760631</v>
      </c>
      <c r="AB29" s="20">
        <f>SUMIF($L$4:$AA$4,"SUBTOTAL",$L$29:$AA$29)</f>
        <v>-8.8573201746446877</v>
      </c>
    </row>
    <row r="30" spans="1:28" ht="11.25" customHeight="1" x14ac:dyDescent="0.3">
      <c r="A30" s="148"/>
      <c r="B30" s="22" t="s">
        <v>82</v>
      </c>
      <c r="C30" s="22" t="s">
        <v>44</v>
      </c>
      <c r="D30" s="22" t="s">
        <v>94</v>
      </c>
      <c r="E30" s="22" t="s">
        <v>25</v>
      </c>
      <c r="F30" s="22" t="s">
        <v>25</v>
      </c>
      <c r="G30" s="23" t="s">
        <v>83</v>
      </c>
      <c r="H30" s="23" t="s">
        <v>79</v>
      </c>
      <c r="I30" s="23">
        <f>'MERCADO TE'!$U$27</f>
        <v>0</v>
      </c>
      <c r="J30" s="15"/>
      <c r="L30" s="20">
        <f>'TE BE'!$L$30*'TE BF'!$L$51</f>
        <v>0</v>
      </c>
      <c r="M30" s="20">
        <f>'TE BE'!$M$30*'TE BF'!$M$51</f>
        <v>0.17166517585134053</v>
      </c>
      <c r="N30" s="20">
        <f>'TE BE'!$N$30*'TE BF'!$N$51</f>
        <v>0</v>
      </c>
      <c r="O30" s="20">
        <f>'TE BE'!$O$30*'TE BF'!$O$51</f>
        <v>0.37859190088024552</v>
      </c>
      <c r="P30" s="20">
        <f>'TE BE'!$P$30*'TE BF'!$P$51</f>
        <v>0</v>
      </c>
      <c r="Q30" s="20">
        <f>SUM($L$30:$P$30)</f>
        <v>0.55025707673158608</v>
      </c>
      <c r="R30" s="20">
        <f>'TE BE'!$R$30*'TE BF'!$R$51</f>
        <v>-10.596050487066035</v>
      </c>
      <c r="S30" s="20">
        <f>SUM($R$30:$R$30)</f>
        <v>-10.596050487066035</v>
      </c>
      <c r="T30" s="20">
        <f>'TE BE'!$T$30*'TE BF'!$T$51</f>
        <v>0.5015583523888939</v>
      </c>
      <c r="U30" s="20">
        <f>'TE BE'!$U$30*'TE BF'!$U$51</f>
        <v>0.37748304663435633</v>
      </c>
      <c r="V30" s="20">
        <f>'TE BE'!$V$30*'TE BF'!$V$51</f>
        <v>0</v>
      </c>
      <c r="W30" s="20">
        <f>SUM($T$30:$V$30)</f>
        <v>0.87904139902325018</v>
      </c>
      <c r="X30" s="20">
        <f>'TE BE'!$AB$30*'TE BF'!$X$51</f>
        <v>0</v>
      </c>
      <c r="Y30" s="20">
        <f>SUM($X$30:$X$30)</f>
        <v>0</v>
      </c>
      <c r="Z30" s="20">
        <f>'TE BE'!$Z$30*'TE BF'!$Z$51</f>
        <v>-0.29034460599760631</v>
      </c>
      <c r="AA30" s="20">
        <f>SUM($Z$30:$Z$30)</f>
        <v>-0.29034460599760631</v>
      </c>
      <c r="AB30" s="20">
        <f>SUMIF($L$4:$AA$4,"SUBTOTAL",$L$30:$AA$30)</f>
        <v>-9.4570966173088049</v>
      </c>
    </row>
    <row r="31" spans="1:28" ht="11.25" customHeight="1" x14ac:dyDescent="0.3">
      <c r="A31" s="148"/>
      <c r="B31" s="148" t="s">
        <v>78</v>
      </c>
      <c r="C31" s="148" t="s">
        <v>44</v>
      </c>
      <c r="D31" s="148" t="s">
        <v>95</v>
      </c>
      <c r="E31" s="148" t="s">
        <v>25</v>
      </c>
      <c r="F31" s="148" t="s">
        <v>25</v>
      </c>
      <c r="G31" s="23" t="s">
        <v>80</v>
      </c>
      <c r="H31" s="23" t="s">
        <v>79</v>
      </c>
      <c r="I31" s="23">
        <f>'MERCADO TE'!$U$28</f>
        <v>0</v>
      </c>
      <c r="J31" s="15"/>
      <c r="L31" s="20">
        <f>'TE BE'!$L$31*'TE BF'!$L$51</f>
        <v>0</v>
      </c>
      <c r="M31" s="20">
        <f>'TE BE'!$M$31*'TE BF'!$M$51</f>
        <v>0.17166517585134053</v>
      </c>
      <c r="N31" s="20">
        <f>'TE BE'!$N$31*'TE BF'!$N$51</f>
        <v>0</v>
      </c>
      <c r="O31" s="20">
        <f>'TE BE'!$O$31*'TE BF'!$O$51</f>
        <v>0.37859190088024552</v>
      </c>
      <c r="P31" s="20">
        <f>'TE BE'!$P$31*'TE BF'!$P$51</f>
        <v>0</v>
      </c>
      <c r="Q31" s="20">
        <f>SUM($L$31:$P$31)</f>
        <v>0.55025707673158608</v>
      </c>
      <c r="R31" s="20">
        <f>'TE BE'!$R$31*'TE BF'!$R$51</f>
        <v>-17.1935913563713</v>
      </c>
      <c r="S31" s="20">
        <f>SUM($R$31:$R$31)</f>
        <v>-17.1935913563713</v>
      </c>
      <c r="T31" s="20">
        <f>'TE BE'!$T$31*'TE BF'!$T$51</f>
        <v>0.5015583523888939</v>
      </c>
      <c r="U31" s="20">
        <f>'TE BE'!$U$31*'TE BF'!$U$51</f>
        <v>0.37748304663435633</v>
      </c>
      <c r="V31" s="20">
        <f>'TE BE'!$V$31*'TE BF'!$V$51</f>
        <v>0</v>
      </c>
      <c r="W31" s="20">
        <f>SUM($T$31:$V$31)</f>
        <v>0.87904139902325018</v>
      </c>
      <c r="X31" s="20">
        <f>'TE BE'!$AB$31*'TE BF'!$X$51</f>
        <v>0</v>
      </c>
      <c r="Y31" s="20">
        <f>SUM($X$31:$X$31)</f>
        <v>0</v>
      </c>
      <c r="Z31" s="20">
        <f>'TE BE'!$Z$31*'TE BF'!$Z$51</f>
        <v>-0.29034460599760631</v>
      </c>
      <c r="AA31" s="20">
        <f>SUM($Z$31:$Z$31)</f>
        <v>-0.29034460599760631</v>
      </c>
      <c r="AB31" s="20">
        <f>SUMIF($L$4:$AA$4,"SUBTOTAL",$L$31:$AA$31)</f>
        <v>-16.05463748661407</v>
      </c>
    </row>
    <row r="32" spans="1:28" ht="11.25" customHeight="1" x14ac:dyDescent="0.3">
      <c r="A32" s="148"/>
      <c r="B32" s="148"/>
      <c r="C32" s="148"/>
      <c r="D32" s="148"/>
      <c r="E32" s="148"/>
      <c r="F32" s="148"/>
      <c r="G32" s="23" t="s">
        <v>91</v>
      </c>
      <c r="H32" s="23" t="s">
        <v>79</v>
      </c>
      <c r="I32" s="23">
        <f>'MERCADO TE'!$U$29</f>
        <v>0</v>
      </c>
      <c r="J32" s="15"/>
      <c r="L32" s="20">
        <f>'TE BE'!$L$32*'TE BF'!$L$51</f>
        <v>0</v>
      </c>
      <c r="M32" s="20">
        <f>'TE BE'!$M$32*'TE BF'!$M$51</f>
        <v>0.17166517585134053</v>
      </c>
      <c r="N32" s="20">
        <f>'TE BE'!$N$32*'TE BF'!$N$51</f>
        <v>0</v>
      </c>
      <c r="O32" s="20">
        <f>'TE BE'!$O$32*'TE BF'!$O$51</f>
        <v>0.37859190088024552</v>
      </c>
      <c r="P32" s="20">
        <f>'TE BE'!$P$32*'TE BF'!$P$51</f>
        <v>0</v>
      </c>
      <c r="Q32" s="20">
        <f>SUM($L$32:$P$32)</f>
        <v>0.55025707673158608</v>
      </c>
      <c r="R32" s="20">
        <f>'TE BE'!$R$32*'TE BF'!$R$51</f>
        <v>-9.9962740444019182</v>
      </c>
      <c r="S32" s="20">
        <f>SUM($R$32:$R$32)</f>
        <v>-9.9962740444019182</v>
      </c>
      <c r="T32" s="20">
        <f>'TE BE'!$T$32*'TE BF'!$T$51</f>
        <v>0.5015583523888939</v>
      </c>
      <c r="U32" s="20">
        <f>'TE BE'!$U$32*'TE BF'!$U$51</f>
        <v>0.37748304663435633</v>
      </c>
      <c r="V32" s="20">
        <f>'TE BE'!$V$32*'TE BF'!$V$51</f>
        <v>0</v>
      </c>
      <c r="W32" s="20">
        <f>SUM($T$32:$V$32)</f>
        <v>0.87904139902325018</v>
      </c>
      <c r="X32" s="20">
        <f>'TE BE'!$AB$32*'TE BF'!$X$51</f>
        <v>0</v>
      </c>
      <c r="Y32" s="20">
        <f>SUM($X$32:$X$32)</f>
        <v>0</v>
      </c>
      <c r="Z32" s="20">
        <f>'TE BE'!$Z$32*'TE BF'!$Z$51</f>
        <v>-0.29034460599760631</v>
      </c>
      <c r="AA32" s="20">
        <f>SUM($Z$32:$Z$32)</f>
        <v>-0.29034460599760631</v>
      </c>
      <c r="AB32" s="20">
        <f>SUMIF($L$4:$AA$4,"SUBTOTAL",$L$32:$AA$32)</f>
        <v>-8.8573201746446877</v>
      </c>
    </row>
    <row r="33" spans="1:28" ht="11.25" customHeight="1" x14ac:dyDescent="0.3">
      <c r="A33" s="148"/>
      <c r="B33" s="148"/>
      <c r="C33" s="148"/>
      <c r="D33" s="148"/>
      <c r="E33" s="148"/>
      <c r="F33" s="148"/>
      <c r="G33" s="23" t="s">
        <v>81</v>
      </c>
      <c r="H33" s="23" t="s">
        <v>79</v>
      </c>
      <c r="I33" s="23">
        <f>'MERCADO TE'!$U$30</f>
        <v>0</v>
      </c>
      <c r="J33" s="15"/>
      <c r="L33" s="20">
        <f>'TE BE'!$L$33*'TE BF'!$L$51</f>
        <v>0</v>
      </c>
      <c r="M33" s="20">
        <f>'TE BE'!$M$33*'TE BF'!$M$51</f>
        <v>0.17166517585134053</v>
      </c>
      <c r="N33" s="20">
        <f>'TE BE'!$N$33*'TE BF'!$N$51</f>
        <v>0</v>
      </c>
      <c r="O33" s="20">
        <f>'TE BE'!$O$33*'TE BF'!$O$51</f>
        <v>0.37859190088024552</v>
      </c>
      <c r="P33" s="20">
        <f>'TE BE'!$P$33*'TE BF'!$P$51</f>
        <v>0</v>
      </c>
      <c r="Q33" s="20">
        <f>SUM($L$33:$P$33)</f>
        <v>0.55025707673158608</v>
      </c>
      <c r="R33" s="20">
        <f>'TE BE'!$R$33*'TE BF'!$R$51</f>
        <v>-9.9962740444019182</v>
      </c>
      <c r="S33" s="20">
        <f>SUM($R$33:$R$33)</f>
        <v>-9.9962740444019182</v>
      </c>
      <c r="T33" s="20">
        <f>'TE BE'!$T$33*'TE BF'!$T$51</f>
        <v>0.5015583523888939</v>
      </c>
      <c r="U33" s="20">
        <f>'TE BE'!$U$33*'TE BF'!$U$51</f>
        <v>0.37748304663435633</v>
      </c>
      <c r="V33" s="20">
        <f>'TE BE'!$V$33*'TE BF'!$V$51</f>
        <v>0</v>
      </c>
      <c r="W33" s="20">
        <f>SUM($T$33:$V$33)</f>
        <v>0.87904139902325018</v>
      </c>
      <c r="X33" s="20">
        <f>'TE BE'!$AB$33*'TE BF'!$X$51</f>
        <v>0</v>
      </c>
      <c r="Y33" s="20">
        <f>SUM($X$33:$X$33)</f>
        <v>0</v>
      </c>
      <c r="Z33" s="20">
        <f>'TE BE'!$Z$33*'TE BF'!$Z$51</f>
        <v>-0.29034460599760631</v>
      </c>
      <c r="AA33" s="20">
        <f>SUM($Z$33:$Z$33)</f>
        <v>-0.29034460599760631</v>
      </c>
      <c r="AB33" s="20">
        <f>SUMIF($L$4:$AA$4,"SUBTOTAL",$L$33:$AA$33)</f>
        <v>-8.8573201746446877</v>
      </c>
    </row>
    <row r="34" spans="1:28" ht="11.25" customHeight="1" x14ac:dyDescent="0.3">
      <c r="A34" s="148"/>
      <c r="B34" s="22" t="s">
        <v>82</v>
      </c>
      <c r="C34" s="22" t="s">
        <v>44</v>
      </c>
      <c r="D34" s="22" t="s">
        <v>95</v>
      </c>
      <c r="E34" s="22" t="s">
        <v>25</v>
      </c>
      <c r="F34" s="22" t="s">
        <v>25</v>
      </c>
      <c r="G34" s="23" t="s">
        <v>83</v>
      </c>
      <c r="H34" s="23" t="s">
        <v>79</v>
      </c>
      <c r="I34" s="23">
        <f>'MERCADO TE'!$U$31</f>
        <v>0</v>
      </c>
      <c r="J34" s="15"/>
      <c r="L34" s="20">
        <f>'TE BE'!$L$34*'TE BF'!$L$51</f>
        <v>0</v>
      </c>
      <c r="M34" s="20">
        <f>'TE BE'!$M$34*'TE BF'!$M$51</f>
        <v>0.17166517585134053</v>
      </c>
      <c r="N34" s="20">
        <f>'TE BE'!$N$34*'TE BF'!$N$51</f>
        <v>0</v>
      </c>
      <c r="O34" s="20">
        <f>'TE BE'!$O$34*'TE BF'!$O$51</f>
        <v>0.37859190088024552</v>
      </c>
      <c r="P34" s="20">
        <f>'TE BE'!$P$34*'TE BF'!$P$51</f>
        <v>0</v>
      </c>
      <c r="Q34" s="20">
        <f>SUM($L$34:$P$34)</f>
        <v>0.55025707673158608</v>
      </c>
      <c r="R34" s="20">
        <f>'TE BE'!$R$34*'TE BF'!$R$51</f>
        <v>-10.596050487066035</v>
      </c>
      <c r="S34" s="20">
        <f>SUM($R$34:$R$34)</f>
        <v>-10.596050487066035</v>
      </c>
      <c r="T34" s="20">
        <f>'TE BE'!$T$34*'TE BF'!$T$51</f>
        <v>0.5015583523888939</v>
      </c>
      <c r="U34" s="20">
        <f>'TE BE'!$U$34*'TE BF'!$U$51</f>
        <v>0.37748304663435633</v>
      </c>
      <c r="V34" s="20">
        <f>'TE BE'!$V$34*'TE BF'!$V$51</f>
        <v>0</v>
      </c>
      <c r="W34" s="20">
        <f>SUM($T$34:$V$34)</f>
        <v>0.87904139902325018</v>
      </c>
      <c r="X34" s="20">
        <f>'TE BE'!$AB$34*'TE BF'!$X$51</f>
        <v>0</v>
      </c>
      <c r="Y34" s="20">
        <f>SUM($X$34:$X$34)</f>
        <v>0</v>
      </c>
      <c r="Z34" s="20">
        <f>'TE BE'!$Z$34*'TE BF'!$Z$51</f>
        <v>-0.29034460599760631</v>
      </c>
      <c r="AA34" s="20">
        <f>SUM($Z$34:$Z$34)</f>
        <v>-0.29034460599760631</v>
      </c>
      <c r="AB34" s="20">
        <f>SUMIF($L$4:$AA$4,"SUBTOTAL",$L$34:$AA$34)</f>
        <v>-9.4570966173088049</v>
      </c>
    </row>
    <row r="35" spans="1:28" ht="11.25" customHeight="1" x14ac:dyDescent="0.3">
      <c r="A35" s="148"/>
      <c r="B35" s="148" t="s">
        <v>92</v>
      </c>
      <c r="C35" s="148" t="s">
        <v>44</v>
      </c>
      <c r="D35" s="22" t="s">
        <v>25</v>
      </c>
      <c r="E35" s="22" t="s">
        <v>25</v>
      </c>
      <c r="F35" s="22" t="s">
        <v>25</v>
      </c>
      <c r="G35" s="23" t="s">
        <v>83</v>
      </c>
      <c r="H35" s="23" t="s">
        <v>79</v>
      </c>
      <c r="I35" s="23">
        <f>'MERCADO TE'!$U$32</f>
        <v>0</v>
      </c>
      <c r="J35" s="15"/>
      <c r="L35" s="20">
        <f>'TE BE'!$L$35*'TE BF'!$L$51</f>
        <v>0</v>
      </c>
      <c r="M35" s="20">
        <f>'TE BE'!$M$35*'TE BF'!$M$51</f>
        <v>0.17166517585134053</v>
      </c>
      <c r="N35" s="20">
        <f>'TE BE'!$N$35*'TE BF'!$N$51</f>
        <v>0</v>
      </c>
      <c r="O35" s="20">
        <f>'TE BE'!$O$35*'TE BF'!$O$51</f>
        <v>0.37859190088024552</v>
      </c>
      <c r="P35" s="20">
        <f>'TE BE'!$P$35*'TE BF'!$P$51</f>
        <v>0</v>
      </c>
      <c r="Q35" s="20">
        <f>SUM($L$35:$P$35)</f>
        <v>0.55025707673158608</v>
      </c>
      <c r="R35" s="20">
        <f>'TE BE'!$R$35*'TE BF'!$R$51</f>
        <v>-10.596050487066035</v>
      </c>
      <c r="S35" s="20">
        <f>SUM($R$35:$R$35)</f>
        <v>-10.596050487066035</v>
      </c>
      <c r="T35" s="20">
        <f>'TE BE'!$T$35*'TE BF'!$T$51</f>
        <v>0.5015583523888939</v>
      </c>
      <c r="U35" s="20">
        <f>'TE BE'!$U$35*'TE BF'!$U$51</f>
        <v>0.37748304663435633</v>
      </c>
      <c r="V35" s="20">
        <f>'TE BE'!$V$35*'TE BF'!$V$51</f>
        <v>0</v>
      </c>
      <c r="W35" s="20">
        <f>SUM($T$35:$V$35)</f>
        <v>0.87904139902325018</v>
      </c>
      <c r="X35" s="20">
        <f>'TE BE'!$AB$35*'TE BF'!$X$51</f>
        <v>0</v>
      </c>
      <c r="Y35" s="20">
        <f>SUM($X$35:$X$35)</f>
        <v>0</v>
      </c>
      <c r="Z35" s="20">
        <f>'TE BE'!$Z$35*'TE BF'!$Z$51</f>
        <v>-0.29034460599760631</v>
      </c>
      <c r="AA35" s="20">
        <f>SUM($Z$35:$Z$35)</f>
        <v>-0.29034460599760631</v>
      </c>
      <c r="AB35" s="20">
        <f>SUMIF($L$4:$AA$4,"SUBTOTAL",$L$35:$AA$35)</f>
        <v>-9.4570966173088049</v>
      </c>
    </row>
    <row r="36" spans="1:28" ht="11.25" customHeight="1" x14ac:dyDescent="0.3">
      <c r="A36" s="148"/>
      <c r="B36" s="148"/>
      <c r="C36" s="148"/>
      <c r="D36" s="22" t="s">
        <v>94</v>
      </c>
      <c r="E36" s="22" t="s">
        <v>25</v>
      </c>
      <c r="F36" s="22" t="s">
        <v>25</v>
      </c>
      <c r="G36" s="23" t="s">
        <v>83</v>
      </c>
      <c r="H36" s="23" t="s">
        <v>79</v>
      </c>
      <c r="I36" s="23">
        <f>'MERCADO TE'!$U$33</f>
        <v>0</v>
      </c>
      <c r="J36" s="15"/>
      <c r="L36" s="20">
        <f>'TE BE'!$L$36*'TE BF'!$L$51</f>
        <v>0</v>
      </c>
      <c r="M36" s="20">
        <f>'TE BE'!$M$36*'TE BF'!$M$51</f>
        <v>0.17166517585134053</v>
      </c>
      <c r="N36" s="20">
        <f>'TE BE'!$N$36*'TE BF'!$N$51</f>
        <v>0</v>
      </c>
      <c r="O36" s="20">
        <f>'TE BE'!$O$36*'TE BF'!$O$51</f>
        <v>0.37859190088024552</v>
      </c>
      <c r="P36" s="20">
        <f>'TE BE'!$P$36*'TE BF'!$P$51</f>
        <v>0</v>
      </c>
      <c r="Q36" s="20">
        <f>SUM($L$36:$P$36)</f>
        <v>0.55025707673158608</v>
      </c>
      <c r="R36" s="20">
        <f>'TE BE'!$R$36*'TE BF'!$R$51</f>
        <v>-10.596050487066035</v>
      </c>
      <c r="S36" s="20">
        <f>SUM($R$36:$R$36)</f>
        <v>-10.596050487066035</v>
      </c>
      <c r="T36" s="20">
        <f>'TE BE'!$T$36*'TE BF'!$T$51</f>
        <v>0.5015583523888939</v>
      </c>
      <c r="U36" s="20">
        <f>'TE BE'!$U$36*'TE BF'!$U$51</f>
        <v>0.37748304663435633</v>
      </c>
      <c r="V36" s="20">
        <f>'TE BE'!$V$36*'TE BF'!$V$51</f>
        <v>0</v>
      </c>
      <c r="W36" s="20">
        <f>SUM($T$36:$V$36)</f>
        <v>0.87904139902325018</v>
      </c>
      <c r="X36" s="20">
        <f>'TE BE'!$AB$36*'TE BF'!$X$51</f>
        <v>0</v>
      </c>
      <c r="Y36" s="20">
        <f>SUM($X$36:$X$36)</f>
        <v>0</v>
      </c>
      <c r="Z36" s="20">
        <f>'TE BE'!$Z$36*'TE BF'!$Z$51</f>
        <v>-0.29034460599760631</v>
      </c>
      <c r="AA36" s="20">
        <f>SUM($Z$36:$Z$36)</f>
        <v>-0.29034460599760631</v>
      </c>
      <c r="AB36" s="20">
        <f>SUMIF($L$4:$AA$4,"SUBTOTAL",$L$36:$AA$36)</f>
        <v>-9.4570966173088049</v>
      </c>
    </row>
    <row r="37" spans="1:28" ht="11.25" customHeight="1" x14ac:dyDescent="0.3">
      <c r="A37" s="148"/>
      <c r="B37" s="148"/>
      <c r="C37" s="148"/>
      <c r="D37" s="22" t="s">
        <v>95</v>
      </c>
      <c r="E37" s="22" t="s">
        <v>25</v>
      </c>
      <c r="F37" s="22" t="s">
        <v>25</v>
      </c>
      <c r="G37" s="23" t="s">
        <v>83</v>
      </c>
      <c r="H37" s="23" t="s">
        <v>79</v>
      </c>
      <c r="I37" s="23">
        <f>'MERCADO TE'!$U$34</f>
        <v>0</v>
      </c>
      <c r="J37" s="15"/>
      <c r="L37" s="20">
        <f>'TE BE'!$L$37*'TE BF'!$L$51</f>
        <v>0</v>
      </c>
      <c r="M37" s="20">
        <f>'TE BE'!$M$37*'TE BF'!$M$51</f>
        <v>0.17166517585134053</v>
      </c>
      <c r="N37" s="20">
        <f>'TE BE'!$N$37*'TE BF'!$N$51</f>
        <v>0</v>
      </c>
      <c r="O37" s="20">
        <f>'TE BE'!$O$37*'TE BF'!$O$51</f>
        <v>0.37859190088024552</v>
      </c>
      <c r="P37" s="20">
        <f>'TE BE'!$P$37*'TE BF'!$P$51</f>
        <v>0</v>
      </c>
      <c r="Q37" s="20">
        <f>SUM($L$37:$P$37)</f>
        <v>0.55025707673158608</v>
      </c>
      <c r="R37" s="20">
        <f>'TE BE'!$R$37*'TE BF'!$R$51</f>
        <v>-10.596050487066035</v>
      </c>
      <c r="S37" s="20">
        <f>SUM($R$37:$R$37)</f>
        <v>-10.596050487066035</v>
      </c>
      <c r="T37" s="20">
        <f>'TE BE'!$T$37*'TE BF'!$T$51</f>
        <v>0.5015583523888939</v>
      </c>
      <c r="U37" s="20">
        <f>'TE BE'!$U$37*'TE BF'!$U$51</f>
        <v>0.37748304663435633</v>
      </c>
      <c r="V37" s="20">
        <f>'TE BE'!$V$37*'TE BF'!$V$51</f>
        <v>0</v>
      </c>
      <c r="W37" s="20">
        <f>SUM($T$37:$V$37)</f>
        <v>0.87904139902325018</v>
      </c>
      <c r="X37" s="20">
        <f>'TE BE'!$AB$37*'TE BF'!$X$51</f>
        <v>0</v>
      </c>
      <c r="Y37" s="20">
        <f>SUM($X$37:$X$37)</f>
        <v>0</v>
      </c>
      <c r="Z37" s="20">
        <f>'TE BE'!$Z$37*'TE BF'!$Z$51</f>
        <v>-0.29034460599760631</v>
      </c>
      <c r="AA37" s="20">
        <f>SUM($Z$37:$Z$37)</f>
        <v>-0.29034460599760631</v>
      </c>
      <c r="AB37" s="20">
        <f>SUMIF($L$4:$AA$4,"SUBTOTAL",$L$37:$AA$37)</f>
        <v>-9.4570966173088049</v>
      </c>
    </row>
    <row r="38" spans="1:28" ht="11.25" customHeight="1" x14ac:dyDescent="0.3">
      <c r="A38" s="148" t="s">
        <v>37</v>
      </c>
      <c r="B38" s="148" t="s">
        <v>78</v>
      </c>
      <c r="C38" s="148" t="s">
        <v>25</v>
      </c>
      <c r="D38" s="148" t="s">
        <v>25</v>
      </c>
      <c r="E38" s="148" t="s">
        <v>25</v>
      </c>
      <c r="F38" s="148" t="s">
        <v>25</v>
      </c>
      <c r="G38" s="23" t="s">
        <v>80</v>
      </c>
      <c r="H38" s="23" t="s">
        <v>79</v>
      </c>
      <c r="I38" s="23">
        <f>'MERCADO TE'!$U$35</f>
        <v>10.468</v>
      </c>
      <c r="J38" s="15"/>
      <c r="L38" s="20">
        <f>'TE BE'!$L$38*'TE BF'!$L$51</f>
        <v>0</v>
      </c>
      <c r="M38" s="20">
        <f>'TE BE'!$M$38*'TE BF'!$M$51</f>
        <v>0.17166517585134053</v>
      </c>
      <c r="N38" s="20">
        <f>'TE BE'!$N$38*'TE BF'!$N$51</f>
        <v>0</v>
      </c>
      <c r="O38" s="20">
        <f>'TE BE'!$O$38*'TE BF'!$O$51</f>
        <v>0.37859190088024552</v>
      </c>
      <c r="P38" s="20">
        <f>'TE BE'!$P$38*'TE BF'!$P$51</f>
        <v>0</v>
      </c>
      <c r="Q38" s="20">
        <f>SUM($L$38:$P$38)</f>
        <v>0.55025707673158608</v>
      </c>
      <c r="R38" s="20">
        <f>'TE BE'!$R$38*'TE BF'!$R$51</f>
        <v>-17.1935913563713</v>
      </c>
      <c r="S38" s="20">
        <f>SUM($R$38:$R$38)</f>
        <v>-17.1935913563713</v>
      </c>
      <c r="T38" s="20">
        <f>'TE BE'!$T$38*'TE BF'!$T$51</f>
        <v>0.5015583523888939</v>
      </c>
      <c r="U38" s="20">
        <f>'TE BE'!$U$38*'TE BF'!$U$51</f>
        <v>0.37748304663435633</v>
      </c>
      <c r="V38" s="20">
        <f>'TE BE'!$V$38*'TE BF'!$V$51</f>
        <v>0</v>
      </c>
      <c r="W38" s="20">
        <f>SUM($T$38:$V$38)</f>
        <v>0.87904139902325018</v>
      </c>
      <c r="X38" s="20">
        <f>'TE BE'!$AB$38*'TE BF'!$X$51</f>
        <v>0</v>
      </c>
      <c r="Y38" s="20">
        <f>SUM($X$38:$X$38)</f>
        <v>0</v>
      </c>
      <c r="Z38" s="20">
        <f>'TE BE'!$Z$38*'TE BF'!$Z$51</f>
        <v>-0.29034460599760631</v>
      </c>
      <c r="AA38" s="20">
        <f>SUM($Z$38:$Z$38)</f>
        <v>-0.29034460599760631</v>
      </c>
      <c r="AB38" s="20">
        <f>SUMIF($L$4:$AA$4,"SUBTOTAL",$L$38:$AA$38)</f>
        <v>-16.05463748661407</v>
      </c>
    </row>
    <row r="39" spans="1:28" ht="11.25" customHeight="1" x14ac:dyDescent="0.3">
      <c r="A39" s="148"/>
      <c r="B39" s="148"/>
      <c r="C39" s="148"/>
      <c r="D39" s="148"/>
      <c r="E39" s="148"/>
      <c r="F39" s="148"/>
      <c r="G39" s="23" t="s">
        <v>91</v>
      </c>
      <c r="H39" s="23" t="s">
        <v>79</v>
      </c>
      <c r="I39" s="23">
        <f>'MERCADO TE'!$U$36</f>
        <v>9.6909999999999989</v>
      </c>
      <c r="J39" s="15"/>
      <c r="L39" s="20">
        <f>'TE BE'!$L$39*'TE BF'!$L$51</f>
        <v>0</v>
      </c>
      <c r="M39" s="20">
        <f>'TE BE'!$M$39*'TE BF'!$M$51</f>
        <v>0.17166517585134053</v>
      </c>
      <c r="N39" s="20">
        <f>'TE BE'!$N$39*'TE BF'!$N$51</f>
        <v>0</v>
      </c>
      <c r="O39" s="20">
        <f>'TE BE'!$O$39*'TE BF'!$O$51</f>
        <v>0.37859190088024552</v>
      </c>
      <c r="P39" s="20">
        <f>'TE BE'!$P$39*'TE BF'!$P$51</f>
        <v>0</v>
      </c>
      <c r="Q39" s="20">
        <f>SUM($L$39:$P$39)</f>
        <v>0.55025707673158608</v>
      </c>
      <c r="R39" s="20">
        <f>'TE BE'!$R$39*'TE BF'!$R$51</f>
        <v>-9.9962740444019182</v>
      </c>
      <c r="S39" s="20">
        <f>SUM($R$39:$R$39)</f>
        <v>-9.9962740444019182</v>
      </c>
      <c r="T39" s="20">
        <f>'TE BE'!$T$39*'TE BF'!$T$51</f>
        <v>0.5015583523888939</v>
      </c>
      <c r="U39" s="20">
        <f>'TE BE'!$U$39*'TE BF'!$U$51</f>
        <v>0.37748304663435633</v>
      </c>
      <c r="V39" s="20">
        <f>'TE BE'!$V$39*'TE BF'!$V$51</f>
        <v>0</v>
      </c>
      <c r="W39" s="20">
        <f>SUM($T$39:$V$39)</f>
        <v>0.87904139902325018</v>
      </c>
      <c r="X39" s="20">
        <f>'TE BE'!$AB$39*'TE BF'!$X$51</f>
        <v>0</v>
      </c>
      <c r="Y39" s="20">
        <f>SUM($X$39:$X$39)</f>
        <v>0</v>
      </c>
      <c r="Z39" s="20">
        <f>'TE BE'!$Z$39*'TE BF'!$Z$51</f>
        <v>-0.29034460599760631</v>
      </c>
      <c r="AA39" s="20">
        <f>SUM($Z$39:$Z$39)</f>
        <v>-0.29034460599760631</v>
      </c>
      <c r="AB39" s="20">
        <f>SUMIF($L$4:$AA$4,"SUBTOTAL",$L$39:$AA$39)</f>
        <v>-8.8573201746446877</v>
      </c>
    </row>
    <row r="40" spans="1:28" ht="11.25" customHeight="1" x14ac:dyDescent="0.3">
      <c r="A40" s="148"/>
      <c r="B40" s="148"/>
      <c r="C40" s="148"/>
      <c r="D40" s="148"/>
      <c r="E40" s="148"/>
      <c r="F40" s="148"/>
      <c r="G40" s="23" t="s">
        <v>81</v>
      </c>
      <c r="H40" s="23" t="s">
        <v>79</v>
      </c>
      <c r="I40" s="23">
        <f>'MERCADO TE'!$U$37</f>
        <v>150.328</v>
      </c>
      <c r="J40" s="15"/>
      <c r="L40" s="20">
        <f>'TE BE'!$L$40*'TE BF'!$L$51</f>
        <v>0</v>
      </c>
      <c r="M40" s="20">
        <f>'TE BE'!$M$40*'TE BF'!$M$51</f>
        <v>0.17166517585134053</v>
      </c>
      <c r="N40" s="20">
        <f>'TE BE'!$N$40*'TE BF'!$N$51</f>
        <v>0</v>
      </c>
      <c r="O40" s="20">
        <f>'TE BE'!$O$40*'TE BF'!$O$51</f>
        <v>0.37859190088024552</v>
      </c>
      <c r="P40" s="20">
        <f>'TE BE'!$P$40*'TE BF'!$P$51</f>
        <v>0</v>
      </c>
      <c r="Q40" s="20">
        <f>SUM($L$40:$P$40)</f>
        <v>0.55025707673158608</v>
      </c>
      <c r="R40" s="20">
        <f>'TE BE'!$R$40*'TE BF'!$R$51</f>
        <v>-9.9962740444019182</v>
      </c>
      <c r="S40" s="20">
        <f>SUM($R$40:$R$40)</f>
        <v>-9.9962740444019182</v>
      </c>
      <c r="T40" s="20">
        <f>'TE BE'!$T$40*'TE BF'!$T$51</f>
        <v>0.5015583523888939</v>
      </c>
      <c r="U40" s="20">
        <f>'TE BE'!$U$40*'TE BF'!$U$51</f>
        <v>0.37748304663435633</v>
      </c>
      <c r="V40" s="20">
        <f>'TE BE'!$V$40*'TE BF'!$V$51</f>
        <v>0</v>
      </c>
      <c r="W40" s="20">
        <f>SUM($T$40:$V$40)</f>
        <v>0.87904139902325018</v>
      </c>
      <c r="X40" s="20">
        <f>'TE BE'!$AB$40*'TE BF'!$X$51</f>
        <v>0</v>
      </c>
      <c r="Y40" s="20">
        <f>SUM($X$40:$X$40)</f>
        <v>0</v>
      </c>
      <c r="Z40" s="20">
        <f>'TE BE'!$Z$40*'TE BF'!$Z$51</f>
        <v>-0.29034460599760631</v>
      </c>
      <c r="AA40" s="20">
        <f>SUM($Z$40:$Z$40)</f>
        <v>-0.29034460599760631</v>
      </c>
      <c r="AB40" s="20">
        <f>SUMIF($L$4:$AA$4,"SUBTOTAL",$L$40:$AA$40)</f>
        <v>-8.8573201746446877</v>
      </c>
    </row>
    <row r="41" spans="1:28" ht="11.25" customHeight="1" x14ac:dyDescent="0.3">
      <c r="A41" s="148"/>
      <c r="B41" s="22" t="s">
        <v>82</v>
      </c>
      <c r="C41" s="22" t="s">
        <v>25</v>
      </c>
      <c r="D41" s="22" t="s">
        <v>25</v>
      </c>
      <c r="E41" s="22" t="s">
        <v>25</v>
      </c>
      <c r="F41" s="22" t="s">
        <v>25</v>
      </c>
      <c r="G41" s="23" t="s">
        <v>83</v>
      </c>
      <c r="H41" s="23" t="s">
        <v>79</v>
      </c>
      <c r="I41" s="23">
        <f>'MERCADO TE'!$U$38</f>
        <v>24187.291000000001</v>
      </c>
      <c r="J41" s="15"/>
      <c r="L41" s="20">
        <f>'TE BE'!$L$41*'TE BF'!$L$51</f>
        <v>0</v>
      </c>
      <c r="M41" s="20">
        <f>'TE BE'!$M$41*'TE BF'!$M$51</f>
        <v>0.17166517585134053</v>
      </c>
      <c r="N41" s="20">
        <f>'TE BE'!$N$41*'TE BF'!$N$51</f>
        <v>0</v>
      </c>
      <c r="O41" s="20">
        <f>'TE BE'!$O$41*'TE BF'!$O$51</f>
        <v>0.37859190088024552</v>
      </c>
      <c r="P41" s="20">
        <f>'TE BE'!$P$41*'TE BF'!$P$51</f>
        <v>0</v>
      </c>
      <c r="Q41" s="20">
        <f>SUM($L$41:$P$41)</f>
        <v>0.55025707673158608</v>
      </c>
      <c r="R41" s="20">
        <f>'TE BE'!$R$41*'TE BF'!$R$51</f>
        <v>-10.596050487066035</v>
      </c>
      <c r="S41" s="20">
        <f>SUM($R$41:$R$41)</f>
        <v>-10.596050487066035</v>
      </c>
      <c r="T41" s="20">
        <f>'TE BE'!$T$41*'TE BF'!$T$51</f>
        <v>0.5015583523888939</v>
      </c>
      <c r="U41" s="20">
        <f>'TE BE'!$U$41*'TE BF'!$U$51</f>
        <v>0.37748304663435633</v>
      </c>
      <c r="V41" s="20">
        <f>'TE BE'!$V$41*'TE BF'!$V$51</f>
        <v>0</v>
      </c>
      <c r="W41" s="20">
        <f>SUM($T$41:$V$41)</f>
        <v>0.87904139902325018</v>
      </c>
      <c r="X41" s="20">
        <f>'TE BE'!$AB$41*'TE BF'!$X$51</f>
        <v>0</v>
      </c>
      <c r="Y41" s="20">
        <f>SUM($X$41:$X$41)</f>
        <v>0</v>
      </c>
      <c r="Z41" s="20">
        <f>'TE BE'!$Z$41*'TE BF'!$Z$51</f>
        <v>-0.29034460599760631</v>
      </c>
      <c r="AA41" s="20">
        <f>SUM($Z$41:$Z$41)</f>
        <v>-0.29034460599760631</v>
      </c>
      <c r="AB41" s="20">
        <f>SUMIF($L$4:$AA$4,"SUBTOTAL",$L$41:$AA$41)</f>
        <v>-9.4570966173088049</v>
      </c>
    </row>
    <row r="42" spans="1:28" ht="11.25" customHeight="1" x14ac:dyDescent="0.3">
      <c r="A42" s="148"/>
      <c r="B42" s="22" t="s">
        <v>92</v>
      </c>
      <c r="C42" s="22" t="s">
        <v>25</v>
      </c>
      <c r="D42" s="22" t="s">
        <v>25</v>
      </c>
      <c r="E42" s="22" t="s">
        <v>25</v>
      </c>
      <c r="F42" s="22" t="s">
        <v>25</v>
      </c>
      <c r="G42" s="23" t="s">
        <v>83</v>
      </c>
      <c r="H42" s="23" t="s">
        <v>79</v>
      </c>
      <c r="I42" s="23">
        <f>'MERCADO TE'!$U$39</f>
        <v>0</v>
      </c>
      <c r="J42" s="15"/>
      <c r="L42" s="20">
        <f>'TE BE'!$L$42*'TE BF'!$L$51</f>
        <v>0</v>
      </c>
      <c r="M42" s="20">
        <f>'TE BE'!$M$42*'TE BF'!$M$51</f>
        <v>0.17166517585134053</v>
      </c>
      <c r="N42" s="20">
        <f>'TE BE'!$N$42*'TE BF'!$N$51</f>
        <v>0</v>
      </c>
      <c r="O42" s="20">
        <f>'TE BE'!$O$42*'TE BF'!$O$51</f>
        <v>0.37859190088024552</v>
      </c>
      <c r="P42" s="20">
        <f>'TE BE'!$P$42*'TE BF'!$P$51</f>
        <v>0</v>
      </c>
      <c r="Q42" s="20">
        <f>SUM($L$42:$P$42)</f>
        <v>0.55025707673158608</v>
      </c>
      <c r="R42" s="20">
        <f>'TE BE'!$R$42*'TE BF'!$R$51</f>
        <v>-10.596050487066035</v>
      </c>
      <c r="S42" s="20">
        <f>SUM($R$42:$R$42)</f>
        <v>-10.596050487066035</v>
      </c>
      <c r="T42" s="20">
        <f>'TE BE'!$T$42*'TE BF'!$T$51</f>
        <v>0.5015583523888939</v>
      </c>
      <c r="U42" s="20">
        <f>'TE BE'!$U$42*'TE BF'!$U$51</f>
        <v>0.37748304663435633</v>
      </c>
      <c r="V42" s="20">
        <f>'TE BE'!$V$42*'TE BF'!$V$51</f>
        <v>0</v>
      </c>
      <c r="W42" s="20">
        <f>SUM($T$42:$V$42)</f>
        <v>0.87904139902325018</v>
      </c>
      <c r="X42" s="20">
        <f>'TE BE'!$AB$42*'TE BF'!$X$51</f>
        <v>0</v>
      </c>
      <c r="Y42" s="20">
        <f>SUM($X$42:$X$42)</f>
        <v>0</v>
      </c>
      <c r="Z42" s="20">
        <f>'TE BE'!$Z$42*'TE BF'!$Z$51</f>
        <v>-0.29034460599760631</v>
      </c>
      <c r="AA42" s="20">
        <f>SUM($Z$42:$Z$42)</f>
        <v>-0.29034460599760631</v>
      </c>
      <c r="AB42" s="20">
        <f>SUMIF($L$4:$AA$4,"SUBTOTAL",$L$42:$AA$42)</f>
        <v>-9.4570966173088049</v>
      </c>
    </row>
    <row r="43" spans="1:28" ht="11.25" customHeight="1" x14ac:dyDescent="0.3">
      <c r="A43" s="148" t="s">
        <v>47</v>
      </c>
      <c r="B43" s="148" t="s">
        <v>82</v>
      </c>
      <c r="C43" s="148" t="s">
        <v>48</v>
      </c>
      <c r="D43" s="22" t="s">
        <v>49</v>
      </c>
      <c r="E43" s="22" t="s">
        <v>25</v>
      </c>
      <c r="F43" s="22" t="s">
        <v>25</v>
      </c>
      <c r="G43" s="23" t="s">
        <v>83</v>
      </c>
      <c r="H43" s="23" t="s">
        <v>79</v>
      </c>
      <c r="I43" s="23">
        <f>'MERCADO TE'!$U$40</f>
        <v>5104.487000000001</v>
      </c>
      <c r="J43" s="15"/>
      <c r="L43" s="20">
        <f>'TE BE'!$L$43*'TE BF'!$L$51</f>
        <v>0</v>
      </c>
      <c r="M43" s="20">
        <f>'TE BE'!$M$43*'TE BF'!$M$51</f>
        <v>9.4415846718237287E-2</v>
      </c>
      <c r="N43" s="20">
        <f>'TE BE'!$N$43*'TE BF'!$N$51</f>
        <v>0</v>
      </c>
      <c r="O43" s="20">
        <f>'TE BE'!$O$43*'TE BF'!$O$51</f>
        <v>0.20822554548413505</v>
      </c>
      <c r="P43" s="20">
        <f>'TE BE'!$P$43*'TE BF'!$P$51</f>
        <v>0</v>
      </c>
      <c r="Q43" s="20">
        <f>SUM($L$43:$P$43)</f>
        <v>0.30264139220237235</v>
      </c>
      <c r="R43" s="20">
        <f>'TE BE'!$R$43*'TE BF'!$R$51</f>
        <v>-5.82782776788632</v>
      </c>
      <c r="S43" s="20">
        <f>SUM($R$43:$R$43)</f>
        <v>-5.82782776788632</v>
      </c>
      <c r="T43" s="20">
        <f>'TE BE'!$T$43*'TE BF'!$T$51</f>
        <v>0.27585709381389167</v>
      </c>
      <c r="U43" s="20">
        <f>'TE BE'!$U$43*'TE BF'!$U$51</f>
        <v>0.20761567564889602</v>
      </c>
      <c r="V43" s="20">
        <f>'TE BE'!$V$43*'TE BF'!$V$51</f>
        <v>0</v>
      </c>
      <c r="W43" s="20">
        <f>SUM($T$43:$V$43)</f>
        <v>0.48347276946278772</v>
      </c>
      <c r="X43" s="20">
        <f>'TE BE'!$AB$43*'TE BF'!$X$51</f>
        <v>0</v>
      </c>
      <c r="Y43" s="20">
        <f>SUM($X$43:$X$43)</f>
        <v>0</v>
      </c>
      <c r="Z43" s="20">
        <f>'TE BE'!$Z$43*'TE BF'!$Z$51</f>
        <v>-0.15968953329868346</v>
      </c>
      <c r="AA43" s="20">
        <f>SUM($Z$43:$Z$43)</f>
        <v>-0.15968953329868346</v>
      </c>
      <c r="AB43" s="20">
        <f>SUMIF($L$4:$AA$4,"SUBTOTAL",$L$43:$AA$43)</f>
        <v>-5.2014031395198437</v>
      </c>
    </row>
    <row r="44" spans="1:28" ht="11.25" customHeight="1" x14ac:dyDescent="0.3">
      <c r="A44" s="148"/>
      <c r="B44" s="148"/>
      <c r="C44" s="148"/>
      <c r="D44" s="23" t="s">
        <v>96</v>
      </c>
      <c r="E44" s="23" t="s">
        <v>25</v>
      </c>
      <c r="F44" s="23" t="s">
        <v>25</v>
      </c>
      <c r="G44" s="23" t="s">
        <v>83</v>
      </c>
      <c r="H44" s="23" t="s">
        <v>79</v>
      </c>
      <c r="I44" s="23">
        <f>'MERCADO TE'!$U$41</f>
        <v>0</v>
      </c>
      <c r="J44" s="15"/>
      <c r="L44" s="20">
        <f>'TE BE'!$L$44*'TE BF'!$L$51</f>
        <v>0</v>
      </c>
      <c r="M44" s="20">
        <f>'TE BE'!$M$44*'TE BF'!$M$51</f>
        <v>0.10299910551080431</v>
      </c>
      <c r="N44" s="20">
        <f>'TE BE'!$N$44*'TE BF'!$N$51</f>
        <v>0</v>
      </c>
      <c r="O44" s="20">
        <f>'TE BE'!$O$44*'TE BF'!$O$51</f>
        <v>0.22715514052814731</v>
      </c>
      <c r="P44" s="20">
        <f>'TE BE'!$P$44*'TE BF'!$P$51</f>
        <v>0</v>
      </c>
      <c r="Q44" s="20">
        <f>SUM($L$44:$P$44)</f>
        <v>0.3301542460389516</v>
      </c>
      <c r="R44" s="20">
        <f>'TE BE'!$R$44*'TE BF'!$R$51</f>
        <v>-6.3576302922396204</v>
      </c>
      <c r="S44" s="20">
        <f>SUM($R$44:$R$44)</f>
        <v>-6.3576302922396204</v>
      </c>
      <c r="T44" s="20">
        <f>'TE BE'!$T$44*'TE BF'!$T$51</f>
        <v>0.30093501143333634</v>
      </c>
      <c r="U44" s="20">
        <f>'TE BE'!$U$44*'TE BF'!$U$51</f>
        <v>0.22648982798061379</v>
      </c>
      <c r="V44" s="20">
        <f>'TE BE'!$V$44*'TE BF'!$V$51</f>
        <v>0</v>
      </c>
      <c r="W44" s="20">
        <f>SUM($T$44:$V$44)</f>
        <v>0.52742483941395013</v>
      </c>
      <c r="X44" s="20">
        <f>'TE BE'!$AB$44*'TE BF'!$X$51</f>
        <v>0</v>
      </c>
      <c r="Y44" s="20">
        <f>SUM($X$44:$X$44)</f>
        <v>0</v>
      </c>
      <c r="Z44" s="20">
        <f>'TE BE'!$Z$44*'TE BF'!$Z$51</f>
        <v>-0.17420676359856377</v>
      </c>
      <c r="AA44" s="20">
        <f>SUM($Z$44:$Z$44)</f>
        <v>-0.17420676359856377</v>
      </c>
      <c r="AB44" s="20">
        <f>SUMIF($L$4:$AA$4,"SUBTOTAL",$L$44:$AA$44)</f>
        <v>-5.6742579703852831</v>
      </c>
    </row>
    <row r="46" spans="1:28" ht="11.25" customHeight="1" x14ac:dyDescent="0.3">
      <c r="K46" s="25" t="s">
        <v>738</v>
      </c>
      <c r="L46" s="20">
        <f t="shared" ref="L46:AB46" si="0">SUMPRODUCT($I$5:$I$44,L$5:L$44)</f>
        <v>0</v>
      </c>
      <c r="M46" s="20">
        <f t="shared" si="0"/>
        <v>20328.808800000003</v>
      </c>
      <c r="N46" s="20">
        <f t="shared" si="0"/>
        <v>0</v>
      </c>
      <c r="O46" s="20">
        <f t="shared" si="0"/>
        <v>44833.335171531624</v>
      </c>
      <c r="P46" s="20">
        <f t="shared" si="0"/>
        <v>0</v>
      </c>
      <c r="Q46" s="20">
        <f t="shared" si="0"/>
        <v>65162.143971531608</v>
      </c>
      <c r="R46" s="20">
        <f t="shared" si="0"/>
        <v>-1250398.5118221634</v>
      </c>
      <c r="S46" s="20">
        <f t="shared" si="0"/>
        <v>-1250398.5118221634</v>
      </c>
      <c r="T46" s="20">
        <f t="shared" si="0"/>
        <v>59395.179000000011</v>
      </c>
      <c r="U46" s="20">
        <f t="shared" si="0"/>
        <v>44702.023239219438</v>
      </c>
      <c r="V46" s="20">
        <f t="shared" si="0"/>
        <v>0</v>
      </c>
      <c r="W46" s="20">
        <f t="shared" si="0"/>
        <v>104097.20223921943</v>
      </c>
      <c r="X46" s="20">
        <f t="shared" si="0"/>
        <v>0</v>
      </c>
      <c r="Y46" s="20">
        <f t="shared" si="0"/>
        <v>0</v>
      </c>
      <c r="Z46" s="20">
        <f t="shared" si="0"/>
        <v>-34382.97809771289</v>
      </c>
      <c r="AA46" s="20">
        <f t="shared" si="0"/>
        <v>-34382.97809771289</v>
      </c>
      <c r="AB46" s="20">
        <f t="shared" si="0"/>
        <v>-1115522.143709125</v>
      </c>
    </row>
    <row r="47" spans="1:28" ht="11.25" customHeight="1" x14ac:dyDescent="0.3">
      <c r="K47" s="25" t="s">
        <v>657</v>
      </c>
      <c r="L47" s="20">
        <f>CUSTOS!$D$30</f>
        <v>284525.99601777049</v>
      </c>
      <c r="M47" s="20">
        <f>CUSTOS!$D$31</f>
        <v>2475580.2399999998</v>
      </c>
      <c r="N47" s="20">
        <f>CUSTOS!$D$32</f>
        <v>0</v>
      </c>
      <c r="O47" s="20">
        <f>CUSTOS!$D$33</f>
        <v>647468.58264426538</v>
      </c>
      <c r="P47" s="20">
        <f>CUSTOS!$D$34</f>
        <v>-2067541.67</v>
      </c>
      <c r="Q47" s="20">
        <f>CUSTOS!$D$35</f>
        <v>1340033.1486620354</v>
      </c>
      <c r="R47" s="20">
        <f>CUSTOS!$D$36</f>
        <v>24513826.961265057</v>
      </c>
      <c r="S47" s="20">
        <f>CUSTOS!$D$37</f>
        <v>24513826.961265057</v>
      </c>
      <c r="T47" s="20">
        <f>CUSTOS!$D$38</f>
        <v>689862.60845790023</v>
      </c>
      <c r="U47" s="20">
        <f>CUSTOS!$D$39</f>
        <v>475460.58518987527</v>
      </c>
      <c r="V47" s="20">
        <f>CUSTOS!$D$40</f>
        <v>0</v>
      </c>
      <c r="W47" s="20">
        <f>CUSTOS!$D$41</f>
        <v>1165323.1936477756</v>
      </c>
      <c r="X47" s="20">
        <f>CUSTOS!$D$42</f>
        <v>0</v>
      </c>
      <c r="Y47" s="20">
        <f>CUSTOS!$D$43</f>
        <v>0</v>
      </c>
      <c r="Z47" s="20">
        <f>CUSTOS!$D$44</f>
        <v>674071.7999352311</v>
      </c>
      <c r="AA47" s="20">
        <f>CUSTOS!$D$45</f>
        <v>674071.7999352311</v>
      </c>
      <c r="AB47" s="20">
        <f>CUSTOS!$D$46</f>
        <v>27693255.1035101</v>
      </c>
    </row>
    <row r="48" spans="1:28" ht="11.25" customHeight="1" x14ac:dyDescent="0.3">
      <c r="K48" s="25" t="s">
        <v>658</v>
      </c>
      <c r="L48" s="20">
        <f>CUSTOS!$E$30</f>
        <v>4.8702926713391345E-3</v>
      </c>
      <c r="M48" s="20">
        <f>CUSTOS!$E$31</f>
        <v>162608.95868575876</v>
      </c>
      <c r="N48" s="20">
        <f>CUSTOS!$E$32</f>
        <v>0</v>
      </c>
      <c r="O48" s="20">
        <f>CUSTOS!$E$33</f>
        <v>-12123.931476909624</v>
      </c>
      <c r="P48" s="20">
        <f>CUSTOS!$E$34</f>
        <v>0</v>
      </c>
      <c r="Q48" s="20">
        <f>CUSTOS!$E$35</f>
        <v>150485.03207914182</v>
      </c>
      <c r="R48" s="20">
        <f>CUSTOS!$E$36</f>
        <v>2041246.1629664556</v>
      </c>
      <c r="S48" s="20">
        <f>CUSTOS!$E$37</f>
        <v>2041246.1629664556</v>
      </c>
      <c r="T48" s="20">
        <f>CUSTOS!$E$38</f>
        <v>-8497.6257817691003</v>
      </c>
      <c r="U48" s="20">
        <f>CUSTOS!$E$39</f>
        <v>7300.1092293118591</v>
      </c>
      <c r="V48" s="20">
        <f>CUSTOS!$E$40</f>
        <v>0</v>
      </c>
      <c r="W48" s="20">
        <f>CUSTOS!$E$41</f>
        <v>-1197.5165524572412</v>
      </c>
      <c r="X48" s="20">
        <f>CUSTOS!$E$42</f>
        <v>-1196307.7094131464</v>
      </c>
      <c r="Y48" s="20">
        <f>CUSTOS!$E$43</f>
        <v>-1196307.7094131464</v>
      </c>
      <c r="Z48" s="20">
        <f>CUSTOS!$E$44</f>
        <v>56129.403106085883</v>
      </c>
      <c r="AA48" s="20">
        <f>CUSTOS!$E$45</f>
        <v>56129.403106085883</v>
      </c>
      <c r="AB48" s="20">
        <f>CUSTOS!$E$46</f>
        <v>1050355.3721860799</v>
      </c>
    </row>
    <row r="49" spans="11:28" ht="11.25" customHeight="1" x14ac:dyDescent="0.3">
      <c r="K49" s="25" t="s">
        <v>659</v>
      </c>
      <c r="L49" s="20">
        <f>CUSTOS!$F$30</f>
        <v>0</v>
      </c>
      <c r="M49" s="20">
        <f>CUSTOS!$F$31</f>
        <v>20328.808799999999</v>
      </c>
      <c r="N49" s="20">
        <f>CUSTOS!$F$32</f>
        <v>0</v>
      </c>
      <c r="O49" s="20">
        <f>CUSTOS!$F$33</f>
        <v>44833.335171531602</v>
      </c>
      <c r="P49" s="20">
        <f>CUSTOS!$F$34</f>
        <v>0</v>
      </c>
      <c r="Q49" s="20">
        <f>CUSTOS!$F$35</f>
        <v>65162.143971531601</v>
      </c>
      <c r="R49" s="20">
        <f>CUSTOS!$F$36</f>
        <v>-1250398.5118221636</v>
      </c>
      <c r="S49" s="20">
        <f>CUSTOS!$F$37</f>
        <v>-1250398.5118221636</v>
      </c>
      <c r="T49" s="20">
        <f>CUSTOS!$F$38</f>
        <v>59395.178999999996</v>
      </c>
      <c r="U49" s="20">
        <f>CUSTOS!$F$39</f>
        <v>44702.023239219423</v>
      </c>
      <c r="V49" s="20">
        <f>CUSTOS!$F$40</f>
        <v>0</v>
      </c>
      <c r="W49" s="20">
        <f>CUSTOS!$F$41</f>
        <v>104097.20223921942</v>
      </c>
      <c r="X49" s="20">
        <f>CUSTOS!$F$42</f>
        <v>0</v>
      </c>
      <c r="Y49" s="20">
        <f>CUSTOS!$F$43</f>
        <v>0</v>
      </c>
      <c r="Z49" s="20">
        <f>CUSTOS!$F$44</f>
        <v>-34382.978097712883</v>
      </c>
      <c r="AA49" s="20">
        <f>CUSTOS!$F$45</f>
        <v>-34382.978097712883</v>
      </c>
      <c r="AB49" s="20">
        <f>CUSTOS!$F$46</f>
        <v>-1115522.1437091255</v>
      </c>
    </row>
    <row r="50" spans="11:28" ht="11.25" customHeight="1" x14ac:dyDescent="0.3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  <row r="51" spans="11:28" ht="11.25" customHeight="1" x14ac:dyDescent="0.3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  <row r="52" spans="11:28" ht="11.25" customHeight="1" x14ac:dyDescent="0.3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</sheetData>
  <mergeCells count="67">
    <mergeCell ref="R3:S3"/>
    <mergeCell ref="T3:W3"/>
    <mergeCell ref="X3:Y3"/>
    <mergeCell ref="A1:A4"/>
    <mergeCell ref="B1:B4"/>
    <mergeCell ref="C1:C4"/>
    <mergeCell ref="D1:D4"/>
    <mergeCell ref="E1:E4"/>
    <mergeCell ref="F1:F4"/>
    <mergeCell ref="F8:F9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A8:A9"/>
    <mergeCell ref="B8:B9"/>
    <mergeCell ref="C8:C9"/>
    <mergeCell ref="D8:D9"/>
    <mergeCell ref="E8:E9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E38:E40"/>
    <mergeCell ref="F38:F40"/>
    <mergeCell ref="A43:A44"/>
    <mergeCell ref="B43:B44"/>
    <mergeCell ref="C43:C44"/>
    <mergeCell ref="D38:D40"/>
  </mergeCells>
  <conditionalFormatting sqref="L46">
    <cfRule type="cellIs" dxfId="1189" priority="33" operator="notEqual">
      <formula>$L$49</formula>
    </cfRule>
    <cfRule type="cellIs" dxfId="1188" priority="34" operator="equal">
      <formula>$L$49</formula>
    </cfRule>
  </conditionalFormatting>
  <conditionalFormatting sqref="M46">
    <cfRule type="cellIs" dxfId="1187" priority="31" operator="notEqual">
      <formula>$M$49</formula>
    </cfRule>
    <cfRule type="cellIs" dxfId="1186" priority="32" operator="equal">
      <formula>$M$49</formula>
    </cfRule>
  </conditionalFormatting>
  <conditionalFormatting sqref="N46">
    <cfRule type="cellIs" dxfId="1185" priority="29" operator="notEqual">
      <formula>$N$49</formula>
    </cfRule>
    <cfRule type="cellIs" dxfId="1184" priority="30" operator="equal">
      <formula>$N$49</formula>
    </cfRule>
  </conditionalFormatting>
  <conditionalFormatting sqref="O46">
    <cfRule type="cellIs" dxfId="1183" priority="27" operator="notEqual">
      <formula>$O$49</formula>
    </cfRule>
    <cfRule type="cellIs" dxfId="1182" priority="28" operator="equal">
      <formula>$O$49</formula>
    </cfRule>
  </conditionalFormatting>
  <conditionalFormatting sqref="P46">
    <cfRule type="cellIs" dxfId="1181" priority="25" operator="notEqual">
      <formula>$P$49</formula>
    </cfRule>
    <cfRule type="cellIs" dxfId="1180" priority="26" operator="equal">
      <formula>$P$49</formula>
    </cfRule>
  </conditionalFormatting>
  <conditionalFormatting sqref="Q46">
    <cfRule type="cellIs" dxfId="1179" priority="23" operator="notEqual">
      <formula>$Q$49</formula>
    </cfRule>
    <cfRule type="cellIs" dxfId="1178" priority="24" operator="equal">
      <formula>$Q$49</formula>
    </cfRule>
  </conditionalFormatting>
  <conditionalFormatting sqref="R46">
    <cfRule type="cellIs" dxfId="1177" priority="21" operator="notEqual">
      <formula>$R$49</formula>
    </cfRule>
    <cfRule type="cellIs" dxfId="1176" priority="22" operator="equal">
      <formula>$R$49</formula>
    </cfRule>
  </conditionalFormatting>
  <conditionalFormatting sqref="S46">
    <cfRule type="cellIs" dxfId="1175" priority="19" operator="notEqual">
      <formula>$S$49</formula>
    </cfRule>
    <cfRule type="cellIs" dxfId="1174" priority="20" operator="equal">
      <formula>$S$49</formula>
    </cfRule>
  </conditionalFormatting>
  <conditionalFormatting sqref="T46">
    <cfRule type="cellIs" dxfId="1173" priority="17" operator="notEqual">
      <formula>$T$49</formula>
    </cfRule>
    <cfRule type="cellIs" dxfId="1172" priority="18" operator="equal">
      <formula>$T$49</formula>
    </cfRule>
  </conditionalFormatting>
  <conditionalFormatting sqref="U46">
    <cfRule type="cellIs" dxfId="1171" priority="15" operator="notEqual">
      <formula>$U$49</formula>
    </cfRule>
    <cfRule type="cellIs" dxfId="1170" priority="16" operator="equal">
      <formula>$U$49</formula>
    </cfRule>
  </conditionalFormatting>
  <conditionalFormatting sqref="V46">
    <cfRule type="cellIs" dxfId="1169" priority="13" operator="notEqual">
      <formula>$V$49</formula>
    </cfRule>
    <cfRule type="cellIs" dxfId="1168" priority="14" operator="equal">
      <formula>$V$49</formula>
    </cfRule>
  </conditionalFormatting>
  <conditionalFormatting sqref="W46">
    <cfRule type="cellIs" dxfId="1167" priority="11" operator="notEqual">
      <formula>$W$49</formula>
    </cfRule>
    <cfRule type="cellIs" dxfId="1166" priority="12" operator="equal">
      <formula>$W$49</formula>
    </cfRule>
  </conditionalFormatting>
  <conditionalFormatting sqref="X46">
    <cfRule type="cellIs" dxfId="1165" priority="9" operator="notEqual">
      <formula>$X$49</formula>
    </cfRule>
    <cfRule type="cellIs" dxfId="1164" priority="10" operator="equal">
      <formula>$X$49</formula>
    </cfRule>
  </conditionalFormatting>
  <conditionalFormatting sqref="Y46">
    <cfRule type="cellIs" dxfId="1163" priority="7" operator="notEqual">
      <formula>$Y$49</formula>
    </cfRule>
    <cfRule type="cellIs" dxfId="1162" priority="8" operator="equal">
      <formula>$Y$49</formula>
    </cfRule>
  </conditionalFormatting>
  <conditionalFormatting sqref="Z46">
    <cfRule type="cellIs" dxfId="1161" priority="5" operator="notEqual">
      <formula>$Z$49</formula>
    </cfRule>
    <cfRule type="cellIs" dxfId="1160" priority="6" operator="equal">
      <formula>$Z$49</formula>
    </cfRule>
  </conditionalFormatting>
  <conditionalFormatting sqref="AA46">
    <cfRule type="cellIs" dxfId="1159" priority="3" operator="notEqual">
      <formula>$AA$49</formula>
    </cfRule>
    <cfRule type="cellIs" dxfId="1158" priority="4" operator="equal">
      <formula>$AA$49</formula>
    </cfRule>
  </conditionalFormatting>
  <conditionalFormatting sqref="AB46">
    <cfRule type="cellIs" dxfId="1157" priority="1" operator="notEqual">
      <formula>$AB$49</formula>
    </cfRule>
    <cfRule type="cellIs" dxfId="1156" priority="2" operator="equal">
      <formula>$AB$49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5F642-4779-4E9C-8ECA-2B829F83E5F3}">
  <sheetPr codeName="Planilha16"/>
  <dimension ref="A1:AV886"/>
  <sheetViews>
    <sheetView showGridLines="0" topLeftCell="AH1" workbookViewId="0">
      <selection activeCell="AU14" sqref="AU14"/>
    </sheetView>
  </sheetViews>
  <sheetFormatPr defaultRowHeight="11.25" customHeight="1" x14ac:dyDescent="0.3"/>
  <cols>
    <col min="1" max="1" width="18.5546875" style="4" bestFit="1" customWidth="1"/>
    <col min="2" max="2" width="12.88671875" style="4" bestFit="1" customWidth="1"/>
    <col min="3" max="3" width="14.109375" style="4" bestFit="1" customWidth="1"/>
    <col min="4" max="4" width="13.21875" style="4" bestFit="1" customWidth="1"/>
    <col min="5" max="5" width="24.44140625" style="4" bestFit="1" customWidth="1"/>
    <col min="6" max="6" width="12.88671875" style="4" bestFit="1" customWidth="1"/>
    <col min="7" max="7" width="37.88671875" style="4" bestFit="1" customWidth="1"/>
    <col min="8" max="8" width="10" style="4" bestFit="1" customWidth="1"/>
    <col min="9" max="9" width="11.77734375" style="5" bestFit="1" customWidth="1"/>
    <col min="10" max="10" width="6.77734375" style="6" bestFit="1" customWidth="1"/>
    <col min="11" max="11" width="7.6640625" style="6" bestFit="1" customWidth="1"/>
    <col min="12" max="12" width="11" style="6" bestFit="1" customWidth="1"/>
    <col min="13" max="13" width="12.21875" style="6" bestFit="1" customWidth="1"/>
    <col min="14" max="14" width="8.88671875" style="6" bestFit="1" customWidth="1"/>
    <col min="15" max="15" width="10.109375" style="6" bestFit="1" customWidth="1"/>
    <col min="16" max="16" width="7.6640625" style="6" bestFit="1" customWidth="1"/>
    <col min="17" max="17" width="10.77734375" style="4" bestFit="1" customWidth="1"/>
    <col min="18" max="18" width="12.77734375" style="4" bestFit="1" customWidth="1"/>
    <col min="19" max="19" width="22.33203125" style="4" bestFit="1" customWidth="1"/>
    <col min="20" max="20" width="23.77734375" style="4" bestFit="1" customWidth="1"/>
    <col min="21" max="21" width="21.6640625" style="4" bestFit="1" customWidth="1"/>
    <col min="22" max="22" width="15.44140625" style="4" bestFit="1" customWidth="1"/>
    <col min="23" max="23" width="16.77734375" style="4" bestFit="1" customWidth="1"/>
    <col min="24" max="24" width="14.6640625" style="4" bestFit="1" customWidth="1"/>
    <col min="25" max="25" width="20.21875" style="4" bestFit="1" customWidth="1"/>
    <col min="26" max="26" width="21.77734375" style="4" bestFit="1" customWidth="1"/>
    <col min="27" max="27" width="19.5546875" style="4" bestFit="1" customWidth="1"/>
    <col min="28" max="28" width="22.6640625" style="4" bestFit="1" customWidth="1"/>
    <col min="29" max="29" width="24" style="4" bestFit="1" customWidth="1"/>
    <col min="30" max="30" width="21.88671875" style="4" bestFit="1" customWidth="1"/>
    <col min="31" max="31" width="23.44140625" style="4" bestFit="1" customWidth="1"/>
    <col min="32" max="32" width="24.88671875" style="4" bestFit="1" customWidth="1"/>
    <col min="33" max="33" width="22.77734375" style="4" bestFit="1" customWidth="1"/>
    <col min="34" max="34" width="8.88671875" style="4"/>
    <col min="35" max="35" width="9" style="4" bestFit="1" customWidth="1"/>
    <col min="36" max="36" width="14.109375" style="4" bestFit="1" customWidth="1"/>
    <col min="37" max="37" width="15" style="4" bestFit="1" customWidth="1"/>
    <col min="38" max="38" width="9" style="4" bestFit="1" customWidth="1"/>
    <col min="39" max="39" width="8.88671875" style="4"/>
    <col min="40" max="40" width="9" style="4" bestFit="1" customWidth="1"/>
    <col min="41" max="41" width="11.88671875" style="4" bestFit="1" customWidth="1"/>
    <col min="42" max="42" width="12.88671875" style="4" bestFit="1" customWidth="1"/>
    <col min="43" max="43" width="9" style="4" bestFit="1" customWidth="1"/>
    <col min="44" max="44" width="8.88671875" style="4"/>
    <col min="45" max="45" width="9" style="4" bestFit="1" customWidth="1"/>
    <col min="46" max="46" width="10.5546875" style="4" bestFit="1" customWidth="1"/>
    <col min="47" max="47" width="11" style="4" bestFit="1" customWidth="1"/>
    <col min="48" max="48" width="9" style="4" bestFit="1" customWidth="1"/>
    <col min="49" max="16384" width="8.88671875" style="4"/>
  </cols>
  <sheetData>
    <row r="1" spans="1:4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763</v>
      </c>
      <c r="W1" s="1" t="s">
        <v>764</v>
      </c>
      <c r="X1" s="1" t="s">
        <v>765</v>
      </c>
      <c r="Y1" s="1" t="s">
        <v>766</v>
      </c>
      <c r="Z1" s="1" t="s">
        <v>767</v>
      </c>
      <c r="AA1" s="1" t="s">
        <v>768</v>
      </c>
      <c r="AB1" s="1" t="s">
        <v>781</v>
      </c>
      <c r="AC1" s="1" t="s">
        <v>782</v>
      </c>
      <c r="AD1" s="1" t="s">
        <v>783</v>
      </c>
      <c r="AE1" s="1" t="s">
        <v>784</v>
      </c>
      <c r="AF1" s="1" t="s">
        <v>785</v>
      </c>
      <c r="AG1" s="1" t="s">
        <v>786</v>
      </c>
      <c r="AI1" s="34" t="s">
        <v>69</v>
      </c>
      <c r="AJ1" s="34" t="s">
        <v>787</v>
      </c>
      <c r="AK1" s="34" t="s">
        <v>788</v>
      </c>
      <c r="AL1" s="34" t="s">
        <v>789</v>
      </c>
      <c r="AN1" s="34" t="s">
        <v>69</v>
      </c>
      <c r="AO1" s="34" t="s">
        <v>790</v>
      </c>
      <c r="AP1" s="34" t="s">
        <v>791</v>
      </c>
      <c r="AQ1" s="34" t="s">
        <v>789</v>
      </c>
      <c r="AS1" s="34" t="s">
        <v>69</v>
      </c>
      <c r="AT1" s="34" t="s">
        <v>792</v>
      </c>
      <c r="AU1" s="34" t="s">
        <v>793</v>
      </c>
      <c r="AV1" s="34" t="s">
        <v>789</v>
      </c>
    </row>
    <row r="2" spans="1:48" ht="11.25" customHeight="1" x14ac:dyDescent="0.3">
      <c r="A2" s="4" t="s">
        <v>21</v>
      </c>
      <c r="B2" s="4" t="s">
        <v>45</v>
      </c>
      <c r="C2" s="4" t="s">
        <v>42</v>
      </c>
      <c r="D2" s="4" t="s">
        <v>41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44562</v>
      </c>
      <c r="J2" s="6">
        <v>30</v>
      </c>
      <c r="K2" s="6">
        <v>30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26</v>
      </c>
      <c r="R2" s="4">
        <v>0</v>
      </c>
      <c r="S2" s="6">
        <v>3</v>
      </c>
      <c r="T2" s="6">
        <v>0</v>
      </c>
      <c r="U2" s="6">
        <v>0</v>
      </c>
      <c r="V2" s="6">
        <f>IF(ISERROR(VLOOKUP($S$2,'TAR FIN'!$A$1:$O$103,15,0)),0,VLOOKUP($S$2,'TAR FIN'!$A$1:$O$103,15,0))</f>
        <v>18.920000000000002</v>
      </c>
      <c r="W2" s="6">
        <f>IF(ISERROR(VLOOKUP($T$2,'TAR FIN'!$A$1:$O$103,15,0)),0,VLOOKUP($T$2,'TAR FIN'!$A$1:$O$103,15,0))</f>
        <v>0</v>
      </c>
      <c r="X2" s="6">
        <f>IF(ISERROR(VLOOKUP($U$2,'TAR FIN'!$A$1:$O$103,15,0)),0,VLOOKUP($U$2,'TAR FIN'!$A$1:$O$103,15,0))</f>
        <v>0</v>
      </c>
      <c r="Y2" s="6">
        <f ca="1">('TUSD BE'!$AM$6+'TUSD BF'!$AM$6+'TUSD CVA'!$AM$6)*1</f>
        <v>21.369338625624472</v>
      </c>
      <c r="Z2" s="6">
        <f ca="1">('TUSD BE'!$AM$7+'TUSD BF'!$AM$7+'TUSD CVA'!$AM$7)*1</f>
        <v>145.72237393634796</v>
      </c>
      <c r="AA2" s="6">
        <f>('TE BE'!$AB$6+'TE BF'!$AB$6+'TE CVA'!$AB$6)*1</f>
        <v>222.39386487986414</v>
      </c>
      <c r="AB2" s="6">
        <f>$K$2*$V$2</f>
        <v>567.6</v>
      </c>
      <c r="AC2" s="6">
        <f>$M$2*$W$2</f>
        <v>0</v>
      </c>
      <c r="AD2" s="6">
        <f>$O$2*$X$2</f>
        <v>0</v>
      </c>
      <c r="AE2" s="6">
        <f ca="1">$K$2*$Y$2</f>
        <v>641.08015876873412</v>
      </c>
      <c r="AF2" s="6">
        <f ca="1">$M$2*$Z$2</f>
        <v>0</v>
      </c>
      <c r="AG2" s="6">
        <f>$O$2*$AA$2</f>
        <v>0</v>
      </c>
      <c r="AI2" s="35" t="s">
        <v>45</v>
      </c>
      <c r="AJ2" s="36">
        <f t="shared" ref="AJ2:AJ7" si="0">SUMIF($B$2:$B$886,AI2,$AB$2:$AB$886)+SUMIF($B$2:$B$886,AI2,$AC$2:$AC$886)</f>
        <v>788109.95433600014</v>
      </c>
      <c r="AK2" s="36">
        <f t="shared" ref="AK2:AK7" ca="1" si="1">SUMIF($B$2:$B$886,AI2,$AE$2:$AE$886)+SUMIF($B$2:$B$886,AI2,$AF$2:$AF$886)</f>
        <v>932241.28781687305</v>
      </c>
      <c r="AL2" s="37">
        <f t="shared" ref="AL2:AL10" ca="1" si="2">IF(AJ2&lt;&gt;0,AK2/AJ2-1,0)</f>
        <v>0.18288226495287296</v>
      </c>
      <c r="AN2" s="35" t="s">
        <v>45</v>
      </c>
      <c r="AO2" s="36">
        <f t="shared" ref="AO2:AO7" si="3">SUMIF($B$2:$B$886,AN2,$AD$2:$AD$886)</f>
        <v>266820.27776960004</v>
      </c>
      <c r="AP2" s="36">
        <f t="shared" ref="AP2:AP7" si="4">SUMIF($B$2:$B$886,AN2,$AG$2:$AG$886)</f>
        <v>248752.65439930873</v>
      </c>
      <c r="AQ2" s="37">
        <f t="shared" ref="AQ2:AQ10" si="5">IF(AO2&lt;&gt;0,AP2/AO2-1,0)</f>
        <v>-6.7714581220445158E-2</v>
      </c>
      <c r="AS2" s="35" t="s">
        <v>45</v>
      </c>
      <c r="AT2" s="36">
        <f t="shared" ref="AT2:AT7" si="6">SUMIF($B$2:$B$886,AS2,$AB$2:$AB$886)+SUMIF($B$2:$B$886,AS2,$AC$2:$AC$886)+SUMIF($B$2:$B$886,AS2,$AD$2:$AD$886)</f>
        <v>1054930.2321056002</v>
      </c>
      <c r="AU2" s="36">
        <f t="shared" ref="AU2:AU7" ca="1" si="7">SUMIF($B$2:$B$886,AS2,$AE$2:$AE$886)+SUMIF($B$2:$B$886,AS2,$AF$2:$AF$886)+SUMIF($B$2:$B$886,AS2,$AG$2:$AG$886)</f>
        <v>1180993.9422161817</v>
      </c>
      <c r="AV2" s="37">
        <f t="shared" ref="AV2:AV10" ca="1" si="8">IF(AT2&lt;&gt;0,AU2/AT2-1,0)</f>
        <v>0.11949957094220642</v>
      </c>
    </row>
    <row r="3" spans="1:48" ht="11.25" customHeight="1" x14ac:dyDescent="0.3">
      <c r="A3" s="4" t="s">
        <v>21</v>
      </c>
      <c r="B3" s="4" t="s">
        <v>45</v>
      </c>
      <c r="C3" s="4" t="s">
        <v>42</v>
      </c>
      <c r="D3" s="4" t="s">
        <v>41</v>
      </c>
      <c r="E3" s="4" t="s">
        <v>25</v>
      </c>
      <c r="F3" s="4" t="s">
        <v>25</v>
      </c>
      <c r="G3" s="4" t="s">
        <v>25</v>
      </c>
      <c r="H3" s="4" t="s">
        <v>34</v>
      </c>
      <c r="I3" s="5">
        <v>44562</v>
      </c>
      <c r="J3" s="6">
        <v>30</v>
      </c>
      <c r="K3" s="6">
        <v>30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26</v>
      </c>
      <c r="R3" s="4">
        <v>0</v>
      </c>
      <c r="S3" s="6">
        <v>1</v>
      </c>
      <c r="T3" s="6">
        <v>0</v>
      </c>
      <c r="U3" s="6">
        <v>0</v>
      </c>
      <c r="V3" s="6">
        <f>IF(ISERROR(VLOOKUP($S$3,'TAR FIN'!$A$1:$O$103,15,0)),0,VLOOKUP($S$3,'TAR FIN'!$A$1:$O$103,15,0))</f>
        <v>45.73</v>
      </c>
      <c r="W3" s="6">
        <f>IF(ISERROR(VLOOKUP($T$3,'TAR FIN'!$A$1:$O$103,15,0)),0,VLOOKUP($T$3,'TAR FIN'!$A$1:$O$103,15,0))</f>
        <v>0</v>
      </c>
      <c r="X3" s="6">
        <f>IF(ISERROR(VLOOKUP($U$3,'TAR FIN'!$A$1:$O$103,15,0)),0,VLOOKUP($U$3,'TAR FIN'!$A$1:$O$103,15,0))</f>
        <v>0</v>
      </c>
      <c r="Y3" s="6">
        <f ca="1">('TUSD BE'!$AM$5+'TUSD BF'!$AM$5+'TUSD CVA'!$AM$5)*1</f>
        <v>51.039453840016805</v>
      </c>
      <c r="Z3" s="6">
        <f ca="1">('TUSD BE'!$AM$7+'TUSD BF'!$AM$7+'TUSD CVA'!$AM$7)*1</f>
        <v>145.72237393634796</v>
      </c>
      <c r="AA3" s="6">
        <f>('TE BE'!$AB$5+'TE BF'!$AB$5+'TE CVA'!$AB$5)*1</f>
        <v>361.95264704220779</v>
      </c>
      <c r="AB3" s="6">
        <f>$K$3*$V$3</f>
        <v>1371.8999999999999</v>
      </c>
      <c r="AC3" s="6">
        <f>$M$3*$W$3</f>
        <v>0</v>
      </c>
      <c r="AD3" s="6">
        <f>$O$3*$X$3</f>
        <v>0</v>
      </c>
      <c r="AE3" s="6">
        <f ca="1">$K$3*$Y$3</f>
        <v>1531.1836152005042</v>
      </c>
      <c r="AF3" s="6">
        <f ca="1">$M$3*$Z$3</f>
        <v>0</v>
      </c>
      <c r="AG3" s="6">
        <f>$O$3*$AA$3</f>
        <v>0</v>
      </c>
      <c r="AI3" s="35" t="s">
        <v>39</v>
      </c>
      <c r="AJ3" s="36">
        <f t="shared" si="0"/>
        <v>5870585.0618053861</v>
      </c>
      <c r="AK3" s="36">
        <f t="shared" ca="1" si="1"/>
        <v>7965318.6056190887</v>
      </c>
      <c r="AL3" s="37">
        <f t="shared" ca="1" si="2"/>
        <v>0.3568185320134869</v>
      </c>
      <c r="AN3" s="35" t="s">
        <v>39</v>
      </c>
      <c r="AO3" s="36">
        <f t="shared" si="3"/>
        <v>4708595.2003349978</v>
      </c>
      <c r="AP3" s="36">
        <f t="shared" si="4"/>
        <v>4343771.0803187443</v>
      </c>
      <c r="AQ3" s="37">
        <f t="shared" si="5"/>
        <v>-7.7480459562609627E-2</v>
      </c>
      <c r="AS3" s="35" t="s">
        <v>39</v>
      </c>
      <c r="AT3" s="36">
        <f t="shared" si="6"/>
        <v>10579180.262140384</v>
      </c>
      <c r="AU3" s="36">
        <f t="shared" ca="1" si="7"/>
        <v>12309089.685937833</v>
      </c>
      <c r="AV3" s="37">
        <f t="shared" ca="1" si="8"/>
        <v>0.16352017651010819</v>
      </c>
    </row>
    <row r="4" spans="1:48" ht="11.25" customHeight="1" x14ac:dyDescent="0.3">
      <c r="A4" s="4" t="s">
        <v>21</v>
      </c>
      <c r="B4" s="4" t="s">
        <v>45</v>
      </c>
      <c r="C4" s="4" t="s">
        <v>42</v>
      </c>
      <c r="D4" s="4" t="s">
        <v>44</v>
      </c>
      <c r="E4" s="4" t="s">
        <v>53</v>
      </c>
      <c r="F4" s="4" t="s">
        <v>55</v>
      </c>
      <c r="G4" s="4" t="s">
        <v>25</v>
      </c>
      <c r="H4" s="4" t="s">
        <v>35</v>
      </c>
      <c r="I4" s="5">
        <v>44713</v>
      </c>
      <c r="J4" s="6">
        <v>0</v>
      </c>
      <c r="K4" s="6">
        <v>0</v>
      </c>
      <c r="L4" s="6">
        <v>169.28800000000001</v>
      </c>
      <c r="M4" s="6">
        <v>33.857599999999998</v>
      </c>
      <c r="N4" s="6">
        <v>169.28800000000001</v>
      </c>
      <c r="O4" s="6">
        <v>33.857599999999998</v>
      </c>
      <c r="P4" s="6">
        <v>0</v>
      </c>
      <c r="Q4" s="4" t="s">
        <v>26</v>
      </c>
      <c r="R4" s="4">
        <v>0</v>
      </c>
      <c r="S4" s="6">
        <v>0</v>
      </c>
      <c r="T4" s="6">
        <v>6</v>
      </c>
      <c r="U4" s="6">
        <v>63</v>
      </c>
      <c r="V4" s="6">
        <f>IF(ISERROR(VLOOKUP($S$4,'TAR FIN'!$A$1:$O$103,15,0)),0,VLOOKUP($S$4,'TAR FIN'!$A$1:$O$103,15,0))</f>
        <v>0</v>
      </c>
      <c r="W4" s="6">
        <f>IF(ISERROR(VLOOKUP($T$4,'TAR FIN'!$A$1:$O$103,15,0)),0,VLOOKUP($T$4,'TAR FIN'!$A$1:$O$103,15,0))</f>
        <v>84.99</v>
      </c>
      <c r="X4" s="6">
        <f>IF(ISERROR(VLOOKUP($U$4,'TAR FIN'!$A$1:$O$103,15,0)),0,VLOOKUP($U$4,'TAR FIN'!$A$1:$O$103,15,0))</f>
        <v>242.77</v>
      </c>
      <c r="Y4" s="6">
        <f ca="1">('TUSD BE'!$AM$6+'TUSD BF'!$AM$6+'TUSD CVA'!$AM$6)*1</f>
        <v>21.369338625624472</v>
      </c>
      <c r="Z4" s="6">
        <f ca="1">('TUSD BE'!$AM$7+'TUSD BF'!$AM$7+'TUSD CVA'!$AM$7)*1</f>
        <v>145.72237393634796</v>
      </c>
      <c r="AA4" s="6">
        <f>('TE BE'!$AB$6+'TE BF'!$AB$6+'TE CVA'!$AB$6)*1</f>
        <v>222.39386487986414</v>
      </c>
      <c r="AB4" s="6">
        <f>$K$4*$V$4</f>
        <v>0</v>
      </c>
      <c r="AC4" s="6">
        <f>$M$4*$W$4</f>
        <v>2877.5574239999996</v>
      </c>
      <c r="AD4" s="6">
        <f>$O$4*$X$4</f>
        <v>8219.6095519999999</v>
      </c>
      <c r="AE4" s="6">
        <f ca="1">$K$4*$Y$4</f>
        <v>0</v>
      </c>
      <c r="AF4" s="6">
        <f ca="1">$M$4*$Z$4</f>
        <v>4933.8098477872945</v>
      </c>
      <c r="AG4" s="6">
        <f>$O$4*$AA$4</f>
        <v>7529.7225195564879</v>
      </c>
      <c r="AI4" s="35" t="s">
        <v>22</v>
      </c>
      <c r="AJ4" s="36">
        <f t="shared" si="0"/>
        <v>18810270.251039986</v>
      </c>
      <c r="AK4" s="36">
        <f t="shared" ca="1" si="1"/>
        <v>23703967.345628045</v>
      </c>
      <c r="AL4" s="37">
        <f t="shared" ca="1" si="2"/>
        <v>0.26016091365393845</v>
      </c>
      <c r="AN4" s="35" t="s">
        <v>22</v>
      </c>
      <c r="AO4" s="36">
        <f t="shared" si="3"/>
        <v>12828733.238685004</v>
      </c>
      <c r="AP4" s="36">
        <f t="shared" si="4"/>
        <v>11765610.721400926</v>
      </c>
      <c r="AQ4" s="37">
        <f t="shared" si="5"/>
        <v>-8.2870420446364612E-2</v>
      </c>
      <c r="AS4" s="35" t="s">
        <v>22</v>
      </c>
      <c r="AT4" s="36">
        <f t="shared" si="6"/>
        <v>31639003.48972499</v>
      </c>
      <c r="AU4" s="36">
        <f t="shared" ca="1" si="7"/>
        <v>35469578.06702897</v>
      </c>
      <c r="AV4" s="37">
        <f t="shared" ca="1" si="8"/>
        <v>0.12107127768888137</v>
      </c>
    </row>
    <row r="5" spans="1:48" ht="11.25" customHeight="1" x14ac:dyDescent="0.3">
      <c r="A5" s="4" t="s">
        <v>21</v>
      </c>
      <c r="B5" s="4" t="s">
        <v>45</v>
      </c>
      <c r="C5" s="4" t="s">
        <v>42</v>
      </c>
      <c r="D5" s="4" t="s">
        <v>44</v>
      </c>
      <c r="E5" s="4" t="s">
        <v>53</v>
      </c>
      <c r="F5" s="4" t="s">
        <v>55</v>
      </c>
      <c r="G5" s="4" t="s">
        <v>25</v>
      </c>
      <c r="H5" s="4" t="s">
        <v>35</v>
      </c>
      <c r="I5" s="5">
        <v>44743</v>
      </c>
      <c r="J5" s="6">
        <v>0</v>
      </c>
      <c r="K5" s="6">
        <v>0</v>
      </c>
      <c r="L5" s="6">
        <v>169.28800000000001</v>
      </c>
      <c r="M5" s="6">
        <v>33.857599999999998</v>
      </c>
      <c r="N5" s="6">
        <v>169.28800000000001</v>
      </c>
      <c r="O5" s="6">
        <v>33.857599999999998</v>
      </c>
      <c r="P5" s="6">
        <v>0</v>
      </c>
      <c r="Q5" s="4" t="s">
        <v>26</v>
      </c>
      <c r="R5" s="4">
        <v>0</v>
      </c>
      <c r="S5" s="6">
        <v>0</v>
      </c>
      <c r="T5" s="6">
        <v>6</v>
      </c>
      <c r="U5" s="6">
        <v>63</v>
      </c>
      <c r="V5" s="6">
        <f>IF(ISERROR(VLOOKUP($S$5,'TAR FIN'!$A$1:$O$103,15,0)),0,VLOOKUP($S$5,'TAR FIN'!$A$1:$O$103,15,0))</f>
        <v>0</v>
      </c>
      <c r="W5" s="6">
        <f>IF(ISERROR(VLOOKUP($T$5,'TAR FIN'!$A$1:$O$103,15,0)),0,VLOOKUP($T$5,'TAR FIN'!$A$1:$O$103,15,0))</f>
        <v>84.99</v>
      </c>
      <c r="X5" s="6">
        <f>IF(ISERROR(VLOOKUP($U$5,'TAR FIN'!$A$1:$O$103,15,0)),0,VLOOKUP($U$5,'TAR FIN'!$A$1:$O$103,15,0))</f>
        <v>242.77</v>
      </c>
      <c r="Y5" s="6">
        <f ca="1">('TUSD BE'!$AM$6+'TUSD BF'!$AM$6+'TUSD CVA'!$AM$6)*1</f>
        <v>21.369338625624472</v>
      </c>
      <c r="Z5" s="6">
        <f ca="1">('TUSD BE'!$AM$7+'TUSD BF'!$AM$7+'TUSD CVA'!$AM$7)*1</f>
        <v>145.72237393634796</v>
      </c>
      <c r="AA5" s="6">
        <f>('TE BE'!$AB$6+'TE BF'!$AB$6+'TE CVA'!$AB$6)*1</f>
        <v>222.39386487986414</v>
      </c>
      <c r="AB5" s="6">
        <f>$K$5*$V$5</f>
        <v>0</v>
      </c>
      <c r="AC5" s="6">
        <f>$M$5*$W$5</f>
        <v>2877.5574239999996</v>
      </c>
      <c r="AD5" s="6">
        <f>$O$5*$X$5</f>
        <v>8219.6095519999999</v>
      </c>
      <c r="AE5" s="6">
        <f ca="1">$K$5*$Y$5</f>
        <v>0</v>
      </c>
      <c r="AF5" s="6">
        <f ca="1">$M$5*$Z$5</f>
        <v>4933.8098477872945</v>
      </c>
      <c r="AG5" s="6">
        <f>$O$5*$AA$5</f>
        <v>7529.7225195564879</v>
      </c>
      <c r="AI5" s="35" t="s">
        <v>43</v>
      </c>
      <c r="AJ5" s="36">
        <f t="shared" si="0"/>
        <v>5648370.6193618001</v>
      </c>
      <c r="AK5" s="36">
        <f t="shared" ca="1" si="1"/>
        <v>7661632.044159024</v>
      </c>
      <c r="AL5" s="37">
        <f t="shared" ca="1" si="2"/>
        <v>0.35643224576943555</v>
      </c>
      <c r="AN5" s="35" t="s">
        <v>43</v>
      </c>
      <c r="AO5" s="36">
        <f t="shared" si="3"/>
        <v>3796634.3059169999</v>
      </c>
      <c r="AP5" s="36">
        <f t="shared" si="4"/>
        <v>3719405.4312589997</v>
      </c>
      <c r="AQ5" s="37">
        <f t="shared" si="5"/>
        <v>-2.0341404632424065E-2</v>
      </c>
      <c r="AS5" s="35" t="s">
        <v>43</v>
      </c>
      <c r="AT5" s="36">
        <f t="shared" si="6"/>
        <v>9445004.9252787996</v>
      </c>
      <c r="AU5" s="36">
        <f t="shared" ca="1" si="7"/>
        <v>11381037.475418024</v>
      </c>
      <c r="AV5" s="37">
        <f t="shared" ca="1" si="8"/>
        <v>0.20497951726394414</v>
      </c>
    </row>
    <row r="6" spans="1:48" ht="11.25" customHeight="1" x14ac:dyDescent="0.3">
      <c r="A6" s="4" t="s">
        <v>21</v>
      </c>
      <c r="B6" s="4" t="s">
        <v>45</v>
      </c>
      <c r="C6" s="4" t="s">
        <v>42</v>
      </c>
      <c r="D6" s="4" t="s">
        <v>44</v>
      </c>
      <c r="E6" s="4" t="s">
        <v>53</v>
      </c>
      <c r="F6" s="4" t="s">
        <v>55</v>
      </c>
      <c r="G6" s="4" t="s">
        <v>25</v>
      </c>
      <c r="H6" s="4" t="s">
        <v>35</v>
      </c>
      <c r="I6" s="5">
        <v>44774</v>
      </c>
      <c r="J6" s="6">
        <v>0</v>
      </c>
      <c r="K6" s="6">
        <v>0</v>
      </c>
      <c r="L6" s="6">
        <v>498.92200000000003</v>
      </c>
      <c r="M6" s="6">
        <v>99.784400000000005</v>
      </c>
      <c r="N6" s="6">
        <v>498.92200000000003</v>
      </c>
      <c r="O6" s="6">
        <v>99.784400000000005</v>
      </c>
      <c r="P6" s="6">
        <v>0</v>
      </c>
      <c r="Q6" s="4" t="s">
        <v>26</v>
      </c>
      <c r="R6" s="4">
        <v>0</v>
      </c>
      <c r="S6" s="6">
        <v>0</v>
      </c>
      <c r="T6" s="6">
        <v>6</v>
      </c>
      <c r="U6" s="6">
        <v>63</v>
      </c>
      <c r="V6" s="6">
        <f>IF(ISERROR(VLOOKUP($S$6,'TAR FIN'!$A$1:$O$103,15,0)),0,VLOOKUP($S$6,'TAR FIN'!$A$1:$O$103,15,0))</f>
        <v>0</v>
      </c>
      <c r="W6" s="6">
        <f>IF(ISERROR(VLOOKUP($T$6,'TAR FIN'!$A$1:$O$103,15,0)),0,VLOOKUP($T$6,'TAR FIN'!$A$1:$O$103,15,0))</f>
        <v>84.99</v>
      </c>
      <c r="X6" s="6">
        <f>IF(ISERROR(VLOOKUP($U$6,'TAR FIN'!$A$1:$O$103,15,0)),0,VLOOKUP($U$6,'TAR FIN'!$A$1:$O$103,15,0))</f>
        <v>242.77</v>
      </c>
      <c r="Y6" s="6">
        <f ca="1">('TUSD BE'!$AM$6+'TUSD BF'!$AM$6+'TUSD CVA'!$AM$6)*1</f>
        <v>21.369338625624472</v>
      </c>
      <c r="Z6" s="6">
        <f ca="1">('TUSD BE'!$AM$7+'TUSD BF'!$AM$7+'TUSD CVA'!$AM$7)*1</f>
        <v>145.72237393634796</v>
      </c>
      <c r="AA6" s="6">
        <f>('TE BE'!$AB$6+'TE BF'!$AB$6+'TE CVA'!$AB$6)*1</f>
        <v>222.39386487986414</v>
      </c>
      <c r="AB6" s="6">
        <f>$K$6*$V$6</f>
        <v>0</v>
      </c>
      <c r="AC6" s="6">
        <f>$M$6*$W$6</f>
        <v>8480.6761559999995</v>
      </c>
      <c r="AD6" s="6">
        <f>$O$6*$X$6</f>
        <v>24224.658788000001</v>
      </c>
      <c r="AE6" s="6">
        <f ca="1">$K$6*$Y$6</f>
        <v>0</v>
      </c>
      <c r="AF6" s="6">
        <f ca="1">$M$6*$Z$6</f>
        <v>14540.819649814121</v>
      </c>
      <c r="AG6" s="6">
        <f>$O$6*$AA$6</f>
        <v>22191.438370718315</v>
      </c>
      <c r="AI6" s="35" t="s">
        <v>37</v>
      </c>
      <c r="AJ6" s="36">
        <f t="shared" si="0"/>
        <v>9208232.8355051987</v>
      </c>
      <c r="AK6" s="36">
        <f t="shared" ca="1" si="1"/>
        <v>11716299.536968954</v>
      </c>
      <c r="AL6" s="37">
        <f t="shared" ca="1" si="2"/>
        <v>0.27237220716152244</v>
      </c>
      <c r="AN6" s="35" t="s">
        <v>37</v>
      </c>
      <c r="AO6" s="36">
        <f t="shared" si="3"/>
        <v>6190889.4312032033</v>
      </c>
      <c r="AP6" s="36">
        <f t="shared" si="4"/>
        <v>5688804.4704217678</v>
      </c>
      <c r="AQ6" s="37">
        <f t="shared" si="5"/>
        <v>-8.1100618313555417E-2</v>
      </c>
      <c r="AS6" s="35" t="s">
        <v>37</v>
      </c>
      <c r="AT6" s="36">
        <f t="shared" si="6"/>
        <v>15399122.266708402</v>
      </c>
      <c r="AU6" s="36">
        <f t="shared" ca="1" si="7"/>
        <v>17405104.007390723</v>
      </c>
      <c r="AV6" s="37">
        <f t="shared" ca="1" si="8"/>
        <v>0.13026597918629967</v>
      </c>
    </row>
    <row r="7" spans="1:48" ht="11.25" customHeight="1" x14ac:dyDescent="0.3">
      <c r="A7" s="4" t="s">
        <v>21</v>
      </c>
      <c r="B7" s="4" t="s">
        <v>45</v>
      </c>
      <c r="C7" s="4" t="s">
        <v>42</v>
      </c>
      <c r="D7" s="4" t="s">
        <v>44</v>
      </c>
      <c r="E7" s="4" t="s">
        <v>53</v>
      </c>
      <c r="F7" s="4" t="s">
        <v>25</v>
      </c>
      <c r="G7" s="4" t="s">
        <v>25</v>
      </c>
      <c r="H7" s="4" t="s">
        <v>35</v>
      </c>
      <c r="I7" s="5">
        <v>44501</v>
      </c>
      <c r="J7" s="6">
        <v>114</v>
      </c>
      <c r="K7" s="52">
        <v>114</v>
      </c>
      <c r="L7" s="6">
        <v>0</v>
      </c>
      <c r="M7" s="52">
        <v>0</v>
      </c>
      <c r="N7" s="6">
        <v>0</v>
      </c>
      <c r="O7" s="52">
        <v>0</v>
      </c>
      <c r="P7" s="6">
        <v>0</v>
      </c>
      <c r="Q7" s="4" t="s">
        <v>26</v>
      </c>
      <c r="R7" s="4">
        <v>0</v>
      </c>
      <c r="S7" s="6">
        <v>3</v>
      </c>
      <c r="T7" s="6">
        <v>0</v>
      </c>
      <c r="U7" s="6">
        <v>0</v>
      </c>
      <c r="V7" s="52">
        <f>IF(ISERROR(VLOOKUP($S$7,'TAR FIN'!$A$1:$O$103,15,0)),0,VLOOKUP($S$7,'TAR FIN'!$A$1:$O$103,15,0))*(1-0.04)</f>
        <v>18.1632</v>
      </c>
      <c r="W7" s="52">
        <f>IF(ISERROR(VLOOKUP($T$7,'TAR FIN'!$A$1:$O$103,15,0)),0,VLOOKUP($T$7,'TAR FIN'!$A$1:$O$103,15,0))*(1-0.04)</f>
        <v>0</v>
      </c>
      <c r="X7" s="52">
        <f>IF(ISERROR(VLOOKUP($U$7,'TAR FIN'!$A$1:$O$103,15,0)),0,VLOOKUP($U$7,'TAR FIN'!$A$1:$O$103,15,0))*(1-0.04)</f>
        <v>0</v>
      </c>
      <c r="Y7" s="52">
        <f ca="1">('TUSD BE'!$AM$6+'TUSD BF'!$AM$6+'TUSD CVA'!$AM$6)*1*(1-0.02)</f>
        <v>20.941951853111981</v>
      </c>
      <c r="Z7" s="52">
        <f ca="1">('TUSD BE'!$AM$7+'TUSD BF'!$AM$7+'TUSD CVA'!$AM$7)*1*(1-0.02)</f>
        <v>142.80792645762099</v>
      </c>
      <c r="AA7" s="52">
        <f>('TE BE'!$AB$6+'TE BF'!$AB$6+'TE CVA'!$AB$6)*1*(1-0.02)</f>
        <v>217.94598758226687</v>
      </c>
      <c r="AB7" s="6">
        <f>$K$7*$V$7</f>
        <v>2070.6048000000001</v>
      </c>
      <c r="AC7" s="6">
        <f>$M$7*$W$7</f>
        <v>0</v>
      </c>
      <c r="AD7" s="6">
        <f>$O$7*$X$7</f>
        <v>0</v>
      </c>
      <c r="AE7" s="6">
        <f ca="1">$K$7*$Y$7</f>
        <v>2387.3825112547656</v>
      </c>
      <c r="AF7" s="6">
        <f ca="1">$M$7*$Z$7</f>
        <v>0</v>
      </c>
      <c r="AG7" s="6">
        <f>$O$7*$AA$7</f>
        <v>0</v>
      </c>
      <c r="AI7" s="35" t="s">
        <v>47</v>
      </c>
      <c r="AJ7" s="36">
        <f t="shared" si="0"/>
        <v>1065765.8407300001</v>
      </c>
      <c r="AK7" s="36">
        <f t="shared" ca="1" si="1"/>
        <v>1353388.6205410417</v>
      </c>
      <c r="AL7" s="37">
        <f t="shared" ca="1" si="2"/>
        <v>0.26987427145725884</v>
      </c>
      <c r="AN7" s="35" t="s">
        <v>47</v>
      </c>
      <c r="AO7" s="36">
        <f t="shared" si="3"/>
        <v>716363.70557999995</v>
      </c>
      <c r="AP7" s="36">
        <f t="shared" si="4"/>
        <v>657014.19186295709</v>
      </c>
      <c r="AQ7" s="37">
        <f t="shared" si="5"/>
        <v>-8.2848297945232852E-2</v>
      </c>
      <c r="AS7" s="35" t="s">
        <v>47</v>
      </c>
      <c r="AT7" s="36">
        <f t="shared" si="6"/>
        <v>1782129.5463100001</v>
      </c>
      <c r="AU7" s="36">
        <f t="shared" ca="1" si="7"/>
        <v>2010402.8124039988</v>
      </c>
      <c r="AV7" s="37">
        <f t="shared" ca="1" si="8"/>
        <v>0.12809016413349483</v>
      </c>
    </row>
    <row r="8" spans="1:48" ht="11.25" customHeight="1" x14ac:dyDescent="0.3">
      <c r="A8" s="4" t="s">
        <v>21</v>
      </c>
      <c r="B8" s="4" t="s">
        <v>45</v>
      </c>
      <c r="C8" s="4" t="s">
        <v>42</v>
      </c>
      <c r="D8" s="4" t="s">
        <v>44</v>
      </c>
      <c r="E8" s="4" t="s">
        <v>53</v>
      </c>
      <c r="F8" s="4" t="s">
        <v>25</v>
      </c>
      <c r="G8" s="4" t="s">
        <v>25</v>
      </c>
      <c r="H8" s="4" t="s">
        <v>35</v>
      </c>
      <c r="I8" s="5">
        <v>44531</v>
      </c>
      <c r="J8" s="6">
        <v>114</v>
      </c>
      <c r="K8" s="52">
        <v>114</v>
      </c>
      <c r="L8" s="6">
        <v>0</v>
      </c>
      <c r="M8" s="52">
        <v>0</v>
      </c>
      <c r="N8" s="6">
        <v>0</v>
      </c>
      <c r="O8" s="52">
        <v>0</v>
      </c>
      <c r="P8" s="6">
        <v>0</v>
      </c>
      <c r="Q8" s="4" t="s">
        <v>26</v>
      </c>
      <c r="R8" s="4">
        <v>0</v>
      </c>
      <c r="S8" s="6">
        <v>3</v>
      </c>
      <c r="T8" s="6">
        <v>0</v>
      </c>
      <c r="U8" s="6">
        <v>0</v>
      </c>
      <c r="V8" s="52">
        <f>IF(ISERROR(VLOOKUP($S$8,'TAR FIN'!$A$1:$O$103,15,0)),0,VLOOKUP($S$8,'TAR FIN'!$A$1:$O$103,15,0))*(1-0.04)</f>
        <v>18.1632</v>
      </c>
      <c r="W8" s="52">
        <f>IF(ISERROR(VLOOKUP($T$8,'TAR FIN'!$A$1:$O$103,15,0)),0,VLOOKUP($T$8,'TAR FIN'!$A$1:$O$103,15,0))*(1-0.04)</f>
        <v>0</v>
      </c>
      <c r="X8" s="52">
        <f>IF(ISERROR(VLOOKUP($U$8,'TAR FIN'!$A$1:$O$103,15,0)),0,VLOOKUP($U$8,'TAR FIN'!$A$1:$O$103,15,0))*(1-0.04)</f>
        <v>0</v>
      </c>
      <c r="Y8" s="52">
        <f ca="1">('TUSD BE'!$AM$6+'TUSD BF'!$AM$6+'TUSD CVA'!$AM$6)*1*(1-0.02)</f>
        <v>20.941951853111981</v>
      </c>
      <c r="Z8" s="52">
        <f ca="1">('TUSD BE'!$AM$7+'TUSD BF'!$AM$7+'TUSD CVA'!$AM$7)*1*(1-0.02)</f>
        <v>142.80792645762099</v>
      </c>
      <c r="AA8" s="52">
        <f>('TE BE'!$AB$6+'TE BF'!$AB$6+'TE CVA'!$AB$6)*1*(1-0.02)</f>
        <v>217.94598758226687</v>
      </c>
      <c r="AB8" s="6">
        <f>$K$8*$V$8</f>
        <v>2070.6048000000001</v>
      </c>
      <c r="AC8" s="6">
        <f>$M$8*$W$8</f>
        <v>0</v>
      </c>
      <c r="AD8" s="6">
        <f>$O$8*$X$8</f>
        <v>0</v>
      </c>
      <c r="AE8" s="6">
        <f ca="1">$K$8*$Y$8</f>
        <v>2387.3825112547656</v>
      </c>
      <c r="AF8" s="6">
        <f ca="1">$M$8*$Z$8</f>
        <v>0</v>
      </c>
      <c r="AG8" s="6">
        <f>$O$8*$AA$8</f>
        <v>0</v>
      </c>
      <c r="AI8" s="35" t="s">
        <v>794</v>
      </c>
      <c r="AJ8" s="36">
        <f>+$AJ$2+$AJ$3</f>
        <v>6658695.0161413867</v>
      </c>
      <c r="AK8" s="36">
        <f ca="1">+$AK$2+$AK$3</f>
        <v>8897559.8934359625</v>
      </c>
      <c r="AL8" s="37">
        <f t="shared" ca="1" si="2"/>
        <v>0.33623177993095177</v>
      </c>
      <c r="AN8" s="35" t="s">
        <v>794</v>
      </c>
      <c r="AO8" s="36">
        <f>+$AO$2+$AO$3</f>
        <v>4975415.4781045979</v>
      </c>
      <c r="AP8" s="36">
        <f>+$AP$2+$AP$3</f>
        <v>4592523.7347180527</v>
      </c>
      <c r="AQ8" s="37">
        <f t="shared" si="5"/>
        <v>-7.6956737597401403E-2</v>
      </c>
      <c r="AS8" s="35" t="s">
        <v>794</v>
      </c>
      <c r="AT8" s="36">
        <f>+$AT$2+$AT$3</f>
        <v>11634110.494245984</v>
      </c>
      <c r="AU8" s="36">
        <f ca="1">+$AU$2+$AU$3</f>
        <v>13490083.628154015</v>
      </c>
      <c r="AV8" s="37">
        <f t="shared" ca="1" si="8"/>
        <v>0.1595285806186868</v>
      </c>
    </row>
    <row r="9" spans="1:48" ht="11.25" customHeight="1" x14ac:dyDescent="0.3">
      <c r="A9" s="4" t="s">
        <v>21</v>
      </c>
      <c r="B9" s="4" t="s">
        <v>45</v>
      </c>
      <c r="C9" s="4" t="s">
        <v>42</v>
      </c>
      <c r="D9" s="4" t="s">
        <v>44</v>
      </c>
      <c r="E9" s="4" t="s">
        <v>53</v>
      </c>
      <c r="F9" s="4" t="s">
        <v>25</v>
      </c>
      <c r="G9" s="4" t="s">
        <v>25</v>
      </c>
      <c r="H9" s="4" t="s">
        <v>35</v>
      </c>
      <c r="I9" s="5">
        <v>44593</v>
      </c>
      <c r="J9" s="6">
        <v>114</v>
      </c>
      <c r="K9" s="52">
        <v>114</v>
      </c>
      <c r="L9" s="6">
        <v>0</v>
      </c>
      <c r="M9" s="52">
        <v>0</v>
      </c>
      <c r="N9" s="6">
        <v>0</v>
      </c>
      <c r="O9" s="52">
        <v>0</v>
      </c>
      <c r="P9" s="6">
        <v>0</v>
      </c>
      <c r="Q9" s="4" t="s">
        <v>26</v>
      </c>
      <c r="R9" s="4">
        <v>0</v>
      </c>
      <c r="S9" s="6">
        <v>3</v>
      </c>
      <c r="T9" s="6">
        <v>0</v>
      </c>
      <c r="U9" s="6">
        <v>0</v>
      </c>
      <c r="V9" s="52">
        <f>IF(ISERROR(VLOOKUP($S$9,'TAR FIN'!$A$1:$O$103,15,0)),0,VLOOKUP($S$9,'TAR FIN'!$A$1:$O$103,15,0))*(1-0.04)</f>
        <v>18.1632</v>
      </c>
      <c r="W9" s="52">
        <f>IF(ISERROR(VLOOKUP($T$9,'TAR FIN'!$A$1:$O$103,15,0)),0,VLOOKUP($T$9,'TAR FIN'!$A$1:$O$103,15,0))*(1-0.04)</f>
        <v>0</v>
      </c>
      <c r="X9" s="52">
        <f>IF(ISERROR(VLOOKUP($U$9,'TAR FIN'!$A$1:$O$103,15,0)),0,VLOOKUP($U$9,'TAR FIN'!$A$1:$O$103,15,0))*(1-0.04)</f>
        <v>0</v>
      </c>
      <c r="Y9" s="52">
        <f ca="1">('TUSD BE'!$AM$6+'TUSD BF'!$AM$6+'TUSD CVA'!$AM$6)*1*(1-0.02)</f>
        <v>20.941951853111981</v>
      </c>
      <c r="Z9" s="52">
        <f ca="1">('TUSD BE'!$AM$7+'TUSD BF'!$AM$7+'TUSD CVA'!$AM$7)*1*(1-0.02)</f>
        <v>142.80792645762099</v>
      </c>
      <c r="AA9" s="52">
        <f>('TE BE'!$AB$6+'TE BF'!$AB$6+'TE CVA'!$AB$6)*1*(1-0.02)</f>
        <v>217.94598758226687</v>
      </c>
      <c r="AB9" s="6">
        <f>$K$9*$V$9</f>
        <v>2070.6048000000001</v>
      </c>
      <c r="AC9" s="6">
        <f>$M$9*$W$9</f>
        <v>0</v>
      </c>
      <c r="AD9" s="6">
        <f>$O$9*$X$9</f>
        <v>0</v>
      </c>
      <c r="AE9" s="6">
        <f ca="1">$K$9*$Y$9</f>
        <v>2387.3825112547656</v>
      </c>
      <c r="AF9" s="6">
        <f ca="1">$M$9*$Z$9</f>
        <v>0</v>
      </c>
      <c r="AG9" s="6">
        <f>$O$9*$AA$9</f>
        <v>0</v>
      </c>
      <c r="AI9" s="35" t="s">
        <v>88</v>
      </c>
      <c r="AJ9" s="36">
        <f>+$AJ$4+$AJ$5+$AJ$6+$AJ$7</f>
        <v>34732639.546636984</v>
      </c>
      <c r="AK9" s="36">
        <f ca="1">+$AK$4+$AK$5+$AK$6+$AK$7</f>
        <v>44435287.547297068</v>
      </c>
      <c r="AL9" s="37">
        <f t="shared" ca="1" si="2"/>
        <v>0.27935245139177889</v>
      </c>
      <c r="AN9" s="35" t="s">
        <v>88</v>
      </c>
      <c r="AO9" s="36">
        <f>+$AO$4+$AO$5+$AO$6+$AO$7</f>
        <v>23532620.681385208</v>
      </c>
      <c r="AP9" s="36">
        <f>+$AP$4+$AP$5+$AP$6+$AP$7</f>
        <v>21830834.814944651</v>
      </c>
      <c r="AQ9" s="37">
        <f t="shared" si="5"/>
        <v>-7.2316036937896344E-2</v>
      </c>
      <c r="AS9" s="35" t="s">
        <v>88</v>
      </c>
      <c r="AT9" s="36">
        <f>+$AT$4+$AT$5+$AT$6+$AT$7</f>
        <v>58265260.228022195</v>
      </c>
      <c r="AU9" s="36">
        <f ca="1">+$AU$4+$AU$5+$AU$6+$AU$7</f>
        <v>66266122.362241715</v>
      </c>
      <c r="AV9" s="37">
        <f t="shared" ca="1" si="8"/>
        <v>0.13731788209488793</v>
      </c>
    </row>
    <row r="10" spans="1:48" ht="11.25" customHeight="1" x14ac:dyDescent="0.3">
      <c r="A10" s="4" t="s">
        <v>21</v>
      </c>
      <c r="B10" s="4" t="s">
        <v>45</v>
      </c>
      <c r="C10" s="4" t="s">
        <v>42</v>
      </c>
      <c r="D10" s="4" t="s">
        <v>44</v>
      </c>
      <c r="E10" s="4" t="s">
        <v>53</v>
      </c>
      <c r="F10" s="4" t="s">
        <v>25</v>
      </c>
      <c r="G10" s="4" t="s">
        <v>25</v>
      </c>
      <c r="H10" s="4" t="s">
        <v>35</v>
      </c>
      <c r="I10" s="5">
        <v>44621</v>
      </c>
      <c r="J10" s="6">
        <v>114</v>
      </c>
      <c r="K10" s="52">
        <v>114</v>
      </c>
      <c r="L10" s="6">
        <v>0</v>
      </c>
      <c r="M10" s="52">
        <v>0</v>
      </c>
      <c r="N10" s="6">
        <v>0</v>
      </c>
      <c r="O10" s="52">
        <v>0</v>
      </c>
      <c r="P10" s="6">
        <v>0</v>
      </c>
      <c r="Q10" s="4" t="s">
        <v>26</v>
      </c>
      <c r="R10" s="4">
        <v>0</v>
      </c>
      <c r="S10" s="6">
        <v>3</v>
      </c>
      <c r="T10" s="6">
        <v>0</v>
      </c>
      <c r="U10" s="6">
        <v>0</v>
      </c>
      <c r="V10" s="52">
        <f>IF(ISERROR(VLOOKUP($S$10,'TAR FIN'!$A$1:$O$103,15,0)),0,VLOOKUP($S$10,'TAR FIN'!$A$1:$O$103,15,0))*(1-0.04)</f>
        <v>18.1632</v>
      </c>
      <c r="W10" s="52">
        <f>IF(ISERROR(VLOOKUP($T$10,'TAR FIN'!$A$1:$O$103,15,0)),0,VLOOKUP($T$10,'TAR FIN'!$A$1:$O$103,15,0))*(1-0.04)</f>
        <v>0</v>
      </c>
      <c r="X10" s="52">
        <f>IF(ISERROR(VLOOKUP($U$10,'TAR FIN'!$A$1:$O$103,15,0)),0,VLOOKUP($U$10,'TAR FIN'!$A$1:$O$103,15,0))*(1-0.04)</f>
        <v>0</v>
      </c>
      <c r="Y10" s="52">
        <f ca="1">('TUSD BE'!$AM$6+'TUSD BF'!$AM$6+'TUSD CVA'!$AM$6)*1*(1-0.02)</f>
        <v>20.941951853111981</v>
      </c>
      <c r="Z10" s="52">
        <f ca="1">('TUSD BE'!$AM$7+'TUSD BF'!$AM$7+'TUSD CVA'!$AM$7)*1*(1-0.02)</f>
        <v>142.80792645762099</v>
      </c>
      <c r="AA10" s="52">
        <f>('TE BE'!$AB$6+'TE BF'!$AB$6+'TE CVA'!$AB$6)*1*(1-0.02)</f>
        <v>217.94598758226687</v>
      </c>
      <c r="AB10" s="6">
        <f>$K$10*$V$10</f>
        <v>2070.6048000000001</v>
      </c>
      <c r="AC10" s="6">
        <f>$M$10*$W$10</f>
        <v>0</v>
      </c>
      <c r="AD10" s="6">
        <f>$O$10*$X$10</f>
        <v>0</v>
      </c>
      <c r="AE10" s="6">
        <f ca="1">$K$10*$Y$10</f>
        <v>2387.3825112547656</v>
      </c>
      <c r="AF10" s="6">
        <f ca="1">$M$10*$Z$10</f>
        <v>0</v>
      </c>
      <c r="AG10" s="6">
        <f>$O$10*$AA$10</f>
        <v>0</v>
      </c>
      <c r="AI10" s="35" t="s">
        <v>795</v>
      </c>
      <c r="AJ10" s="36">
        <f>AJ9+AJ8</f>
        <v>41391334.562778369</v>
      </c>
      <c r="AK10" s="36">
        <f ca="1">AK9+AK8</f>
        <v>53332847.44073303</v>
      </c>
      <c r="AL10" s="37">
        <f t="shared" ca="1" si="2"/>
        <v>0.28850272657536391</v>
      </c>
      <c r="AN10" s="35" t="s">
        <v>795</v>
      </c>
      <c r="AO10" s="36">
        <f>AO9+AO8</f>
        <v>28508036.159489807</v>
      </c>
      <c r="AP10" s="36">
        <f>AP9+AP8</f>
        <v>26423358.549662702</v>
      </c>
      <c r="AQ10" s="37">
        <f t="shared" si="5"/>
        <v>-7.3125963435862751E-2</v>
      </c>
      <c r="AS10" s="35" t="s">
        <v>795</v>
      </c>
      <c r="AT10" s="36">
        <f>AT9+AT8</f>
        <v>69899370.722268179</v>
      </c>
      <c r="AU10" s="36">
        <f ca="1">AU9+AU8</f>
        <v>79756205.990395725</v>
      </c>
      <c r="AV10" s="37">
        <f t="shared" ca="1" si="8"/>
        <v>0.14101464957805998</v>
      </c>
    </row>
    <row r="11" spans="1:48" ht="11.25" customHeight="1" x14ac:dyDescent="0.3">
      <c r="A11" s="4" t="s">
        <v>21</v>
      </c>
      <c r="B11" s="4" t="s">
        <v>45</v>
      </c>
      <c r="C11" s="4" t="s">
        <v>42</v>
      </c>
      <c r="D11" s="4" t="s">
        <v>44</v>
      </c>
      <c r="E11" s="4" t="s">
        <v>53</v>
      </c>
      <c r="F11" s="4" t="s">
        <v>25</v>
      </c>
      <c r="G11" s="4" t="s">
        <v>25</v>
      </c>
      <c r="H11" s="4" t="s">
        <v>35</v>
      </c>
      <c r="I11" s="5">
        <v>44652</v>
      </c>
      <c r="J11" s="6">
        <v>114</v>
      </c>
      <c r="K11" s="52">
        <v>114</v>
      </c>
      <c r="L11" s="6">
        <v>0</v>
      </c>
      <c r="M11" s="52">
        <v>0</v>
      </c>
      <c r="N11" s="6">
        <v>0</v>
      </c>
      <c r="O11" s="52">
        <v>0</v>
      </c>
      <c r="P11" s="6">
        <v>0</v>
      </c>
      <c r="Q11" s="4" t="s">
        <v>26</v>
      </c>
      <c r="R11" s="4">
        <v>0</v>
      </c>
      <c r="S11" s="6">
        <v>3</v>
      </c>
      <c r="T11" s="6">
        <v>0</v>
      </c>
      <c r="U11" s="6">
        <v>0</v>
      </c>
      <c r="V11" s="52">
        <f>IF(ISERROR(VLOOKUP($S$11,'TAR FIN'!$A$1:$O$103,15,0)),0,VLOOKUP($S$11,'TAR FIN'!$A$1:$O$103,15,0))*(1-0.04)</f>
        <v>18.1632</v>
      </c>
      <c r="W11" s="52">
        <f>IF(ISERROR(VLOOKUP($T$11,'TAR FIN'!$A$1:$O$103,15,0)),0,VLOOKUP($T$11,'TAR FIN'!$A$1:$O$103,15,0))*(1-0.04)</f>
        <v>0</v>
      </c>
      <c r="X11" s="52">
        <f>IF(ISERROR(VLOOKUP($U$11,'TAR FIN'!$A$1:$O$103,15,0)),0,VLOOKUP($U$11,'TAR FIN'!$A$1:$O$103,15,0))*(1-0.04)</f>
        <v>0</v>
      </c>
      <c r="Y11" s="52">
        <f ca="1">('TUSD BE'!$AM$6+'TUSD BF'!$AM$6+'TUSD CVA'!$AM$6)*1*(1-0.02)</f>
        <v>20.941951853111981</v>
      </c>
      <c r="Z11" s="52">
        <f ca="1">('TUSD BE'!$AM$7+'TUSD BF'!$AM$7+'TUSD CVA'!$AM$7)*1*(1-0.02)</f>
        <v>142.80792645762099</v>
      </c>
      <c r="AA11" s="52">
        <f>('TE BE'!$AB$6+'TE BF'!$AB$6+'TE CVA'!$AB$6)*1*(1-0.02)</f>
        <v>217.94598758226687</v>
      </c>
      <c r="AB11" s="6">
        <f>$K$11*$V$11</f>
        <v>2070.6048000000001</v>
      </c>
      <c r="AC11" s="6">
        <f>$M$11*$W$11</f>
        <v>0</v>
      </c>
      <c r="AD11" s="6">
        <f>$O$11*$X$11</f>
        <v>0</v>
      </c>
      <c r="AE11" s="6">
        <f ca="1">$K$11*$Y$11</f>
        <v>2387.3825112547656</v>
      </c>
      <c r="AF11" s="6">
        <f ca="1">$M$11*$Z$11</f>
        <v>0</v>
      </c>
      <c r="AG11" s="6">
        <f>$O$11*$AA$11</f>
        <v>0</v>
      </c>
    </row>
    <row r="12" spans="1:48" ht="11.25" customHeight="1" x14ac:dyDescent="0.3">
      <c r="A12" s="4" t="s">
        <v>21</v>
      </c>
      <c r="B12" s="4" t="s">
        <v>45</v>
      </c>
      <c r="C12" s="4" t="s">
        <v>42</v>
      </c>
      <c r="D12" s="4" t="s">
        <v>44</v>
      </c>
      <c r="E12" s="4" t="s">
        <v>53</v>
      </c>
      <c r="F12" s="4" t="s">
        <v>25</v>
      </c>
      <c r="G12" s="4" t="s">
        <v>25</v>
      </c>
      <c r="H12" s="4" t="s">
        <v>35</v>
      </c>
      <c r="I12" s="5">
        <v>44682</v>
      </c>
      <c r="J12" s="6">
        <v>114</v>
      </c>
      <c r="K12" s="52">
        <v>114</v>
      </c>
      <c r="L12" s="6">
        <v>0</v>
      </c>
      <c r="M12" s="52">
        <v>0</v>
      </c>
      <c r="N12" s="6">
        <v>0</v>
      </c>
      <c r="O12" s="52">
        <v>0</v>
      </c>
      <c r="P12" s="6">
        <v>0</v>
      </c>
      <c r="Q12" s="4" t="s">
        <v>26</v>
      </c>
      <c r="R12" s="4">
        <v>0</v>
      </c>
      <c r="S12" s="6">
        <v>3</v>
      </c>
      <c r="T12" s="6">
        <v>0</v>
      </c>
      <c r="U12" s="6">
        <v>0</v>
      </c>
      <c r="V12" s="52">
        <f>IF(ISERROR(VLOOKUP($S$12,'TAR FIN'!$A$1:$O$103,15,0)),0,VLOOKUP($S$12,'TAR FIN'!$A$1:$O$103,15,0))*(1-0.04)</f>
        <v>18.1632</v>
      </c>
      <c r="W12" s="52">
        <f>IF(ISERROR(VLOOKUP($T$12,'TAR FIN'!$A$1:$O$103,15,0)),0,VLOOKUP($T$12,'TAR FIN'!$A$1:$O$103,15,0))*(1-0.04)</f>
        <v>0</v>
      </c>
      <c r="X12" s="52">
        <f>IF(ISERROR(VLOOKUP($U$12,'TAR FIN'!$A$1:$O$103,15,0)),0,VLOOKUP($U$12,'TAR FIN'!$A$1:$O$103,15,0))*(1-0.04)</f>
        <v>0</v>
      </c>
      <c r="Y12" s="52">
        <f ca="1">('TUSD BE'!$AM$6+'TUSD BF'!$AM$6+'TUSD CVA'!$AM$6)*1*(1-0.02)</f>
        <v>20.941951853111981</v>
      </c>
      <c r="Z12" s="52">
        <f ca="1">('TUSD BE'!$AM$7+'TUSD BF'!$AM$7+'TUSD CVA'!$AM$7)*1*(1-0.02)</f>
        <v>142.80792645762099</v>
      </c>
      <c r="AA12" s="52">
        <f>('TE BE'!$AB$6+'TE BF'!$AB$6+'TE CVA'!$AB$6)*1*(1-0.02)</f>
        <v>217.94598758226687</v>
      </c>
      <c r="AB12" s="6">
        <f>$K$12*$V$12</f>
        <v>2070.6048000000001</v>
      </c>
      <c r="AC12" s="6">
        <f>$M$12*$W$12</f>
        <v>0</v>
      </c>
      <c r="AD12" s="6">
        <f>$O$12*$X$12</f>
        <v>0</v>
      </c>
      <c r="AE12" s="6">
        <f ca="1">$K$12*$Y$12</f>
        <v>2387.3825112547656</v>
      </c>
      <c r="AF12" s="6">
        <f ca="1">$M$12*$Z$12</f>
        <v>0</v>
      </c>
      <c r="AG12" s="6">
        <f>$O$12*$AA$12</f>
        <v>0</v>
      </c>
      <c r="AU12" s="95">
        <f ca="1">AU10+SUBSIDIO!AJ11</f>
        <v>87272678.893246949</v>
      </c>
    </row>
    <row r="13" spans="1:48" ht="11.25" customHeight="1" x14ac:dyDescent="0.3">
      <c r="A13" s="4" t="s">
        <v>21</v>
      </c>
      <c r="B13" s="4" t="s">
        <v>45</v>
      </c>
      <c r="C13" s="4" t="s">
        <v>42</v>
      </c>
      <c r="D13" s="4" t="s">
        <v>44</v>
      </c>
      <c r="E13" s="4" t="s">
        <v>53</v>
      </c>
      <c r="F13" s="4" t="s">
        <v>25</v>
      </c>
      <c r="G13" s="4" t="s">
        <v>25</v>
      </c>
      <c r="H13" s="4" t="s">
        <v>35</v>
      </c>
      <c r="I13" s="5">
        <v>44713</v>
      </c>
      <c r="J13" s="6">
        <v>1100</v>
      </c>
      <c r="K13" s="52">
        <v>1100</v>
      </c>
      <c r="L13" s="6">
        <v>249.721</v>
      </c>
      <c r="M13" s="52">
        <v>249.721</v>
      </c>
      <c r="N13" s="6">
        <v>249.721</v>
      </c>
      <c r="O13" s="52">
        <v>249.721</v>
      </c>
      <c r="P13" s="6">
        <v>0</v>
      </c>
      <c r="Q13" s="4" t="s">
        <v>26</v>
      </c>
      <c r="R13" s="4">
        <v>0</v>
      </c>
      <c r="S13" s="6">
        <v>3</v>
      </c>
      <c r="T13" s="6">
        <v>6</v>
      </c>
      <c r="U13" s="6">
        <v>63</v>
      </c>
      <c r="V13" s="52">
        <f>IF(ISERROR(VLOOKUP($S$13,'TAR FIN'!$A$1:$O$103,15,0)),0,VLOOKUP($S$13,'TAR FIN'!$A$1:$O$103,15,0))*(1-0.04)</f>
        <v>18.1632</v>
      </c>
      <c r="W13" s="52">
        <f>IF(ISERROR(VLOOKUP($T$13,'TAR FIN'!$A$1:$O$103,15,0)),0,VLOOKUP($T$13,'TAR FIN'!$A$1:$O$103,15,0))*(1-0.04)</f>
        <v>81.590399999999988</v>
      </c>
      <c r="X13" s="52">
        <f>IF(ISERROR(VLOOKUP($U$13,'TAR FIN'!$A$1:$O$103,15,0)),0,VLOOKUP($U$13,'TAR FIN'!$A$1:$O$103,15,0))*(1-0.04)</f>
        <v>233.0592</v>
      </c>
      <c r="Y13" s="52">
        <f ca="1">('TUSD BE'!$AM$6+'TUSD BF'!$AM$6+'TUSD CVA'!$AM$6)*1*(1-0.02)</f>
        <v>20.941951853111981</v>
      </c>
      <c r="Z13" s="52">
        <f ca="1">('TUSD BE'!$AM$7+'TUSD BF'!$AM$7+'TUSD CVA'!$AM$7)*1*(1-0.02)</f>
        <v>142.80792645762099</v>
      </c>
      <c r="AA13" s="52">
        <f>('TE BE'!$AB$6+'TE BF'!$AB$6+'TE CVA'!$AB$6)*1*(1-0.02)</f>
        <v>217.94598758226687</v>
      </c>
      <c r="AB13" s="6">
        <f>$K$13*$V$13</f>
        <v>19979.52</v>
      </c>
      <c r="AC13" s="6">
        <f>$M$13*$W$13</f>
        <v>20374.836278399998</v>
      </c>
      <c r="AD13" s="6">
        <f>$O$13*$X$13</f>
        <v>58199.776483200003</v>
      </c>
      <c r="AE13" s="6">
        <f ca="1">$K$13*$Y$13</f>
        <v>23036.14703842318</v>
      </c>
      <c r="AF13" s="6">
        <f ca="1">$M$13*$Z$13</f>
        <v>35662.138202923576</v>
      </c>
      <c r="AG13" s="6">
        <f>$O$13*$AA$13</f>
        <v>54425.689965031263</v>
      </c>
      <c r="AU13" s="95">
        <f ca="1">AU12-CUSTOS!H48</f>
        <v>4139683.0911483616</v>
      </c>
    </row>
    <row r="14" spans="1:48" ht="11.25" customHeight="1" x14ac:dyDescent="0.3">
      <c r="A14" s="4" t="s">
        <v>21</v>
      </c>
      <c r="B14" s="4" t="s">
        <v>45</v>
      </c>
      <c r="C14" s="4" t="s">
        <v>42</v>
      </c>
      <c r="D14" s="4" t="s">
        <v>44</v>
      </c>
      <c r="E14" s="4" t="s">
        <v>53</v>
      </c>
      <c r="F14" s="4" t="s">
        <v>25</v>
      </c>
      <c r="G14" s="4" t="s">
        <v>25</v>
      </c>
      <c r="H14" s="4" t="s">
        <v>35</v>
      </c>
      <c r="I14" s="5">
        <v>44743</v>
      </c>
      <c r="J14" s="6">
        <v>1100</v>
      </c>
      <c r="K14" s="52">
        <v>1100</v>
      </c>
      <c r="L14" s="6">
        <v>249.721</v>
      </c>
      <c r="M14" s="52">
        <v>249.721</v>
      </c>
      <c r="N14" s="6">
        <v>249.721</v>
      </c>
      <c r="O14" s="52">
        <v>249.721</v>
      </c>
      <c r="P14" s="6">
        <v>0</v>
      </c>
      <c r="Q14" s="4" t="s">
        <v>26</v>
      </c>
      <c r="R14" s="4">
        <v>0</v>
      </c>
      <c r="S14" s="6">
        <v>3</v>
      </c>
      <c r="T14" s="6">
        <v>6</v>
      </c>
      <c r="U14" s="6">
        <v>63</v>
      </c>
      <c r="V14" s="52">
        <f>IF(ISERROR(VLOOKUP($S$14,'TAR FIN'!$A$1:$O$103,15,0)),0,VLOOKUP($S$14,'TAR FIN'!$A$1:$O$103,15,0))*(1-0.04)</f>
        <v>18.1632</v>
      </c>
      <c r="W14" s="52">
        <f>IF(ISERROR(VLOOKUP($T$14,'TAR FIN'!$A$1:$O$103,15,0)),0,VLOOKUP($T$14,'TAR FIN'!$A$1:$O$103,15,0))*(1-0.04)</f>
        <v>81.590399999999988</v>
      </c>
      <c r="X14" s="52">
        <f>IF(ISERROR(VLOOKUP($U$14,'TAR FIN'!$A$1:$O$103,15,0)),0,VLOOKUP($U$14,'TAR FIN'!$A$1:$O$103,15,0))*(1-0.04)</f>
        <v>233.0592</v>
      </c>
      <c r="Y14" s="52">
        <f ca="1">('TUSD BE'!$AM$6+'TUSD BF'!$AM$6+'TUSD CVA'!$AM$6)*1*(1-0.02)</f>
        <v>20.941951853111981</v>
      </c>
      <c r="Z14" s="52">
        <f ca="1">('TUSD BE'!$AM$7+'TUSD BF'!$AM$7+'TUSD CVA'!$AM$7)*1*(1-0.02)</f>
        <v>142.80792645762099</v>
      </c>
      <c r="AA14" s="52">
        <f>('TE BE'!$AB$6+'TE BF'!$AB$6+'TE CVA'!$AB$6)*1*(1-0.02)</f>
        <v>217.94598758226687</v>
      </c>
      <c r="AB14" s="6">
        <f>$K$14*$V$14</f>
        <v>19979.52</v>
      </c>
      <c r="AC14" s="6">
        <f>$M$14*$W$14</f>
        <v>20374.836278399998</v>
      </c>
      <c r="AD14" s="6">
        <f>$O$14*$X$14</f>
        <v>58199.776483200003</v>
      </c>
      <c r="AE14" s="6">
        <f ca="1">$K$14*$Y$14</f>
        <v>23036.14703842318</v>
      </c>
      <c r="AF14" s="6">
        <f ca="1">$M$14*$Z$14</f>
        <v>35662.138202923576</v>
      </c>
      <c r="AG14" s="6">
        <f>$O$14*$AA$14</f>
        <v>54425.689965031263</v>
      </c>
      <c r="AU14" s="95">
        <f ca="1">AU13-SUBSIDIO!AJ9</f>
        <v>-2.8312206268310547E-7</v>
      </c>
    </row>
    <row r="15" spans="1:48" ht="11.25" customHeight="1" x14ac:dyDescent="0.3">
      <c r="A15" s="4" t="s">
        <v>21</v>
      </c>
      <c r="B15" s="4" t="s">
        <v>45</v>
      </c>
      <c r="C15" s="4" t="s">
        <v>42</v>
      </c>
      <c r="D15" s="4" t="s">
        <v>44</v>
      </c>
      <c r="E15" s="4" t="s">
        <v>53</v>
      </c>
      <c r="F15" s="4" t="s">
        <v>25</v>
      </c>
      <c r="G15" s="4" t="s">
        <v>25</v>
      </c>
      <c r="H15" s="4" t="s">
        <v>35</v>
      </c>
      <c r="I15" s="5">
        <v>44774</v>
      </c>
      <c r="J15" s="6">
        <v>1100</v>
      </c>
      <c r="K15" s="52">
        <v>1100</v>
      </c>
      <c r="L15" s="6">
        <v>422.24400000000003</v>
      </c>
      <c r="M15" s="52">
        <v>422.24400000000003</v>
      </c>
      <c r="N15" s="6">
        <v>422.24400000000003</v>
      </c>
      <c r="O15" s="52">
        <v>422.24400000000003</v>
      </c>
      <c r="P15" s="6">
        <v>0</v>
      </c>
      <c r="Q15" s="4" t="s">
        <v>26</v>
      </c>
      <c r="R15" s="4">
        <v>0</v>
      </c>
      <c r="S15" s="6">
        <v>3</v>
      </c>
      <c r="T15" s="6">
        <v>6</v>
      </c>
      <c r="U15" s="6">
        <v>63</v>
      </c>
      <c r="V15" s="52">
        <f>IF(ISERROR(VLOOKUP($S$15,'TAR FIN'!$A$1:$O$103,15,0)),0,VLOOKUP($S$15,'TAR FIN'!$A$1:$O$103,15,0))*(1-0.04)</f>
        <v>18.1632</v>
      </c>
      <c r="W15" s="52">
        <f>IF(ISERROR(VLOOKUP($T$15,'TAR FIN'!$A$1:$O$103,15,0)),0,VLOOKUP($T$15,'TAR FIN'!$A$1:$O$103,15,0))*(1-0.04)</f>
        <v>81.590399999999988</v>
      </c>
      <c r="X15" s="52">
        <f>IF(ISERROR(VLOOKUP($U$15,'TAR FIN'!$A$1:$O$103,15,0)),0,VLOOKUP($U$15,'TAR FIN'!$A$1:$O$103,15,0))*(1-0.04)</f>
        <v>233.0592</v>
      </c>
      <c r="Y15" s="52">
        <f ca="1">('TUSD BE'!$AM$6+'TUSD BF'!$AM$6+'TUSD CVA'!$AM$6)*1*(1-0.02)</f>
        <v>20.941951853111981</v>
      </c>
      <c r="Z15" s="52">
        <f ca="1">('TUSD BE'!$AM$7+'TUSD BF'!$AM$7+'TUSD CVA'!$AM$7)*1*(1-0.02)</f>
        <v>142.80792645762099</v>
      </c>
      <c r="AA15" s="52">
        <f>('TE BE'!$AB$6+'TE BF'!$AB$6+'TE CVA'!$AB$6)*1*(1-0.02)</f>
        <v>217.94598758226687</v>
      </c>
      <c r="AB15" s="6">
        <f>$K$15*$V$15</f>
        <v>19979.52</v>
      </c>
      <c r="AC15" s="6">
        <f>$M$15*$W$15</f>
        <v>34451.056857600001</v>
      </c>
      <c r="AD15" s="6">
        <f>$O$15*$X$15</f>
        <v>98407.848844800013</v>
      </c>
      <c r="AE15" s="6">
        <f ca="1">$K$15*$Y$15</f>
        <v>23036.14703842318</v>
      </c>
      <c r="AF15" s="6">
        <f ca="1">$M$15*$Z$15</f>
        <v>60299.790099171725</v>
      </c>
      <c r="AG15" s="6">
        <f>$O$15*$AA$15</f>
        <v>92026.385580686692</v>
      </c>
    </row>
    <row r="16" spans="1:48" ht="11.25" customHeight="1" x14ac:dyDescent="0.3">
      <c r="A16" s="4" t="s">
        <v>21</v>
      </c>
      <c r="B16" s="4" t="s">
        <v>45</v>
      </c>
      <c r="C16" s="4" t="s">
        <v>42</v>
      </c>
      <c r="D16" s="4" t="s">
        <v>44</v>
      </c>
      <c r="E16" s="4" t="s">
        <v>53</v>
      </c>
      <c r="F16" s="4" t="s">
        <v>25</v>
      </c>
      <c r="G16" s="4" t="s">
        <v>25</v>
      </c>
      <c r="H16" s="4" t="s">
        <v>35</v>
      </c>
      <c r="I16" s="5">
        <v>44805</v>
      </c>
      <c r="J16" s="6">
        <v>110</v>
      </c>
      <c r="K16" s="52">
        <v>110</v>
      </c>
      <c r="L16" s="6">
        <v>0</v>
      </c>
      <c r="M16" s="52">
        <v>0</v>
      </c>
      <c r="N16" s="6">
        <v>0</v>
      </c>
      <c r="O16" s="52">
        <v>0</v>
      </c>
      <c r="P16" s="6">
        <v>0</v>
      </c>
      <c r="Q16" s="4" t="s">
        <v>26</v>
      </c>
      <c r="R16" s="4">
        <v>0</v>
      </c>
      <c r="S16" s="6">
        <v>3</v>
      </c>
      <c r="T16" s="6">
        <v>0</v>
      </c>
      <c r="U16" s="6">
        <v>0</v>
      </c>
      <c r="V16" s="52">
        <f>IF(ISERROR(VLOOKUP($S$16,'TAR FIN'!$A$1:$O$103,15,0)),0,VLOOKUP($S$16,'TAR FIN'!$A$1:$O$103,15,0))*(1-0.04)</f>
        <v>18.1632</v>
      </c>
      <c r="W16" s="52">
        <f>IF(ISERROR(VLOOKUP($T$16,'TAR FIN'!$A$1:$O$103,15,0)),0,VLOOKUP($T$16,'TAR FIN'!$A$1:$O$103,15,0))*(1-0.04)</f>
        <v>0</v>
      </c>
      <c r="X16" s="52">
        <f>IF(ISERROR(VLOOKUP($U$16,'TAR FIN'!$A$1:$O$103,15,0)),0,VLOOKUP($U$16,'TAR FIN'!$A$1:$O$103,15,0))*(1-0.04)</f>
        <v>0</v>
      </c>
      <c r="Y16" s="52">
        <f ca="1">('TUSD BE'!$AM$6+'TUSD BF'!$AM$6+'TUSD CVA'!$AM$6)*1*(1-0.02)</f>
        <v>20.941951853111981</v>
      </c>
      <c r="Z16" s="52">
        <f ca="1">('TUSD BE'!$AM$7+'TUSD BF'!$AM$7+'TUSD CVA'!$AM$7)*1*(1-0.02)</f>
        <v>142.80792645762099</v>
      </c>
      <c r="AA16" s="52">
        <f>('TE BE'!$AB$6+'TE BF'!$AB$6+'TE CVA'!$AB$6)*1*(1-0.02)</f>
        <v>217.94598758226687</v>
      </c>
      <c r="AB16" s="6">
        <f>$K$16*$V$16</f>
        <v>1997.952</v>
      </c>
      <c r="AC16" s="6">
        <f>$M$16*$W$16</f>
        <v>0</v>
      </c>
      <c r="AD16" s="6">
        <f>$O$16*$X$16</f>
        <v>0</v>
      </c>
      <c r="AE16" s="6">
        <f ca="1">$K$16*$Y$16</f>
        <v>2303.6147038423178</v>
      </c>
      <c r="AF16" s="6">
        <f ca="1">$M$16*$Z$16</f>
        <v>0</v>
      </c>
      <c r="AG16" s="6">
        <f>$O$16*$AA$16</f>
        <v>0</v>
      </c>
    </row>
    <row r="17" spans="1:33" ht="11.25" customHeight="1" x14ac:dyDescent="0.3">
      <c r="A17" s="4" t="s">
        <v>57</v>
      </c>
      <c r="B17" s="4" t="s">
        <v>45</v>
      </c>
      <c r="C17" s="4" t="s">
        <v>42</v>
      </c>
      <c r="D17" s="4" t="s">
        <v>44</v>
      </c>
      <c r="E17" s="4" t="s">
        <v>53</v>
      </c>
      <c r="F17" s="4" t="s">
        <v>25</v>
      </c>
      <c r="G17" s="4" t="s">
        <v>25</v>
      </c>
      <c r="H17" s="4" t="s">
        <v>35</v>
      </c>
      <c r="I17" s="5">
        <v>44835</v>
      </c>
      <c r="J17" s="6">
        <v>110</v>
      </c>
      <c r="K17" s="52">
        <v>110</v>
      </c>
      <c r="L17" s="6">
        <v>0</v>
      </c>
      <c r="M17" s="52">
        <v>0</v>
      </c>
      <c r="N17" s="6">
        <v>0</v>
      </c>
      <c r="O17" s="52">
        <v>0</v>
      </c>
      <c r="P17" s="6">
        <v>0</v>
      </c>
      <c r="Q17" s="4" t="s">
        <v>26</v>
      </c>
      <c r="R17" s="4">
        <v>0</v>
      </c>
      <c r="S17" s="6">
        <v>3</v>
      </c>
      <c r="T17" s="6">
        <v>0</v>
      </c>
      <c r="U17" s="6">
        <v>0</v>
      </c>
      <c r="V17" s="52">
        <f>IF(ISERROR(VLOOKUP($S$17,'TAR FIN'!$A$1:$O$103,15,0)),0,VLOOKUP($S$17,'TAR FIN'!$A$1:$O$103,15,0))*(1-0.04)</f>
        <v>18.1632</v>
      </c>
      <c r="W17" s="52">
        <f>IF(ISERROR(VLOOKUP($T$17,'TAR FIN'!$A$1:$O$103,15,0)),0,VLOOKUP($T$17,'TAR FIN'!$A$1:$O$103,15,0))*(1-0.04)</f>
        <v>0</v>
      </c>
      <c r="X17" s="52">
        <f>IF(ISERROR(VLOOKUP($U$17,'TAR FIN'!$A$1:$O$103,15,0)),0,VLOOKUP($U$17,'TAR FIN'!$A$1:$O$103,15,0))*(1-0.04)</f>
        <v>0</v>
      </c>
      <c r="Y17" s="52">
        <f ca="1">('TUSD BE'!$AM$6+'TUSD BF'!$AM$6+'TUSD CVA'!$AM$6)*1*(1-0.02)</f>
        <v>20.941951853111981</v>
      </c>
      <c r="Z17" s="52">
        <f ca="1">('TUSD BE'!$AM$7+'TUSD BF'!$AM$7+'TUSD CVA'!$AM$7)*1*(1-0.02)</f>
        <v>142.80792645762099</v>
      </c>
      <c r="AA17" s="52">
        <f>('TE BE'!$AB$6+'TE BF'!$AB$6+'TE CVA'!$AB$6)*1*(1-0.02)</f>
        <v>217.94598758226687</v>
      </c>
      <c r="AB17" s="6">
        <f>$K$17*$V$17</f>
        <v>1997.952</v>
      </c>
      <c r="AC17" s="6">
        <f>$M$17*$W$17</f>
        <v>0</v>
      </c>
      <c r="AD17" s="6">
        <f>$O$17*$X$17</f>
        <v>0</v>
      </c>
      <c r="AE17" s="6">
        <f ca="1">$K$17*$Y$17</f>
        <v>2303.6147038423178</v>
      </c>
      <c r="AF17" s="6">
        <f ca="1">$M$17*$Z$17</f>
        <v>0</v>
      </c>
      <c r="AG17" s="6">
        <f>$O$17*$AA$17</f>
        <v>0</v>
      </c>
    </row>
    <row r="18" spans="1:33" ht="11.25" customHeight="1" x14ac:dyDescent="0.3">
      <c r="A18" s="4" t="s">
        <v>21</v>
      </c>
      <c r="B18" s="4" t="s">
        <v>45</v>
      </c>
      <c r="C18" s="4" t="s">
        <v>42</v>
      </c>
      <c r="D18" s="4" t="s">
        <v>44</v>
      </c>
      <c r="E18" s="4" t="s">
        <v>53</v>
      </c>
      <c r="F18" s="4" t="s">
        <v>25</v>
      </c>
      <c r="G18" s="4" t="s">
        <v>25</v>
      </c>
      <c r="H18" s="4" t="s">
        <v>34</v>
      </c>
      <c r="I18" s="5">
        <v>44501</v>
      </c>
      <c r="J18" s="6">
        <v>111</v>
      </c>
      <c r="K18" s="52">
        <v>111</v>
      </c>
      <c r="L18" s="6">
        <v>0</v>
      </c>
      <c r="M18" s="52">
        <v>0</v>
      </c>
      <c r="N18" s="6">
        <v>0</v>
      </c>
      <c r="O18" s="52">
        <v>0</v>
      </c>
      <c r="P18" s="6">
        <v>0</v>
      </c>
      <c r="Q18" s="4" t="s">
        <v>26</v>
      </c>
      <c r="R18" s="4">
        <v>0</v>
      </c>
      <c r="S18" s="6">
        <v>1</v>
      </c>
      <c r="T18" s="6">
        <v>0</v>
      </c>
      <c r="U18" s="6">
        <v>0</v>
      </c>
      <c r="V18" s="52">
        <f>IF(ISERROR(VLOOKUP($S$18,'TAR FIN'!$A$1:$O$103,15,0)),0,VLOOKUP($S$18,'TAR FIN'!$A$1:$O$103,15,0))*(1-0.04)</f>
        <v>43.900799999999997</v>
      </c>
      <c r="W18" s="52">
        <f>IF(ISERROR(VLOOKUP($T$18,'TAR FIN'!$A$1:$O$103,15,0)),0,VLOOKUP($T$18,'TAR FIN'!$A$1:$O$103,15,0))*(1-0.04)</f>
        <v>0</v>
      </c>
      <c r="X18" s="52">
        <f>IF(ISERROR(VLOOKUP($U$18,'TAR FIN'!$A$1:$O$103,15,0)),0,VLOOKUP($U$18,'TAR FIN'!$A$1:$O$103,15,0))*(1-0.04)</f>
        <v>0</v>
      </c>
      <c r="Y18" s="52">
        <f ca="1">('TUSD BE'!$AM$5+'TUSD BF'!$AM$5+'TUSD CVA'!$AM$5)*1*(1-0.02)</f>
        <v>50.018664763216471</v>
      </c>
      <c r="Z18" s="52">
        <f ca="1">('TUSD BE'!$AM$7+'TUSD BF'!$AM$7+'TUSD CVA'!$AM$7)*1*(1-0.02)</f>
        <v>142.80792645762099</v>
      </c>
      <c r="AA18" s="52">
        <f>('TE BE'!$AB$5+'TE BF'!$AB$5+'TE CVA'!$AB$5)*1*(1-0.02)</f>
        <v>354.71359410136364</v>
      </c>
      <c r="AB18" s="6">
        <f>$K$18*$V$18</f>
        <v>4872.9888000000001</v>
      </c>
      <c r="AC18" s="6">
        <f>$M$18*$W$18</f>
        <v>0</v>
      </c>
      <c r="AD18" s="6">
        <f>$O$18*$X$18</f>
        <v>0</v>
      </c>
      <c r="AE18" s="6">
        <f ca="1">$K$18*$Y$18</f>
        <v>5552.0717887170285</v>
      </c>
      <c r="AF18" s="6">
        <f ca="1">$M$18*$Z$18</f>
        <v>0</v>
      </c>
      <c r="AG18" s="6">
        <f>$O$18*$AA$18</f>
        <v>0</v>
      </c>
    </row>
    <row r="19" spans="1:33" ht="11.25" customHeight="1" x14ac:dyDescent="0.3">
      <c r="A19" s="4" t="s">
        <v>21</v>
      </c>
      <c r="B19" s="4" t="s">
        <v>45</v>
      </c>
      <c r="C19" s="4" t="s">
        <v>42</v>
      </c>
      <c r="D19" s="4" t="s">
        <v>44</v>
      </c>
      <c r="E19" s="4" t="s">
        <v>53</v>
      </c>
      <c r="F19" s="4" t="s">
        <v>25</v>
      </c>
      <c r="G19" s="4" t="s">
        <v>25</v>
      </c>
      <c r="H19" s="4" t="s">
        <v>34</v>
      </c>
      <c r="I19" s="5">
        <v>44531</v>
      </c>
      <c r="J19" s="6">
        <v>111</v>
      </c>
      <c r="K19" s="52">
        <v>111</v>
      </c>
      <c r="L19" s="6">
        <v>0</v>
      </c>
      <c r="M19" s="52">
        <v>0</v>
      </c>
      <c r="N19" s="6">
        <v>0</v>
      </c>
      <c r="O19" s="52">
        <v>0</v>
      </c>
      <c r="P19" s="6">
        <v>0</v>
      </c>
      <c r="Q19" s="4" t="s">
        <v>26</v>
      </c>
      <c r="R19" s="4">
        <v>0</v>
      </c>
      <c r="S19" s="6">
        <v>1</v>
      </c>
      <c r="T19" s="6">
        <v>0</v>
      </c>
      <c r="U19" s="6">
        <v>0</v>
      </c>
      <c r="V19" s="52">
        <f>IF(ISERROR(VLOOKUP($S$19,'TAR FIN'!$A$1:$O$103,15,0)),0,VLOOKUP($S$19,'TAR FIN'!$A$1:$O$103,15,0))*(1-0.04)</f>
        <v>43.900799999999997</v>
      </c>
      <c r="W19" s="52">
        <f>IF(ISERROR(VLOOKUP($T$19,'TAR FIN'!$A$1:$O$103,15,0)),0,VLOOKUP($T$19,'TAR FIN'!$A$1:$O$103,15,0))*(1-0.04)</f>
        <v>0</v>
      </c>
      <c r="X19" s="52">
        <f>IF(ISERROR(VLOOKUP($U$19,'TAR FIN'!$A$1:$O$103,15,0)),0,VLOOKUP($U$19,'TAR FIN'!$A$1:$O$103,15,0))*(1-0.04)</f>
        <v>0</v>
      </c>
      <c r="Y19" s="52">
        <f ca="1">('TUSD BE'!$AM$5+'TUSD BF'!$AM$5+'TUSD CVA'!$AM$5)*1*(1-0.02)</f>
        <v>50.018664763216471</v>
      </c>
      <c r="Z19" s="52">
        <f ca="1">('TUSD BE'!$AM$7+'TUSD BF'!$AM$7+'TUSD CVA'!$AM$7)*1*(1-0.02)</f>
        <v>142.80792645762099</v>
      </c>
      <c r="AA19" s="52">
        <f>('TE BE'!$AB$5+'TE BF'!$AB$5+'TE CVA'!$AB$5)*1*(1-0.02)</f>
        <v>354.71359410136364</v>
      </c>
      <c r="AB19" s="6">
        <f>$K$19*$V$19</f>
        <v>4872.9888000000001</v>
      </c>
      <c r="AC19" s="6">
        <f>$M$19*$W$19</f>
        <v>0</v>
      </c>
      <c r="AD19" s="6">
        <f>$O$19*$X$19</f>
        <v>0</v>
      </c>
      <c r="AE19" s="6">
        <f ca="1">$K$19*$Y$19</f>
        <v>5552.0717887170285</v>
      </c>
      <c r="AF19" s="6">
        <f ca="1">$M$19*$Z$19</f>
        <v>0</v>
      </c>
      <c r="AG19" s="6">
        <f>$O$19*$AA$19</f>
        <v>0</v>
      </c>
    </row>
    <row r="20" spans="1:33" ht="11.25" customHeight="1" x14ac:dyDescent="0.3">
      <c r="A20" s="4" t="s">
        <v>21</v>
      </c>
      <c r="B20" s="4" t="s">
        <v>45</v>
      </c>
      <c r="C20" s="4" t="s">
        <v>42</v>
      </c>
      <c r="D20" s="4" t="s">
        <v>44</v>
      </c>
      <c r="E20" s="4" t="s">
        <v>53</v>
      </c>
      <c r="F20" s="4" t="s">
        <v>25</v>
      </c>
      <c r="G20" s="4" t="s">
        <v>25</v>
      </c>
      <c r="H20" s="4" t="s">
        <v>34</v>
      </c>
      <c r="I20" s="5">
        <v>44593</v>
      </c>
      <c r="J20" s="6">
        <v>111</v>
      </c>
      <c r="K20" s="52">
        <v>111</v>
      </c>
      <c r="L20" s="6">
        <v>0</v>
      </c>
      <c r="M20" s="52">
        <v>0</v>
      </c>
      <c r="N20" s="6">
        <v>0</v>
      </c>
      <c r="O20" s="52">
        <v>0</v>
      </c>
      <c r="P20" s="6">
        <v>0</v>
      </c>
      <c r="Q20" s="4" t="s">
        <v>26</v>
      </c>
      <c r="R20" s="4">
        <v>0</v>
      </c>
      <c r="S20" s="6">
        <v>1</v>
      </c>
      <c r="T20" s="6">
        <v>0</v>
      </c>
      <c r="U20" s="6">
        <v>0</v>
      </c>
      <c r="V20" s="52">
        <f>IF(ISERROR(VLOOKUP($S$20,'TAR FIN'!$A$1:$O$103,15,0)),0,VLOOKUP($S$20,'TAR FIN'!$A$1:$O$103,15,0))*(1-0.04)</f>
        <v>43.900799999999997</v>
      </c>
      <c r="W20" s="52">
        <f>IF(ISERROR(VLOOKUP($T$20,'TAR FIN'!$A$1:$O$103,15,0)),0,VLOOKUP($T$20,'TAR FIN'!$A$1:$O$103,15,0))*(1-0.04)</f>
        <v>0</v>
      </c>
      <c r="X20" s="52">
        <f>IF(ISERROR(VLOOKUP($U$20,'TAR FIN'!$A$1:$O$103,15,0)),0,VLOOKUP($U$20,'TAR FIN'!$A$1:$O$103,15,0))*(1-0.04)</f>
        <v>0</v>
      </c>
      <c r="Y20" s="52">
        <f ca="1">('TUSD BE'!$AM$5+'TUSD BF'!$AM$5+'TUSD CVA'!$AM$5)*1*(1-0.02)</f>
        <v>50.018664763216471</v>
      </c>
      <c r="Z20" s="52">
        <f ca="1">('TUSD BE'!$AM$7+'TUSD BF'!$AM$7+'TUSD CVA'!$AM$7)*1*(1-0.02)</f>
        <v>142.80792645762099</v>
      </c>
      <c r="AA20" s="52">
        <f>('TE BE'!$AB$5+'TE BF'!$AB$5+'TE CVA'!$AB$5)*1*(1-0.02)</f>
        <v>354.71359410136364</v>
      </c>
      <c r="AB20" s="6">
        <f>$K$20*$V$20</f>
        <v>4872.9888000000001</v>
      </c>
      <c r="AC20" s="6">
        <f>$M$20*$W$20</f>
        <v>0</v>
      </c>
      <c r="AD20" s="6">
        <f>$O$20*$X$20</f>
        <v>0</v>
      </c>
      <c r="AE20" s="6">
        <f ca="1">$K$20*$Y$20</f>
        <v>5552.0717887170285</v>
      </c>
      <c r="AF20" s="6">
        <f ca="1">$M$20*$Z$20</f>
        <v>0</v>
      </c>
      <c r="AG20" s="6">
        <f>$O$20*$AA$20</f>
        <v>0</v>
      </c>
    </row>
    <row r="21" spans="1:33" ht="11.25" customHeight="1" x14ac:dyDescent="0.3">
      <c r="A21" s="4" t="s">
        <v>21</v>
      </c>
      <c r="B21" s="4" t="s">
        <v>45</v>
      </c>
      <c r="C21" s="4" t="s">
        <v>42</v>
      </c>
      <c r="D21" s="4" t="s">
        <v>44</v>
      </c>
      <c r="E21" s="4" t="s">
        <v>53</v>
      </c>
      <c r="F21" s="4" t="s">
        <v>25</v>
      </c>
      <c r="G21" s="4" t="s">
        <v>25</v>
      </c>
      <c r="H21" s="4" t="s">
        <v>34</v>
      </c>
      <c r="I21" s="5">
        <v>44621</v>
      </c>
      <c r="J21" s="6">
        <v>111</v>
      </c>
      <c r="K21" s="52">
        <v>111</v>
      </c>
      <c r="L21" s="6">
        <v>0</v>
      </c>
      <c r="M21" s="52">
        <v>0</v>
      </c>
      <c r="N21" s="6">
        <v>0</v>
      </c>
      <c r="O21" s="52">
        <v>0</v>
      </c>
      <c r="P21" s="6">
        <v>0</v>
      </c>
      <c r="Q21" s="4" t="s">
        <v>26</v>
      </c>
      <c r="R21" s="4">
        <v>0</v>
      </c>
      <c r="S21" s="6">
        <v>1</v>
      </c>
      <c r="T21" s="6">
        <v>0</v>
      </c>
      <c r="U21" s="6">
        <v>0</v>
      </c>
      <c r="V21" s="52">
        <f>IF(ISERROR(VLOOKUP($S$21,'TAR FIN'!$A$1:$O$103,15,0)),0,VLOOKUP($S$21,'TAR FIN'!$A$1:$O$103,15,0))*(1-0.04)</f>
        <v>43.900799999999997</v>
      </c>
      <c r="W21" s="52">
        <f>IF(ISERROR(VLOOKUP($T$21,'TAR FIN'!$A$1:$O$103,15,0)),0,VLOOKUP($T$21,'TAR FIN'!$A$1:$O$103,15,0))*(1-0.04)</f>
        <v>0</v>
      </c>
      <c r="X21" s="52">
        <f>IF(ISERROR(VLOOKUP($U$21,'TAR FIN'!$A$1:$O$103,15,0)),0,VLOOKUP($U$21,'TAR FIN'!$A$1:$O$103,15,0))*(1-0.04)</f>
        <v>0</v>
      </c>
      <c r="Y21" s="52">
        <f ca="1">('TUSD BE'!$AM$5+'TUSD BF'!$AM$5+'TUSD CVA'!$AM$5)*1*(1-0.02)</f>
        <v>50.018664763216471</v>
      </c>
      <c r="Z21" s="52">
        <f ca="1">('TUSD BE'!$AM$7+'TUSD BF'!$AM$7+'TUSD CVA'!$AM$7)*1*(1-0.02)</f>
        <v>142.80792645762099</v>
      </c>
      <c r="AA21" s="52">
        <f>('TE BE'!$AB$5+'TE BF'!$AB$5+'TE CVA'!$AB$5)*1*(1-0.02)</f>
        <v>354.71359410136364</v>
      </c>
      <c r="AB21" s="6">
        <f>$K$21*$V$21</f>
        <v>4872.9888000000001</v>
      </c>
      <c r="AC21" s="6">
        <f>$M$21*$W$21</f>
        <v>0</v>
      </c>
      <c r="AD21" s="6">
        <f>$O$21*$X$21</f>
        <v>0</v>
      </c>
      <c r="AE21" s="6">
        <f ca="1">$K$21*$Y$21</f>
        <v>5552.0717887170285</v>
      </c>
      <c r="AF21" s="6">
        <f ca="1">$M$21*$Z$21</f>
        <v>0</v>
      </c>
      <c r="AG21" s="6">
        <f>$O$21*$AA$21</f>
        <v>0</v>
      </c>
    </row>
    <row r="22" spans="1:33" ht="11.25" customHeight="1" x14ac:dyDescent="0.3">
      <c r="A22" s="4" t="s">
        <v>21</v>
      </c>
      <c r="B22" s="4" t="s">
        <v>45</v>
      </c>
      <c r="C22" s="4" t="s">
        <v>42</v>
      </c>
      <c r="D22" s="4" t="s">
        <v>44</v>
      </c>
      <c r="E22" s="4" t="s">
        <v>53</v>
      </c>
      <c r="F22" s="4" t="s">
        <v>25</v>
      </c>
      <c r="G22" s="4" t="s">
        <v>25</v>
      </c>
      <c r="H22" s="4" t="s">
        <v>34</v>
      </c>
      <c r="I22" s="5">
        <v>44652</v>
      </c>
      <c r="J22" s="6">
        <v>111</v>
      </c>
      <c r="K22" s="52">
        <v>111</v>
      </c>
      <c r="L22" s="6">
        <v>0</v>
      </c>
      <c r="M22" s="52">
        <v>0</v>
      </c>
      <c r="N22" s="6">
        <v>0</v>
      </c>
      <c r="O22" s="52">
        <v>0</v>
      </c>
      <c r="P22" s="6">
        <v>0</v>
      </c>
      <c r="Q22" s="4" t="s">
        <v>26</v>
      </c>
      <c r="R22" s="4">
        <v>0</v>
      </c>
      <c r="S22" s="6">
        <v>1</v>
      </c>
      <c r="T22" s="6">
        <v>0</v>
      </c>
      <c r="U22" s="6">
        <v>0</v>
      </c>
      <c r="V22" s="52">
        <f>IF(ISERROR(VLOOKUP($S$22,'TAR FIN'!$A$1:$O$103,15,0)),0,VLOOKUP($S$22,'TAR FIN'!$A$1:$O$103,15,0))*(1-0.04)</f>
        <v>43.900799999999997</v>
      </c>
      <c r="W22" s="52">
        <f>IF(ISERROR(VLOOKUP($T$22,'TAR FIN'!$A$1:$O$103,15,0)),0,VLOOKUP($T$22,'TAR FIN'!$A$1:$O$103,15,0))*(1-0.04)</f>
        <v>0</v>
      </c>
      <c r="X22" s="52">
        <f>IF(ISERROR(VLOOKUP($U$22,'TAR FIN'!$A$1:$O$103,15,0)),0,VLOOKUP($U$22,'TAR FIN'!$A$1:$O$103,15,0))*(1-0.04)</f>
        <v>0</v>
      </c>
      <c r="Y22" s="52">
        <f ca="1">('TUSD BE'!$AM$5+'TUSD BF'!$AM$5+'TUSD CVA'!$AM$5)*1*(1-0.02)</f>
        <v>50.018664763216471</v>
      </c>
      <c r="Z22" s="52">
        <f ca="1">('TUSD BE'!$AM$7+'TUSD BF'!$AM$7+'TUSD CVA'!$AM$7)*1*(1-0.02)</f>
        <v>142.80792645762099</v>
      </c>
      <c r="AA22" s="52">
        <f>('TE BE'!$AB$5+'TE BF'!$AB$5+'TE CVA'!$AB$5)*1*(1-0.02)</f>
        <v>354.71359410136364</v>
      </c>
      <c r="AB22" s="6">
        <f>$K$22*$V$22</f>
        <v>4872.9888000000001</v>
      </c>
      <c r="AC22" s="6">
        <f>$M$22*$W$22</f>
        <v>0</v>
      </c>
      <c r="AD22" s="6">
        <f>$O$22*$X$22</f>
        <v>0</v>
      </c>
      <c r="AE22" s="6">
        <f ca="1">$K$22*$Y$22</f>
        <v>5552.0717887170285</v>
      </c>
      <c r="AF22" s="6">
        <f ca="1">$M$22*$Z$22</f>
        <v>0</v>
      </c>
      <c r="AG22" s="6">
        <f>$O$22*$AA$22</f>
        <v>0</v>
      </c>
    </row>
    <row r="23" spans="1:33" ht="11.25" customHeight="1" x14ac:dyDescent="0.3">
      <c r="A23" s="4" t="s">
        <v>21</v>
      </c>
      <c r="B23" s="4" t="s">
        <v>45</v>
      </c>
      <c r="C23" s="4" t="s">
        <v>42</v>
      </c>
      <c r="D23" s="4" t="s">
        <v>44</v>
      </c>
      <c r="E23" s="4" t="s">
        <v>53</v>
      </c>
      <c r="F23" s="4" t="s">
        <v>25</v>
      </c>
      <c r="G23" s="4" t="s">
        <v>25</v>
      </c>
      <c r="H23" s="4" t="s">
        <v>34</v>
      </c>
      <c r="I23" s="5">
        <v>44682</v>
      </c>
      <c r="J23" s="6">
        <v>111</v>
      </c>
      <c r="K23" s="52">
        <v>111</v>
      </c>
      <c r="L23" s="6">
        <v>0</v>
      </c>
      <c r="M23" s="52">
        <v>0</v>
      </c>
      <c r="N23" s="6">
        <v>0</v>
      </c>
      <c r="O23" s="52">
        <v>0</v>
      </c>
      <c r="P23" s="6">
        <v>0</v>
      </c>
      <c r="Q23" s="4" t="s">
        <v>26</v>
      </c>
      <c r="R23" s="4">
        <v>0</v>
      </c>
      <c r="S23" s="6">
        <v>1</v>
      </c>
      <c r="T23" s="6">
        <v>0</v>
      </c>
      <c r="U23" s="6">
        <v>0</v>
      </c>
      <c r="V23" s="52">
        <f>IF(ISERROR(VLOOKUP($S$23,'TAR FIN'!$A$1:$O$103,15,0)),0,VLOOKUP($S$23,'TAR FIN'!$A$1:$O$103,15,0))*(1-0.04)</f>
        <v>43.900799999999997</v>
      </c>
      <c r="W23" s="52">
        <f>IF(ISERROR(VLOOKUP($T$23,'TAR FIN'!$A$1:$O$103,15,0)),0,VLOOKUP($T$23,'TAR FIN'!$A$1:$O$103,15,0))*(1-0.04)</f>
        <v>0</v>
      </c>
      <c r="X23" s="52">
        <f>IF(ISERROR(VLOOKUP($U$23,'TAR FIN'!$A$1:$O$103,15,0)),0,VLOOKUP($U$23,'TAR FIN'!$A$1:$O$103,15,0))*(1-0.04)</f>
        <v>0</v>
      </c>
      <c r="Y23" s="52">
        <f ca="1">('TUSD BE'!$AM$5+'TUSD BF'!$AM$5+'TUSD CVA'!$AM$5)*1*(1-0.02)</f>
        <v>50.018664763216471</v>
      </c>
      <c r="Z23" s="52">
        <f ca="1">('TUSD BE'!$AM$7+'TUSD BF'!$AM$7+'TUSD CVA'!$AM$7)*1*(1-0.02)</f>
        <v>142.80792645762099</v>
      </c>
      <c r="AA23" s="52">
        <f>('TE BE'!$AB$5+'TE BF'!$AB$5+'TE CVA'!$AB$5)*1*(1-0.02)</f>
        <v>354.71359410136364</v>
      </c>
      <c r="AB23" s="6">
        <f>$K$23*$V$23</f>
        <v>4872.9888000000001</v>
      </c>
      <c r="AC23" s="6">
        <f>$M$23*$W$23</f>
        <v>0</v>
      </c>
      <c r="AD23" s="6">
        <f>$O$23*$X$23</f>
        <v>0</v>
      </c>
      <c r="AE23" s="6">
        <f ca="1">$K$23*$Y$23</f>
        <v>5552.0717887170285</v>
      </c>
      <c r="AF23" s="6">
        <f ca="1">$M$23*$Z$23</f>
        <v>0</v>
      </c>
      <c r="AG23" s="6">
        <f>$O$23*$AA$23</f>
        <v>0</v>
      </c>
    </row>
    <row r="24" spans="1:33" ht="11.25" customHeight="1" x14ac:dyDescent="0.3">
      <c r="A24" s="4" t="s">
        <v>21</v>
      </c>
      <c r="B24" s="4" t="s">
        <v>45</v>
      </c>
      <c r="C24" s="4" t="s">
        <v>42</v>
      </c>
      <c r="D24" s="4" t="s">
        <v>44</v>
      </c>
      <c r="E24" s="4" t="s">
        <v>53</v>
      </c>
      <c r="F24" s="4" t="s">
        <v>25</v>
      </c>
      <c r="G24" s="4" t="s">
        <v>25</v>
      </c>
      <c r="H24" s="4" t="s">
        <v>34</v>
      </c>
      <c r="I24" s="5">
        <v>44713</v>
      </c>
      <c r="J24" s="6">
        <v>1100</v>
      </c>
      <c r="K24" s="52">
        <v>1100</v>
      </c>
      <c r="L24" s="6">
        <v>0.437</v>
      </c>
      <c r="M24" s="52">
        <v>0.437</v>
      </c>
      <c r="N24" s="6">
        <v>0.437</v>
      </c>
      <c r="O24" s="52">
        <v>0.437</v>
      </c>
      <c r="P24" s="6">
        <v>0</v>
      </c>
      <c r="Q24" s="4" t="s">
        <v>26</v>
      </c>
      <c r="R24" s="4">
        <v>0</v>
      </c>
      <c r="S24" s="6">
        <v>1</v>
      </c>
      <c r="T24" s="6">
        <v>6</v>
      </c>
      <c r="U24" s="6">
        <v>62</v>
      </c>
      <c r="V24" s="52">
        <f>IF(ISERROR(VLOOKUP($S$24,'TAR FIN'!$A$1:$O$103,15,0)),0,VLOOKUP($S$24,'TAR FIN'!$A$1:$O$103,15,0))*(1-0.04)</f>
        <v>43.900799999999997</v>
      </c>
      <c r="W24" s="52">
        <f>IF(ISERROR(VLOOKUP($T$24,'TAR FIN'!$A$1:$O$103,15,0)),0,VLOOKUP($T$24,'TAR FIN'!$A$1:$O$103,15,0))*(1-0.04)</f>
        <v>81.590399999999988</v>
      </c>
      <c r="X24" s="52">
        <f>IF(ISERROR(VLOOKUP($U$24,'TAR FIN'!$A$1:$O$103,15,0)),0,VLOOKUP($U$24,'TAR FIN'!$A$1:$O$103,15,0))*(1-0.04)</f>
        <v>375.8784</v>
      </c>
      <c r="Y24" s="52">
        <f ca="1">('TUSD BE'!$AM$5+'TUSD BF'!$AM$5+'TUSD CVA'!$AM$5)*1*(1-0.02)</f>
        <v>50.018664763216471</v>
      </c>
      <c r="Z24" s="52">
        <f ca="1">('TUSD BE'!$AM$7+'TUSD BF'!$AM$7+'TUSD CVA'!$AM$7)*1*(1-0.02)</f>
        <v>142.80792645762099</v>
      </c>
      <c r="AA24" s="52">
        <f>('TE BE'!$AB$5+'TE BF'!$AB$5+'TE CVA'!$AB$5)*1*(1-0.02)</f>
        <v>354.71359410136364</v>
      </c>
      <c r="AB24" s="6">
        <f>$K$24*$V$24</f>
        <v>48290.879999999997</v>
      </c>
      <c r="AC24" s="6">
        <f>$M$24*$W$24</f>
        <v>35.655004799999993</v>
      </c>
      <c r="AD24" s="6">
        <f>$O$24*$X$24</f>
        <v>164.25886080000001</v>
      </c>
      <c r="AE24" s="6">
        <f ca="1">$K$24*$Y$24</f>
        <v>55020.531239538119</v>
      </c>
      <c r="AF24" s="6">
        <f ca="1">$M$24*$Z$24</f>
        <v>62.407063861980376</v>
      </c>
      <c r="AG24" s="6">
        <f>$O$24*$AA$24</f>
        <v>155.00984062229591</v>
      </c>
    </row>
    <row r="25" spans="1:33" ht="11.25" customHeight="1" x14ac:dyDescent="0.3">
      <c r="A25" s="4" t="s">
        <v>21</v>
      </c>
      <c r="B25" s="4" t="s">
        <v>45</v>
      </c>
      <c r="C25" s="4" t="s">
        <v>42</v>
      </c>
      <c r="D25" s="4" t="s">
        <v>44</v>
      </c>
      <c r="E25" s="4" t="s">
        <v>53</v>
      </c>
      <c r="F25" s="4" t="s">
        <v>25</v>
      </c>
      <c r="G25" s="4" t="s">
        <v>25</v>
      </c>
      <c r="H25" s="4" t="s">
        <v>34</v>
      </c>
      <c r="I25" s="5">
        <v>44743</v>
      </c>
      <c r="J25" s="6">
        <v>1100</v>
      </c>
      <c r="K25" s="52">
        <v>1100</v>
      </c>
      <c r="L25" s="6">
        <v>0.437</v>
      </c>
      <c r="M25" s="52">
        <v>0.437</v>
      </c>
      <c r="N25" s="6">
        <v>0.437</v>
      </c>
      <c r="O25" s="52">
        <v>0.437</v>
      </c>
      <c r="P25" s="6">
        <v>0</v>
      </c>
      <c r="Q25" s="4" t="s">
        <v>26</v>
      </c>
      <c r="R25" s="4">
        <v>0</v>
      </c>
      <c r="S25" s="6">
        <v>1</v>
      </c>
      <c r="T25" s="6">
        <v>6</v>
      </c>
      <c r="U25" s="6">
        <v>62</v>
      </c>
      <c r="V25" s="52">
        <f>IF(ISERROR(VLOOKUP($S$25,'TAR FIN'!$A$1:$O$103,15,0)),0,VLOOKUP($S$25,'TAR FIN'!$A$1:$O$103,15,0))*(1-0.04)</f>
        <v>43.900799999999997</v>
      </c>
      <c r="W25" s="52">
        <f>IF(ISERROR(VLOOKUP($T$25,'TAR FIN'!$A$1:$O$103,15,0)),0,VLOOKUP($T$25,'TAR FIN'!$A$1:$O$103,15,0))*(1-0.04)</f>
        <v>81.590399999999988</v>
      </c>
      <c r="X25" s="52">
        <f>IF(ISERROR(VLOOKUP($U$25,'TAR FIN'!$A$1:$O$103,15,0)),0,VLOOKUP($U$25,'TAR FIN'!$A$1:$O$103,15,0))*(1-0.04)</f>
        <v>375.8784</v>
      </c>
      <c r="Y25" s="52">
        <f ca="1">('TUSD BE'!$AM$5+'TUSD BF'!$AM$5+'TUSD CVA'!$AM$5)*1*(1-0.02)</f>
        <v>50.018664763216471</v>
      </c>
      <c r="Z25" s="52">
        <f ca="1">('TUSD BE'!$AM$7+'TUSD BF'!$AM$7+'TUSD CVA'!$AM$7)*1*(1-0.02)</f>
        <v>142.80792645762099</v>
      </c>
      <c r="AA25" s="52">
        <f>('TE BE'!$AB$5+'TE BF'!$AB$5+'TE CVA'!$AB$5)*1*(1-0.02)</f>
        <v>354.71359410136364</v>
      </c>
      <c r="AB25" s="6">
        <f>$K$25*$V$25</f>
        <v>48290.879999999997</v>
      </c>
      <c r="AC25" s="6">
        <f>$M$25*$W$25</f>
        <v>35.655004799999993</v>
      </c>
      <c r="AD25" s="6">
        <f>$O$25*$X$25</f>
        <v>164.25886080000001</v>
      </c>
      <c r="AE25" s="6">
        <f ca="1">$K$25*$Y$25</f>
        <v>55020.531239538119</v>
      </c>
      <c r="AF25" s="6">
        <f ca="1">$M$25*$Z$25</f>
        <v>62.407063861980376</v>
      </c>
      <c r="AG25" s="6">
        <f>$O$25*$AA$25</f>
        <v>155.00984062229591</v>
      </c>
    </row>
    <row r="26" spans="1:33" ht="11.25" customHeight="1" x14ac:dyDescent="0.3">
      <c r="A26" s="4" t="s">
        <v>21</v>
      </c>
      <c r="B26" s="4" t="s">
        <v>45</v>
      </c>
      <c r="C26" s="4" t="s">
        <v>42</v>
      </c>
      <c r="D26" s="4" t="s">
        <v>44</v>
      </c>
      <c r="E26" s="4" t="s">
        <v>53</v>
      </c>
      <c r="F26" s="4" t="s">
        <v>25</v>
      </c>
      <c r="G26" s="4" t="s">
        <v>25</v>
      </c>
      <c r="H26" s="4" t="s">
        <v>34</v>
      </c>
      <c r="I26" s="5">
        <v>44774</v>
      </c>
      <c r="J26" s="6">
        <v>1100</v>
      </c>
      <c r="K26" s="52">
        <v>1100</v>
      </c>
      <c r="L26" s="6">
        <v>5.5E-2</v>
      </c>
      <c r="M26" s="52">
        <v>5.5E-2</v>
      </c>
      <c r="N26" s="6">
        <v>5.5E-2</v>
      </c>
      <c r="O26" s="52">
        <v>5.5E-2</v>
      </c>
      <c r="P26" s="6">
        <v>0</v>
      </c>
      <c r="Q26" s="4" t="s">
        <v>26</v>
      </c>
      <c r="R26" s="4">
        <v>0</v>
      </c>
      <c r="S26" s="6">
        <v>1</v>
      </c>
      <c r="T26" s="6">
        <v>6</v>
      </c>
      <c r="U26" s="6">
        <v>62</v>
      </c>
      <c r="V26" s="52">
        <f>IF(ISERROR(VLOOKUP($S$26,'TAR FIN'!$A$1:$O$103,15,0)),0,VLOOKUP($S$26,'TAR FIN'!$A$1:$O$103,15,0))*(1-0.04)</f>
        <v>43.900799999999997</v>
      </c>
      <c r="W26" s="52">
        <f>IF(ISERROR(VLOOKUP($T$26,'TAR FIN'!$A$1:$O$103,15,0)),0,VLOOKUP($T$26,'TAR FIN'!$A$1:$O$103,15,0))*(1-0.04)</f>
        <v>81.590399999999988</v>
      </c>
      <c r="X26" s="52">
        <f>IF(ISERROR(VLOOKUP($U$26,'TAR FIN'!$A$1:$O$103,15,0)),0,VLOOKUP($U$26,'TAR FIN'!$A$1:$O$103,15,0))*(1-0.04)</f>
        <v>375.8784</v>
      </c>
      <c r="Y26" s="52">
        <f ca="1">('TUSD BE'!$AM$5+'TUSD BF'!$AM$5+'TUSD CVA'!$AM$5)*1*(1-0.02)</f>
        <v>50.018664763216471</v>
      </c>
      <c r="Z26" s="52">
        <f ca="1">('TUSD BE'!$AM$7+'TUSD BF'!$AM$7+'TUSD CVA'!$AM$7)*1*(1-0.02)</f>
        <v>142.80792645762099</v>
      </c>
      <c r="AA26" s="52">
        <f>('TE BE'!$AB$5+'TE BF'!$AB$5+'TE CVA'!$AB$5)*1*(1-0.02)</f>
        <v>354.71359410136364</v>
      </c>
      <c r="AB26" s="6">
        <f>$K$26*$V$26</f>
        <v>48290.879999999997</v>
      </c>
      <c r="AC26" s="6">
        <f>$M$26*$W$26</f>
        <v>4.4874719999999995</v>
      </c>
      <c r="AD26" s="6">
        <f>$O$26*$X$26</f>
        <v>20.673311999999999</v>
      </c>
      <c r="AE26" s="6">
        <f ca="1">$K$26*$Y$26</f>
        <v>55020.531239538119</v>
      </c>
      <c r="AF26" s="6">
        <f ca="1">$M$26*$Z$26</f>
        <v>7.8544359551691549</v>
      </c>
      <c r="AG26" s="6">
        <f>$O$26*$AA$26</f>
        <v>19.509247675575001</v>
      </c>
    </row>
    <row r="27" spans="1:33" ht="11.25" customHeight="1" x14ac:dyDescent="0.3">
      <c r="A27" s="4" t="s">
        <v>21</v>
      </c>
      <c r="B27" s="4" t="s">
        <v>45</v>
      </c>
      <c r="C27" s="4" t="s">
        <v>42</v>
      </c>
      <c r="D27" s="4" t="s">
        <v>44</v>
      </c>
      <c r="E27" s="4" t="s">
        <v>53</v>
      </c>
      <c r="F27" s="4" t="s">
        <v>25</v>
      </c>
      <c r="G27" s="4" t="s">
        <v>25</v>
      </c>
      <c r="H27" s="4" t="s">
        <v>34</v>
      </c>
      <c r="I27" s="5">
        <v>44805</v>
      </c>
      <c r="J27" s="6">
        <v>110</v>
      </c>
      <c r="K27" s="52">
        <v>110</v>
      </c>
      <c r="L27" s="6">
        <v>0</v>
      </c>
      <c r="M27" s="52">
        <v>0</v>
      </c>
      <c r="N27" s="6">
        <v>0</v>
      </c>
      <c r="O27" s="52">
        <v>0</v>
      </c>
      <c r="P27" s="6">
        <v>0</v>
      </c>
      <c r="Q27" s="4" t="s">
        <v>26</v>
      </c>
      <c r="R27" s="4">
        <v>0</v>
      </c>
      <c r="S27" s="6">
        <v>1</v>
      </c>
      <c r="T27" s="6">
        <v>0</v>
      </c>
      <c r="U27" s="6">
        <v>0</v>
      </c>
      <c r="V27" s="52">
        <f>IF(ISERROR(VLOOKUP($S$27,'TAR FIN'!$A$1:$O$103,15,0)),0,VLOOKUP($S$27,'TAR FIN'!$A$1:$O$103,15,0))*(1-0.04)</f>
        <v>43.900799999999997</v>
      </c>
      <c r="W27" s="52">
        <f>IF(ISERROR(VLOOKUP($T$27,'TAR FIN'!$A$1:$O$103,15,0)),0,VLOOKUP($T$27,'TAR FIN'!$A$1:$O$103,15,0))*(1-0.04)</f>
        <v>0</v>
      </c>
      <c r="X27" s="52">
        <f>IF(ISERROR(VLOOKUP($U$27,'TAR FIN'!$A$1:$O$103,15,0)),0,VLOOKUP($U$27,'TAR FIN'!$A$1:$O$103,15,0))*(1-0.04)</f>
        <v>0</v>
      </c>
      <c r="Y27" s="52">
        <f ca="1">('TUSD BE'!$AM$5+'TUSD BF'!$AM$5+'TUSD CVA'!$AM$5)*1*(1-0.02)</f>
        <v>50.018664763216471</v>
      </c>
      <c r="Z27" s="52">
        <f ca="1">('TUSD BE'!$AM$7+'TUSD BF'!$AM$7+'TUSD CVA'!$AM$7)*1*(1-0.02)</f>
        <v>142.80792645762099</v>
      </c>
      <c r="AA27" s="52">
        <f>('TE BE'!$AB$5+'TE BF'!$AB$5+'TE CVA'!$AB$5)*1*(1-0.02)</f>
        <v>354.71359410136364</v>
      </c>
      <c r="AB27" s="6">
        <f>$K$27*$V$27</f>
        <v>4829.0879999999997</v>
      </c>
      <c r="AC27" s="6">
        <f>$M$27*$W$27</f>
        <v>0</v>
      </c>
      <c r="AD27" s="6">
        <f>$O$27*$X$27</f>
        <v>0</v>
      </c>
      <c r="AE27" s="6">
        <f ca="1">$K$27*$Y$27</f>
        <v>5502.0531239538113</v>
      </c>
      <c r="AF27" s="6">
        <f ca="1">$M$27*$Z$27</f>
        <v>0</v>
      </c>
      <c r="AG27" s="6">
        <f>$O$27*$AA$27</f>
        <v>0</v>
      </c>
    </row>
    <row r="28" spans="1:33" ht="11.25" customHeight="1" x14ac:dyDescent="0.3">
      <c r="A28" s="4" t="s">
        <v>57</v>
      </c>
      <c r="B28" s="4" t="s">
        <v>45</v>
      </c>
      <c r="C28" s="4" t="s">
        <v>42</v>
      </c>
      <c r="D28" s="4" t="s">
        <v>44</v>
      </c>
      <c r="E28" s="4" t="s">
        <v>53</v>
      </c>
      <c r="F28" s="4" t="s">
        <v>25</v>
      </c>
      <c r="G28" s="4" t="s">
        <v>25</v>
      </c>
      <c r="H28" s="4" t="s">
        <v>34</v>
      </c>
      <c r="I28" s="5">
        <v>44835</v>
      </c>
      <c r="J28" s="6">
        <v>110</v>
      </c>
      <c r="K28" s="52">
        <v>110</v>
      </c>
      <c r="L28" s="6">
        <v>0</v>
      </c>
      <c r="M28" s="52">
        <v>0</v>
      </c>
      <c r="N28" s="6">
        <v>0</v>
      </c>
      <c r="O28" s="52">
        <v>0</v>
      </c>
      <c r="P28" s="6">
        <v>0</v>
      </c>
      <c r="Q28" s="4" t="s">
        <v>26</v>
      </c>
      <c r="R28" s="4">
        <v>0</v>
      </c>
      <c r="S28" s="6">
        <v>1</v>
      </c>
      <c r="T28" s="6">
        <v>0</v>
      </c>
      <c r="U28" s="6">
        <v>0</v>
      </c>
      <c r="V28" s="52">
        <f>IF(ISERROR(VLOOKUP($S$28,'TAR FIN'!$A$1:$O$103,15,0)),0,VLOOKUP($S$28,'TAR FIN'!$A$1:$O$103,15,0))*(1-0.04)</f>
        <v>43.900799999999997</v>
      </c>
      <c r="W28" s="52">
        <f>IF(ISERROR(VLOOKUP($T$28,'TAR FIN'!$A$1:$O$103,15,0)),0,VLOOKUP($T$28,'TAR FIN'!$A$1:$O$103,15,0))*(1-0.04)</f>
        <v>0</v>
      </c>
      <c r="X28" s="52">
        <f>IF(ISERROR(VLOOKUP($U$28,'TAR FIN'!$A$1:$O$103,15,0)),0,VLOOKUP($U$28,'TAR FIN'!$A$1:$O$103,15,0))*(1-0.04)</f>
        <v>0</v>
      </c>
      <c r="Y28" s="52">
        <f ca="1">('TUSD BE'!$AM$5+'TUSD BF'!$AM$5+'TUSD CVA'!$AM$5)*1*(1-0.02)</f>
        <v>50.018664763216471</v>
      </c>
      <c r="Z28" s="52">
        <f ca="1">('TUSD BE'!$AM$7+'TUSD BF'!$AM$7+'TUSD CVA'!$AM$7)*1*(1-0.02)</f>
        <v>142.80792645762099</v>
      </c>
      <c r="AA28" s="52">
        <f>('TE BE'!$AB$5+'TE BF'!$AB$5+'TE CVA'!$AB$5)*1*(1-0.02)</f>
        <v>354.71359410136364</v>
      </c>
      <c r="AB28" s="6">
        <f>$K$28*$V$28</f>
        <v>4829.0879999999997</v>
      </c>
      <c r="AC28" s="6">
        <f>$M$28*$W$28</f>
        <v>0</v>
      </c>
      <c r="AD28" s="6">
        <f>$O$28*$X$28</f>
        <v>0</v>
      </c>
      <c r="AE28" s="6">
        <f ca="1">$K$28*$Y$28</f>
        <v>5502.0531239538113</v>
      </c>
      <c r="AF28" s="6">
        <f ca="1">$M$28*$Z$28</f>
        <v>0</v>
      </c>
      <c r="AG28" s="6">
        <f>$O$28*$AA$28</f>
        <v>0</v>
      </c>
    </row>
    <row r="29" spans="1:33" ht="11.25" customHeight="1" x14ac:dyDescent="0.3">
      <c r="A29" s="4" t="s">
        <v>21</v>
      </c>
      <c r="B29" s="4" t="s">
        <v>45</v>
      </c>
      <c r="C29" s="4" t="s">
        <v>60</v>
      </c>
      <c r="D29" s="4" t="s">
        <v>25</v>
      </c>
      <c r="E29" s="4" t="s">
        <v>25</v>
      </c>
      <c r="F29" s="4" t="s">
        <v>25</v>
      </c>
      <c r="G29" s="4" t="s">
        <v>61</v>
      </c>
      <c r="H29" s="4" t="s">
        <v>25</v>
      </c>
      <c r="I29" s="5">
        <v>44501</v>
      </c>
      <c r="J29" s="6">
        <v>3010</v>
      </c>
      <c r="K29" s="6">
        <v>3010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62</v>
      </c>
      <c r="R29" s="4">
        <v>26879</v>
      </c>
      <c r="S29" s="6">
        <v>10</v>
      </c>
      <c r="T29" s="6">
        <v>0</v>
      </c>
      <c r="U29" s="6">
        <v>0</v>
      </c>
      <c r="V29" s="6">
        <f>IF(ISERROR(VLOOKUP($S$29,'TAR FIN'!$A$1:$O$103,15,0)),0,VLOOKUP($S$29,'TAR FIN'!$A$1:$O$103,15,0))</f>
        <v>11.48</v>
      </c>
      <c r="W29" s="6">
        <f>IF(ISERROR(VLOOKUP($T$29,'TAR FIN'!$A$1:$O$103,15,0)),0,VLOOKUP($T$29,'TAR FIN'!$A$1:$O$103,15,0))</f>
        <v>0</v>
      </c>
      <c r="X29" s="6">
        <f>IF(ISERROR(VLOOKUP($U$29,'TAR FIN'!$A$1:$O$103,15,0)),0,VLOOKUP($U$29,'TAR FIN'!$A$1:$O$103,15,0))</f>
        <v>0</v>
      </c>
      <c r="Y29" s="6">
        <f ca="1">('TUSD BE'!$AM$9+'TUSD BF'!$AM$9+'TUSD CVA'!$AM$9)*1</f>
        <v>12.436759261643918</v>
      </c>
      <c r="Z29" s="6"/>
      <c r="AA29" s="6"/>
      <c r="AB29" s="6">
        <f>$K$29*$V$29</f>
        <v>34554.800000000003</v>
      </c>
      <c r="AC29" s="6">
        <f>$M$29*$W$29</f>
        <v>0</v>
      </c>
      <c r="AD29" s="6">
        <f>$O$29*$X$29</f>
        <v>0</v>
      </c>
      <c r="AE29" s="6">
        <f ca="1">$K$29*$Y$29</f>
        <v>37434.645377548193</v>
      </c>
      <c r="AF29" s="6">
        <f>$M$29*$Z$29</f>
        <v>0</v>
      </c>
      <c r="AG29" s="6">
        <f>$O$29*$AA$29</f>
        <v>0</v>
      </c>
    </row>
    <row r="30" spans="1:33" ht="11.25" customHeight="1" x14ac:dyDescent="0.3">
      <c r="A30" s="4" t="s">
        <v>21</v>
      </c>
      <c r="B30" s="4" t="s">
        <v>45</v>
      </c>
      <c r="C30" s="4" t="s">
        <v>60</v>
      </c>
      <c r="D30" s="4" t="s">
        <v>25</v>
      </c>
      <c r="E30" s="4" t="s">
        <v>25</v>
      </c>
      <c r="F30" s="4" t="s">
        <v>25</v>
      </c>
      <c r="G30" s="4" t="s">
        <v>61</v>
      </c>
      <c r="H30" s="4" t="s">
        <v>25</v>
      </c>
      <c r="I30" s="5">
        <v>44531</v>
      </c>
      <c r="J30" s="6">
        <v>3010</v>
      </c>
      <c r="K30" s="6">
        <v>3010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62</v>
      </c>
      <c r="R30" s="4">
        <v>26879</v>
      </c>
      <c r="S30" s="6">
        <v>10</v>
      </c>
      <c r="T30" s="6">
        <v>0</v>
      </c>
      <c r="U30" s="6">
        <v>0</v>
      </c>
      <c r="V30" s="6">
        <f>IF(ISERROR(VLOOKUP($S$30,'TAR FIN'!$A$1:$O$103,15,0)),0,VLOOKUP($S$30,'TAR FIN'!$A$1:$O$103,15,0))</f>
        <v>11.48</v>
      </c>
      <c r="W30" s="6">
        <f>IF(ISERROR(VLOOKUP($T$30,'TAR FIN'!$A$1:$O$103,15,0)),0,VLOOKUP($T$30,'TAR FIN'!$A$1:$O$103,15,0))</f>
        <v>0</v>
      </c>
      <c r="X30" s="6">
        <f>IF(ISERROR(VLOOKUP($U$30,'TAR FIN'!$A$1:$O$103,15,0)),0,VLOOKUP($U$30,'TAR FIN'!$A$1:$O$103,15,0))</f>
        <v>0</v>
      </c>
      <c r="Y30" s="6">
        <f ca="1">('TUSD BE'!$AM$9+'TUSD BF'!$AM$9+'TUSD CVA'!$AM$9)*1</f>
        <v>12.436759261643918</v>
      </c>
      <c r="Z30" s="6"/>
      <c r="AA30" s="6"/>
      <c r="AB30" s="6">
        <f>$K$30*$V$30</f>
        <v>34554.800000000003</v>
      </c>
      <c r="AC30" s="6">
        <f>$M$30*$W$30</f>
        <v>0</v>
      </c>
      <c r="AD30" s="6">
        <f>$O$30*$X$30</f>
        <v>0</v>
      </c>
      <c r="AE30" s="6">
        <f ca="1">$K$30*$Y$30</f>
        <v>37434.645377548193</v>
      </c>
      <c r="AF30" s="6">
        <f>$M$30*$Z$30</f>
        <v>0</v>
      </c>
      <c r="AG30" s="6">
        <f>$O$30*$AA$30</f>
        <v>0</v>
      </c>
    </row>
    <row r="31" spans="1:33" ht="11.25" customHeight="1" x14ac:dyDescent="0.3">
      <c r="A31" s="4" t="s">
        <v>21</v>
      </c>
      <c r="B31" s="4" t="s">
        <v>45</v>
      </c>
      <c r="C31" s="4" t="s">
        <v>60</v>
      </c>
      <c r="D31" s="4" t="s">
        <v>25</v>
      </c>
      <c r="E31" s="4" t="s">
        <v>25</v>
      </c>
      <c r="F31" s="4" t="s">
        <v>25</v>
      </c>
      <c r="G31" s="4" t="s">
        <v>61</v>
      </c>
      <c r="H31" s="4" t="s">
        <v>25</v>
      </c>
      <c r="I31" s="5">
        <v>44562</v>
      </c>
      <c r="J31" s="6">
        <v>3010</v>
      </c>
      <c r="K31" s="6">
        <v>3010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62</v>
      </c>
      <c r="R31" s="4">
        <v>26879</v>
      </c>
      <c r="S31" s="6">
        <v>10</v>
      </c>
      <c r="T31" s="6">
        <v>0</v>
      </c>
      <c r="U31" s="6">
        <v>0</v>
      </c>
      <c r="V31" s="6">
        <f>IF(ISERROR(VLOOKUP($S$31,'TAR FIN'!$A$1:$O$103,15,0)),0,VLOOKUP($S$31,'TAR FIN'!$A$1:$O$103,15,0))</f>
        <v>11.48</v>
      </c>
      <c r="W31" s="6">
        <f>IF(ISERROR(VLOOKUP($T$31,'TAR FIN'!$A$1:$O$103,15,0)),0,VLOOKUP($T$31,'TAR FIN'!$A$1:$O$103,15,0))</f>
        <v>0</v>
      </c>
      <c r="X31" s="6">
        <f>IF(ISERROR(VLOOKUP($U$31,'TAR FIN'!$A$1:$O$103,15,0)),0,VLOOKUP($U$31,'TAR FIN'!$A$1:$O$103,15,0))</f>
        <v>0</v>
      </c>
      <c r="Y31" s="6">
        <f ca="1">('TUSD BE'!$AM$9+'TUSD BF'!$AM$9+'TUSD CVA'!$AM$9)*1</f>
        <v>12.436759261643918</v>
      </c>
      <c r="Z31" s="6"/>
      <c r="AA31" s="6"/>
      <c r="AB31" s="6">
        <f>$K$31*$V$31</f>
        <v>34554.800000000003</v>
      </c>
      <c r="AC31" s="6">
        <f>$M$31*$W$31</f>
        <v>0</v>
      </c>
      <c r="AD31" s="6">
        <f>$O$31*$X$31</f>
        <v>0</v>
      </c>
      <c r="AE31" s="6">
        <f ca="1">$K$31*$Y$31</f>
        <v>37434.645377548193</v>
      </c>
      <c r="AF31" s="6">
        <f>$M$31*$Z$31</f>
        <v>0</v>
      </c>
      <c r="AG31" s="6">
        <f>$O$31*$AA$31</f>
        <v>0</v>
      </c>
    </row>
    <row r="32" spans="1:33" ht="11.25" customHeight="1" x14ac:dyDescent="0.3">
      <c r="A32" s="4" t="s">
        <v>21</v>
      </c>
      <c r="B32" s="4" t="s">
        <v>45</v>
      </c>
      <c r="C32" s="4" t="s">
        <v>60</v>
      </c>
      <c r="D32" s="4" t="s">
        <v>25</v>
      </c>
      <c r="E32" s="4" t="s">
        <v>25</v>
      </c>
      <c r="F32" s="4" t="s">
        <v>25</v>
      </c>
      <c r="G32" s="4" t="s">
        <v>61</v>
      </c>
      <c r="H32" s="4" t="s">
        <v>25</v>
      </c>
      <c r="I32" s="5">
        <v>44593</v>
      </c>
      <c r="J32" s="6">
        <v>3010</v>
      </c>
      <c r="K32" s="6">
        <v>3010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62</v>
      </c>
      <c r="R32" s="4">
        <v>26879</v>
      </c>
      <c r="S32" s="6">
        <v>10</v>
      </c>
      <c r="T32" s="6">
        <v>0</v>
      </c>
      <c r="U32" s="6">
        <v>0</v>
      </c>
      <c r="V32" s="6">
        <f>IF(ISERROR(VLOOKUP($S$32,'TAR FIN'!$A$1:$O$103,15,0)),0,VLOOKUP($S$32,'TAR FIN'!$A$1:$O$103,15,0))</f>
        <v>11.48</v>
      </c>
      <c r="W32" s="6">
        <f>IF(ISERROR(VLOOKUP($T$32,'TAR FIN'!$A$1:$O$103,15,0)),0,VLOOKUP($T$32,'TAR FIN'!$A$1:$O$103,15,0))</f>
        <v>0</v>
      </c>
      <c r="X32" s="6">
        <f>IF(ISERROR(VLOOKUP($U$32,'TAR FIN'!$A$1:$O$103,15,0)),0,VLOOKUP($U$32,'TAR FIN'!$A$1:$O$103,15,0))</f>
        <v>0</v>
      </c>
      <c r="Y32" s="6">
        <f ca="1">('TUSD BE'!$AM$9+'TUSD BF'!$AM$9+'TUSD CVA'!$AM$9)*1</f>
        <v>12.436759261643918</v>
      </c>
      <c r="Z32" s="6"/>
      <c r="AA32" s="6"/>
      <c r="AB32" s="6">
        <f>$K$32*$V$32</f>
        <v>34554.800000000003</v>
      </c>
      <c r="AC32" s="6">
        <f>$M$32*$W$32</f>
        <v>0</v>
      </c>
      <c r="AD32" s="6">
        <f>$O$32*$X$32</f>
        <v>0</v>
      </c>
      <c r="AE32" s="6">
        <f ca="1">$K$32*$Y$32</f>
        <v>37434.645377548193</v>
      </c>
      <c r="AF32" s="6">
        <f>$M$32*$Z$32</f>
        <v>0</v>
      </c>
      <c r="AG32" s="6">
        <f>$O$32*$AA$32</f>
        <v>0</v>
      </c>
    </row>
    <row r="33" spans="1:33" ht="11.25" customHeight="1" x14ac:dyDescent="0.3">
      <c r="A33" s="4" t="s">
        <v>21</v>
      </c>
      <c r="B33" s="4" t="s">
        <v>45</v>
      </c>
      <c r="C33" s="4" t="s">
        <v>60</v>
      </c>
      <c r="D33" s="4" t="s">
        <v>25</v>
      </c>
      <c r="E33" s="4" t="s">
        <v>25</v>
      </c>
      <c r="F33" s="4" t="s">
        <v>25</v>
      </c>
      <c r="G33" s="4" t="s">
        <v>61</v>
      </c>
      <c r="H33" s="4" t="s">
        <v>25</v>
      </c>
      <c r="I33" s="5">
        <v>44621</v>
      </c>
      <c r="J33" s="6">
        <v>3010</v>
      </c>
      <c r="K33" s="6">
        <v>3010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62</v>
      </c>
      <c r="R33" s="4">
        <v>26879</v>
      </c>
      <c r="S33" s="6">
        <v>10</v>
      </c>
      <c r="T33" s="6">
        <v>0</v>
      </c>
      <c r="U33" s="6">
        <v>0</v>
      </c>
      <c r="V33" s="6">
        <f>IF(ISERROR(VLOOKUP($S$33,'TAR FIN'!$A$1:$O$103,15,0)),0,VLOOKUP($S$33,'TAR FIN'!$A$1:$O$103,15,0))</f>
        <v>11.48</v>
      </c>
      <c r="W33" s="6">
        <f>IF(ISERROR(VLOOKUP($T$33,'TAR FIN'!$A$1:$O$103,15,0)),0,VLOOKUP($T$33,'TAR FIN'!$A$1:$O$103,15,0))</f>
        <v>0</v>
      </c>
      <c r="X33" s="6">
        <f>IF(ISERROR(VLOOKUP($U$33,'TAR FIN'!$A$1:$O$103,15,0)),0,VLOOKUP($U$33,'TAR FIN'!$A$1:$O$103,15,0))</f>
        <v>0</v>
      </c>
      <c r="Y33" s="6">
        <f ca="1">('TUSD BE'!$AM$9+'TUSD BF'!$AM$9+'TUSD CVA'!$AM$9)*1</f>
        <v>12.436759261643918</v>
      </c>
      <c r="Z33" s="6"/>
      <c r="AA33" s="6"/>
      <c r="AB33" s="6">
        <f>$K$33*$V$33</f>
        <v>34554.800000000003</v>
      </c>
      <c r="AC33" s="6">
        <f>$M$33*$W$33</f>
        <v>0</v>
      </c>
      <c r="AD33" s="6">
        <f>$O$33*$X$33</f>
        <v>0</v>
      </c>
      <c r="AE33" s="6">
        <f ca="1">$K$33*$Y$33</f>
        <v>37434.645377548193</v>
      </c>
      <c r="AF33" s="6">
        <f>$M$33*$Z$33</f>
        <v>0</v>
      </c>
      <c r="AG33" s="6">
        <f>$O$33*$AA$33</f>
        <v>0</v>
      </c>
    </row>
    <row r="34" spans="1:33" ht="11.25" customHeight="1" x14ac:dyDescent="0.3">
      <c r="A34" s="4" t="s">
        <v>21</v>
      </c>
      <c r="B34" s="4" t="s">
        <v>45</v>
      </c>
      <c r="C34" s="4" t="s">
        <v>60</v>
      </c>
      <c r="D34" s="4" t="s">
        <v>25</v>
      </c>
      <c r="E34" s="4" t="s">
        <v>25</v>
      </c>
      <c r="F34" s="4" t="s">
        <v>25</v>
      </c>
      <c r="G34" s="4" t="s">
        <v>61</v>
      </c>
      <c r="H34" s="4" t="s">
        <v>25</v>
      </c>
      <c r="I34" s="5">
        <v>44652</v>
      </c>
      <c r="J34" s="6">
        <v>3010</v>
      </c>
      <c r="K34" s="6">
        <v>3010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62</v>
      </c>
      <c r="R34" s="4">
        <v>26879</v>
      </c>
      <c r="S34" s="6">
        <v>10</v>
      </c>
      <c r="T34" s="6">
        <v>0</v>
      </c>
      <c r="U34" s="6">
        <v>0</v>
      </c>
      <c r="V34" s="6">
        <f>IF(ISERROR(VLOOKUP($S$34,'TAR FIN'!$A$1:$O$103,15,0)),0,VLOOKUP($S$34,'TAR FIN'!$A$1:$O$103,15,0))</f>
        <v>11.48</v>
      </c>
      <c r="W34" s="6">
        <f>IF(ISERROR(VLOOKUP($T$34,'TAR FIN'!$A$1:$O$103,15,0)),0,VLOOKUP($T$34,'TAR FIN'!$A$1:$O$103,15,0))</f>
        <v>0</v>
      </c>
      <c r="X34" s="6">
        <f>IF(ISERROR(VLOOKUP($U$34,'TAR FIN'!$A$1:$O$103,15,0)),0,VLOOKUP($U$34,'TAR FIN'!$A$1:$O$103,15,0))</f>
        <v>0</v>
      </c>
      <c r="Y34" s="6">
        <f ca="1">('TUSD BE'!$AM$9+'TUSD BF'!$AM$9+'TUSD CVA'!$AM$9)*1</f>
        <v>12.436759261643918</v>
      </c>
      <c r="Z34" s="6"/>
      <c r="AA34" s="6"/>
      <c r="AB34" s="6">
        <f>$K$34*$V$34</f>
        <v>34554.800000000003</v>
      </c>
      <c r="AC34" s="6">
        <f>$M$34*$W$34</f>
        <v>0</v>
      </c>
      <c r="AD34" s="6">
        <f>$O$34*$X$34</f>
        <v>0</v>
      </c>
      <c r="AE34" s="6">
        <f ca="1">$K$34*$Y$34</f>
        <v>37434.645377548193</v>
      </c>
      <c r="AF34" s="6">
        <f>$M$34*$Z$34</f>
        <v>0</v>
      </c>
      <c r="AG34" s="6">
        <f>$O$34*$AA$34</f>
        <v>0</v>
      </c>
    </row>
    <row r="35" spans="1:33" ht="11.25" customHeight="1" x14ac:dyDescent="0.3">
      <c r="A35" s="4" t="s">
        <v>21</v>
      </c>
      <c r="B35" s="4" t="s">
        <v>45</v>
      </c>
      <c r="C35" s="4" t="s">
        <v>60</v>
      </c>
      <c r="D35" s="4" t="s">
        <v>25</v>
      </c>
      <c r="E35" s="4" t="s">
        <v>25</v>
      </c>
      <c r="F35" s="4" t="s">
        <v>25</v>
      </c>
      <c r="G35" s="4" t="s">
        <v>61</v>
      </c>
      <c r="H35" s="4" t="s">
        <v>25</v>
      </c>
      <c r="I35" s="5">
        <v>44682</v>
      </c>
      <c r="J35" s="6">
        <v>3010</v>
      </c>
      <c r="K35" s="6">
        <v>3010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62</v>
      </c>
      <c r="R35" s="4">
        <v>26879</v>
      </c>
      <c r="S35" s="6">
        <v>10</v>
      </c>
      <c r="T35" s="6">
        <v>0</v>
      </c>
      <c r="U35" s="6">
        <v>0</v>
      </c>
      <c r="V35" s="6">
        <f>IF(ISERROR(VLOOKUP($S$35,'TAR FIN'!$A$1:$O$103,15,0)),0,VLOOKUP($S$35,'TAR FIN'!$A$1:$O$103,15,0))</f>
        <v>11.48</v>
      </c>
      <c r="W35" s="6">
        <f>IF(ISERROR(VLOOKUP($T$35,'TAR FIN'!$A$1:$O$103,15,0)),0,VLOOKUP($T$35,'TAR FIN'!$A$1:$O$103,15,0))</f>
        <v>0</v>
      </c>
      <c r="X35" s="6">
        <f>IF(ISERROR(VLOOKUP($U$35,'TAR FIN'!$A$1:$O$103,15,0)),0,VLOOKUP($U$35,'TAR FIN'!$A$1:$O$103,15,0))</f>
        <v>0</v>
      </c>
      <c r="Y35" s="6">
        <f ca="1">('TUSD BE'!$AM$9+'TUSD BF'!$AM$9+'TUSD CVA'!$AM$9)*1</f>
        <v>12.436759261643918</v>
      </c>
      <c r="Z35" s="6"/>
      <c r="AA35" s="6"/>
      <c r="AB35" s="6">
        <f>$K$35*$V$35</f>
        <v>34554.800000000003</v>
      </c>
      <c r="AC35" s="6">
        <f>$M$35*$W$35</f>
        <v>0</v>
      </c>
      <c r="AD35" s="6">
        <f>$O$35*$X$35</f>
        <v>0</v>
      </c>
      <c r="AE35" s="6">
        <f ca="1">$K$35*$Y$35</f>
        <v>37434.645377548193</v>
      </c>
      <c r="AF35" s="6">
        <f>$M$35*$Z$35</f>
        <v>0</v>
      </c>
      <c r="AG35" s="6">
        <f>$O$35*$AA$35</f>
        <v>0</v>
      </c>
    </row>
    <row r="36" spans="1:33" ht="11.25" customHeight="1" x14ac:dyDescent="0.3">
      <c r="A36" s="4" t="s">
        <v>21</v>
      </c>
      <c r="B36" s="4" t="s">
        <v>45</v>
      </c>
      <c r="C36" s="4" t="s">
        <v>60</v>
      </c>
      <c r="D36" s="4" t="s">
        <v>25</v>
      </c>
      <c r="E36" s="4" t="s">
        <v>25</v>
      </c>
      <c r="F36" s="4" t="s">
        <v>25</v>
      </c>
      <c r="G36" s="4" t="s">
        <v>61</v>
      </c>
      <c r="H36" s="4" t="s">
        <v>25</v>
      </c>
      <c r="I36" s="5">
        <v>44713</v>
      </c>
      <c r="J36" s="6">
        <v>3010</v>
      </c>
      <c r="K36" s="6">
        <v>3010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62</v>
      </c>
      <c r="R36" s="4">
        <v>26879</v>
      </c>
      <c r="S36" s="6">
        <v>10</v>
      </c>
      <c r="T36" s="6">
        <v>0</v>
      </c>
      <c r="U36" s="6">
        <v>0</v>
      </c>
      <c r="V36" s="6">
        <f>IF(ISERROR(VLOOKUP($S$36,'TAR FIN'!$A$1:$O$103,15,0)),0,VLOOKUP($S$36,'TAR FIN'!$A$1:$O$103,15,0))</f>
        <v>11.48</v>
      </c>
      <c r="W36" s="6">
        <f>IF(ISERROR(VLOOKUP($T$36,'TAR FIN'!$A$1:$O$103,15,0)),0,VLOOKUP($T$36,'TAR FIN'!$A$1:$O$103,15,0))</f>
        <v>0</v>
      </c>
      <c r="X36" s="6">
        <f>IF(ISERROR(VLOOKUP($U$36,'TAR FIN'!$A$1:$O$103,15,0)),0,VLOOKUP($U$36,'TAR FIN'!$A$1:$O$103,15,0))</f>
        <v>0</v>
      </c>
      <c r="Y36" s="6">
        <f ca="1">('TUSD BE'!$AM$9+'TUSD BF'!$AM$9+'TUSD CVA'!$AM$9)*1</f>
        <v>12.436759261643918</v>
      </c>
      <c r="Z36" s="6"/>
      <c r="AA36" s="6"/>
      <c r="AB36" s="6">
        <f>$K$36*$V$36</f>
        <v>34554.800000000003</v>
      </c>
      <c r="AC36" s="6">
        <f>$M$36*$W$36</f>
        <v>0</v>
      </c>
      <c r="AD36" s="6">
        <f>$O$36*$X$36</f>
        <v>0</v>
      </c>
      <c r="AE36" s="6">
        <f ca="1">$K$36*$Y$36</f>
        <v>37434.645377548193</v>
      </c>
      <c r="AF36" s="6">
        <f>$M$36*$Z$36</f>
        <v>0</v>
      </c>
      <c r="AG36" s="6">
        <f>$O$36*$AA$36</f>
        <v>0</v>
      </c>
    </row>
    <row r="37" spans="1:33" ht="11.25" customHeight="1" x14ac:dyDescent="0.3">
      <c r="A37" s="4" t="s">
        <v>21</v>
      </c>
      <c r="B37" s="4" t="s">
        <v>45</v>
      </c>
      <c r="C37" s="4" t="s">
        <v>60</v>
      </c>
      <c r="D37" s="4" t="s">
        <v>25</v>
      </c>
      <c r="E37" s="4" t="s">
        <v>25</v>
      </c>
      <c r="F37" s="4" t="s">
        <v>25</v>
      </c>
      <c r="G37" s="4" t="s">
        <v>61</v>
      </c>
      <c r="H37" s="4" t="s">
        <v>25</v>
      </c>
      <c r="I37" s="5">
        <v>44743</v>
      </c>
      <c r="J37" s="6">
        <v>3010</v>
      </c>
      <c r="K37" s="6">
        <v>3010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62</v>
      </c>
      <c r="R37" s="4">
        <v>26879</v>
      </c>
      <c r="S37" s="6">
        <v>10</v>
      </c>
      <c r="T37" s="6">
        <v>0</v>
      </c>
      <c r="U37" s="6">
        <v>0</v>
      </c>
      <c r="V37" s="6">
        <f>IF(ISERROR(VLOOKUP($S$37,'TAR FIN'!$A$1:$O$103,15,0)),0,VLOOKUP($S$37,'TAR FIN'!$A$1:$O$103,15,0))</f>
        <v>11.48</v>
      </c>
      <c r="W37" s="6">
        <f>IF(ISERROR(VLOOKUP($T$37,'TAR FIN'!$A$1:$O$103,15,0)),0,VLOOKUP($T$37,'TAR FIN'!$A$1:$O$103,15,0))</f>
        <v>0</v>
      </c>
      <c r="X37" s="6">
        <f>IF(ISERROR(VLOOKUP($U$37,'TAR FIN'!$A$1:$O$103,15,0)),0,VLOOKUP($U$37,'TAR FIN'!$A$1:$O$103,15,0))</f>
        <v>0</v>
      </c>
      <c r="Y37" s="6">
        <f ca="1">('TUSD BE'!$AM$9+'TUSD BF'!$AM$9+'TUSD CVA'!$AM$9)*1</f>
        <v>12.436759261643918</v>
      </c>
      <c r="Z37" s="6"/>
      <c r="AA37" s="6"/>
      <c r="AB37" s="6">
        <f>$K$37*$V$37</f>
        <v>34554.800000000003</v>
      </c>
      <c r="AC37" s="6">
        <f>$M$37*$W$37</f>
        <v>0</v>
      </c>
      <c r="AD37" s="6">
        <f>$O$37*$X$37</f>
        <v>0</v>
      </c>
      <c r="AE37" s="6">
        <f ca="1">$K$37*$Y$37</f>
        <v>37434.645377548193</v>
      </c>
      <c r="AF37" s="6">
        <f>$M$37*$Z$37</f>
        <v>0</v>
      </c>
      <c r="AG37" s="6">
        <f>$O$37*$AA$37</f>
        <v>0</v>
      </c>
    </row>
    <row r="38" spans="1:33" ht="11.25" customHeight="1" x14ac:dyDescent="0.3">
      <c r="A38" s="4" t="s">
        <v>21</v>
      </c>
      <c r="B38" s="4" t="s">
        <v>45</v>
      </c>
      <c r="C38" s="4" t="s">
        <v>60</v>
      </c>
      <c r="D38" s="4" t="s">
        <v>25</v>
      </c>
      <c r="E38" s="4" t="s">
        <v>25</v>
      </c>
      <c r="F38" s="4" t="s">
        <v>25</v>
      </c>
      <c r="G38" s="4" t="s">
        <v>61</v>
      </c>
      <c r="H38" s="4" t="s">
        <v>25</v>
      </c>
      <c r="I38" s="5">
        <v>44774</v>
      </c>
      <c r="J38" s="6">
        <v>3010</v>
      </c>
      <c r="K38" s="6">
        <v>3010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62</v>
      </c>
      <c r="R38" s="4">
        <v>26879</v>
      </c>
      <c r="S38" s="6">
        <v>10</v>
      </c>
      <c r="T38" s="6">
        <v>0</v>
      </c>
      <c r="U38" s="6">
        <v>0</v>
      </c>
      <c r="V38" s="6">
        <f>IF(ISERROR(VLOOKUP($S$38,'TAR FIN'!$A$1:$O$103,15,0)),0,VLOOKUP($S$38,'TAR FIN'!$A$1:$O$103,15,0))</f>
        <v>11.48</v>
      </c>
      <c r="W38" s="6">
        <f>IF(ISERROR(VLOOKUP($T$38,'TAR FIN'!$A$1:$O$103,15,0)),0,VLOOKUP($T$38,'TAR FIN'!$A$1:$O$103,15,0))</f>
        <v>0</v>
      </c>
      <c r="X38" s="6">
        <f>IF(ISERROR(VLOOKUP($U$38,'TAR FIN'!$A$1:$O$103,15,0)),0,VLOOKUP($U$38,'TAR FIN'!$A$1:$O$103,15,0))</f>
        <v>0</v>
      </c>
      <c r="Y38" s="6">
        <f ca="1">('TUSD BE'!$AM$9+'TUSD BF'!$AM$9+'TUSD CVA'!$AM$9)*1</f>
        <v>12.436759261643918</v>
      </c>
      <c r="Z38" s="6"/>
      <c r="AA38" s="6"/>
      <c r="AB38" s="6">
        <f>$K$38*$V$38</f>
        <v>34554.800000000003</v>
      </c>
      <c r="AC38" s="6">
        <f>$M$38*$W$38</f>
        <v>0</v>
      </c>
      <c r="AD38" s="6">
        <f>$O$38*$X$38</f>
        <v>0</v>
      </c>
      <c r="AE38" s="6">
        <f ca="1">$K$38*$Y$38</f>
        <v>37434.645377548193</v>
      </c>
      <c r="AF38" s="6">
        <f>$M$38*$Z$38</f>
        <v>0</v>
      </c>
      <c r="AG38" s="6">
        <f>$O$38*$AA$38</f>
        <v>0</v>
      </c>
    </row>
    <row r="39" spans="1:33" ht="11.25" customHeight="1" x14ac:dyDescent="0.3">
      <c r="A39" s="4" t="s">
        <v>21</v>
      </c>
      <c r="B39" s="4" t="s">
        <v>45</v>
      </c>
      <c r="C39" s="4" t="s">
        <v>60</v>
      </c>
      <c r="D39" s="4" t="s">
        <v>25</v>
      </c>
      <c r="E39" s="4" t="s">
        <v>25</v>
      </c>
      <c r="F39" s="4" t="s">
        <v>25</v>
      </c>
      <c r="G39" s="4" t="s">
        <v>61</v>
      </c>
      <c r="H39" s="4" t="s">
        <v>25</v>
      </c>
      <c r="I39" s="5">
        <v>44805</v>
      </c>
      <c r="J39" s="6">
        <v>3010</v>
      </c>
      <c r="K39" s="6">
        <v>3010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62</v>
      </c>
      <c r="R39" s="4">
        <v>26879</v>
      </c>
      <c r="S39" s="6">
        <v>10</v>
      </c>
      <c r="T39" s="6">
        <v>0</v>
      </c>
      <c r="U39" s="6">
        <v>0</v>
      </c>
      <c r="V39" s="6">
        <f>IF(ISERROR(VLOOKUP($S$39,'TAR FIN'!$A$1:$O$103,15,0)),0,VLOOKUP($S$39,'TAR FIN'!$A$1:$O$103,15,0))</f>
        <v>11.48</v>
      </c>
      <c r="W39" s="6">
        <f>IF(ISERROR(VLOOKUP($T$39,'TAR FIN'!$A$1:$O$103,15,0)),0,VLOOKUP($T$39,'TAR FIN'!$A$1:$O$103,15,0))</f>
        <v>0</v>
      </c>
      <c r="X39" s="6">
        <f>IF(ISERROR(VLOOKUP($U$39,'TAR FIN'!$A$1:$O$103,15,0)),0,VLOOKUP($U$39,'TAR FIN'!$A$1:$O$103,15,0))</f>
        <v>0</v>
      </c>
      <c r="Y39" s="6">
        <f ca="1">('TUSD BE'!$AM$9+'TUSD BF'!$AM$9+'TUSD CVA'!$AM$9)*1</f>
        <v>12.436759261643918</v>
      </c>
      <c r="Z39" s="6"/>
      <c r="AA39" s="6"/>
      <c r="AB39" s="6">
        <f>$K$39*$V$39</f>
        <v>34554.800000000003</v>
      </c>
      <c r="AC39" s="6">
        <f>$M$39*$W$39</f>
        <v>0</v>
      </c>
      <c r="AD39" s="6">
        <f>$O$39*$X$39</f>
        <v>0</v>
      </c>
      <c r="AE39" s="6">
        <f ca="1">$K$39*$Y$39</f>
        <v>37434.645377548193</v>
      </c>
      <c r="AF39" s="6">
        <f>$M$39*$Z$39</f>
        <v>0</v>
      </c>
      <c r="AG39" s="6">
        <f>$O$39*$AA$39</f>
        <v>0</v>
      </c>
    </row>
    <row r="40" spans="1:33" ht="11.25" customHeight="1" x14ac:dyDescent="0.3">
      <c r="A40" s="4" t="s">
        <v>57</v>
      </c>
      <c r="B40" s="4" t="s">
        <v>45</v>
      </c>
      <c r="C40" s="4" t="s">
        <v>60</v>
      </c>
      <c r="D40" s="4" t="s">
        <v>25</v>
      </c>
      <c r="E40" s="4" t="s">
        <v>25</v>
      </c>
      <c r="F40" s="4" t="s">
        <v>25</v>
      </c>
      <c r="G40" s="4" t="s">
        <v>61</v>
      </c>
      <c r="H40" s="4" t="s">
        <v>25</v>
      </c>
      <c r="I40" s="5">
        <v>44835</v>
      </c>
      <c r="J40" s="6">
        <v>3010</v>
      </c>
      <c r="K40" s="6">
        <v>3010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62</v>
      </c>
      <c r="R40" s="4">
        <v>26879</v>
      </c>
      <c r="S40" s="6">
        <v>10</v>
      </c>
      <c r="T40" s="6">
        <v>0</v>
      </c>
      <c r="U40" s="6">
        <v>0</v>
      </c>
      <c r="V40" s="6">
        <f>IF(ISERROR(VLOOKUP($S$40,'TAR FIN'!$A$1:$O$103,15,0)),0,VLOOKUP($S$40,'TAR FIN'!$A$1:$O$103,15,0))</f>
        <v>11.48</v>
      </c>
      <c r="W40" s="6">
        <f>IF(ISERROR(VLOOKUP($T$40,'TAR FIN'!$A$1:$O$103,15,0)),0,VLOOKUP($T$40,'TAR FIN'!$A$1:$O$103,15,0))</f>
        <v>0</v>
      </c>
      <c r="X40" s="6">
        <f>IF(ISERROR(VLOOKUP($U$40,'TAR FIN'!$A$1:$O$103,15,0)),0,VLOOKUP($U$40,'TAR FIN'!$A$1:$O$103,15,0))</f>
        <v>0</v>
      </c>
      <c r="Y40" s="6">
        <f ca="1">('TUSD BE'!$AM$9+'TUSD BF'!$AM$9+'TUSD CVA'!$AM$9)*1</f>
        <v>12.436759261643918</v>
      </c>
      <c r="Z40" s="6"/>
      <c r="AA40" s="6"/>
      <c r="AB40" s="6">
        <f>$K$40*$V$40</f>
        <v>34554.800000000003</v>
      </c>
      <c r="AC40" s="6">
        <f>$M$40*$W$40</f>
        <v>0</v>
      </c>
      <c r="AD40" s="6">
        <f>$O$40*$X$40</f>
        <v>0</v>
      </c>
      <c r="AE40" s="6">
        <f ca="1">$K$40*$Y$40</f>
        <v>37434.645377548193</v>
      </c>
      <c r="AF40" s="6">
        <f>$M$40*$Z$40</f>
        <v>0</v>
      </c>
      <c r="AG40" s="6">
        <f>$O$40*$AA$40</f>
        <v>0</v>
      </c>
    </row>
    <row r="41" spans="1:33" ht="11.25" customHeight="1" x14ac:dyDescent="0.3">
      <c r="A41" s="4" t="s">
        <v>21</v>
      </c>
      <c r="B41" s="4" t="s">
        <v>45</v>
      </c>
      <c r="C41" s="4" t="s">
        <v>40</v>
      </c>
      <c r="D41" s="4" t="s">
        <v>44</v>
      </c>
      <c r="E41" s="4" t="s">
        <v>53</v>
      </c>
      <c r="F41" s="4" t="s">
        <v>55</v>
      </c>
      <c r="G41" s="4" t="s">
        <v>25</v>
      </c>
      <c r="H41" s="4" t="s">
        <v>35</v>
      </c>
      <c r="I41" s="5">
        <v>44805</v>
      </c>
      <c r="J41" s="6">
        <v>0</v>
      </c>
      <c r="K41" s="6">
        <v>0</v>
      </c>
      <c r="L41" s="6">
        <v>5.2069999999999999</v>
      </c>
      <c r="M41" s="6">
        <v>1.0414000000000001</v>
      </c>
      <c r="N41" s="6">
        <v>5.2069999999999999</v>
      </c>
      <c r="O41" s="6">
        <v>1.0414000000000001</v>
      </c>
      <c r="P41" s="6">
        <v>0</v>
      </c>
      <c r="Q41" s="4" t="s">
        <v>26</v>
      </c>
      <c r="R41" s="4">
        <v>0</v>
      </c>
      <c r="S41" s="6">
        <v>0</v>
      </c>
      <c r="T41" s="6">
        <v>16</v>
      </c>
      <c r="U41" s="6">
        <v>63</v>
      </c>
      <c r="V41" s="6">
        <f>IF(ISERROR(VLOOKUP($S$41,'TAR FIN'!$A$1:$O$103,15,0)),0,VLOOKUP($S$41,'TAR FIN'!$A$1:$O$103,15,0))</f>
        <v>0</v>
      </c>
      <c r="W41" s="6">
        <f>IF(ISERROR(VLOOKUP($T$41,'TAR FIN'!$A$1:$O$103,15,0)),0,VLOOKUP($T$41,'TAR FIN'!$A$1:$O$103,15,0))</f>
        <v>84.99</v>
      </c>
      <c r="X41" s="6">
        <f>IF(ISERROR(VLOOKUP($U$41,'TAR FIN'!$A$1:$O$103,15,0)),0,VLOOKUP($U$41,'TAR FIN'!$A$1:$O$103,15,0))</f>
        <v>242.77</v>
      </c>
      <c r="Y41" s="6"/>
      <c r="Z41" s="6">
        <f ca="1">('TUSD BE'!$AM$12+'TUSD BF'!$AM$12+'TUSD CVA'!$AM$12)*1</f>
        <v>145.72237393634796</v>
      </c>
      <c r="AA41" s="6">
        <f>('TE BE'!$AB$6+'TE BF'!$AB$6+'TE CVA'!$AB$6)*1</f>
        <v>222.39386487986414</v>
      </c>
      <c r="AB41" s="6">
        <f>$K$41*$V$41</f>
        <v>0</v>
      </c>
      <c r="AC41" s="6">
        <f>$M$41*$W$41</f>
        <v>88.508586000000008</v>
      </c>
      <c r="AD41" s="6">
        <f>$O$41*$X$41</f>
        <v>252.82067800000004</v>
      </c>
      <c r="AE41" s="6">
        <f>$K$41*$Y$41</f>
        <v>0</v>
      </c>
      <c r="AF41" s="6">
        <f ca="1">$M$41*$Z$41</f>
        <v>151.75528021731279</v>
      </c>
      <c r="AG41" s="6">
        <f>$O$41*$AA$41</f>
        <v>231.60097088589055</v>
      </c>
    </row>
    <row r="42" spans="1:33" ht="11.25" customHeight="1" x14ac:dyDescent="0.3">
      <c r="A42" s="4" t="s">
        <v>57</v>
      </c>
      <c r="B42" s="4" t="s">
        <v>45</v>
      </c>
      <c r="C42" s="4" t="s">
        <v>40</v>
      </c>
      <c r="D42" s="4" t="s">
        <v>44</v>
      </c>
      <c r="E42" s="4" t="s">
        <v>53</v>
      </c>
      <c r="F42" s="4" t="s">
        <v>55</v>
      </c>
      <c r="G42" s="4" t="s">
        <v>25</v>
      </c>
      <c r="H42" s="4" t="s">
        <v>35</v>
      </c>
      <c r="I42" s="5">
        <v>44835</v>
      </c>
      <c r="J42" s="6">
        <v>0</v>
      </c>
      <c r="K42" s="6">
        <v>0</v>
      </c>
      <c r="L42" s="6">
        <v>5.2069999999999999</v>
      </c>
      <c r="M42" s="6">
        <v>1.0414000000000001</v>
      </c>
      <c r="N42" s="6">
        <v>5.2069999999999999</v>
      </c>
      <c r="O42" s="6">
        <v>1.0414000000000001</v>
      </c>
      <c r="P42" s="6">
        <v>0</v>
      </c>
      <c r="Q42" s="4" t="s">
        <v>26</v>
      </c>
      <c r="R42" s="4">
        <v>0</v>
      </c>
      <c r="S42" s="6">
        <v>0</v>
      </c>
      <c r="T42" s="6">
        <v>16</v>
      </c>
      <c r="U42" s="6">
        <v>63</v>
      </c>
      <c r="V42" s="6">
        <f>IF(ISERROR(VLOOKUP($S$42,'TAR FIN'!$A$1:$O$103,15,0)),0,VLOOKUP($S$42,'TAR FIN'!$A$1:$O$103,15,0))</f>
        <v>0</v>
      </c>
      <c r="W42" s="6">
        <f>IF(ISERROR(VLOOKUP($T$42,'TAR FIN'!$A$1:$O$103,15,0)),0,VLOOKUP($T$42,'TAR FIN'!$A$1:$O$103,15,0))</f>
        <v>84.99</v>
      </c>
      <c r="X42" s="6">
        <f>IF(ISERROR(VLOOKUP($U$42,'TAR FIN'!$A$1:$O$103,15,0)),0,VLOOKUP($U$42,'TAR FIN'!$A$1:$O$103,15,0))</f>
        <v>242.77</v>
      </c>
      <c r="Y42" s="6"/>
      <c r="Z42" s="6">
        <f ca="1">('TUSD BE'!$AM$12+'TUSD BF'!$AM$12+'TUSD CVA'!$AM$12)*1</f>
        <v>145.72237393634796</v>
      </c>
      <c r="AA42" s="6">
        <f>('TE BE'!$AB$6+'TE BF'!$AB$6+'TE CVA'!$AB$6)*1</f>
        <v>222.39386487986414</v>
      </c>
      <c r="AB42" s="6">
        <f>$K$42*$V$42</f>
        <v>0</v>
      </c>
      <c r="AC42" s="6">
        <f>$M$42*$W$42</f>
        <v>88.508586000000008</v>
      </c>
      <c r="AD42" s="6">
        <f>$O$42*$X$42</f>
        <v>252.82067800000004</v>
      </c>
      <c r="AE42" s="6">
        <f>$K$42*$Y$42</f>
        <v>0</v>
      </c>
      <c r="AF42" s="6">
        <f ca="1">$M$42*$Z$42</f>
        <v>151.75528021731279</v>
      </c>
      <c r="AG42" s="6">
        <f>$O$42*$AA$42</f>
        <v>231.60097088589055</v>
      </c>
    </row>
    <row r="43" spans="1:33" ht="11.25" customHeight="1" x14ac:dyDescent="0.3">
      <c r="A43" s="4" t="s">
        <v>21</v>
      </c>
      <c r="B43" s="4" t="s">
        <v>45</v>
      </c>
      <c r="C43" s="4" t="s">
        <v>40</v>
      </c>
      <c r="D43" s="4" t="s">
        <v>44</v>
      </c>
      <c r="E43" s="4" t="s">
        <v>53</v>
      </c>
      <c r="F43" s="4" t="s">
        <v>25</v>
      </c>
      <c r="G43" s="4" t="s">
        <v>25</v>
      </c>
      <c r="H43" s="4" t="s">
        <v>35</v>
      </c>
      <c r="I43" s="5">
        <v>44805</v>
      </c>
      <c r="J43" s="6">
        <v>0</v>
      </c>
      <c r="K43" s="52">
        <v>0</v>
      </c>
      <c r="L43" s="6">
        <v>9.7170000000000005</v>
      </c>
      <c r="M43" s="52">
        <v>9.7170000000000005</v>
      </c>
      <c r="N43" s="6">
        <v>9.7170000000000005</v>
      </c>
      <c r="O43" s="52">
        <v>9.7170000000000005</v>
      </c>
      <c r="P43" s="6">
        <v>0</v>
      </c>
      <c r="Q43" s="4" t="s">
        <v>26</v>
      </c>
      <c r="R43" s="4">
        <v>0</v>
      </c>
      <c r="S43" s="6">
        <v>0</v>
      </c>
      <c r="T43" s="6">
        <v>16</v>
      </c>
      <c r="U43" s="6">
        <v>63</v>
      </c>
      <c r="V43" s="52">
        <f>IF(ISERROR(VLOOKUP($S$43,'TAR FIN'!$A$1:$O$103,15,0)),0,VLOOKUP($S$43,'TAR FIN'!$A$1:$O$103,15,0))</f>
        <v>0</v>
      </c>
      <c r="W43" s="52">
        <f>IF(ISERROR(VLOOKUP($T$43,'TAR FIN'!$A$1:$O$103,15,0)),0,VLOOKUP($T$43,'TAR FIN'!$A$1:$O$103,15,0))*(1-0.04)</f>
        <v>81.590399999999988</v>
      </c>
      <c r="X43" s="52">
        <f>IF(ISERROR(VLOOKUP($U$43,'TAR FIN'!$A$1:$O$103,15,0)),0,VLOOKUP($U$43,'TAR FIN'!$A$1:$O$103,15,0))*(1-0.04)</f>
        <v>233.0592</v>
      </c>
      <c r="Y43" s="52"/>
      <c r="Z43" s="52">
        <f ca="1">('TUSD BE'!$AM$12+'TUSD BF'!$AM$12+'TUSD CVA'!$AM$12)*1*(1-0.02)</f>
        <v>142.80792645762099</v>
      </c>
      <c r="AA43" s="52">
        <f>('TE BE'!$AB$6+'TE BF'!$AB$6+'TE CVA'!$AB$6)*1*(1-0.02)</f>
        <v>217.94598758226687</v>
      </c>
      <c r="AB43" s="6">
        <f>$K$43*$V$43</f>
        <v>0</v>
      </c>
      <c r="AC43" s="6">
        <f>$M$43*$W$43</f>
        <v>792.8139167999999</v>
      </c>
      <c r="AD43" s="6">
        <f>$O$43*$X$43</f>
        <v>2264.6362464000003</v>
      </c>
      <c r="AE43" s="6">
        <f>$K$43*$Y$43</f>
        <v>0</v>
      </c>
      <c r="AF43" s="6">
        <f ca="1">$M$43*$Z$43</f>
        <v>1387.6646213887034</v>
      </c>
      <c r="AG43" s="6">
        <f>$O$43*$AA$43</f>
        <v>2117.7811613368872</v>
      </c>
    </row>
    <row r="44" spans="1:33" ht="11.25" customHeight="1" x14ac:dyDescent="0.3">
      <c r="A44" s="4" t="s">
        <v>57</v>
      </c>
      <c r="B44" s="4" t="s">
        <v>45</v>
      </c>
      <c r="C44" s="4" t="s">
        <v>40</v>
      </c>
      <c r="D44" s="4" t="s">
        <v>44</v>
      </c>
      <c r="E44" s="4" t="s">
        <v>53</v>
      </c>
      <c r="F44" s="4" t="s">
        <v>25</v>
      </c>
      <c r="G44" s="4" t="s">
        <v>25</v>
      </c>
      <c r="H44" s="4" t="s">
        <v>35</v>
      </c>
      <c r="I44" s="5">
        <v>44835</v>
      </c>
      <c r="J44" s="6">
        <v>0</v>
      </c>
      <c r="K44" s="52">
        <v>0</v>
      </c>
      <c r="L44" s="6">
        <v>9.7170000000000005</v>
      </c>
      <c r="M44" s="52">
        <v>9.7170000000000005</v>
      </c>
      <c r="N44" s="6">
        <v>9.7170000000000005</v>
      </c>
      <c r="O44" s="52">
        <v>9.7170000000000005</v>
      </c>
      <c r="P44" s="6">
        <v>0</v>
      </c>
      <c r="Q44" s="4" t="s">
        <v>26</v>
      </c>
      <c r="R44" s="4">
        <v>0</v>
      </c>
      <c r="S44" s="6">
        <v>0</v>
      </c>
      <c r="T44" s="6">
        <v>16</v>
      </c>
      <c r="U44" s="6">
        <v>63</v>
      </c>
      <c r="V44" s="52">
        <f>IF(ISERROR(VLOOKUP($S$44,'TAR FIN'!$A$1:$O$103,15,0)),0,VLOOKUP($S$44,'TAR FIN'!$A$1:$O$103,15,0))</f>
        <v>0</v>
      </c>
      <c r="W44" s="52">
        <f>IF(ISERROR(VLOOKUP($T$44,'TAR FIN'!$A$1:$O$103,15,0)),0,VLOOKUP($T$44,'TAR FIN'!$A$1:$O$103,15,0))*(1-0.04)</f>
        <v>81.590399999999988</v>
      </c>
      <c r="X44" s="52">
        <f>IF(ISERROR(VLOOKUP($U$44,'TAR FIN'!$A$1:$O$103,15,0)),0,VLOOKUP($U$44,'TAR FIN'!$A$1:$O$103,15,0))*(1-0.04)</f>
        <v>233.0592</v>
      </c>
      <c r="Y44" s="52"/>
      <c r="Z44" s="52">
        <f ca="1">('TUSD BE'!$AM$12+'TUSD BF'!$AM$12+'TUSD CVA'!$AM$12)*1*(1-0.02)</f>
        <v>142.80792645762099</v>
      </c>
      <c r="AA44" s="52">
        <f>('TE BE'!$AB$6+'TE BF'!$AB$6+'TE CVA'!$AB$6)*1*(1-0.02)</f>
        <v>217.94598758226687</v>
      </c>
      <c r="AB44" s="6">
        <f>$K$44*$V$44</f>
        <v>0</v>
      </c>
      <c r="AC44" s="6">
        <f>$M$44*$W$44</f>
        <v>792.8139167999999</v>
      </c>
      <c r="AD44" s="6">
        <f>$O$44*$X$44</f>
        <v>2264.6362464000003</v>
      </c>
      <c r="AE44" s="6">
        <f>$K$44*$Y$44</f>
        <v>0</v>
      </c>
      <c r="AF44" s="6">
        <f ca="1">$M$44*$Z$44</f>
        <v>1387.6646213887034</v>
      </c>
      <c r="AG44" s="6">
        <f>$O$44*$AA$44</f>
        <v>2117.7811613368872</v>
      </c>
    </row>
    <row r="45" spans="1:33" ht="11.25" customHeight="1" x14ac:dyDescent="0.3">
      <c r="A45" s="4" t="s">
        <v>21</v>
      </c>
      <c r="B45" s="4" t="s">
        <v>45</v>
      </c>
      <c r="C45" s="4" t="s">
        <v>40</v>
      </c>
      <c r="D45" s="4" t="s">
        <v>44</v>
      </c>
      <c r="E45" s="4" t="s">
        <v>53</v>
      </c>
      <c r="F45" s="4" t="s">
        <v>25</v>
      </c>
      <c r="G45" s="4" t="s">
        <v>25</v>
      </c>
      <c r="H45" s="4" t="s">
        <v>25</v>
      </c>
      <c r="I45" s="5">
        <v>44805</v>
      </c>
      <c r="J45" s="6">
        <v>106</v>
      </c>
      <c r="K45" s="52">
        <v>106</v>
      </c>
      <c r="L45" s="6">
        <v>0</v>
      </c>
      <c r="M45" s="52">
        <v>0</v>
      </c>
      <c r="N45" s="6">
        <v>0</v>
      </c>
      <c r="O45" s="52">
        <v>0</v>
      </c>
      <c r="P45" s="6">
        <v>1</v>
      </c>
      <c r="Q45" s="4" t="s">
        <v>26</v>
      </c>
      <c r="R45" s="4">
        <v>0</v>
      </c>
      <c r="S45" s="6">
        <v>11</v>
      </c>
      <c r="T45" s="6">
        <v>0</v>
      </c>
      <c r="U45" s="6">
        <v>0</v>
      </c>
      <c r="V45" s="52">
        <f>IF(ISERROR(VLOOKUP($S$45,'TAR FIN'!$A$1:$O$103,15,0)),0,VLOOKUP($S$45,'TAR FIN'!$A$1:$O$103,15,0))*(1-0.04)</f>
        <v>18.1632</v>
      </c>
      <c r="W45" s="52">
        <f>IF(ISERROR(VLOOKUP($T$45,'TAR FIN'!$A$1:$O$103,15,0)),0,VLOOKUP($T$45,'TAR FIN'!$A$1:$O$103,15,0))</f>
        <v>0</v>
      </c>
      <c r="X45" s="52">
        <f>IF(ISERROR(VLOOKUP($U$45,'TAR FIN'!$A$1:$O$103,15,0)),0,VLOOKUP($U$45,'TAR FIN'!$A$1:$O$103,15,0))</f>
        <v>0</v>
      </c>
      <c r="Y45" s="52">
        <f ca="1">('TUSD BE'!$AM$10+'TUSD BF'!$AM$10+'TUSD CVA'!$AM$10)*1*(1-0.02)</f>
        <v>20.941951853111981</v>
      </c>
      <c r="Z45" s="52"/>
      <c r="AA45" s="52"/>
      <c r="AB45" s="6">
        <f>$K$45*$V$45</f>
        <v>1925.2991999999999</v>
      </c>
      <c r="AC45" s="6">
        <f>$M$45*$W$45</f>
        <v>0</v>
      </c>
      <c r="AD45" s="6">
        <f>$O$45*$X$45</f>
        <v>0</v>
      </c>
      <c r="AE45" s="6">
        <f ca="1">$K$45*$Y$45</f>
        <v>2219.84689642987</v>
      </c>
      <c r="AF45" s="6">
        <f>$M$45*$Z$45</f>
        <v>0</v>
      </c>
      <c r="AG45" s="6">
        <f>$O$45*$AA$45</f>
        <v>0</v>
      </c>
    </row>
    <row r="46" spans="1:33" ht="11.25" customHeight="1" x14ac:dyDescent="0.3">
      <c r="A46" s="4" t="s">
        <v>57</v>
      </c>
      <c r="B46" s="4" t="s">
        <v>45</v>
      </c>
      <c r="C46" s="4" t="s">
        <v>40</v>
      </c>
      <c r="D46" s="4" t="s">
        <v>44</v>
      </c>
      <c r="E46" s="4" t="s">
        <v>53</v>
      </c>
      <c r="F46" s="4" t="s">
        <v>25</v>
      </c>
      <c r="G46" s="4" t="s">
        <v>25</v>
      </c>
      <c r="H46" s="4" t="s">
        <v>25</v>
      </c>
      <c r="I46" s="5">
        <v>44835</v>
      </c>
      <c r="J46" s="6">
        <v>106</v>
      </c>
      <c r="K46" s="52">
        <v>106</v>
      </c>
      <c r="L46" s="6">
        <v>0</v>
      </c>
      <c r="M46" s="52">
        <v>0</v>
      </c>
      <c r="N46" s="6">
        <v>0</v>
      </c>
      <c r="O46" s="52">
        <v>0</v>
      </c>
      <c r="P46" s="6">
        <v>1</v>
      </c>
      <c r="Q46" s="4" t="s">
        <v>26</v>
      </c>
      <c r="R46" s="4">
        <v>0</v>
      </c>
      <c r="S46" s="6">
        <v>11</v>
      </c>
      <c r="T46" s="6">
        <v>0</v>
      </c>
      <c r="U46" s="6">
        <v>0</v>
      </c>
      <c r="V46" s="52">
        <f>IF(ISERROR(VLOOKUP($S$46,'TAR FIN'!$A$1:$O$103,15,0)),0,VLOOKUP($S$46,'TAR FIN'!$A$1:$O$103,15,0))*(1-0.04)</f>
        <v>18.1632</v>
      </c>
      <c r="W46" s="52">
        <f>IF(ISERROR(VLOOKUP($T$46,'TAR FIN'!$A$1:$O$103,15,0)),0,VLOOKUP($T$46,'TAR FIN'!$A$1:$O$103,15,0))</f>
        <v>0</v>
      </c>
      <c r="X46" s="52">
        <f>IF(ISERROR(VLOOKUP($U$46,'TAR FIN'!$A$1:$O$103,15,0)),0,VLOOKUP($U$46,'TAR FIN'!$A$1:$O$103,15,0))</f>
        <v>0</v>
      </c>
      <c r="Y46" s="52">
        <f ca="1">('TUSD BE'!$AM$10+'TUSD BF'!$AM$10+'TUSD CVA'!$AM$10)*1*(1-0.02)</f>
        <v>20.941951853111981</v>
      </c>
      <c r="Z46" s="52"/>
      <c r="AA46" s="52"/>
      <c r="AB46" s="6">
        <f>$K$46*$V$46</f>
        <v>1925.2991999999999</v>
      </c>
      <c r="AC46" s="6">
        <f>$M$46*$W$46</f>
        <v>0</v>
      </c>
      <c r="AD46" s="6">
        <f>$O$46*$X$46</f>
        <v>0</v>
      </c>
      <c r="AE46" s="6">
        <f ca="1">$K$46*$Y$46</f>
        <v>2219.84689642987</v>
      </c>
      <c r="AF46" s="6">
        <f>$M$46*$Z$46</f>
        <v>0</v>
      </c>
      <c r="AG46" s="6">
        <f>$O$46*$AA$46</f>
        <v>0</v>
      </c>
    </row>
    <row r="47" spans="1:33" ht="11.25" customHeight="1" x14ac:dyDescent="0.3">
      <c r="A47" s="4" t="s">
        <v>21</v>
      </c>
      <c r="B47" s="4" t="s">
        <v>45</v>
      </c>
      <c r="C47" s="4" t="s">
        <v>40</v>
      </c>
      <c r="D47" s="4" t="s">
        <v>44</v>
      </c>
      <c r="E47" s="4" t="s">
        <v>53</v>
      </c>
      <c r="F47" s="4" t="s">
        <v>25</v>
      </c>
      <c r="G47" s="4" t="s">
        <v>25</v>
      </c>
      <c r="H47" s="4" t="s">
        <v>34</v>
      </c>
      <c r="I47" s="5">
        <v>44805</v>
      </c>
      <c r="J47" s="6">
        <v>0</v>
      </c>
      <c r="K47" s="52">
        <v>0</v>
      </c>
      <c r="L47" s="6">
        <v>1.8859999999999999</v>
      </c>
      <c r="M47" s="52">
        <v>1.8859999999999999</v>
      </c>
      <c r="N47" s="6">
        <v>1.8859999999999999</v>
      </c>
      <c r="O47" s="52">
        <v>1.8859999999999999</v>
      </c>
      <c r="P47" s="6">
        <v>0</v>
      </c>
      <c r="Q47" s="4" t="s">
        <v>26</v>
      </c>
      <c r="R47" s="4">
        <v>0</v>
      </c>
      <c r="S47" s="6">
        <v>0</v>
      </c>
      <c r="T47" s="6">
        <v>14</v>
      </c>
      <c r="U47" s="6">
        <v>62</v>
      </c>
      <c r="V47" s="52">
        <f>IF(ISERROR(VLOOKUP($S$47,'TAR FIN'!$A$1:$O$103,15,0)),0,VLOOKUP($S$47,'TAR FIN'!$A$1:$O$103,15,0))</f>
        <v>0</v>
      </c>
      <c r="W47" s="52">
        <f>IF(ISERROR(VLOOKUP($T$47,'TAR FIN'!$A$1:$O$103,15,0)),0,VLOOKUP($T$47,'TAR FIN'!$A$1:$O$103,15,0))*(1-0.04)</f>
        <v>1147.9871999999998</v>
      </c>
      <c r="X47" s="52">
        <f>IF(ISERROR(VLOOKUP($U$47,'TAR FIN'!$A$1:$O$103,15,0)),0,VLOOKUP($U$47,'TAR FIN'!$A$1:$O$103,15,0))*(1-0.04)</f>
        <v>375.8784</v>
      </c>
      <c r="Y47" s="52"/>
      <c r="Z47" s="52">
        <f ca="1">('TUSD BE'!$AM$11+'TUSD BF'!$AM$11+'TUSD CVA'!$AM$11)*1*(1-0.02)</f>
        <v>1357.7878188473314</v>
      </c>
      <c r="AA47" s="52">
        <f>('TE BE'!$AB$5+'TE BF'!$AB$5+'TE CVA'!$AB$5)*1*(1-0.02)</f>
        <v>354.71359410136364</v>
      </c>
      <c r="AB47" s="6">
        <f>$K$47*$V$47</f>
        <v>0</v>
      </c>
      <c r="AC47" s="6">
        <f>$M$47*$W$47</f>
        <v>2165.1038591999995</v>
      </c>
      <c r="AD47" s="6">
        <f>$O$47*$X$47</f>
        <v>708.90666239999996</v>
      </c>
      <c r="AE47" s="6">
        <f>$K$47*$Y$47</f>
        <v>0</v>
      </c>
      <c r="AF47" s="6">
        <f ca="1">$M$47*$Z$47</f>
        <v>2560.787826346067</v>
      </c>
      <c r="AG47" s="6">
        <f>$O$47*$AA$47</f>
        <v>668.98983847517184</v>
      </c>
    </row>
    <row r="48" spans="1:33" ht="11.25" customHeight="1" x14ac:dyDescent="0.3">
      <c r="A48" s="4" t="s">
        <v>57</v>
      </c>
      <c r="B48" s="4" t="s">
        <v>45</v>
      </c>
      <c r="C48" s="4" t="s">
        <v>40</v>
      </c>
      <c r="D48" s="4" t="s">
        <v>44</v>
      </c>
      <c r="E48" s="4" t="s">
        <v>53</v>
      </c>
      <c r="F48" s="4" t="s">
        <v>25</v>
      </c>
      <c r="G48" s="4" t="s">
        <v>25</v>
      </c>
      <c r="H48" s="4" t="s">
        <v>34</v>
      </c>
      <c r="I48" s="5">
        <v>44835</v>
      </c>
      <c r="J48" s="6">
        <v>0</v>
      </c>
      <c r="K48" s="52">
        <v>0</v>
      </c>
      <c r="L48" s="6">
        <v>1.8859999999999999</v>
      </c>
      <c r="M48" s="52">
        <v>1.8859999999999999</v>
      </c>
      <c r="N48" s="6">
        <v>1.8859999999999999</v>
      </c>
      <c r="O48" s="52">
        <v>1.8859999999999999</v>
      </c>
      <c r="P48" s="6">
        <v>0</v>
      </c>
      <c r="Q48" s="4" t="s">
        <v>26</v>
      </c>
      <c r="R48" s="4">
        <v>0</v>
      </c>
      <c r="S48" s="6">
        <v>0</v>
      </c>
      <c r="T48" s="6">
        <v>14</v>
      </c>
      <c r="U48" s="6">
        <v>62</v>
      </c>
      <c r="V48" s="52">
        <f>IF(ISERROR(VLOOKUP($S$48,'TAR FIN'!$A$1:$O$103,15,0)),0,VLOOKUP($S$48,'TAR FIN'!$A$1:$O$103,15,0))</f>
        <v>0</v>
      </c>
      <c r="W48" s="52">
        <f>IF(ISERROR(VLOOKUP($T$48,'TAR FIN'!$A$1:$O$103,15,0)),0,VLOOKUP($T$48,'TAR FIN'!$A$1:$O$103,15,0))*(1-0.04)</f>
        <v>1147.9871999999998</v>
      </c>
      <c r="X48" s="52">
        <f>IF(ISERROR(VLOOKUP($U$48,'TAR FIN'!$A$1:$O$103,15,0)),0,VLOOKUP($U$48,'TAR FIN'!$A$1:$O$103,15,0))*(1-0.04)</f>
        <v>375.8784</v>
      </c>
      <c r="Y48" s="52"/>
      <c r="Z48" s="52">
        <f ca="1">('TUSD BE'!$AM$11+'TUSD BF'!$AM$11+'TUSD CVA'!$AM$11)*1*(1-0.02)</f>
        <v>1357.7878188473314</v>
      </c>
      <c r="AA48" s="52">
        <f>('TE BE'!$AB$5+'TE BF'!$AB$5+'TE CVA'!$AB$5)*1*(1-0.02)</f>
        <v>354.71359410136364</v>
      </c>
      <c r="AB48" s="6">
        <f>$K$48*$V$48</f>
        <v>0</v>
      </c>
      <c r="AC48" s="6">
        <f>$M$48*$W$48</f>
        <v>2165.1038591999995</v>
      </c>
      <c r="AD48" s="6">
        <f>$O$48*$X$48</f>
        <v>708.90666239999996</v>
      </c>
      <c r="AE48" s="6">
        <f>$K$48*$Y$48</f>
        <v>0</v>
      </c>
      <c r="AF48" s="6">
        <f ca="1">$M$48*$Z$48</f>
        <v>2560.787826346067</v>
      </c>
      <c r="AG48" s="6">
        <f>$O$48*$AA$48</f>
        <v>668.98983847517184</v>
      </c>
    </row>
    <row r="49" spans="1:33" ht="11.25" customHeight="1" x14ac:dyDescent="0.3">
      <c r="A49" s="4" t="s">
        <v>21</v>
      </c>
      <c r="B49" s="4" t="s">
        <v>45</v>
      </c>
      <c r="C49" s="4" t="s">
        <v>40</v>
      </c>
      <c r="D49" s="4" t="s">
        <v>44</v>
      </c>
      <c r="E49" s="4" t="s">
        <v>56</v>
      </c>
      <c r="F49" s="4" t="s">
        <v>25</v>
      </c>
      <c r="G49" s="4" t="s">
        <v>25</v>
      </c>
      <c r="H49" s="4" t="s">
        <v>35</v>
      </c>
      <c r="I49" s="5">
        <v>44593</v>
      </c>
      <c r="J49" s="6">
        <v>0</v>
      </c>
      <c r="K49" s="52">
        <v>0</v>
      </c>
      <c r="L49" s="6">
        <v>0.42099999999999999</v>
      </c>
      <c r="M49" s="52">
        <v>0.42099999999999999</v>
      </c>
      <c r="N49" s="6">
        <v>0.42099999999999999</v>
      </c>
      <c r="O49" s="52">
        <v>0.42099999999999999</v>
      </c>
      <c r="P49" s="6">
        <v>0</v>
      </c>
      <c r="Q49" s="4" t="s">
        <v>26</v>
      </c>
      <c r="R49" s="4">
        <v>0</v>
      </c>
      <c r="S49" s="6">
        <v>0</v>
      </c>
      <c r="T49" s="6">
        <v>16</v>
      </c>
      <c r="U49" s="6">
        <v>63</v>
      </c>
      <c r="V49" s="52">
        <f>IF(ISERROR(VLOOKUP($S$49,'TAR FIN'!$A$1:$O$103,15,0)),0,VLOOKUP($S$49,'TAR FIN'!$A$1:$O$103,15,0))</f>
        <v>0</v>
      </c>
      <c r="W49" s="52">
        <f>IF(ISERROR(VLOOKUP($T$49,'TAR FIN'!$A$1:$O$103,15,0)),0,VLOOKUP($T$49,'TAR FIN'!$A$1:$O$103,15,0))*(1-0.04)</f>
        <v>81.590399999999988</v>
      </c>
      <c r="X49" s="52">
        <f>IF(ISERROR(VLOOKUP($U$49,'TAR FIN'!$A$1:$O$103,15,0)),0,VLOOKUP($U$49,'TAR FIN'!$A$1:$O$103,15,0))*(1-0.04)</f>
        <v>233.0592</v>
      </c>
      <c r="Y49" s="52"/>
      <c r="Z49" s="52">
        <f ca="1">('TUSD BE'!$AM$12+'TUSD BF'!$AM$12+'TUSD CVA'!$AM$12)*1*(1-0.02)</f>
        <v>142.80792645762099</v>
      </c>
      <c r="AA49" s="52">
        <f>('TE BE'!$AB$6+'TE BF'!$AB$6+'TE CVA'!$AB$6)*1*(1-0.02)</f>
        <v>217.94598758226687</v>
      </c>
      <c r="AB49" s="6">
        <f>$K$49*$V$49</f>
        <v>0</v>
      </c>
      <c r="AC49" s="6">
        <f>$M$49*$W$49</f>
        <v>34.349558399999992</v>
      </c>
      <c r="AD49" s="6">
        <f>$O$49*$X$49</f>
        <v>98.117923199999993</v>
      </c>
      <c r="AE49" s="6">
        <f>$K$49*$Y$49</f>
        <v>0</v>
      </c>
      <c r="AF49" s="6">
        <f ca="1">$M$49*$Z$49</f>
        <v>60.122137038658437</v>
      </c>
      <c r="AG49" s="6">
        <f>$O$49*$AA$49</f>
        <v>91.755260772134349</v>
      </c>
    </row>
    <row r="50" spans="1:33" ht="11.25" customHeight="1" x14ac:dyDescent="0.3">
      <c r="A50" s="4" t="s">
        <v>21</v>
      </c>
      <c r="B50" s="4" t="s">
        <v>45</v>
      </c>
      <c r="C50" s="4" t="s">
        <v>40</v>
      </c>
      <c r="D50" s="4" t="s">
        <v>44</v>
      </c>
      <c r="E50" s="4" t="s">
        <v>56</v>
      </c>
      <c r="F50" s="4" t="s">
        <v>25</v>
      </c>
      <c r="G50" s="4" t="s">
        <v>25</v>
      </c>
      <c r="H50" s="4" t="s">
        <v>35</v>
      </c>
      <c r="I50" s="5">
        <v>44621</v>
      </c>
      <c r="J50" s="6">
        <v>0</v>
      </c>
      <c r="K50" s="52">
        <v>0</v>
      </c>
      <c r="L50" s="6">
        <v>0.45</v>
      </c>
      <c r="M50" s="52">
        <v>0.45</v>
      </c>
      <c r="N50" s="6">
        <v>0.45</v>
      </c>
      <c r="O50" s="52">
        <v>0.45</v>
      </c>
      <c r="P50" s="6">
        <v>0</v>
      </c>
      <c r="Q50" s="4" t="s">
        <v>26</v>
      </c>
      <c r="R50" s="4">
        <v>0</v>
      </c>
      <c r="S50" s="6">
        <v>0</v>
      </c>
      <c r="T50" s="6">
        <v>16</v>
      </c>
      <c r="U50" s="6">
        <v>63</v>
      </c>
      <c r="V50" s="52">
        <f>IF(ISERROR(VLOOKUP($S$50,'TAR FIN'!$A$1:$O$103,15,0)),0,VLOOKUP($S$50,'TAR FIN'!$A$1:$O$103,15,0))</f>
        <v>0</v>
      </c>
      <c r="W50" s="52">
        <f>IF(ISERROR(VLOOKUP($T$50,'TAR FIN'!$A$1:$O$103,15,0)),0,VLOOKUP($T$50,'TAR FIN'!$A$1:$O$103,15,0))*(1-0.04)</f>
        <v>81.590399999999988</v>
      </c>
      <c r="X50" s="52">
        <f>IF(ISERROR(VLOOKUP($U$50,'TAR FIN'!$A$1:$O$103,15,0)),0,VLOOKUP($U$50,'TAR FIN'!$A$1:$O$103,15,0))*(1-0.04)</f>
        <v>233.0592</v>
      </c>
      <c r="Y50" s="52"/>
      <c r="Z50" s="52">
        <f ca="1">('TUSD BE'!$AM$12+'TUSD BF'!$AM$12+'TUSD CVA'!$AM$12)*1*(1-0.02)</f>
        <v>142.80792645762099</v>
      </c>
      <c r="AA50" s="52">
        <f>('TE BE'!$AB$6+'TE BF'!$AB$6+'TE CVA'!$AB$6)*1*(1-0.02)</f>
        <v>217.94598758226687</v>
      </c>
      <c r="AB50" s="6">
        <f>$K$50*$V$50</f>
        <v>0</v>
      </c>
      <c r="AC50" s="6">
        <f>$M$50*$W$50</f>
        <v>36.715679999999999</v>
      </c>
      <c r="AD50" s="6">
        <f>$O$50*$X$50</f>
        <v>104.87664000000001</v>
      </c>
      <c r="AE50" s="6">
        <f>$K$50*$Y$50</f>
        <v>0</v>
      </c>
      <c r="AF50" s="6">
        <f ca="1">$M$50*$Z$50</f>
        <v>64.263566905929451</v>
      </c>
      <c r="AG50" s="6">
        <f>$O$50*$AA$50</f>
        <v>98.075694412020098</v>
      </c>
    </row>
    <row r="51" spans="1:33" ht="11.25" customHeight="1" x14ac:dyDescent="0.3">
      <c r="A51" s="4" t="s">
        <v>21</v>
      </c>
      <c r="B51" s="4" t="s">
        <v>45</v>
      </c>
      <c r="C51" s="4" t="s">
        <v>40</v>
      </c>
      <c r="D51" s="4" t="s">
        <v>44</v>
      </c>
      <c r="E51" s="4" t="s">
        <v>56</v>
      </c>
      <c r="F51" s="4" t="s">
        <v>25</v>
      </c>
      <c r="G51" s="4" t="s">
        <v>25</v>
      </c>
      <c r="H51" s="4" t="s">
        <v>35</v>
      </c>
      <c r="I51" s="5">
        <v>44652</v>
      </c>
      <c r="J51" s="6">
        <v>0</v>
      </c>
      <c r="K51" s="52">
        <v>0</v>
      </c>
      <c r="L51" s="6">
        <v>0.48299999999999998</v>
      </c>
      <c r="M51" s="52">
        <v>0.48299999999999998</v>
      </c>
      <c r="N51" s="6">
        <v>0.48299999999999998</v>
      </c>
      <c r="O51" s="52">
        <v>0.48299999999999998</v>
      </c>
      <c r="P51" s="6">
        <v>0</v>
      </c>
      <c r="Q51" s="4" t="s">
        <v>26</v>
      </c>
      <c r="R51" s="4">
        <v>0</v>
      </c>
      <c r="S51" s="6">
        <v>0</v>
      </c>
      <c r="T51" s="6">
        <v>16</v>
      </c>
      <c r="U51" s="6">
        <v>63</v>
      </c>
      <c r="V51" s="52">
        <f>IF(ISERROR(VLOOKUP($S$51,'TAR FIN'!$A$1:$O$103,15,0)),0,VLOOKUP($S$51,'TAR FIN'!$A$1:$O$103,15,0))</f>
        <v>0</v>
      </c>
      <c r="W51" s="52">
        <f>IF(ISERROR(VLOOKUP($T$51,'TAR FIN'!$A$1:$O$103,15,0)),0,VLOOKUP($T$51,'TAR FIN'!$A$1:$O$103,15,0))*(1-0.04)</f>
        <v>81.590399999999988</v>
      </c>
      <c r="X51" s="52">
        <f>IF(ISERROR(VLOOKUP($U$51,'TAR FIN'!$A$1:$O$103,15,0)),0,VLOOKUP($U$51,'TAR FIN'!$A$1:$O$103,15,0))*(1-0.04)</f>
        <v>233.0592</v>
      </c>
      <c r="Y51" s="52"/>
      <c r="Z51" s="52">
        <f ca="1">('TUSD BE'!$AM$12+'TUSD BF'!$AM$12+'TUSD CVA'!$AM$12)*1*(1-0.02)</f>
        <v>142.80792645762099</v>
      </c>
      <c r="AA51" s="52">
        <f>('TE BE'!$AB$6+'TE BF'!$AB$6+'TE CVA'!$AB$6)*1*(1-0.02)</f>
        <v>217.94598758226687</v>
      </c>
      <c r="AB51" s="6">
        <f>$K$51*$V$51</f>
        <v>0</v>
      </c>
      <c r="AC51" s="6">
        <f>$M$51*$W$51</f>
        <v>39.40816319999999</v>
      </c>
      <c r="AD51" s="6">
        <f>$O$51*$X$51</f>
        <v>112.5675936</v>
      </c>
      <c r="AE51" s="6">
        <f>$K$51*$Y$51</f>
        <v>0</v>
      </c>
      <c r="AF51" s="6">
        <f ca="1">$M$51*$Z$51</f>
        <v>68.976228479030937</v>
      </c>
      <c r="AG51" s="6">
        <f>$O$51*$AA$51</f>
        <v>105.26791200223489</v>
      </c>
    </row>
    <row r="52" spans="1:33" ht="11.25" customHeight="1" x14ac:dyDescent="0.3">
      <c r="A52" s="4" t="s">
        <v>21</v>
      </c>
      <c r="B52" s="4" t="s">
        <v>45</v>
      </c>
      <c r="C52" s="4" t="s">
        <v>40</v>
      </c>
      <c r="D52" s="4" t="s">
        <v>44</v>
      </c>
      <c r="E52" s="4" t="s">
        <v>56</v>
      </c>
      <c r="F52" s="4" t="s">
        <v>25</v>
      </c>
      <c r="G52" s="4" t="s">
        <v>25</v>
      </c>
      <c r="H52" s="4" t="s">
        <v>35</v>
      </c>
      <c r="I52" s="5">
        <v>44682</v>
      </c>
      <c r="J52" s="6">
        <v>0</v>
      </c>
      <c r="K52" s="52">
        <v>0</v>
      </c>
      <c r="L52" s="6">
        <v>0.58699999999999997</v>
      </c>
      <c r="M52" s="52">
        <v>0.58699999999999997</v>
      </c>
      <c r="N52" s="6">
        <v>0.58699999999999997</v>
      </c>
      <c r="O52" s="52">
        <v>0.58699999999999997</v>
      </c>
      <c r="P52" s="6">
        <v>0</v>
      </c>
      <c r="Q52" s="4" t="s">
        <v>26</v>
      </c>
      <c r="R52" s="4">
        <v>0</v>
      </c>
      <c r="S52" s="6">
        <v>0</v>
      </c>
      <c r="T52" s="6">
        <v>16</v>
      </c>
      <c r="U52" s="6">
        <v>63</v>
      </c>
      <c r="V52" s="52">
        <f>IF(ISERROR(VLOOKUP($S$52,'TAR FIN'!$A$1:$O$103,15,0)),0,VLOOKUP($S$52,'TAR FIN'!$A$1:$O$103,15,0))</f>
        <v>0</v>
      </c>
      <c r="W52" s="52">
        <f>IF(ISERROR(VLOOKUP($T$52,'TAR FIN'!$A$1:$O$103,15,0)),0,VLOOKUP($T$52,'TAR FIN'!$A$1:$O$103,15,0))*(1-0.04)</f>
        <v>81.590399999999988</v>
      </c>
      <c r="X52" s="52">
        <f>IF(ISERROR(VLOOKUP($U$52,'TAR FIN'!$A$1:$O$103,15,0)),0,VLOOKUP($U$52,'TAR FIN'!$A$1:$O$103,15,0))*(1-0.04)</f>
        <v>233.0592</v>
      </c>
      <c r="Y52" s="52"/>
      <c r="Z52" s="52">
        <f ca="1">('TUSD BE'!$AM$12+'TUSD BF'!$AM$12+'TUSD CVA'!$AM$12)*1*(1-0.02)</f>
        <v>142.80792645762099</v>
      </c>
      <c r="AA52" s="52">
        <f>('TE BE'!$AB$6+'TE BF'!$AB$6+'TE CVA'!$AB$6)*1*(1-0.02)</f>
        <v>217.94598758226687</v>
      </c>
      <c r="AB52" s="6">
        <f>$K$52*$V$52</f>
        <v>0</v>
      </c>
      <c r="AC52" s="6">
        <f>$M$52*$W$52</f>
        <v>47.893564799999993</v>
      </c>
      <c r="AD52" s="6">
        <f>$O$52*$X$52</f>
        <v>136.80575039999999</v>
      </c>
      <c r="AE52" s="6">
        <f>$K$52*$Y$52</f>
        <v>0</v>
      </c>
      <c r="AF52" s="6">
        <f ca="1">$M$52*$Z$52</f>
        <v>83.828252830623512</v>
      </c>
      <c r="AG52" s="6">
        <f>$O$52*$AA$52</f>
        <v>127.93429471079064</v>
      </c>
    </row>
    <row r="53" spans="1:33" ht="11.25" customHeight="1" x14ac:dyDescent="0.3">
      <c r="A53" s="4" t="s">
        <v>21</v>
      </c>
      <c r="B53" s="4" t="s">
        <v>45</v>
      </c>
      <c r="C53" s="4" t="s">
        <v>40</v>
      </c>
      <c r="D53" s="4" t="s">
        <v>44</v>
      </c>
      <c r="E53" s="4" t="s">
        <v>56</v>
      </c>
      <c r="F53" s="4" t="s">
        <v>25</v>
      </c>
      <c r="G53" s="4" t="s">
        <v>25</v>
      </c>
      <c r="H53" s="4" t="s">
        <v>35</v>
      </c>
      <c r="I53" s="5">
        <v>44713</v>
      </c>
      <c r="J53" s="6">
        <v>0</v>
      </c>
      <c r="K53" s="52">
        <v>0</v>
      </c>
      <c r="L53" s="6">
        <v>0.55700000000000005</v>
      </c>
      <c r="M53" s="52">
        <v>0.55700000000000005</v>
      </c>
      <c r="N53" s="6">
        <v>0.55700000000000005</v>
      </c>
      <c r="O53" s="52">
        <v>0.55700000000000005</v>
      </c>
      <c r="P53" s="6">
        <v>0</v>
      </c>
      <c r="Q53" s="4" t="s">
        <v>26</v>
      </c>
      <c r="R53" s="4">
        <v>0</v>
      </c>
      <c r="S53" s="6">
        <v>0</v>
      </c>
      <c r="T53" s="6">
        <v>16</v>
      </c>
      <c r="U53" s="6">
        <v>63</v>
      </c>
      <c r="V53" s="52">
        <f>IF(ISERROR(VLOOKUP($S$53,'TAR FIN'!$A$1:$O$103,15,0)),0,VLOOKUP($S$53,'TAR FIN'!$A$1:$O$103,15,0))</f>
        <v>0</v>
      </c>
      <c r="W53" s="52">
        <f>IF(ISERROR(VLOOKUP($T$53,'TAR FIN'!$A$1:$O$103,15,0)),0,VLOOKUP($T$53,'TAR FIN'!$A$1:$O$103,15,0))*(1-0.04)</f>
        <v>81.590399999999988</v>
      </c>
      <c r="X53" s="52">
        <f>IF(ISERROR(VLOOKUP($U$53,'TAR FIN'!$A$1:$O$103,15,0)),0,VLOOKUP($U$53,'TAR FIN'!$A$1:$O$103,15,0))*(1-0.04)</f>
        <v>233.0592</v>
      </c>
      <c r="Y53" s="52"/>
      <c r="Z53" s="52">
        <f ca="1">('TUSD BE'!$AM$12+'TUSD BF'!$AM$12+'TUSD CVA'!$AM$12)*1*(1-0.02)</f>
        <v>142.80792645762099</v>
      </c>
      <c r="AA53" s="52">
        <f>('TE BE'!$AB$6+'TE BF'!$AB$6+'TE CVA'!$AB$6)*1*(1-0.02)</f>
        <v>217.94598758226687</v>
      </c>
      <c r="AB53" s="6">
        <f>$K$53*$V$53</f>
        <v>0</v>
      </c>
      <c r="AC53" s="6">
        <f>$M$53*$W$53</f>
        <v>45.445852799999997</v>
      </c>
      <c r="AD53" s="6">
        <f>$O$53*$X$53</f>
        <v>129.81397440000001</v>
      </c>
      <c r="AE53" s="6">
        <f>$K$53*$Y$53</f>
        <v>0</v>
      </c>
      <c r="AF53" s="6">
        <f ca="1">$M$53*$Z$53</f>
        <v>79.544015036894905</v>
      </c>
      <c r="AG53" s="6">
        <f>$O$53*$AA$53</f>
        <v>121.39591508332265</v>
      </c>
    </row>
    <row r="54" spans="1:33" ht="11.25" customHeight="1" x14ac:dyDescent="0.3">
      <c r="A54" s="4" t="s">
        <v>21</v>
      </c>
      <c r="B54" s="4" t="s">
        <v>45</v>
      </c>
      <c r="C54" s="4" t="s">
        <v>40</v>
      </c>
      <c r="D54" s="4" t="s">
        <v>44</v>
      </c>
      <c r="E54" s="4" t="s">
        <v>56</v>
      </c>
      <c r="F54" s="4" t="s">
        <v>25</v>
      </c>
      <c r="G54" s="4" t="s">
        <v>25</v>
      </c>
      <c r="H54" s="4" t="s">
        <v>35</v>
      </c>
      <c r="I54" s="5">
        <v>44743</v>
      </c>
      <c r="J54" s="6">
        <v>0</v>
      </c>
      <c r="K54" s="52">
        <v>0</v>
      </c>
      <c r="L54" s="6">
        <v>0.94299999999999995</v>
      </c>
      <c r="M54" s="52">
        <v>0.94299999999999995</v>
      </c>
      <c r="N54" s="6">
        <v>0.94299999999999995</v>
      </c>
      <c r="O54" s="52">
        <v>0.94299999999999995</v>
      </c>
      <c r="P54" s="6">
        <v>0</v>
      </c>
      <c r="Q54" s="4" t="s">
        <v>26</v>
      </c>
      <c r="R54" s="4">
        <v>0</v>
      </c>
      <c r="S54" s="6">
        <v>0</v>
      </c>
      <c r="T54" s="6">
        <v>16</v>
      </c>
      <c r="U54" s="6">
        <v>63</v>
      </c>
      <c r="V54" s="52">
        <f>IF(ISERROR(VLOOKUP($S$54,'TAR FIN'!$A$1:$O$103,15,0)),0,VLOOKUP($S$54,'TAR FIN'!$A$1:$O$103,15,0))</f>
        <v>0</v>
      </c>
      <c r="W54" s="52">
        <f>IF(ISERROR(VLOOKUP($T$54,'TAR FIN'!$A$1:$O$103,15,0)),0,VLOOKUP($T$54,'TAR FIN'!$A$1:$O$103,15,0))*(1-0.04)</f>
        <v>81.590399999999988</v>
      </c>
      <c r="X54" s="52">
        <f>IF(ISERROR(VLOOKUP($U$54,'TAR FIN'!$A$1:$O$103,15,0)),0,VLOOKUP($U$54,'TAR FIN'!$A$1:$O$103,15,0))*(1-0.04)</f>
        <v>233.0592</v>
      </c>
      <c r="Y54" s="52"/>
      <c r="Z54" s="52">
        <f ca="1">('TUSD BE'!$AM$12+'TUSD BF'!$AM$12+'TUSD CVA'!$AM$12)*1*(1-0.02)</f>
        <v>142.80792645762099</v>
      </c>
      <c r="AA54" s="52">
        <f>('TE BE'!$AB$6+'TE BF'!$AB$6+'TE CVA'!$AB$6)*1*(1-0.02)</f>
        <v>217.94598758226687</v>
      </c>
      <c r="AB54" s="6">
        <f>$K$54*$V$54</f>
        <v>0</v>
      </c>
      <c r="AC54" s="6">
        <f>$M$54*$W$54</f>
        <v>76.939747199999985</v>
      </c>
      <c r="AD54" s="6">
        <f>$O$54*$X$54</f>
        <v>219.77482559999999</v>
      </c>
      <c r="AE54" s="6">
        <f>$K$54*$Y$54</f>
        <v>0</v>
      </c>
      <c r="AF54" s="6">
        <f ca="1">$M$54*$Z$54</f>
        <v>134.6678746495366</v>
      </c>
      <c r="AG54" s="6">
        <f>$O$54*$AA$54</f>
        <v>205.52306629007765</v>
      </c>
    </row>
    <row r="55" spans="1:33" ht="11.25" customHeight="1" x14ac:dyDescent="0.3">
      <c r="A55" s="4" t="s">
        <v>21</v>
      </c>
      <c r="B55" s="4" t="s">
        <v>45</v>
      </c>
      <c r="C55" s="4" t="s">
        <v>40</v>
      </c>
      <c r="D55" s="4" t="s">
        <v>44</v>
      </c>
      <c r="E55" s="4" t="s">
        <v>56</v>
      </c>
      <c r="F55" s="4" t="s">
        <v>25</v>
      </c>
      <c r="G55" s="4" t="s">
        <v>25</v>
      </c>
      <c r="H55" s="4" t="s">
        <v>35</v>
      </c>
      <c r="I55" s="5">
        <v>44774</v>
      </c>
      <c r="J55" s="6">
        <v>0</v>
      </c>
      <c r="K55" s="52">
        <v>0</v>
      </c>
      <c r="L55" s="6">
        <v>2.7690000000000001</v>
      </c>
      <c r="M55" s="52">
        <v>2.7690000000000001</v>
      </c>
      <c r="N55" s="6">
        <v>2.7690000000000001</v>
      </c>
      <c r="O55" s="52">
        <v>2.7690000000000001</v>
      </c>
      <c r="P55" s="6">
        <v>0</v>
      </c>
      <c r="Q55" s="4" t="s">
        <v>26</v>
      </c>
      <c r="R55" s="4">
        <v>0</v>
      </c>
      <c r="S55" s="6">
        <v>0</v>
      </c>
      <c r="T55" s="6">
        <v>16</v>
      </c>
      <c r="U55" s="6">
        <v>63</v>
      </c>
      <c r="V55" s="52">
        <f>IF(ISERROR(VLOOKUP($S$55,'TAR FIN'!$A$1:$O$103,15,0)),0,VLOOKUP($S$55,'TAR FIN'!$A$1:$O$103,15,0))</f>
        <v>0</v>
      </c>
      <c r="W55" s="52">
        <f>IF(ISERROR(VLOOKUP($T$55,'TAR FIN'!$A$1:$O$103,15,0)),0,VLOOKUP($T$55,'TAR FIN'!$A$1:$O$103,15,0))*(1-0.04)</f>
        <v>81.590399999999988</v>
      </c>
      <c r="X55" s="52">
        <f>IF(ISERROR(VLOOKUP($U$55,'TAR FIN'!$A$1:$O$103,15,0)),0,VLOOKUP($U$55,'TAR FIN'!$A$1:$O$103,15,0))*(1-0.04)</f>
        <v>233.0592</v>
      </c>
      <c r="Y55" s="52"/>
      <c r="Z55" s="52">
        <f ca="1">('TUSD BE'!$AM$12+'TUSD BF'!$AM$12+'TUSD CVA'!$AM$12)*1*(1-0.02)</f>
        <v>142.80792645762099</v>
      </c>
      <c r="AA55" s="52">
        <f>('TE BE'!$AB$6+'TE BF'!$AB$6+'TE CVA'!$AB$6)*1*(1-0.02)</f>
        <v>217.94598758226687</v>
      </c>
      <c r="AB55" s="6">
        <f>$K$55*$V$55</f>
        <v>0</v>
      </c>
      <c r="AC55" s="6">
        <f>$M$55*$W$55</f>
        <v>225.92381759999998</v>
      </c>
      <c r="AD55" s="6">
        <f>$O$55*$X$55</f>
        <v>645.34092480000004</v>
      </c>
      <c r="AE55" s="6">
        <f>$K$55*$Y$55</f>
        <v>0</v>
      </c>
      <c r="AF55" s="6">
        <f ca="1">$M$55*$Z$55</f>
        <v>395.43514836115253</v>
      </c>
      <c r="AG55" s="6">
        <f>$O$55*$AA$55</f>
        <v>603.49243961529703</v>
      </c>
    </row>
    <row r="56" spans="1:33" ht="11.25" customHeight="1" x14ac:dyDescent="0.3">
      <c r="A56" s="4" t="s">
        <v>21</v>
      </c>
      <c r="B56" s="4" t="s">
        <v>45</v>
      </c>
      <c r="C56" s="4" t="s">
        <v>40</v>
      </c>
      <c r="D56" s="4" t="s">
        <v>44</v>
      </c>
      <c r="E56" s="4" t="s">
        <v>56</v>
      </c>
      <c r="F56" s="4" t="s">
        <v>25</v>
      </c>
      <c r="G56" s="4" t="s">
        <v>25</v>
      </c>
      <c r="H56" s="4" t="s">
        <v>35</v>
      </c>
      <c r="I56" s="5">
        <v>44805</v>
      </c>
      <c r="J56" s="6">
        <v>0</v>
      </c>
      <c r="K56" s="52">
        <v>0</v>
      </c>
      <c r="L56" s="6">
        <v>5.2640000000000002</v>
      </c>
      <c r="M56" s="52">
        <v>5.2640000000000002</v>
      </c>
      <c r="N56" s="6">
        <v>5.2640000000000002</v>
      </c>
      <c r="O56" s="52">
        <v>5.2640000000000002</v>
      </c>
      <c r="P56" s="6">
        <v>0</v>
      </c>
      <c r="Q56" s="4" t="s">
        <v>26</v>
      </c>
      <c r="R56" s="4">
        <v>0</v>
      </c>
      <c r="S56" s="6">
        <v>0</v>
      </c>
      <c r="T56" s="6">
        <v>16</v>
      </c>
      <c r="U56" s="6">
        <v>63</v>
      </c>
      <c r="V56" s="52">
        <f>IF(ISERROR(VLOOKUP($S$56,'TAR FIN'!$A$1:$O$103,15,0)),0,VLOOKUP($S$56,'TAR FIN'!$A$1:$O$103,15,0))</f>
        <v>0</v>
      </c>
      <c r="W56" s="52">
        <f>IF(ISERROR(VLOOKUP($T$56,'TAR FIN'!$A$1:$O$103,15,0)),0,VLOOKUP($T$56,'TAR FIN'!$A$1:$O$103,15,0))*(1-0.04)</f>
        <v>81.590399999999988</v>
      </c>
      <c r="X56" s="52">
        <f>IF(ISERROR(VLOOKUP($U$56,'TAR FIN'!$A$1:$O$103,15,0)),0,VLOOKUP($U$56,'TAR FIN'!$A$1:$O$103,15,0))*(1-0.04)</f>
        <v>233.0592</v>
      </c>
      <c r="Y56" s="52"/>
      <c r="Z56" s="52">
        <f ca="1">('TUSD BE'!$AM$12+'TUSD BF'!$AM$12+'TUSD CVA'!$AM$12)*1*(1-0.02)</f>
        <v>142.80792645762099</v>
      </c>
      <c r="AA56" s="52">
        <f>('TE BE'!$AB$6+'TE BF'!$AB$6+'TE CVA'!$AB$6)*1*(1-0.02)</f>
        <v>217.94598758226687</v>
      </c>
      <c r="AB56" s="6">
        <f>$K$56*$V$56</f>
        <v>0</v>
      </c>
      <c r="AC56" s="6">
        <f>$M$56*$W$56</f>
        <v>429.49186559999998</v>
      </c>
      <c r="AD56" s="6">
        <f>$O$56*$X$56</f>
        <v>1226.8236288000001</v>
      </c>
      <c r="AE56" s="6">
        <f>$K$56*$Y$56</f>
        <v>0</v>
      </c>
      <c r="AF56" s="6">
        <f ca="1">$M$56*$Z$56</f>
        <v>751.74092487291693</v>
      </c>
      <c r="AG56" s="6">
        <f>$O$56*$AA$56</f>
        <v>1147.2676786330528</v>
      </c>
    </row>
    <row r="57" spans="1:33" ht="11.25" customHeight="1" x14ac:dyDescent="0.3">
      <c r="A57" s="4" t="s">
        <v>57</v>
      </c>
      <c r="B57" s="4" t="s">
        <v>45</v>
      </c>
      <c r="C57" s="4" t="s">
        <v>40</v>
      </c>
      <c r="D57" s="4" t="s">
        <v>44</v>
      </c>
      <c r="E57" s="4" t="s">
        <v>56</v>
      </c>
      <c r="F57" s="4" t="s">
        <v>25</v>
      </c>
      <c r="G57" s="4" t="s">
        <v>25</v>
      </c>
      <c r="H57" s="4" t="s">
        <v>35</v>
      </c>
      <c r="I57" s="5">
        <v>44835</v>
      </c>
      <c r="J57" s="6">
        <v>0</v>
      </c>
      <c r="K57" s="52">
        <v>0</v>
      </c>
      <c r="L57" s="6">
        <v>5.2640000000000002</v>
      </c>
      <c r="M57" s="52">
        <v>5.2640000000000002</v>
      </c>
      <c r="N57" s="6">
        <v>5.2640000000000002</v>
      </c>
      <c r="O57" s="52">
        <v>5.2640000000000002</v>
      </c>
      <c r="P57" s="6">
        <v>0</v>
      </c>
      <c r="Q57" s="4" t="s">
        <v>26</v>
      </c>
      <c r="R57" s="4">
        <v>0</v>
      </c>
      <c r="S57" s="6">
        <v>0</v>
      </c>
      <c r="T57" s="6">
        <v>16</v>
      </c>
      <c r="U57" s="6">
        <v>63</v>
      </c>
      <c r="V57" s="52">
        <f>IF(ISERROR(VLOOKUP($S$57,'TAR FIN'!$A$1:$O$103,15,0)),0,VLOOKUP($S$57,'TAR FIN'!$A$1:$O$103,15,0))</f>
        <v>0</v>
      </c>
      <c r="W57" s="52">
        <f>IF(ISERROR(VLOOKUP($T$57,'TAR FIN'!$A$1:$O$103,15,0)),0,VLOOKUP($T$57,'TAR FIN'!$A$1:$O$103,15,0))*(1-0.04)</f>
        <v>81.590399999999988</v>
      </c>
      <c r="X57" s="52">
        <f>IF(ISERROR(VLOOKUP($U$57,'TAR FIN'!$A$1:$O$103,15,0)),0,VLOOKUP($U$57,'TAR FIN'!$A$1:$O$103,15,0))*(1-0.04)</f>
        <v>233.0592</v>
      </c>
      <c r="Y57" s="52"/>
      <c r="Z57" s="52">
        <f ca="1">('TUSD BE'!$AM$12+'TUSD BF'!$AM$12+'TUSD CVA'!$AM$12)*1*(1-0.02)</f>
        <v>142.80792645762099</v>
      </c>
      <c r="AA57" s="52">
        <f>('TE BE'!$AB$6+'TE BF'!$AB$6+'TE CVA'!$AB$6)*1*(1-0.02)</f>
        <v>217.94598758226687</v>
      </c>
      <c r="AB57" s="6">
        <f>$K$57*$V$57</f>
        <v>0</v>
      </c>
      <c r="AC57" s="6">
        <f>$M$57*$W$57</f>
        <v>429.49186559999998</v>
      </c>
      <c r="AD57" s="6">
        <f>$O$57*$X$57</f>
        <v>1226.8236288000001</v>
      </c>
      <c r="AE57" s="6">
        <f>$K$57*$Y$57</f>
        <v>0</v>
      </c>
      <c r="AF57" s="6">
        <f ca="1">$M$57*$Z$57</f>
        <v>751.74092487291693</v>
      </c>
      <c r="AG57" s="6">
        <f>$O$57*$AA$57</f>
        <v>1147.2676786330528</v>
      </c>
    </row>
    <row r="58" spans="1:33" ht="11.25" customHeight="1" x14ac:dyDescent="0.3">
      <c r="A58" s="4" t="s">
        <v>21</v>
      </c>
      <c r="B58" s="4" t="s">
        <v>45</v>
      </c>
      <c r="C58" s="4" t="s">
        <v>40</v>
      </c>
      <c r="D58" s="4" t="s">
        <v>44</v>
      </c>
      <c r="E58" s="4" t="s">
        <v>56</v>
      </c>
      <c r="F58" s="4" t="s">
        <v>25</v>
      </c>
      <c r="G58" s="4" t="s">
        <v>25</v>
      </c>
      <c r="H58" s="4" t="s">
        <v>25</v>
      </c>
      <c r="I58" s="5">
        <v>44593</v>
      </c>
      <c r="J58" s="6">
        <v>1</v>
      </c>
      <c r="K58" s="52">
        <v>1</v>
      </c>
      <c r="L58" s="6">
        <v>0</v>
      </c>
      <c r="M58" s="52">
        <v>0</v>
      </c>
      <c r="N58" s="6">
        <v>0</v>
      </c>
      <c r="O58" s="52">
        <v>0</v>
      </c>
      <c r="P58" s="6">
        <v>1</v>
      </c>
      <c r="Q58" s="4" t="s">
        <v>26</v>
      </c>
      <c r="R58" s="4">
        <v>0</v>
      </c>
      <c r="S58" s="6">
        <v>11</v>
      </c>
      <c r="T58" s="6">
        <v>0</v>
      </c>
      <c r="U58" s="6">
        <v>0</v>
      </c>
      <c r="V58" s="52">
        <f>IF(ISERROR(VLOOKUP($S$58,'TAR FIN'!$A$1:$O$103,15,0)),0,VLOOKUP($S$58,'TAR FIN'!$A$1:$O$103,15,0))*(1-0.04)</f>
        <v>18.1632</v>
      </c>
      <c r="W58" s="52">
        <f>IF(ISERROR(VLOOKUP($T$58,'TAR FIN'!$A$1:$O$103,15,0)),0,VLOOKUP($T$58,'TAR FIN'!$A$1:$O$103,15,0))</f>
        <v>0</v>
      </c>
      <c r="X58" s="52">
        <f>IF(ISERROR(VLOOKUP($U$58,'TAR FIN'!$A$1:$O$103,15,0)),0,VLOOKUP($U$58,'TAR FIN'!$A$1:$O$103,15,0))</f>
        <v>0</v>
      </c>
      <c r="Y58" s="52">
        <f ca="1">('TUSD BE'!$AM$10+'TUSD BF'!$AM$10+'TUSD CVA'!$AM$10)*1*(1-0.02)</f>
        <v>20.941951853111981</v>
      </c>
      <c r="Z58" s="52"/>
      <c r="AA58" s="52"/>
      <c r="AB58" s="6">
        <f>$K$58*$V$58</f>
        <v>18.1632</v>
      </c>
      <c r="AC58" s="6">
        <f>$M$58*$W$58</f>
        <v>0</v>
      </c>
      <c r="AD58" s="6">
        <f>$O$58*$X$58</f>
        <v>0</v>
      </c>
      <c r="AE58" s="6">
        <f ca="1">$K$58*$Y$58</f>
        <v>20.941951853111981</v>
      </c>
      <c r="AF58" s="6">
        <f>$M$58*$Z$58</f>
        <v>0</v>
      </c>
      <c r="AG58" s="6">
        <f>$O$58*$AA$58</f>
        <v>0</v>
      </c>
    </row>
    <row r="59" spans="1:33" ht="11.25" customHeight="1" x14ac:dyDescent="0.3">
      <c r="A59" s="4" t="s">
        <v>21</v>
      </c>
      <c r="B59" s="4" t="s">
        <v>45</v>
      </c>
      <c r="C59" s="4" t="s">
        <v>40</v>
      </c>
      <c r="D59" s="4" t="s">
        <v>44</v>
      </c>
      <c r="E59" s="4" t="s">
        <v>56</v>
      </c>
      <c r="F59" s="4" t="s">
        <v>25</v>
      </c>
      <c r="G59" s="4" t="s">
        <v>25</v>
      </c>
      <c r="H59" s="4" t="s">
        <v>25</v>
      </c>
      <c r="I59" s="5">
        <v>44621</v>
      </c>
      <c r="J59" s="6">
        <v>1</v>
      </c>
      <c r="K59" s="52">
        <v>1</v>
      </c>
      <c r="L59" s="6">
        <v>0</v>
      </c>
      <c r="M59" s="52">
        <v>0</v>
      </c>
      <c r="N59" s="6">
        <v>0</v>
      </c>
      <c r="O59" s="52">
        <v>0</v>
      </c>
      <c r="P59" s="6">
        <v>2</v>
      </c>
      <c r="Q59" s="4" t="s">
        <v>26</v>
      </c>
      <c r="R59" s="4">
        <v>0</v>
      </c>
      <c r="S59" s="6">
        <v>11</v>
      </c>
      <c r="T59" s="6">
        <v>0</v>
      </c>
      <c r="U59" s="6">
        <v>0</v>
      </c>
      <c r="V59" s="52">
        <f>IF(ISERROR(VLOOKUP($S$59,'TAR FIN'!$A$1:$O$103,15,0)),0,VLOOKUP($S$59,'TAR FIN'!$A$1:$O$103,15,0))*(1-0.04)</f>
        <v>18.1632</v>
      </c>
      <c r="W59" s="52">
        <f>IF(ISERROR(VLOOKUP($T$59,'TAR FIN'!$A$1:$O$103,15,0)),0,VLOOKUP($T$59,'TAR FIN'!$A$1:$O$103,15,0))</f>
        <v>0</v>
      </c>
      <c r="X59" s="52">
        <f>IF(ISERROR(VLOOKUP($U$59,'TAR FIN'!$A$1:$O$103,15,0)),0,VLOOKUP($U$59,'TAR FIN'!$A$1:$O$103,15,0))</f>
        <v>0</v>
      </c>
      <c r="Y59" s="52">
        <f ca="1">('TUSD BE'!$AM$10+'TUSD BF'!$AM$10+'TUSD CVA'!$AM$10)*1*(1-0.02)</f>
        <v>20.941951853111981</v>
      </c>
      <c r="Z59" s="52"/>
      <c r="AA59" s="52"/>
      <c r="AB59" s="6">
        <f>$K$59*$V$59</f>
        <v>18.1632</v>
      </c>
      <c r="AC59" s="6">
        <f>$M$59*$W$59</f>
        <v>0</v>
      </c>
      <c r="AD59" s="6">
        <f>$O$59*$X$59</f>
        <v>0</v>
      </c>
      <c r="AE59" s="6">
        <f ca="1">$K$59*$Y$59</f>
        <v>20.941951853111981</v>
      </c>
      <c r="AF59" s="6">
        <f>$M$59*$Z$59</f>
        <v>0</v>
      </c>
      <c r="AG59" s="6">
        <f>$O$59*$AA$59</f>
        <v>0</v>
      </c>
    </row>
    <row r="60" spans="1:33" ht="11.25" customHeight="1" x14ac:dyDescent="0.3">
      <c r="A60" s="4" t="s">
        <v>21</v>
      </c>
      <c r="B60" s="4" t="s">
        <v>45</v>
      </c>
      <c r="C60" s="4" t="s">
        <v>40</v>
      </c>
      <c r="D60" s="4" t="s">
        <v>44</v>
      </c>
      <c r="E60" s="4" t="s">
        <v>56</v>
      </c>
      <c r="F60" s="4" t="s">
        <v>25</v>
      </c>
      <c r="G60" s="4" t="s">
        <v>25</v>
      </c>
      <c r="H60" s="4" t="s">
        <v>25</v>
      </c>
      <c r="I60" s="5">
        <v>44652</v>
      </c>
      <c r="J60" s="6">
        <v>3</v>
      </c>
      <c r="K60" s="52">
        <v>3</v>
      </c>
      <c r="L60" s="6">
        <v>0</v>
      </c>
      <c r="M60" s="52">
        <v>0</v>
      </c>
      <c r="N60" s="6">
        <v>0</v>
      </c>
      <c r="O60" s="52">
        <v>0</v>
      </c>
      <c r="P60" s="6">
        <v>2</v>
      </c>
      <c r="Q60" s="4" t="s">
        <v>26</v>
      </c>
      <c r="R60" s="4">
        <v>0</v>
      </c>
      <c r="S60" s="6">
        <v>11</v>
      </c>
      <c r="T60" s="6">
        <v>0</v>
      </c>
      <c r="U60" s="6">
        <v>0</v>
      </c>
      <c r="V60" s="52">
        <f>IF(ISERROR(VLOOKUP($S$60,'TAR FIN'!$A$1:$O$103,15,0)),0,VLOOKUP($S$60,'TAR FIN'!$A$1:$O$103,15,0))*(1-0.04)</f>
        <v>18.1632</v>
      </c>
      <c r="W60" s="52">
        <f>IF(ISERROR(VLOOKUP($T$60,'TAR FIN'!$A$1:$O$103,15,0)),0,VLOOKUP($T$60,'TAR FIN'!$A$1:$O$103,15,0))</f>
        <v>0</v>
      </c>
      <c r="X60" s="52">
        <f>IF(ISERROR(VLOOKUP($U$60,'TAR FIN'!$A$1:$O$103,15,0)),0,VLOOKUP($U$60,'TAR FIN'!$A$1:$O$103,15,0))</f>
        <v>0</v>
      </c>
      <c r="Y60" s="52">
        <f ca="1">('TUSD BE'!$AM$10+'TUSD BF'!$AM$10+'TUSD CVA'!$AM$10)*1*(1-0.02)</f>
        <v>20.941951853111981</v>
      </c>
      <c r="Z60" s="52"/>
      <c r="AA60" s="52"/>
      <c r="AB60" s="6">
        <f>$K$60*$V$60</f>
        <v>54.489599999999996</v>
      </c>
      <c r="AC60" s="6">
        <f>$M$60*$W$60</f>
        <v>0</v>
      </c>
      <c r="AD60" s="6">
        <f>$O$60*$X$60</f>
        <v>0</v>
      </c>
      <c r="AE60" s="6">
        <f ca="1">$K$60*$Y$60</f>
        <v>62.825855559335942</v>
      </c>
      <c r="AF60" s="6">
        <f>$M$60*$Z$60</f>
        <v>0</v>
      </c>
      <c r="AG60" s="6">
        <f>$O$60*$AA$60</f>
        <v>0</v>
      </c>
    </row>
    <row r="61" spans="1:33" ht="11.25" customHeight="1" x14ac:dyDescent="0.3">
      <c r="A61" s="4" t="s">
        <v>21</v>
      </c>
      <c r="B61" s="4" t="s">
        <v>45</v>
      </c>
      <c r="C61" s="4" t="s">
        <v>40</v>
      </c>
      <c r="D61" s="4" t="s">
        <v>44</v>
      </c>
      <c r="E61" s="4" t="s">
        <v>56</v>
      </c>
      <c r="F61" s="4" t="s">
        <v>25</v>
      </c>
      <c r="G61" s="4" t="s">
        <v>25</v>
      </c>
      <c r="H61" s="4" t="s">
        <v>25</v>
      </c>
      <c r="I61" s="5">
        <v>44682</v>
      </c>
      <c r="J61" s="6">
        <v>3</v>
      </c>
      <c r="K61" s="52">
        <v>3</v>
      </c>
      <c r="L61" s="6">
        <v>0</v>
      </c>
      <c r="M61" s="52">
        <v>0</v>
      </c>
      <c r="N61" s="6">
        <v>0</v>
      </c>
      <c r="O61" s="52">
        <v>0</v>
      </c>
      <c r="P61" s="6">
        <v>2</v>
      </c>
      <c r="Q61" s="4" t="s">
        <v>26</v>
      </c>
      <c r="R61" s="4">
        <v>0</v>
      </c>
      <c r="S61" s="6">
        <v>11</v>
      </c>
      <c r="T61" s="6">
        <v>0</v>
      </c>
      <c r="U61" s="6">
        <v>0</v>
      </c>
      <c r="V61" s="52">
        <f>IF(ISERROR(VLOOKUP($S$61,'TAR FIN'!$A$1:$O$103,15,0)),0,VLOOKUP($S$61,'TAR FIN'!$A$1:$O$103,15,0))*(1-0.04)</f>
        <v>18.1632</v>
      </c>
      <c r="W61" s="52">
        <f>IF(ISERROR(VLOOKUP($T$61,'TAR FIN'!$A$1:$O$103,15,0)),0,VLOOKUP($T$61,'TAR FIN'!$A$1:$O$103,15,0))</f>
        <v>0</v>
      </c>
      <c r="X61" s="52">
        <f>IF(ISERROR(VLOOKUP($U$61,'TAR FIN'!$A$1:$O$103,15,0)),0,VLOOKUP($U$61,'TAR FIN'!$A$1:$O$103,15,0))</f>
        <v>0</v>
      </c>
      <c r="Y61" s="52">
        <f ca="1">('TUSD BE'!$AM$10+'TUSD BF'!$AM$10+'TUSD CVA'!$AM$10)*1*(1-0.02)</f>
        <v>20.941951853111981</v>
      </c>
      <c r="Z61" s="52"/>
      <c r="AA61" s="52"/>
      <c r="AB61" s="6">
        <f>$K$61*$V$61</f>
        <v>54.489599999999996</v>
      </c>
      <c r="AC61" s="6">
        <f>$M$61*$W$61</f>
        <v>0</v>
      </c>
      <c r="AD61" s="6">
        <f>$O$61*$X$61</f>
        <v>0</v>
      </c>
      <c r="AE61" s="6">
        <f ca="1">$K$61*$Y$61</f>
        <v>62.825855559335942</v>
      </c>
      <c r="AF61" s="6">
        <f>$M$61*$Z$61</f>
        <v>0</v>
      </c>
      <c r="AG61" s="6">
        <f>$O$61*$AA$61</f>
        <v>0</v>
      </c>
    </row>
    <row r="62" spans="1:33" ht="11.25" customHeight="1" x14ac:dyDescent="0.3">
      <c r="A62" s="4" t="s">
        <v>21</v>
      </c>
      <c r="B62" s="4" t="s">
        <v>45</v>
      </c>
      <c r="C62" s="4" t="s">
        <v>40</v>
      </c>
      <c r="D62" s="4" t="s">
        <v>44</v>
      </c>
      <c r="E62" s="4" t="s">
        <v>56</v>
      </c>
      <c r="F62" s="4" t="s">
        <v>25</v>
      </c>
      <c r="G62" s="4" t="s">
        <v>25</v>
      </c>
      <c r="H62" s="4" t="s">
        <v>25</v>
      </c>
      <c r="I62" s="5">
        <v>44713</v>
      </c>
      <c r="J62" s="6">
        <v>3</v>
      </c>
      <c r="K62" s="52">
        <v>3</v>
      </c>
      <c r="L62" s="6">
        <v>0</v>
      </c>
      <c r="M62" s="52">
        <v>0</v>
      </c>
      <c r="N62" s="6">
        <v>0</v>
      </c>
      <c r="O62" s="52">
        <v>0</v>
      </c>
      <c r="P62" s="6">
        <v>2</v>
      </c>
      <c r="Q62" s="4" t="s">
        <v>26</v>
      </c>
      <c r="R62" s="4">
        <v>0</v>
      </c>
      <c r="S62" s="6">
        <v>11</v>
      </c>
      <c r="T62" s="6">
        <v>0</v>
      </c>
      <c r="U62" s="6">
        <v>0</v>
      </c>
      <c r="V62" s="52">
        <f>IF(ISERROR(VLOOKUP($S$62,'TAR FIN'!$A$1:$O$103,15,0)),0,VLOOKUP($S$62,'TAR FIN'!$A$1:$O$103,15,0))*(1-0.04)</f>
        <v>18.1632</v>
      </c>
      <c r="W62" s="52">
        <f>IF(ISERROR(VLOOKUP($T$62,'TAR FIN'!$A$1:$O$103,15,0)),0,VLOOKUP($T$62,'TAR FIN'!$A$1:$O$103,15,0))</f>
        <v>0</v>
      </c>
      <c r="X62" s="52">
        <f>IF(ISERROR(VLOOKUP($U$62,'TAR FIN'!$A$1:$O$103,15,0)),0,VLOOKUP($U$62,'TAR FIN'!$A$1:$O$103,15,0))</f>
        <v>0</v>
      </c>
      <c r="Y62" s="52">
        <f ca="1">('TUSD BE'!$AM$10+'TUSD BF'!$AM$10+'TUSD CVA'!$AM$10)*1*(1-0.02)</f>
        <v>20.941951853111981</v>
      </c>
      <c r="Z62" s="52"/>
      <c r="AA62" s="52"/>
      <c r="AB62" s="6">
        <f>$K$62*$V$62</f>
        <v>54.489599999999996</v>
      </c>
      <c r="AC62" s="6">
        <f>$M$62*$W$62</f>
        <v>0</v>
      </c>
      <c r="AD62" s="6">
        <f>$O$62*$X$62</f>
        <v>0</v>
      </c>
      <c r="AE62" s="6">
        <f ca="1">$K$62*$Y$62</f>
        <v>62.825855559335942</v>
      </c>
      <c r="AF62" s="6">
        <f>$M$62*$Z$62</f>
        <v>0</v>
      </c>
      <c r="AG62" s="6">
        <f>$O$62*$AA$62</f>
        <v>0</v>
      </c>
    </row>
    <row r="63" spans="1:33" ht="11.25" customHeight="1" x14ac:dyDescent="0.3">
      <c r="A63" s="4" t="s">
        <v>21</v>
      </c>
      <c r="B63" s="4" t="s">
        <v>45</v>
      </c>
      <c r="C63" s="4" t="s">
        <v>40</v>
      </c>
      <c r="D63" s="4" t="s">
        <v>44</v>
      </c>
      <c r="E63" s="4" t="s">
        <v>56</v>
      </c>
      <c r="F63" s="4" t="s">
        <v>25</v>
      </c>
      <c r="G63" s="4" t="s">
        <v>25</v>
      </c>
      <c r="H63" s="4" t="s">
        <v>25</v>
      </c>
      <c r="I63" s="5">
        <v>44743</v>
      </c>
      <c r="J63" s="6">
        <v>4</v>
      </c>
      <c r="K63" s="52">
        <v>4</v>
      </c>
      <c r="L63" s="6">
        <v>0</v>
      </c>
      <c r="M63" s="52">
        <v>0</v>
      </c>
      <c r="N63" s="6">
        <v>0</v>
      </c>
      <c r="O63" s="52">
        <v>0</v>
      </c>
      <c r="P63" s="6">
        <v>2</v>
      </c>
      <c r="Q63" s="4" t="s">
        <v>26</v>
      </c>
      <c r="R63" s="4">
        <v>0</v>
      </c>
      <c r="S63" s="6">
        <v>11</v>
      </c>
      <c r="T63" s="6">
        <v>0</v>
      </c>
      <c r="U63" s="6">
        <v>0</v>
      </c>
      <c r="V63" s="52">
        <f>IF(ISERROR(VLOOKUP($S$63,'TAR FIN'!$A$1:$O$103,15,0)),0,VLOOKUP($S$63,'TAR FIN'!$A$1:$O$103,15,0))*(1-0.04)</f>
        <v>18.1632</v>
      </c>
      <c r="W63" s="52">
        <f>IF(ISERROR(VLOOKUP($T$63,'TAR FIN'!$A$1:$O$103,15,0)),0,VLOOKUP($T$63,'TAR FIN'!$A$1:$O$103,15,0))</f>
        <v>0</v>
      </c>
      <c r="X63" s="52">
        <f>IF(ISERROR(VLOOKUP($U$63,'TAR FIN'!$A$1:$O$103,15,0)),0,VLOOKUP($U$63,'TAR FIN'!$A$1:$O$103,15,0))</f>
        <v>0</v>
      </c>
      <c r="Y63" s="52">
        <f ca="1">('TUSD BE'!$AM$10+'TUSD BF'!$AM$10+'TUSD CVA'!$AM$10)*1*(1-0.02)</f>
        <v>20.941951853111981</v>
      </c>
      <c r="Z63" s="52"/>
      <c r="AA63" s="52"/>
      <c r="AB63" s="6">
        <f>$K$63*$V$63</f>
        <v>72.652799999999999</v>
      </c>
      <c r="AC63" s="6">
        <f>$M$63*$W$63</f>
        <v>0</v>
      </c>
      <c r="AD63" s="6">
        <f>$O$63*$X$63</f>
        <v>0</v>
      </c>
      <c r="AE63" s="6">
        <f ca="1">$K$63*$Y$63</f>
        <v>83.767807412447922</v>
      </c>
      <c r="AF63" s="6">
        <f>$M$63*$Z$63</f>
        <v>0</v>
      </c>
      <c r="AG63" s="6">
        <f>$O$63*$AA$63</f>
        <v>0</v>
      </c>
    </row>
    <row r="64" spans="1:33" ht="11.25" customHeight="1" x14ac:dyDescent="0.3">
      <c r="A64" s="4" t="s">
        <v>21</v>
      </c>
      <c r="B64" s="4" t="s">
        <v>45</v>
      </c>
      <c r="C64" s="4" t="s">
        <v>40</v>
      </c>
      <c r="D64" s="4" t="s">
        <v>44</v>
      </c>
      <c r="E64" s="4" t="s">
        <v>56</v>
      </c>
      <c r="F64" s="4" t="s">
        <v>25</v>
      </c>
      <c r="G64" s="4" t="s">
        <v>25</v>
      </c>
      <c r="H64" s="4" t="s">
        <v>25</v>
      </c>
      <c r="I64" s="5">
        <v>44774</v>
      </c>
      <c r="J64" s="6">
        <v>10</v>
      </c>
      <c r="K64" s="52">
        <v>10</v>
      </c>
      <c r="L64" s="6">
        <v>0</v>
      </c>
      <c r="M64" s="52">
        <v>0</v>
      </c>
      <c r="N64" s="6">
        <v>0</v>
      </c>
      <c r="O64" s="52">
        <v>0</v>
      </c>
      <c r="P64" s="6">
        <v>2</v>
      </c>
      <c r="Q64" s="4" t="s">
        <v>26</v>
      </c>
      <c r="R64" s="4">
        <v>0</v>
      </c>
      <c r="S64" s="6">
        <v>11</v>
      </c>
      <c r="T64" s="6">
        <v>0</v>
      </c>
      <c r="U64" s="6">
        <v>0</v>
      </c>
      <c r="V64" s="52">
        <f>IF(ISERROR(VLOOKUP($S$64,'TAR FIN'!$A$1:$O$103,15,0)),0,VLOOKUP($S$64,'TAR FIN'!$A$1:$O$103,15,0))*(1-0.04)</f>
        <v>18.1632</v>
      </c>
      <c r="W64" s="52">
        <f>IF(ISERROR(VLOOKUP($T$64,'TAR FIN'!$A$1:$O$103,15,0)),0,VLOOKUP($T$64,'TAR FIN'!$A$1:$O$103,15,0))</f>
        <v>0</v>
      </c>
      <c r="X64" s="52">
        <f>IF(ISERROR(VLOOKUP($U$64,'TAR FIN'!$A$1:$O$103,15,0)),0,VLOOKUP($U$64,'TAR FIN'!$A$1:$O$103,15,0))</f>
        <v>0</v>
      </c>
      <c r="Y64" s="52">
        <f ca="1">('TUSD BE'!$AM$10+'TUSD BF'!$AM$10+'TUSD CVA'!$AM$10)*1*(1-0.02)</f>
        <v>20.941951853111981</v>
      </c>
      <c r="Z64" s="52"/>
      <c r="AA64" s="52"/>
      <c r="AB64" s="6">
        <f>$K$64*$V$64</f>
        <v>181.63200000000001</v>
      </c>
      <c r="AC64" s="6">
        <f>$M$64*$W$64</f>
        <v>0</v>
      </c>
      <c r="AD64" s="6">
        <f>$O$64*$X$64</f>
        <v>0</v>
      </c>
      <c r="AE64" s="6">
        <f ca="1">$K$64*$Y$64</f>
        <v>209.41951853111982</v>
      </c>
      <c r="AF64" s="6">
        <f>$M$64*$Z$64</f>
        <v>0</v>
      </c>
      <c r="AG64" s="6">
        <f>$O$64*$AA$64</f>
        <v>0</v>
      </c>
    </row>
    <row r="65" spans="1:33" ht="11.25" customHeight="1" x14ac:dyDescent="0.3">
      <c r="A65" s="4" t="s">
        <v>21</v>
      </c>
      <c r="B65" s="4" t="s">
        <v>45</v>
      </c>
      <c r="C65" s="4" t="s">
        <v>40</v>
      </c>
      <c r="D65" s="4" t="s">
        <v>44</v>
      </c>
      <c r="E65" s="4" t="s">
        <v>56</v>
      </c>
      <c r="F65" s="4" t="s">
        <v>25</v>
      </c>
      <c r="G65" s="4" t="s">
        <v>25</v>
      </c>
      <c r="H65" s="4" t="s">
        <v>25</v>
      </c>
      <c r="I65" s="5">
        <v>44805</v>
      </c>
      <c r="J65" s="6">
        <v>11</v>
      </c>
      <c r="K65" s="52">
        <v>11</v>
      </c>
      <c r="L65" s="6">
        <v>0</v>
      </c>
      <c r="M65" s="52">
        <v>0</v>
      </c>
      <c r="N65" s="6">
        <v>0</v>
      </c>
      <c r="O65" s="52">
        <v>0</v>
      </c>
      <c r="P65" s="6">
        <v>2</v>
      </c>
      <c r="Q65" s="4" t="s">
        <v>26</v>
      </c>
      <c r="R65" s="4">
        <v>0</v>
      </c>
      <c r="S65" s="6">
        <v>11</v>
      </c>
      <c r="T65" s="6">
        <v>0</v>
      </c>
      <c r="U65" s="6">
        <v>0</v>
      </c>
      <c r="V65" s="52">
        <f>IF(ISERROR(VLOOKUP($S$65,'TAR FIN'!$A$1:$O$103,15,0)),0,VLOOKUP($S$65,'TAR FIN'!$A$1:$O$103,15,0))*(1-0.04)</f>
        <v>18.1632</v>
      </c>
      <c r="W65" s="52">
        <f>IF(ISERROR(VLOOKUP($T$65,'TAR FIN'!$A$1:$O$103,15,0)),0,VLOOKUP($T$65,'TAR FIN'!$A$1:$O$103,15,0))</f>
        <v>0</v>
      </c>
      <c r="X65" s="52">
        <f>IF(ISERROR(VLOOKUP($U$65,'TAR FIN'!$A$1:$O$103,15,0)),0,VLOOKUP($U$65,'TAR FIN'!$A$1:$O$103,15,0))</f>
        <v>0</v>
      </c>
      <c r="Y65" s="52">
        <f ca="1">('TUSD BE'!$AM$10+'TUSD BF'!$AM$10+'TUSD CVA'!$AM$10)*1*(1-0.02)</f>
        <v>20.941951853111981</v>
      </c>
      <c r="Z65" s="52"/>
      <c r="AA65" s="52"/>
      <c r="AB65" s="6">
        <f>$K$65*$V$65</f>
        <v>199.79519999999999</v>
      </c>
      <c r="AC65" s="6">
        <f>$M$65*$W$65</f>
        <v>0</v>
      </c>
      <c r="AD65" s="6">
        <f>$O$65*$X$65</f>
        <v>0</v>
      </c>
      <c r="AE65" s="6">
        <f ca="1">$K$65*$Y$65</f>
        <v>230.36147038423178</v>
      </c>
      <c r="AF65" s="6">
        <f>$M$65*$Z$65</f>
        <v>0</v>
      </c>
      <c r="AG65" s="6">
        <f>$O$65*$AA$65</f>
        <v>0</v>
      </c>
    </row>
    <row r="66" spans="1:33" ht="11.25" customHeight="1" x14ac:dyDescent="0.3">
      <c r="A66" s="4" t="s">
        <v>57</v>
      </c>
      <c r="B66" s="4" t="s">
        <v>45</v>
      </c>
      <c r="C66" s="4" t="s">
        <v>40</v>
      </c>
      <c r="D66" s="4" t="s">
        <v>44</v>
      </c>
      <c r="E66" s="4" t="s">
        <v>56</v>
      </c>
      <c r="F66" s="4" t="s">
        <v>25</v>
      </c>
      <c r="G66" s="4" t="s">
        <v>25</v>
      </c>
      <c r="H66" s="4" t="s">
        <v>25</v>
      </c>
      <c r="I66" s="5">
        <v>44835</v>
      </c>
      <c r="J66" s="6">
        <v>11</v>
      </c>
      <c r="K66" s="52">
        <v>11</v>
      </c>
      <c r="L66" s="6">
        <v>0</v>
      </c>
      <c r="M66" s="52">
        <v>0</v>
      </c>
      <c r="N66" s="6">
        <v>0</v>
      </c>
      <c r="O66" s="52">
        <v>0</v>
      </c>
      <c r="P66" s="6">
        <v>2</v>
      </c>
      <c r="Q66" s="4" t="s">
        <v>26</v>
      </c>
      <c r="R66" s="4">
        <v>0</v>
      </c>
      <c r="S66" s="6">
        <v>11</v>
      </c>
      <c r="T66" s="6">
        <v>0</v>
      </c>
      <c r="U66" s="6">
        <v>0</v>
      </c>
      <c r="V66" s="52">
        <f>IF(ISERROR(VLOOKUP($S$66,'TAR FIN'!$A$1:$O$103,15,0)),0,VLOOKUP($S$66,'TAR FIN'!$A$1:$O$103,15,0))*(1-0.04)</f>
        <v>18.1632</v>
      </c>
      <c r="W66" s="52">
        <f>IF(ISERROR(VLOOKUP($T$66,'TAR FIN'!$A$1:$O$103,15,0)),0,VLOOKUP($T$66,'TAR FIN'!$A$1:$O$103,15,0))</f>
        <v>0</v>
      </c>
      <c r="X66" s="52">
        <f>IF(ISERROR(VLOOKUP($U$66,'TAR FIN'!$A$1:$O$103,15,0)),0,VLOOKUP($U$66,'TAR FIN'!$A$1:$O$103,15,0))</f>
        <v>0</v>
      </c>
      <c r="Y66" s="52">
        <f ca="1">('TUSD BE'!$AM$10+'TUSD BF'!$AM$10+'TUSD CVA'!$AM$10)*1*(1-0.02)</f>
        <v>20.941951853111981</v>
      </c>
      <c r="Z66" s="52"/>
      <c r="AA66" s="52"/>
      <c r="AB66" s="6">
        <f>$K$66*$V$66</f>
        <v>199.79519999999999</v>
      </c>
      <c r="AC66" s="6">
        <f>$M$66*$W$66</f>
        <v>0</v>
      </c>
      <c r="AD66" s="6">
        <f>$O$66*$X$66</f>
        <v>0</v>
      </c>
      <c r="AE66" s="6">
        <f ca="1">$K$66*$Y$66</f>
        <v>230.36147038423178</v>
      </c>
      <c r="AF66" s="6">
        <f>$M$66*$Z$66</f>
        <v>0</v>
      </c>
      <c r="AG66" s="6">
        <f>$O$66*$AA$66</f>
        <v>0</v>
      </c>
    </row>
    <row r="67" spans="1:33" ht="11.25" customHeight="1" x14ac:dyDescent="0.3">
      <c r="A67" s="4" t="s">
        <v>21</v>
      </c>
      <c r="B67" s="4" t="s">
        <v>45</v>
      </c>
      <c r="C67" s="4" t="s">
        <v>40</v>
      </c>
      <c r="D67" s="4" t="s">
        <v>44</v>
      </c>
      <c r="E67" s="4" t="s">
        <v>56</v>
      </c>
      <c r="F67" s="4" t="s">
        <v>25</v>
      </c>
      <c r="G67" s="4" t="s">
        <v>25</v>
      </c>
      <c r="H67" s="4" t="s">
        <v>34</v>
      </c>
      <c r="I67" s="5">
        <v>44593</v>
      </c>
      <c r="J67" s="6">
        <v>0</v>
      </c>
      <c r="K67" s="52">
        <v>0</v>
      </c>
      <c r="L67" s="6">
        <v>5.6000000000000001E-2</v>
      </c>
      <c r="M67" s="52">
        <v>5.6000000000000001E-2</v>
      </c>
      <c r="N67" s="6">
        <v>5.6000000000000001E-2</v>
      </c>
      <c r="O67" s="52">
        <v>5.6000000000000001E-2</v>
      </c>
      <c r="P67" s="6">
        <v>0</v>
      </c>
      <c r="Q67" s="4" t="s">
        <v>26</v>
      </c>
      <c r="R67" s="4">
        <v>0</v>
      </c>
      <c r="S67" s="6">
        <v>0</v>
      </c>
      <c r="T67" s="6">
        <v>14</v>
      </c>
      <c r="U67" s="6">
        <v>62</v>
      </c>
      <c r="V67" s="52">
        <f>IF(ISERROR(VLOOKUP($S$67,'TAR FIN'!$A$1:$O$103,15,0)),0,VLOOKUP($S$67,'TAR FIN'!$A$1:$O$103,15,0))</f>
        <v>0</v>
      </c>
      <c r="W67" s="52">
        <f>IF(ISERROR(VLOOKUP($T$67,'TAR FIN'!$A$1:$O$103,15,0)),0,VLOOKUP($T$67,'TAR FIN'!$A$1:$O$103,15,0))*(1-0.04)</f>
        <v>1147.9871999999998</v>
      </c>
      <c r="X67" s="52">
        <f>IF(ISERROR(VLOOKUP($U$67,'TAR FIN'!$A$1:$O$103,15,0)),0,VLOOKUP($U$67,'TAR FIN'!$A$1:$O$103,15,0))*(1-0.04)</f>
        <v>375.8784</v>
      </c>
      <c r="Y67" s="52"/>
      <c r="Z67" s="52">
        <f ca="1">('TUSD BE'!$AM$11+'TUSD BF'!$AM$11+'TUSD CVA'!$AM$11)*1*(1-0.02)</f>
        <v>1357.7878188473314</v>
      </c>
      <c r="AA67" s="52">
        <f>('TE BE'!$AB$5+'TE BF'!$AB$5+'TE CVA'!$AB$5)*1*(1-0.02)</f>
        <v>354.71359410136364</v>
      </c>
      <c r="AB67" s="6">
        <f>$K$67*$V$67</f>
        <v>0</v>
      </c>
      <c r="AC67" s="6">
        <f>$M$67*$W$67</f>
        <v>64.28728319999999</v>
      </c>
      <c r="AD67" s="6">
        <f>$O$67*$X$67</f>
        <v>21.049190400000001</v>
      </c>
      <c r="AE67" s="6">
        <f>$K$67*$Y$67</f>
        <v>0</v>
      </c>
      <c r="AF67" s="6">
        <f ca="1">$M$67*$Z$67</f>
        <v>76.036117855450556</v>
      </c>
      <c r="AG67" s="6">
        <f>$O$67*$AA$67</f>
        <v>19.863961269676363</v>
      </c>
    </row>
    <row r="68" spans="1:33" ht="11.25" customHeight="1" x14ac:dyDescent="0.3">
      <c r="A68" s="4" t="s">
        <v>21</v>
      </c>
      <c r="B68" s="4" t="s">
        <v>45</v>
      </c>
      <c r="C68" s="4" t="s">
        <v>40</v>
      </c>
      <c r="D68" s="4" t="s">
        <v>44</v>
      </c>
      <c r="E68" s="4" t="s">
        <v>56</v>
      </c>
      <c r="F68" s="4" t="s">
        <v>25</v>
      </c>
      <c r="G68" s="4" t="s">
        <v>25</v>
      </c>
      <c r="H68" s="4" t="s">
        <v>34</v>
      </c>
      <c r="I68" s="5">
        <v>44621</v>
      </c>
      <c r="J68" s="6">
        <v>0</v>
      </c>
      <c r="K68" s="52">
        <v>0</v>
      </c>
      <c r="L68" s="6">
        <v>6.8000000000000005E-2</v>
      </c>
      <c r="M68" s="52">
        <v>6.8000000000000005E-2</v>
      </c>
      <c r="N68" s="6">
        <v>6.8000000000000005E-2</v>
      </c>
      <c r="O68" s="52">
        <v>6.8000000000000005E-2</v>
      </c>
      <c r="P68" s="6">
        <v>0</v>
      </c>
      <c r="Q68" s="4" t="s">
        <v>26</v>
      </c>
      <c r="R68" s="4">
        <v>0</v>
      </c>
      <c r="S68" s="6">
        <v>0</v>
      </c>
      <c r="T68" s="6">
        <v>14</v>
      </c>
      <c r="U68" s="6">
        <v>62</v>
      </c>
      <c r="V68" s="52">
        <f>IF(ISERROR(VLOOKUP($S$68,'TAR FIN'!$A$1:$O$103,15,0)),0,VLOOKUP($S$68,'TAR FIN'!$A$1:$O$103,15,0))</f>
        <v>0</v>
      </c>
      <c r="W68" s="52">
        <f>IF(ISERROR(VLOOKUP($T$68,'TAR FIN'!$A$1:$O$103,15,0)),0,VLOOKUP($T$68,'TAR FIN'!$A$1:$O$103,15,0))*(1-0.04)</f>
        <v>1147.9871999999998</v>
      </c>
      <c r="X68" s="52">
        <f>IF(ISERROR(VLOOKUP($U$68,'TAR FIN'!$A$1:$O$103,15,0)),0,VLOOKUP($U$68,'TAR FIN'!$A$1:$O$103,15,0))*(1-0.04)</f>
        <v>375.8784</v>
      </c>
      <c r="Y68" s="52"/>
      <c r="Z68" s="52">
        <f ca="1">('TUSD BE'!$AM$11+'TUSD BF'!$AM$11+'TUSD CVA'!$AM$11)*1*(1-0.02)</f>
        <v>1357.7878188473314</v>
      </c>
      <c r="AA68" s="52">
        <f>('TE BE'!$AB$5+'TE BF'!$AB$5+'TE CVA'!$AB$5)*1*(1-0.02)</f>
        <v>354.71359410136364</v>
      </c>
      <c r="AB68" s="6">
        <f>$K$68*$V$68</f>
        <v>0</v>
      </c>
      <c r="AC68" s="6">
        <f>$M$68*$W$68</f>
        <v>78.063129599999996</v>
      </c>
      <c r="AD68" s="6">
        <f>$O$68*$X$68</f>
        <v>25.559731200000002</v>
      </c>
      <c r="AE68" s="6">
        <f>$K$68*$Y$68</f>
        <v>0</v>
      </c>
      <c r="AF68" s="6">
        <f ca="1">$M$68*$Z$68</f>
        <v>92.329571681618546</v>
      </c>
      <c r="AG68" s="6">
        <f>$O$68*$AA$68</f>
        <v>24.12052439889273</v>
      </c>
    </row>
    <row r="69" spans="1:33" ht="11.25" customHeight="1" x14ac:dyDescent="0.3">
      <c r="A69" s="4" t="s">
        <v>21</v>
      </c>
      <c r="B69" s="4" t="s">
        <v>45</v>
      </c>
      <c r="C69" s="4" t="s">
        <v>40</v>
      </c>
      <c r="D69" s="4" t="s">
        <v>44</v>
      </c>
      <c r="E69" s="4" t="s">
        <v>56</v>
      </c>
      <c r="F69" s="4" t="s">
        <v>25</v>
      </c>
      <c r="G69" s="4" t="s">
        <v>25</v>
      </c>
      <c r="H69" s="4" t="s">
        <v>34</v>
      </c>
      <c r="I69" s="5">
        <v>44652</v>
      </c>
      <c r="J69" s="6">
        <v>0</v>
      </c>
      <c r="K69" s="52">
        <v>0</v>
      </c>
      <c r="L69" s="6">
        <v>7.2999999999999995E-2</v>
      </c>
      <c r="M69" s="52">
        <v>7.2999999999999995E-2</v>
      </c>
      <c r="N69" s="6">
        <v>7.2999999999999995E-2</v>
      </c>
      <c r="O69" s="52">
        <v>7.2999999999999995E-2</v>
      </c>
      <c r="P69" s="6">
        <v>0</v>
      </c>
      <c r="Q69" s="4" t="s">
        <v>26</v>
      </c>
      <c r="R69" s="4">
        <v>0</v>
      </c>
      <c r="S69" s="6">
        <v>0</v>
      </c>
      <c r="T69" s="6">
        <v>14</v>
      </c>
      <c r="U69" s="6">
        <v>62</v>
      </c>
      <c r="V69" s="52">
        <f>IF(ISERROR(VLOOKUP($S$69,'TAR FIN'!$A$1:$O$103,15,0)),0,VLOOKUP($S$69,'TAR FIN'!$A$1:$O$103,15,0))</f>
        <v>0</v>
      </c>
      <c r="W69" s="52">
        <f>IF(ISERROR(VLOOKUP($T$69,'TAR FIN'!$A$1:$O$103,15,0)),0,VLOOKUP($T$69,'TAR FIN'!$A$1:$O$103,15,0))*(1-0.04)</f>
        <v>1147.9871999999998</v>
      </c>
      <c r="X69" s="52">
        <f>IF(ISERROR(VLOOKUP($U$69,'TAR FIN'!$A$1:$O$103,15,0)),0,VLOOKUP($U$69,'TAR FIN'!$A$1:$O$103,15,0))*(1-0.04)</f>
        <v>375.8784</v>
      </c>
      <c r="Y69" s="52"/>
      <c r="Z69" s="52">
        <f ca="1">('TUSD BE'!$AM$11+'TUSD BF'!$AM$11+'TUSD CVA'!$AM$11)*1*(1-0.02)</f>
        <v>1357.7878188473314</v>
      </c>
      <c r="AA69" s="52">
        <f>('TE BE'!$AB$5+'TE BF'!$AB$5+'TE CVA'!$AB$5)*1*(1-0.02)</f>
        <v>354.71359410136364</v>
      </c>
      <c r="AB69" s="6">
        <f>$K$69*$V$69</f>
        <v>0</v>
      </c>
      <c r="AC69" s="6">
        <f>$M$69*$W$69</f>
        <v>83.803065599999982</v>
      </c>
      <c r="AD69" s="6">
        <f>$O$69*$X$69</f>
        <v>27.439123199999997</v>
      </c>
      <c r="AE69" s="6">
        <f>$K$69*$Y$69</f>
        <v>0</v>
      </c>
      <c r="AF69" s="6">
        <f ca="1">$M$69*$Z$69</f>
        <v>99.118510775855185</v>
      </c>
      <c r="AG69" s="6">
        <f>$O$69*$AA$69</f>
        <v>25.894092369399544</v>
      </c>
    </row>
    <row r="70" spans="1:33" ht="11.25" customHeight="1" x14ac:dyDescent="0.3">
      <c r="A70" s="4" t="s">
        <v>21</v>
      </c>
      <c r="B70" s="4" t="s">
        <v>45</v>
      </c>
      <c r="C70" s="4" t="s">
        <v>40</v>
      </c>
      <c r="D70" s="4" t="s">
        <v>44</v>
      </c>
      <c r="E70" s="4" t="s">
        <v>56</v>
      </c>
      <c r="F70" s="4" t="s">
        <v>25</v>
      </c>
      <c r="G70" s="4" t="s">
        <v>25</v>
      </c>
      <c r="H70" s="4" t="s">
        <v>34</v>
      </c>
      <c r="I70" s="5">
        <v>44682</v>
      </c>
      <c r="J70" s="6">
        <v>0</v>
      </c>
      <c r="K70" s="52">
        <v>0</v>
      </c>
      <c r="L70" s="6">
        <v>0.1</v>
      </c>
      <c r="M70" s="52">
        <v>0.1</v>
      </c>
      <c r="N70" s="6">
        <v>0.1</v>
      </c>
      <c r="O70" s="52">
        <v>0.1</v>
      </c>
      <c r="P70" s="6">
        <v>0</v>
      </c>
      <c r="Q70" s="4" t="s">
        <v>26</v>
      </c>
      <c r="R70" s="4">
        <v>0</v>
      </c>
      <c r="S70" s="6">
        <v>0</v>
      </c>
      <c r="T70" s="6">
        <v>14</v>
      </c>
      <c r="U70" s="6">
        <v>62</v>
      </c>
      <c r="V70" s="52">
        <f>IF(ISERROR(VLOOKUP($S$70,'TAR FIN'!$A$1:$O$103,15,0)),0,VLOOKUP($S$70,'TAR FIN'!$A$1:$O$103,15,0))</f>
        <v>0</v>
      </c>
      <c r="W70" s="52">
        <f>IF(ISERROR(VLOOKUP($T$70,'TAR FIN'!$A$1:$O$103,15,0)),0,VLOOKUP($T$70,'TAR FIN'!$A$1:$O$103,15,0))*(1-0.04)</f>
        <v>1147.9871999999998</v>
      </c>
      <c r="X70" s="52">
        <f>IF(ISERROR(VLOOKUP($U$70,'TAR FIN'!$A$1:$O$103,15,0)),0,VLOOKUP($U$70,'TAR FIN'!$A$1:$O$103,15,0))*(1-0.04)</f>
        <v>375.8784</v>
      </c>
      <c r="Y70" s="52"/>
      <c r="Z70" s="52">
        <f ca="1">('TUSD BE'!$AM$11+'TUSD BF'!$AM$11+'TUSD CVA'!$AM$11)*1*(1-0.02)</f>
        <v>1357.7878188473314</v>
      </c>
      <c r="AA70" s="52">
        <f>('TE BE'!$AB$5+'TE BF'!$AB$5+'TE CVA'!$AB$5)*1*(1-0.02)</f>
        <v>354.71359410136364</v>
      </c>
      <c r="AB70" s="6">
        <f>$K$70*$V$70</f>
        <v>0</v>
      </c>
      <c r="AC70" s="6">
        <f>$M$70*$W$70</f>
        <v>114.79871999999999</v>
      </c>
      <c r="AD70" s="6">
        <f>$O$70*$X$70</f>
        <v>37.58784</v>
      </c>
      <c r="AE70" s="6">
        <f>$K$70*$Y$70</f>
        <v>0</v>
      </c>
      <c r="AF70" s="6">
        <f ca="1">$M$70*$Z$70</f>
        <v>135.77878188473315</v>
      </c>
      <c r="AG70" s="6">
        <f>$O$70*$AA$70</f>
        <v>35.471359410136365</v>
      </c>
    </row>
    <row r="71" spans="1:33" ht="11.25" customHeight="1" x14ac:dyDescent="0.3">
      <c r="A71" s="4" t="s">
        <v>21</v>
      </c>
      <c r="B71" s="4" t="s">
        <v>45</v>
      </c>
      <c r="C71" s="4" t="s">
        <v>40</v>
      </c>
      <c r="D71" s="4" t="s">
        <v>44</v>
      </c>
      <c r="E71" s="4" t="s">
        <v>56</v>
      </c>
      <c r="F71" s="4" t="s">
        <v>25</v>
      </c>
      <c r="G71" s="4" t="s">
        <v>25</v>
      </c>
      <c r="H71" s="4" t="s">
        <v>34</v>
      </c>
      <c r="I71" s="5">
        <v>44713</v>
      </c>
      <c r="J71" s="6">
        <v>0</v>
      </c>
      <c r="K71" s="52">
        <v>0</v>
      </c>
      <c r="L71" s="6">
        <v>9.7000000000000003E-2</v>
      </c>
      <c r="M71" s="52">
        <v>9.7000000000000003E-2</v>
      </c>
      <c r="N71" s="6">
        <v>9.7000000000000003E-2</v>
      </c>
      <c r="O71" s="52">
        <v>9.7000000000000003E-2</v>
      </c>
      <c r="P71" s="6">
        <v>0</v>
      </c>
      <c r="Q71" s="4" t="s">
        <v>26</v>
      </c>
      <c r="R71" s="4">
        <v>0</v>
      </c>
      <c r="S71" s="6">
        <v>0</v>
      </c>
      <c r="T71" s="6">
        <v>14</v>
      </c>
      <c r="U71" s="6">
        <v>62</v>
      </c>
      <c r="V71" s="52">
        <f>IF(ISERROR(VLOOKUP($S$71,'TAR FIN'!$A$1:$O$103,15,0)),0,VLOOKUP($S$71,'TAR FIN'!$A$1:$O$103,15,0))</f>
        <v>0</v>
      </c>
      <c r="W71" s="52">
        <f>IF(ISERROR(VLOOKUP($T$71,'TAR FIN'!$A$1:$O$103,15,0)),0,VLOOKUP($T$71,'TAR FIN'!$A$1:$O$103,15,0))*(1-0.04)</f>
        <v>1147.9871999999998</v>
      </c>
      <c r="X71" s="52">
        <f>IF(ISERROR(VLOOKUP($U$71,'TAR FIN'!$A$1:$O$103,15,0)),0,VLOOKUP($U$71,'TAR FIN'!$A$1:$O$103,15,0))*(1-0.04)</f>
        <v>375.8784</v>
      </c>
      <c r="Y71" s="52"/>
      <c r="Z71" s="52">
        <f ca="1">('TUSD BE'!$AM$11+'TUSD BF'!$AM$11+'TUSD CVA'!$AM$11)*1*(1-0.02)</f>
        <v>1357.7878188473314</v>
      </c>
      <c r="AA71" s="52">
        <f>('TE BE'!$AB$5+'TE BF'!$AB$5+'TE CVA'!$AB$5)*1*(1-0.02)</f>
        <v>354.71359410136364</v>
      </c>
      <c r="AB71" s="6">
        <f>$K$71*$V$71</f>
        <v>0</v>
      </c>
      <c r="AC71" s="6">
        <f>$M$71*$W$71</f>
        <v>111.35475839999998</v>
      </c>
      <c r="AD71" s="6">
        <f>$O$71*$X$71</f>
        <v>36.4602048</v>
      </c>
      <c r="AE71" s="6">
        <f>$K$71*$Y$71</f>
        <v>0</v>
      </c>
      <c r="AF71" s="6">
        <f ca="1">$M$71*$Z$71</f>
        <v>131.70541842819117</v>
      </c>
      <c r="AG71" s="6">
        <f>$O$71*$AA$71</f>
        <v>34.407218627832272</v>
      </c>
    </row>
    <row r="72" spans="1:33" ht="11.25" customHeight="1" x14ac:dyDescent="0.3">
      <c r="A72" s="4" t="s">
        <v>21</v>
      </c>
      <c r="B72" s="4" t="s">
        <v>45</v>
      </c>
      <c r="C72" s="4" t="s">
        <v>40</v>
      </c>
      <c r="D72" s="4" t="s">
        <v>44</v>
      </c>
      <c r="E72" s="4" t="s">
        <v>56</v>
      </c>
      <c r="F72" s="4" t="s">
        <v>25</v>
      </c>
      <c r="G72" s="4" t="s">
        <v>25</v>
      </c>
      <c r="H72" s="4" t="s">
        <v>34</v>
      </c>
      <c r="I72" s="5">
        <v>44743</v>
      </c>
      <c r="J72" s="6">
        <v>0</v>
      </c>
      <c r="K72" s="52">
        <v>0</v>
      </c>
      <c r="L72" s="6">
        <v>0.10199999999999999</v>
      </c>
      <c r="M72" s="52">
        <v>0.10199999999999999</v>
      </c>
      <c r="N72" s="6">
        <v>0.10199999999999999</v>
      </c>
      <c r="O72" s="52">
        <v>0.10199999999999999</v>
      </c>
      <c r="P72" s="6">
        <v>0</v>
      </c>
      <c r="Q72" s="4" t="s">
        <v>26</v>
      </c>
      <c r="R72" s="4">
        <v>0</v>
      </c>
      <c r="S72" s="6">
        <v>0</v>
      </c>
      <c r="T72" s="6">
        <v>14</v>
      </c>
      <c r="U72" s="6">
        <v>62</v>
      </c>
      <c r="V72" s="52">
        <f>IF(ISERROR(VLOOKUP($S$72,'TAR FIN'!$A$1:$O$103,15,0)),0,VLOOKUP($S$72,'TAR FIN'!$A$1:$O$103,15,0))</f>
        <v>0</v>
      </c>
      <c r="W72" s="52">
        <f>IF(ISERROR(VLOOKUP($T$72,'TAR FIN'!$A$1:$O$103,15,0)),0,VLOOKUP($T$72,'TAR FIN'!$A$1:$O$103,15,0))*(1-0.04)</f>
        <v>1147.9871999999998</v>
      </c>
      <c r="X72" s="52">
        <f>IF(ISERROR(VLOOKUP($U$72,'TAR FIN'!$A$1:$O$103,15,0)),0,VLOOKUP($U$72,'TAR FIN'!$A$1:$O$103,15,0))*(1-0.04)</f>
        <v>375.8784</v>
      </c>
      <c r="Y72" s="52"/>
      <c r="Z72" s="52">
        <f ca="1">('TUSD BE'!$AM$11+'TUSD BF'!$AM$11+'TUSD CVA'!$AM$11)*1*(1-0.02)</f>
        <v>1357.7878188473314</v>
      </c>
      <c r="AA72" s="52">
        <f>('TE BE'!$AB$5+'TE BF'!$AB$5+'TE CVA'!$AB$5)*1*(1-0.02)</f>
        <v>354.71359410136364</v>
      </c>
      <c r="AB72" s="6">
        <f>$K$72*$V$72</f>
        <v>0</v>
      </c>
      <c r="AC72" s="6">
        <f>$M$72*$W$72</f>
        <v>117.09469439999997</v>
      </c>
      <c r="AD72" s="6">
        <f>$O$72*$X$72</f>
        <v>38.339596799999995</v>
      </c>
      <c r="AE72" s="6">
        <f>$K$72*$Y$72</f>
        <v>0</v>
      </c>
      <c r="AF72" s="6">
        <f ca="1">$M$72*$Z$72</f>
        <v>138.4943575224278</v>
      </c>
      <c r="AG72" s="6">
        <f>$O$72*$AA$72</f>
        <v>36.18078659833909</v>
      </c>
    </row>
    <row r="73" spans="1:33" ht="11.25" customHeight="1" x14ac:dyDescent="0.3">
      <c r="A73" s="4" t="s">
        <v>21</v>
      </c>
      <c r="B73" s="4" t="s">
        <v>45</v>
      </c>
      <c r="C73" s="4" t="s">
        <v>40</v>
      </c>
      <c r="D73" s="4" t="s">
        <v>44</v>
      </c>
      <c r="E73" s="4" t="s">
        <v>56</v>
      </c>
      <c r="F73" s="4" t="s">
        <v>25</v>
      </c>
      <c r="G73" s="4" t="s">
        <v>25</v>
      </c>
      <c r="H73" s="4" t="s">
        <v>34</v>
      </c>
      <c r="I73" s="5">
        <v>44774</v>
      </c>
      <c r="J73" s="6">
        <v>0</v>
      </c>
      <c r="K73" s="52">
        <v>0</v>
      </c>
      <c r="L73" s="6">
        <v>0.129</v>
      </c>
      <c r="M73" s="52">
        <v>0.129</v>
      </c>
      <c r="N73" s="6">
        <v>0.129</v>
      </c>
      <c r="O73" s="52">
        <v>0.129</v>
      </c>
      <c r="P73" s="6">
        <v>0</v>
      </c>
      <c r="Q73" s="4" t="s">
        <v>26</v>
      </c>
      <c r="R73" s="4">
        <v>0</v>
      </c>
      <c r="S73" s="6">
        <v>0</v>
      </c>
      <c r="T73" s="6">
        <v>14</v>
      </c>
      <c r="U73" s="6">
        <v>62</v>
      </c>
      <c r="V73" s="52">
        <f>IF(ISERROR(VLOOKUP($S$73,'TAR FIN'!$A$1:$O$103,15,0)),0,VLOOKUP($S$73,'TAR FIN'!$A$1:$O$103,15,0))</f>
        <v>0</v>
      </c>
      <c r="W73" s="52">
        <f>IF(ISERROR(VLOOKUP($T$73,'TAR FIN'!$A$1:$O$103,15,0)),0,VLOOKUP($T$73,'TAR FIN'!$A$1:$O$103,15,0))*(1-0.04)</f>
        <v>1147.9871999999998</v>
      </c>
      <c r="X73" s="52">
        <f>IF(ISERROR(VLOOKUP($U$73,'TAR FIN'!$A$1:$O$103,15,0)),0,VLOOKUP($U$73,'TAR FIN'!$A$1:$O$103,15,0))*(1-0.04)</f>
        <v>375.8784</v>
      </c>
      <c r="Y73" s="52"/>
      <c r="Z73" s="52">
        <f ca="1">('TUSD BE'!$AM$11+'TUSD BF'!$AM$11+'TUSD CVA'!$AM$11)*1*(1-0.02)</f>
        <v>1357.7878188473314</v>
      </c>
      <c r="AA73" s="52">
        <f>('TE BE'!$AB$5+'TE BF'!$AB$5+'TE CVA'!$AB$5)*1*(1-0.02)</f>
        <v>354.71359410136364</v>
      </c>
      <c r="AB73" s="6">
        <f>$K$73*$V$73</f>
        <v>0</v>
      </c>
      <c r="AC73" s="6">
        <f>$M$73*$W$73</f>
        <v>148.09034879999999</v>
      </c>
      <c r="AD73" s="6">
        <f>$O$73*$X$73</f>
        <v>48.488313599999998</v>
      </c>
      <c r="AE73" s="6">
        <f>$K$73*$Y$73</f>
        <v>0</v>
      </c>
      <c r="AF73" s="6">
        <f ca="1">$M$73*$Z$73</f>
        <v>175.15462863130577</v>
      </c>
      <c r="AG73" s="6">
        <f>$O$73*$AA$73</f>
        <v>45.758053639075911</v>
      </c>
    </row>
    <row r="74" spans="1:33" ht="11.25" customHeight="1" x14ac:dyDescent="0.3">
      <c r="A74" s="4" t="s">
        <v>21</v>
      </c>
      <c r="B74" s="4" t="s">
        <v>45</v>
      </c>
      <c r="C74" s="4" t="s">
        <v>40</v>
      </c>
      <c r="D74" s="4" t="s">
        <v>44</v>
      </c>
      <c r="E74" s="4" t="s">
        <v>56</v>
      </c>
      <c r="F74" s="4" t="s">
        <v>25</v>
      </c>
      <c r="G74" s="4" t="s">
        <v>25</v>
      </c>
      <c r="H74" s="4" t="s">
        <v>34</v>
      </c>
      <c r="I74" s="5">
        <v>44805</v>
      </c>
      <c r="J74" s="6">
        <v>0</v>
      </c>
      <c r="K74" s="52">
        <v>0</v>
      </c>
      <c r="L74" s="6">
        <v>0.54700000000000004</v>
      </c>
      <c r="M74" s="52">
        <v>0.54700000000000004</v>
      </c>
      <c r="N74" s="6">
        <v>0.54700000000000004</v>
      </c>
      <c r="O74" s="52">
        <v>0.54700000000000004</v>
      </c>
      <c r="P74" s="6">
        <v>0</v>
      </c>
      <c r="Q74" s="4" t="s">
        <v>26</v>
      </c>
      <c r="R74" s="4">
        <v>0</v>
      </c>
      <c r="S74" s="6">
        <v>0</v>
      </c>
      <c r="T74" s="6">
        <v>14</v>
      </c>
      <c r="U74" s="6">
        <v>62</v>
      </c>
      <c r="V74" s="52">
        <f>IF(ISERROR(VLOOKUP($S$74,'TAR FIN'!$A$1:$O$103,15,0)),0,VLOOKUP($S$74,'TAR FIN'!$A$1:$O$103,15,0))</f>
        <v>0</v>
      </c>
      <c r="W74" s="52">
        <f>IF(ISERROR(VLOOKUP($T$74,'TAR FIN'!$A$1:$O$103,15,0)),0,VLOOKUP($T$74,'TAR FIN'!$A$1:$O$103,15,0))*(1-0.04)</f>
        <v>1147.9871999999998</v>
      </c>
      <c r="X74" s="52">
        <f>IF(ISERROR(VLOOKUP($U$74,'TAR FIN'!$A$1:$O$103,15,0)),0,VLOOKUP($U$74,'TAR FIN'!$A$1:$O$103,15,0))*(1-0.04)</f>
        <v>375.8784</v>
      </c>
      <c r="Y74" s="52"/>
      <c r="Z74" s="52">
        <f ca="1">('TUSD BE'!$AM$11+'TUSD BF'!$AM$11+'TUSD CVA'!$AM$11)*1*(1-0.02)</f>
        <v>1357.7878188473314</v>
      </c>
      <c r="AA74" s="52">
        <f>('TE BE'!$AB$5+'TE BF'!$AB$5+'TE CVA'!$AB$5)*1*(1-0.02)</f>
        <v>354.71359410136364</v>
      </c>
      <c r="AB74" s="6">
        <f>$K$74*$V$74</f>
        <v>0</v>
      </c>
      <c r="AC74" s="6">
        <f>$M$74*$W$74</f>
        <v>627.94899839999994</v>
      </c>
      <c r="AD74" s="6">
        <f>$O$74*$X$74</f>
        <v>205.60548480000003</v>
      </c>
      <c r="AE74" s="6">
        <f>$K$74*$Y$74</f>
        <v>0</v>
      </c>
      <c r="AF74" s="6">
        <f ca="1">$M$74*$Z$74</f>
        <v>742.70993690949035</v>
      </c>
      <c r="AG74" s="6">
        <f>$O$74*$AA$74</f>
        <v>194.02833597344593</v>
      </c>
    </row>
    <row r="75" spans="1:33" ht="11.25" customHeight="1" x14ac:dyDescent="0.3">
      <c r="A75" s="4" t="s">
        <v>57</v>
      </c>
      <c r="B75" s="4" t="s">
        <v>45</v>
      </c>
      <c r="C75" s="4" t="s">
        <v>40</v>
      </c>
      <c r="D75" s="4" t="s">
        <v>44</v>
      </c>
      <c r="E75" s="4" t="s">
        <v>56</v>
      </c>
      <c r="F75" s="4" t="s">
        <v>25</v>
      </c>
      <c r="G75" s="4" t="s">
        <v>25</v>
      </c>
      <c r="H75" s="4" t="s">
        <v>34</v>
      </c>
      <c r="I75" s="5">
        <v>44835</v>
      </c>
      <c r="J75" s="6">
        <v>0</v>
      </c>
      <c r="K75" s="52">
        <v>0</v>
      </c>
      <c r="L75" s="6">
        <v>0.54700000000000004</v>
      </c>
      <c r="M75" s="52">
        <v>0.54700000000000004</v>
      </c>
      <c r="N75" s="6">
        <v>0.54700000000000004</v>
      </c>
      <c r="O75" s="52">
        <v>0.54700000000000004</v>
      </c>
      <c r="P75" s="6">
        <v>0</v>
      </c>
      <c r="Q75" s="4" t="s">
        <v>26</v>
      </c>
      <c r="R75" s="4">
        <v>0</v>
      </c>
      <c r="S75" s="6">
        <v>0</v>
      </c>
      <c r="T75" s="6">
        <v>14</v>
      </c>
      <c r="U75" s="6">
        <v>62</v>
      </c>
      <c r="V75" s="52">
        <f>IF(ISERROR(VLOOKUP($S$75,'TAR FIN'!$A$1:$O$103,15,0)),0,VLOOKUP($S$75,'TAR FIN'!$A$1:$O$103,15,0))</f>
        <v>0</v>
      </c>
      <c r="W75" s="52">
        <f>IF(ISERROR(VLOOKUP($T$75,'TAR FIN'!$A$1:$O$103,15,0)),0,VLOOKUP($T$75,'TAR FIN'!$A$1:$O$103,15,0))*(1-0.04)</f>
        <v>1147.9871999999998</v>
      </c>
      <c r="X75" s="52">
        <f>IF(ISERROR(VLOOKUP($U$75,'TAR FIN'!$A$1:$O$103,15,0)),0,VLOOKUP($U$75,'TAR FIN'!$A$1:$O$103,15,0))*(1-0.04)</f>
        <v>375.8784</v>
      </c>
      <c r="Y75" s="52"/>
      <c r="Z75" s="52">
        <f ca="1">('TUSD BE'!$AM$11+'TUSD BF'!$AM$11+'TUSD CVA'!$AM$11)*1*(1-0.02)</f>
        <v>1357.7878188473314</v>
      </c>
      <c r="AA75" s="52">
        <f>('TE BE'!$AB$5+'TE BF'!$AB$5+'TE CVA'!$AB$5)*1*(1-0.02)</f>
        <v>354.71359410136364</v>
      </c>
      <c r="AB75" s="6">
        <f>$K$75*$V$75</f>
        <v>0</v>
      </c>
      <c r="AC75" s="6">
        <f>$M$75*$W$75</f>
        <v>627.94899839999994</v>
      </c>
      <c r="AD75" s="6">
        <f>$O$75*$X$75</f>
        <v>205.60548480000003</v>
      </c>
      <c r="AE75" s="6">
        <f>$K$75*$Y$75</f>
        <v>0</v>
      </c>
      <c r="AF75" s="6">
        <f ca="1">$M$75*$Z$75</f>
        <v>742.70993690949035</v>
      </c>
      <c r="AG75" s="6">
        <f>$O$75*$AA$75</f>
        <v>194.02833597344593</v>
      </c>
    </row>
    <row r="76" spans="1:33" ht="11.25" customHeight="1" x14ac:dyDescent="0.3">
      <c r="A76" s="4" t="s">
        <v>28</v>
      </c>
      <c r="B76" s="4" t="s">
        <v>45</v>
      </c>
      <c r="C76" s="4" t="s">
        <v>40</v>
      </c>
      <c r="D76" s="4" t="s">
        <v>44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44501</v>
      </c>
      <c r="J76" s="6">
        <v>37</v>
      </c>
      <c r="K76" s="52">
        <v>37</v>
      </c>
      <c r="L76" s="6">
        <v>0</v>
      </c>
      <c r="M76" s="52">
        <v>0</v>
      </c>
      <c r="N76" s="6">
        <v>0</v>
      </c>
      <c r="O76" s="52">
        <v>0</v>
      </c>
      <c r="P76" s="6">
        <v>1</v>
      </c>
      <c r="Q76" s="4" t="s">
        <v>26</v>
      </c>
      <c r="R76" s="4">
        <v>0</v>
      </c>
      <c r="S76" s="6">
        <v>11</v>
      </c>
      <c r="T76" s="6">
        <v>0</v>
      </c>
      <c r="U76" s="6">
        <v>0</v>
      </c>
      <c r="V76" s="52">
        <f>IF(ISERROR(VLOOKUP($S$76,'TAR FIN'!$A$1:$O$103,15,0)),0,VLOOKUP($S$76,'TAR FIN'!$A$1:$O$103,15,0))*(1-0.04)</f>
        <v>18.1632</v>
      </c>
      <c r="W76" s="52">
        <f>IF(ISERROR(VLOOKUP($T$76,'TAR FIN'!$A$1:$O$103,15,0)),0,VLOOKUP($T$76,'TAR FIN'!$A$1:$O$103,15,0))</f>
        <v>0</v>
      </c>
      <c r="X76" s="52">
        <f>IF(ISERROR(VLOOKUP($U$76,'TAR FIN'!$A$1:$O$103,15,0)),0,VLOOKUP($U$76,'TAR FIN'!$A$1:$O$103,15,0))</f>
        <v>0</v>
      </c>
      <c r="Y76" s="52">
        <f ca="1">('TUSD BE'!$AM$10+'TUSD BF'!$AM$10+'TUSD CVA'!$AM$10)*1*(1-0.02)</f>
        <v>20.941951853111981</v>
      </c>
      <c r="Z76" s="52"/>
      <c r="AA76" s="52"/>
      <c r="AB76" s="6">
        <f>$K$76*$V$76</f>
        <v>672.03840000000002</v>
      </c>
      <c r="AC76" s="6">
        <f>$M$76*$W$76</f>
        <v>0</v>
      </c>
      <c r="AD76" s="6">
        <f>$O$76*$X$76</f>
        <v>0</v>
      </c>
      <c r="AE76" s="6">
        <f ca="1">$K$76*$Y$76</f>
        <v>774.85221856514329</v>
      </c>
      <c r="AF76" s="6">
        <f>$M$76*$Z$76</f>
        <v>0</v>
      </c>
      <c r="AG76" s="6">
        <f>$O$76*$AA$76</f>
        <v>0</v>
      </c>
    </row>
    <row r="77" spans="1:33" ht="11.25" customHeight="1" x14ac:dyDescent="0.3">
      <c r="A77" s="4" t="s">
        <v>28</v>
      </c>
      <c r="B77" s="4" t="s">
        <v>45</v>
      </c>
      <c r="C77" s="4" t="s">
        <v>40</v>
      </c>
      <c r="D77" s="4" t="s">
        <v>44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44531</v>
      </c>
      <c r="J77" s="6">
        <v>27</v>
      </c>
      <c r="K77" s="52">
        <v>27</v>
      </c>
      <c r="L77" s="6">
        <v>0</v>
      </c>
      <c r="M77" s="52">
        <v>0</v>
      </c>
      <c r="N77" s="6">
        <v>0</v>
      </c>
      <c r="O77" s="52">
        <v>0</v>
      </c>
      <c r="P77" s="6">
        <v>1</v>
      </c>
      <c r="Q77" s="4" t="s">
        <v>26</v>
      </c>
      <c r="R77" s="4">
        <v>0</v>
      </c>
      <c r="S77" s="6">
        <v>11</v>
      </c>
      <c r="T77" s="6">
        <v>0</v>
      </c>
      <c r="U77" s="6">
        <v>0</v>
      </c>
      <c r="V77" s="52">
        <f>IF(ISERROR(VLOOKUP($S$77,'TAR FIN'!$A$1:$O$103,15,0)),0,VLOOKUP($S$77,'TAR FIN'!$A$1:$O$103,15,0))*(1-0.04)</f>
        <v>18.1632</v>
      </c>
      <c r="W77" s="52">
        <f>IF(ISERROR(VLOOKUP($T$77,'TAR FIN'!$A$1:$O$103,15,0)),0,VLOOKUP($T$77,'TAR FIN'!$A$1:$O$103,15,0))</f>
        <v>0</v>
      </c>
      <c r="X77" s="52">
        <f>IF(ISERROR(VLOOKUP($U$77,'TAR FIN'!$A$1:$O$103,15,0)),0,VLOOKUP($U$77,'TAR FIN'!$A$1:$O$103,15,0))</f>
        <v>0</v>
      </c>
      <c r="Y77" s="52">
        <f ca="1">('TUSD BE'!$AM$10+'TUSD BF'!$AM$10+'TUSD CVA'!$AM$10)*1*(1-0.02)</f>
        <v>20.941951853111981</v>
      </c>
      <c r="Z77" s="52"/>
      <c r="AA77" s="52"/>
      <c r="AB77" s="6">
        <f>$K$77*$V$77</f>
        <v>490.40640000000002</v>
      </c>
      <c r="AC77" s="6">
        <f>$M$77*$W$77</f>
        <v>0</v>
      </c>
      <c r="AD77" s="6">
        <f>$O$77*$X$77</f>
        <v>0</v>
      </c>
      <c r="AE77" s="6">
        <f ca="1">$K$77*$Y$77</f>
        <v>565.43270003402347</v>
      </c>
      <c r="AF77" s="6">
        <f>$M$77*$Z$77</f>
        <v>0</v>
      </c>
      <c r="AG77" s="6">
        <f>$O$77*$AA$77</f>
        <v>0</v>
      </c>
    </row>
    <row r="78" spans="1:33" ht="11.25" customHeight="1" x14ac:dyDescent="0.3">
      <c r="A78" s="4" t="s">
        <v>28</v>
      </c>
      <c r="B78" s="4" t="s">
        <v>45</v>
      </c>
      <c r="C78" s="4" t="s">
        <v>40</v>
      </c>
      <c r="D78" s="4" t="s">
        <v>44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44562</v>
      </c>
      <c r="J78" s="6">
        <v>35</v>
      </c>
      <c r="K78" s="52">
        <v>35</v>
      </c>
      <c r="L78" s="6">
        <v>0</v>
      </c>
      <c r="M78" s="52">
        <v>0</v>
      </c>
      <c r="N78" s="6">
        <v>0</v>
      </c>
      <c r="O78" s="52">
        <v>0</v>
      </c>
      <c r="P78" s="6">
        <v>1</v>
      </c>
      <c r="Q78" s="4" t="s">
        <v>26</v>
      </c>
      <c r="R78" s="4">
        <v>0</v>
      </c>
      <c r="S78" s="6">
        <v>11</v>
      </c>
      <c r="T78" s="6">
        <v>0</v>
      </c>
      <c r="U78" s="6">
        <v>0</v>
      </c>
      <c r="V78" s="52">
        <f>IF(ISERROR(VLOOKUP($S$78,'TAR FIN'!$A$1:$O$103,15,0)),0,VLOOKUP($S$78,'TAR FIN'!$A$1:$O$103,15,0))*(1-0.04)</f>
        <v>18.1632</v>
      </c>
      <c r="W78" s="52">
        <f>IF(ISERROR(VLOOKUP($T$78,'TAR FIN'!$A$1:$O$103,15,0)),0,VLOOKUP($T$78,'TAR FIN'!$A$1:$O$103,15,0))</f>
        <v>0</v>
      </c>
      <c r="X78" s="52">
        <f>IF(ISERROR(VLOOKUP($U$78,'TAR FIN'!$A$1:$O$103,15,0)),0,VLOOKUP($U$78,'TAR FIN'!$A$1:$O$103,15,0))</f>
        <v>0</v>
      </c>
      <c r="Y78" s="52">
        <f ca="1">('TUSD BE'!$AM$10+'TUSD BF'!$AM$10+'TUSD CVA'!$AM$10)*1*(1-0.02)</f>
        <v>20.941951853111981</v>
      </c>
      <c r="Z78" s="52"/>
      <c r="AA78" s="52"/>
      <c r="AB78" s="6">
        <f>$K$78*$V$78</f>
        <v>635.71199999999999</v>
      </c>
      <c r="AC78" s="6">
        <f>$M$78*$W$78</f>
        <v>0</v>
      </c>
      <c r="AD78" s="6">
        <f>$O$78*$X$78</f>
        <v>0</v>
      </c>
      <c r="AE78" s="6">
        <f ca="1">$K$78*$Y$78</f>
        <v>732.96831485891937</v>
      </c>
      <c r="AF78" s="6">
        <f>$M$78*$Z$78</f>
        <v>0</v>
      </c>
      <c r="AG78" s="6">
        <f>$O$78*$AA$78</f>
        <v>0</v>
      </c>
    </row>
    <row r="79" spans="1:33" ht="11.25" customHeight="1" x14ac:dyDescent="0.3">
      <c r="A79" s="4" t="s">
        <v>28</v>
      </c>
      <c r="B79" s="4" t="s">
        <v>45</v>
      </c>
      <c r="C79" s="4" t="s">
        <v>40</v>
      </c>
      <c r="D79" s="4" t="s">
        <v>44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44593</v>
      </c>
      <c r="J79" s="6">
        <v>195</v>
      </c>
      <c r="K79" s="52">
        <v>195</v>
      </c>
      <c r="L79" s="6">
        <v>0</v>
      </c>
      <c r="M79" s="52">
        <v>0</v>
      </c>
      <c r="N79" s="6">
        <v>0</v>
      </c>
      <c r="O79" s="52">
        <v>0</v>
      </c>
      <c r="P79" s="6">
        <v>1</v>
      </c>
      <c r="Q79" s="4" t="s">
        <v>26</v>
      </c>
      <c r="R79" s="4">
        <v>0</v>
      </c>
      <c r="S79" s="6">
        <v>11</v>
      </c>
      <c r="T79" s="6">
        <v>0</v>
      </c>
      <c r="U79" s="6">
        <v>0</v>
      </c>
      <c r="V79" s="52">
        <f>IF(ISERROR(VLOOKUP($S$79,'TAR FIN'!$A$1:$O$103,15,0)),0,VLOOKUP($S$79,'TAR FIN'!$A$1:$O$103,15,0))*(1-0.04)</f>
        <v>18.1632</v>
      </c>
      <c r="W79" s="52">
        <f>IF(ISERROR(VLOOKUP($T$79,'TAR FIN'!$A$1:$O$103,15,0)),0,VLOOKUP($T$79,'TAR FIN'!$A$1:$O$103,15,0))</f>
        <v>0</v>
      </c>
      <c r="X79" s="52">
        <f>IF(ISERROR(VLOOKUP($U$79,'TAR FIN'!$A$1:$O$103,15,0)),0,VLOOKUP($U$79,'TAR FIN'!$A$1:$O$103,15,0))</f>
        <v>0</v>
      </c>
      <c r="Y79" s="52">
        <f ca="1">('TUSD BE'!$AM$10+'TUSD BF'!$AM$10+'TUSD CVA'!$AM$10)*1*(1-0.02)</f>
        <v>20.941951853111981</v>
      </c>
      <c r="Z79" s="52"/>
      <c r="AA79" s="52"/>
      <c r="AB79" s="6">
        <f>$K$79*$V$79</f>
        <v>3541.8240000000001</v>
      </c>
      <c r="AC79" s="6">
        <f>$M$79*$W$79</f>
        <v>0</v>
      </c>
      <c r="AD79" s="6">
        <f>$O$79*$X$79</f>
        <v>0</v>
      </c>
      <c r="AE79" s="6">
        <f ca="1">$K$79*$Y$79</f>
        <v>4083.6806113568364</v>
      </c>
      <c r="AF79" s="6">
        <f>$M$79*$Z$79</f>
        <v>0</v>
      </c>
      <c r="AG79" s="6">
        <f>$O$79*$AA$79</f>
        <v>0</v>
      </c>
    </row>
    <row r="80" spans="1:33" ht="11.25" customHeight="1" x14ac:dyDescent="0.3">
      <c r="A80" s="4" t="s">
        <v>28</v>
      </c>
      <c r="B80" s="4" t="s">
        <v>45</v>
      </c>
      <c r="C80" s="4" t="s">
        <v>40</v>
      </c>
      <c r="D80" s="4" t="s">
        <v>44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44621</v>
      </c>
      <c r="J80" s="6">
        <v>34</v>
      </c>
      <c r="K80" s="52">
        <v>34</v>
      </c>
      <c r="L80" s="6">
        <v>0</v>
      </c>
      <c r="M80" s="52">
        <v>0</v>
      </c>
      <c r="N80" s="6">
        <v>0</v>
      </c>
      <c r="O80" s="52">
        <v>0</v>
      </c>
      <c r="P80" s="6">
        <v>1</v>
      </c>
      <c r="Q80" s="4" t="s">
        <v>26</v>
      </c>
      <c r="R80" s="4">
        <v>0</v>
      </c>
      <c r="S80" s="6">
        <v>11</v>
      </c>
      <c r="T80" s="6">
        <v>0</v>
      </c>
      <c r="U80" s="6">
        <v>0</v>
      </c>
      <c r="V80" s="52">
        <f>IF(ISERROR(VLOOKUP($S$80,'TAR FIN'!$A$1:$O$103,15,0)),0,VLOOKUP($S$80,'TAR FIN'!$A$1:$O$103,15,0))*(1-0.04)</f>
        <v>18.1632</v>
      </c>
      <c r="W80" s="52">
        <f>IF(ISERROR(VLOOKUP($T$80,'TAR FIN'!$A$1:$O$103,15,0)),0,VLOOKUP($T$80,'TAR FIN'!$A$1:$O$103,15,0))</f>
        <v>0</v>
      </c>
      <c r="X80" s="52">
        <f>IF(ISERROR(VLOOKUP($U$80,'TAR FIN'!$A$1:$O$103,15,0)),0,VLOOKUP($U$80,'TAR FIN'!$A$1:$O$103,15,0))</f>
        <v>0</v>
      </c>
      <c r="Y80" s="52">
        <f ca="1">('TUSD BE'!$AM$10+'TUSD BF'!$AM$10+'TUSD CVA'!$AM$10)*1*(1-0.02)</f>
        <v>20.941951853111981</v>
      </c>
      <c r="Z80" s="52"/>
      <c r="AA80" s="52"/>
      <c r="AB80" s="6">
        <f>$K$80*$V$80</f>
        <v>617.54880000000003</v>
      </c>
      <c r="AC80" s="6">
        <f>$M$80*$W$80</f>
        <v>0</v>
      </c>
      <c r="AD80" s="6">
        <f>$O$80*$X$80</f>
        <v>0</v>
      </c>
      <c r="AE80" s="6">
        <f ca="1">$K$80*$Y$80</f>
        <v>712.0263630058073</v>
      </c>
      <c r="AF80" s="6">
        <f>$M$80*$Z$80</f>
        <v>0</v>
      </c>
      <c r="AG80" s="6">
        <f>$O$80*$AA$80</f>
        <v>0</v>
      </c>
    </row>
    <row r="81" spans="1:33" ht="11.25" customHeight="1" x14ac:dyDescent="0.3">
      <c r="A81" s="4" t="s">
        <v>28</v>
      </c>
      <c r="B81" s="4" t="s">
        <v>45</v>
      </c>
      <c r="C81" s="4" t="s">
        <v>40</v>
      </c>
      <c r="D81" s="4" t="s">
        <v>44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44652</v>
      </c>
      <c r="J81" s="6">
        <v>26</v>
      </c>
      <c r="K81" s="52">
        <v>26</v>
      </c>
      <c r="L81" s="6">
        <v>0</v>
      </c>
      <c r="M81" s="52">
        <v>0</v>
      </c>
      <c r="N81" s="6">
        <v>0</v>
      </c>
      <c r="O81" s="52">
        <v>0</v>
      </c>
      <c r="P81" s="6">
        <v>1</v>
      </c>
      <c r="Q81" s="4" t="s">
        <v>26</v>
      </c>
      <c r="R81" s="4">
        <v>0</v>
      </c>
      <c r="S81" s="6">
        <v>11</v>
      </c>
      <c r="T81" s="6">
        <v>0</v>
      </c>
      <c r="U81" s="6">
        <v>0</v>
      </c>
      <c r="V81" s="52">
        <f>IF(ISERROR(VLOOKUP($S$81,'TAR FIN'!$A$1:$O$103,15,0)),0,VLOOKUP($S$81,'TAR FIN'!$A$1:$O$103,15,0))*(1-0.04)</f>
        <v>18.1632</v>
      </c>
      <c r="W81" s="52">
        <f>IF(ISERROR(VLOOKUP($T$81,'TAR FIN'!$A$1:$O$103,15,0)),0,VLOOKUP($T$81,'TAR FIN'!$A$1:$O$103,15,0))</f>
        <v>0</v>
      </c>
      <c r="X81" s="52">
        <f>IF(ISERROR(VLOOKUP($U$81,'TAR FIN'!$A$1:$O$103,15,0)),0,VLOOKUP($U$81,'TAR FIN'!$A$1:$O$103,15,0))</f>
        <v>0</v>
      </c>
      <c r="Y81" s="52">
        <f ca="1">('TUSD BE'!$AM$10+'TUSD BF'!$AM$10+'TUSD CVA'!$AM$10)*1*(1-0.02)</f>
        <v>20.941951853111981</v>
      </c>
      <c r="Z81" s="52"/>
      <c r="AA81" s="52"/>
      <c r="AB81" s="6">
        <f>$K$81*$V$81</f>
        <v>472.2432</v>
      </c>
      <c r="AC81" s="6">
        <f>$M$81*$W$81</f>
        <v>0</v>
      </c>
      <c r="AD81" s="6">
        <f>$O$81*$X$81</f>
        <v>0</v>
      </c>
      <c r="AE81" s="6">
        <f ca="1">$K$81*$Y$81</f>
        <v>544.49074818091151</v>
      </c>
      <c r="AF81" s="6">
        <f>$M$81*$Z$81</f>
        <v>0</v>
      </c>
      <c r="AG81" s="6">
        <f>$O$81*$AA$81</f>
        <v>0</v>
      </c>
    </row>
    <row r="82" spans="1:33" ht="11.25" customHeight="1" x14ac:dyDescent="0.3">
      <c r="A82" s="4" t="s">
        <v>28</v>
      </c>
      <c r="B82" s="4" t="s">
        <v>45</v>
      </c>
      <c r="C82" s="4" t="s">
        <v>40</v>
      </c>
      <c r="D82" s="4" t="s">
        <v>44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44682</v>
      </c>
      <c r="J82" s="6">
        <v>31</v>
      </c>
      <c r="K82" s="52">
        <v>31</v>
      </c>
      <c r="L82" s="6">
        <v>0</v>
      </c>
      <c r="M82" s="52">
        <v>0</v>
      </c>
      <c r="N82" s="6">
        <v>0</v>
      </c>
      <c r="O82" s="52">
        <v>0</v>
      </c>
      <c r="P82" s="6">
        <v>1</v>
      </c>
      <c r="Q82" s="4" t="s">
        <v>26</v>
      </c>
      <c r="R82" s="4">
        <v>0</v>
      </c>
      <c r="S82" s="6">
        <v>11</v>
      </c>
      <c r="T82" s="6">
        <v>0</v>
      </c>
      <c r="U82" s="6">
        <v>0</v>
      </c>
      <c r="V82" s="52">
        <f>IF(ISERROR(VLOOKUP($S$82,'TAR FIN'!$A$1:$O$103,15,0)),0,VLOOKUP($S$82,'TAR FIN'!$A$1:$O$103,15,0))*(1-0.04)</f>
        <v>18.1632</v>
      </c>
      <c r="W82" s="52">
        <f>IF(ISERROR(VLOOKUP($T$82,'TAR FIN'!$A$1:$O$103,15,0)),0,VLOOKUP($T$82,'TAR FIN'!$A$1:$O$103,15,0))</f>
        <v>0</v>
      </c>
      <c r="X82" s="52">
        <f>IF(ISERROR(VLOOKUP($U$82,'TAR FIN'!$A$1:$O$103,15,0)),0,VLOOKUP($U$82,'TAR FIN'!$A$1:$O$103,15,0))</f>
        <v>0</v>
      </c>
      <c r="Y82" s="52">
        <f ca="1">('TUSD BE'!$AM$10+'TUSD BF'!$AM$10+'TUSD CVA'!$AM$10)*1*(1-0.02)</f>
        <v>20.941951853111981</v>
      </c>
      <c r="Z82" s="52"/>
      <c r="AA82" s="52"/>
      <c r="AB82" s="6">
        <f>$K$82*$V$82</f>
        <v>563.05920000000003</v>
      </c>
      <c r="AC82" s="6">
        <f>$M$82*$W$82</f>
        <v>0</v>
      </c>
      <c r="AD82" s="6">
        <f>$O$82*$X$82</f>
        <v>0</v>
      </c>
      <c r="AE82" s="6">
        <f ca="1">$K$82*$Y$82</f>
        <v>649.20050744647142</v>
      </c>
      <c r="AF82" s="6">
        <f>$M$82*$Z$82</f>
        <v>0</v>
      </c>
      <c r="AG82" s="6">
        <f>$O$82*$AA$82</f>
        <v>0</v>
      </c>
    </row>
    <row r="83" spans="1:33" ht="11.25" customHeight="1" x14ac:dyDescent="0.3">
      <c r="A83" s="4" t="s">
        <v>28</v>
      </c>
      <c r="B83" s="4" t="s">
        <v>45</v>
      </c>
      <c r="C83" s="4" t="s">
        <v>40</v>
      </c>
      <c r="D83" s="4" t="s">
        <v>44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44713</v>
      </c>
      <c r="J83" s="6">
        <v>41</v>
      </c>
      <c r="K83" s="52">
        <v>41</v>
      </c>
      <c r="L83" s="6">
        <v>0</v>
      </c>
      <c r="M83" s="52">
        <v>0</v>
      </c>
      <c r="N83" s="6">
        <v>0</v>
      </c>
      <c r="O83" s="52">
        <v>0</v>
      </c>
      <c r="P83" s="6">
        <v>1</v>
      </c>
      <c r="Q83" s="4" t="s">
        <v>26</v>
      </c>
      <c r="R83" s="4">
        <v>0</v>
      </c>
      <c r="S83" s="6">
        <v>11</v>
      </c>
      <c r="T83" s="6">
        <v>0</v>
      </c>
      <c r="U83" s="6">
        <v>0</v>
      </c>
      <c r="V83" s="52">
        <f>IF(ISERROR(VLOOKUP($S$83,'TAR FIN'!$A$1:$O$103,15,0)),0,VLOOKUP($S$83,'TAR FIN'!$A$1:$O$103,15,0))*(1-0.04)</f>
        <v>18.1632</v>
      </c>
      <c r="W83" s="52">
        <f>IF(ISERROR(VLOOKUP($T$83,'TAR FIN'!$A$1:$O$103,15,0)),0,VLOOKUP($T$83,'TAR FIN'!$A$1:$O$103,15,0))</f>
        <v>0</v>
      </c>
      <c r="X83" s="52">
        <f>IF(ISERROR(VLOOKUP($U$83,'TAR FIN'!$A$1:$O$103,15,0)),0,VLOOKUP($U$83,'TAR FIN'!$A$1:$O$103,15,0))</f>
        <v>0</v>
      </c>
      <c r="Y83" s="52">
        <f ca="1">('TUSD BE'!$AM$10+'TUSD BF'!$AM$10+'TUSD CVA'!$AM$10)*1*(1-0.02)</f>
        <v>20.941951853111981</v>
      </c>
      <c r="Z83" s="52"/>
      <c r="AA83" s="52"/>
      <c r="AB83" s="6">
        <f>$K$83*$V$83</f>
        <v>744.69119999999998</v>
      </c>
      <c r="AC83" s="6">
        <f>$M$83*$W$83</f>
        <v>0</v>
      </c>
      <c r="AD83" s="6">
        <f>$O$83*$X$83</f>
        <v>0</v>
      </c>
      <c r="AE83" s="6">
        <f ca="1">$K$83*$Y$83</f>
        <v>858.62002597759124</v>
      </c>
      <c r="AF83" s="6">
        <f>$M$83*$Z$83</f>
        <v>0</v>
      </c>
      <c r="AG83" s="6">
        <f>$O$83*$AA$83</f>
        <v>0</v>
      </c>
    </row>
    <row r="84" spans="1:33" ht="11.25" customHeight="1" x14ac:dyDescent="0.3">
      <c r="A84" s="4" t="s">
        <v>21</v>
      </c>
      <c r="B84" s="4" t="s">
        <v>39</v>
      </c>
      <c r="C84" s="4" t="s">
        <v>42</v>
      </c>
      <c r="D84" s="4" t="s">
        <v>41</v>
      </c>
      <c r="E84" s="4" t="s">
        <v>25</v>
      </c>
      <c r="F84" s="4" t="s">
        <v>25</v>
      </c>
      <c r="G84" s="4" t="s">
        <v>25</v>
      </c>
      <c r="H84" s="4" t="s">
        <v>35</v>
      </c>
      <c r="I84" s="5">
        <v>44501</v>
      </c>
      <c r="J84" s="6">
        <v>73</v>
      </c>
      <c r="K84" s="6">
        <v>73</v>
      </c>
      <c r="L84" s="6">
        <v>40.456000000000003</v>
      </c>
      <c r="M84" s="6">
        <v>40.456000000000003</v>
      </c>
      <c r="N84" s="6">
        <v>40.456000000000003</v>
      </c>
      <c r="O84" s="6">
        <v>40.456000000000003</v>
      </c>
      <c r="P84" s="6">
        <v>0</v>
      </c>
      <c r="Q84" s="4" t="s">
        <v>26</v>
      </c>
      <c r="R84" s="4">
        <v>0</v>
      </c>
      <c r="S84" s="6">
        <v>5</v>
      </c>
      <c r="T84" s="6">
        <v>8</v>
      </c>
      <c r="U84" s="6">
        <v>66</v>
      </c>
      <c r="V84" s="6">
        <f>IF(ISERROR(VLOOKUP($S$84,'TAR FIN'!$A$1:$O$103,15,0)),0,VLOOKUP($S$84,'TAR FIN'!$A$1:$O$103,15,0))</f>
        <v>18.920000000000002</v>
      </c>
      <c r="W84" s="6">
        <f>IF(ISERROR(VLOOKUP($T$84,'TAR FIN'!$A$1:$O$103,15,0)),0,VLOOKUP($T$84,'TAR FIN'!$A$1:$O$103,15,0))</f>
        <v>84.99</v>
      </c>
      <c r="X84" s="6">
        <f>IF(ISERROR(VLOOKUP($U$84,'TAR FIN'!$A$1:$O$103,15,0)),0,VLOOKUP($U$84,'TAR FIN'!$A$1:$O$103,15,0))</f>
        <v>242.77</v>
      </c>
      <c r="Y84" s="6">
        <f ca="1">('TUSD BE'!$AM$18+'TUSD BF'!$AM$18+'TUSD CVA'!$AM$18)*1</f>
        <v>21.369338625624472</v>
      </c>
      <c r="Z84" s="6">
        <f ca="1">('TUSD BE'!$AM$19+'TUSD BF'!$AM$19+'TUSD CVA'!$AM$19)*1</f>
        <v>145.72237393634796</v>
      </c>
      <c r="AA84" s="6">
        <f>('TE BE'!$AB$9+'TE BF'!$AB$9+'TE CVA'!$AB$9)*1</f>
        <v>222.39386487986414</v>
      </c>
      <c r="AB84" s="6">
        <f>$K$84*$V$84</f>
        <v>1381.16</v>
      </c>
      <c r="AC84" s="6">
        <f>$M$84*$W$84</f>
        <v>3438.3554400000003</v>
      </c>
      <c r="AD84" s="6">
        <f>$O$84*$X$84</f>
        <v>9821.5031200000012</v>
      </c>
      <c r="AE84" s="6">
        <f ca="1">$K$84*$Y$84</f>
        <v>1559.9617196705865</v>
      </c>
      <c r="AF84" s="6">
        <f ca="1">$M$84*$Z$84</f>
        <v>5895.3443599688935</v>
      </c>
      <c r="AG84" s="6">
        <f>$O$84*$AA$84</f>
        <v>8997.1661975797851</v>
      </c>
    </row>
    <row r="85" spans="1:33" ht="11.25" customHeight="1" x14ac:dyDescent="0.3">
      <c r="A85" s="4" t="s">
        <v>21</v>
      </c>
      <c r="B85" s="4" t="s">
        <v>39</v>
      </c>
      <c r="C85" s="4" t="s">
        <v>42</v>
      </c>
      <c r="D85" s="4" t="s">
        <v>41</v>
      </c>
      <c r="E85" s="4" t="s">
        <v>25</v>
      </c>
      <c r="F85" s="4" t="s">
        <v>25</v>
      </c>
      <c r="G85" s="4" t="s">
        <v>25</v>
      </c>
      <c r="H85" s="4" t="s">
        <v>35</v>
      </c>
      <c r="I85" s="5">
        <v>44531</v>
      </c>
      <c r="J85" s="6">
        <v>73</v>
      </c>
      <c r="K85" s="6">
        <v>73</v>
      </c>
      <c r="L85" s="6">
        <v>41.588000000000001</v>
      </c>
      <c r="M85" s="6">
        <v>41.588000000000001</v>
      </c>
      <c r="N85" s="6">
        <v>41.588000000000001</v>
      </c>
      <c r="O85" s="6">
        <v>41.588000000000001</v>
      </c>
      <c r="P85" s="6">
        <v>0</v>
      </c>
      <c r="Q85" s="4" t="s">
        <v>26</v>
      </c>
      <c r="R85" s="4">
        <v>0</v>
      </c>
      <c r="S85" s="6">
        <v>5</v>
      </c>
      <c r="T85" s="6">
        <v>8</v>
      </c>
      <c r="U85" s="6">
        <v>66</v>
      </c>
      <c r="V85" s="6">
        <f>IF(ISERROR(VLOOKUP($S$85,'TAR FIN'!$A$1:$O$103,15,0)),0,VLOOKUP($S$85,'TAR FIN'!$A$1:$O$103,15,0))</f>
        <v>18.920000000000002</v>
      </c>
      <c r="W85" s="6">
        <f>IF(ISERROR(VLOOKUP($T$85,'TAR FIN'!$A$1:$O$103,15,0)),0,VLOOKUP($T$85,'TAR FIN'!$A$1:$O$103,15,0))</f>
        <v>84.99</v>
      </c>
      <c r="X85" s="6">
        <f>IF(ISERROR(VLOOKUP($U$85,'TAR FIN'!$A$1:$O$103,15,0)),0,VLOOKUP($U$85,'TAR FIN'!$A$1:$O$103,15,0))</f>
        <v>242.77</v>
      </c>
      <c r="Y85" s="6">
        <f ca="1">('TUSD BE'!$AM$18+'TUSD BF'!$AM$18+'TUSD CVA'!$AM$18)*1</f>
        <v>21.369338625624472</v>
      </c>
      <c r="Z85" s="6">
        <f ca="1">('TUSD BE'!$AM$19+'TUSD BF'!$AM$19+'TUSD CVA'!$AM$19)*1</f>
        <v>145.72237393634796</v>
      </c>
      <c r="AA85" s="6">
        <f>('TE BE'!$AB$9+'TE BF'!$AB$9+'TE CVA'!$AB$9)*1</f>
        <v>222.39386487986414</v>
      </c>
      <c r="AB85" s="6">
        <f>$K$85*$V$85</f>
        <v>1381.16</v>
      </c>
      <c r="AC85" s="6">
        <f>$M$85*$W$85</f>
        <v>3534.56412</v>
      </c>
      <c r="AD85" s="6">
        <f>$O$85*$X$85</f>
        <v>10096.31876</v>
      </c>
      <c r="AE85" s="6">
        <f ca="1">$K$85*$Y$85</f>
        <v>1559.9617196705865</v>
      </c>
      <c r="AF85" s="6">
        <f ca="1">$M$85*$Z$85</f>
        <v>6060.3020872648394</v>
      </c>
      <c r="AG85" s="6">
        <f>$O$85*$AA$85</f>
        <v>9248.9160526237902</v>
      </c>
    </row>
    <row r="86" spans="1:33" ht="11.25" customHeight="1" x14ac:dyDescent="0.3">
      <c r="A86" s="4" t="s">
        <v>21</v>
      </c>
      <c r="B86" s="4" t="s">
        <v>39</v>
      </c>
      <c r="C86" s="4" t="s">
        <v>42</v>
      </c>
      <c r="D86" s="4" t="s">
        <v>41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44562</v>
      </c>
      <c r="J86" s="6">
        <v>73</v>
      </c>
      <c r="K86" s="6">
        <v>73</v>
      </c>
      <c r="L86" s="6">
        <v>41.439</v>
      </c>
      <c r="M86" s="6">
        <v>41.439</v>
      </c>
      <c r="N86" s="6">
        <v>41.439</v>
      </c>
      <c r="O86" s="6">
        <v>41.439</v>
      </c>
      <c r="P86" s="6">
        <v>0</v>
      </c>
      <c r="Q86" s="4" t="s">
        <v>26</v>
      </c>
      <c r="R86" s="4">
        <v>0</v>
      </c>
      <c r="S86" s="6">
        <v>5</v>
      </c>
      <c r="T86" s="6">
        <v>8</v>
      </c>
      <c r="U86" s="6">
        <v>66</v>
      </c>
      <c r="V86" s="6">
        <f>IF(ISERROR(VLOOKUP($S$86,'TAR FIN'!$A$1:$O$103,15,0)),0,VLOOKUP($S$86,'TAR FIN'!$A$1:$O$103,15,0))</f>
        <v>18.920000000000002</v>
      </c>
      <c r="W86" s="6">
        <f>IF(ISERROR(VLOOKUP($T$86,'TAR FIN'!$A$1:$O$103,15,0)),0,VLOOKUP($T$86,'TAR FIN'!$A$1:$O$103,15,0))</f>
        <v>84.99</v>
      </c>
      <c r="X86" s="6">
        <f>IF(ISERROR(VLOOKUP($U$86,'TAR FIN'!$A$1:$O$103,15,0)),0,VLOOKUP($U$86,'TAR FIN'!$A$1:$O$103,15,0))</f>
        <v>242.77</v>
      </c>
      <c r="Y86" s="6">
        <f ca="1">('TUSD BE'!$AM$18+'TUSD BF'!$AM$18+'TUSD CVA'!$AM$18)*1</f>
        <v>21.369338625624472</v>
      </c>
      <c r="Z86" s="6">
        <f ca="1">('TUSD BE'!$AM$19+'TUSD BF'!$AM$19+'TUSD CVA'!$AM$19)*1</f>
        <v>145.72237393634796</v>
      </c>
      <c r="AA86" s="6">
        <f>('TE BE'!$AB$9+'TE BF'!$AB$9+'TE CVA'!$AB$9)*1</f>
        <v>222.39386487986414</v>
      </c>
      <c r="AB86" s="6">
        <f>$K$86*$V$86</f>
        <v>1381.16</v>
      </c>
      <c r="AC86" s="6">
        <f>$M$86*$W$86</f>
        <v>3521.9006099999997</v>
      </c>
      <c r="AD86" s="6">
        <f>$O$86*$X$86</f>
        <v>10060.14603</v>
      </c>
      <c r="AE86" s="6">
        <f ca="1">$K$86*$Y$86</f>
        <v>1559.9617196705865</v>
      </c>
      <c r="AF86" s="6">
        <f ca="1">$M$86*$Z$86</f>
        <v>6038.589453548323</v>
      </c>
      <c r="AG86" s="6">
        <f>$O$86*$AA$86</f>
        <v>9215.7793667566893</v>
      </c>
    </row>
    <row r="87" spans="1:33" ht="11.25" customHeight="1" x14ac:dyDescent="0.3">
      <c r="A87" s="4" t="s">
        <v>21</v>
      </c>
      <c r="B87" s="4" t="s">
        <v>39</v>
      </c>
      <c r="C87" s="4" t="s">
        <v>42</v>
      </c>
      <c r="D87" s="4" t="s">
        <v>41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44593</v>
      </c>
      <c r="J87" s="6">
        <v>71</v>
      </c>
      <c r="K87" s="6">
        <v>71</v>
      </c>
      <c r="L87" s="6">
        <v>37.423999999999999</v>
      </c>
      <c r="M87" s="6">
        <v>37.423999999999999</v>
      </c>
      <c r="N87" s="6">
        <v>37.423999999999999</v>
      </c>
      <c r="O87" s="6">
        <v>37.423999999999999</v>
      </c>
      <c r="P87" s="6">
        <v>0</v>
      </c>
      <c r="Q87" s="4" t="s">
        <v>26</v>
      </c>
      <c r="R87" s="4">
        <v>0</v>
      </c>
      <c r="S87" s="6">
        <v>5</v>
      </c>
      <c r="T87" s="6">
        <v>8</v>
      </c>
      <c r="U87" s="6">
        <v>66</v>
      </c>
      <c r="V87" s="6">
        <f>IF(ISERROR(VLOOKUP($S$87,'TAR FIN'!$A$1:$O$103,15,0)),0,VLOOKUP($S$87,'TAR FIN'!$A$1:$O$103,15,0))</f>
        <v>18.920000000000002</v>
      </c>
      <c r="W87" s="6">
        <f>IF(ISERROR(VLOOKUP($T$87,'TAR FIN'!$A$1:$O$103,15,0)),0,VLOOKUP($T$87,'TAR FIN'!$A$1:$O$103,15,0))</f>
        <v>84.99</v>
      </c>
      <c r="X87" s="6">
        <f>IF(ISERROR(VLOOKUP($U$87,'TAR FIN'!$A$1:$O$103,15,0)),0,VLOOKUP($U$87,'TAR FIN'!$A$1:$O$103,15,0))</f>
        <v>242.77</v>
      </c>
      <c r="Y87" s="6">
        <f ca="1">('TUSD BE'!$AM$18+'TUSD BF'!$AM$18+'TUSD CVA'!$AM$18)*1</f>
        <v>21.369338625624472</v>
      </c>
      <c r="Z87" s="6">
        <f ca="1">('TUSD BE'!$AM$19+'TUSD BF'!$AM$19+'TUSD CVA'!$AM$19)*1</f>
        <v>145.72237393634796</v>
      </c>
      <c r="AA87" s="6">
        <f>('TE BE'!$AB$9+'TE BF'!$AB$9+'TE CVA'!$AB$9)*1</f>
        <v>222.39386487986414</v>
      </c>
      <c r="AB87" s="6">
        <f>$K$87*$V$87</f>
        <v>1343.3200000000002</v>
      </c>
      <c r="AC87" s="6">
        <f>$M$87*$W$87</f>
        <v>3180.6657599999999</v>
      </c>
      <c r="AD87" s="6">
        <f>$O$87*$X$87</f>
        <v>9085.4244799999997</v>
      </c>
      <c r="AE87" s="6">
        <f ca="1">$K$87*$Y$87</f>
        <v>1517.2230424193376</v>
      </c>
      <c r="AF87" s="6">
        <f ca="1">$M$87*$Z$87</f>
        <v>5453.5141221938857</v>
      </c>
      <c r="AG87" s="6">
        <f>$O$87*$AA$87</f>
        <v>8322.8679992640355</v>
      </c>
    </row>
    <row r="88" spans="1:33" ht="11.25" customHeight="1" x14ac:dyDescent="0.3">
      <c r="A88" s="4" t="s">
        <v>21</v>
      </c>
      <c r="B88" s="4" t="s">
        <v>39</v>
      </c>
      <c r="C88" s="4" t="s">
        <v>42</v>
      </c>
      <c r="D88" s="4" t="s">
        <v>41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44621</v>
      </c>
      <c r="J88" s="6">
        <v>73</v>
      </c>
      <c r="K88" s="6">
        <v>73</v>
      </c>
      <c r="L88" s="6">
        <v>42.923000000000002</v>
      </c>
      <c r="M88" s="6">
        <v>42.923000000000002</v>
      </c>
      <c r="N88" s="6">
        <v>42.923000000000002</v>
      </c>
      <c r="O88" s="6">
        <v>42.923000000000002</v>
      </c>
      <c r="P88" s="6">
        <v>0</v>
      </c>
      <c r="Q88" s="4" t="s">
        <v>26</v>
      </c>
      <c r="R88" s="4">
        <v>0</v>
      </c>
      <c r="S88" s="6">
        <v>5</v>
      </c>
      <c r="T88" s="6">
        <v>8</v>
      </c>
      <c r="U88" s="6">
        <v>66</v>
      </c>
      <c r="V88" s="6">
        <f>IF(ISERROR(VLOOKUP($S$88,'TAR FIN'!$A$1:$O$103,15,0)),0,VLOOKUP($S$88,'TAR FIN'!$A$1:$O$103,15,0))</f>
        <v>18.920000000000002</v>
      </c>
      <c r="W88" s="6">
        <f>IF(ISERROR(VLOOKUP($T$88,'TAR FIN'!$A$1:$O$103,15,0)),0,VLOOKUP($T$88,'TAR FIN'!$A$1:$O$103,15,0))</f>
        <v>84.99</v>
      </c>
      <c r="X88" s="6">
        <f>IF(ISERROR(VLOOKUP($U$88,'TAR FIN'!$A$1:$O$103,15,0)),0,VLOOKUP($U$88,'TAR FIN'!$A$1:$O$103,15,0))</f>
        <v>242.77</v>
      </c>
      <c r="Y88" s="6">
        <f ca="1">('TUSD BE'!$AM$18+'TUSD BF'!$AM$18+'TUSD CVA'!$AM$18)*1</f>
        <v>21.369338625624472</v>
      </c>
      <c r="Z88" s="6">
        <f ca="1">('TUSD BE'!$AM$19+'TUSD BF'!$AM$19+'TUSD CVA'!$AM$19)*1</f>
        <v>145.72237393634796</v>
      </c>
      <c r="AA88" s="6">
        <f>('TE BE'!$AB$9+'TE BF'!$AB$9+'TE CVA'!$AB$9)*1</f>
        <v>222.39386487986414</v>
      </c>
      <c r="AB88" s="6">
        <f>$K$88*$V$88</f>
        <v>1381.16</v>
      </c>
      <c r="AC88" s="6">
        <f>$M$88*$W$88</f>
        <v>3648.0257699999997</v>
      </c>
      <c r="AD88" s="6">
        <f>$O$88*$X$88</f>
        <v>10420.416710000001</v>
      </c>
      <c r="AE88" s="6">
        <f ca="1">$K$88*$Y$88</f>
        <v>1559.9617196705865</v>
      </c>
      <c r="AF88" s="6">
        <f ca="1">$M$88*$Z$88</f>
        <v>6254.8414564698642</v>
      </c>
      <c r="AG88" s="6">
        <f>$O$88*$AA$88</f>
        <v>9545.8118622384081</v>
      </c>
    </row>
    <row r="89" spans="1:33" ht="11.25" customHeight="1" x14ac:dyDescent="0.3">
      <c r="A89" s="4" t="s">
        <v>21</v>
      </c>
      <c r="B89" s="4" t="s">
        <v>39</v>
      </c>
      <c r="C89" s="4" t="s">
        <v>42</v>
      </c>
      <c r="D89" s="4" t="s">
        <v>41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44652</v>
      </c>
      <c r="J89" s="6">
        <v>72</v>
      </c>
      <c r="K89" s="6">
        <v>72</v>
      </c>
      <c r="L89" s="6">
        <v>42.067</v>
      </c>
      <c r="M89" s="6">
        <v>42.067</v>
      </c>
      <c r="N89" s="6">
        <v>42.067</v>
      </c>
      <c r="O89" s="6">
        <v>42.067</v>
      </c>
      <c r="P89" s="6">
        <v>0</v>
      </c>
      <c r="Q89" s="4" t="s">
        <v>26</v>
      </c>
      <c r="R89" s="4">
        <v>0</v>
      </c>
      <c r="S89" s="6">
        <v>5</v>
      </c>
      <c r="T89" s="6">
        <v>8</v>
      </c>
      <c r="U89" s="6">
        <v>66</v>
      </c>
      <c r="V89" s="6">
        <f>IF(ISERROR(VLOOKUP($S$89,'TAR FIN'!$A$1:$O$103,15,0)),0,VLOOKUP($S$89,'TAR FIN'!$A$1:$O$103,15,0))</f>
        <v>18.920000000000002</v>
      </c>
      <c r="W89" s="6">
        <f>IF(ISERROR(VLOOKUP($T$89,'TAR FIN'!$A$1:$O$103,15,0)),0,VLOOKUP($T$89,'TAR FIN'!$A$1:$O$103,15,0))</f>
        <v>84.99</v>
      </c>
      <c r="X89" s="6">
        <f>IF(ISERROR(VLOOKUP($U$89,'TAR FIN'!$A$1:$O$103,15,0)),0,VLOOKUP($U$89,'TAR FIN'!$A$1:$O$103,15,0))</f>
        <v>242.77</v>
      </c>
      <c r="Y89" s="6">
        <f ca="1">('TUSD BE'!$AM$18+'TUSD BF'!$AM$18+'TUSD CVA'!$AM$18)*1</f>
        <v>21.369338625624472</v>
      </c>
      <c r="Z89" s="6">
        <f ca="1">('TUSD BE'!$AM$19+'TUSD BF'!$AM$19+'TUSD CVA'!$AM$19)*1</f>
        <v>145.72237393634796</v>
      </c>
      <c r="AA89" s="6">
        <f>('TE BE'!$AB$9+'TE BF'!$AB$9+'TE CVA'!$AB$9)*1</f>
        <v>222.39386487986414</v>
      </c>
      <c r="AB89" s="6">
        <f>$K$89*$V$89</f>
        <v>1362.2400000000002</v>
      </c>
      <c r="AC89" s="6">
        <f>$M$89*$W$89</f>
        <v>3575.2743299999997</v>
      </c>
      <c r="AD89" s="6">
        <f>$O$89*$X$89</f>
        <v>10212.605590000001</v>
      </c>
      <c r="AE89" s="6">
        <f ca="1">$K$89*$Y$89</f>
        <v>1538.5923810449619</v>
      </c>
      <c r="AF89" s="6">
        <f ca="1">$M$89*$Z$89</f>
        <v>6130.1031043803496</v>
      </c>
      <c r="AG89" s="6">
        <f>$O$89*$AA$89</f>
        <v>9355.4427139012441</v>
      </c>
    </row>
    <row r="90" spans="1:33" ht="11.25" customHeight="1" x14ac:dyDescent="0.3">
      <c r="A90" s="4" t="s">
        <v>21</v>
      </c>
      <c r="B90" s="4" t="s">
        <v>39</v>
      </c>
      <c r="C90" s="4" t="s">
        <v>42</v>
      </c>
      <c r="D90" s="4" t="s">
        <v>41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44682</v>
      </c>
      <c r="J90" s="6">
        <v>71</v>
      </c>
      <c r="K90" s="6">
        <v>71</v>
      </c>
      <c r="L90" s="6">
        <v>37.844999999999999</v>
      </c>
      <c r="M90" s="6">
        <v>37.844999999999999</v>
      </c>
      <c r="N90" s="6">
        <v>37.844999999999999</v>
      </c>
      <c r="O90" s="6">
        <v>37.844999999999999</v>
      </c>
      <c r="P90" s="6">
        <v>0</v>
      </c>
      <c r="Q90" s="4" t="s">
        <v>26</v>
      </c>
      <c r="R90" s="4">
        <v>0</v>
      </c>
      <c r="S90" s="6">
        <v>5</v>
      </c>
      <c r="T90" s="6">
        <v>8</v>
      </c>
      <c r="U90" s="6">
        <v>66</v>
      </c>
      <c r="V90" s="6">
        <f>IF(ISERROR(VLOOKUP($S$90,'TAR FIN'!$A$1:$O$103,15,0)),0,VLOOKUP($S$90,'TAR FIN'!$A$1:$O$103,15,0))</f>
        <v>18.920000000000002</v>
      </c>
      <c r="W90" s="6">
        <f>IF(ISERROR(VLOOKUP($T$90,'TAR FIN'!$A$1:$O$103,15,0)),0,VLOOKUP($T$90,'TAR FIN'!$A$1:$O$103,15,0))</f>
        <v>84.99</v>
      </c>
      <c r="X90" s="6">
        <f>IF(ISERROR(VLOOKUP($U$90,'TAR FIN'!$A$1:$O$103,15,0)),0,VLOOKUP($U$90,'TAR FIN'!$A$1:$O$103,15,0))</f>
        <v>242.77</v>
      </c>
      <c r="Y90" s="6">
        <f ca="1">('TUSD BE'!$AM$18+'TUSD BF'!$AM$18+'TUSD CVA'!$AM$18)*1</f>
        <v>21.369338625624472</v>
      </c>
      <c r="Z90" s="6">
        <f ca="1">('TUSD BE'!$AM$19+'TUSD BF'!$AM$19+'TUSD CVA'!$AM$19)*1</f>
        <v>145.72237393634796</v>
      </c>
      <c r="AA90" s="6">
        <f>('TE BE'!$AB$9+'TE BF'!$AB$9+'TE CVA'!$AB$9)*1</f>
        <v>222.39386487986414</v>
      </c>
      <c r="AB90" s="6">
        <f>$K$90*$V$90</f>
        <v>1343.3200000000002</v>
      </c>
      <c r="AC90" s="6">
        <f>$M$90*$W$90</f>
        <v>3216.4465499999997</v>
      </c>
      <c r="AD90" s="6">
        <f>$O$90*$X$90</f>
        <v>9187.630650000001</v>
      </c>
      <c r="AE90" s="6">
        <f ca="1">$K$90*$Y$90</f>
        <v>1517.2230424193376</v>
      </c>
      <c r="AF90" s="6">
        <f ca="1">$M$90*$Z$90</f>
        <v>5514.8632416210885</v>
      </c>
      <c r="AG90" s="6">
        <f>$O$90*$AA$90</f>
        <v>8416.4958163784577</v>
      </c>
    </row>
    <row r="91" spans="1:33" ht="11.25" customHeight="1" x14ac:dyDescent="0.3">
      <c r="A91" s="4" t="s">
        <v>21</v>
      </c>
      <c r="B91" s="4" t="s">
        <v>39</v>
      </c>
      <c r="C91" s="4" t="s">
        <v>42</v>
      </c>
      <c r="D91" s="4" t="s">
        <v>41</v>
      </c>
      <c r="E91" s="4" t="s">
        <v>25</v>
      </c>
      <c r="F91" s="4" t="s">
        <v>25</v>
      </c>
      <c r="G91" s="4" t="s">
        <v>25</v>
      </c>
      <c r="H91" s="4" t="s">
        <v>35</v>
      </c>
      <c r="I91" s="5">
        <v>44713</v>
      </c>
      <c r="J91" s="6">
        <v>69</v>
      </c>
      <c r="K91" s="6">
        <v>69</v>
      </c>
      <c r="L91" s="6">
        <v>31.007000000000001</v>
      </c>
      <c r="M91" s="6">
        <v>31.007000000000001</v>
      </c>
      <c r="N91" s="6">
        <v>31.007000000000001</v>
      </c>
      <c r="O91" s="6">
        <v>31.007000000000001</v>
      </c>
      <c r="P91" s="6">
        <v>0</v>
      </c>
      <c r="Q91" s="4" t="s">
        <v>26</v>
      </c>
      <c r="R91" s="4">
        <v>0</v>
      </c>
      <c r="S91" s="6">
        <v>5</v>
      </c>
      <c r="T91" s="6">
        <v>8</v>
      </c>
      <c r="U91" s="6">
        <v>66</v>
      </c>
      <c r="V91" s="6">
        <f>IF(ISERROR(VLOOKUP($S$91,'TAR FIN'!$A$1:$O$103,15,0)),0,VLOOKUP($S$91,'TAR FIN'!$A$1:$O$103,15,0))</f>
        <v>18.920000000000002</v>
      </c>
      <c r="W91" s="6">
        <f>IF(ISERROR(VLOOKUP($T$91,'TAR FIN'!$A$1:$O$103,15,0)),0,VLOOKUP($T$91,'TAR FIN'!$A$1:$O$103,15,0))</f>
        <v>84.99</v>
      </c>
      <c r="X91" s="6">
        <f>IF(ISERROR(VLOOKUP($U$91,'TAR FIN'!$A$1:$O$103,15,0)),0,VLOOKUP($U$91,'TAR FIN'!$A$1:$O$103,15,0))</f>
        <v>242.77</v>
      </c>
      <c r="Y91" s="6">
        <f ca="1">('TUSD BE'!$AM$18+'TUSD BF'!$AM$18+'TUSD CVA'!$AM$18)*1</f>
        <v>21.369338625624472</v>
      </c>
      <c r="Z91" s="6">
        <f ca="1">('TUSD BE'!$AM$19+'TUSD BF'!$AM$19+'TUSD CVA'!$AM$19)*1</f>
        <v>145.72237393634796</v>
      </c>
      <c r="AA91" s="6">
        <f>('TE BE'!$AB$9+'TE BF'!$AB$9+'TE CVA'!$AB$9)*1</f>
        <v>222.39386487986414</v>
      </c>
      <c r="AB91" s="6">
        <f>$K$91*$V$91</f>
        <v>1305.48</v>
      </c>
      <c r="AC91" s="6">
        <f>$M$91*$W$91</f>
        <v>2635.2849299999998</v>
      </c>
      <c r="AD91" s="6">
        <f>$O$91*$X$91</f>
        <v>7527.5693900000006</v>
      </c>
      <c r="AE91" s="6">
        <f ca="1">$K$91*$Y$91</f>
        <v>1474.4843651680885</v>
      </c>
      <c r="AF91" s="6">
        <f ca="1">$M$91*$Z$91</f>
        <v>4518.4136486443413</v>
      </c>
      <c r="AG91" s="6">
        <f>$O$91*$AA$91</f>
        <v>6895.7665683299474</v>
      </c>
    </row>
    <row r="92" spans="1:33" ht="11.25" customHeight="1" x14ac:dyDescent="0.3">
      <c r="A92" s="4" t="s">
        <v>21</v>
      </c>
      <c r="B92" s="4" t="s">
        <v>39</v>
      </c>
      <c r="C92" s="4" t="s">
        <v>42</v>
      </c>
      <c r="D92" s="4" t="s">
        <v>41</v>
      </c>
      <c r="E92" s="4" t="s">
        <v>25</v>
      </c>
      <c r="F92" s="4" t="s">
        <v>25</v>
      </c>
      <c r="G92" s="4" t="s">
        <v>25</v>
      </c>
      <c r="H92" s="4" t="s">
        <v>35</v>
      </c>
      <c r="I92" s="5">
        <v>44743</v>
      </c>
      <c r="J92" s="6">
        <v>69</v>
      </c>
      <c r="K92" s="6">
        <v>69</v>
      </c>
      <c r="L92" s="6">
        <v>33.862000000000002</v>
      </c>
      <c r="M92" s="6">
        <v>33.862000000000002</v>
      </c>
      <c r="N92" s="6">
        <v>33.862000000000002</v>
      </c>
      <c r="O92" s="6">
        <v>33.862000000000002</v>
      </c>
      <c r="P92" s="6">
        <v>0</v>
      </c>
      <c r="Q92" s="4" t="s">
        <v>26</v>
      </c>
      <c r="R92" s="4">
        <v>0</v>
      </c>
      <c r="S92" s="6">
        <v>5</v>
      </c>
      <c r="T92" s="6">
        <v>8</v>
      </c>
      <c r="U92" s="6">
        <v>66</v>
      </c>
      <c r="V92" s="6">
        <f>IF(ISERROR(VLOOKUP($S$92,'TAR FIN'!$A$1:$O$103,15,0)),0,VLOOKUP($S$92,'TAR FIN'!$A$1:$O$103,15,0))</f>
        <v>18.920000000000002</v>
      </c>
      <c r="W92" s="6">
        <f>IF(ISERROR(VLOOKUP($T$92,'TAR FIN'!$A$1:$O$103,15,0)),0,VLOOKUP($T$92,'TAR FIN'!$A$1:$O$103,15,0))</f>
        <v>84.99</v>
      </c>
      <c r="X92" s="6">
        <f>IF(ISERROR(VLOOKUP($U$92,'TAR FIN'!$A$1:$O$103,15,0)),0,VLOOKUP($U$92,'TAR FIN'!$A$1:$O$103,15,0))</f>
        <v>242.77</v>
      </c>
      <c r="Y92" s="6">
        <f ca="1">('TUSD BE'!$AM$18+'TUSD BF'!$AM$18+'TUSD CVA'!$AM$18)*1</f>
        <v>21.369338625624472</v>
      </c>
      <c r="Z92" s="6">
        <f ca="1">('TUSD BE'!$AM$19+'TUSD BF'!$AM$19+'TUSD CVA'!$AM$19)*1</f>
        <v>145.72237393634796</v>
      </c>
      <c r="AA92" s="6">
        <f>('TE BE'!$AB$9+'TE BF'!$AB$9+'TE CVA'!$AB$9)*1</f>
        <v>222.39386487986414</v>
      </c>
      <c r="AB92" s="6">
        <f>$K$92*$V$92</f>
        <v>1305.48</v>
      </c>
      <c r="AC92" s="6">
        <f>$M$92*$W$92</f>
        <v>2877.93138</v>
      </c>
      <c r="AD92" s="6">
        <f>$O$92*$X$92</f>
        <v>8220.677740000001</v>
      </c>
      <c r="AE92" s="6">
        <f ca="1">$K$92*$Y$92</f>
        <v>1474.4843651680885</v>
      </c>
      <c r="AF92" s="6">
        <f ca="1">$M$92*$Z$92</f>
        <v>4934.4510262326148</v>
      </c>
      <c r="AG92" s="6">
        <f>$O$92*$AA$92</f>
        <v>7530.7010525619598</v>
      </c>
    </row>
    <row r="93" spans="1:33" ht="11.25" customHeight="1" x14ac:dyDescent="0.3">
      <c r="A93" s="4" t="s">
        <v>21</v>
      </c>
      <c r="B93" s="4" t="s">
        <v>39</v>
      </c>
      <c r="C93" s="4" t="s">
        <v>42</v>
      </c>
      <c r="D93" s="4" t="s">
        <v>41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44774</v>
      </c>
      <c r="J93" s="6">
        <v>71</v>
      </c>
      <c r="K93" s="6">
        <v>71</v>
      </c>
      <c r="L93" s="6">
        <v>39.929000000000002</v>
      </c>
      <c r="M93" s="6">
        <v>39.929000000000002</v>
      </c>
      <c r="N93" s="6">
        <v>39.929000000000002</v>
      </c>
      <c r="O93" s="6">
        <v>39.929000000000002</v>
      </c>
      <c r="P93" s="6">
        <v>0</v>
      </c>
      <c r="Q93" s="4" t="s">
        <v>26</v>
      </c>
      <c r="R93" s="4">
        <v>0</v>
      </c>
      <c r="S93" s="6">
        <v>5</v>
      </c>
      <c r="T93" s="6">
        <v>8</v>
      </c>
      <c r="U93" s="6">
        <v>66</v>
      </c>
      <c r="V93" s="6">
        <f>IF(ISERROR(VLOOKUP($S$93,'TAR FIN'!$A$1:$O$103,15,0)),0,VLOOKUP($S$93,'TAR FIN'!$A$1:$O$103,15,0))</f>
        <v>18.920000000000002</v>
      </c>
      <c r="W93" s="6">
        <f>IF(ISERROR(VLOOKUP($T$93,'TAR FIN'!$A$1:$O$103,15,0)),0,VLOOKUP($T$93,'TAR FIN'!$A$1:$O$103,15,0))</f>
        <v>84.99</v>
      </c>
      <c r="X93" s="6">
        <f>IF(ISERROR(VLOOKUP($U$93,'TAR FIN'!$A$1:$O$103,15,0)),0,VLOOKUP($U$93,'TAR FIN'!$A$1:$O$103,15,0))</f>
        <v>242.77</v>
      </c>
      <c r="Y93" s="6">
        <f ca="1">('TUSD BE'!$AM$18+'TUSD BF'!$AM$18+'TUSD CVA'!$AM$18)*1</f>
        <v>21.369338625624472</v>
      </c>
      <c r="Z93" s="6">
        <f ca="1">('TUSD BE'!$AM$19+'TUSD BF'!$AM$19+'TUSD CVA'!$AM$19)*1</f>
        <v>145.72237393634796</v>
      </c>
      <c r="AA93" s="6">
        <f>('TE BE'!$AB$9+'TE BF'!$AB$9+'TE CVA'!$AB$9)*1</f>
        <v>222.39386487986414</v>
      </c>
      <c r="AB93" s="6">
        <f>$K$93*$V$93</f>
        <v>1343.3200000000002</v>
      </c>
      <c r="AC93" s="6">
        <f>$M$93*$W$93</f>
        <v>3393.5657099999999</v>
      </c>
      <c r="AD93" s="6">
        <f>$O$93*$X$93</f>
        <v>9693.5633300000009</v>
      </c>
      <c r="AE93" s="6">
        <f ca="1">$K$93*$Y$93</f>
        <v>1517.2230424193376</v>
      </c>
      <c r="AF93" s="6">
        <f ca="1">$M$93*$Z$93</f>
        <v>5818.5486689044383</v>
      </c>
      <c r="AG93" s="6">
        <f>$O$93*$AA$93</f>
        <v>8879.9646307880957</v>
      </c>
    </row>
    <row r="94" spans="1:33" ht="11.25" customHeight="1" x14ac:dyDescent="0.3">
      <c r="A94" s="4" t="s">
        <v>21</v>
      </c>
      <c r="B94" s="4" t="s">
        <v>39</v>
      </c>
      <c r="C94" s="4" t="s">
        <v>42</v>
      </c>
      <c r="D94" s="4" t="s">
        <v>41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44805</v>
      </c>
      <c r="J94" s="6">
        <v>71</v>
      </c>
      <c r="K94" s="6">
        <v>71</v>
      </c>
      <c r="L94" s="6">
        <v>37.898000000000003</v>
      </c>
      <c r="M94" s="6">
        <v>37.898000000000003</v>
      </c>
      <c r="N94" s="6">
        <v>37.898000000000003</v>
      </c>
      <c r="O94" s="6">
        <v>37.898000000000003</v>
      </c>
      <c r="P94" s="6">
        <v>0</v>
      </c>
      <c r="Q94" s="4" t="s">
        <v>26</v>
      </c>
      <c r="R94" s="4">
        <v>0</v>
      </c>
      <c r="S94" s="6">
        <v>5</v>
      </c>
      <c r="T94" s="6">
        <v>8</v>
      </c>
      <c r="U94" s="6">
        <v>66</v>
      </c>
      <c r="V94" s="6">
        <f>IF(ISERROR(VLOOKUP($S$94,'TAR FIN'!$A$1:$O$103,15,0)),0,VLOOKUP($S$94,'TAR FIN'!$A$1:$O$103,15,0))</f>
        <v>18.920000000000002</v>
      </c>
      <c r="W94" s="6">
        <f>IF(ISERROR(VLOOKUP($T$94,'TAR FIN'!$A$1:$O$103,15,0)),0,VLOOKUP($T$94,'TAR FIN'!$A$1:$O$103,15,0))</f>
        <v>84.99</v>
      </c>
      <c r="X94" s="6">
        <f>IF(ISERROR(VLOOKUP($U$94,'TAR FIN'!$A$1:$O$103,15,0)),0,VLOOKUP($U$94,'TAR FIN'!$A$1:$O$103,15,0))</f>
        <v>242.77</v>
      </c>
      <c r="Y94" s="6">
        <f ca="1">('TUSD BE'!$AM$18+'TUSD BF'!$AM$18+'TUSD CVA'!$AM$18)*1</f>
        <v>21.369338625624472</v>
      </c>
      <c r="Z94" s="6">
        <f ca="1">('TUSD BE'!$AM$19+'TUSD BF'!$AM$19+'TUSD CVA'!$AM$19)*1</f>
        <v>145.72237393634796</v>
      </c>
      <c r="AA94" s="6">
        <f>('TE BE'!$AB$9+'TE BF'!$AB$9+'TE CVA'!$AB$9)*1</f>
        <v>222.39386487986414</v>
      </c>
      <c r="AB94" s="6">
        <f>$K$94*$V$94</f>
        <v>1343.3200000000002</v>
      </c>
      <c r="AC94" s="6">
        <f>$M$94*$W$94</f>
        <v>3220.95102</v>
      </c>
      <c r="AD94" s="6">
        <f>$O$94*$X$94</f>
        <v>9200.4974600000005</v>
      </c>
      <c r="AE94" s="6">
        <f ca="1">$K$94*$Y$94</f>
        <v>1517.2230424193376</v>
      </c>
      <c r="AF94" s="6">
        <f ca="1">$M$94*$Z$94</f>
        <v>5522.5865274397156</v>
      </c>
      <c r="AG94" s="6">
        <f>$O$94*$AA$94</f>
        <v>8428.2826912170913</v>
      </c>
    </row>
    <row r="95" spans="1:33" ht="11.25" customHeight="1" x14ac:dyDescent="0.3">
      <c r="A95" s="4" t="s">
        <v>57</v>
      </c>
      <c r="B95" s="4" t="s">
        <v>39</v>
      </c>
      <c r="C95" s="4" t="s">
        <v>42</v>
      </c>
      <c r="D95" s="4" t="s">
        <v>41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44835</v>
      </c>
      <c r="J95" s="6">
        <v>71</v>
      </c>
      <c r="K95" s="6">
        <v>71</v>
      </c>
      <c r="L95" s="6">
        <v>37.898000000000003</v>
      </c>
      <c r="M95" s="6">
        <v>37.898000000000003</v>
      </c>
      <c r="N95" s="6">
        <v>37.898000000000003</v>
      </c>
      <c r="O95" s="6">
        <v>37.898000000000003</v>
      </c>
      <c r="P95" s="6">
        <v>0</v>
      </c>
      <c r="Q95" s="4" t="s">
        <v>26</v>
      </c>
      <c r="R95" s="4">
        <v>0</v>
      </c>
      <c r="S95" s="6">
        <v>5</v>
      </c>
      <c r="T95" s="6">
        <v>8</v>
      </c>
      <c r="U95" s="6">
        <v>66</v>
      </c>
      <c r="V95" s="6">
        <f>IF(ISERROR(VLOOKUP($S$95,'TAR FIN'!$A$1:$O$103,15,0)),0,VLOOKUP($S$95,'TAR FIN'!$A$1:$O$103,15,0))</f>
        <v>18.920000000000002</v>
      </c>
      <c r="W95" s="6">
        <f>IF(ISERROR(VLOOKUP($T$95,'TAR FIN'!$A$1:$O$103,15,0)),0,VLOOKUP($T$95,'TAR FIN'!$A$1:$O$103,15,0))</f>
        <v>84.99</v>
      </c>
      <c r="X95" s="6">
        <f>IF(ISERROR(VLOOKUP($U$95,'TAR FIN'!$A$1:$O$103,15,0)),0,VLOOKUP($U$95,'TAR FIN'!$A$1:$O$103,15,0))</f>
        <v>242.77</v>
      </c>
      <c r="Y95" s="6">
        <f ca="1">('TUSD BE'!$AM$18+'TUSD BF'!$AM$18+'TUSD CVA'!$AM$18)*1</f>
        <v>21.369338625624472</v>
      </c>
      <c r="Z95" s="6">
        <f ca="1">('TUSD BE'!$AM$19+'TUSD BF'!$AM$19+'TUSD CVA'!$AM$19)*1</f>
        <v>145.72237393634796</v>
      </c>
      <c r="AA95" s="6">
        <f>('TE BE'!$AB$9+'TE BF'!$AB$9+'TE CVA'!$AB$9)*1</f>
        <v>222.39386487986414</v>
      </c>
      <c r="AB95" s="6">
        <f>$K$95*$V$95</f>
        <v>1343.3200000000002</v>
      </c>
      <c r="AC95" s="6">
        <f>$M$95*$W$95</f>
        <v>3220.95102</v>
      </c>
      <c r="AD95" s="6">
        <f>$O$95*$X$95</f>
        <v>9200.4974600000005</v>
      </c>
      <c r="AE95" s="6">
        <f ca="1">$K$95*$Y$95</f>
        <v>1517.2230424193376</v>
      </c>
      <c r="AF95" s="6">
        <f ca="1">$M$95*$Z$95</f>
        <v>5522.5865274397156</v>
      </c>
      <c r="AG95" s="6">
        <f>$O$95*$AA$95</f>
        <v>8428.2826912170913</v>
      </c>
    </row>
    <row r="96" spans="1:33" ht="11.25" customHeight="1" x14ac:dyDescent="0.3">
      <c r="A96" s="4" t="s">
        <v>21</v>
      </c>
      <c r="B96" s="4" t="s">
        <v>39</v>
      </c>
      <c r="C96" s="4" t="s">
        <v>42</v>
      </c>
      <c r="D96" s="4" t="s">
        <v>41</v>
      </c>
      <c r="E96" s="4" t="s">
        <v>25</v>
      </c>
      <c r="F96" s="4" t="s">
        <v>25</v>
      </c>
      <c r="G96" s="4" t="s">
        <v>25</v>
      </c>
      <c r="H96" s="4" t="s">
        <v>34</v>
      </c>
      <c r="I96" s="5">
        <v>44501</v>
      </c>
      <c r="J96" s="6">
        <v>69</v>
      </c>
      <c r="K96" s="6">
        <v>69</v>
      </c>
      <c r="L96" s="6">
        <v>3.7280000000000002</v>
      </c>
      <c r="M96" s="6">
        <v>3.7280000000000002</v>
      </c>
      <c r="N96" s="6">
        <v>3.7280000000000002</v>
      </c>
      <c r="O96" s="6">
        <v>3.7280000000000002</v>
      </c>
      <c r="P96" s="6">
        <v>0</v>
      </c>
      <c r="Q96" s="4" t="s">
        <v>26</v>
      </c>
      <c r="R96" s="4">
        <v>0</v>
      </c>
      <c r="S96" s="6">
        <v>4</v>
      </c>
      <c r="T96" s="6">
        <v>8</v>
      </c>
      <c r="U96" s="6">
        <v>65</v>
      </c>
      <c r="V96" s="6">
        <f>IF(ISERROR(VLOOKUP($S$96,'TAR FIN'!$A$1:$O$103,15,0)),0,VLOOKUP($S$96,'TAR FIN'!$A$1:$O$103,15,0))</f>
        <v>45.73</v>
      </c>
      <c r="W96" s="6">
        <f>IF(ISERROR(VLOOKUP($T$96,'TAR FIN'!$A$1:$O$103,15,0)),0,VLOOKUP($T$96,'TAR FIN'!$A$1:$O$103,15,0))</f>
        <v>84.99</v>
      </c>
      <c r="X96" s="6">
        <f>IF(ISERROR(VLOOKUP($U$96,'TAR FIN'!$A$1:$O$103,15,0)),0,VLOOKUP($U$96,'TAR FIN'!$A$1:$O$103,15,0))</f>
        <v>391.54</v>
      </c>
      <c r="Y96" s="6">
        <f ca="1">('TUSD BE'!$AM$17+'TUSD BF'!$AM$17+'TUSD CVA'!$AM$17)*1</f>
        <v>51.039453840016805</v>
      </c>
      <c r="Z96" s="6">
        <f ca="1">('TUSD BE'!$AM$19+'TUSD BF'!$AM$19+'TUSD CVA'!$AM$19)*1</f>
        <v>145.72237393634796</v>
      </c>
      <c r="AA96" s="6">
        <f>('TE BE'!$AB$8+'TE BF'!$AB$8+'TE CVA'!$AB$8)*1</f>
        <v>361.95264704220779</v>
      </c>
      <c r="AB96" s="6">
        <f>$K$96*$V$96</f>
        <v>3155.37</v>
      </c>
      <c r="AC96" s="6">
        <f>$M$96*$W$96</f>
        <v>316.84271999999999</v>
      </c>
      <c r="AD96" s="6">
        <f>$O$96*$X$96</f>
        <v>1459.6611200000002</v>
      </c>
      <c r="AE96" s="6">
        <f ca="1">$K$96*$Y$96</f>
        <v>3521.7223149611596</v>
      </c>
      <c r="AF96" s="6">
        <f ca="1">$M$96*$Z$96</f>
        <v>543.2530100347052</v>
      </c>
      <c r="AG96" s="6">
        <f>$O$96*$AA$96</f>
        <v>1349.3594681733507</v>
      </c>
    </row>
    <row r="97" spans="1:33" ht="11.25" customHeight="1" x14ac:dyDescent="0.3">
      <c r="A97" s="4" t="s">
        <v>21</v>
      </c>
      <c r="B97" s="4" t="s">
        <v>39</v>
      </c>
      <c r="C97" s="4" t="s">
        <v>42</v>
      </c>
      <c r="D97" s="4" t="s">
        <v>41</v>
      </c>
      <c r="E97" s="4" t="s">
        <v>25</v>
      </c>
      <c r="F97" s="4" t="s">
        <v>25</v>
      </c>
      <c r="G97" s="4" t="s">
        <v>25</v>
      </c>
      <c r="H97" s="4" t="s">
        <v>34</v>
      </c>
      <c r="I97" s="5">
        <v>44531</v>
      </c>
      <c r="J97" s="6">
        <v>69</v>
      </c>
      <c r="K97" s="6">
        <v>69</v>
      </c>
      <c r="L97" s="6">
        <v>4.2489999999999997</v>
      </c>
      <c r="M97" s="6">
        <v>4.2489999999999997</v>
      </c>
      <c r="N97" s="6">
        <v>4.2489999999999997</v>
      </c>
      <c r="O97" s="6">
        <v>4.2489999999999997</v>
      </c>
      <c r="P97" s="6">
        <v>0</v>
      </c>
      <c r="Q97" s="4" t="s">
        <v>26</v>
      </c>
      <c r="R97" s="4">
        <v>0</v>
      </c>
      <c r="S97" s="6">
        <v>4</v>
      </c>
      <c r="T97" s="6">
        <v>8</v>
      </c>
      <c r="U97" s="6">
        <v>65</v>
      </c>
      <c r="V97" s="6">
        <f>IF(ISERROR(VLOOKUP($S$97,'TAR FIN'!$A$1:$O$103,15,0)),0,VLOOKUP($S$97,'TAR FIN'!$A$1:$O$103,15,0))</f>
        <v>45.73</v>
      </c>
      <c r="W97" s="6">
        <f>IF(ISERROR(VLOOKUP($T$97,'TAR FIN'!$A$1:$O$103,15,0)),0,VLOOKUP($T$97,'TAR FIN'!$A$1:$O$103,15,0))</f>
        <v>84.99</v>
      </c>
      <c r="X97" s="6">
        <f>IF(ISERROR(VLOOKUP($U$97,'TAR FIN'!$A$1:$O$103,15,0)),0,VLOOKUP($U$97,'TAR FIN'!$A$1:$O$103,15,0))</f>
        <v>391.54</v>
      </c>
      <c r="Y97" s="6">
        <f ca="1">('TUSD BE'!$AM$17+'TUSD BF'!$AM$17+'TUSD CVA'!$AM$17)*1</f>
        <v>51.039453840016805</v>
      </c>
      <c r="Z97" s="6">
        <f ca="1">('TUSD BE'!$AM$19+'TUSD BF'!$AM$19+'TUSD CVA'!$AM$19)*1</f>
        <v>145.72237393634796</v>
      </c>
      <c r="AA97" s="6">
        <f>('TE BE'!$AB$8+'TE BF'!$AB$8+'TE CVA'!$AB$8)*1</f>
        <v>361.95264704220779</v>
      </c>
      <c r="AB97" s="6">
        <f>$K$97*$V$97</f>
        <v>3155.37</v>
      </c>
      <c r="AC97" s="6">
        <f>$M$97*$W$97</f>
        <v>361.12250999999998</v>
      </c>
      <c r="AD97" s="6">
        <f>$O$97*$X$97</f>
        <v>1663.65346</v>
      </c>
      <c r="AE97" s="6">
        <f ca="1">$K$97*$Y$97</f>
        <v>3521.7223149611596</v>
      </c>
      <c r="AF97" s="6">
        <f ca="1">$M$97*$Z$97</f>
        <v>619.17436685554242</v>
      </c>
      <c r="AG97" s="6">
        <f>$O$97*$AA$97</f>
        <v>1537.9367972823409</v>
      </c>
    </row>
    <row r="98" spans="1:33" ht="11.25" customHeight="1" x14ac:dyDescent="0.3">
      <c r="A98" s="4" t="s">
        <v>21</v>
      </c>
      <c r="B98" s="4" t="s">
        <v>39</v>
      </c>
      <c r="C98" s="4" t="s">
        <v>42</v>
      </c>
      <c r="D98" s="4" t="s">
        <v>41</v>
      </c>
      <c r="E98" s="4" t="s">
        <v>25</v>
      </c>
      <c r="F98" s="4" t="s">
        <v>25</v>
      </c>
      <c r="G98" s="4" t="s">
        <v>25</v>
      </c>
      <c r="H98" s="4" t="s">
        <v>34</v>
      </c>
      <c r="I98" s="5">
        <v>44562</v>
      </c>
      <c r="J98" s="6">
        <v>71</v>
      </c>
      <c r="K98" s="6">
        <v>71</v>
      </c>
      <c r="L98" s="6">
        <v>3.9460000000000002</v>
      </c>
      <c r="M98" s="6">
        <v>3.9460000000000002</v>
      </c>
      <c r="N98" s="6">
        <v>3.9460000000000002</v>
      </c>
      <c r="O98" s="6">
        <v>3.9460000000000002</v>
      </c>
      <c r="P98" s="6">
        <v>0</v>
      </c>
      <c r="Q98" s="4" t="s">
        <v>26</v>
      </c>
      <c r="R98" s="4">
        <v>0</v>
      </c>
      <c r="S98" s="6">
        <v>4</v>
      </c>
      <c r="T98" s="6">
        <v>8</v>
      </c>
      <c r="U98" s="6">
        <v>65</v>
      </c>
      <c r="V98" s="6">
        <f>IF(ISERROR(VLOOKUP($S$98,'TAR FIN'!$A$1:$O$103,15,0)),0,VLOOKUP($S$98,'TAR FIN'!$A$1:$O$103,15,0))</f>
        <v>45.73</v>
      </c>
      <c r="W98" s="6">
        <f>IF(ISERROR(VLOOKUP($T$98,'TAR FIN'!$A$1:$O$103,15,0)),0,VLOOKUP($T$98,'TAR FIN'!$A$1:$O$103,15,0))</f>
        <v>84.99</v>
      </c>
      <c r="X98" s="6">
        <f>IF(ISERROR(VLOOKUP($U$98,'TAR FIN'!$A$1:$O$103,15,0)),0,VLOOKUP($U$98,'TAR FIN'!$A$1:$O$103,15,0))</f>
        <v>391.54</v>
      </c>
      <c r="Y98" s="6">
        <f ca="1">('TUSD BE'!$AM$17+'TUSD BF'!$AM$17+'TUSD CVA'!$AM$17)*1</f>
        <v>51.039453840016805</v>
      </c>
      <c r="Z98" s="6">
        <f ca="1">('TUSD BE'!$AM$19+'TUSD BF'!$AM$19+'TUSD CVA'!$AM$19)*1</f>
        <v>145.72237393634796</v>
      </c>
      <c r="AA98" s="6">
        <f>('TE BE'!$AB$8+'TE BF'!$AB$8+'TE CVA'!$AB$8)*1</f>
        <v>361.95264704220779</v>
      </c>
      <c r="AB98" s="6">
        <f>$K$98*$V$98</f>
        <v>3246.83</v>
      </c>
      <c r="AC98" s="6">
        <f>$M$98*$W$98</f>
        <v>335.37054000000001</v>
      </c>
      <c r="AD98" s="6">
        <f>$O$98*$X$98</f>
        <v>1545.0168400000002</v>
      </c>
      <c r="AE98" s="6">
        <f ca="1">$K$98*$Y$98</f>
        <v>3623.8012226411929</v>
      </c>
      <c r="AF98" s="6">
        <f ca="1">$M$98*$Z$98</f>
        <v>575.02048755282908</v>
      </c>
      <c r="AG98" s="6">
        <f>$O$98*$AA$98</f>
        <v>1428.265145228552</v>
      </c>
    </row>
    <row r="99" spans="1:33" ht="11.25" customHeight="1" x14ac:dyDescent="0.3">
      <c r="A99" s="4" t="s">
        <v>21</v>
      </c>
      <c r="B99" s="4" t="s">
        <v>39</v>
      </c>
      <c r="C99" s="4" t="s">
        <v>42</v>
      </c>
      <c r="D99" s="4" t="s">
        <v>41</v>
      </c>
      <c r="E99" s="4" t="s">
        <v>25</v>
      </c>
      <c r="F99" s="4" t="s">
        <v>25</v>
      </c>
      <c r="G99" s="4" t="s">
        <v>25</v>
      </c>
      <c r="H99" s="4" t="s">
        <v>34</v>
      </c>
      <c r="I99" s="5">
        <v>44593</v>
      </c>
      <c r="J99" s="6">
        <v>69</v>
      </c>
      <c r="K99" s="6">
        <v>69</v>
      </c>
      <c r="L99" s="6">
        <v>3.734</v>
      </c>
      <c r="M99" s="6">
        <v>3.734</v>
      </c>
      <c r="N99" s="6">
        <v>3.734</v>
      </c>
      <c r="O99" s="6">
        <v>3.734</v>
      </c>
      <c r="P99" s="6">
        <v>0</v>
      </c>
      <c r="Q99" s="4" t="s">
        <v>26</v>
      </c>
      <c r="R99" s="4">
        <v>0</v>
      </c>
      <c r="S99" s="6">
        <v>4</v>
      </c>
      <c r="T99" s="6">
        <v>8</v>
      </c>
      <c r="U99" s="6">
        <v>65</v>
      </c>
      <c r="V99" s="6">
        <f>IF(ISERROR(VLOOKUP($S$99,'TAR FIN'!$A$1:$O$103,15,0)),0,VLOOKUP($S$99,'TAR FIN'!$A$1:$O$103,15,0))</f>
        <v>45.73</v>
      </c>
      <c r="W99" s="6">
        <f>IF(ISERROR(VLOOKUP($T$99,'TAR FIN'!$A$1:$O$103,15,0)),0,VLOOKUP($T$99,'TAR FIN'!$A$1:$O$103,15,0))</f>
        <v>84.99</v>
      </c>
      <c r="X99" s="6">
        <f>IF(ISERROR(VLOOKUP($U$99,'TAR FIN'!$A$1:$O$103,15,0)),0,VLOOKUP($U$99,'TAR FIN'!$A$1:$O$103,15,0))</f>
        <v>391.54</v>
      </c>
      <c r="Y99" s="6">
        <f ca="1">('TUSD BE'!$AM$17+'TUSD BF'!$AM$17+'TUSD CVA'!$AM$17)*1</f>
        <v>51.039453840016805</v>
      </c>
      <c r="Z99" s="6">
        <f ca="1">('TUSD BE'!$AM$19+'TUSD BF'!$AM$19+'TUSD CVA'!$AM$19)*1</f>
        <v>145.72237393634796</v>
      </c>
      <c r="AA99" s="6">
        <f>('TE BE'!$AB$8+'TE BF'!$AB$8+'TE CVA'!$AB$8)*1</f>
        <v>361.95264704220779</v>
      </c>
      <c r="AB99" s="6">
        <f>$K$99*$V$99</f>
        <v>3155.37</v>
      </c>
      <c r="AC99" s="6">
        <f>$M$99*$W$99</f>
        <v>317.35265999999996</v>
      </c>
      <c r="AD99" s="6">
        <f>$O$99*$X$99</f>
        <v>1462.01036</v>
      </c>
      <c r="AE99" s="6">
        <f ca="1">$K$99*$Y$99</f>
        <v>3521.7223149611596</v>
      </c>
      <c r="AF99" s="6">
        <f ca="1">$M$99*$Z$99</f>
        <v>544.12734427832333</v>
      </c>
      <c r="AG99" s="6">
        <f>$O$99*$AA$99</f>
        <v>1351.5311840556039</v>
      </c>
    </row>
    <row r="100" spans="1:33" ht="11.25" customHeight="1" x14ac:dyDescent="0.3">
      <c r="A100" s="4" t="s">
        <v>21</v>
      </c>
      <c r="B100" s="4" t="s">
        <v>39</v>
      </c>
      <c r="C100" s="4" t="s">
        <v>42</v>
      </c>
      <c r="D100" s="4" t="s">
        <v>41</v>
      </c>
      <c r="E100" s="4" t="s">
        <v>25</v>
      </c>
      <c r="F100" s="4" t="s">
        <v>25</v>
      </c>
      <c r="G100" s="4" t="s">
        <v>25</v>
      </c>
      <c r="H100" s="4" t="s">
        <v>34</v>
      </c>
      <c r="I100" s="5">
        <v>44621</v>
      </c>
      <c r="J100" s="6">
        <v>69</v>
      </c>
      <c r="K100" s="6">
        <v>69</v>
      </c>
      <c r="L100" s="6">
        <v>4.2190000000000003</v>
      </c>
      <c r="M100" s="6">
        <v>4.2190000000000003</v>
      </c>
      <c r="N100" s="6">
        <v>4.2190000000000003</v>
      </c>
      <c r="O100" s="6">
        <v>4.2190000000000003</v>
      </c>
      <c r="P100" s="6">
        <v>0</v>
      </c>
      <c r="Q100" s="4" t="s">
        <v>26</v>
      </c>
      <c r="R100" s="4">
        <v>0</v>
      </c>
      <c r="S100" s="6">
        <v>4</v>
      </c>
      <c r="T100" s="6">
        <v>8</v>
      </c>
      <c r="U100" s="6">
        <v>65</v>
      </c>
      <c r="V100" s="6">
        <f>IF(ISERROR(VLOOKUP($S$100,'TAR FIN'!$A$1:$O$103,15,0)),0,VLOOKUP($S$100,'TAR FIN'!$A$1:$O$103,15,0))</f>
        <v>45.73</v>
      </c>
      <c r="W100" s="6">
        <f>IF(ISERROR(VLOOKUP($T$100,'TAR FIN'!$A$1:$O$103,15,0)),0,VLOOKUP($T$100,'TAR FIN'!$A$1:$O$103,15,0))</f>
        <v>84.99</v>
      </c>
      <c r="X100" s="6">
        <f>IF(ISERROR(VLOOKUP($U$100,'TAR FIN'!$A$1:$O$103,15,0)),0,VLOOKUP($U$100,'TAR FIN'!$A$1:$O$103,15,0))</f>
        <v>391.54</v>
      </c>
      <c r="Y100" s="6">
        <f ca="1">('TUSD BE'!$AM$17+'TUSD BF'!$AM$17+'TUSD CVA'!$AM$17)*1</f>
        <v>51.039453840016805</v>
      </c>
      <c r="Z100" s="6">
        <f ca="1">('TUSD BE'!$AM$19+'TUSD BF'!$AM$19+'TUSD CVA'!$AM$19)*1</f>
        <v>145.72237393634796</v>
      </c>
      <c r="AA100" s="6">
        <f>('TE BE'!$AB$8+'TE BF'!$AB$8+'TE CVA'!$AB$8)*1</f>
        <v>361.95264704220779</v>
      </c>
      <c r="AB100" s="6">
        <f>$K$100*$V$100</f>
        <v>3155.37</v>
      </c>
      <c r="AC100" s="6">
        <f>$M$100*$W$100</f>
        <v>358.57281</v>
      </c>
      <c r="AD100" s="6">
        <f>$O$100*$X$100</f>
        <v>1651.9072600000002</v>
      </c>
      <c r="AE100" s="6">
        <f ca="1">$K$100*$Y$100</f>
        <v>3521.7223149611596</v>
      </c>
      <c r="AF100" s="6">
        <f ca="1">$M$100*$Z$100</f>
        <v>614.80269563745208</v>
      </c>
      <c r="AG100" s="6">
        <f>$O$100*$AA$100</f>
        <v>1527.0782178710747</v>
      </c>
    </row>
    <row r="101" spans="1:33" ht="11.25" customHeight="1" x14ac:dyDescent="0.3">
      <c r="A101" s="4" t="s">
        <v>21</v>
      </c>
      <c r="B101" s="4" t="s">
        <v>39</v>
      </c>
      <c r="C101" s="4" t="s">
        <v>42</v>
      </c>
      <c r="D101" s="4" t="s">
        <v>41</v>
      </c>
      <c r="E101" s="4" t="s">
        <v>25</v>
      </c>
      <c r="F101" s="4" t="s">
        <v>25</v>
      </c>
      <c r="G101" s="4" t="s">
        <v>25</v>
      </c>
      <c r="H101" s="4" t="s">
        <v>34</v>
      </c>
      <c r="I101" s="5">
        <v>44652</v>
      </c>
      <c r="J101" s="6">
        <v>69</v>
      </c>
      <c r="K101" s="6">
        <v>69</v>
      </c>
      <c r="L101" s="6">
        <v>3.7389999999999999</v>
      </c>
      <c r="M101" s="6">
        <v>3.7389999999999999</v>
      </c>
      <c r="N101" s="6">
        <v>3.7389999999999999</v>
      </c>
      <c r="O101" s="6">
        <v>3.7389999999999999</v>
      </c>
      <c r="P101" s="6">
        <v>0</v>
      </c>
      <c r="Q101" s="4" t="s">
        <v>26</v>
      </c>
      <c r="R101" s="4">
        <v>0</v>
      </c>
      <c r="S101" s="6">
        <v>4</v>
      </c>
      <c r="T101" s="6">
        <v>8</v>
      </c>
      <c r="U101" s="6">
        <v>65</v>
      </c>
      <c r="V101" s="6">
        <f>IF(ISERROR(VLOOKUP($S$101,'TAR FIN'!$A$1:$O$103,15,0)),0,VLOOKUP($S$101,'TAR FIN'!$A$1:$O$103,15,0))</f>
        <v>45.73</v>
      </c>
      <c r="W101" s="6">
        <f>IF(ISERROR(VLOOKUP($T$101,'TAR FIN'!$A$1:$O$103,15,0)),0,VLOOKUP($T$101,'TAR FIN'!$A$1:$O$103,15,0))</f>
        <v>84.99</v>
      </c>
      <c r="X101" s="6">
        <f>IF(ISERROR(VLOOKUP($U$101,'TAR FIN'!$A$1:$O$103,15,0)),0,VLOOKUP($U$101,'TAR FIN'!$A$1:$O$103,15,0))</f>
        <v>391.54</v>
      </c>
      <c r="Y101" s="6">
        <f ca="1">('TUSD BE'!$AM$17+'TUSD BF'!$AM$17+'TUSD CVA'!$AM$17)*1</f>
        <v>51.039453840016805</v>
      </c>
      <c r="Z101" s="6">
        <f ca="1">('TUSD BE'!$AM$19+'TUSD BF'!$AM$19+'TUSD CVA'!$AM$19)*1</f>
        <v>145.72237393634796</v>
      </c>
      <c r="AA101" s="6">
        <f>('TE BE'!$AB$8+'TE BF'!$AB$8+'TE CVA'!$AB$8)*1</f>
        <v>361.95264704220779</v>
      </c>
      <c r="AB101" s="6">
        <f>$K$101*$V$101</f>
        <v>3155.37</v>
      </c>
      <c r="AC101" s="6">
        <f>$M$101*$W$101</f>
        <v>317.77760999999998</v>
      </c>
      <c r="AD101" s="6">
        <f>$O$101*$X$101</f>
        <v>1463.9680599999999</v>
      </c>
      <c r="AE101" s="6">
        <f ca="1">$K$101*$Y$101</f>
        <v>3521.7223149611596</v>
      </c>
      <c r="AF101" s="6">
        <f ca="1">$M$101*$Z$101</f>
        <v>544.85595614800502</v>
      </c>
      <c r="AG101" s="6">
        <f>$O$101*$AA$101</f>
        <v>1353.3409472908149</v>
      </c>
    </row>
    <row r="102" spans="1:33" ht="11.25" customHeight="1" x14ac:dyDescent="0.3">
      <c r="A102" s="4" t="s">
        <v>21</v>
      </c>
      <c r="B102" s="4" t="s">
        <v>39</v>
      </c>
      <c r="C102" s="4" t="s">
        <v>42</v>
      </c>
      <c r="D102" s="4" t="s">
        <v>41</v>
      </c>
      <c r="E102" s="4" t="s">
        <v>25</v>
      </c>
      <c r="F102" s="4" t="s">
        <v>25</v>
      </c>
      <c r="G102" s="4" t="s">
        <v>25</v>
      </c>
      <c r="H102" s="4" t="s">
        <v>34</v>
      </c>
      <c r="I102" s="5">
        <v>44682</v>
      </c>
      <c r="J102" s="6">
        <v>69</v>
      </c>
      <c r="K102" s="6">
        <v>69</v>
      </c>
      <c r="L102" s="6">
        <v>3.806</v>
      </c>
      <c r="M102" s="6">
        <v>3.806</v>
      </c>
      <c r="N102" s="6">
        <v>3.806</v>
      </c>
      <c r="O102" s="6">
        <v>3.806</v>
      </c>
      <c r="P102" s="6">
        <v>0</v>
      </c>
      <c r="Q102" s="4" t="s">
        <v>26</v>
      </c>
      <c r="R102" s="4">
        <v>0</v>
      </c>
      <c r="S102" s="6">
        <v>4</v>
      </c>
      <c r="T102" s="6">
        <v>8</v>
      </c>
      <c r="U102" s="6">
        <v>65</v>
      </c>
      <c r="V102" s="6">
        <f>IF(ISERROR(VLOOKUP($S$102,'TAR FIN'!$A$1:$O$103,15,0)),0,VLOOKUP($S$102,'TAR FIN'!$A$1:$O$103,15,0))</f>
        <v>45.73</v>
      </c>
      <c r="W102" s="6">
        <f>IF(ISERROR(VLOOKUP($T$102,'TAR FIN'!$A$1:$O$103,15,0)),0,VLOOKUP($T$102,'TAR FIN'!$A$1:$O$103,15,0))</f>
        <v>84.99</v>
      </c>
      <c r="X102" s="6">
        <f>IF(ISERROR(VLOOKUP($U$102,'TAR FIN'!$A$1:$O$103,15,0)),0,VLOOKUP($U$102,'TAR FIN'!$A$1:$O$103,15,0))</f>
        <v>391.54</v>
      </c>
      <c r="Y102" s="6">
        <f ca="1">('TUSD BE'!$AM$17+'TUSD BF'!$AM$17+'TUSD CVA'!$AM$17)*1</f>
        <v>51.039453840016805</v>
      </c>
      <c r="Z102" s="6">
        <f ca="1">('TUSD BE'!$AM$19+'TUSD BF'!$AM$19+'TUSD CVA'!$AM$19)*1</f>
        <v>145.72237393634796</v>
      </c>
      <c r="AA102" s="6">
        <f>('TE BE'!$AB$8+'TE BF'!$AB$8+'TE CVA'!$AB$8)*1</f>
        <v>361.95264704220779</v>
      </c>
      <c r="AB102" s="6">
        <f>$K$102*$V$102</f>
        <v>3155.37</v>
      </c>
      <c r="AC102" s="6">
        <f>$M$102*$W$102</f>
        <v>323.47193999999996</v>
      </c>
      <c r="AD102" s="6">
        <f>$O$102*$X$102</f>
        <v>1490.2012400000001</v>
      </c>
      <c r="AE102" s="6">
        <f ca="1">$K$102*$Y$102</f>
        <v>3521.7223149611596</v>
      </c>
      <c r="AF102" s="6">
        <f ca="1">$M$102*$Z$102</f>
        <v>554.6193552017404</v>
      </c>
      <c r="AG102" s="6">
        <f>$O$102*$AA$102</f>
        <v>1377.5917746426428</v>
      </c>
    </row>
    <row r="103" spans="1:33" ht="11.25" customHeight="1" x14ac:dyDescent="0.3">
      <c r="A103" s="4" t="s">
        <v>21</v>
      </c>
      <c r="B103" s="4" t="s">
        <v>39</v>
      </c>
      <c r="C103" s="4" t="s">
        <v>42</v>
      </c>
      <c r="D103" s="4" t="s">
        <v>41</v>
      </c>
      <c r="E103" s="4" t="s">
        <v>25</v>
      </c>
      <c r="F103" s="4" t="s">
        <v>25</v>
      </c>
      <c r="G103" s="4" t="s">
        <v>25</v>
      </c>
      <c r="H103" s="4" t="s">
        <v>34</v>
      </c>
      <c r="I103" s="5">
        <v>44713</v>
      </c>
      <c r="J103" s="6">
        <v>69</v>
      </c>
      <c r="K103" s="6">
        <v>69</v>
      </c>
      <c r="L103" s="6">
        <v>3.0289999999999999</v>
      </c>
      <c r="M103" s="6">
        <v>3.0289999999999999</v>
      </c>
      <c r="N103" s="6">
        <v>3.0289999999999999</v>
      </c>
      <c r="O103" s="6">
        <v>3.0289999999999999</v>
      </c>
      <c r="P103" s="6">
        <v>0</v>
      </c>
      <c r="Q103" s="4" t="s">
        <v>26</v>
      </c>
      <c r="R103" s="4">
        <v>0</v>
      </c>
      <c r="S103" s="6">
        <v>4</v>
      </c>
      <c r="T103" s="6">
        <v>8</v>
      </c>
      <c r="U103" s="6">
        <v>65</v>
      </c>
      <c r="V103" s="6">
        <f>IF(ISERROR(VLOOKUP($S$103,'TAR FIN'!$A$1:$O$103,15,0)),0,VLOOKUP($S$103,'TAR FIN'!$A$1:$O$103,15,0))</f>
        <v>45.73</v>
      </c>
      <c r="W103" s="6">
        <f>IF(ISERROR(VLOOKUP($T$103,'TAR FIN'!$A$1:$O$103,15,0)),0,VLOOKUP($T$103,'TAR FIN'!$A$1:$O$103,15,0))</f>
        <v>84.99</v>
      </c>
      <c r="X103" s="6">
        <f>IF(ISERROR(VLOOKUP($U$103,'TAR FIN'!$A$1:$O$103,15,0)),0,VLOOKUP($U$103,'TAR FIN'!$A$1:$O$103,15,0))</f>
        <v>391.54</v>
      </c>
      <c r="Y103" s="6">
        <f ca="1">('TUSD BE'!$AM$17+'TUSD BF'!$AM$17+'TUSD CVA'!$AM$17)*1</f>
        <v>51.039453840016805</v>
      </c>
      <c r="Z103" s="6">
        <f ca="1">('TUSD BE'!$AM$19+'TUSD BF'!$AM$19+'TUSD CVA'!$AM$19)*1</f>
        <v>145.72237393634796</v>
      </c>
      <c r="AA103" s="6">
        <f>('TE BE'!$AB$8+'TE BF'!$AB$8+'TE CVA'!$AB$8)*1</f>
        <v>361.95264704220779</v>
      </c>
      <c r="AB103" s="6">
        <f>$K$103*$V$103</f>
        <v>3155.37</v>
      </c>
      <c r="AC103" s="6">
        <f>$M$103*$W$103</f>
        <v>257.43471</v>
      </c>
      <c r="AD103" s="6">
        <f>$O$103*$X$103</f>
        <v>1185.9746600000001</v>
      </c>
      <c r="AE103" s="6">
        <f ca="1">$K$103*$Y$103</f>
        <v>3521.7223149611596</v>
      </c>
      <c r="AF103" s="6">
        <f ca="1">$M$103*$Z$103</f>
        <v>441.39307065319798</v>
      </c>
      <c r="AG103" s="6">
        <f>$O$103*$AA$103</f>
        <v>1096.3545678908474</v>
      </c>
    </row>
    <row r="104" spans="1:33" ht="11.25" customHeight="1" x14ac:dyDescent="0.3">
      <c r="A104" s="4" t="s">
        <v>21</v>
      </c>
      <c r="B104" s="4" t="s">
        <v>39</v>
      </c>
      <c r="C104" s="4" t="s">
        <v>42</v>
      </c>
      <c r="D104" s="4" t="s">
        <v>41</v>
      </c>
      <c r="E104" s="4" t="s">
        <v>25</v>
      </c>
      <c r="F104" s="4" t="s">
        <v>25</v>
      </c>
      <c r="G104" s="4" t="s">
        <v>25</v>
      </c>
      <c r="H104" s="4" t="s">
        <v>34</v>
      </c>
      <c r="I104" s="5">
        <v>44743</v>
      </c>
      <c r="J104" s="6">
        <v>69</v>
      </c>
      <c r="K104" s="6">
        <v>69</v>
      </c>
      <c r="L104" s="6">
        <v>3.2509999999999999</v>
      </c>
      <c r="M104" s="6">
        <v>3.2509999999999999</v>
      </c>
      <c r="N104" s="6">
        <v>3.2509999999999999</v>
      </c>
      <c r="O104" s="6">
        <v>3.2509999999999999</v>
      </c>
      <c r="P104" s="6">
        <v>0</v>
      </c>
      <c r="Q104" s="4" t="s">
        <v>26</v>
      </c>
      <c r="R104" s="4">
        <v>0</v>
      </c>
      <c r="S104" s="6">
        <v>4</v>
      </c>
      <c r="T104" s="6">
        <v>8</v>
      </c>
      <c r="U104" s="6">
        <v>65</v>
      </c>
      <c r="V104" s="6">
        <f>IF(ISERROR(VLOOKUP($S$104,'TAR FIN'!$A$1:$O$103,15,0)),0,VLOOKUP($S$104,'TAR FIN'!$A$1:$O$103,15,0))</f>
        <v>45.73</v>
      </c>
      <c r="W104" s="6">
        <f>IF(ISERROR(VLOOKUP($T$104,'TAR FIN'!$A$1:$O$103,15,0)),0,VLOOKUP($T$104,'TAR FIN'!$A$1:$O$103,15,0))</f>
        <v>84.99</v>
      </c>
      <c r="X104" s="6">
        <f>IF(ISERROR(VLOOKUP($U$104,'TAR FIN'!$A$1:$O$103,15,0)),0,VLOOKUP($U$104,'TAR FIN'!$A$1:$O$103,15,0))</f>
        <v>391.54</v>
      </c>
      <c r="Y104" s="6">
        <f ca="1">('TUSD BE'!$AM$17+'TUSD BF'!$AM$17+'TUSD CVA'!$AM$17)*1</f>
        <v>51.039453840016805</v>
      </c>
      <c r="Z104" s="6">
        <f ca="1">('TUSD BE'!$AM$19+'TUSD BF'!$AM$19+'TUSD CVA'!$AM$19)*1</f>
        <v>145.72237393634796</v>
      </c>
      <c r="AA104" s="6">
        <f>('TE BE'!$AB$8+'TE BF'!$AB$8+'TE CVA'!$AB$8)*1</f>
        <v>361.95264704220779</v>
      </c>
      <c r="AB104" s="6">
        <f>$K$104*$V$104</f>
        <v>3155.37</v>
      </c>
      <c r="AC104" s="6">
        <f>$M$104*$W$104</f>
        <v>276.30248999999998</v>
      </c>
      <c r="AD104" s="6">
        <f>$O$104*$X$104</f>
        <v>1272.89654</v>
      </c>
      <c r="AE104" s="6">
        <f ca="1">$K$104*$Y$104</f>
        <v>3521.7223149611596</v>
      </c>
      <c r="AF104" s="6">
        <f ca="1">$M$104*$Z$104</f>
        <v>473.74343766706721</v>
      </c>
      <c r="AG104" s="6">
        <f>$O$104*$AA$104</f>
        <v>1176.7080555342175</v>
      </c>
    </row>
    <row r="105" spans="1:33" ht="11.25" customHeight="1" x14ac:dyDescent="0.3">
      <c r="A105" s="4" t="s">
        <v>21</v>
      </c>
      <c r="B105" s="4" t="s">
        <v>39</v>
      </c>
      <c r="C105" s="4" t="s">
        <v>42</v>
      </c>
      <c r="D105" s="4" t="s">
        <v>41</v>
      </c>
      <c r="E105" s="4" t="s">
        <v>25</v>
      </c>
      <c r="F105" s="4" t="s">
        <v>25</v>
      </c>
      <c r="G105" s="4" t="s">
        <v>25</v>
      </c>
      <c r="H105" s="4" t="s">
        <v>34</v>
      </c>
      <c r="I105" s="5">
        <v>44774</v>
      </c>
      <c r="J105" s="6">
        <v>69</v>
      </c>
      <c r="K105" s="6">
        <v>69</v>
      </c>
      <c r="L105" s="6">
        <v>4.1680000000000001</v>
      </c>
      <c r="M105" s="6">
        <v>4.1680000000000001</v>
      </c>
      <c r="N105" s="6">
        <v>4.1680000000000001</v>
      </c>
      <c r="O105" s="6">
        <v>4.1680000000000001</v>
      </c>
      <c r="P105" s="6">
        <v>0</v>
      </c>
      <c r="Q105" s="4" t="s">
        <v>26</v>
      </c>
      <c r="R105" s="4">
        <v>0</v>
      </c>
      <c r="S105" s="6">
        <v>4</v>
      </c>
      <c r="T105" s="6">
        <v>8</v>
      </c>
      <c r="U105" s="6">
        <v>65</v>
      </c>
      <c r="V105" s="6">
        <f>IF(ISERROR(VLOOKUP($S$105,'TAR FIN'!$A$1:$O$103,15,0)),0,VLOOKUP($S$105,'TAR FIN'!$A$1:$O$103,15,0))</f>
        <v>45.73</v>
      </c>
      <c r="W105" s="6">
        <f>IF(ISERROR(VLOOKUP($T$105,'TAR FIN'!$A$1:$O$103,15,0)),0,VLOOKUP($T$105,'TAR FIN'!$A$1:$O$103,15,0))</f>
        <v>84.99</v>
      </c>
      <c r="X105" s="6">
        <f>IF(ISERROR(VLOOKUP($U$105,'TAR FIN'!$A$1:$O$103,15,0)),0,VLOOKUP($U$105,'TAR FIN'!$A$1:$O$103,15,0))</f>
        <v>391.54</v>
      </c>
      <c r="Y105" s="6">
        <f ca="1">('TUSD BE'!$AM$17+'TUSD BF'!$AM$17+'TUSD CVA'!$AM$17)*1</f>
        <v>51.039453840016805</v>
      </c>
      <c r="Z105" s="6">
        <f ca="1">('TUSD BE'!$AM$19+'TUSD BF'!$AM$19+'TUSD CVA'!$AM$19)*1</f>
        <v>145.72237393634796</v>
      </c>
      <c r="AA105" s="6">
        <f>('TE BE'!$AB$8+'TE BF'!$AB$8+'TE CVA'!$AB$8)*1</f>
        <v>361.95264704220779</v>
      </c>
      <c r="AB105" s="6">
        <f>$K$105*$V$105</f>
        <v>3155.37</v>
      </c>
      <c r="AC105" s="6">
        <f>$M$105*$W$105</f>
        <v>354.23831999999999</v>
      </c>
      <c r="AD105" s="6">
        <f>$O$105*$X$105</f>
        <v>1631.9387200000001</v>
      </c>
      <c r="AE105" s="6">
        <f ca="1">$K$105*$Y$105</f>
        <v>3521.7223149611596</v>
      </c>
      <c r="AF105" s="6">
        <f ca="1">$M$105*$Z$105</f>
        <v>607.37085456669831</v>
      </c>
      <c r="AG105" s="6">
        <f>$O$105*$AA$105</f>
        <v>1508.618632871922</v>
      </c>
    </row>
    <row r="106" spans="1:33" ht="11.25" customHeight="1" x14ac:dyDescent="0.3">
      <c r="A106" s="4" t="s">
        <v>21</v>
      </c>
      <c r="B106" s="4" t="s">
        <v>39</v>
      </c>
      <c r="C106" s="4" t="s">
        <v>42</v>
      </c>
      <c r="D106" s="4" t="s">
        <v>41</v>
      </c>
      <c r="E106" s="4" t="s">
        <v>25</v>
      </c>
      <c r="F106" s="4" t="s">
        <v>25</v>
      </c>
      <c r="G106" s="4" t="s">
        <v>25</v>
      </c>
      <c r="H106" s="4" t="s">
        <v>34</v>
      </c>
      <c r="I106" s="5">
        <v>44805</v>
      </c>
      <c r="J106" s="6">
        <v>69</v>
      </c>
      <c r="K106" s="6">
        <v>69</v>
      </c>
      <c r="L106" s="6">
        <v>3.67</v>
      </c>
      <c r="M106" s="6">
        <v>3.67</v>
      </c>
      <c r="N106" s="6">
        <v>3.67</v>
      </c>
      <c r="O106" s="6">
        <v>3.67</v>
      </c>
      <c r="P106" s="6">
        <v>0</v>
      </c>
      <c r="Q106" s="4" t="s">
        <v>26</v>
      </c>
      <c r="R106" s="4">
        <v>0</v>
      </c>
      <c r="S106" s="6">
        <v>4</v>
      </c>
      <c r="T106" s="6">
        <v>8</v>
      </c>
      <c r="U106" s="6">
        <v>65</v>
      </c>
      <c r="V106" s="6">
        <f>IF(ISERROR(VLOOKUP($S$106,'TAR FIN'!$A$1:$O$103,15,0)),0,VLOOKUP($S$106,'TAR FIN'!$A$1:$O$103,15,0))</f>
        <v>45.73</v>
      </c>
      <c r="W106" s="6">
        <f>IF(ISERROR(VLOOKUP($T$106,'TAR FIN'!$A$1:$O$103,15,0)),0,VLOOKUP($T$106,'TAR FIN'!$A$1:$O$103,15,0))</f>
        <v>84.99</v>
      </c>
      <c r="X106" s="6">
        <f>IF(ISERROR(VLOOKUP($U$106,'TAR FIN'!$A$1:$O$103,15,0)),0,VLOOKUP($U$106,'TAR FIN'!$A$1:$O$103,15,0))</f>
        <v>391.54</v>
      </c>
      <c r="Y106" s="6">
        <f ca="1">('TUSD BE'!$AM$17+'TUSD BF'!$AM$17+'TUSD CVA'!$AM$17)*1</f>
        <v>51.039453840016805</v>
      </c>
      <c r="Z106" s="6">
        <f ca="1">('TUSD BE'!$AM$19+'TUSD BF'!$AM$19+'TUSD CVA'!$AM$19)*1</f>
        <v>145.72237393634796</v>
      </c>
      <c r="AA106" s="6">
        <f>('TE BE'!$AB$8+'TE BF'!$AB$8+'TE CVA'!$AB$8)*1</f>
        <v>361.95264704220779</v>
      </c>
      <c r="AB106" s="6">
        <f>$K$106*$V$106</f>
        <v>3155.37</v>
      </c>
      <c r="AC106" s="6">
        <f>$M$106*$W$106</f>
        <v>311.91329999999999</v>
      </c>
      <c r="AD106" s="6">
        <f>$O$106*$X$106</f>
        <v>1436.9518</v>
      </c>
      <c r="AE106" s="6">
        <f ca="1">$K$106*$Y$106</f>
        <v>3521.7223149611596</v>
      </c>
      <c r="AF106" s="6">
        <f ca="1">$M$106*$Z$106</f>
        <v>534.80111234639696</v>
      </c>
      <c r="AG106" s="6">
        <f>$O$106*$AA$106</f>
        <v>1328.3662146449026</v>
      </c>
    </row>
    <row r="107" spans="1:33" ht="11.25" customHeight="1" x14ac:dyDescent="0.3">
      <c r="A107" s="4" t="s">
        <v>57</v>
      </c>
      <c r="B107" s="4" t="s">
        <v>39</v>
      </c>
      <c r="C107" s="4" t="s">
        <v>42</v>
      </c>
      <c r="D107" s="4" t="s">
        <v>41</v>
      </c>
      <c r="E107" s="4" t="s">
        <v>25</v>
      </c>
      <c r="F107" s="4" t="s">
        <v>25</v>
      </c>
      <c r="G107" s="4" t="s">
        <v>25</v>
      </c>
      <c r="H107" s="4" t="s">
        <v>34</v>
      </c>
      <c r="I107" s="5">
        <v>44835</v>
      </c>
      <c r="J107" s="6">
        <v>69</v>
      </c>
      <c r="K107" s="6">
        <v>69</v>
      </c>
      <c r="L107" s="6">
        <v>3.67</v>
      </c>
      <c r="M107" s="6">
        <v>3.67</v>
      </c>
      <c r="N107" s="6">
        <v>3.67</v>
      </c>
      <c r="O107" s="6">
        <v>3.67</v>
      </c>
      <c r="P107" s="6">
        <v>0</v>
      </c>
      <c r="Q107" s="4" t="s">
        <v>26</v>
      </c>
      <c r="R107" s="4">
        <v>0</v>
      </c>
      <c r="S107" s="6">
        <v>4</v>
      </c>
      <c r="T107" s="6">
        <v>8</v>
      </c>
      <c r="U107" s="6">
        <v>65</v>
      </c>
      <c r="V107" s="6">
        <f>IF(ISERROR(VLOOKUP($S$107,'TAR FIN'!$A$1:$O$103,15,0)),0,VLOOKUP($S$107,'TAR FIN'!$A$1:$O$103,15,0))</f>
        <v>45.73</v>
      </c>
      <c r="W107" s="6">
        <f>IF(ISERROR(VLOOKUP($T$107,'TAR FIN'!$A$1:$O$103,15,0)),0,VLOOKUP($T$107,'TAR FIN'!$A$1:$O$103,15,0))</f>
        <v>84.99</v>
      </c>
      <c r="X107" s="6">
        <f>IF(ISERROR(VLOOKUP($U$107,'TAR FIN'!$A$1:$O$103,15,0)),0,VLOOKUP($U$107,'TAR FIN'!$A$1:$O$103,15,0))</f>
        <v>391.54</v>
      </c>
      <c r="Y107" s="6">
        <f ca="1">('TUSD BE'!$AM$17+'TUSD BF'!$AM$17+'TUSD CVA'!$AM$17)*1</f>
        <v>51.039453840016805</v>
      </c>
      <c r="Z107" s="6">
        <f ca="1">('TUSD BE'!$AM$19+'TUSD BF'!$AM$19+'TUSD CVA'!$AM$19)*1</f>
        <v>145.72237393634796</v>
      </c>
      <c r="AA107" s="6">
        <f>('TE BE'!$AB$8+'TE BF'!$AB$8+'TE CVA'!$AB$8)*1</f>
        <v>361.95264704220779</v>
      </c>
      <c r="AB107" s="6">
        <f>$K$107*$V$107</f>
        <v>3155.37</v>
      </c>
      <c r="AC107" s="6">
        <f>$M$107*$W$107</f>
        <v>311.91329999999999</v>
      </c>
      <c r="AD107" s="6">
        <f>$O$107*$X$107</f>
        <v>1436.9518</v>
      </c>
      <c r="AE107" s="6">
        <f ca="1">$K$107*$Y$107</f>
        <v>3521.7223149611596</v>
      </c>
      <c r="AF107" s="6">
        <f ca="1">$M$107*$Z$107</f>
        <v>534.80111234639696</v>
      </c>
      <c r="AG107" s="6">
        <f>$O$107*$AA$107</f>
        <v>1328.3662146449026</v>
      </c>
    </row>
    <row r="108" spans="1:33" ht="11.25" customHeight="1" x14ac:dyDescent="0.3">
      <c r="A108" s="4" t="s">
        <v>21</v>
      </c>
      <c r="B108" s="4" t="s">
        <v>39</v>
      </c>
      <c r="C108" s="4" t="s">
        <v>42</v>
      </c>
      <c r="D108" s="4" t="s">
        <v>50</v>
      </c>
      <c r="E108" s="4" t="s">
        <v>51</v>
      </c>
      <c r="F108" s="4" t="s">
        <v>25</v>
      </c>
      <c r="G108" s="4" t="s">
        <v>25</v>
      </c>
      <c r="H108" s="4" t="s">
        <v>35</v>
      </c>
      <c r="I108" s="5">
        <v>44501</v>
      </c>
      <c r="J108" s="6">
        <v>505</v>
      </c>
      <c r="K108" s="53">
        <v>505</v>
      </c>
      <c r="L108" s="6">
        <v>222.565</v>
      </c>
      <c r="M108" s="52">
        <v>222.565</v>
      </c>
      <c r="N108" s="6">
        <v>222.565</v>
      </c>
      <c r="O108" s="52">
        <v>222.565</v>
      </c>
      <c r="P108" s="6">
        <v>0</v>
      </c>
      <c r="Q108" s="4" t="s">
        <v>26</v>
      </c>
      <c r="R108" s="4">
        <v>0</v>
      </c>
      <c r="S108" s="6">
        <v>5</v>
      </c>
      <c r="T108" s="6">
        <v>8</v>
      </c>
      <c r="U108" s="6">
        <v>66</v>
      </c>
      <c r="V108" s="52">
        <f>IF(ISERROR(VLOOKUP($S$108,'TAR FIN'!$A$1:$O$103,15,0)),0,VLOOKUP($S$108,'TAR FIN'!$A$1:$O$103,15,0))*(1-0.06)</f>
        <v>17.784800000000001</v>
      </c>
      <c r="W108" s="52">
        <f>IF(ISERROR(VLOOKUP($T$108,'TAR FIN'!$A$1:$O$103,15,0)),0,VLOOKUP($T$108,'TAR FIN'!$A$1:$O$103,15,0))*(1-0.06)</f>
        <v>79.890599999999992</v>
      </c>
      <c r="X108" s="52">
        <f>IF(ISERROR(VLOOKUP($U$108,'TAR FIN'!$A$1:$O$103,15,0)),0,VLOOKUP($U$108,'TAR FIN'!$A$1:$O$103,15,0))*(1-0.06)</f>
        <v>228.2038</v>
      </c>
      <c r="Y108" s="52">
        <f ca="1">('TUSD BE'!$AM$18+'TUSD BF'!$AM$18+'TUSD CVA'!$AM$18)*1*(1-0.03)</f>
        <v>20.728258466855738</v>
      </c>
      <c r="Z108" s="52">
        <f ca="1">('TUSD BE'!$AM$19+'TUSD BF'!$AM$19+'TUSD CVA'!$AM$19)*1*(1-0.03)</f>
        <v>141.35070271825751</v>
      </c>
      <c r="AA108" s="52">
        <f>('TE BE'!$AB$9+'TE BF'!$AB$9+'TE CVA'!$AB$9)*1*(1-0.03)</f>
        <v>215.72204893346822</v>
      </c>
      <c r="AB108" s="6">
        <f>$K$108*$V$108</f>
        <v>8981.3240000000005</v>
      </c>
      <c r="AC108" s="6">
        <f>$M$108*$W$108</f>
        <v>17780.851388999999</v>
      </c>
      <c r="AD108" s="6">
        <f>$O$108*$X$108</f>
        <v>50790.178746999998</v>
      </c>
      <c r="AE108" s="6">
        <f ca="1">$K$108*$Y$108</f>
        <v>10467.770525762147</v>
      </c>
      <c r="AF108" s="6">
        <f ca="1">$M$108*$Z$108</f>
        <v>31459.719150488982</v>
      </c>
      <c r="AG108" s="6">
        <f>$O$108*$AA$108</f>
        <v>48012.177820877354</v>
      </c>
    </row>
    <row r="109" spans="1:33" ht="11.25" customHeight="1" x14ac:dyDescent="0.3">
      <c r="A109" s="4" t="s">
        <v>21</v>
      </c>
      <c r="B109" s="4" t="s">
        <v>39</v>
      </c>
      <c r="C109" s="4" t="s">
        <v>42</v>
      </c>
      <c r="D109" s="4" t="s">
        <v>50</v>
      </c>
      <c r="E109" s="4" t="s">
        <v>51</v>
      </c>
      <c r="F109" s="4" t="s">
        <v>25</v>
      </c>
      <c r="G109" s="4" t="s">
        <v>25</v>
      </c>
      <c r="H109" s="4" t="s">
        <v>35</v>
      </c>
      <c r="I109" s="5">
        <v>44531</v>
      </c>
      <c r="J109" s="6">
        <v>504</v>
      </c>
      <c r="K109" s="53">
        <v>504</v>
      </c>
      <c r="L109" s="6">
        <v>220.71299999999999</v>
      </c>
      <c r="M109" s="52">
        <v>220.71299999999999</v>
      </c>
      <c r="N109" s="6">
        <v>220.71299999999999</v>
      </c>
      <c r="O109" s="52">
        <v>220.71299999999999</v>
      </c>
      <c r="P109" s="6">
        <v>0</v>
      </c>
      <c r="Q109" s="4" t="s">
        <v>26</v>
      </c>
      <c r="R109" s="4">
        <v>0</v>
      </c>
      <c r="S109" s="6">
        <v>5</v>
      </c>
      <c r="T109" s="6">
        <v>8</v>
      </c>
      <c r="U109" s="6">
        <v>66</v>
      </c>
      <c r="V109" s="52">
        <f>IF(ISERROR(VLOOKUP($S$109,'TAR FIN'!$A$1:$O$103,15,0)),0,VLOOKUP($S$109,'TAR FIN'!$A$1:$O$103,15,0))*(1-0.06)</f>
        <v>17.784800000000001</v>
      </c>
      <c r="W109" s="52">
        <f>IF(ISERROR(VLOOKUP($T$109,'TAR FIN'!$A$1:$O$103,15,0)),0,VLOOKUP($T$109,'TAR FIN'!$A$1:$O$103,15,0))*(1-0.06)</f>
        <v>79.890599999999992</v>
      </c>
      <c r="X109" s="52">
        <f>IF(ISERROR(VLOOKUP($U$109,'TAR FIN'!$A$1:$O$103,15,0)),0,VLOOKUP($U$109,'TAR FIN'!$A$1:$O$103,15,0))*(1-0.06)</f>
        <v>228.2038</v>
      </c>
      <c r="Y109" s="52">
        <f ca="1">('TUSD BE'!$AM$18+'TUSD BF'!$AM$18+'TUSD CVA'!$AM$18)*1*(1-0.03)</f>
        <v>20.728258466855738</v>
      </c>
      <c r="Z109" s="52">
        <f ca="1">('TUSD BE'!$AM$19+'TUSD BF'!$AM$19+'TUSD CVA'!$AM$19)*1*(1-0.03)</f>
        <v>141.35070271825751</v>
      </c>
      <c r="AA109" s="52">
        <f>('TE BE'!$AB$9+'TE BF'!$AB$9+'TE CVA'!$AB$9)*1*(1-0.03)</f>
        <v>215.72204893346822</v>
      </c>
      <c r="AB109" s="6">
        <f>$K$109*$V$109</f>
        <v>8963.5392000000011</v>
      </c>
      <c r="AC109" s="6">
        <f>$M$109*$W$109</f>
        <v>17632.893997799998</v>
      </c>
      <c r="AD109" s="6">
        <f>$O$109*$X$109</f>
        <v>50367.545309399997</v>
      </c>
      <c r="AE109" s="6">
        <f ca="1">$K$109*$Y$109</f>
        <v>10447.042267295292</v>
      </c>
      <c r="AF109" s="6">
        <f ca="1">$M$109*$Z$109</f>
        <v>31197.937649054769</v>
      </c>
      <c r="AG109" s="6">
        <f>$O$109*$AA$109</f>
        <v>47612.660586252568</v>
      </c>
    </row>
    <row r="110" spans="1:33" ht="11.25" customHeight="1" x14ac:dyDescent="0.3">
      <c r="A110" s="4" t="s">
        <v>21</v>
      </c>
      <c r="B110" s="4" t="s">
        <v>39</v>
      </c>
      <c r="C110" s="4" t="s">
        <v>42</v>
      </c>
      <c r="D110" s="4" t="s">
        <v>50</v>
      </c>
      <c r="E110" s="4" t="s">
        <v>51</v>
      </c>
      <c r="F110" s="4" t="s">
        <v>25</v>
      </c>
      <c r="G110" s="4" t="s">
        <v>25</v>
      </c>
      <c r="H110" s="4" t="s">
        <v>35</v>
      </c>
      <c r="I110" s="5">
        <v>44562</v>
      </c>
      <c r="J110" s="6">
        <v>505</v>
      </c>
      <c r="K110" s="53">
        <v>505</v>
      </c>
      <c r="L110" s="6">
        <v>224.678</v>
      </c>
      <c r="M110" s="52">
        <v>224.678</v>
      </c>
      <c r="N110" s="6">
        <v>224.678</v>
      </c>
      <c r="O110" s="52">
        <v>224.678</v>
      </c>
      <c r="P110" s="6">
        <v>0</v>
      </c>
      <c r="Q110" s="4" t="s">
        <v>26</v>
      </c>
      <c r="R110" s="4">
        <v>0</v>
      </c>
      <c r="S110" s="6">
        <v>5</v>
      </c>
      <c r="T110" s="6">
        <v>8</v>
      </c>
      <c r="U110" s="6">
        <v>66</v>
      </c>
      <c r="V110" s="52">
        <f>IF(ISERROR(VLOOKUP($S$110,'TAR FIN'!$A$1:$O$103,15,0)),0,VLOOKUP($S$110,'TAR FIN'!$A$1:$O$103,15,0))*(1-0.06)</f>
        <v>17.784800000000001</v>
      </c>
      <c r="W110" s="52">
        <f>IF(ISERROR(VLOOKUP($T$110,'TAR FIN'!$A$1:$O$103,15,0)),0,VLOOKUP($T$110,'TAR FIN'!$A$1:$O$103,15,0))*(1-0.06)</f>
        <v>79.890599999999992</v>
      </c>
      <c r="X110" s="52">
        <f>IF(ISERROR(VLOOKUP($U$110,'TAR FIN'!$A$1:$O$103,15,0)),0,VLOOKUP($U$110,'TAR FIN'!$A$1:$O$103,15,0))*(1-0.06)</f>
        <v>228.2038</v>
      </c>
      <c r="Y110" s="52">
        <f ca="1">('TUSD BE'!$AM$18+'TUSD BF'!$AM$18+'TUSD CVA'!$AM$18)*1*(1-0.03)</f>
        <v>20.728258466855738</v>
      </c>
      <c r="Z110" s="52">
        <f ca="1">('TUSD BE'!$AM$19+'TUSD BF'!$AM$19+'TUSD CVA'!$AM$19)*1*(1-0.03)</f>
        <v>141.35070271825751</v>
      </c>
      <c r="AA110" s="52">
        <f>('TE BE'!$AB$9+'TE BF'!$AB$9+'TE CVA'!$AB$9)*1*(1-0.03)</f>
        <v>215.72204893346822</v>
      </c>
      <c r="AB110" s="6">
        <f>$K$110*$V$110</f>
        <v>8981.3240000000005</v>
      </c>
      <c r="AC110" s="6">
        <f>$M$110*$W$110</f>
        <v>17949.660226799999</v>
      </c>
      <c r="AD110" s="6">
        <f>$O$110*$X$110</f>
        <v>51272.373376399999</v>
      </c>
      <c r="AE110" s="6">
        <f ca="1">$K$110*$Y$110</f>
        <v>10467.770525762147</v>
      </c>
      <c r="AF110" s="6">
        <f ca="1">$M$110*$Z$110</f>
        <v>31758.393185332661</v>
      </c>
      <c r="AG110" s="6">
        <f>$O$110*$AA$110</f>
        <v>48467.99851027377</v>
      </c>
    </row>
    <row r="111" spans="1:33" ht="11.25" customHeight="1" x14ac:dyDescent="0.3">
      <c r="A111" s="4" t="s">
        <v>21</v>
      </c>
      <c r="B111" s="4" t="s">
        <v>39</v>
      </c>
      <c r="C111" s="4" t="s">
        <v>42</v>
      </c>
      <c r="D111" s="4" t="s">
        <v>50</v>
      </c>
      <c r="E111" s="4" t="s">
        <v>51</v>
      </c>
      <c r="F111" s="4" t="s">
        <v>25</v>
      </c>
      <c r="G111" s="4" t="s">
        <v>25</v>
      </c>
      <c r="H111" s="4" t="s">
        <v>35</v>
      </c>
      <c r="I111" s="5">
        <v>44593</v>
      </c>
      <c r="J111" s="6">
        <v>501</v>
      </c>
      <c r="K111" s="53">
        <v>501</v>
      </c>
      <c r="L111" s="6">
        <v>190.18799999999999</v>
      </c>
      <c r="M111" s="52">
        <v>190.18799999999999</v>
      </c>
      <c r="N111" s="6">
        <v>190.18799999999999</v>
      </c>
      <c r="O111" s="52">
        <v>190.18799999999999</v>
      </c>
      <c r="P111" s="6">
        <v>0</v>
      </c>
      <c r="Q111" s="4" t="s">
        <v>26</v>
      </c>
      <c r="R111" s="4">
        <v>0</v>
      </c>
      <c r="S111" s="6">
        <v>5</v>
      </c>
      <c r="T111" s="6">
        <v>8</v>
      </c>
      <c r="U111" s="6">
        <v>66</v>
      </c>
      <c r="V111" s="52">
        <f>IF(ISERROR(VLOOKUP($S$111,'TAR FIN'!$A$1:$O$103,15,0)),0,VLOOKUP($S$111,'TAR FIN'!$A$1:$O$103,15,0))*(1-0.06)</f>
        <v>17.784800000000001</v>
      </c>
      <c r="W111" s="52">
        <f>IF(ISERROR(VLOOKUP($T$111,'TAR FIN'!$A$1:$O$103,15,0)),0,VLOOKUP($T$111,'TAR FIN'!$A$1:$O$103,15,0))*(1-0.06)</f>
        <v>79.890599999999992</v>
      </c>
      <c r="X111" s="52">
        <f>IF(ISERROR(VLOOKUP($U$111,'TAR FIN'!$A$1:$O$103,15,0)),0,VLOOKUP($U$111,'TAR FIN'!$A$1:$O$103,15,0))*(1-0.06)</f>
        <v>228.2038</v>
      </c>
      <c r="Y111" s="52">
        <f ca="1">('TUSD BE'!$AM$18+'TUSD BF'!$AM$18+'TUSD CVA'!$AM$18)*1*(1-0.03)</f>
        <v>20.728258466855738</v>
      </c>
      <c r="Z111" s="52">
        <f ca="1">('TUSD BE'!$AM$19+'TUSD BF'!$AM$19+'TUSD CVA'!$AM$19)*1*(1-0.03)</f>
        <v>141.35070271825751</v>
      </c>
      <c r="AA111" s="52">
        <f>('TE BE'!$AB$9+'TE BF'!$AB$9+'TE CVA'!$AB$9)*1*(1-0.03)</f>
        <v>215.72204893346822</v>
      </c>
      <c r="AB111" s="6">
        <f>$K$111*$V$111</f>
        <v>8910.1848000000009</v>
      </c>
      <c r="AC111" s="6">
        <f>$M$111*$W$111</f>
        <v>15194.233432799998</v>
      </c>
      <c r="AD111" s="6">
        <f>$O$111*$X$111</f>
        <v>43401.624314399996</v>
      </c>
      <c r="AE111" s="6">
        <f ca="1">$K$111*$Y$111</f>
        <v>10384.857491894725</v>
      </c>
      <c r="AF111" s="6">
        <f ca="1">$M$111*$Z$111</f>
        <v>26883.207448579957</v>
      </c>
      <c r="AG111" s="6">
        <f>$O$111*$AA$111</f>
        <v>41027.745042558454</v>
      </c>
    </row>
    <row r="112" spans="1:33" ht="11.25" customHeight="1" x14ac:dyDescent="0.3">
      <c r="A112" s="4" t="s">
        <v>21</v>
      </c>
      <c r="B112" s="4" t="s">
        <v>39</v>
      </c>
      <c r="C112" s="4" t="s">
        <v>42</v>
      </c>
      <c r="D112" s="4" t="s">
        <v>50</v>
      </c>
      <c r="E112" s="4" t="s">
        <v>51</v>
      </c>
      <c r="F112" s="4" t="s">
        <v>25</v>
      </c>
      <c r="G112" s="4" t="s">
        <v>25</v>
      </c>
      <c r="H112" s="4" t="s">
        <v>35</v>
      </c>
      <c r="I112" s="5">
        <v>44621</v>
      </c>
      <c r="J112" s="6">
        <v>501</v>
      </c>
      <c r="K112" s="53">
        <v>501</v>
      </c>
      <c r="L112" s="6">
        <v>215.52799999999999</v>
      </c>
      <c r="M112" s="52">
        <v>215.52799999999999</v>
      </c>
      <c r="N112" s="6">
        <v>215.52799999999999</v>
      </c>
      <c r="O112" s="52">
        <v>215.52799999999999</v>
      </c>
      <c r="P112" s="6">
        <v>0</v>
      </c>
      <c r="Q112" s="4" t="s">
        <v>26</v>
      </c>
      <c r="R112" s="4">
        <v>0</v>
      </c>
      <c r="S112" s="6">
        <v>5</v>
      </c>
      <c r="T112" s="6">
        <v>8</v>
      </c>
      <c r="U112" s="6">
        <v>66</v>
      </c>
      <c r="V112" s="52">
        <f>IF(ISERROR(VLOOKUP($S$112,'TAR FIN'!$A$1:$O$103,15,0)),0,VLOOKUP($S$112,'TAR FIN'!$A$1:$O$103,15,0))*(1-0.06)</f>
        <v>17.784800000000001</v>
      </c>
      <c r="W112" s="52">
        <f>IF(ISERROR(VLOOKUP($T$112,'TAR FIN'!$A$1:$O$103,15,0)),0,VLOOKUP($T$112,'TAR FIN'!$A$1:$O$103,15,0))*(1-0.06)</f>
        <v>79.890599999999992</v>
      </c>
      <c r="X112" s="52">
        <f>IF(ISERROR(VLOOKUP($U$112,'TAR FIN'!$A$1:$O$103,15,0)),0,VLOOKUP($U$112,'TAR FIN'!$A$1:$O$103,15,0))*(1-0.06)</f>
        <v>228.2038</v>
      </c>
      <c r="Y112" s="52">
        <f ca="1">('TUSD BE'!$AM$18+'TUSD BF'!$AM$18+'TUSD CVA'!$AM$18)*1*(1-0.03)</f>
        <v>20.728258466855738</v>
      </c>
      <c r="Z112" s="52">
        <f ca="1">('TUSD BE'!$AM$19+'TUSD BF'!$AM$19+'TUSD CVA'!$AM$19)*1*(1-0.03)</f>
        <v>141.35070271825751</v>
      </c>
      <c r="AA112" s="52">
        <f>('TE BE'!$AB$9+'TE BF'!$AB$9+'TE CVA'!$AB$9)*1*(1-0.03)</f>
        <v>215.72204893346822</v>
      </c>
      <c r="AB112" s="6">
        <f>$K$112*$V$112</f>
        <v>8910.1848000000009</v>
      </c>
      <c r="AC112" s="6">
        <f>$M$112*$W$112</f>
        <v>17218.661236799999</v>
      </c>
      <c r="AD112" s="6">
        <f>$O$112*$X$112</f>
        <v>49184.308606400002</v>
      </c>
      <c r="AE112" s="6">
        <f ca="1">$K$112*$Y$112</f>
        <v>10384.857491894725</v>
      </c>
      <c r="AF112" s="6">
        <f ca="1">$M$112*$Z$112</f>
        <v>30465.034255460603</v>
      </c>
      <c r="AG112" s="6">
        <f>$O$112*$AA$112</f>
        <v>46494.141762532534</v>
      </c>
    </row>
    <row r="113" spans="1:33" ht="11.25" customHeight="1" x14ac:dyDescent="0.3">
      <c r="A113" s="4" t="s">
        <v>21</v>
      </c>
      <c r="B113" s="4" t="s">
        <v>39</v>
      </c>
      <c r="C113" s="4" t="s">
        <v>42</v>
      </c>
      <c r="D113" s="4" t="s">
        <v>50</v>
      </c>
      <c r="E113" s="4" t="s">
        <v>51</v>
      </c>
      <c r="F113" s="4" t="s">
        <v>25</v>
      </c>
      <c r="G113" s="4" t="s">
        <v>25</v>
      </c>
      <c r="H113" s="4" t="s">
        <v>35</v>
      </c>
      <c r="I113" s="5">
        <v>44652</v>
      </c>
      <c r="J113" s="6">
        <v>502</v>
      </c>
      <c r="K113" s="53">
        <v>502</v>
      </c>
      <c r="L113" s="6">
        <v>224.44300000000001</v>
      </c>
      <c r="M113" s="52">
        <v>224.44300000000001</v>
      </c>
      <c r="N113" s="6">
        <v>224.44300000000001</v>
      </c>
      <c r="O113" s="52">
        <v>224.44300000000001</v>
      </c>
      <c r="P113" s="6">
        <v>0</v>
      </c>
      <c r="Q113" s="4" t="s">
        <v>26</v>
      </c>
      <c r="R113" s="4">
        <v>0</v>
      </c>
      <c r="S113" s="6">
        <v>5</v>
      </c>
      <c r="T113" s="6">
        <v>8</v>
      </c>
      <c r="U113" s="6">
        <v>66</v>
      </c>
      <c r="V113" s="52">
        <f>IF(ISERROR(VLOOKUP($S$113,'TAR FIN'!$A$1:$O$103,15,0)),0,VLOOKUP($S$113,'TAR FIN'!$A$1:$O$103,15,0))*(1-0.06)</f>
        <v>17.784800000000001</v>
      </c>
      <c r="W113" s="52">
        <f>IF(ISERROR(VLOOKUP($T$113,'TAR FIN'!$A$1:$O$103,15,0)),0,VLOOKUP($T$113,'TAR FIN'!$A$1:$O$103,15,0))*(1-0.06)</f>
        <v>79.890599999999992</v>
      </c>
      <c r="X113" s="52">
        <f>IF(ISERROR(VLOOKUP($U$113,'TAR FIN'!$A$1:$O$103,15,0)),0,VLOOKUP($U$113,'TAR FIN'!$A$1:$O$103,15,0))*(1-0.06)</f>
        <v>228.2038</v>
      </c>
      <c r="Y113" s="52">
        <f ca="1">('TUSD BE'!$AM$18+'TUSD BF'!$AM$18+'TUSD CVA'!$AM$18)*1*(1-0.03)</f>
        <v>20.728258466855738</v>
      </c>
      <c r="Z113" s="52">
        <f ca="1">('TUSD BE'!$AM$19+'TUSD BF'!$AM$19+'TUSD CVA'!$AM$19)*1*(1-0.03)</f>
        <v>141.35070271825751</v>
      </c>
      <c r="AA113" s="52">
        <f>('TE BE'!$AB$9+'TE BF'!$AB$9+'TE CVA'!$AB$9)*1*(1-0.03)</f>
        <v>215.72204893346822</v>
      </c>
      <c r="AB113" s="6">
        <f>$K$113*$V$113</f>
        <v>8927.9696000000004</v>
      </c>
      <c r="AC113" s="6">
        <f>$M$113*$W$113</f>
        <v>17930.885935800001</v>
      </c>
      <c r="AD113" s="6">
        <f>$O$113*$X$113</f>
        <v>51218.745483400002</v>
      </c>
      <c r="AE113" s="6">
        <f ca="1">$K$113*$Y$113</f>
        <v>10405.585750361581</v>
      </c>
      <c r="AF113" s="6">
        <f ca="1">$M$113*$Z$113</f>
        <v>31725.175770193873</v>
      </c>
      <c r="AG113" s="6">
        <f>$O$113*$AA$113</f>
        <v>48417.303828774406</v>
      </c>
    </row>
    <row r="114" spans="1:33" ht="11.25" customHeight="1" x14ac:dyDescent="0.3">
      <c r="A114" s="4" t="s">
        <v>21</v>
      </c>
      <c r="B114" s="4" t="s">
        <v>39</v>
      </c>
      <c r="C114" s="4" t="s">
        <v>42</v>
      </c>
      <c r="D114" s="4" t="s">
        <v>50</v>
      </c>
      <c r="E114" s="4" t="s">
        <v>51</v>
      </c>
      <c r="F114" s="4" t="s">
        <v>25</v>
      </c>
      <c r="G114" s="4" t="s">
        <v>25</v>
      </c>
      <c r="H114" s="4" t="s">
        <v>35</v>
      </c>
      <c r="I114" s="5">
        <v>44682</v>
      </c>
      <c r="J114" s="6">
        <v>501</v>
      </c>
      <c r="K114" s="53">
        <v>501</v>
      </c>
      <c r="L114" s="6">
        <v>230.06399999999999</v>
      </c>
      <c r="M114" s="52">
        <v>230.06399999999999</v>
      </c>
      <c r="N114" s="6">
        <v>230.06399999999999</v>
      </c>
      <c r="O114" s="52">
        <v>230.06399999999999</v>
      </c>
      <c r="P114" s="6">
        <v>0</v>
      </c>
      <c r="Q114" s="4" t="s">
        <v>26</v>
      </c>
      <c r="R114" s="4">
        <v>0</v>
      </c>
      <c r="S114" s="6">
        <v>5</v>
      </c>
      <c r="T114" s="6">
        <v>8</v>
      </c>
      <c r="U114" s="6">
        <v>66</v>
      </c>
      <c r="V114" s="52">
        <f>IF(ISERROR(VLOOKUP($S$114,'TAR FIN'!$A$1:$O$103,15,0)),0,VLOOKUP($S$114,'TAR FIN'!$A$1:$O$103,15,0))*(1-0.06)</f>
        <v>17.784800000000001</v>
      </c>
      <c r="W114" s="52">
        <f>IF(ISERROR(VLOOKUP($T$114,'TAR FIN'!$A$1:$O$103,15,0)),0,VLOOKUP($T$114,'TAR FIN'!$A$1:$O$103,15,0))*(1-0.06)</f>
        <v>79.890599999999992</v>
      </c>
      <c r="X114" s="52">
        <f>IF(ISERROR(VLOOKUP($U$114,'TAR FIN'!$A$1:$O$103,15,0)),0,VLOOKUP($U$114,'TAR FIN'!$A$1:$O$103,15,0))*(1-0.06)</f>
        <v>228.2038</v>
      </c>
      <c r="Y114" s="52">
        <f ca="1">('TUSD BE'!$AM$18+'TUSD BF'!$AM$18+'TUSD CVA'!$AM$18)*1*(1-0.03)</f>
        <v>20.728258466855738</v>
      </c>
      <c r="Z114" s="52">
        <f ca="1">('TUSD BE'!$AM$19+'TUSD BF'!$AM$19+'TUSD CVA'!$AM$19)*1*(1-0.03)</f>
        <v>141.35070271825751</v>
      </c>
      <c r="AA114" s="52">
        <f>('TE BE'!$AB$9+'TE BF'!$AB$9+'TE CVA'!$AB$9)*1*(1-0.03)</f>
        <v>215.72204893346822</v>
      </c>
      <c r="AB114" s="6">
        <f>$K$114*$V$114</f>
        <v>8910.1848000000009</v>
      </c>
      <c r="AC114" s="6">
        <f>$M$114*$W$114</f>
        <v>18379.950998399996</v>
      </c>
      <c r="AD114" s="6">
        <f>$O$114*$X$114</f>
        <v>52501.479043200001</v>
      </c>
      <c r="AE114" s="6">
        <f ca="1">$K$114*$Y$114</f>
        <v>10384.857491894725</v>
      </c>
      <c r="AF114" s="6">
        <f ca="1">$M$114*$Z$114</f>
        <v>32519.708070173194</v>
      </c>
      <c r="AG114" s="6">
        <f>$O$114*$AA$114</f>
        <v>49629.877465829428</v>
      </c>
    </row>
    <row r="115" spans="1:33" ht="11.25" customHeight="1" x14ac:dyDescent="0.3">
      <c r="A115" s="4" t="s">
        <v>21</v>
      </c>
      <c r="B115" s="4" t="s">
        <v>39</v>
      </c>
      <c r="C115" s="4" t="s">
        <v>42</v>
      </c>
      <c r="D115" s="4" t="s">
        <v>50</v>
      </c>
      <c r="E115" s="4" t="s">
        <v>51</v>
      </c>
      <c r="F115" s="4" t="s">
        <v>25</v>
      </c>
      <c r="G115" s="4" t="s">
        <v>25</v>
      </c>
      <c r="H115" s="4" t="s">
        <v>35</v>
      </c>
      <c r="I115" s="5">
        <v>44713</v>
      </c>
      <c r="J115" s="6">
        <v>501</v>
      </c>
      <c r="K115" s="53">
        <v>501</v>
      </c>
      <c r="L115" s="6">
        <v>217.18299999999999</v>
      </c>
      <c r="M115" s="52">
        <v>217.18299999999999</v>
      </c>
      <c r="N115" s="6">
        <v>217.18299999999999</v>
      </c>
      <c r="O115" s="52">
        <v>217.18299999999999</v>
      </c>
      <c r="P115" s="6">
        <v>0</v>
      </c>
      <c r="Q115" s="4" t="s">
        <v>26</v>
      </c>
      <c r="R115" s="4">
        <v>0</v>
      </c>
      <c r="S115" s="6">
        <v>5</v>
      </c>
      <c r="T115" s="6">
        <v>8</v>
      </c>
      <c r="U115" s="6">
        <v>66</v>
      </c>
      <c r="V115" s="52">
        <f>IF(ISERROR(VLOOKUP($S$115,'TAR FIN'!$A$1:$O$103,15,0)),0,VLOOKUP($S$115,'TAR FIN'!$A$1:$O$103,15,0))*(1-0.06)</f>
        <v>17.784800000000001</v>
      </c>
      <c r="W115" s="52">
        <f>IF(ISERROR(VLOOKUP($T$115,'TAR FIN'!$A$1:$O$103,15,0)),0,VLOOKUP($T$115,'TAR FIN'!$A$1:$O$103,15,0))*(1-0.06)</f>
        <v>79.890599999999992</v>
      </c>
      <c r="X115" s="52">
        <f>IF(ISERROR(VLOOKUP($U$115,'TAR FIN'!$A$1:$O$103,15,0)),0,VLOOKUP($U$115,'TAR FIN'!$A$1:$O$103,15,0))*(1-0.06)</f>
        <v>228.2038</v>
      </c>
      <c r="Y115" s="52">
        <f ca="1">('TUSD BE'!$AM$18+'TUSD BF'!$AM$18+'TUSD CVA'!$AM$18)*1*(1-0.03)</f>
        <v>20.728258466855738</v>
      </c>
      <c r="Z115" s="52">
        <f ca="1">('TUSD BE'!$AM$19+'TUSD BF'!$AM$19+'TUSD CVA'!$AM$19)*1*(1-0.03)</f>
        <v>141.35070271825751</v>
      </c>
      <c r="AA115" s="52">
        <f>('TE BE'!$AB$9+'TE BF'!$AB$9+'TE CVA'!$AB$9)*1*(1-0.03)</f>
        <v>215.72204893346822</v>
      </c>
      <c r="AB115" s="6">
        <f>$K$115*$V$115</f>
        <v>8910.1848000000009</v>
      </c>
      <c r="AC115" s="6">
        <f>$M$115*$W$115</f>
        <v>17350.880179799999</v>
      </c>
      <c r="AD115" s="6">
        <f>$O$115*$X$115</f>
        <v>49561.985895400001</v>
      </c>
      <c r="AE115" s="6">
        <f ca="1">$K$115*$Y$115</f>
        <v>10384.857491894725</v>
      </c>
      <c r="AF115" s="6">
        <f ca="1">$M$115*$Z$115</f>
        <v>30698.969668459318</v>
      </c>
      <c r="AG115" s="6">
        <f>$O$115*$AA$115</f>
        <v>46851.161753517423</v>
      </c>
    </row>
    <row r="116" spans="1:33" ht="11.25" customHeight="1" x14ac:dyDescent="0.3">
      <c r="A116" s="4" t="s">
        <v>21</v>
      </c>
      <c r="B116" s="4" t="s">
        <v>39</v>
      </c>
      <c r="C116" s="4" t="s">
        <v>42</v>
      </c>
      <c r="D116" s="4" t="s">
        <v>50</v>
      </c>
      <c r="E116" s="4" t="s">
        <v>51</v>
      </c>
      <c r="F116" s="4" t="s">
        <v>25</v>
      </c>
      <c r="G116" s="4" t="s">
        <v>25</v>
      </c>
      <c r="H116" s="4" t="s">
        <v>35</v>
      </c>
      <c r="I116" s="5">
        <v>44743</v>
      </c>
      <c r="J116" s="6">
        <v>500</v>
      </c>
      <c r="K116" s="53">
        <v>500</v>
      </c>
      <c r="L116" s="6">
        <v>227.62</v>
      </c>
      <c r="M116" s="52">
        <v>227.62</v>
      </c>
      <c r="N116" s="6">
        <v>227.62</v>
      </c>
      <c r="O116" s="52">
        <v>227.62</v>
      </c>
      <c r="P116" s="6">
        <v>0</v>
      </c>
      <c r="Q116" s="4" t="s">
        <v>26</v>
      </c>
      <c r="R116" s="4">
        <v>0</v>
      </c>
      <c r="S116" s="6">
        <v>5</v>
      </c>
      <c r="T116" s="6">
        <v>8</v>
      </c>
      <c r="U116" s="6">
        <v>66</v>
      </c>
      <c r="V116" s="52">
        <f>IF(ISERROR(VLOOKUP($S$116,'TAR FIN'!$A$1:$O$103,15,0)),0,VLOOKUP($S$116,'TAR FIN'!$A$1:$O$103,15,0))*(1-0.06)</f>
        <v>17.784800000000001</v>
      </c>
      <c r="W116" s="52">
        <f>IF(ISERROR(VLOOKUP($T$116,'TAR FIN'!$A$1:$O$103,15,0)),0,VLOOKUP($T$116,'TAR FIN'!$A$1:$O$103,15,0))*(1-0.06)</f>
        <v>79.890599999999992</v>
      </c>
      <c r="X116" s="52">
        <f>IF(ISERROR(VLOOKUP($U$116,'TAR FIN'!$A$1:$O$103,15,0)),0,VLOOKUP($U$116,'TAR FIN'!$A$1:$O$103,15,0))*(1-0.06)</f>
        <v>228.2038</v>
      </c>
      <c r="Y116" s="52">
        <f ca="1">('TUSD BE'!$AM$18+'TUSD BF'!$AM$18+'TUSD CVA'!$AM$18)*1*(1-0.03)</f>
        <v>20.728258466855738</v>
      </c>
      <c r="Z116" s="52">
        <f ca="1">('TUSD BE'!$AM$19+'TUSD BF'!$AM$19+'TUSD CVA'!$AM$19)*1*(1-0.03)</f>
        <v>141.35070271825751</v>
      </c>
      <c r="AA116" s="52">
        <f>('TE BE'!$AB$9+'TE BF'!$AB$9+'TE CVA'!$AB$9)*1*(1-0.03)</f>
        <v>215.72204893346822</v>
      </c>
      <c r="AB116" s="6">
        <f>$K$116*$V$116</f>
        <v>8892.4</v>
      </c>
      <c r="AC116" s="6">
        <f>$M$116*$W$116</f>
        <v>18184.698371999999</v>
      </c>
      <c r="AD116" s="6">
        <f>$O$116*$X$116</f>
        <v>51943.748956000003</v>
      </c>
      <c r="AE116" s="6">
        <f ca="1">$K$116*$Y$116</f>
        <v>10364.12923342787</v>
      </c>
      <c r="AF116" s="6">
        <f ca="1">$M$116*$Z$116</f>
        <v>32174.246952729776</v>
      </c>
      <c r="AG116" s="6">
        <f>$O$116*$AA$116</f>
        <v>49102.652778236035</v>
      </c>
    </row>
    <row r="117" spans="1:33" ht="11.25" customHeight="1" x14ac:dyDescent="0.3">
      <c r="A117" s="4" t="s">
        <v>21</v>
      </c>
      <c r="B117" s="4" t="s">
        <v>39</v>
      </c>
      <c r="C117" s="4" t="s">
        <v>42</v>
      </c>
      <c r="D117" s="4" t="s">
        <v>50</v>
      </c>
      <c r="E117" s="4" t="s">
        <v>51</v>
      </c>
      <c r="F117" s="4" t="s">
        <v>25</v>
      </c>
      <c r="G117" s="4" t="s">
        <v>25</v>
      </c>
      <c r="H117" s="4" t="s">
        <v>35</v>
      </c>
      <c r="I117" s="5">
        <v>44774</v>
      </c>
      <c r="J117" s="6">
        <v>500</v>
      </c>
      <c r="K117" s="53">
        <v>500</v>
      </c>
      <c r="L117" s="6">
        <v>242.39400000000001</v>
      </c>
      <c r="M117" s="52">
        <v>242.39400000000001</v>
      </c>
      <c r="N117" s="6">
        <v>242.39400000000001</v>
      </c>
      <c r="O117" s="52">
        <v>242.39400000000001</v>
      </c>
      <c r="P117" s="6">
        <v>0</v>
      </c>
      <c r="Q117" s="4" t="s">
        <v>26</v>
      </c>
      <c r="R117" s="4">
        <v>0</v>
      </c>
      <c r="S117" s="6">
        <v>5</v>
      </c>
      <c r="T117" s="6">
        <v>8</v>
      </c>
      <c r="U117" s="6">
        <v>66</v>
      </c>
      <c r="V117" s="52">
        <f>IF(ISERROR(VLOOKUP($S$117,'TAR FIN'!$A$1:$O$103,15,0)),0,VLOOKUP($S$117,'TAR FIN'!$A$1:$O$103,15,0))*(1-0.06)</f>
        <v>17.784800000000001</v>
      </c>
      <c r="W117" s="52">
        <f>IF(ISERROR(VLOOKUP($T$117,'TAR FIN'!$A$1:$O$103,15,0)),0,VLOOKUP($T$117,'TAR FIN'!$A$1:$O$103,15,0))*(1-0.06)</f>
        <v>79.890599999999992</v>
      </c>
      <c r="X117" s="52">
        <f>IF(ISERROR(VLOOKUP($U$117,'TAR FIN'!$A$1:$O$103,15,0)),0,VLOOKUP($U$117,'TAR FIN'!$A$1:$O$103,15,0))*(1-0.06)</f>
        <v>228.2038</v>
      </c>
      <c r="Y117" s="52">
        <f ca="1">('TUSD BE'!$AM$18+'TUSD BF'!$AM$18+'TUSD CVA'!$AM$18)*1*(1-0.03)</f>
        <v>20.728258466855738</v>
      </c>
      <c r="Z117" s="52">
        <f ca="1">('TUSD BE'!$AM$19+'TUSD BF'!$AM$19+'TUSD CVA'!$AM$19)*1*(1-0.03)</f>
        <v>141.35070271825751</v>
      </c>
      <c r="AA117" s="52">
        <f>('TE BE'!$AB$9+'TE BF'!$AB$9+'TE CVA'!$AB$9)*1*(1-0.03)</f>
        <v>215.72204893346822</v>
      </c>
      <c r="AB117" s="6">
        <f>$K$117*$V$117</f>
        <v>8892.4</v>
      </c>
      <c r="AC117" s="6">
        <f>$M$117*$W$117</f>
        <v>19365.0020964</v>
      </c>
      <c r="AD117" s="6">
        <f>$O$117*$X$117</f>
        <v>55315.231897199999</v>
      </c>
      <c r="AE117" s="6">
        <f ca="1">$K$117*$Y$117</f>
        <v>10364.12923342787</v>
      </c>
      <c r="AF117" s="6">
        <f ca="1">$M$117*$Z$117</f>
        <v>34262.562234689314</v>
      </c>
      <c r="AG117" s="6">
        <f>$O$117*$AA$117</f>
        <v>52289.730329179096</v>
      </c>
    </row>
    <row r="118" spans="1:33" ht="11.25" customHeight="1" x14ac:dyDescent="0.3">
      <c r="A118" s="4" t="s">
        <v>21</v>
      </c>
      <c r="B118" s="4" t="s">
        <v>39</v>
      </c>
      <c r="C118" s="4" t="s">
        <v>42</v>
      </c>
      <c r="D118" s="4" t="s">
        <v>50</v>
      </c>
      <c r="E118" s="4" t="s">
        <v>51</v>
      </c>
      <c r="F118" s="4" t="s">
        <v>25</v>
      </c>
      <c r="G118" s="4" t="s">
        <v>25</v>
      </c>
      <c r="H118" s="4" t="s">
        <v>35</v>
      </c>
      <c r="I118" s="5">
        <v>44805</v>
      </c>
      <c r="J118" s="6">
        <v>500</v>
      </c>
      <c r="K118" s="53">
        <v>500</v>
      </c>
      <c r="L118" s="6">
        <v>249.33799999999999</v>
      </c>
      <c r="M118" s="52">
        <v>249.33799999999999</v>
      </c>
      <c r="N118" s="6">
        <v>249.33799999999999</v>
      </c>
      <c r="O118" s="52">
        <v>249.33799999999999</v>
      </c>
      <c r="P118" s="6">
        <v>0</v>
      </c>
      <c r="Q118" s="4" t="s">
        <v>26</v>
      </c>
      <c r="R118" s="4">
        <v>0</v>
      </c>
      <c r="S118" s="6">
        <v>5</v>
      </c>
      <c r="T118" s="6">
        <v>8</v>
      </c>
      <c r="U118" s="6">
        <v>66</v>
      </c>
      <c r="V118" s="52">
        <f>IF(ISERROR(VLOOKUP($S$118,'TAR FIN'!$A$1:$O$103,15,0)),0,VLOOKUP($S$118,'TAR FIN'!$A$1:$O$103,15,0))*(1-0.06)</f>
        <v>17.784800000000001</v>
      </c>
      <c r="W118" s="52">
        <f>IF(ISERROR(VLOOKUP($T$118,'TAR FIN'!$A$1:$O$103,15,0)),0,VLOOKUP($T$118,'TAR FIN'!$A$1:$O$103,15,0))*(1-0.06)</f>
        <v>79.890599999999992</v>
      </c>
      <c r="X118" s="52">
        <f>IF(ISERROR(VLOOKUP($U$118,'TAR FIN'!$A$1:$O$103,15,0)),0,VLOOKUP($U$118,'TAR FIN'!$A$1:$O$103,15,0))*(1-0.06)</f>
        <v>228.2038</v>
      </c>
      <c r="Y118" s="52">
        <f ca="1">('TUSD BE'!$AM$18+'TUSD BF'!$AM$18+'TUSD CVA'!$AM$18)*1*(1-0.03)</f>
        <v>20.728258466855738</v>
      </c>
      <c r="Z118" s="52">
        <f ca="1">('TUSD BE'!$AM$19+'TUSD BF'!$AM$19+'TUSD CVA'!$AM$19)*1*(1-0.03)</f>
        <v>141.35070271825751</v>
      </c>
      <c r="AA118" s="52">
        <f>('TE BE'!$AB$9+'TE BF'!$AB$9+'TE CVA'!$AB$9)*1*(1-0.03)</f>
        <v>215.72204893346822</v>
      </c>
      <c r="AB118" s="6">
        <f>$K$118*$V$118</f>
        <v>8892.4</v>
      </c>
      <c r="AC118" s="6">
        <f>$M$118*$W$118</f>
        <v>19919.762422799999</v>
      </c>
      <c r="AD118" s="6">
        <f>$O$118*$X$118</f>
        <v>56899.879084399996</v>
      </c>
      <c r="AE118" s="6">
        <f ca="1">$K$118*$Y$118</f>
        <v>10364.12923342787</v>
      </c>
      <c r="AF118" s="6">
        <f ca="1">$M$118*$Z$118</f>
        <v>35244.101514364891</v>
      </c>
      <c r="AG118" s="6">
        <f>$O$118*$AA$118</f>
        <v>53787.704236973099</v>
      </c>
    </row>
    <row r="119" spans="1:33" ht="11.25" customHeight="1" x14ac:dyDescent="0.3">
      <c r="A119" s="4" t="s">
        <v>57</v>
      </c>
      <c r="B119" s="4" t="s">
        <v>39</v>
      </c>
      <c r="C119" s="4" t="s">
        <v>42</v>
      </c>
      <c r="D119" s="4" t="s">
        <v>50</v>
      </c>
      <c r="E119" s="4" t="s">
        <v>51</v>
      </c>
      <c r="F119" s="4" t="s">
        <v>25</v>
      </c>
      <c r="G119" s="4" t="s">
        <v>25</v>
      </c>
      <c r="H119" s="4" t="s">
        <v>35</v>
      </c>
      <c r="I119" s="5">
        <v>44835</v>
      </c>
      <c r="J119" s="6">
        <v>500</v>
      </c>
      <c r="K119" s="53">
        <v>500</v>
      </c>
      <c r="L119" s="6">
        <v>249.33799999999999</v>
      </c>
      <c r="M119" s="52">
        <v>249.33799999999999</v>
      </c>
      <c r="N119" s="6">
        <v>249.33799999999999</v>
      </c>
      <c r="O119" s="52">
        <v>249.33799999999999</v>
      </c>
      <c r="P119" s="6">
        <v>0</v>
      </c>
      <c r="Q119" s="4" t="s">
        <v>26</v>
      </c>
      <c r="R119" s="4">
        <v>0</v>
      </c>
      <c r="S119" s="6">
        <v>5</v>
      </c>
      <c r="T119" s="6">
        <v>8</v>
      </c>
      <c r="U119" s="6">
        <v>66</v>
      </c>
      <c r="V119" s="52">
        <f>IF(ISERROR(VLOOKUP($S$119,'TAR FIN'!$A$1:$O$103,15,0)),0,VLOOKUP($S$119,'TAR FIN'!$A$1:$O$103,15,0))*(1-0.06)</f>
        <v>17.784800000000001</v>
      </c>
      <c r="W119" s="52">
        <f>IF(ISERROR(VLOOKUP($T$119,'TAR FIN'!$A$1:$O$103,15,0)),0,VLOOKUP($T$119,'TAR FIN'!$A$1:$O$103,15,0))*(1-0.06)</f>
        <v>79.890599999999992</v>
      </c>
      <c r="X119" s="52">
        <f>IF(ISERROR(VLOOKUP($U$119,'TAR FIN'!$A$1:$O$103,15,0)),0,VLOOKUP($U$119,'TAR FIN'!$A$1:$O$103,15,0))*(1-0.06)</f>
        <v>228.2038</v>
      </c>
      <c r="Y119" s="52">
        <f ca="1">('TUSD BE'!$AM$18+'TUSD BF'!$AM$18+'TUSD CVA'!$AM$18)*1*(1-0.03)</f>
        <v>20.728258466855738</v>
      </c>
      <c r="Z119" s="52">
        <f ca="1">('TUSD BE'!$AM$19+'TUSD BF'!$AM$19+'TUSD CVA'!$AM$19)*1*(1-0.03)</f>
        <v>141.35070271825751</v>
      </c>
      <c r="AA119" s="52">
        <f>('TE BE'!$AB$9+'TE BF'!$AB$9+'TE CVA'!$AB$9)*1*(1-0.03)</f>
        <v>215.72204893346822</v>
      </c>
      <c r="AB119" s="6">
        <f>$K$119*$V$119</f>
        <v>8892.4</v>
      </c>
      <c r="AC119" s="6">
        <f>$M$119*$W$119</f>
        <v>19919.762422799999</v>
      </c>
      <c r="AD119" s="6">
        <f>$O$119*$X$119</f>
        <v>56899.879084399996</v>
      </c>
      <c r="AE119" s="6">
        <f ca="1">$K$119*$Y$119</f>
        <v>10364.12923342787</v>
      </c>
      <c r="AF119" s="6">
        <f ca="1">$M$119*$Z$119</f>
        <v>35244.101514364891</v>
      </c>
      <c r="AG119" s="6">
        <f>$O$119*$AA$119</f>
        <v>53787.704236973099</v>
      </c>
    </row>
    <row r="120" spans="1:33" ht="11.25" customHeight="1" x14ac:dyDescent="0.3">
      <c r="A120" s="4" t="s">
        <v>21</v>
      </c>
      <c r="B120" s="4" t="s">
        <v>39</v>
      </c>
      <c r="C120" s="4" t="s">
        <v>42</v>
      </c>
      <c r="D120" s="4" t="s">
        <v>50</v>
      </c>
      <c r="E120" s="4" t="s">
        <v>51</v>
      </c>
      <c r="F120" s="4" t="s">
        <v>25</v>
      </c>
      <c r="G120" s="4" t="s">
        <v>25</v>
      </c>
      <c r="H120" s="4" t="s">
        <v>34</v>
      </c>
      <c r="I120" s="5">
        <v>44501</v>
      </c>
      <c r="J120" s="6">
        <v>504</v>
      </c>
      <c r="K120" s="53">
        <v>504</v>
      </c>
      <c r="L120" s="6">
        <v>26.707000000000001</v>
      </c>
      <c r="M120" s="52">
        <v>26.707000000000001</v>
      </c>
      <c r="N120" s="6">
        <v>26.707000000000001</v>
      </c>
      <c r="O120" s="52">
        <v>26.707000000000001</v>
      </c>
      <c r="P120" s="6">
        <v>0</v>
      </c>
      <c r="Q120" s="4" t="s">
        <v>26</v>
      </c>
      <c r="R120" s="4">
        <v>0</v>
      </c>
      <c r="S120" s="6">
        <v>4</v>
      </c>
      <c r="T120" s="6">
        <v>8</v>
      </c>
      <c r="U120" s="6">
        <v>65</v>
      </c>
      <c r="V120" s="52">
        <f>IF(ISERROR(VLOOKUP($S$120,'TAR FIN'!$A$1:$O$103,15,0)),0,VLOOKUP($S$120,'TAR FIN'!$A$1:$O$103,15,0))*(1-0.06)</f>
        <v>42.986199999999997</v>
      </c>
      <c r="W120" s="52">
        <f>IF(ISERROR(VLOOKUP($T$120,'TAR FIN'!$A$1:$O$103,15,0)),0,VLOOKUP($T$120,'TAR FIN'!$A$1:$O$103,15,0))*(1-0.06)</f>
        <v>79.890599999999992</v>
      </c>
      <c r="X120" s="52">
        <f>IF(ISERROR(VLOOKUP($U$120,'TAR FIN'!$A$1:$O$103,15,0)),0,VLOOKUP($U$120,'TAR FIN'!$A$1:$O$103,15,0))*(1-0.06)</f>
        <v>368.04759999999999</v>
      </c>
      <c r="Y120" s="52">
        <f ca="1">('TUSD BE'!$AM$17+'TUSD BF'!$AM$17+'TUSD CVA'!$AM$17)*1*(1-0.03)</f>
        <v>49.5082702248163</v>
      </c>
      <c r="Z120" s="52">
        <f ca="1">('TUSD BE'!$AM$19+'TUSD BF'!$AM$19+'TUSD CVA'!$AM$19)*1*(1-0.03)</f>
        <v>141.35070271825751</v>
      </c>
      <c r="AA120" s="52">
        <f>('TE BE'!$AB$8+'TE BF'!$AB$8+'TE CVA'!$AB$8)*1*(1-0.03)</f>
        <v>351.09406763094154</v>
      </c>
      <c r="AB120" s="6">
        <f>$K$120*$V$120</f>
        <v>21665.0448</v>
      </c>
      <c r="AC120" s="6">
        <f>$M$120*$W$120</f>
        <v>2133.6382541999997</v>
      </c>
      <c r="AD120" s="6">
        <f>$O$120*$X$120</f>
        <v>9829.4472532</v>
      </c>
      <c r="AE120" s="6">
        <f ca="1">$K$120*$Y$120</f>
        <v>24952.168193307414</v>
      </c>
      <c r="AF120" s="6">
        <f ca="1">$M$120*$Z$120</f>
        <v>3775.0532174965033</v>
      </c>
      <c r="AG120" s="6">
        <f>$O$120*$AA$120</f>
        <v>9376.6692642195558</v>
      </c>
    </row>
    <row r="121" spans="1:33" ht="11.25" customHeight="1" x14ac:dyDescent="0.3">
      <c r="A121" s="4" t="s">
        <v>21</v>
      </c>
      <c r="B121" s="4" t="s">
        <v>39</v>
      </c>
      <c r="C121" s="4" t="s">
        <v>42</v>
      </c>
      <c r="D121" s="4" t="s">
        <v>50</v>
      </c>
      <c r="E121" s="4" t="s">
        <v>51</v>
      </c>
      <c r="F121" s="4" t="s">
        <v>25</v>
      </c>
      <c r="G121" s="4" t="s">
        <v>25</v>
      </c>
      <c r="H121" s="4" t="s">
        <v>34</v>
      </c>
      <c r="I121" s="5">
        <v>44531</v>
      </c>
      <c r="J121" s="6">
        <v>503</v>
      </c>
      <c r="K121" s="53">
        <v>503</v>
      </c>
      <c r="L121" s="6">
        <v>30.75</v>
      </c>
      <c r="M121" s="52">
        <v>30.75</v>
      </c>
      <c r="N121" s="6">
        <v>30.75</v>
      </c>
      <c r="O121" s="52">
        <v>30.75</v>
      </c>
      <c r="P121" s="6">
        <v>0</v>
      </c>
      <c r="Q121" s="4" t="s">
        <v>26</v>
      </c>
      <c r="R121" s="4">
        <v>0</v>
      </c>
      <c r="S121" s="6">
        <v>4</v>
      </c>
      <c r="T121" s="6">
        <v>8</v>
      </c>
      <c r="U121" s="6">
        <v>65</v>
      </c>
      <c r="V121" s="52">
        <f>IF(ISERROR(VLOOKUP($S$121,'TAR FIN'!$A$1:$O$103,15,0)),0,VLOOKUP($S$121,'TAR FIN'!$A$1:$O$103,15,0))*(1-0.06)</f>
        <v>42.986199999999997</v>
      </c>
      <c r="W121" s="52">
        <f>IF(ISERROR(VLOOKUP($T$121,'TAR FIN'!$A$1:$O$103,15,0)),0,VLOOKUP($T$121,'TAR FIN'!$A$1:$O$103,15,0))*(1-0.06)</f>
        <v>79.890599999999992</v>
      </c>
      <c r="X121" s="52">
        <f>IF(ISERROR(VLOOKUP($U$121,'TAR FIN'!$A$1:$O$103,15,0)),0,VLOOKUP($U$121,'TAR FIN'!$A$1:$O$103,15,0))*(1-0.06)</f>
        <v>368.04759999999999</v>
      </c>
      <c r="Y121" s="52">
        <f ca="1">('TUSD BE'!$AM$17+'TUSD BF'!$AM$17+'TUSD CVA'!$AM$17)*1*(1-0.03)</f>
        <v>49.5082702248163</v>
      </c>
      <c r="Z121" s="52">
        <f ca="1">('TUSD BE'!$AM$19+'TUSD BF'!$AM$19+'TUSD CVA'!$AM$19)*1*(1-0.03)</f>
        <v>141.35070271825751</v>
      </c>
      <c r="AA121" s="52">
        <f>('TE BE'!$AB$8+'TE BF'!$AB$8+'TE CVA'!$AB$8)*1*(1-0.03)</f>
        <v>351.09406763094154</v>
      </c>
      <c r="AB121" s="6">
        <f>$K$121*$V$121</f>
        <v>21622.058599999997</v>
      </c>
      <c r="AC121" s="6">
        <f>$M$121*$W$121</f>
        <v>2456.6359499999999</v>
      </c>
      <c r="AD121" s="6">
        <f>$O$121*$X$121</f>
        <v>11317.4637</v>
      </c>
      <c r="AE121" s="6">
        <f ca="1">$K$121*$Y$121</f>
        <v>24902.6599230826</v>
      </c>
      <c r="AF121" s="6">
        <f ca="1">$M$121*$Z$121</f>
        <v>4346.5341085864184</v>
      </c>
      <c r="AG121" s="6">
        <f>$O$121*$AA$121</f>
        <v>10796.142579651452</v>
      </c>
    </row>
    <row r="122" spans="1:33" ht="11.25" customHeight="1" x14ac:dyDescent="0.3">
      <c r="A122" s="4" t="s">
        <v>21</v>
      </c>
      <c r="B122" s="4" t="s">
        <v>39</v>
      </c>
      <c r="C122" s="4" t="s">
        <v>42</v>
      </c>
      <c r="D122" s="4" t="s">
        <v>50</v>
      </c>
      <c r="E122" s="4" t="s">
        <v>51</v>
      </c>
      <c r="F122" s="4" t="s">
        <v>25</v>
      </c>
      <c r="G122" s="4" t="s">
        <v>25</v>
      </c>
      <c r="H122" s="4" t="s">
        <v>34</v>
      </c>
      <c r="I122" s="5">
        <v>44562</v>
      </c>
      <c r="J122" s="6">
        <v>503</v>
      </c>
      <c r="K122" s="53">
        <v>503</v>
      </c>
      <c r="L122" s="6">
        <v>27.852</v>
      </c>
      <c r="M122" s="52">
        <v>27.852</v>
      </c>
      <c r="N122" s="6">
        <v>27.852</v>
      </c>
      <c r="O122" s="52">
        <v>27.852</v>
      </c>
      <c r="P122" s="6">
        <v>0</v>
      </c>
      <c r="Q122" s="4" t="s">
        <v>26</v>
      </c>
      <c r="R122" s="4">
        <v>0</v>
      </c>
      <c r="S122" s="6">
        <v>4</v>
      </c>
      <c r="T122" s="6">
        <v>8</v>
      </c>
      <c r="U122" s="6">
        <v>65</v>
      </c>
      <c r="V122" s="52">
        <f>IF(ISERROR(VLOOKUP($S$122,'TAR FIN'!$A$1:$O$103,15,0)),0,VLOOKUP($S$122,'TAR FIN'!$A$1:$O$103,15,0))*(1-0.06)</f>
        <v>42.986199999999997</v>
      </c>
      <c r="W122" s="52">
        <f>IF(ISERROR(VLOOKUP($T$122,'TAR FIN'!$A$1:$O$103,15,0)),0,VLOOKUP($T$122,'TAR FIN'!$A$1:$O$103,15,0))*(1-0.06)</f>
        <v>79.890599999999992</v>
      </c>
      <c r="X122" s="52">
        <f>IF(ISERROR(VLOOKUP($U$122,'TAR FIN'!$A$1:$O$103,15,0)),0,VLOOKUP($U$122,'TAR FIN'!$A$1:$O$103,15,0))*(1-0.06)</f>
        <v>368.04759999999999</v>
      </c>
      <c r="Y122" s="52">
        <f ca="1">('TUSD BE'!$AM$17+'TUSD BF'!$AM$17+'TUSD CVA'!$AM$17)*1*(1-0.03)</f>
        <v>49.5082702248163</v>
      </c>
      <c r="Z122" s="52">
        <f ca="1">('TUSD BE'!$AM$19+'TUSD BF'!$AM$19+'TUSD CVA'!$AM$19)*1*(1-0.03)</f>
        <v>141.35070271825751</v>
      </c>
      <c r="AA122" s="52">
        <f>('TE BE'!$AB$8+'TE BF'!$AB$8+'TE CVA'!$AB$8)*1*(1-0.03)</f>
        <v>351.09406763094154</v>
      </c>
      <c r="AB122" s="6">
        <f>$K$122*$V$122</f>
        <v>21622.058599999997</v>
      </c>
      <c r="AC122" s="6">
        <f>$M$122*$W$122</f>
        <v>2225.1129911999997</v>
      </c>
      <c r="AD122" s="6">
        <f>$O$122*$X$122</f>
        <v>10250.8617552</v>
      </c>
      <c r="AE122" s="6">
        <f ca="1">$K$122*$Y$122</f>
        <v>24902.6599230826</v>
      </c>
      <c r="AF122" s="6">
        <f ca="1">$M$122*$Z$122</f>
        <v>3936.8997721089081</v>
      </c>
      <c r="AG122" s="6">
        <f>$O$122*$AA$122</f>
        <v>9778.6719716569842</v>
      </c>
    </row>
    <row r="123" spans="1:33" ht="11.25" customHeight="1" x14ac:dyDescent="0.3">
      <c r="A123" s="4" t="s">
        <v>21</v>
      </c>
      <c r="B123" s="4" t="s">
        <v>39</v>
      </c>
      <c r="C123" s="4" t="s">
        <v>42</v>
      </c>
      <c r="D123" s="4" t="s">
        <v>50</v>
      </c>
      <c r="E123" s="4" t="s">
        <v>51</v>
      </c>
      <c r="F123" s="4" t="s">
        <v>25</v>
      </c>
      <c r="G123" s="4" t="s">
        <v>25</v>
      </c>
      <c r="H123" s="4" t="s">
        <v>34</v>
      </c>
      <c r="I123" s="5">
        <v>44593</v>
      </c>
      <c r="J123" s="6">
        <v>496</v>
      </c>
      <c r="K123" s="53">
        <v>496</v>
      </c>
      <c r="L123" s="6">
        <v>25.864999999999998</v>
      </c>
      <c r="M123" s="52">
        <v>25.864999999999998</v>
      </c>
      <c r="N123" s="6">
        <v>25.864999999999998</v>
      </c>
      <c r="O123" s="52">
        <v>25.864999999999998</v>
      </c>
      <c r="P123" s="6">
        <v>0</v>
      </c>
      <c r="Q123" s="4" t="s">
        <v>26</v>
      </c>
      <c r="R123" s="4">
        <v>0</v>
      </c>
      <c r="S123" s="6">
        <v>4</v>
      </c>
      <c r="T123" s="6">
        <v>8</v>
      </c>
      <c r="U123" s="6">
        <v>65</v>
      </c>
      <c r="V123" s="52">
        <f>IF(ISERROR(VLOOKUP($S$123,'TAR FIN'!$A$1:$O$103,15,0)),0,VLOOKUP($S$123,'TAR FIN'!$A$1:$O$103,15,0))*(1-0.06)</f>
        <v>42.986199999999997</v>
      </c>
      <c r="W123" s="52">
        <f>IF(ISERROR(VLOOKUP($T$123,'TAR FIN'!$A$1:$O$103,15,0)),0,VLOOKUP($T$123,'TAR FIN'!$A$1:$O$103,15,0))*(1-0.06)</f>
        <v>79.890599999999992</v>
      </c>
      <c r="X123" s="52">
        <f>IF(ISERROR(VLOOKUP($U$123,'TAR FIN'!$A$1:$O$103,15,0)),0,VLOOKUP($U$123,'TAR FIN'!$A$1:$O$103,15,0))*(1-0.06)</f>
        <v>368.04759999999999</v>
      </c>
      <c r="Y123" s="52">
        <f ca="1">('TUSD BE'!$AM$17+'TUSD BF'!$AM$17+'TUSD CVA'!$AM$17)*1*(1-0.03)</f>
        <v>49.5082702248163</v>
      </c>
      <c r="Z123" s="52">
        <f ca="1">('TUSD BE'!$AM$19+'TUSD BF'!$AM$19+'TUSD CVA'!$AM$19)*1*(1-0.03)</f>
        <v>141.35070271825751</v>
      </c>
      <c r="AA123" s="52">
        <f>('TE BE'!$AB$8+'TE BF'!$AB$8+'TE CVA'!$AB$8)*1*(1-0.03)</f>
        <v>351.09406763094154</v>
      </c>
      <c r="AB123" s="6">
        <f>$K$123*$V$123</f>
        <v>21321.155199999997</v>
      </c>
      <c r="AC123" s="6">
        <f>$M$123*$W$123</f>
        <v>2066.3703689999998</v>
      </c>
      <c r="AD123" s="6">
        <f>$O$123*$X$123</f>
        <v>9519.5511739999984</v>
      </c>
      <c r="AE123" s="6">
        <f ca="1">$K$123*$Y$123</f>
        <v>24556.102031508886</v>
      </c>
      <c r="AF123" s="6">
        <f ca="1">$M$123*$Z$123</f>
        <v>3656.0359258077301</v>
      </c>
      <c r="AG123" s="6">
        <f>$O$123*$AA$123</f>
        <v>9081.0480592743024</v>
      </c>
    </row>
    <row r="124" spans="1:33" ht="11.25" customHeight="1" x14ac:dyDescent="0.3">
      <c r="A124" s="4" t="s">
        <v>21</v>
      </c>
      <c r="B124" s="4" t="s">
        <v>39</v>
      </c>
      <c r="C124" s="4" t="s">
        <v>42</v>
      </c>
      <c r="D124" s="4" t="s">
        <v>50</v>
      </c>
      <c r="E124" s="4" t="s">
        <v>51</v>
      </c>
      <c r="F124" s="4" t="s">
        <v>25</v>
      </c>
      <c r="G124" s="4" t="s">
        <v>25</v>
      </c>
      <c r="H124" s="4" t="s">
        <v>34</v>
      </c>
      <c r="I124" s="5">
        <v>44621</v>
      </c>
      <c r="J124" s="6">
        <v>496</v>
      </c>
      <c r="K124" s="53">
        <v>496</v>
      </c>
      <c r="L124" s="6">
        <v>28.08</v>
      </c>
      <c r="M124" s="52">
        <v>28.08</v>
      </c>
      <c r="N124" s="6">
        <v>28.08</v>
      </c>
      <c r="O124" s="52">
        <v>28.08</v>
      </c>
      <c r="P124" s="6">
        <v>0</v>
      </c>
      <c r="Q124" s="4" t="s">
        <v>26</v>
      </c>
      <c r="R124" s="4">
        <v>0</v>
      </c>
      <c r="S124" s="6">
        <v>4</v>
      </c>
      <c r="T124" s="6">
        <v>8</v>
      </c>
      <c r="U124" s="6">
        <v>65</v>
      </c>
      <c r="V124" s="52">
        <f>IF(ISERROR(VLOOKUP($S$124,'TAR FIN'!$A$1:$O$103,15,0)),0,VLOOKUP($S$124,'TAR FIN'!$A$1:$O$103,15,0))*(1-0.06)</f>
        <v>42.986199999999997</v>
      </c>
      <c r="W124" s="52">
        <f>IF(ISERROR(VLOOKUP($T$124,'TAR FIN'!$A$1:$O$103,15,0)),0,VLOOKUP($T$124,'TAR FIN'!$A$1:$O$103,15,0))*(1-0.06)</f>
        <v>79.890599999999992</v>
      </c>
      <c r="X124" s="52">
        <f>IF(ISERROR(VLOOKUP($U$124,'TAR FIN'!$A$1:$O$103,15,0)),0,VLOOKUP($U$124,'TAR FIN'!$A$1:$O$103,15,0))*(1-0.06)</f>
        <v>368.04759999999999</v>
      </c>
      <c r="Y124" s="52">
        <f ca="1">('TUSD BE'!$AM$17+'TUSD BF'!$AM$17+'TUSD CVA'!$AM$17)*1*(1-0.03)</f>
        <v>49.5082702248163</v>
      </c>
      <c r="Z124" s="52">
        <f ca="1">('TUSD BE'!$AM$19+'TUSD BF'!$AM$19+'TUSD CVA'!$AM$19)*1*(1-0.03)</f>
        <v>141.35070271825751</v>
      </c>
      <c r="AA124" s="52">
        <f>('TE BE'!$AB$8+'TE BF'!$AB$8+'TE CVA'!$AB$8)*1*(1-0.03)</f>
        <v>351.09406763094154</v>
      </c>
      <c r="AB124" s="6">
        <f>$K$124*$V$124</f>
        <v>21321.155199999997</v>
      </c>
      <c r="AC124" s="6">
        <f>$M$124*$W$124</f>
        <v>2243.3280479999999</v>
      </c>
      <c r="AD124" s="6">
        <f>$O$124*$X$124</f>
        <v>10334.776607999998</v>
      </c>
      <c r="AE124" s="6">
        <f ca="1">$K$124*$Y$124</f>
        <v>24556.102031508886</v>
      </c>
      <c r="AF124" s="6">
        <f ca="1">$M$124*$Z$124</f>
        <v>3969.1277323286704</v>
      </c>
      <c r="AG124" s="6">
        <f>$O$124*$AA$124</f>
        <v>9858.7214190768373</v>
      </c>
    </row>
    <row r="125" spans="1:33" ht="11.25" customHeight="1" x14ac:dyDescent="0.3">
      <c r="A125" s="4" t="s">
        <v>21</v>
      </c>
      <c r="B125" s="4" t="s">
        <v>39</v>
      </c>
      <c r="C125" s="4" t="s">
        <v>42</v>
      </c>
      <c r="D125" s="4" t="s">
        <v>50</v>
      </c>
      <c r="E125" s="4" t="s">
        <v>51</v>
      </c>
      <c r="F125" s="4" t="s">
        <v>25</v>
      </c>
      <c r="G125" s="4" t="s">
        <v>25</v>
      </c>
      <c r="H125" s="4" t="s">
        <v>34</v>
      </c>
      <c r="I125" s="5">
        <v>44652</v>
      </c>
      <c r="J125" s="6">
        <v>496</v>
      </c>
      <c r="K125" s="53">
        <v>496</v>
      </c>
      <c r="L125" s="6">
        <v>24.72</v>
      </c>
      <c r="M125" s="52">
        <v>24.72</v>
      </c>
      <c r="N125" s="6">
        <v>24.72</v>
      </c>
      <c r="O125" s="52">
        <v>24.72</v>
      </c>
      <c r="P125" s="6">
        <v>0</v>
      </c>
      <c r="Q125" s="4" t="s">
        <v>26</v>
      </c>
      <c r="R125" s="4">
        <v>0</v>
      </c>
      <c r="S125" s="6">
        <v>4</v>
      </c>
      <c r="T125" s="6">
        <v>8</v>
      </c>
      <c r="U125" s="6">
        <v>65</v>
      </c>
      <c r="V125" s="52">
        <f>IF(ISERROR(VLOOKUP($S$125,'TAR FIN'!$A$1:$O$103,15,0)),0,VLOOKUP($S$125,'TAR FIN'!$A$1:$O$103,15,0))*(1-0.06)</f>
        <v>42.986199999999997</v>
      </c>
      <c r="W125" s="52">
        <f>IF(ISERROR(VLOOKUP($T$125,'TAR FIN'!$A$1:$O$103,15,0)),0,VLOOKUP($T$125,'TAR FIN'!$A$1:$O$103,15,0))*(1-0.06)</f>
        <v>79.890599999999992</v>
      </c>
      <c r="X125" s="52">
        <f>IF(ISERROR(VLOOKUP($U$125,'TAR FIN'!$A$1:$O$103,15,0)),0,VLOOKUP($U$125,'TAR FIN'!$A$1:$O$103,15,0))*(1-0.06)</f>
        <v>368.04759999999999</v>
      </c>
      <c r="Y125" s="52">
        <f ca="1">('TUSD BE'!$AM$17+'TUSD BF'!$AM$17+'TUSD CVA'!$AM$17)*1*(1-0.03)</f>
        <v>49.5082702248163</v>
      </c>
      <c r="Z125" s="52">
        <f ca="1">('TUSD BE'!$AM$19+'TUSD BF'!$AM$19+'TUSD CVA'!$AM$19)*1*(1-0.03)</f>
        <v>141.35070271825751</v>
      </c>
      <c r="AA125" s="52">
        <f>('TE BE'!$AB$8+'TE BF'!$AB$8+'TE CVA'!$AB$8)*1*(1-0.03)</f>
        <v>351.09406763094154</v>
      </c>
      <c r="AB125" s="6">
        <f>$K$125*$V$125</f>
        <v>21321.155199999997</v>
      </c>
      <c r="AC125" s="6">
        <f>$M$125*$W$125</f>
        <v>1974.8956319999998</v>
      </c>
      <c r="AD125" s="6">
        <f>$O$125*$X$125</f>
        <v>9098.1366719999987</v>
      </c>
      <c r="AE125" s="6">
        <f ca="1">$K$125*$Y$125</f>
        <v>24556.102031508886</v>
      </c>
      <c r="AF125" s="6">
        <f ca="1">$M$125*$Z$125</f>
        <v>3494.1893711953253</v>
      </c>
      <c r="AG125" s="6">
        <f>$O$125*$AA$125</f>
        <v>8679.045351836874</v>
      </c>
    </row>
    <row r="126" spans="1:33" ht="11.25" customHeight="1" x14ac:dyDescent="0.3">
      <c r="A126" s="4" t="s">
        <v>21</v>
      </c>
      <c r="B126" s="4" t="s">
        <v>39</v>
      </c>
      <c r="C126" s="4" t="s">
        <v>42</v>
      </c>
      <c r="D126" s="4" t="s">
        <v>50</v>
      </c>
      <c r="E126" s="4" t="s">
        <v>51</v>
      </c>
      <c r="F126" s="4" t="s">
        <v>25</v>
      </c>
      <c r="G126" s="4" t="s">
        <v>25</v>
      </c>
      <c r="H126" s="4" t="s">
        <v>34</v>
      </c>
      <c r="I126" s="5">
        <v>44682</v>
      </c>
      <c r="J126" s="6">
        <v>495</v>
      </c>
      <c r="K126" s="53">
        <v>495</v>
      </c>
      <c r="L126" s="6">
        <v>28.018000000000001</v>
      </c>
      <c r="M126" s="52">
        <v>28.018000000000001</v>
      </c>
      <c r="N126" s="6">
        <v>28.018000000000001</v>
      </c>
      <c r="O126" s="52">
        <v>28.018000000000001</v>
      </c>
      <c r="P126" s="6">
        <v>0</v>
      </c>
      <c r="Q126" s="4" t="s">
        <v>26</v>
      </c>
      <c r="R126" s="4">
        <v>0</v>
      </c>
      <c r="S126" s="6">
        <v>4</v>
      </c>
      <c r="T126" s="6">
        <v>8</v>
      </c>
      <c r="U126" s="6">
        <v>65</v>
      </c>
      <c r="V126" s="52">
        <f>IF(ISERROR(VLOOKUP($S$126,'TAR FIN'!$A$1:$O$103,15,0)),0,VLOOKUP($S$126,'TAR FIN'!$A$1:$O$103,15,0))*(1-0.06)</f>
        <v>42.986199999999997</v>
      </c>
      <c r="W126" s="52">
        <f>IF(ISERROR(VLOOKUP($T$126,'TAR FIN'!$A$1:$O$103,15,0)),0,VLOOKUP($T$126,'TAR FIN'!$A$1:$O$103,15,0))*(1-0.06)</f>
        <v>79.890599999999992</v>
      </c>
      <c r="X126" s="52">
        <f>IF(ISERROR(VLOOKUP($U$126,'TAR FIN'!$A$1:$O$103,15,0)),0,VLOOKUP($U$126,'TAR FIN'!$A$1:$O$103,15,0))*(1-0.06)</f>
        <v>368.04759999999999</v>
      </c>
      <c r="Y126" s="52">
        <f ca="1">('TUSD BE'!$AM$17+'TUSD BF'!$AM$17+'TUSD CVA'!$AM$17)*1*(1-0.03)</f>
        <v>49.5082702248163</v>
      </c>
      <c r="Z126" s="52">
        <f ca="1">('TUSD BE'!$AM$19+'TUSD BF'!$AM$19+'TUSD CVA'!$AM$19)*1*(1-0.03)</f>
        <v>141.35070271825751</v>
      </c>
      <c r="AA126" s="52">
        <f>('TE BE'!$AB$8+'TE BF'!$AB$8+'TE CVA'!$AB$8)*1*(1-0.03)</f>
        <v>351.09406763094154</v>
      </c>
      <c r="AB126" s="6">
        <f>$K$126*$V$126</f>
        <v>21278.168999999998</v>
      </c>
      <c r="AC126" s="6">
        <f>$M$126*$W$126</f>
        <v>2238.3748307999999</v>
      </c>
      <c r="AD126" s="6">
        <f>$O$126*$X$126</f>
        <v>10311.957656799999</v>
      </c>
      <c r="AE126" s="6">
        <f ca="1">$K$126*$Y$126</f>
        <v>24506.593761284068</v>
      </c>
      <c r="AF126" s="6">
        <f ca="1">$M$126*$Z$126</f>
        <v>3960.3639887601389</v>
      </c>
      <c r="AG126" s="6">
        <f>$O$126*$AA$126</f>
        <v>9836.9535868837211</v>
      </c>
    </row>
    <row r="127" spans="1:33" ht="11.25" customHeight="1" x14ac:dyDescent="0.3">
      <c r="A127" s="4" t="s">
        <v>21</v>
      </c>
      <c r="B127" s="4" t="s">
        <v>39</v>
      </c>
      <c r="C127" s="4" t="s">
        <v>42</v>
      </c>
      <c r="D127" s="4" t="s">
        <v>50</v>
      </c>
      <c r="E127" s="4" t="s">
        <v>51</v>
      </c>
      <c r="F127" s="4" t="s">
        <v>25</v>
      </c>
      <c r="G127" s="4" t="s">
        <v>25</v>
      </c>
      <c r="H127" s="4" t="s">
        <v>34</v>
      </c>
      <c r="I127" s="5">
        <v>44713</v>
      </c>
      <c r="J127" s="6">
        <v>495</v>
      </c>
      <c r="K127" s="53">
        <v>495</v>
      </c>
      <c r="L127" s="6">
        <v>26.640999999999998</v>
      </c>
      <c r="M127" s="52">
        <v>26.640999999999998</v>
      </c>
      <c r="N127" s="6">
        <v>26.640999999999998</v>
      </c>
      <c r="O127" s="52">
        <v>26.640999999999998</v>
      </c>
      <c r="P127" s="6">
        <v>0</v>
      </c>
      <c r="Q127" s="4" t="s">
        <v>26</v>
      </c>
      <c r="R127" s="4">
        <v>0</v>
      </c>
      <c r="S127" s="6">
        <v>4</v>
      </c>
      <c r="T127" s="6">
        <v>8</v>
      </c>
      <c r="U127" s="6">
        <v>65</v>
      </c>
      <c r="V127" s="52">
        <f>IF(ISERROR(VLOOKUP($S$127,'TAR FIN'!$A$1:$O$103,15,0)),0,VLOOKUP($S$127,'TAR FIN'!$A$1:$O$103,15,0))*(1-0.06)</f>
        <v>42.986199999999997</v>
      </c>
      <c r="W127" s="52">
        <f>IF(ISERROR(VLOOKUP($T$127,'TAR FIN'!$A$1:$O$103,15,0)),0,VLOOKUP($T$127,'TAR FIN'!$A$1:$O$103,15,0))*(1-0.06)</f>
        <v>79.890599999999992</v>
      </c>
      <c r="X127" s="52">
        <f>IF(ISERROR(VLOOKUP($U$127,'TAR FIN'!$A$1:$O$103,15,0)),0,VLOOKUP($U$127,'TAR FIN'!$A$1:$O$103,15,0))*(1-0.06)</f>
        <v>368.04759999999999</v>
      </c>
      <c r="Y127" s="52">
        <f ca="1">('TUSD BE'!$AM$17+'TUSD BF'!$AM$17+'TUSD CVA'!$AM$17)*1*(1-0.03)</f>
        <v>49.5082702248163</v>
      </c>
      <c r="Z127" s="52">
        <f ca="1">('TUSD BE'!$AM$19+'TUSD BF'!$AM$19+'TUSD CVA'!$AM$19)*1*(1-0.03)</f>
        <v>141.35070271825751</v>
      </c>
      <c r="AA127" s="52">
        <f>('TE BE'!$AB$8+'TE BF'!$AB$8+'TE CVA'!$AB$8)*1*(1-0.03)</f>
        <v>351.09406763094154</v>
      </c>
      <c r="AB127" s="6">
        <f>$K$127*$V$127</f>
        <v>21278.168999999998</v>
      </c>
      <c r="AC127" s="6">
        <f>$M$127*$W$127</f>
        <v>2128.3654745999997</v>
      </c>
      <c r="AD127" s="6">
        <f>$O$127*$X$127</f>
        <v>9805.1561115999993</v>
      </c>
      <c r="AE127" s="6">
        <f ca="1">$K$127*$Y$127</f>
        <v>24506.593761284068</v>
      </c>
      <c r="AF127" s="6">
        <f ca="1">$M$127*$Z$127</f>
        <v>3765.724071117098</v>
      </c>
      <c r="AG127" s="6">
        <f>$O$127*$AA$127</f>
        <v>9353.4970557559136</v>
      </c>
    </row>
    <row r="128" spans="1:33" ht="11.25" customHeight="1" x14ac:dyDescent="0.3">
      <c r="A128" s="4" t="s">
        <v>21</v>
      </c>
      <c r="B128" s="4" t="s">
        <v>39</v>
      </c>
      <c r="C128" s="4" t="s">
        <v>42</v>
      </c>
      <c r="D128" s="4" t="s">
        <v>50</v>
      </c>
      <c r="E128" s="4" t="s">
        <v>51</v>
      </c>
      <c r="F128" s="4" t="s">
        <v>25</v>
      </c>
      <c r="G128" s="4" t="s">
        <v>25</v>
      </c>
      <c r="H128" s="4" t="s">
        <v>34</v>
      </c>
      <c r="I128" s="5">
        <v>44743</v>
      </c>
      <c r="J128" s="6">
        <v>495</v>
      </c>
      <c r="K128" s="53">
        <v>495</v>
      </c>
      <c r="L128" s="6">
        <v>26.555</v>
      </c>
      <c r="M128" s="52">
        <v>26.555</v>
      </c>
      <c r="N128" s="6">
        <v>26.555</v>
      </c>
      <c r="O128" s="52">
        <v>26.555</v>
      </c>
      <c r="P128" s="6">
        <v>0</v>
      </c>
      <c r="Q128" s="4" t="s">
        <v>26</v>
      </c>
      <c r="R128" s="4">
        <v>0</v>
      </c>
      <c r="S128" s="6">
        <v>4</v>
      </c>
      <c r="T128" s="6">
        <v>8</v>
      </c>
      <c r="U128" s="6">
        <v>65</v>
      </c>
      <c r="V128" s="52">
        <f>IF(ISERROR(VLOOKUP($S$128,'TAR FIN'!$A$1:$O$103,15,0)),0,VLOOKUP($S$128,'TAR FIN'!$A$1:$O$103,15,0))*(1-0.06)</f>
        <v>42.986199999999997</v>
      </c>
      <c r="W128" s="52">
        <f>IF(ISERROR(VLOOKUP($T$128,'TAR FIN'!$A$1:$O$103,15,0)),0,VLOOKUP($T$128,'TAR FIN'!$A$1:$O$103,15,0))*(1-0.06)</f>
        <v>79.890599999999992</v>
      </c>
      <c r="X128" s="52">
        <f>IF(ISERROR(VLOOKUP($U$128,'TAR FIN'!$A$1:$O$103,15,0)),0,VLOOKUP($U$128,'TAR FIN'!$A$1:$O$103,15,0))*(1-0.06)</f>
        <v>368.04759999999999</v>
      </c>
      <c r="Y128" s="52">
        <f ca="1">('TUSD BE'!$AM$17+'TUSD BF'!$AM$17+'TUSD CVA'!$AM$17)*1*(1-0.03)</f>
        <v>49.5082702248163</v>
      </c>
      <c r="Z128" s="52">
        <f ca="1">('TUSD BE'!$AM$19+'TUSD BF'!$AM$19+'TUSD CVA'!$AM$19)*1*(1-0.03)</f>
        <v>141.35070271825751</v>
      </c>
      <c r="AA128" s="52">
        <f>('TE BE'!$AB$8+'TE BF'!$AB$8+'TE CVA'!$AB$8)*1*(1-0.03)</f>
        <v>351.09406763094154</v>
      </c>
      <c r="AB128" s="6">
        <f>$K$128*$V$128</f>
        <v>21278.168999999998</v>
      </c>
      <c r="AC128" s="6">
        <f>$M$128*$W$128</f>
        <v>2121.4948829999998</v>
      </c>
      <c r="AD128" s="6">
        <f>$O$128*$X$128</f>
        <v>9773.5040179999996</v>
      </c>
      <c r="AE128" s="6">
        <f ca="1">$K$128*$Y$128</f>
        <v>24506.593761284068</v>
      </c>
      <c r="AF128" s="6">
        <f ca="1">$M$128*$Z$128</f>
        <v>3753.5679106833281</v>
      </c>
      <c r="AG128" s="6">
        <f>$O$128*$AA$128</f>
        <v>9323.3029659396525</v>
      </c>
    </row>
    <row r="129" spans="1:33" ht="11.25" customHeight="1" x14ac:dyDescent="0.3">
      <c r="A129" s="4" t="s">
        <v>21</v>
      </c>
      <c r="B129" s="4" t="s">
        <v>39</v>
      </c>
      <c r="C129" s="4" t="s">
        <v>42</v>
      </c>
      <c r="D129" s="4" t="s">
        <v>50</v>
      </c>
      <c r="E129" s="4" t="s">
        <v>51</v>
      </c>
      <c r="F129" s="4" t="s">
        <v>25</v>
      </c>
      <c r="G129" s="4" t="s">
        <v>25</v>
      </c>
      <c r="H129" s="4" t="s">
        <v>34</v>
      </c>
      <c r="I129" s="5">
        <v>44774</v>
      </c>
      <c r="J129" s="6">
        <v>495</v>
      </c>
      <c r="K129" s="53">
        <v>495</v>
      </c>
      <c r="L129" s="6">
        <v>28.975000000000001</v>
      </c>
      <c r="M129" s="52">
        <v>28.975000000000001</v>
      </c>
      <c r="N129" s="6">
        <v>28.975000000000001</v>
      </c>
      <c r="O129" s="52">
        <v>28.975000000000001</v>
      </c>
      <c r="P129" s="6">
        <v>0</v>
      </c>
      <c r="Q129" s="4" t="s">
        <v>26</v>
      </c>
      <c r="R129" s="4">
        <v>0</v>
      </c>
      <c r="S129" s="6">
        <v>4</v>
      </c>
      <c r="T129" s="6">
        <v>8</v>
      </c>
      <c r="U129" s="6">
        <v>65</v>
      </c>
      <c r="V129" s="52">
        <f>IF(ISERROR(VLOOKUP($S$129,'TAR FIN'!$A$1:$O$103,15,0)),0,VLOOKUP($S$129,'TAR FIN'!$A$1:$O$103,15,0))*(1-0.06)</f>
        <v>42.986199999999997</v>
      </c>
      <c r="W129" s="52">
        <f>IF(ISERROR(VLOOKUP($T$129,'TAR FIN'!$A$1:$O$103,15,0)),0,VLOOKUP($T$129,'TAR FIN'!$A$1:$O$103,15,0))*(1-0.06)</f>
        <v>79.890599999999992</v>
      </c>
      <c r="X129" s="52">
        <f>IF(ISERROR(VLOOKUP($U$129,'TAR FIN'!$A$1:$O$103,15,0)),0,VLOOKUP($U$129,'TAR FIN'!$A$1:$O$103,15,0))*(1-0.06)</f>
        <v>368.04759999999999</v>
      </c>
      <c r="Y129" s="52">
        <f ca="1">('TUSD BE'!$AM$17+'TUSD BF'!$AM$17+'TUSD CVA'!$AM$17)*1*(1-0.03)</f>
        <v>49.5082702248163</v>
      </c>
      <c r="Z129" s="52">
        <f ca="1">('TUSD BE'!$AM$19+'TUSD BF'!$AM$19+'TUSD CVA'!$AM$19)*1*(1-0.03)</f>
        <v>141.35070271825751</v>
      </c>
      <c r="AA129" s="52">
        <f>('TE BE'!$AB$8+'TE BF'!$AB$8+'TE CVA'!$AB$8)*1*(1-0.03)</f>
        <v>351.09406763094154</v>
      </c>
      <c r="AB129" s="6">
        <f>$K$129*$V$129</f>
        <v>21278.168999999998</v>
      </c>
      <c r="AC129" s="6">
        <f>$M$129*$W$129</f>
        <v>2314.8301349999997</v>
      </c>
      <c r="AD129" s="6">
        <f>$O$129*$X$129</f>
        <v>10664.17921</v>
      </c>
      <c r="AE129" s="6">
        <f ca="1">$K$129*$Y$129</f>
        <v>24506.593761284068</v>
      </c>
      <c r="AF129" s="6">
        <f ca="1">$M$129*$Z$129</f>
        <v>4095.6366112615115</v>
      </c>
      <c r="AG129" s="6">
        <f>$O$129*$AA$129</f>
        <v>10172.950609606532</v>
      </c>
    </row>
    <row r="130" spans="1:33" ht="11.25" customHeight="1" x14ac:dyDescent="0.3">
      <c r="A130" s="4" t="s">
        <v>21</v>
      </c>
      <c r="B130" s="4" t="s">
        <v>39</v>
      </c>
      <c r="C130" s="4" t="s">
        <v>42</v>
      </c>
      <c r="D130" s="4" t="s">
        <v>50</v>
      </c>
      <c r="E130" s="4" t="s">
        <v>51</v>
      </c>
      <c r="F130" s="4" t="s">
        <v>25</v>
      </c>
      <c r="G130" s="4" t="s">
        <v>25</v>
      </c>
      <c r="H130" s="4" t="s">
        <v>34</v>
      </c>
      <c r="I130" s="5">
        <v>44805</v>
      </c>
      <c r="J130" s="6">
        <v>495</v>
      </c>
      <c r="K130" s="53">
        <v>495</v>
      </c>
      <c r="L130" s="6">
        <v>26.323</v>
      </c>
      <c r="M130" s="52">
        <v>26.323</v>
      </c>
      <c r="N130" s="6">
        <v>26.323</v>
      </c>
      <c r="O130" s="52">
        <v>26.323</v>
      </c>
      <c r="P130" s="6">
        <v>0</v>
      </c>
      <c r="Q130" s="4" t="s">
        <v>26</v>
      </c>
      <c r="R130" s="4">
        <v>0</v>
      </c>
      <c r="S130" s="6">
        <v>4</v>
      </c>
      <c r="T130" s="6">
        <v>8</v>
      </c>
      <c r="U130" s="6">
        <v>65</v>
      </c>
      <c r="V130" s="52">
        <f>IF(ISERROR(VLOOKUP($S$130,'TAR FIN'!$A$1:$O$103,15,0)),0,VLOOKUP($S$130,'TAR FIN'!$A$1:$O$103,15,0))*(1-0.06)</f>
        <v>42.986199999999997</v>
      </c>
      <c r="W130" s="52">
        <f>IF(ISERROR(VLOOKUP($T$130,'TAR FIN'!$A$1:$O$103,15,0)),0,VLOOKUP($T$130,'TAR FIN'!$A$1:$O$103,15,0))*(1-0.06)</f>
        <v>79.890599999999992</v>
      </c>
      <c r="X130" s="52">
        <f>IF(ISERROR(VLOOKUP($U$130,'TAR FIN'!$A$1:$O$103,15,0)),0,VLOOKUP($U$130,'TAR FIN'!$A$1:$O$103,15,0))*(1-0.06)</f>
        <v>368.04759999999999</v>
      </c>
      <c r="Y130" s="52">
        <f ca="1">('TUSD BE'!$AM$17+'TUSD BF'!$AM$17+'TUSD CVA'!$AM$17)*1*(1-0.03)</f>
        <v>49.5082702248163</v>
      </c>
      <c r="Z130" s="52">
        <f ca="1">('TUSD BE'!$AM$19+'TUSD BF'!$AM$19+'TUSD CVA'!$AM$19)*1*(1-0.03)</f>
        <v>141.35070271825751</v>
      </c>
      <c r="AA130" s="52">
        <f>('TE BE'!$AB$8+'TE BF'!$AB$8+'TE CVA'!$AB$8)*1*(1-0.03)</f>
        <v>351.09406763094154</v>
      </c>
      <c r="AB130" s="6">
        <f>$K$130*$V$130</f>
        <v>21278.168999999998</v>
      </c>
      <c r="AC130" s="6">
        <f>$M$130*$W$130</f>
        <v>2102.9602637999997</v>
      </c>
      <c r="AD130" s="6">
        <f>$O$130*$X$130</f>
        <v>9688.1169747999993</v>
      </c>
      <c r="AE130" s="6">
        <f ca="1">$K$130*$Y$130</f>
        <v>24506.593761284068</v>
      </c>
      <c r="AF130" s="6">
        <f ca="1">$M$130*$Z$130</f>
        <v>3720.7745476526925</v>
      </c>
      <c r="AG130" s="6">
        <f>$O$130*$AA$130</f>
        <v>9241.8491422492734</v>
      </c>
    </row>
    <row r="131" spans="1:33" ht="11.25" customHeight="1" x14ac:dyDescent="0.3">
      <c r="A131" s="4" t="s">
        <v>57</v>
      </c>
      <c r="B131" s="4" t="s">
        <v>39</v>
      </c>
      <c r="C131" s="4" t="s">
        <v>42</v>
      </c>
      <c r="D131" s="4" t="s">
        <v>50</v>
      </c>
      <c r="E131" s="4" t="s">
        <v>51</v>
      </c>
      <c r="F131" s="4" t="s">
        <v>25</v>
      </c>
      <c r="G131" s="4" t="s">
        <v>25</v>
      </c>
      <c r="H131" s="4" t="s">
        <v>34</v>
      </c>
      <c r="I131" s="5">
        <v>44835</v>
      </c>
      <c r="J131" s="6">
        <v>495</v>
      </c>
      <c r="K131" s="53">
        <v>495</v>
      </c>
      <c r="L131" s="6">
        <v>26.323</v>
      </c>
      <c r="M131" s="52">
        <v>26.323</v>
      </c>
      <c r="N131" s="6">
        <v>26.323</v>
      </c>
      <c r="O131" s="52">
        <v>26.323</v>
      </c>
      <c r="P131" s="6">
        <v>0</v>
      </c>
      <c r="Q131" s="4" t="s">
        <v>26</v>
      </c>
      <c r="R131" s="4">
        <v>0</v>
      </c>
      <c r="S131" s="6">
        <v>4</v>
      </c>
      <c r="T131" s="6">
        <v>8</v>
      </c>
      <c r="U131" s="6">
        <v>65</v>
      </c>
      <c r="V131" s="52">
        <f>IF(ISERROR(VLOOKUP($S$131,'TAR FIN'!$A$1:$O$103,15,0)),0,VLOOKUP($S$131,'TAR FIN'!$A$1:$O$103,15,0))*(1-0.06)</f>
        <v>42.986199999999997</v>
      </c>
      <c r="W131" s="52">
        <f>IF(ISERROR(VLOOKUP($T$131,'TAR FIN'!$A$1:$O$103,15,0)),0,VLOOKUP($T$131,'TAR FIN'!$A$1:$O$103,15,0))*(1-0.06)</f>
        <v>79.890599999999992</v>
      </c>
      <c r="X131" s="52">
        <f>IF(ISERROR(VLOOKUP($U$131,'TAR FIN'!$A$1:$O$103,15,0)),0,VLOOKUP($U$131,'TAR FIN'!$A$1:$O$103,15,0))*(1-0.06)</f>
        <v>368.04759999999999</v>
      </c>
      <c r="Y131" s="52">
        <f ca="1">('TUSD BE'!$AM$17+'TUSD BF'!$AM$17+'TUSD CVA'!$AM$17)*1*(1-0.03)</f>
        <v>49.5082702248163</v>
      </c>
      <c r="Z131" s="52">
        <f ca="1">('TUSD BE'!$AM$19+'TUSD BF'!$AM$19+'TUSD CVA'!$AM$19)*1*(1-0.03)</f>
        <v>141.35070271825751</v>
      </c>
      <c r="AA131" s="52">
        <f>('TE BE'!$AB$8+'TE BF'!$AB$8+'TE CVA'!$AB$8)*1*(1-0.03)</f>
        <v>351.09406763094154</v>
      </c>
      <c r="AB131" s="6">
        <f>$K$131*$V$131</f>
        <v>21278.168999999998</v>
      </c>
      <c r="AC131" s="6">
        <f>$M$131*$W$131</f>
        <v>2102.9602637999997</v>
      </c>
      <c r="AD131" s="6">
        <f>$O$131*$X$131</f>
        <v>9688.1169747999993</v>
      </c>
      <c r="AE131" s="6">
        <f ca="1">$K$131*$Y$131</f>
        <v>24506.593761284068</v>
      </c>
      <c r="AF131" s="6">
        <f ca="1">$M$131*$Z$131</f>
        <v>3720.7745476526925</v>
      </c>
      <c r="AG131" s="6">
        <f>$O$131*$AA$131</f>
        <v>9241.8491422492734</v>
      </c>
    </row>
    <row r="132" spans="1:33" ht="11.25" customHeight="1" x14ac:dyDescent="0.3">
      <c r="A132" s="4" t="s">
        <v>21</v>
      </c>
      <c r="B132" s="4" t="s">
        <v>39</v>
      </c>
      <c r="C132" s="4" t="s">
        <v>40</v>
      </c>
      <c r="D132" s="4" t="s">
        <v>41</v>
      </c>
      <c r="E132" s="4" t="s">
        <v>25</v>
      </c>
      <c r="F132" s="4" t="s">
        <v>25</v>
      </c>
      <c r="G132" s="4" t="s">
        <v>25</v>
      </c>
      <c r="H132" s="4" t="s">
        <v>35</v>
      </c>
      <c r="I132" s="5">
        <v>44501</v>
      </c>
      <c r="J132" s="6">
        <v>0</v>
      </c>
      <c r="K132" s="6">
        <v>0</v>
      </c>
      <c r="L132" s="6">
        <v>250.30500000000001</v>
      </c>
      <c r="M132" s="6">
        <v>250.30500000000001</v>
      </c>
      <c r="N132" s="6">
        <v>250.30500000000001</v>
      </c>
      <c r="O132" s="6">
        <v>250.30500000000001</v>
      </c>
      <c r="P132" s="6">
        <v>0</v>
      </c>
      <c r="Q132" s="4" t="s">
        <v>26</v>
      </c>
      <c r="R132" s="4">
        <v>0</v>
      </c>
      <c r="S132" s="6">
        <v>0</v>
      </c>
      <c r="T132" s="6">
        <v>17</v>
      </c>
      <c r="U132" s="6">
        <v>66</v>
      </c>
      <c r="V132" s="6">
        <f>IF(ISERROR(VLOOKUP($S$132,'TAR FIN'!$A$1:$O$103,15,0)),0,VLOOKUP($S$132,'TAR FIN'!$A$1:$O$103,15,0))</f>
        <v>0</v>
      </c>
      <c r="W132" s="6">
        <f>IF(ISERROR(VLOOKUP($T$132,'TAR FIN'!$A$1:$O$103,15,0)),0,VLOOKUP($T$132,'TAR FIN'!$A$1:$O$103,15,0))</f>
        <v>84.99</v>
      </c>
      <c r="X132" s="6">
        <f>IF(ISERROR(VLOOKUP($U$132,'TAR FIN'!$A$1:$O$103,15,0)),0,VLOOKUP($U$132,'TAR FIN'!$A$1:$O$103,15,0))</f>
        <v>242.77</v>
      </c>
      <c r="Y132" s="6"/>
      <c r="Z132" s="6">
        <f ca="1">('TUSD BE'!$AM$24+'TUSD BF'!$AM$24+'TUSD CVA'!$AM$24)*1</f>
        <v>145.72237393634796</v>
      </c>
      <c r="AA132" s="6">
        <f>('TE BE'!$AB$9+'TE BF'!$AB$9+'TE CVA'!$AB$9)*1</f>
        <v>222.39386487986414</v>
      </c>
      <c r="AB132" s="6">
        <f>$K$132*$V$132</f>
        <v>0</v>
      </c>
      <c r="AC132" s="6">
        <f>$M$132*$W$132</f>
        <v>21273.42195</v>
      </c>
      <c r="AD132" s="6">
        <f>$O$132*$X$132</f>
        <v>60766.544850000006</v>
      </c>
      <c r="AE132" s="6">
        <f>$K$132*$Y$132</f>
        <v>0</v>
      </c>
      <c r="AF132" s="6">
        <f ca="1">$M$132*$Z$132</f>
        <v>36475.038808137579</v>
      </c>
      <c r="AG132" s="6">
        <f>$O$132*$AA$132</f>
        <v>55666.296348754397</v>
      </c>
    </row>
    <row r="133" spans="1:33" ht="11.25" customHeight="1" x14ac:dyDescent="0.3">
      <c r="A133" s="4" t="s">
        <v>28</v>
      </c>
      <c r="B133" s="4" t="s">
        <v>39</v>
      </c>
      <c r="C133" s="4" t="s">
        <v>40</v>
      </c>
      <c r="D133" s="4" t="s">
        <v>41</v>
      </c>
      <c r="E133" s="4" t="s">
        <v>25</v>
      </c>
      <c r="F133" s="4" t="s">
        <v>25</v>
      </c>
      <c r="G133" s="4" t="s">
        <v>25</v>
      </c>
      <c r="H133" s="4" t="s">
        <v>35</v>
      </c>
      <c r="I133" s="5">
        <v>44501</v>
      </c>
      <c r="J133" s="6">
        <v>0</v>
      </c>
      <c r="K133" s="6">
        <v>0</v>
      </c>
      <c r="L133" s="6">
        <v>36.600999999999999</v>
      </c>
      <c r="M133" s="6">
        <v>36.600999999999999</v>
      </c>
      <c r="N133" s="6">
        <v>36.600999999999999</v>
      </c>
      <c r="O133" s="6">
        <v>36.600999999999999</v>
      </c>
      <c r="P133" s="6">
        <v>0</v>
      </c>
      <c r="Q133" s="4" t="s">
        <v>26</v>
      </c>
      <c r="R133" s="4">
        <v>0</v>
      </c>
      <c r="S133" s="6">
        <v>0</v>
      </c>
      <c r="T133" s="6">
        <v>17</v>
      </c>
      <c r="U133" s="6">
        <v>66</v>
      </c>
      <c r="V133" s="6">
        <f>IF(ISERROR(VLOOKUP($S$133,'TAR FIN'!$A$1:$O$103,15,0)),0,VLOOKUP($S$133,'TAR FIN'!$A$1:$O$103,15,0))</f>
        <v>0</v>
      </c>
      <c r="W133" s="6">
        <f>IF(ISERROR(VLOOKUP($T$133,'TAR FIN'!$A$1:$O$103,15,0)),0,VLOOKUP($T$133,'TAR FIN'!$A$1:$O$103,15,0))</f>
        <v>84.99</v>
      </c>
      <c r="X133" s="6">
        <f>IF(ISERROR(VLOOKUP($U$133,'TAR FIN'!$A$1:$O$103,15,0)),0,VLOOKUP($U$133,'TAR FIN'!$A$1:$O$103,15,0))</f>
        <v>242.77</v>
      </c>
      <c r="Y133" s="6"/>
      <c r="Z133" s="6">
        <f ca="1">('TUSD BE'!$AM$24+'TUSD BF'!$AM$24+'TUSD CVA'!$AM$24)*1</f>
        <v>145.72237393634796</v>
      </c>
      <c r="AA133" s="6">
        <f>('TE BE'!$AB$9+'TE BF'!$AB$9+'TE CVA'!$AB$9)*1</f>
        <v>222.39386487986414</v>
      </c>
      <c r="AB133" s="6">
        <f>$K$133*$V$133</f>
        <v>0</v>
      </c>
      <c r="AC133" s="6">
        <f>$M$133*$W$133</f>
        <v>3110.7189899999998</v>
      </c>
      <c r="AD133" s="6">
        <f>$O$133*$X$133</f>
        <v>8885.6247700000004</v>
      </c>
      <c r="AE133" s="6">
        <f>$K$133*$Y$133</f>
        <v>0</v>
      </c>
      <c r="AF133" s="6">
        <f ca="1">$M$133*$Z$133</f>
        <v>5333.5846084442719</v>
      </c>
      <c r="AG133" s="6">
        <f>$O$133*$AA$133</f>
        <v>8139.837848467907</v>
      </c>
    </row>
    <row r="134" spans="1:33" ht="11.25" customHeight="1" x14ac:dyDescent="0.3">
      <c r="A134" s="4" t="s">
        <v>21</v>
      </c>
      <c r="B134" s="4" t="s">
        <v>39</v>
      </c>
      <c r="C134" s="4" t="s">
        <v>40</v>
      </c>
      <c r="D134" s="4" t="s">
        <v>41</v>
      </c>
      <c r="E134" s="4" t="s">
        <v>25</v>
      </c>
      <c r="F134" s="4" t="s">
        <v>25</v>
      </c>
      <c r="G134" s="4" t="s">
        <v>25</v>
      </c>
      <c r="H134" s="4" t="s">
        <v>35</v>
      </c>
      <c r="I134" s="5">
        <v>44531</v>
      </c>
      <c r="J134" s="6">
        <v>0</v>
      </c>
      <c r="K134" s="6">
        <v>0</v>
      </c>
      <c r="L134" s="6">
        <v>248.839</v>
      </c>
      <c r="M134" s="6">
        <v>248.839</v>
      </c>
      <c r="N134" s="6">
        <v>248.839</v>
      </c>
      <c r="O134" s="6">
        <v>248.839</v>
      </c>
      <c r="P134" s="6">
        <v>0</v>
      </c>
      <c r="Q134" s="4" t="s">
        <v>26</v>
      </c>
      <c r="R134" s="4">
        <v>0</v>
      </c>
      <c r="S134" s="6">
        <v>0</v>
      </c>
      <c r="T134" s="6">
        <v>17</v>
      </c>
      <c r="U134" s="6">
        <v>66</v>
      </c>
      <c r="V134" s="6">
        <f>IF(ISERROR(VLOOKUP($S$134,'TAR FIN'!$A$1:$O$103,15,0)),0,VLOOKUP($S$134,'TAR FIN'!$A$1:$O$103,15,0))</f>
        <v>0</v>
      </c>
      <c r="W134" s="6">
        <f>IF(ISERROR(VLOOKUP($T$134,'TAR FIN'!$A$1:$O$103,15,0)),0,VLOOKUP($T$134,'TAR FIN'!$A$1:$O$103,15,0))</f>
        <v>84.99</v>
      </c>
      <c r="X134" s="6">
        <f>IF(ISERROR(VLOOKUP($U$134,'TAR FIN'!$A$1:$O$103,15,0)),0,VLOOKUP($U$134,'TAR FIN'!$A$1:$O$103,15,0))</f>
        <v>242.77</v>
      </c>
      <c r="Y134" s="6"/>
      <c r="Z134" s="6">
        <f ca="1">('TUSD BE'!$AM$24+'TUSD BF'!$AM$24+'TUSD CVA'!$AM$24)*1</f>
        <v>145.72237393634796</v>
      </c>
      <c r="AA134" s="6">
        <f>('TE BE'!$AB$9+'TE BF'!$AB$9+'TE CVA'!$AB$9)*1</f>
        <v>222.39386487986414</v>
      </c>
      <c r="AB134" s="6">
        <f>$K$134*$V$134</f>
        <v>0</v>
      </c>
      <c r="AC134" s="6">
        <f>$M$134*$W$134</f>
        <v>21148.82661</v>
      </c>
      <c r="AD134" s="6">
        <f>$O$134*$X$134</f>
        <v>60410.644030000003</v>
      </c>
      <c r="AE134" s="6">
        <f>$K$134*$Y$134</f>
        <v>0</v>
      </c>
      <c r="AF134" s="6">
        <f ca="1">$M$134*$Z$134</f>
        <v>36261.409807946889</v>
      </c>
      <c r="AG134" s="6">
        <f>$O$134*$AA$134</f>
        <v>55340.266942840513</v>
      </c>
    </row>
    <row r="135" spans="1:33" ht="11.25" customHeight="1" x14ac:dyDescent="0.3">
      <c r="A135" s="4" t="s">
        <v>28</v>
      </c>
      <c r="B135" s="4" t="s">
        <v>39</v>
      </c>
      <c r="C135" s="4" t="s">
        <v>40</v>
      </c>
      <c r="D135" s="4" t="s">
        <v>41</v>
      </c>
      <c r="E135" s="4" t="s">
        <v>25</v>
      </c>
      <c r="F135" s="4" t="s">
        <v>25</v>
      </c>
      <c r="G135" s="4" t="s">
        <v>25</v>
      </c>
      <c r="H135" s="4" t="s">
        <v>35</v>
      </c>
      <c r="I135" s="5">
        <v>44531</v>
      </c>
      <c r="J135" s="6">
        <v>0</v>
      </c>
      <c r="K135" s="6">
        <v>0</v>
      </c>
      <c r="L135" s="6">
        <v>42.082000000000001</v>
      </c>
      <c r="M135" s="6">
        <v>42.082000000000001</v>
      </c>
      <c r="N135" s="6">
        <v>42.082000000000001</v>
      </c>
      <c r="O135" s="6">
        <v>42.082000000000001</v>
      </c>
      <c r="P135" s="6">
        <v>0</v>
      </c>
      <c r="Q135" s="4" t="s">
        <v>26</v>
      </c>
      <c r="R135" s="4">
        <v>0</v>
      </c>
      <c r="S135" s="6">
        <v>0</v>
      </c>
      <c r="T135" s="6">
        <v>17</v>
      </c>
      <c r="U135" s="6">
        <v>66</v>
      </c>
      <c r="V135" s="6">
        <f>IF(ISERROR(VLOOKUP($S$135,'TAR FIN'!$A$1:$O$103,15,0)),0,VLOOKUP($S$135,'TAR FIN'!$A$1:$O$103,15,0))</f>
        <v>0</v>
      </c>
      <c r="W135" s="6">
        <f>IF(ISERROR(VLOOKUP($T$135,'TAR FIN'!$A$1:$O$103,15,0)),0,VLOOKUP($T$135,'TAR FIN'!$A$1:$O$103,15,0))</f>
        <v>84.99</v>
      </c>
      <c r="X135" s="6">
        <f>IF(ISERROR(VLOOKUP($U$135,'TAR FIN'!$A$1:$O$103,15,0)),0,VLOOKUP($U$135,'TAR FIN'!$A$1:$O$103,15,0))</f>
        <v>242.77</v>
      </c>
      <c r="Y135" s="6"/>
      <c r="Z135" s="6">
        <f ca="1">('TUSD BE'!$AM$24+'TUSD BF'!$AM$24+'TUSD CVA'!$AM$24)*1</f>
        <v>145.72237393634796</v>
      </c>
      <c r="AA135" s="6">
        <f>('TE BE'!$AB$9+'TE BF'!$AB$9+'TE CVA'!$AB$9)*1</f>
        <v>222.39386487986414</v>
      </c>
      <c r="AB135" s="6">
        <f>$K$135*$V$135</f>
        <v>0</v>
      </c>
      <c r="AC135" s="6">
        <f>$M$135*$W$135</f>
        <v>3576.54918</v>
      </c>
      <c r="AD135" s="6">
        <f>$O$135*$X$135</f>
        <v>10216.247140000001</v>
      </c>
      <c r="AE135" s="6">
        <f>$K$135*$Y$135</f>
        <v>0</v>
      </c>
      <c r="AF135" s="6">
        <f ca="1">$M$135*$Z$135</f>
        <v>6132.2889399893947</v>
      </c>
      <c r="AG135" s="6">
        <f>$O$135*$AA$135</f>
        <v>9358.7786218744423</v>
      </c>
    </row>
    <row r="136" spans="1:33" ht="11.25" customHeight="1" x14ac:dyDescent="0.3">
      <c r="A136" s="4" t="s">
        <v>21</v>
      </c>
      <c r="B136" s="4" t="s">
        <v>39</v>
      </c>
      <c r="C136" s="4" t="s">
        <v>40</v>
      </c>
      <c r="D136" s="4" t="s">
        <v>41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44562</v>
      </c>
      <c r="J136" s="6">
        <v>0</v>
      </c>
      <c r="K136" s="6">
        <v>0</v>
      </c>
      <c r="L136" s="6">
        <v>260.56799999999998</v>
      </c>
      <c r="M136" s="6">
        <v>260.56799999999998</v>
      </c>
      <c r="N136" s="6">
        <v>260.56799999999998</v>
      </c>
      <c r="O136" s="6">
        <v>260.56799999999998</v>
      </c>
      <c r="P136" s="6">
        <v>0</v>
      </c>
      <c r="Q136" s="4" t="s">
        <v>26</v>
      </c>
      <c r="R136" s="4">
        <v>0</v>
      </c>
      <c r="S136" s="6">
        <v>0</v>
      </c>
      <c r="T136" s="6">
        <v>17</v>
      </c>
      <c r="U136" s="6">
        <v>66</v>
      </c>
      <c r="V136" s="6">
        <f>IF(ISERROR(VLOOKUP($S$136,'TAR FIN'!$A$1:$O$103,15,0)),0,VLOOKUP($S$136,'TAR FIN'!$A$1:$O$103,15,0))</f>
        <v>0</v>
      </c>
      <c r="W136" s="6">
        <f>IF(ISERROR(VLOOKUP($T$136,'TAR FIN'!$A$1:$O$103,15,0)),0,VLOOKUP($T$136,'TAR FIN'!$A$1:$O$103,15,0))</f>
        <v>84.99</v>
      </c>
      <c r="X136" s="6">
        <f>IF(ISERROR(VLOOKUP($U$136,'TAR FIN'!$A$1:$O$103,15,0)),0,VLOOKUP($U$136,'TAR FIN'!$A$1:$O$103,15,0))</f>
        <v>242.77</v>
      </c>
      <c r="Y136" s="6"/>
      <c r="Z136" s="6">
        <f ca="1">('TUSD BE'!$AM$24+'TUSD BF'!$AM$24+'TUSD CVA'!$AM$24)*1</f>
        <v>145.72237393634796</v>
      </c>
      <c r="AA136" s="6">
        <f>('TE BE'!$AB$9+'TE BF'!$AB$9+'TE CVA'!$AB$9)*1</f>
        <v>222.39386487986414</v>
      </c>
      <c r="AB136" s="6">
        <f>$K$136*$V$136</f>
        <v>0</v>
      </c>
      <c r="AC136" s="6">
        <f>$M$136*$W$136</f>
        <v>22145.674319999998</v>
      </c>
      <c r="AD136" s="6">
        <f>$O$136*$X$136</f>
        <v>63258.093359999999</v>
      </c>
      <c r="AE136" s="6">
        <f>$K$136*$Y$136</f>
        <v>0</v>
      </c>
      <c r="AF136" s="6">
        <f ca="1">$M$136*$Z$136</f>
        <v>37970.587531846315</v>
      </c>
      <c r="AG136" s="6">
        <f>$O$136*$AA$136</f>
        <v>57948.724584016432</v>
      </c>
    </row>
    <row r="137" spans="1:33" ht="11.25" customHeight="1" x14ac:dyDescent="0.3">
      <c r="A137" s="4" t="s">
        <v>28</v>
      </c>
      <c r="B137" s="4" t="s">
        <v>39</v>
      </c>
      <c r="C137" s="4" t="s">
        <v>40</v>
      </c>
      <c r="D137" s="4" t="s">
        <v>41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44562</v>
      </c>
      <c r="J137" s="6">
        <v>0</v>
      </c>
      <c r="K137" s="6">
        <v>0</v>
      </c>
      <c r="L137" s="6">
        <v>37.851999999999997</v>
      </c>
      <c r="M137" s="6">
        <v>37.851999999999997</v>
      </c>
      <c r="N137" s="6">
        <v>37.851999999999997</v>
      </c>
      <c r="O137" s="6">
        <v>37.851999999999997</v>
      </c>
      <c r="P137" s="6">
        <v>0</v>
      </c>
      <c r="Q137" s="4" t="s">
        <v>26</v>
      </c>
      <c r="R137" s="4">
        <v>0</v>
      </c>
      <c r="S137" s="6">
        <v>0</v>
      </c>
      <c r="T137" s="6">
        <v>17</v>
      </c>
      <c r="U137" s="6">
        <v>66</v>
      </c>
      <c r="V137" s="6">
        <f>IF(ISERROR(VLOOKUP($S$137,'TAR FIN'!$A$1:$O$103,15,0)),0,VLOOKUP($S$137,'TAR FIN'!$A$1:$O$103,15,0))</f>
        <v>0</v>
      </c>
      <c r="W137" s="6">
        <f>IF(ISERROR(VLOOKUP($T$137,'TAR FIN'!$A$1:$O$103,15,0)),0,VLOOKUP($T$137,'TAR FIN'!$A$1:$O$103,15,0))</f>
        <v>84.99</v>
      </c>
      <c r="X137" s="6">
        <f>IF(ISERROR(VLOOKUP($U$137,'TAR FIN'!$A$1:$O$103,15,0)),0,VLOOKUP($U$137,'TAR FIN'!$A$1:$O$103,15,0))</f>
        <v>242.77</v>
      </c>
      <c r="Y137" s="6"/>
      <c r="Z137" s="6">
        <f ca="1">('TUSD BE'!$AM$24+'TUSD BF'!$AM$24+'TUSD CVA'!$AM$24)*1</f>
        <v>145.72237393634796</v>
      </c>
      <c r="AA137" s="6">
        <f>('TE BE'!$AB$9+'TE BF'!$AB$9+'TE CVA'!$AB$9)*1</f>
        <v>222.39386487986414</v>
      </c>
      <c r="AB137" s="6">
        <f>$K$137*$V$137</f>
        <v>0</v>
      </c>
      <c r="AC137" s="6">
        <f>$M$137*$W$137</f>
        <v>3217.0414799999994</v>
      </c>
      <c r="AD137" s="6">
        <f>$O$137*$X$137</f>
        <v>9189.3300399999989</v>
      </c>
      <c r="AE137" s="6">
        <f>$K$137*$Y$137</f>
        <v>0</v>
      </c>
      <c r="AF137" s="6">
        <f ca="1">$M$137*$Z$137</f>
        <v>5515.883298238643</v>
      </c>
      <c r="AG137" s="6">
        <f>$O$137*$AA$137</f>
        <v>8418.0525734326166</v>
      </c>
    </row>
    <row r="138" spans="1:33" ht="11.25" customHeight="1" x14ac:dyDescent="0.3">
      <c r="A138" s="4" t="s">
        <v>21</v>
      </c>
      <c r="B138" s="4" t="s">
        <v>39</v>
      </c>
      <c r="C138" s="4" t="s">
        <v>40</v>
      </c>
      <c r="D138" s="4" t="s">
        <v>41</v>
      </c>
      <c r="E138" s="4" t="s">
        <v>25</v>
      </c>
      <c r="F138" s="4" t="s">
        <v>25</v>
      </c>
      <c r="G138" s="4" t="s">
        <v>25</v>
      </c>
      <c r="H138" s="4" t="s">
        <v>35</v>
      </c>
      <c r="I138" s="5">
        <v>44593</v>
      </c>
      <c r="J138" s="6">
        <v>0</v>
      </c>
      <c r="K138" s="6">
        <v>0</v>
      </c>
      <c r="L138" s="6">
        <v>248.054</v>
      </c>
      <c r="M138" s="6">
        <v>248.054</v>
      </c>
      <c r="N138" s="6">
        <v>248.054</v>
      </c>
      <c r="O138" s="6">
        <v>248.054</v>
      </c>
      <c r="P138" s="6">
        <v>0</v>
      </c>
      <c r="Q138" s="4" t="s">
        <v>26</v>
      </c>
      <c r="R138" s="4">
        <v>0</v>
      </c>
      <c r="S138" s="6">
        <v>0</v>
      </c>
      <c r="T138" s="6">
        <v>17</v>
      </c>
      <c r="U138" s="6">
        <v>66</v>
      </c>
      <c r="V138" s="6">
        <f>IF(ISERROR(VLOOKUP($S$138,'TAR FIN'!$A$1:$O$103,15,0)),0,VLOOKUP($S$138,'TAR FIN'!$A$1:$O$103,15,0))</f>
        <v>0</v>
      </c>
      <c r="W138" s="6">
        <f>IF(ISERROR(VLOOKUP($T$138,'TAR FIN'!$A$1:$O$103,15,0)),0,VLOOKUP($T$138,'TAR FIN'!$A$1:$O$103,15,0))</f>
        <v>84.99</v>
      </c>
      <c r="X138" s="6">
        <f>IF(ISERROR(VLOOKUP($U$138,'TAR FIN'!$A$1:$O$103,15,0)),0,VLOOKUP($U$138,'TAR FIN'!$A$1:$O$103,15,0))</f>
        <v>242.77</v>
      </c>
      <c r="Y138" s="6"/>
      <c r="Z138" s="6">
        <f ca="1">('TUSD BE'!$AM$24+'TUSD BF'!$AM$24+'TUSD CVA'!$AM$24)*1</f>
        <v>145.72237393634796</v>
      </c>
      <c r="AA138" s="6">
        <f>('TE BE'!$AB$9+'TE BF'!$AB$9+'TE CVA'!$AB$9)*1</f>
        <v>222.39386487986414</v>
      </c>
      <c r="AB138" s="6">
        <f>$K$138*$V$138</f>
        <v>0</v>
      </c>
      <c r="AC138" s="6">
        <f>$M$138*$W$138</f>
        <v>21082.10946</v>
      </c>
      <c r="AD138" s="6">
        <f>$O$138*$X$138</f>
        <v>60220.069580000003</v>
      </c>
      <c r="AE138" s="6">
        <f>$K$138*$Y$138</f>
        <v>0</v>
      </c>
      <c r="AF138" s="6">
        <f ca="1">$M$138*$Z$138</f>
        <v>36147.017744406861</v>
      </c>
      <c r="AG138" s="6">
        <f>$O$138*$AA$138</f>
        <v>55165.687758909822</v>
      </c>
    </row>
    <row r="139" spans="1:33" ht="11.25" customHeight="1" x14ac:dyDescent="0.3">
      <c r="A139" s="4" t="s">
        <v>28</v>
      </c>
      <c r="B139" s="4" t="s">
        <v>39</v>
      </c>
      <c r="C139" s="4" t="s">
        <v>40</v>
      </c>
      <c r="D139" s="4" t="s">
        <v>41</v>
      </c>
      <c r="E139" s="4" t="s">
        <v>25</v>
      </c>
      <c r="F139" s="4" t="s">
        <v>25</v>
      </c>
      <c r="G139" s="4" t="s">
        <v>25</v>
      </c>
      <c r="H139" s="4" t="s">
        <v>35</v>
      </c>
      <c r="I139" s="5">
        <v>44593</v>
      </c>
      <c r="J139" s="6">
        <v>0</v>
      </c>
      <c r="K139" s="6">
        <v>0</v>
      </c>
      <c r="L139" s="6">
        <v>29.741</v>
      </c>
      <c r="M139" s="6">
        <v>29.741</v>
      </c>
      <c r="N139" s="6">
        <v>29.741</v>
      </c>
      <c r="O139" s="6">
        <v>29.741</v>
      </c>
      <c r="P139" s="6">
        <v>0</v>
      </c>
      <c r="Q139" s="4" t="s">
        <v>26</v>
      </c>
      <c r="R139" s="4">
        <v>0</v>
      </c>
      <c r="S139" s="6">
        <v>0</v>
      </c>
      <c r="T139" s="6">
        <v>17</v>
      </c>
      <c r="U139" s="6">
        <v>66</v>
      </c>
      <c r="V139" s="6">
        <f>IF(ISERROR(VLOOKUP($S$139,'TAR FIN'!$A$1:$O$103,15,0)),0,VLOOKUP($S$139,'TAR FIN'!$A$1:$O$103,15,0))</f>
        <v>0</v>
      </c>
      <c r="W139" s="6">
        <f>IF(ISERROR(VLOOKUP($T$139,'TAR FIN'!$A$1:$O$103,15,0)),0,VLOOKUP($T$139,'TAR FIN'!$A$1:$O$103,15,0))</f>
        <v>84.99</v>
      </c>
      <c r="X139" s="6">
        <f>IF(ISERROR(VLOOKUP($U$139,'TAR FIN'!$A$1:$O$103,15,0)),0,VLOOKUP($U$139,'TAR FIN'!$A$1:$O$103,15,0))</f>
        <v>242.77</v>
      </c>
      <c r="Y139" s="6"/>
      <c r="Z139" s="6">
        <f ca="1">('TUSD BE'!$AM$24+'TUSD BF'!$AM$24+'TUSD CVA'!$AM$24)*1</f>
        <v>145.72237393634796</v>
      </c>
      <c r="AA139" s="6">
        <f>('TE BE'!$AB$9+'TE BF'!$AB$9+'TE CVA'!$AB$9)*1</f>
        <v>222.39386487986414</v>
      </c>
      <c r="AB139" s="6">
        <f>$K$139*$V$139</f>
        <v>0</v>
      </c>
      <c r="AC139" s="6">
        <f>$M$139*$W$139</f>
        <v>2527.68759</v>
      </c>
      <c r="AD139" s="6">
        <f>$O$139*$X$139</f>
        <v>7220.2225699999999</v>
      </c>
      <c r="AE139" s="6">
        <f>$K$139*$Y$139</f>
        <v>0</v>
      </c>
      <c r="AF139" s="6">
        <f ca="1">$M$139*$Z$139</f>
        <v>4333.929123240925</v>
      </c>
      <c r="AG139" s="6">
        <f>$O$139*$AA$139</f>
        <v>6614.2159353920397</v>
      </c>
    </row>
    <row r="140" spans="1:33" ht="11.25" customHeight="1" x14ac:dyDescent="0.3">
      <c r="A140" s="4" t="s">
        <v>21</v>
      </c>
      <c r="B140" s="4" t="s">
        <v>39</v>
      </c>
      <c r="C140" s="4" t="s">
        <v>40</v>
      </c>
      <c r="D140" s="4" t="s">
        <v>41</v>
      </c>
      <c r="E140" s="4" t="s">
        <v>25</v>
      </c>
      <c r="F140" s="4" t="s">
        <v>25</v>
      </c>
      <c r="G140" s="4" t="s">
        <v>25</v>
      </c>
      <c r="H140" s="4" t="s">
        <v>35</v>
      </c>
      <c r="I140" s="5">
        <v>44621</v>
      </c>
      <c r="J140" s="6">
        <v>0</v>
      </c>
      <c r="K140" s="6">
        <v>0</v>
      </c>
      <c r="L140" s="6">
        <v>300.5</v>
      </c>
      <c r="M140" s="6">
        <v>300.5</v>
      </c>
      <c r="N140" s="6">
        <v>300.5</v>
      </c>
      <c r="O140" s="6">
        <v>300.5</v>
      </c>
      <c r="P140" s="6">
        <v>0</v>
      </c>
      <c r="Q140" s="4" t="s">
        <v>26</v>
      </c>
      <c r="R140" s="4">
        <v>0</v>
      </c>
      <c r="S140" s="6">
        <v>0</v>
      </c>
      <c r="T140" s="6">
        <v>17</v>
      </c>
      <c r="U140" s="6">
        <v>66</v>
      </c>
      <c r="V140" s="6">
        <f>IF(ISERROR(VLOOKUP($S$140,'TAR FIN'!$A$1:$O$103,15,0)),0,VLOOKUP($S$140,'TAR FIN'!$A$1:$O$103,15,0))</f>
        <v>0</v>
      </c>
      <c r="W140" s="6">
        <f>IF(ISERROR(VLOOKUP($T$140,'TAR FIN'!$A$1:$O$103,15,0)),0,VLOOKUP($T$140,'TAR FIN'!$A$1:$O$103,15,0))</f>
        <v>84.99</v>
      </c>
      <c r="X140" s="6">
        <f>IF(ISERROR(VLOOKUP($U$140,'TAR FIN'!$A$1:$O$103,15,0)),0,VLOOKUP($U$140,'TAR FIN'!$A$1:$O$103,15,0))</f>
        <v>242.77</v>
      </c>
      <c r="Y140" s="6"/>
      <c r="Z140" s="6">
        <f ca="1">('TUSD BE'!$AM$24+'TUSD BF'!$AM$24+'TUSD CVA'!$AM$24)*1</f>
        <v>145.72237393634796</v>
      </c>
      <c r="AA140" s="6">
        <f>('TE BE'!$AB$9+'TE BF'!$AB$9+'TE CVA'!$AB$9)*1</f>
        <v>222.39386487986414</v>
      </c>
      <c r="AB140" s="6">
        <f>$K$140*$V$140</f>
        <v>0</v>
      </c>
      <c r="AC140" s="6">
        <f>$M$140*$W$140</f>
        <v>25539.494999999999</v>
      </c>
      <c r="AD140" s="6">
        <f>$O$140*$X$140</f>
        <v>72952.385000000009</v>
      </c>
      <c r="AE140" s="6">
        <f>$K$140*$Y$140</f>
        <v>0</v>
      </c>
      <c r="AF140" s="6">
        <f ca="1">$M$140*$Z$140</f>
        <v>43789.573367872566</v>
      </c>
      <c r="AG140" s="6">
        <f>$O$140*$AA$140</f>
        <v>66829.356396399176</v>
      </c>
    </row>
    <row r="141" spans="1:33" ht="11.25" customHeight="1" x14ac:dyDescent="0.3">
      <c r="A141" s="4" t="s">
        <v>28</v>
      </c>
      <c r="B141" s="4" t="s">
        <v>39</v>
      </c>
      <c r="C141" s="4" t="s">
        <v>40</v>
      </c>
      <c r="D141" s="4" t="s">
        <v>41</v>
      </c>
      <c r="E141" s="4" t="s">
        <v>25</v>
      </c>
      <c r="F141" s="4" t="s">
        <v>25</v>
      </c>
      <c r="G141" s="4" t="s">
        <v>25</v>
      </c>
      <c r="H141" s="4" t="s">
        <v>35</v>
      </c>
      <c r="I141" s="5">
        <v>44621</v>
      </c>
      <c r="J141" s="6">
        <v>0</v>
      </c>
      <c r="K141" s="6">
        <v>0</v>
      </c>
      <c r="L141" s="6">
        <v>40.207000000000001</v>
      </c>
      <c r="M141" s="6">
        <v>40.207000000000001</v>
      </c>
      <c r="N141" s="6">
        <v>40.207000000000001</v>
      </c>
      <c r="O141" s="6">
        <v>40.207000000000001</v>
      </c>
      <c r="P141" s="6">
        <v>0</v>
      </c>
      <c r="Q141" s="4" t="s">
        <v>26</v>
      </c>
      <c r="R141" s="4">
        <v>0</v>
      </c>
      <c r="S141" s="6">
        <v>0</v>
      </c>
      <c r="T141" s="6">
        <v>17</v>
      </c>
      <c r="U141" s="6">
        <v>66</v>
      </c>
      <c r="V141" s="6">
        <f>IF(ISERROR(VLOOKUP($S$141,'TAR FIN'!$A$1:$O$103,15,0)),0,VLOOKUP($S$141,'TAR FIN'!$A$1:$O$103,15,0))</f>
        <v>0</v>
      </c>
      <c r="W141" s="6">
        <f>IF(ISERROR(VLOOKUP($T$141,'TAR FIN'!$A$1:$O$103,15,0)),0,VLOOKUP($T$141,'TAR FIN'!$A$1:$O$103,15,0))</f>
        <v>84.99</v>
      </c>
      <c r="X141" s="6">
        <f>IF(ISERROR(VLOOKUP($U$141,'TAR FIN'!$A$1:$O$103,15,0)),0,VLOOKUP($U$141,'TAR FIN'!$A$1:$O$103,15,0))</f>
        <v>242.77</v>
      </c>
      <c r="Y141" s="6"/>
      <c r="Z141" s="6">
        <f ca="1">('TUSD BE'!$AM$24+'TUSD BF'!$AM$24+'TUSD CVA'!$AM$24)*1</f>
        <v>145.72237393634796</v>
      </c>
      <c r="AA141" s="6">
        <f>('TE BE'!$AB$9+'TE BF'!$AB$9+'TE CVA'!$AB$9)*1</f>
        <v>222.39386487986414</v>
      </c>
      <c r="AB141" s="6">
        <f>$K$141*$V$141</f>
        <v>0</v>
      </c>
      <c r="AC141" s="6">
        <f>$M$141*$W$141</f>
        <v>3417.1929299999997</v>
      </c>
      <c r="AD141" s="6">
        <f>$O$141*$X$141</f>
        <v>9761.0533900000009</v>
      </c>
      <c r="AE141" s="6">
        <f>$K$141*$Y$141</f>
        <v>0</v>
      </c>
      <c r="AF141" s="6">
        <f ca="1">$M$141*$Z$141</f>
        <v>5859.059488858743</v>
      </c>
      <c r="AG141" s="6">
        <f>$O$141*$AA$141</f>
        <v>8941.7901252246975</v>
      </c>
    </row>
    <row r="142" spans="1:33" ht="11.25" customHeight="1" x14ac:dyDescent="0.3">
      <c r="A142" s="4" t="s">
        <v>21</v>
      </c>
      <c r="B142" s="4" t="s">
        <v>39</v>
      </c>
      <c r="C142" s="4" t="s">
        <v>40</v>
      </c>
      <c r="D142" s="4" t="s">
        <v>41</v>
      </c>
      <c r="E142" s="4" t="s">
        <v>25</v>
      </c>
      <c r="F142" s="4" t="s">
        <v>25</v>
      </c>
      <c r="G142" s="4" t="s">
        <v>25</v>
      </c>
      <c r="H142" s="4" t="s">
        <v>35</v>
      </c>
      <c r="I142" s="5">
        <v>44652</v>
      </c>
      <c r="J142" s="6">
        <v>0</v>
      </c>
      <c r="K142" s="6">
        <v>0</v>
      </c>
      <c r="L142" s="6">
        <v>288.178</v>
      </c>
      <c r="M142" s="6">
        <v>288.178</v>
      </c>
      <c r="N142" s="6">
        <v>288.178</v>
      </c>
      <c r="O142" s="6">
        <v>288.178</v>
      </c>
      <c r="P142" s="6">
        <v>0</v>
      </c>
      <c r="Q142" s="4" t="s">
        <v>26</v>
      </c>
      <c r="R142" s="4">
        <v>0</v>
      </c>
      <c r="S142" s="6">
        <v>0</v>
      </c>
      <c r="T142" s="6">
        <v>17</v>
      </c>
      <c r="U142" s="6">
        <v>66</v>
      </c>
      <c r="V142" s="6">
        <f>IF(ISERROR(VLOOKUP($S$142,'TAR FIN'!$A$1:$O$103,15,0)),0,VLOOKUP($S$142,'TAR FIN'!$A$1:$O$103,15,0))</f>
        <v>0</v>
      </c>
      <c r="W142" s="6">
        <f>IF(ISERROR(VLOOKUP($T$142,'TAR FIN'!$A$1:$O$103,15,0)),0,VLOOKUP($T$142,'TAR FIN'!$A$1:$O$103,15,0))</f>
        <v>84.99</v>
      </c>
      <c r="X142" s="6">
        <f>IF(ISERROR(VLOOKUP($U$142,'TAR FIN'!$A$1:$O$103,15,0)),0,VLOOKUP($U$142,'TAR FIN'!$A$1:$O$103,15,0))</f>
        <v>242.77</v>
      </c>
      <c r="Y142" s="6"/>
      <c r="Z142" s="6">
        <f ca="1">('TUSD BE'!$AM$24+'TUSD BF'!$AM$24+'TUSD CVA'!$AM$24)*1</f>
        <v>145.72237393634796</v>
      </c>
      <c r="AA142" s="6">
        <f>('TE BE'!$AB$9+'TE BF'!$AB$9+'TE CVA'!$AB$9)*1</f>
        <v>222.39386487986414</v>
      </c>
      <c r="AB142" s="6">
        <f>$K$142*$V$142</f>
        <v>0</v>
      </c>
      <c r="AC142" s="6">
        <f>$M$142*$W$142</f>
        <v>24492.248219999998</v>
      </c>
      <c r="AD142" s="6">
        <f>$O$142*$X$142</f>
        <v>69960.973060000004</v>
      </c>
      <c r="AE142" s="6">
        <f>$K$142*$Y$142</f>
        <v>0</v>
      </c>
      <c r="AF142" s="6">
        <f ca="1">$M$142*$Z$142</f>
        <v>41993.982276228882</v>
      </c>
      <c r="AG142" s="6">
        <f>$O$142*$AA$142</f>
        <v>64089.019193349486</v>
      </c>
    </row>
    <row r="143" spans="1:33" ht="11.25" customHeight="1" x14ac:dyDescent="0.3">
      <c r="A143" s="4" t="s">
        <v>28</v>
      </c>
      <c r="B143" s="4" t="s">
        <v>39</v>
      </c>
      <c r="C143" s="4" t="s">
        <v>40</v>
      </c>
      <c r="D143" s="4" t="s">
        <v>41</v>
      </c>
      <c r="E143" s="4" t="s">
        <v>25</v>
      </c>
      <c r="F143" s="4" t="s">
        <v>25</v>
      </c>
      <c r="G143" s="4" t="s">
        <v>25</v>
      </c>
      <c r="H143" s="4" t="s">
        <v>35</v>
      </c>
      <c r="I143" s="5">
        <v>44652</v>
      </c>
      <c r="J143" s="6">
        <v>0</v>
      </c>
      <c r="K143" s="6">
        <v>0</v>
      </c>
      <c r="L143" s="6">
        <v>32.713000000000001</v>
      </c>
      <c r="M143" s="6">
        <v>32.713000000000001</v>
      </c>
      <c r="N143" s="6">
        <v>32.713000000000001</v>
      </c>
      <c r="O143" s="6">
        <v>32.713000000000001</v>
      </c>
      <c r="P143" s="6">
        <v>0</v>
      </c>
      <c r="Q143" s="4" t="s">
        <v>26</v>
      </c>
      <c r="R143" s="4">
        <v>0</v>
      </c>
      <c r="S143" s="6">
        <v>0</v>
      </c>
      <c r="T143" s="6">
        <v>17</v>
      </c>
      <c r="U143" s="6">
        <v>66</v>
      </c>
      <c r="V143" s="6">
        <f>IF(ISERROR(VLOOKUP($S$143,'TAR FIN'!$A$1:$O$103,15,0)),0,VLOOKUP($S$143,'TAR FIN'!$A$1:$O$103,15,0))</f>
        <v>0</v>
      </c>
      <c r="W143" s="6">
        <f>IF(ISERROR(VLOOKUP($T$143,'TAR FIN'!$A$1:$O$103,15,0)),0,VLOOKUP($T$143,'TAR FIN'!$A$1:$O$103,15,0))</f>
        <v>84.99</v>
      </c>
      <c r="X143" s="6">
        <f>IF(ISERROR(VLOOKUP($U$143,'TAR FIN'!$A$1:$O$103,15,0)),0,VLOOKUP($U$143,'TAR FIN'!$A$1:$O$103,15,0))</f>
        <v>242.77</v>
      </c>
      <c r="Y143" s="6"/>
      <c r="Z143" s="6">
        <f ca="1">('TUSD BE'!$AM$24+'TUSD BF'!$AM$24+'TUSD CVA'!$AM$24)*1</f>
        <v>145.72237393634796</v>
      </c>
      <c r="AA143" s="6">
        <f>('TE BE'!$AB$9+'TE BF'!$AB$9+'TE CVA'!$AB$9)*1</f>
        <v>222.39386487986414</v>
      </c>
      <c r="AB143" s="6">
        <f>$K$143*$V$143</f>
        <v>0</v>
      </c>
      <c r="AC143" s="6">
        <f>$M$143*$W$143</f>
        <v>2780.2778699999999</v>
      </c>
      <c r="AD143" s="6">
        <f>$O$143*$X$143</f>
        <v>7941.7350100000003</v>
      </c>
      <c r="AE143" s="6">
        <f>$K$143*$Y$143</f>
        <v>0</v>
      </c>
      <c r="AF143" s="6">
        <f ca="1">$M$143*$Z$143</f>
        <v>4767.0160185797513</v>
      </c>
      <c r="AG143" s="6">
        <f>$O$143*$AA$143</f>
        <v>7275.170501814996</v>
      </c>
    </row>
    <row r="144" spans="1:33" ht="11.25" customHeight="1" x14ac:dyDescent="0.3">
      <c r="A144" s="4" t="s">
        <v>21</v>
      </c>
      <c r="B144" s="4" t="s">
        <v>39</v>
      </c>
      <c r="C144" s="4" t="s">
        <v>40</v>
      </c>
      <c r="D144" s="4" t="s">
        <v>41</v>
      </c>
      <c r="E144" s="4" t="s">
        <v>25</v>
      </c>
      <c r="F144" s="4" t="s">
        <v>25</v>
      </c>
      <c r="G144" s="4" t="s">
        <v>25</v>
      </c>
      <c r="H144" s="4" t="s">
        <v>35</v>
      </c>
      <c r="I144" s="5">
        <v>44682</v>
      </c>
      <c r="J144" s="6">
        <v>0</v>
      </c>
      <c r="K144" s="6">
        <v>0</v>
      </c>
      <c r="L144" s="6">
        <v>258.25200000000001</v>
      </c>
      <c r="M144" s="6">
        <v>258.25200000000001</v>
      </c>
      <c r="N144" s="6">
        <v>258.25200000000001</v>
      </c>
      <c r="O144" s="6">
        <v>258.25200000000001</v>
      </c>
      <c r="P144" s="6">
        <v>0</v>
      </c>
      <c r="Q144" s="4" t="s">
        <v>26</v>
      </c>
      <c r="R144" s="4">
        <v>0</v>
      </c>
      <c r="S144" s="6">
        <v>0</v>
      </c>
      <c r="T144" s="6">
        <v>17</v>
      </c>
      <c r="U144" s="6">
        <v>66</v>
      </c>
      <c r="V144" s="6">
        <f>IF(ISERROR(VLOOKUP($S$144,'TAR FIN'!$A$1:$O$103,15,0)),0,VLOOKUP($S$144,'TAR FIN'!$A$1:$O$103,15,0))</f>
        <v>0</v>
      </c>
      <c r="W144" s="6">
        <f>IF(ISERROR(VLOOKUP($T$144,'TAR FIN'!$A$1:$O$103,15,0)),0,VLOOKUP($T$144,'TAR FIN'!$A$1:$O$103,15,0))</f>
        <v>84.99</v>
      </c>
      <c r="X144" s="6">
        <f>IF(ISERROR(VLOOKUP($U$144,'TAR FIN'!$A$1:$O$103,15,0)),0,VLOOKUP($U$144,'TAR FIN'!$A$1:$O$103,15,0))</f>
        <v>242.77</v>
      </c>
      <c r="Y144" s="6"/>
      <c r="Z144" s="6">
        <f ca="1">('TUSD BE'!$AM$24+'TUSD BF'!$AM$24+'TUSD CVA'!$AM$24)*1</f>
        <v>145.72237393634796</v>
      </c>
      <c r="AA144" s="6">
        <f>('TE BE'!$AB$9+'TE BF'!$AB$9+'TE CVA'!$AB$9)*1</f>
        <v>222.39386487986414</v>
      </c>
      <c r="AB144" s="6">
        <f>$K$144*$V$144</f>
        <v>0</v>
      </c>
      <c r="AC144" s="6">
        <f>$M$144*$W$144</f>
        <v>21948.837479999998</v>
      </c>
      <c r="AD144" s="6">
        <f>$O$144*$X$144</f>
        <v>62695.838040000002</v>
      </c>
      <c r="AE144" s="6">
        <f>$K$144*$Y$144</f>
        <v>0</v>
      </c>
      <c r="AF144" s="6">
        <f ca="1">$M$144*$Z$144</f>
        <v>37633.094513809738</v>
      </c>
      <c r="AG144" s="6">
        <f>$O$144*$AA$144</f>
        <v>57433.660392954676</v>
      </c>
    </row>
    <row r="145" spans="1:33" ht="11.25" customHeight="1" x14ac:dyDescent="0.3">
      <c r="A145" s="4" t="s">
        <v>28</v>
      </c>
      <c r="B145" s="4" t="s">
        <v>39</v>
      </c>
      <c r="C145" s="4" t="s">
        <v>40</v>
      </c>
      <c r="D145" s="4" t="s">
        <v>41</v>
      </c>
      <c r="E145" s="4" t="s">
        <v>25</v>
      </c>
      <c r="F145" s="4" t="s">
        <v>25</v>
      </c>
      <c r="G145" s="4" t="s">
        <v>25</v>
      </c>
      <c r="H145" s="4" t="s">
        <v>35</v>
      </c>
      <c r="I145" s="5">
        <v>44682</v>
      </c>
      <c r="J145" s="6">
        <v>0</v>
      </c>
      <c r="K145" s="6">
        <v>0</v>
      </c>
      <c r="L145" s="6">
        <v>33.741</v>
      </c>
      <c r="M145" s="6">
        <v>33.741</v>
      </c>
      <c r="N145" s="6">
        <v>33.741</v>
      </c>
      <c r="O145" s="6">
        <v>33.741</v>
      </c>
      <c r="P145" s="6">
        <v>0</v>
      </c>
      <c r="Q145" s="4" t="s">
        <v>26</v>
      </c>
      <c r="R145" s="4">
        <v>0</v>
      </c>
      <c r="S145" s="6">
        <v>0</v>
      </c>
      <c r="T145" s="6">
        <v>17</v>
      </c>
      <c r="U145" s="6">
        <v>66</v>
      </c>
      <c r="V145" s="6">
        <f>IF(ISERROR(VLOOKUP($S$145,'TAR FIN'!$A$1:$O$103,15,0)),0,VLOOKUP($S$145,'TAR FIN'!$A$1:$O$103,15,0))</f>
        <v>0</v>
      </c>
      <c r="W145" s="6">
        <f>IF(ISERROR(VLOOKUP($T$145,'TAR FIN'!$A$1:$O$103,15,0)),0,VLOOKUP($T$145,'TAR FIN'!$A$1:$O$103,15,0))</f>
        <v>84.99</v>
      </c>
      <c r="X145" s="6">
        <f>IF(ISERROR(VLOOKUP($U$145,'TAR FIN'!$A$1:$O$103,15,0)),0,VLOOKUP($U$145,'TAR FIN'!$A$1:$O$103,15,0))</f>
        <v>242.77</v>
      </c>
      <c r="Y145" s="6"/>
      <c r="Z145" s="6">
        <f ca="1">('TUSD BE'!$AM$24+'TUSD BF'!$AM$24+'TUSD CVA'!$AM$24)*1</f>
        <v>145.72237393634796</v>
      </c>
      <c r="AA145" s="6">
        <f>('TE BE'!$AB$9+'TE BF'!$AB$9+'TE CVA'!$AB$9)*1</f>
        <v>222.39386487986414</v>
      </c>
      <c r="AB145" s="6">
        <f>$K$145*$V$145</f>
        <v>0</v>
      </c>
      <c r="AC145" s="6">
        <f>$M$145*$W$145</f>
        <v>2867.6475899999996</v>
      </c>
      <c r="AD145" s="6">
        <f>$O$145*$X$145</f>
        <v>8191.3025699999998</v>
      </c>
      <c r="AE145" s="6">
        <f>$K$145*$Y$145</f>
        <v>0</v>
      </c>
      <c r="AF145" s="6">
        <f ca="1">$M$145*$Z$145</f>
        <v>4916.8186189863163</v>
      </c>
      <c r="AG145" s="6">
        <f>$O$145*$AA$145</f>
        <v>7503.7913949114954</v>
      </c>
    </row>
    <row r="146" spans="1:33" ht="11.25" customHeight="1" x14ac:dyDescent="0.3">
      <c r="A146" s="4" t="s">
        <v>21</v>
      </c>
      <c r="B146" s="4" t="s">
        <v>39</v>
      </c>
      <c r="C146" s="4" t="s">
        <v>40</v>
      </c>
      <c r="D146" s="4" t="s">
        <v>41</v>
      </c>
      <c r="E146" s="4" t="s">
        <v>25</v>
      </c>
      <c r="F146" s="4" t="s">
        <v>25</v>
      </c>
      <c r="G146" s="4" t="s">
        <v>25</v>
      </c>
      <c r="H146" s="4" t="s">
        <v>35</v>
      </c>
      <c r="I146" s="5">
        <v>44713</v>
      </c>
      <c r="J146" s="6">
        <v>0</v>
      </c>
      <c r="K146" s="6">
        <v>0</v>
      </c>
      <c r="L146" s="6">
        <v>240.71</v>
      </c>
      <c r="M146" s="6">
        <v>240.71</v>
      </c>
      <c r="N146" s="6">
        <v>240.71</v>
      </c>
      <c r="O146" s="6">
        <v>240.71</v>
      </c>
      <c r="P146" s="6">
        <v>0</v>
      </c>
      <c r="Q146" s="4" t="s">
        <v>26</v>
      </c>
      <c r="R146" s="4">
        <v>0</v>
      </c>
      <c r="S146" s="6">
        <v>0</v>
      </c>
      <c r="T146" s="6">
        <v>17</v>
      </c>
      <c r="U146" s="6">
        <v>66</v>
      </c>
      <c r="V146" s="6">
        <f>IF(ISERROR(VLOOKUP($S$146,'TAR FIN'!$A$1:$O$103,15,0)),0,VLOOKUP($S$146,'TAR FIN'!$A$1:$O$103,15,0))</f>
        <v>0</v>
      </c>
      <c r="W146" s="6">
        <f>IF(ISERROR(VLOOKUP($T$146,'TAR FIN'!$A$1:$O$103,15,0)),0,VLOOKUP($T$146,'TAR FIN'!$A$1:$O$103,15,0))</f>
        <v>84.99</v>
      </c>
      <c r="X146" s="6">
        <f>IF(ISERROR(VLOOKUP($U$146,'TAR FIN'!$A$1:$O$103,15,0)),0,VLOOKUP($U$146,'TAR FIN'!$A$1:$O$103,15,0))</f>
        <v>242.77</v>
      </c>
      <c r="Y146" s="6"/>
      <c r="Z146" s="6">
        <f ca="1">('TUSD BE'!$AM$24+'TUSD BF'!$AM$24+'TUSD CVA'!$AM$24)*1</f>
        <v>145.72237393634796</v>
      </c>
      <c r="AA146" s="6">
        <f>('TE BE'!$AB$9+'TE BF'!$AB$9+'TE CVA'!$AB$9)*1</f>
        <v>222.39386487986414</v>
      </c>
      <c r="AB146" s="6">
        <f>$K$146*$V$146</f>
        <v>0</v>
      </c>
      <c r="AC146" s="6">
        <f>$M$146*$W$146</f>
        <v>20457.942899999998</v>
      </c>
      <c r="AD146" s="6">
        <f>$O$146*$X$146</f>
        <v>58437.166700000002</v>
      </c>
      <c r="AE146" s="6">
        <f>$K$146*$Y$146</f>
        <v>0</v>
      </c>
      <c r="AF146" s="6">
        <f ca="1">$M$146*$Z$146</f>
        <v>35076.83263021832</v>
      </c>
      <c r="AG146" s="6">
        <f>$O$146*$AA$146</f>
        <v>53532.427215232099</v>
      </c>
    </row>
    <row r="147" spans="1:33" ht="11.25" customHeight="1" x14ac:dyDescent="0.3">
      <c r="A147" s="4" t="s">
        <v>28</v>
      </c>
      <c r="B147" s="4" t="s">
        <v>39</v>
      </c>
      <c r="C147" s="4" t="s">
        <v>40</v>
      </c>
      <c r="D147" s="4" t="s">
        <v>41</v>
      </c>
      <c r="E147" s="4" t="s">
        <v>25</v>
      </c>
      <c r="F147" s="4" t="s">
        <v>25</v>
      </c>
      <c r="G147" s="4" t="s">
        <v>25</v>
      </c>
      <c r="H147" s="4" t="s">
        <v>35</v>
      </c>
      <c r="I147" s="5">
        <v>44713</v>
      </c>
      <c r="J147" s="6">
        <v>0</v>
      </c>
      <c r="K147" s="6">
        <v>0</v>
      </c>
      <c r="L147" s="6">
        <v>34.392000000000003</v>
      </c>
      <c r="M147" s="6">
        <v>34.392000000000003</v>
      </c>
      <c r="N147" s="6">
        <v>34.392000000000003</v>
      </c>
      <c r="O147" s="6">
        <v>34.392000000000003</v>
      </c>
      <c r="P147" s="6">
        <v>0</v>
      </c>
      <c r="Q147" s="4" t="s">
        <v>26</v>
      </c>
      <c r="R147" s="4">
        <v>0</v>
      </c>
      <c r="S147" s="6">
        <v>0</v>
      </c>
      <c r="T147" s="6">
        <v>17</v>
      </c>
      <c r="U147" s="6">
        <v>66</v>
      </c>
      <c r="V147" s="6">
        <f>IF(ISERROR(VLOOKUP($S$147,'TAR FIN'!$A$1:$O$103,15,0)),0,VLOOKUP($S$147,'TAR FIN'!$A$1:$O$103,15,0))</f>
        <v>0</v>
      </c>
      <c r="W147" s="6">
        <f>IF(ISERROR(VLOOKUP($T$147,'TAR FIN'!$A$1:$O$103,15,0)),0,VLOOKUP($T$147,'TAR FIN'!$A$1:$O$103,15,0))</f>
        <v>84.99</v>
      </c>
      <c r="X147" s="6">
        <f>IF(ISERROR(VLOOKUP($U$147,'TAR FIN'!$A$1:$O$103,15,0)),0,VLOOKUP($U$147,'TAR FIN'!$A$1:$O$103,15,0))</f>
        <v>242.77</v>
      </c>
      <c r="Y147" s="6"/>
      <c r="Z147" s="6">
        <f ca="1">('TUSD BE'!$AM$24+'TUSD BF'!$AM$24+'TUSD CVA'!$AM$24)*1</f>
        <v>145.72237393634796</v>
      </c>
      <c r="AA147" s="6">
        <f>('TE BE'!$AB$9+'TE BF'!$AB$9+'TE CVA'!$AB$9)*1</f>
        <v>222.39386487986414</v>
      </c>
      <c r="AB147" s="6">
        <f>$K$147*$V$147</f>
        <v>0</v>
      </c>
      <c r="AC147" s="6">
        <f>$M$147*$W$147</f>
        <v>2922.9760799999999</v>
      </c>
      <c r="AD147" s="6">
        <f>$O$147*$X$147</f>
        <v>8349.3458400000018</v>
      </c>
      <c r="AE147" s="6">
        <f>$K$147*$Y$147</f>
        <v>0</v>
      </c>
      <c r="AF147" s="6">
        <f ca="1">$M$147*$Z$147</f>
        <v>5011.6838844188796</v>
      </c>
      <c r="AG147" s="6">
        <f>$O$147*$AA$147</f>
        <v>7648.5698009482885</v>
      </c>
    </row>
    <row r="148" spans="1:33" ht="11.25" customHeight="1" x14ac:dyDescent="0.3">
      <c r="A148" s="4" t="s">
        <v>21</v>
      </c>
      <c r="B148" s="4" t="s">
        <v>39</v>
      </c>
      <c r="C148" s="4" t="s">
        <v>40</v>
      </c>
      <c r="D148" s="4" t="s">
        <v>41</v>
      </c>
      <c r="E148" s="4" t="s">
        <v>25</v>
      </c>
      <c r="F148" s="4" t="s">
        <v>25</v>
      </c>
      <c r="G148" s="4" t="s">
        <v>25</v>
      </c>
      <c r="H148" s="4" t="s">
        <v>35</v>
      </c>
      <c r="I148" s="5">
        <v>44743</v>
      </c>
      <c r="J148" s="6">
        <v>0</v>
      </c>
      <c r="K148" s="6">
        <v>0</v>
      </c>
      <c r="L148" s="6">
        <v>200.34700000000001</v>
      </c>
      <c r="M148" s="6">
        <v>200.34700000000001</v>
      </c>
      <c r="N148" s="6">
        <v>200.34700000000001</v>
      </c>
      <c r="O148" s="6">
        <v>200.34700000000001</v>
      </c>
      <c r="P148" s="6">
        <v>0</v>
      </c>
      <c r="Q148" s="4" t="s">
        <v>26</v>
      </c>
      <c r="R148" s="4">
        <v>0</v>
      </c>
      <c r="S148" s="6">
        <v>0</v>
      </c>
      <c r="T148" s="6">
        <v>17</v>
      </c>
      <c r="U148" s="6">
        <v>66</v>
      </c>
      <c r="V148" s="6">
        <f>IF(ISERROR(VLOOKUP($S$148,'TAR FIN'!$A$1:$O$103,15,0)),0,VLOOKUP($S$148,'TAR FIN'!$A$1:$O$103,15,0))</f>
        <v>0</v>
      </c>
      <c r="W148" s="6">
        <f>IF(ISERROR(VLOOKUP($T$148,'TAR FIN'!$A$1:$O$103,15,0)),0,VLOOKUP($T$148,'TAR FIN'!$A$1:$O$103,15,0))</f>
        <v>84.99</v>
      </c>
      <c r="X148" s="6">
        <f>IF(ISERROR(VLOOKUP($U$148,'TAR FIN'!$A$1:$O$103,15,0)),0,VLOOKUP($U$148,'TAR FIN'!$A$1:$O$103,15,0))</f>
        <v>242.77</v>
      </c>
      <c r="Y148" s="6"/>
      <c r="Z148" s="6">
        <f ca="1">('TUSD BE'!$AM$24+'TUSD BF'!$AM$24+'TUSD CVA'!$AM$24)*1</f>
        <v>145.72237393634796</v>
      </c>
      <c r="AA148" s="6">
        <f>('TE BE'!$AB$9+'TE BF'!$AB$9+'TE CVA'!$AB$9)*1</f>
        <v>222.39386487986414</v>
      </c>
      <c r="AB148" s="6">
        <f>$K$148*$V$148</f>
        <v>0</v>
      </c>
      <c r="AC148" s="6">
        <f>$M$148*$W$148</f>
        <v>17027.491529999999</v>
      </c>
      <c r="AD148" s="6">
        <f>$O$148*$X$148</f>
        <v>48638.241190000001</v>
      </c>
      <c r="AE148" s="6">
        <f>$K$148*$Y$148</f>
        <v>0</v>
      </c>
      <c r="AF148" s="6">
        <f ca="1">$M$148*$Z$148</f>
        <v>29195.040451025507</v>
      </c>
      <c r="AG148" s="6">
        <f>$O$148*$AA$148</f>
        <v>44555.94364708614</v>
      </c>
    </row>
    <row r="149" spans="1:33" ht="11.25" customHeight="1" x14ac:dyDescent="0.3">
      <c r="A149" s="4" t="s">
        <v>28</v>
      </c>
      <c r="B149" s="4" t="s">
        <v>39</v>
      </c>
      <c r="C149" s="4" t="s">
        <v>40</v>
      </c>
      <c r="D149" s="4" t="s">
        <v>41</v>
      </c>
      <c r="E149" s="4" t="s">
        <v>25</v>
      </c>
      <c r="F149" s="4" t="s">
        <v>25</v>
      </c>
      <c r="G149" s="4" t="s">
        <v>25</v>
      </c>
      <c r="H149" s="4" t="s">
        <v>35</v>
      </c>
      <c r="I149" s="5">
        <v>44743</v>
      </c>
      <c r="J149" s="6">
        <v>0</v>
      </c>
      <c r="K149" s="6">
        <v>0</v>
      </c>
      <c r="L149" s="6">
        <v>33.978999999999999</v>
      </c>
      <c r="M149" s="6">
        <v>33.978999999999999</v>
      </c>
      <c r="N149" s="6">
        <v>33.978999999999999</v>
      </c>
      <c r="O149" s="6">
        <v>33.978999999999999</v>
      </c>
      <c r="P149" s="6">
        <v>0</v>
      </c>
      <c r="Q149" s="4" t="s">
        <v>26</v>
      </c>
      <c r="R149" s="4">
        <v>0</v>
      </c>
      <c r="S149" s="6">
        <v>0</v>
      </c>
      <c r="T149" s="6">
        <v>17</v>
      </c>
      <c r="U149" s="6">
        <v>66</v>
      </c>
      <c r="V149" s="6">
        <f>IF(ISERROR(VLOOKUP($S$149,'TAR FIN'!$A$1:$O$103,15,0)),0,VLOOKUP($S$149,'TAR FIN'!$A$1:$O$103,15,0))</f>
        <v>0</v>
      </c>
      <c r="W149" s="6">
        <f>IF(ISERROR(VLOOKUP($T$149,'TAR FIN'!$A$1:$O$103,15,0)),0,VLOOKUP($T$149,'TAR FIN'!$A$1:$O$103,15,0))</f>
        <v>84.99</v>
      </c>
      <c r="X149" s="6">
        <f>IF(ISERROR(VLOOKUP($U$149,'TAR FIN'!$A$1:$O$103,15,0)),0,VLOOKUP($U$149,'TAR FIN'!$A$1:$O$103,15,0))</f>
        <v>242.77</v>
      </c>
      <c r="Y149" s="6"/>
      <c r="Z149" s="6">
        <f ca="1">('TUSD BE'!$AM$24+'TUSD BF'!$AM$24+'TUSD CVA'!$AM$24)*1</f>
        <v>145.72237393634796</v>
      </c>
      <c r="AA149" s="6">
        <f>('TE BE'!$AB$9+'TE BF'!$AB$9+'TE CVA'!$AB$9)*1</f>
        <v>222.39386487986414</v>
      </c>
      <c r="AB149" s="6">
        <f>$K$149*$V$149</f>
        <v>0</v>
      </c>
      <c r="AC149" s="6">
        <f>$M$149*$W$149</f>
        <v>2887.8752099999997</v>
      </c>
      <c r="AD149" s="6">
        <f>$O$149*$X$149</f>
        <v>8249.081830000001</v>
      </c>
      <c r="AE149" s="6">
        <f>$K$149*$Y$149</f>
        <v>0</v>
      </c>
      <c r="AF149" s="6">
        <f ca="1">$M$149*$Z$149</f>
        <v>4951.5005439831675</v>
      </c>
      <c r="AG149" s="6">
        <f>$O$149*$AA$149</f>
        <v>7556.7211347529037</v>
      </c>
    </row>
    <row r="150" spans="1:33" ht="11.25" customHeight="1" x14ac:dyDescent="0.3">
      <c r="A150" s="4" t="s">
        <v>21</v>
      </c>
      <c r="B150" s="4" t="s">
        <v>39</v>
      </c>
      <c r="C150" s="4" t="s">
        <v>40</v>
      </c>
      <c r="D150" s="4" t="s">
        <v>41</v>
      </c>
      <c r="E150" s="4" t="s">
        <v>25</v>
      </c>
      <c r="F150" s="4" t="s">
        <v>25</v>
      </c>
      <c r="G150" s="4" t="s">
        <v>25</v>
      </c>
      <c r="H150" s="4" t="s">
        <v>35</v>
      </c>
      <c r="I150" s="5">
        <v>44774</v>
      </c>
      <c r="J150" s="6">
        <v>0</v>
      </c>
      <c r="K150" s="6">
        <v>0</v>
      </c>
      <c r="L150" s="6">
        <v>238.97200000000001</v>
      </c>
      <c r="M150" s="6">
        <v>238.97200000000001</v>
      </c>
      <c r="N150" s="6">
        <v>238.97200000000001</v>
      </c>
      <c r="O150" s="6">
        <v>238.97200000000001</v>
      </c>
      <c r="P150" s="6">
        <v>0</v>
      </c>
      <c r="Q150" s="4" t="s">
        <v>26</v>
      </c>
      <c r="R150" s="4">
        <v>0</v>
      </c>
      <c r="S150" s="6">
        <v>0</v>
      </c>
      <c r="T150" s="6">
        <v>17</v>
      </c>
      <c r="U150" s="6">
        <v>66</v>
      </c>
      <c r="V150" s="6">
        <f>IF(ISERROR(VLOOKUP($S$150,'TAR FIN'!$A$1:$O$103,15,0)),0,VLOOKUP($S$150,'TAR FIN'!$A$1:$O$103,15,0))</f>
        <v>0</v>
      </c>
      <c r="W150" s="6">
        <f>IF(ISERROR(VLOOKUP($T$150,'TAR FIN'!$A$1:$O$103,15,0)),0,VLOOKUP($T$150,'TAR FIN'!$A$1:$O$103,15,0))</f>
        <v>84.99</v>
      </c>
      <c r="X150" s="6">
        <f>IF(ISERROR(VLOOKUP($U$150,'TAR FIN'!$A$1:$O$103,15,0)),0,VLOOKUP($U$150,'TAR FIN'!$A$1:$O$103,15,0))</f>
        <v>242.77</v>
      </c>
      <c r="Y150" s="6"/>
      <c r="Z150" s="6">
        <f ca="1">('TUSD BE'!$AM$24+'TUSD BF'!$AM$24+'TUSD CVA'!$AM$24)*1</f>
        <v>145.72237393634796</v>
      </c>
      <c r="AA150" s="6">
        <f>('TE BE'!$AB$9+'TE BF'!$AB$9+'TE CVA'!$AB$9)*1</f>
        <v>222.39386487986414</v>
      </c>
      <c r="AB150" s="6">
        <f>$K$150*$V$150</f>
        <v>0</v>
      </c>
      <c r="AC150" s="6">
        <f>$M$150*$W$150</f>
        <v>20310.23028</v>
      </c>
      <c r="AD150" s="6">
        <f>$O$150*$X$150</f>
        <v>58015.232440000007</v>
      </c>
      <c r="AE150" s="6">
        <f>$K$150*$Y$150</f>
        <v>0</v>
      </c>
      <c r="AF150" s="6">
        <f ca="1">$M$150*$Z$150</f>
        <v>34823.567144316949</v>
      </c>
      <c r="AG150" s="6">
        <f>$O$150*$AA$150</f>
        <v>53145.906678070896</v>
      </c>
    </row>
    <row r="151" spans="1:33" ht="11.25" customHeight="1" x14ac:dyDescent="0.3">
      <c r="A151" s="4" t="s">
        <v>28</v>
      </c>
      <c r="B151" s="4" t="s">
        <v>39</v>
      </c>
      <c r="C151" s="4" t="s">
        <v>40</v>
      </c>
      <c r="D151" s="4" t="s">
        <v>41</v>
      </c>
      <c r="E151" s="4" t="s">
        <v>25</v>
      </c>
      <c r="F151" s="4" t="s">
        <v>25</v>
      </c>
      <c r="G151" s="4" t="s">
        <v>25</v>
      </c>
      <c r="H151" s="4" t="s">
        <v>35</v>
      </c>
      <c r="I151" s="5">
        <v>44774</v>
      </c>
      <c r="J151" s="6">
        <v>0</v>
      </c>
      <c r="K151" s="6">
        <v>0</v>
      </c>
      <c r="L151" s="6">
        <v>29.895</v>
      </c>
      <c r="M151" s="6">
        <v>29.895</v>
      </c>
      <c r="N151" s="6">
        <v>29.895</v>
      </c>
      <c r="O151" s="6">
        <v>29.895</v>
      </c>
      <c r="P151" s="6">
        <v>0</v>
      </c>
      <c r="Q151" s="4" t="s">
        <v>26</v>
      </c>
      <c r="R151" s="4">
        <v>0</v>
      </c>
      <c r="S151" s="6">
        <v>0</v>
      </c>
      <c r="T151" s="6">
        <v>17</v>
      </c>
      <c r="U151" s="6">
        <v>66</v>
      </c>
      <c r="V151" s="6">
        <f>IF(ISERROR(VLOOKUP($S$151,'TAR FIN'!$A$1:$O$103,15,0)),0,VLOOKUP($S$151,'TAR FIN'!$A$1:$O$103,15,0))</f>
        <v>0</v>
      </c>
      <c r="W151" s="6">
        <f>IF(ISERROR(VLOOKUP($T$151,'TAR FIN'!$A$1:$O$103,15,0)),0,VLOOKUP($T$151,'TAR FIN'!$A$1:$O$103,15,0))</f>
        <v>84.99</v>
      </c>
      <c r="X151" s="6">
        <f>IF(ISERROR(VLOOKUP($U$151,'TAR FIN'!$A$1:$O$103,15,0)),0,VLOOKUP($U$151,'TAR FIN'!$A$1:$O$103,15,0))</f>
        <v>242.77</v>
      </c>
      <c r="Y151" s="6"/>
      <c r="Z151" s="6">
        <f ca="1">('TUSD BE'!$AM$24+'TUSD BF'!$AM$24+'TUSD CVA'!$AM$24)*1</f>
        <v>145.72237393634796</v>
      </c>
      <c r="AA151" s="6">
        <f>('TE BE'!$AB$9+'TE BF'!$AB$9+'TE CVA'!$AB$9)*1</f>
        <v>222.39386487986414</v>
      </c>
      <c r="AB151" s="6">
        <f>$K$151*$V$151</f>
        <v>0</v>
      </c>
      <c r="AC151" s="6">
        <f>$M$151*$W$151</f>
        <v>2540.7760499999999</v>
      </c>
      <c r="AD151" s="6">
        <f>$O$151*$X$151</f>
        <v>7257.6091500000002</v>
      </c>
      <c r="AE151" s="6">
        <f>$K$151*$Y$151</f>
        <v>0</v>
      </c>
      <c r="AF151" s="6">
        <f ca="1">$M$151*$Z$151</f>
        <v>4356.3703688271225</v>
      </c>
      <c r="AG151" s="6">
        <f>$O$151*$AA$151</f>
        <v>6648.4645905835387</v>
      </c>
    </row>
    <row r="152" spans="1:33" ht="11.25" customHeight="1" x14ac:dyDescent="0.3">
      <c r="A152" s="4" t="s">
        <v>21</v>
      </c>
      <c r="B152" s="4" t="s">
        <v>39</v>
      </c>
      <c r="C152" s="4" t="s">
        <v>40</v>
      </c>
      <c r="D152" s="4" t="s">
        <v>41</v>
      </c>
      <c r="E152" s="4" t="s">
        <v>25</v>
      </c>
      <c r="F152" s="4" t="s">
        <v>25</v>
      </c>
      <c r="G152" s="4" t="s">
        <v>25</v>
      </c>
      <c r="H152" s="4" t="s">
        <v>35</v>
      </c>
      <c r="I152" s="5">
        <v>44805</v>
      </c>
      <c r="J152" s="6">
        <v>0</v>
      </c>
      <c r="K152" s="6">
        <v>0</v>
      </c>
      <c r="L152" s="6">
        <v>266.291</v>
      </c>
      <c r="M152" s="6">
        <v>266.291</v>
      </c>
      <c r="N152" s="6">
        <v>266.291</v>
      </c>
      <c r="O152" s="6">
        <v>266.291</v>
      </c>
      <c r="P152" s="6">
        <v>0</v>
      </c>
      <c r="Q152" s="4" t="s">
        <v>26</v>
      </c>
      <c r="R152" s="4">
        <v>0</v>
      </c>
      <c r="S152" s="6">
        <v>0</v>
      </c>
      <c r="T152" s="6">
        <v>17</v>
      </c>
      <c r="U152" s="6">
        <v>66</v>
      </c>
      <c r="V152" s="6">
        <f>IF(ISERROR(VLOOKUP($S$152,'TAR FIN'!$A$1:$O$103,15,0)),0,VLOOKUP($S$152,'TAR FIN'!$A$1:$O$103,15,0))</f>
        <v>0</v>
      </c>
      <c r="W152" s="6">
        <f>IF(ISERROR(VLOOKUP($T$152,'TAR FIN'!$A$1:$O$103,15,0)),0,VLOOKUP($T$152,'TAR FIN'!$A$1:$O$103,15,0))</f>
        <v>84.99</v>
      </c>
      <c r="X152" s="6">
        <f>IF(ISERROR(VLOOKUP($U$152,'TAR FIN'!$A$1:$O$103,15,0)),0,VLOOKUP($U$152,'TAR FIN'!$A$1:$O$103,15,0))</f>
        <v>242.77</v>
      </c>
      <c r="Y152" s="6"/>
      <c r="Z152" s="6">
        <f ca="1">('TUSD BE'!$AM$24+'TUSD BF'!$AM$24+'TUSD CVA'!$AM$24)*1</f>
        <v>145.72237393634796</v>
      </c>
      <c r="AA152" s="6">
        <f>('TE BE'!$AB$9+'TE BF'!$AB$9+'TE CVA'!$AB$9)*1</f>
        <v>222.39386487986414</v>
      </c>
      <c r="AB152" s="6">
        <f>$K$152*$V$152</f>
        <v>0</v>
      </c>
      <c r="AC152" s="6">
        <f>$M$152*$W$152</f>
        <v>22632.072089999998</v>
      </c>
      <c r="AD152" s="6">
        <f>$O$152*$X$152</f>
        <v>64647.466070000002</v>
      </c>
      <c r="AE152" s="6">
        <f>$K$152*$Y$152</f>
        <v>0</v>
      </c>
      <c r="AF152" s="6">
        <f ca="1">$M$152*$Z$152</f>
        <v>38804.556677884037</v>
      </c>
      <c r="AG152" s="6">
        <f>$O$152*$AA$152</f>
        <v>59221.484672723898</v>
      </c>
    </row>
    <row r="153" spans="1:33" ht="11.25" customHeight="1" x14ac:dyDescent="0.3">
      <c r="A153" s="4" t="s">
        <v>28</v>
      </c>
      <c r="B153" s="4" t="s">
        <v>39</v>
      </c>
      <c r="C153" s="4" t="s">
        <v>40</v>
      </c>
      <c r="D153" s="4" t="s">
        <v>41</v>
      </c>
      <c r="E153" s="4" t="s">
        <v>25</v>
      </c>
      <c r="F153" s="4" t="s">
        <v>25</v>
      </c>
      <c r="G153" s="4" t="s">
        <v>25</v>
      </c>
      <c r="H153" s="4" t="s">
        <v>35</v>
      </c>
      <c r="I153" s="5">
        <v>44805</v>
      </c>
      <c r="J153" s="6">
        <v>0</v>
      </c>
      <c r="K153" s="6">
        <v>0</v>
      </c>
      <c r="L153" s="6">
        <v>35.994999999999997</v>
      </c>
      <c r="M153" s="6">
        <v>35.994999999999997</v>
      </c>
      <c r="N153" s="6">
        <v>35.994999999999997</v>
      </c>
      <c r="O153" s="6">
        <v>35.994999999999997</v>
      </c>
      <c r="P153" s="6">
        <v>0</v>
      </c>
      <c r="Q153" s="4" t="s">
        <v>26</v>
      </c>
      <c r="R153" s="4">
        <v>0</v>
      </c>
      <c r="S153" s="6">
        <v>0</v>
      </c>
      <c r="T153" s="6">
        <v>17</v>
      </c>
      <c r="U153" s="6">
        <v>66</v>
      </c>
      <c r="V153" s="6">
        <f>IF(ISERROR(VLOOKUP($S$153,'TAR FIN'!$A$1:$O$103,15,0)),0,VLOOKUP($S$153,'TAR FIN'!$A$1:$O$103,15,0))</f>
        <v>0</v>
      </c>
      <c r="W153" s="6">
        <f>IF(ISERROR(VLOOKUP($T$153,'TAR FIN'!$A$1:$O$103,15,0)),0,VLOOKUP($T$153,'TAR FIN'!$A$1:$O$103,15,0))</f>
        <v>84.99</v>
      </c>
      <c r="X153" s="6">
        <f>IF(ISERROR(VLOOKUP($U$153,'TAR FIN'!$A$1:$O$103,15,0)),0,VLOOKUP($U$153,'TAR FIN'!$A$1:$O$103,15,0))</f>
        <v>242.77</v>
      </c>
      <c r="Y153" s="6"/>
      <c r="Z153" s="6">
        <f ca="1">('TUSD BE'!$AM$24+'TUSD BF'!$AM$24+'TUSD CVA'!$AM$24)*1</f>
        <v>145.72237393634796</v>
      </c>
      <c r="AA153" s="6">
        <f>('TE BE'!$AB$9+'TE BF'!$AB$9+'TE CVA'!$AB$9)*1</f>
        <v>222.39386487986414</v>
      </c>
      <c r="AB153" s="6">
        <f>$K$153*$V$153</f>
        <v>0</v>
      </c>
      <c r="AC153" s="6">
        <f>$M$153*$W$153</f>
        <v>3059.2150499999998</v>
      </c>
      <c r="AD153" s="6">
        <f>$O$153*$X$153</f>
        <v>8738.5061499999993</v>
      </c>
      <c r="AE153" s="6">
        <f>$K$153*$Y$153</f>
        <v>0</v>
      </c>
      <c r="AF153" s="6">
        <f ca="1">$M$153*$Z$153</f>
        <v>5245.276849838845</v>
      </c>
      <c r="AG153" s="6">
        <f>$O$153*$AA$153</f>
        <v>8005.0671663507092</v>
      </c>
    </row>
    <row r="154" spans="1:33" ht="11.25" customHeight="1" x14ac:dyDescent="0.3">
      <c r="A154" s="4" t="s">
        <v>57</v>
      </c>
      <c r="B154" s="4" t="s">
        <v>39</v>
      </c>
      <c r="C154" s="4" t="s">
        <v>40</v>
      </c>
      <c r="D154" s="4" t="s">
        <v>41</v>
      </c>
      <c r="E154" s="4" t="s">
        <v>25</v>
      </c>
      <c r="F154" s="4" t="s">
        <v>25</v>
      </c>
      <c r="G154" s="4" t="s">
        <v>25</v>
      </c>
      <c r="H154" s="4" t="s">
        <v>35</v>
      </c>
      <c r="I154" s="5">
        <v>44835</v>
      </c>
      <c r="J154" s="6">
        <v>0</v>
      </c>
      <c r="K154" s="6">
        <v>0</v>
      </c>
      <c r="L154" s="6">
        <v>266.291</v>
      </c>
      <c r="M154" s="6">
        <v>266.291</v>
      </c>
      <c r="N154" s="6">
        <v>266.291</v>
      </c>
      <c r="O154" s="6">
        <v>266.291</v>
      </c>
      <c r="P154" s="6">
        <v>0</v>
      </c>
      <c r="Q154" s="4" t="s">
        <v>26</v>
      </c>
      <c r="R154" s="4">
        <v>0</v>
      </c>
      <c r="S154" s="6">
        <v>0</v>
      </c>
      <c r="T154" s="6">
        <v>17</v>
      </c>
      <c r="U154" s="6">
        <v>66</v>
      </c>
      <c r="V154" s="6">
        <f>IF(ISERROR(VLOOKUP($S$154,'TAR FIN'!$A$1:$O$103,15,0)),0,VLOOKUP($S$154,'TAR FIN'!$A$1:$O$103,15,0))</f>
        <v>0</v>
      </c>
      <c r="W154" s="6">
        <f>IF(ISERROR(VLOOKUP($T$154,'TAR FIN'!$A$1:$O$103,15,0)),0,VLOOKUP($T$154,'TAR FIN'!$A$1:$O$103,15,0))</f>
        <v>84.99</v>
      </c>
      <c r="X154" s="6">
        <f>IF(ISERROR(VLOOKUP($U$154,'TAR FIN'!$A$1:$O$103,15,0)),0,VLOOKUP($U$154,'TAR FIN'!$A$1:$O$103,15,0))</f>
        <v>242.77</v>
      </c>
      <c r="Y154" s="6"/>
      <c r="Z154" s="6">
        <f ca="1">('TUSD BE'!$AM$24+'TUSD BF'!$AM$24+'TUSD CVA'!$AM$24)*1</f>
        <v>145.72237393634796</v>
      </c>
      <c r="AA154" s="6">
        <f>('TE BE'!$AB$9+'TE BF'!$AB$9+'TE CVA'!$AB$9)*1</f>
        <v>222.39386487986414</v>
      </c>
      <c r="AB154" s="6">
        <f>$K$154*$V$154</f>
        <v>0</v>
      </c>
      <c r="AC154" s="6">
        <f>$M$154*$W$154</f>
        <v>22632.072089999998</v>
      </c>
      <c r="AD154" s="6">
        <f>$O$154*$X$154</f>
        <v>64647.466070000002</v>
      </c>
      <c r="AE154" s="6">
        <f>$K$154*$Y$154</f>
        <v>0</v>
      </c>
      <c r="AF154" s="6">
        <f ca="1">$M$154*$Z$154</f>
        <v>38804.556677884037</v>
      </c>
      <c r="AG154" s="6">
        <f>$O$154*$AA$154</f>
        <v>59221.484672723898</v>
      </c>
    </row>
    <row r="155" spans="1:33" ht="11.25" customHeight="1" x14ac:dyDescent="0.3">
      <c r="A155" s="4" t="s">
        <v>57</v>
      </c>
      <c r="B155" s="4" t="s">
        <v>39</v>
      </c>
      <c r="C155" s="4" t="s">
        <v>40</v>
      </c>
      <c r="D155" s="4" t="s">
        <v>41</v>
      </c>
      <c r="E155" s="4" t="s">
        <v>25</v>
      </c>
      <c r="F155" s="4" t="s">
        <v>25</v>
      </c>
      <c r="G155" s="4" t="s">
        <v>25</v>
      </c>
      <c r="H155" s="4" t="s">
        <v>35</v>
      </c>
      <c r="I155" s="5">
        <v>44835</v>
      </c>
      <c r="J155" s="6">
        <v>0</v>
      </c>
      <c r="K155" s="6">
        <v>0</v>
      </c>
      <c r="L155" s="6">
        <v>35.994999999999997</v>
      </c>
      <c r="M155" s="6">
        <v>35.994999999999997</v>
      </c>
      <c r="N155" s="6">
        <v>35.994999999999997</v>
      </c>
      <c r="O155" s="6">
        <v>35.994999999999997</v>
      </c>
      <c r="P155" s="6">
        <v>0</v>
      </c>
      <c r="Q155" s="4" t="s">
        <v>26</v>
      </c>
      <c r="R155" s="4">
        <v>0</v>
      </c>
      <c r="S155" s="6">
        <v>0</v>
      </c>
      <c r="T155" s="6">
        <v>17</v>
      </c>
      <c r="U155" s="6">
        <v>66</v>
      </c>
      <c r="V155" s="6">
        <f>IF(ISERROR(VLOOKUP($S$155,'TAR FIN'!$A$1:$O$103,15,0)),0,VLOOKUP($S$155,'TAR FIN'!$A$1:$O$103,15,0))</f>
        <v>0</v>
      </c>
      <c r="W155" s="6">
        <f>IF(ISERROR(VLOOKUP($T$155,'TAR FIN'!$A$1:$O$103,15,0)),0,VLOOKUP($T$155,'TAR FIN'!$A$1:$O$103,15,0))</f>
        <v>84.99</v>
      </c>
      <c r="X155" s="6">
        <f>IF(ISERROR(VLOOKUP($U$155,'TAR FIN'!$A$1:$O$103,15,0)),0,VLOOKUP($U$155,'TAR FIN'!$A$1:$O$103,15,0))</f>
        <v>242.77</v>
      </c>
      <c r="Y155" s="6"/>
      <c r="Z155" s="6">
        <f ca="1">('TUSD BE'!$AM$24+'TUSD BF'!$AM$24+'TUSD CVA'!$AM$24)*1</f>
        <v>145.72237393634796</v>
      </c>
      <c r="AA155" s="6">
        <f>('TE BE'!$AB$9+'TE BF'!$AB$9+'TE CVA'!$AB$9)*1</f>
        <v>222.39386487986414</v>
      </c>
      <c r="AB155" s="6">
        <f>$K$155*$V$155</f>
        <v>0</v>
      </c>
      <c r="AC155" s="6">
        <f>$M$155*$W$155</f>
        <v>3059.2150499999998</v>
      </c>
      <c r="AD155" s="6">
        <f>$O$155*$X$155</f>
        <v>8738.5061499999993</v>
      </c>
      <c r="AE155" s="6">
        <f>$K$155*$Y$155</f>
        <v>0</v>
      </c>
      <c r="AF155" s="6">
        <f ca="1">$M$155*$Z$155</f>
        <v>5245.276849838845</v>
      </c>
      <c r="AG155" s="6">
        <f>$O$155*$AA$155</f>
        <v>8005.0671663507092</v>
      </c>
    </row>
    <row r="156" spans="1:33" ht="11.25" customHeight="1" x14ac:dyDescent="0.3">
      <c r="A156" s="4" t="s">
        <v>21</v>
      </c>
      <c r="B156" s="4" t="s">
        <v>39</v>
      </c>
      <c r="C156" s="4" t="s">
        <v>40</v>
      </c>
      <c r="D156" s="4" t="s">
        <v>41</v>
      </c>
      <c r="E156" s="4" t="s">
        <v>25</v>
      </c>
      <c r="F156" s="4" t="s">
        <v>25</v>
      </c>
      <c r="G156" s="4" t="s">
        <v>25</v>
      </c>
      <c r="H156" s="4" t="s">
        <v>25</v>
      </c>
      <c r="I156" s="5">
        <v>44501</v>
      </c>
      <c r="J156" s="6">
        <v>1522</v>
      </c>
      <c r="K156" s="6">
        <v>1522</v>
      </c>
      <c r="L156" s="6">
        <v>0</v>
      </c>
      <c r="M156" s="6">
        <v>0</v>
      </c>
      <c r="N156" s="6">
        <v>0</v>
      </c>
      <c r="O156" s="6">
        <v>0</v>
      </c>
      <c r="P156" s="6">
        <v>20</v>
      </c>
      <c r="Q156" s="4" t="s">
        <v>26</v>
      </c>
      <c r="R156" s="4">
        <v>0</v>
      </c>
      <c r="S156" s="6">
        <v>13</v>
      </c>
      <c r="T156" s="6">
        <v>0</v>
      </c>
      <c r="U156" s="6">
        <v>0</v>
      </c>
      <c r="V156" s="6">
        <f>IF(ISERROR(VLOOKUP($S$156,'TAR FIN'!$A$1:$O$103,15,0)),0,VLOOKUP($S$156,'TAR FIN'!$A$1:$O$103,15,0))</f>
        <v>18.920000000000002</v>
      </c>
      <c r="W156" s="6">
        <f>IF(ISERROR(VLOOKUP($T$156,'TAR FIN'!$A$1:$O$103,15,0)),0,VLOOKUP($T$156,'TAR FIN'!$A$1:$O$103,15,0))</f>
        <v>0</v>
      </c>
      <c r="X156" s="6">
        <f>IF(ISERROR(VLOOKUP($U$156,'TAR FIN'!$A$1:$O$103,15,0)),0,VLOOKUP($U$156,'TAR FIN'!$A$1:$O$103,15,0))</f>
        <v>0</v>
      </c>
      <c r="Y156" s="6">
        <f ca="1">('TUSD BE'!$AM$22+'TUSD BF'!$AM$22+'TUSD CVA'!$AM$22)*1</f>
        <v>21.369338625624472</v>
      </c>
      <c r="Z156" s="6"/>
      <c r="AA156" s="6"/>
      <c r="AB156" s="6">
        <f>$K$156*$V$156</f>
        <v>28796.240000000002</v>
      </c>
      <c r="AC156" s="6">
        <f>$M$156*$W$156</f>
        <v>0</v>
      </c>
      <c r="AD156" s="6">
        <f>$O$156*$X$156</f>
        <v>0</v>
      </c>
      <c r="AE156" s="6">
        <f ca="1">$K$156*$Y$156</f>
        <v>32524.133388200447</v>
      </c>
      <c r="AF156" s="6">
        <f>$M$156*$Z$156</f>
        <v>0</v>
      </c>
      <c r="AG156" s="6">
        <f>$O$156*$AA$156</f>
        <v>0</v>
      </c>
    </row>
    <row r="157" spans="1:33" ht="11.25" customHeight="1" x14ac:dyDescent="0.3">
      <c r="A157" s="4" t="s">
        <v>28</v>
      </c>
      <c r="B157" s="4" t="s">
        <v>39</v>
      </c>
      <c r="C157" s="4" t="s">
        <v>40</v>
      </c>
      <c r="D157" s="4" t="s">
        <v>41</v>
      </c>
      <c r="E157" s="4" t="s">
        <v>25</v>
      </c>
      <c r="F157" s="4" t="s">
        <v>25</v>
      </c>
      <c r="G157" s="4" t="s">
        <v>25</v>
      </c>
      <c r="H157" s="4" t="s">
        <v>25</v>
      </c>
      <c r="I157" s="5">
        <v>44501</v>
      </c>
      <c r="J157" s="6">
        <v>507</v>
      </c>
      <c r="K157" s="6">
        <v>507</v>
      </c>
      <c r="L157" s="6">
        <v>0</v>
      </c>
      <c r="M157" s="6">
        <v>0</v>
      </c>
      <c r="N157" s="6">
        <v>0</v>
      </c>
      <c r="O157" s="6">
        <v>0</v>
      </c>
      <c r="P157" s="6">
        <v>4</v>
      </c>
      <c r="Q157" s="4" t="s">
        <v>26</v>
      </c>
      <c r="R157" s="4">
        <v>0</v>
      </c>
      <c r="S157" s="6">
        <v>13</v>
      </c>
      <c r="T157" s="6">
        <v>0</v>
      </c>
      <c r="U157" s="6">
        <v>0</v>
      </c>
      <c r="V157" s="6">
        <f>IF(ISERROR(VLOOKUP($S$157,'TAR FIN'!$A$1:$O$103,15,0)),0,VLOOKUP($S$157,'TAR FIN'!$A$1:$O$103,15,0))</f>
        <v>18.920000000000002</v>
      </c>
      <c r="W157" s="6">
        <f>IF(ISERROR(VLOOKUP($T$157,'TAR FIN'!$A$1:$O$103,15,0)),0,VLOOKUP($T$157,'TAR FIN'!$A$1:$O$103,15,0))</f>
        <v>0</v>
      </c>
      <c r="X157" s="6">
        <f>IF(ISERROR(VLOOKUP($U$157,'TAR FIN'!$A$1:$O$103,15,0)),0,VLOOKUP($U$157,'TAR FIN'!$A$1:$O$103,15,0))</f>
        <v>0</v>
      </c>
      <c r="Y157" s="6">
        <f ca="1">('TUSD BE'!$AM$22+'TUSD BF'!$AM$22+'TUSD CVA'!$AM$22)*1</f>
        <v>21.369338625624472</v>
      </c>
      <c r="Z157" s="6"/>
      <c r="AA157" s="6"/>
      <c r="AB157" s="6">
        <f>$K$157*$V$157</f>
        <v>9592.44</v>
      </c>
      <c r="AC157" s="6">
        <f>$M$157*$W$157</f>
        <v>0</v>
      </c>
      <c r="AD157" s="6">
        <f>$O$157*$X$157</f>
        <v>0</v>
      </c>
      <c r="AE157" s="6">
        <f ca="1">$K$157*$Y$157</f>
        <v>10834.254683191608</v>
      </c>
      <c r="AF157" s="6">
        <f>$M$157*$Z$157</f>
        <v>0</v>
      </c>
      <c r="AG157" s="6">
        <f>$O$157*$AA$157</f>
        <v>0</v>
      </c>
    </row>
    <row r="158" spans="1:33" ht="11.25" customHeight="1" x14ac:dyDescent="0.3">
      <c r="A158" s="4" t="s">
        <v>21</v>
      </c>
      <c r="B158" s="4" t="s">
        <v>39</v>
      </c>
      <c r="C158" s="4" t="s">
        <v>40</v>
      </c>
      <c r="D158" s="4" t="s">
        <v>41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44531</v>
      </c>
      <c r="J158" s="6">
        <v>1520</v>
      </c>
      <c r="K158" s="6">
        <v>1520</v>
      </c>
      <c r="L158" s="6">
        <v>0</v>
      </c>
      <c r="M158" s="6">
        <v>0</v>
      </c>
      <c r="N158" s="6">
        <v>0</v>
      </c>
      <c r="O158" s="6">
        <v>0</v>
      </c>
      <c r="P158" s="6">
        <v>20</v>
      </c>
      <c r="Q158" s="4" t="s">
        <v>26</v>
      </c>
      <c r="R158" s="4">
        <v>0</v>
      </c>
      <c r="S158" s="6">
        <v>13</v>
      </c>
      <c r="T158" s="6">
        <v>0</v>
      </c>
      <c r="U158" s="6">
        <v>0</v>
      </c>
      <c r="V158" s="6">
        <f>IF(ISERROR(VLOOKUP($S$158,'TAR FIN'!$A$1:$O$103,15,0)),0,VLOOKUP($S$158,'TAR FIN'!$A$1:$O$103,15,0))</f>
        <v>18.920000000000002</v>
      </c>
      <c r="W158" s="6">
        <f>IF(ISERROR(VLOOKUP($T$158,'TAR FIN'!$A$1:$O$103,15,0)),0,VLOOKUP($T$158,'TAR FIN'!$A$1:$O$103,15,0))</f>
        <v>0</v>
      </c>
      <c r="X158" s="6">
        <f>IF(ISERROR(VLOOKUP($U$158,'TAR FIN'!$A$1:$O$103,15,0)),0,VLOOKUP($U$158,'TAR FIN'!$A$1:$O$103,15,0))</f>
        <v>0</v>
      </c>
      <c r="Y158" s="6">
        <f ca="1">('TUSD BE'!$AM$22+'TUSD BF'!$AM$22+'TUSD CVA'!$AM$22)*1</f>
        <v>21.369338625624472</v>
      </c>
      <c r="Z158" s="6"/>
      <c r="AA158" s="6"/>
      <c r="AB158" s="6">
        <f>$K$158*$V$158</f>
        <v>28758.400000000001</v>
      </c>
      <c r="AC158" s="6">
        <f>$M$158*$W$158</f>
        <v>0</v>
      </c>
      <c r="AD158" s="6">
        <f>$O$158*$X$158</f>
        <v>0</v>
      </c>
      <c r="AE158" s="6">
        <f ca="1">$K$158*$Y$158</f>
        <v>32481.394710949196</v>
      </c>
      <c r="AF158" s="6">
        <f>$M$158*$Z$158</f>
        <v>0</v>
      </c>
      <c r="AG158" s="6">
        <f>$O$158*$AA$158</f>
        <v>0</v>
      </c>
    </row>
    <row r="159" spans="1:33" ht="11.25" customHeight="1" x14ac:dyDescent="0.3">
      <c r="A159" s="4" t="s">
        <v>28</v>
      </c>
      <c r="B159" s="4" t="s">
        <v>39</v>
      </c>
      <c r="C159" s="4" t="s">
        <v>40</v>
      </c>
      <c r="D159" s="4" t="s">
        <v>41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44531</v>
      </c>
      <c r="J159" s="6">
        <v>507</v>
      </c>
      <c r="K159" s="6">
        <v>507</v>
      </c>
      <c r="L159" s="6">
        <v>0</v>
      </c>
      <c r="M159" s="6">
        <v>0</v>
      </c>
      <c r="N159" s="6">
        <v>0</v>
      </c>
      <c r="O159" s="6">
        <v>0</v>
      </c>
      <c r="P159" s="6">
        <v>4</v>
      </c>
      <c r="Q159" s="4" t="s">
        <v>26</v>
      </c>
      <c r="R159" s="4">
        <v>0</v>
      </c>
      <c r="S159" s="6">
        <v>13</v>
      </c>
      <c r="T159" s="6">
        <v>0</v>
      </c>
      <c r="U159" s="6">
        <v>0</v>
      </c>
      <c r="V159" s="6">
        <f>IF(ISERROR(VLOOKUP($S$159,'TAR FIN'!$A$1:$O$103,15,0)),0,VLOOKUP($S$159,'TAR FIN'!$A$1:$O$103,15,0))</f>
        <v>18.920000000000002</v>
      </c>
      <c r="W159" s="6">
        <f>IF(ISERROR(VLOOKUP($T$159,'TAR FIN'!$A$1:$O$103,15,0)),0,VLOOKUP($T$159,'TAR FIN'!$A$1:$O$103,15,0))</f>
        <v>0</v>
      </c>
      <c r="X159" s="6">
        <f>IF(ISERROR(VLOOKUP($U$159,'TAR FIN'!$A$1:$O$103,15,0)),0,VLOOKUP($U$159,'TAR FIN'!$A$1:$O$103,15,0))</f>
        <v>0</v>
      </c>
      <c r="Y159" s="6">
        <f ca="1">('TUSD BE'!$AM$22+'TUSD BF'!$AM$22+'TUSD CVA'!$AM$22)*1</f>
        <v>21.369338625624472</v>
      </c>
      <c r="Z159" s="6"/>
      <c r="AA159" s="6"/>
      <c r="AB159" s="6">
        <f>$K$159*$V$159</f>
        <v>9592.44</v>
      </c>
      <c r="AC159" s="6">
        <f>$M$159*$W$159</f>
        <v>0</v>
      </c>
      <c r="AD159" s="6">
        <f>$O$159*$X$159</f>
        <v>0</v>
      </c>
      <c r="AE159" s="6">
        <f ca="1">$K$159*$Y$159</f>
        <v>10834.254683191608</v>
      </c>
      <c r="AF159" s="6">
        <f>$M$159*$Z$159</f>
        <v>0</v>
      </c>
      <c r="AG159" s="6">
        <f>$O$159*$AA$159</f>
        <v>0</v>
      </c>
    </row>
    <row r="160" spans="1:33" ht="11.25" customHeight="1" x14ac:dyDescent="0.3">
      <c r="A160" s="4" t="s">
        <v>21</v>
      </c>
      <c r="B160" s="4" t="s">
        <v>39</v>
      </c>
      <c r="C160" s="4" t="s">
        <v>40</v>
      </c>
      <c r="D160" s="4" t="s">
        <v>41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44562</v>
      </c>
      <c r="J160" s="6">
        <v>1983</v>
      </c>
      <c r="K160" s="6">
        <v>1983</v>
      </c>
      <c r="L160" s="6">
        <v>0</v>
      </c>
      <c r="M160" s="6">
        <v>0</v>
      </c>
      <c r="N160" s="6">
        <v>0</v>
      </c>
      <c r="O160" s="6">
        <v>0</v>
      </c>
      <c r="P160" s="6">
        <v>27</v>
      </c>
      <c r="Q160" s="4" t="s">
        <v>26</v>
      </c>
      <c r="R160" s="4">
        <v>0</v>
      </c>
      <c r="S160" s="6">
        <v>13</v>
      </c>
      <c r="T160" s="6">
        <v>0</v>
      </c>
      <c r="U160" s="6">
        <v>0</v>
      </c>
      <c r="V160" s="6">
        <f>IF(ISERROR(VLOOKUP($S$160,'TAR FIN'!$A$1:$O$103,15,0)),0,VLOOKUP($S$160,'TAR FIN'!$A$1:$O$103,15,0))</f>
        <v>18.920000000000002</v>
      </c>
      <c r="W160" s="6">
        <f>IF(ISERROR(VLOOKUP($T$160,'TAR FIN'!$A$1:$O$103,15,0)),0,VLOOKUP($T$160,'TAR FIN'!$A$1:$O$103,15,0))</f>
        <v>0</v>
      </c>
      <c r="X160" s="6">
        <f>IF(ISERROR(VLOOKUP($U$160,'TAR FIN'!$A$1:$O$103,15,0)),0,VLOOKUP($U$160,'TAR FIN'!$A$1:$O$103,15,0))</f>
        <v>0</v>
      </c>
      <c r="Y160" s="6">
        <f ca="1">('TUSD BE'!$AM$22+'TUSD BF'!$AM$22+'TUSD CVA'!$AM$22)*1</f>
        <v>21.369338625624472</v>
      </c>
      <c r="Z160" s="6"/>
      <c r="AA160" s="6"/>
      <c r="AB160" s="6">
        <f>$K$160*$V$160</f>
        <v>37518.36</v>
      </c>
      <c r="AC160" s="6">
        <f>$M$160*$W$160</f>
        <v>0</v>
      </c>
      <c r="AD160" s="6">
        <f>$O$160*$X$160</f>
        <v>0</v>
      </c>
      <c r="AE160" s="6">
        <f ca="1">$K$160*$Y$160</f>
        <v>42375.398494613328</v>
      </c>
      <c r="AF160" s="6">
        <f>$M$160*$Z$160</f>
        <v>0</v>
      </c>
      <c r="AG160" s="6">
        <f>$O$160*$AA$160</f>
        <v>0</v>
      </c>
    </row>
    <row r="161" spans="1:33" ht="11.25" customHeight="1" x14ac:dyDescent="0.3">
      <c r="A161" s="4" t="s">
        <v>28</v>
      </c>
      <c r="B161" s="4" t="s">
        <v>39</v>
      </c>
      <c r="C161" s="4" t="s">
        <v>40</v>
      </c>
      <c r="D161" s="4" t="s">
        <v>41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44562</v>
      </c>
      <c r="J161" s="6">
        <v>507</v>
      </c>
      <c r="K161" s="6">
        <v>507</v>
      </c>
      <c r="L161" s="6">
        <v>0</v>
      </c>
      <c r="M161" s="6">
        <v>0</v>
      </c>
      <c r="N161" s="6">
        <v>0</v>
      </c>
      <c r="O161" s="6">
        <v>0</v>
      </c>
      <c r="P161" s="6">
        <v>4</v>
      </c>
      <c r="Q161" s="4" t="s">
        <v>26</v>
      </c>
      <c r="R161" s="4">
        <v>0</v>
      </c>
      <c r="S161" s="6">
        <v>13</v>
      </c>
      <c r="T161" s="6">
        <v>0</v>
      </c>
      <c r="U161" s="6">
        <v>0</v>
      </c>
      <c r="V161" s="6">
        <f>IF(ISERROR(VLOOKUP($S$161,'TAR FIN'!$A$1:$O$103,15,0)),0,VLOOKUP($S$161,'TAR FIN'!$A$1:$O$103,15,0))</f>
        <v>18.920000000000002</v>
      </c>
      <c r="W161" s="6">
        <f>IF(ISERROR(VLOOKUP($T$161,'TAR FIN'!$A$1:$O$103,15,0)),0,VLOOKUP($T$161,'TAR FIN'!$A$1:$O$103,15,0))</f>
        <v>0</v>
      </c>
      <c r="X161" s="6">
        <f>IF(ISERROR(VLOOKUP($U$161,'TAR FIN'!$A$1:$O$103,15,0)),0,VLOOKUP($U$161,'TAR FIN'!$A$1:$O$103,15,0))</f>
        <v>0</v>
      </c>
      <c r="Y161" s="6">
        <f ca="1">('TUSD BE'!$AM$22+'TUSD BF'!$AM$22+'TUSD CVA'!$AM$22)*1</f>
        <v>21.369338625624472</v>
      </c>
      <c r="Z161" s="6"/>
      <c r="AA161" s="6"/>
      <c r="AB161" s="6">
        <f>$K$161*$V$161</f>
        <v>9592.44</v>
      </c>
      <c r="AC161" s="6">
        <f>$M$161*$W$161</f>
        <v>0</v>
      </c>
      <c r="AD161" s="6">
        <f>$O$161*$X$161</f>
        <v>0</v>
      </c>
      <c r="AE161" s="6">
        <f ca="1">$K$161*$Y$161</f>
        <v>10834.254683191608</v>
      </c>
      <c r="AF161" s="6">
        <f>$M$161*$Z$161</f>
        <v>0</v>
      </c>
      <c r="AG161" s="6">
        <f>$O$161*$AA$161</f>
        <v>0</v>
      </c>
    </row>
    <row r="162" spans="1:33" ht="11.25" customHeight="1" x14ac:dyDescent="0.3">
      <c r="A162" s="4" t="s">
        <v>21</v>
      </c>
      <c r="B162" s="4" t="s">
        <v>39</v>
      </c>
      <c r="C162" s="4" t="s">
        <v>40</v>
      </c>
      <c r="D162" s="4" t="s">
        <v>41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44593</v>
      </c>
      <c r="J162" s="6">
        <v>1701</v>
      </c>
      <c r="K162" s="6">
        <v>1701</v>
      </c>
      <c r="L162" s="6">
        <v>0</v>
      </c>
      <c r="M162" s="6">
        <v>0</v>
      </c>
      <c r="N162" s="6">
        <v>0</v>
      </c>
      <c r="O162" s="6">
        <v>0</v>
      </c>
      <c r="P162" s="6">
        <v>23</v>
      </c>
      <c r="Q162" s="4" t="s">
        <v>26</v>
      </c>
      <c r="R162" s="4">
        <v>0</v>
      </c>
      <c r="S162" s="6">
        <v>13</v>
      </c>
      <c r="T162" s="6">
        <v>0</v>
      </c>
      <c r="U162" s="6">
        <v>0</v>
      </c>
      <c r="V162" s="6">
        <f>IF(ISERROR(VLOOKUP($S$162,'TAR FIN'!$A$1:$O$103,15,0)),0,VLOOKUP($S$162,'TAR FIN'!$A$1:$O$103,15,0))</f>
        <v>18.920000000000002</v>
      </c>
      <c r="W162" s="6">
        <f>IF(ISERROR(VLOOKUP($T$162,'TAR FIN'!$A$1:$O$103,15,0)),0,VLOOKUP($T$162,'TAR FIN'!$A$1:$O$103,15,0))</f>
        <v>0</v>
      </c>
      <c r="X162" s="6">
        <f>IF(ISERROR(VLOOKUP($U$162,'TAR FIN'!$A$1:$O$103,15,0)),0,VLOOKUP($U$162,'TAR FIN'!$A$1:$O$103,15,0))</f>
        <v>0</v>
      </c>
      <c r="Y162" s="6">
        <f ca="1">('TUSD BE'!$AM$22+'TUSD BF'!$AM$22+'TUSD CVA'!$AM$22)*1</f>
        <v>21.369338625624472</v>
      </c>
      <c r="Z162" s="6"/>
      <c r="AA162" s="6"/>
      <c r="AB162" s="6">
        <f>$K$162*$V$162</f>
        <v>32182.920000000002</v>
      </c>
      <c r="AC162" s="6">
        <f>$M$162*$W$162</f>
        <v>0</v>
      </c>
      <c r="AD162" s="6">
        <f>$O$162*$X$162</f>
        <v>0</v>
      </c>
      <c r="AE162" s="6">
        <f ca="1">$K$162*$Y$162</f>
        <v>36349.245002187228</v>
      </c>
      <c r="AF162" s="6">
        <f>$M$162*$Z$162</f>
        <v>0</v>
      </c>
      <c r="AG162" s="6">
        <f>$O$162*$AA$162</f>
        <v>0</v>
      </c>
    </row>
    <row r="163" spans="1:33" ht="11.25" customHeight="1" x14ac:dyDescent="0.3">
      <c r="A163" s="4" t="s">
        <v>28</v>
      </c>
      <c r="B163" s="4" t="s">
        <v>39</v>
      </c>
      <c r="C163" s="4" t="s">
        <v>40</v>
      </c>
      <c r="D163" s="4" t="s">
        <v>41</v>
      </c>
      <c r="E163" s="4" t="s">
        <v>25</v>
      </c>
      <c r="F163" s="4" t="s">
        <v>25</v>
      </c>
      <c r="G163" s="4" t="s">
        <v>25</v>
      </c>
      <c r="H163" s="4" t="s">
        <v>25</v>
      </c>
      <c r="I163" s="5">
        <v>44593</v>
      </c>
      <c r="J163" s="6">
        <v>507</v>
      </c>
      <c r="K163" s="6">
        <v>507</v>
      </c>
      <c r="L163" s="6">
        <v>0</v>
      </c>
      <c r="M163" s="6">
        <v>0</v>
      </c>
      <c r="N163" s="6">
        <v>0</v>
      </c>
      <c r="O163" s="6">
        <v>0</v>
      </c>
      <c r="P163" s="6">
        <v>4</v>
      </c>
      <c r="Q163" s="4" t="s">
        <v>26</v>
      </c>
      <c r="R163" s="4">
        <v>0</v>
      </c>
      <c r="S163" s="6">
        <v>13</v>
      </c>
      <c r="T163" s="6">
        <v>0</v>
      </c>
      <c r="U163" s="6">
        <v>0</v>
      </c>
      <c r="V163" s="6">
        <f>IF(ISERROR(VLOOKUP($S$163,'TAR FIN'!$A$1:$O$103,15,0)),0,VLOOKUP($S$163,'TAR FIN'!$A$1:$O$103,15,0))</f>
        <v>18.920000000000002</v>
      </c>
      <c r="W163" s="6">
        <f>IF(ISERROR(VLOOKUP($T$163,'TAR FIN'!$A$1:$O$103,15,0)),0,VLOOKUP($T$163,'TAR FIN'!$A$1:$O$103,15,0))</f>
        <v>0</v>
      </c>
      <c r="X163" s="6">
        <f>IF(ISERROR(VLOOKUP($U$163,'TAR FIN'!$A$1:$O$103,15,0)),0,VLOOKUP($U$163,'TAR FIN'!$A$1:$O$103,15,0))</f>
        <v>0</v>
      </c>
      <c r="Y163" s="6">
        <f ca="1">('TUSD BE'!$AM$22+'TUSD BF'!$AM$22+'TUSD CVA'!$AM$22)*1</f>
        <v>21.369338625624472</v>
      </c>
      <c r="Z163" s="6"/>
      <c r="AA163" s="6"/>
      <c r="AB163" s="6">
        <f>$K$163*$V$163</f>
        <v>9592.44</v>
      </c>
      <c r="AC163" s="6">
        <f>$M$163*$W$163</f>
        <v>0</v>
      </c>
      <c r="AD163" s="6">
        <f>$O$163*$X$163</f>
        <v>0</v>
      </c>
      <c r="AE163" s="6">
        <f ca="1">$K$163*$Y$163</f>
        <v>10834.254683191608</v>
      </c>
      <c r="AF163" s="6">
        <f>$M$163*$Z$163</f>
        <v>0</v>
      </c>
      <c r="AG163" s="6">
        <f>$O$163*$AA$163</f>
        <v>0</v>
      </c>
    </row>
    <row r="164" spans="1:33" ht="11.25" customHeight="1" x14ac:dyDescent="0.3">
      <c r="A164" s="4" t="s">
        <v>21</v>
      </c>
      <c r="B164" s="4" t="s">
        <v>39</v>
      </c>
      <c r="C164" s="4" t="s">
        <v>40</v>
      </c>
      <c r="D164" s="4" t="s">
        <v>41</v>
      </c>
      <c r="E164" s="4" t="s">
        <v>25</v>
      </c>
      <c r="F164" s="4" t="s">
        <v>25</v>
      </c>
      <c r="G164" s="4" t="s">
        <v>25</v>
      </c>
      <c r="H164" s="4" t="s">
        <v>25</v>
      </c>
      <c r="I164" s="5">
        <v>44621</v>
      </c>
      <c r="J164" s="6">
        <v>1705</v>
      </c>
      <c r="K164" s="6">
        <v>1705</v>
      </c>
      <c r="L164" s="6">
        <v>0</v>
      </c>
      <c r="M164" s="6">
        <v>0</v>
      </c>
      <c r="N164" s="6">
        <v>0</v>
      </c>
      <c r="O164" s="6">
        <v>0</v>
      </c>
      <c r="P164" s="6">
        <v>23</v>
      </c>
      <c r="Q164" s="4" t="s">
        <v>26</v>
      </c>
      <c r="R164" s="4">
        <v>0</v>
      </c>
      <c r="S164" s="6">
        <v>13</v>
      </c>
      <c r="T164" s="6">
        <v>0</v>
      </c>
      <c r="U164" s="6">
        <v>0</v>
      </c>
      <c r="V164" s="6">
        <f>IF(ISERROR(VLOOKUP($S$164,'TAR FIN'!$A$1:$O$103,15,0)),0,VLOOKUP($S$164,'TAR FIN'!$A$1:$O$103,15,0))</f>
        <v>18.920000000000002</v>
      </c>
      <c r="W164" s="6">
        <f>IF(ISERROR(VLOOKUP($T$164,'TAR FIN'!$A$1:$O$103,15,0)),0,VLOOKUP($T$164,'TAR FIN'!$A$1:$O$103,15,0))</f>
        <v>0</v>
      </c>
      <c r="X164" s="6">
        <f>IF(ISERROR(VLOOKUP($U$164,'TAR FIN'!$A$1:$O$103,15,0)),0,VLOOKUP($U$164,'TAR FIN'!$A$1:$O$103,15,0))</f>
        <v>0</v>
      </c>
      <c r="Y164" s="6">
        <f ca="1">('TUSD BE'!$AM$22+'TUSD BF'!$AM$22+'TUSD CVA'!$AM$22)*1</f>
        <v>21.369338625624472</v>
      </c>
      <c r="Z164" s="6"/>
      <c r="AA164" s="6"/>
      <c r="AB164" s="6">
        <f>$K$164*$V$164</f>
        <v>32258.600000000002</v>
      </c>
      <c r="AC164" s="6">
        <f>$M$164*$W$164</f>
        <v>0</v>
      </c>
      <c r="AD164" s="6">
        <f>$O$164*$X$164</f>
        <v>0</v>
      </c>
      <c r="AE164" s="6">
        <f ca="1">$K$164*$Y$164</f>
        <v>36434.722356689723</v>
      </c>
      <c r="AF164" s="6">
        <f>$M$164*$Z$164</f>
        <v>0</v>
      </c>
      <c r="AG164" s="6">
        <f>$O$164*$AA$164</f>
        <v>0</v>
      </c>
    </row>
    <row r="165" spans="1:33" ht="11.25" customHeight="1" x14ac:dyDescent="0.3">
      <c r="A165" s="4" t="s">
        <v>28</v>
      </c>
      <c r="B165" s="4" t="s">
        <v>39</v>
      </c>
      <c r="C165" s="4" t="s">
        <v>40</v>
      </c>
      <c r="D165" s="4" t="s">
        <v>41</v>
      </c>
      <c r="E165" s="4" t="s">
        <v>25</v>
      </c>
      <c r="F165" s="4" t="s">
        <v>25</v>
      </c>
      <c r="G165" s="4" t="s">
        <v>25</v>
      </c>
      <c r="H165" s="4" t="s">
        <v>25</v>
      </c>
      <c r="I165" s="5">
        <v>44621</v>
      </c>
      <c r="J165" s="6">
        <v>507</v>
      </c>
      <c r="K165" s="6">
        <v>507</v>
      </c>
      <c r="L165" s="6">
        <v>0</v>
      </c>
      <c r="M165" s="6">
        <v>0</v>
      </c>
      <c r="N165" s="6">
        <v>0</v>
      </c>
      <c r="O165" s="6">
        <v>0</v>
      </c>
      <c r="P165" s="6">
        <v>4</v>
      </c>
      <c r="Q165" s="4" t="s">
        <v>26</v>
      </c>
      <c r="R165" s="4">
        <v>0</v>
      </c>
      <c r="S165" s="6">
        <v>13</v>
      </c>
      <c r="T165" s="6">
        <v>0</v>
      </c>
      <c r="U165" s="6">
        <v>0</v>
      </c>
      <c r="V165" s="6">
        <f>IF(ISERROR(VLOOKUP($S$165,'TAR FIN'!$A$1:$O$103,15,0)),0,VLOOKUP($S$165,'TAR FIN'!$A$1:$O$103,15,0))</f>
        <v>18.920000000000002</v>
      </c>
      <c r="W165" s="6">
        <f>IF(ISERROR(VLOOKUP($T$165,'TAR FIN'!$A$1:$O$103,15,0)),0,VLOOKUP($T$165,'TAR FIN'!$A$1:$O$103,15,0))</f>
        <v>0</v>
      </c>
      <c r="X165" s="6">
        <f>IF(ISERROR(VLOOKUP($U$165,'TAR FIN'!$A$1:$O$103,15,0)),0,VLOOKUP($U$165,'TAR FIN'!$A$1:$O$103,15,0))</f>
        <v>0</v>
      </c>
      <c r="Y165" s="6">
        <f ca="1">('TUSD BE'!$AM$22+'TUSD BF'!$AM$22+'TUSD CVA'!$AM$22)*1</f>
        <v>21.369338625624472</v>
      </c>
      <c r="Z165" s="6"/>
      <c r="AA165" s="6"/>
      <c r="AB165" s="6">
        <f>$K$165*$V$165</f>
        <v>9592.44</v>
      </c>
      <c r="AC165" s="6">
        <f>$M$165*$W$165</f>
        <v>0</v>
      </c>
      <c r="AD165" s="6">
        <f>$O$165*$X$165</f>
        <v>0</v>
      </c>
      <c r="AE165" s="6">
        <f ca="1">$K$165*$Y$165</f>
        <v>10834.254683191608</v>
      </c>
      <c r="AF165" s="6">
        <f>$M$165*$Z$165</f>
        <v>0</v>
      </c>
      <c r="AG165" s="6">
        <f>$O$165*$AA$165</f>
        <v>0</v>
      </c>
    </row>
    <row r="166" spans="1:33" ht="11.25" customHeight="1" x14ac:dyDescent="0.3">
      <c r="A166" s="4" t="s">
        <v>21</v>
      </c>
      <c r="B166" s="4" t="s">
        <v>39</v>
      </c>
      <c r="C166" s="4" t="s">
        <v>40</v>
      </c>
      <c r="D166" s="4" t="s">
        <v>41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44652</v>
      </c>
      <c r="J166" s="6">
        <v>1750</v>
      </c>
      <c r="K166" s="6">
        <v>1750</v>
      </c>
      <c r="L166" s="6">
        <v>0</v>
      </c>
      <c r="M166" s="6">
        <v>0</v>
      </c>
      <c r="N166" s="6">
        <v>0</v>
      </c>
      <c r="O166" s="6">
        <v>0</v>
      </c>
      <c r="P166" s="6">
        <v>23</v>
      </c>
      <c r="Q166" s="4" t="s">
        <v>26</v>
      </c>
      <c r="R166" s="4">
        <v>0</v>
      </c>
      <c r="S166" s="6">
        <v>13</v>
      </c>
      <c r="T166" s="6">
        <v>0</v>
      </c>
      <c r="U166" s="6">
        <v>0</v>
      </c>
      <c r="V166" s="6">
        <f>IF(ISERROR(VLOOKUP($S$166,'TAR FIN'!$A$1:$O$103,15,0)),0,VLOOKUP($S$166,'TAR FIN'!$A$1:$O$103,15,0))</f>
        <v>18.920000000000002</v>
      </c>
      <c r="W166" s="6">
        <f>IF(ISERROR(VLOOKUP($T$166,'TAR FIN'!$A$1:$O$103,15,0)),0,VLOOKUP($T$166,'TAR FIN'!$A$1:$O$103,15,0))</f>
        <v>0</v>
      </c>
      <c r="X166" s="6">
        <f>IF(ISERROR(VLOOKUP($U$166,'TAR FIN'!$A$1:$O$103,15,0)),0,VLOOKUP($U$166,'TAR FIN'!$A$1:$O$103,15,0))</f>
        <v>0</v>
      </c>
      <c r="Y166" s="6">
        <f ca="1">('TUSD BE'!$AM$22+'TUSD BF'!$AM$22+'TUSD CVA'!$AM$22)*1</f>
        <v>21.369338625624472</v>
      </c>
      <c r="Z166" s="6"/>
      <c r="AA166" s="6"/>
      <c r="AB166" s="6">
        <f>$K$166*$V$166</f>
        <v>33110</v>
      </c>
      <c r="AC166" s="6">
        <f>$M$166*$W$166</f>
        <v>0</v>
      </c>
      <c r="AD166" s="6">
        <f>$O$166*$X$166</f>
        <v>0</v>
      </c>
      <c r="AE166" s="6">
        <f ca="1">$K$166*$Y$166</f>
        <v>37396.342594842827</v>
      </c>
      <c r="AF166" s="6">
        <f>$M$166*$Z$166</f>
        <v>0</v>
      </c>
      <c r="AG166" s="6">
        <f>$O$166*$AA$166</f>
        <v>0</v>
      </c>
    </row>
    <row r="167" spans="1:33" ht="11.25" customHeight="1" x14ac:dyDescent="0.3">
      <c r="A167" s="4" t="s">
        <v>28</v>
      </c>
      <c r="B167" s="4" t="s">
        <v>39</v>
      </c>
      <c r="C167" s="4" t="s">
        <v>40</v>
      </c>
      <c r="D167" s="4" t="s">
        <v>41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44652</v>
      </c>
      <c r="J167" s="6">
        <v>522</v>
      </c>
      <c r="K167" s="6">
        <v>522</v>
      </c>
      <c r="L167" s="6">
        <v>0</v>
      </c>
      <c r="M167" s="6">
        <v>0</v>
      </c>
      <c r="N167" s="6">
        <v>0</v>
      </c>
      <c r="O167" s="6">
        <v>0</v>
      </c>
      <c r="P167" s="6">
        <v>4</v>
      </c>
      <c r="Q167" s="4" t="s">
        <v>26</v>
      </c>
      <c r="R167" s="4">
        <v>0</v>
      </c>
      <c r="S167" s="6">
        <v>13</v>
      </c>
      <c r="T167" s="6">
        <v>0</v>
      </c>
      <c r="U167" s="6">
        <v>0</v>
      </c>
      <c r="V167" s="6">
        <f>IF(ISERROR(VLOOKUP($S$167,'TAR FIN'!$A$1:$O$103,15,0)),0,VLOOKUP($S$167,'TAR FIN'!$A$1:$O$103,15,0))</f>
        <v>18.920000000000002</v>
      </c>
      <c r="W167" s="6">
        <f>IF(ISERROR(VLOOKUP($T$167,'TAR FIN'!$A$1:$O$103,15,0)),0,VLOOKUP($T$167,'TAR FIN'!$A$1:$O$103,15,0))</f>
        <v>0</v>
      </c>
      <c r="X167" s="6">
        <f>IF(ISERROR(VLOOKUP($U$167,'TAR FIN'!$A$1:$O$103,15,0)),0,VLOOKUP($U$167,'TAR FIN'!$A$1:$O$103,15,0))</f>
        <v>0</v>
      </c>
      <c r="Y167" s="6">
        <f ca="1">('TUSD BE'!$AM$22+'TUSD BF'!$AM$22+'TUSD CVA'!$AM$22)*1</f>
        <v>21.369338625624472</v>
      </c>
      <c r="Z167" s="6"/>
      <c r="AA167" s="6"/>
      <c r="AB167" s="6">
        <f>$K$167*$V$167</f>
        <v>9876.2400000000016</v>
      </c>
      <c r="AC167" s="6">
        <f>$M$167*$W$167</f>
        <v>0</v>
      </c>
      <c r="AD167" s="6">
        <f>$O$167*$X$167</f>
        <v>0</v>
      </c>
      <c r="AE167" s="6">
        <f ca="1">$K$167*$Y$167</f>
        <v>11154.794762575975</v>
      </c>
      <c r="AF167" s="6">
        <f>$M$167*$Z$167</f>
        <v>0</v>
      </c>
      <c r="AG167" s="6">
        <f>$O$167*$AA$167</f>
        <v>0</v>
      </c>
    </row>
    <row r="168" spans="1:33" ht="11.25" customHeight="1" x14ac:dyDescent="0.3">
      <c r="A168" s="4" t="s">
        <v>21</v>
      </c>
      <c r="B168" s="4" t="s">
        <v>39</v>
      </c>
      <c r="C168" s="4" t="s">
        <v>40</v>
      </c>
      <c r="D168" s="4" t="s">
        <v>41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44682</v>
      </c>
      <c r="J168" s="6">
        <v>1819</v>
      </c>
      <c r="K168" s="6">
        <v>1819</v>
      </c>
      <c r="L168" s="6">
        <v>0</v>
      </c>
      <c r="M168" s="6">
        <v>0</v>
      </c>
      <c r="N168" s="6">
        <v>0</v>
      </c>
      <c r="O168" s="6">
        <v>0</v>
      </c>
      <c r="P168" s="6">
        <v>23</v>
      </c>
      <c r="Q168" s="4" t="s">
        <v>26</v>
      </c>
      <c r="R168" s="4">
        <v>0</v>
      </c>
      <c r="S168" s="6">
        <v>13</v>
      </c>
      <c r="T168" s="6">
        <v>0</v>
      </c>
      <c r="U168" s="6">
        <v>0</v>
      </c>
      <c r="V168" s="6">
        <f>IF(ISERROR(VLOOKUP($S$168,'TAR FIN'!$A$1:$O$103,15,0)),0,VLOOKUP($S$168,'TAR FIN'!$A$1:$O$103,15,0))</f>
        <v>18.920000000000002</v>
      </c>
      <c r="W168" s="6">
        <f>IF(ISERROR(VLOOKUP($T$168,'TAR FIN'!$A$1:$O$103,15,0)),0,VLOOKUP($T$168,'TAR FIN'!$A$1:$O$103,15,0))</f>
        <v>0</v>
      </c>
      <c r="X168" s="6">
        <f>IF(ISERROR(VLOOKUP($U$168,'TAR FIN'!$A$1:$O$103,15,0)),0,VLOOKUP($U$168,'TAR FIN'!$A$1:$O$103,15,0))</f>
        <v>0</v>
      </c>
      <c r="Y168" s="6">
        <f ca="1">('TUSD BE'!$AM$22+'TUSD BF'!$AM$22+'TUSD CVA'!$AM$22)*1</f>
        <v>21.369338625624472</v>
      </c>
      <c r="Z168" s="6"/>
      <c r="AA168" s="6"/>
      <c r="AB168" s="6">
        <f>$K$168*$V$168</f>
        <v>34415.480000000003</v>
      </c>
      <c r="AC168" s="6">
        <f>$M$168*$W$168</f>
        <v>0</v>
      </c>
      <c r="AD168" s="6">
        <f>$O$168*$X$168</f>
        <v>0</v>
      </c>
      <c r="AE168" s="6">
        <f ca="1">$K$168*$Y$168</f>
        <v>38870.826960010912</v>
      </c>
      <c r="AF168" s="6">
        <f>$M$168*$Z$168</f>
        <v>0</v>
      </c>
      <c r="AG168" s="6">
        <f>$O$168*$AA$168</f>
        <v>0</v>
      </c>
    </row>
    <row r="169" spans="1:33" ht="11.25" customHeight="1" x14ac:dyDescent="0.3">
      <c r="A169" s="4" t="s">
        <v>28</v>
      </c>
      <c r="B169" s="4" t="s">
        <v>39</v>
      </c>
      <c r="C169" s="4" t="s">
        <v>40</v>
      </c>
      <c r="D169" s="4" t="s">
        <v>41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44682</v>
      </c>
      <c r="J169" s="6">
        <v>507</v>
      </c>
      <c r="K169" s="6">
        <v>507</v>
      </c>
      <c r="L169" s="6">
        <v>0</v>
      </c>
      <c r="M169" s="6">
        <v>0</v>
      </c>
      <c r="N169" s="6">
        <v>0</v>
      </c>
      <c r="O169" s="6">
        <v>0</v>
      </c>
      <c r="P169" s="6">
        <v>4</v>
      </c>
      <c r="Q169" s="4" t="s">
        <v>26</v>
      </c>
      <c r="R169" s="4">
        <v>0</v>
      </c>
      <c r="S169" s="6">
        <v>13</v>
      </c>
      <c r="T169" s="6">
        <v>0</v>
      </c>
      <c r="U169" s="6">
        <v>0</v>
      </c>
      <c r="V169" s="6">
        <f>IF(ISERROR(VLOOKUP($S$169,'TAR FIN'!$A$1:$O$103,15,0)),0,VLOOKUP($S$169,'TAR FIN'!$A$1:$O$103,15,0))</f>
        <v>18.920000000000002</v>
      </c>
      <c r="W169" s="6">
        <f>IF(ISERROR(VLOOKUP($T$169,'TAR FIN'!$A$1:$O$103,15,0)),0,VLOOKUP($T$169,'TAR FIN'!$A$1:$O$103,15,0))</f>
        <v>0</v>
      </c>
      <c r="X169" s="6">
        <f>IF(ISERROR(VLOOKUP($U$169,'TAR FIN'!$A$1:$O$103,15,0)),0,VLOOKUP($U$169,'TAR FIN'!$A$1:$O$103,15,0))</f>
        <v>0</v>
      </c>
      <c r="Y169" s="6">
        <f ca="1">('TUSD BE'!$AM$22+'TUSD BF'!$AM$22+'TUSD CVA'!$AM$22)*1</f>
        <v>21.369338625624472</v>
      </c>
      <c r="Z169" s="6"/>
      <c r="AA169" s="6"/>
      <c r="AB169" s="6">
        <f>$K$169*$V$169</f>
        <v>9592.44</v>
      </c>
      <c r="AC169" s="6">
        <f>$M$169*$W$169</f>
        <v>0</v>
      </c>
      <c r="AD169" s="6">
        <f>$O$169*$X$169</f>
        <v>0</v>
      </c>
      <c r="AE169" s="6">
        <f ca="1">$K$169*$Y$169</f>
        <v>10834.254683191608</v>
      </c>
      <c r="AF169" s="6">
        <f>$M$169*$Z$169</f>
        <v>0</v>
      </c>
      <c r="AG169" s="6">
        <f>$O$169*$AA$169</f>
        <v>0</v>
      </c>
    </row>
    <row r="170" spans="1:33" ht="11.25" customHeight="1" x14ac:dyDescent="0.3">
      <c r="A170" s="4" t="s">
        <v>21</v>
      </c>
      <c r="B170" s="4" t="s">
        <v>39</v>
      </c>
      <c r="C170" s="4" t="s">
        <v>40</v>
      </c>
      <c r="D170" s="4" t="s">
        <v>41</v>
      </c>
      <c r="E170" s="4" t="s">
        <v>25</v>
      </c>
      <c r="F170" s="4" t="s">
        <v>25</v>
      </c>
      <c r="G170" s="4" t="s">
        <v>25</v>
      </c>
      <c r="H170" s="4" t="s">
        <v>25</v>
      </c>
      <c r="I170" s="5">
        <v>44713</v>
      </c>
      <c r="J170" s="6">
        <v>1811</v>
      </c>
      <c r="K170" s="6">
        <v>1811</v>
      </c>
      <c r="L170" s="6">
        <v>0</v>
      </c>
      <c r="M170" s="6">
        <v>0</v>
      </c>
      <c r="N170" s="6">
        <v>0</v>
      </c>
      <c r="O170" s="6">
        <v>0</v>
      </c>
      <c r="P170" s="6">
        <v>23</v>
      </c>
      <c r="Q170" s="4" t="s">
        <v>26</v>
      </c>
      <c r="R170" s="4">
        <v>0</v>
      </c>
      <c r="S170" s="6">
        <v>13</v>
      </c>
      <c r="T170" s="6">
        <v>0</v>
      </c>
      <c r="U170" s="6">
        <v>0</v>
      </c>
      <c r="V170" s="6">
        <f>IF(ISERROR(VLOOKUP($S$170,'TAR FIN'!$A$1:$O$103,15,0)),0,VLOOKUP($S$170,'TAR FIN'!$A$1:$O$103,15,0))</f>
        <v>18.920000000000002</v>
      </c>
      <c r="W170" s="6">
        <f>IF(ISERROR(VLOOKUP($T$170,'TAR FIN'!$A$1:$O$103,15,0)),0,VLOOKUP($T$170,'TAR FIN'!$A$1:$O$103,15,0))</f>
        <v>0</v>
      </c>
      <c r="X170" s="6">
        <f>IF(ISERROR(VLOOKUP($U$170,'TAR FIN'!$A$1:$O$103,15,0)),0,VLOOKUP($U$170,'TAR FIN'!$A$1:$O$103,15,0))</f>
        <v>0</v>
      </c>
      <c r="Y170" s="6">
        <f ca="1">('TUSD BE'!$AM$22+'TUSD BF'!$AM$22+'TUSD CVA'!$AM$22)*1</f>
        <v>21.369338625624472</v>
      </c>
      <c r="Z170" s="6"/>
      <c r="AA170" s="6"/>
      <c r="AB170" s="6">
        <f>$K$170*$V$170</f>
        <v>34264.120000000003</v>
      </c>
      <c r="AC170" s="6">
        <f>$M$170*$W$170</f>
        <v>0</v>
      </c>
      <c r="AD170" s="6">
        <f>$O$170*$X$170</f>
        <v>0</v>
      </c>
      <c r="AE170" s="6">
        <f ca="1">$K$170*$Y$170</f>
        <v>38699.872251005916</v>
      </c>
      <c r="AF170" s="6">
        <f>$M$170*$Z$170</f>
        <v>0</v>
      </c>
      <c r="AG170" s="6">
        <f>$O$170*$AA$170</f>
        <v>0</v>
      </c>
    </row>
    <row r="171" spans="1:33" ht="11.25" customHeight="1" x14ac:dyDescent="0.3">
      <c r="A171" s="4" t="s">
        <v>28</v>
      </c>
      <c r="B171" s="4" t="s">
        <v>39</v>
      </c>
      <c r="C171" s="4" t="s">
        <v>40</v>
      </c>
      <c r="D171" s="4" t="s">
        <v>41</v>
      </c>
      <c r="E171" s="4" t="s">
        <v>25</v>
      </c>
      <c r="F171" s="4" t="s">
        <v>25</v>
      </c>
      <c r="G171" s="4" t="s">
        <v>25</v>
      </c>
      <c r="H171" s="4" t="s">
        <v>25</v>
      </c>
      <c r="I171" s="5">
        <v>44713</v>
      </c>
      <c r="J171" s="6">
        <v>507</v>
      </c>
      <c r="K171" s="6">
        <v>507</v>
      </c>
      <c r="L171" s="6">
        <v>0</v>
      </c>
      <c r="M171" s="6">
        <v>0</v>
      </c>
      <c r="N171" s="6">
        <v>0</v>
      </c>
      <c r="O171" s="6">
        <v>0</v>
      </c>
      <c r="P171" s="6">
        <v>4</v>
      </c>
      <c r="Q171" s="4" t="s">
        <v>26</v>
      </c>
      <c r="R171" s="4">
        <v>0</v>
      </c>
      <c r="S171" s="6">
        <v>13</v>
      </c>
      <c r="T171" s="6">
        <v>0</v>
      </c>
      <c r="U171" s="6">
        <v>0</v>
      </c>
      <c r="V171" s="6">
        <f>IF(ISERROR(VLOOKUP($S$171,'TAR FIN'!$A$1:$O$103,15,0)),0,VLOOKUP($S$171,'TAR FIN'!$A$1:$O$103,15,0))</f>
        <v>18.920000000000002</v>
      </c>
      <c r="W171" s="6">
        <f>IF(ISERROR(VLOOKUP($T$171,'TAR FIN'!$A$1:$O$103,15,0)),0,VLOOKUP($T$171,'TAR FIN'!$A$1:$O$103,15,0))</f>
        <v>0</v>
      </c>
      <c r="X171" s="6">
        <f>IF(ISERROR(VLOOKUP($U$171,'TAR FIN'!$A$1:$O$103,15,0)),0,VLOOKUP($U$171,'TAR FIN'!$A$1:$O$103,15,0))</f>
        <v>0</v>
      </c>
      <c r="Y171" s="6">
        <f ca="1">('TUSD BE'!$AM$22+'TUSD BF'!$AM$22+'TUSD CVA'!$AM$22)*1</f>
        <v>21.369338625624472</v>
      </c>
      <c r="Z171" s="6"/>
      <c r="AA171" s="6"/>
      <c r="AB171" s="6">
        <f>$K$171*$V$171</f>
        <v>9592.44</v>
      </c>
      <c r="AC171" s="6">
        <f>$M$171*$W$171</f>
        <v>0</v>
      </c>
      <c r="AD171" s="6">
        <f>$O$171*$X$171</f>
        <v>0</v>
      </c>
      <c r="AE171" s="6">
        <f ca="1">$K$171*$Y$171</f>
        <v>10834.254683191608</v>
      </c>
      <c r="AF171" s="6">
        <f>$M$171*$Z$171</f>
        <v>0</v>
      </c>
      <c r="AG171" s="6">
        <f>$O$171*$AA$171</f>
        <v>0</v>
      </c>
    </row>
    <row r="172" spans="1:33" ht="11.25" customHeight="1" x14ac:dyDescent="0.3">
      <c r="A172" s="4" t="s">
        <v>21</v>
      </c>
      <c r="B172" s="4" t="s">
        <v>39</v>
      </c>
      <c r="C172" s="4" t="s">
        <v>40</v>
      </c>
      <c r="D172" s="4" t="s">
        <v>41</v>
      </c>
      <c r="E172" s="4" t="s">
        <v>25</v>
      </c>
      <c r="F172" s="4" t="s">
        <v>25</v>
      </c>
      <c r="G172" s="4" t="s">
        <v>25</v>
      </c>
      <c r="H172" s="4" t="s">
        <v>25</v>
      </c>
      <c r="I172" s="5">
        <v>44743</v>
      </c>
      <c r="J172" s="6">
        <v>1647</v>
      </c>
      <c r="K172" s="6">
        <v>1647</v>
      </c>
      <c r="L172" s="6">
        <v>0</v>
      </c>
      <c r="M172" s="6">
        <v>0</v>
      </c>
      <c r="N172" s="6">
        <v>0</v>
      </c>
      <c r="O172" s="6">
        <v>0</v>
      </c>
      <c r="P172" s="6">
        <v>22</v>
      </c>
      <c r="Q172" s="4" t="s">
        <v>26</v>
      </c>
      <c r="R172" s="4">
        <v>0</v>
      </c>
      <c r="S172" s="6">
        <v>13</v>
      </c>
      <c r="T172" s="6">
        <v>0</v>
      </c>
      <c r="U172" s="6">
        <v>0</v>
      </c>
      <c r="V172" s="6">
        <f>IF(ISERROR(VLOOKUP($S$172,'TAR FIN'!$A$1:$O$103,15,0)),0,VLOOKUP($S$172,'TAR FIN'!$A$1:$O$103,15,0))</f>
        <v>18.920000000000002</v>
      </c>
      <c r="W172" s="6">
        <f>IF(ISERROR(VLOOKUP($T$172,'TAR FIN'!$A$1:$O$103,15,0)),0,VLOOKUP($T$172,'TAR FIN'!$A$1:$O$103,15,0))</f>
        <v>0</v>
      </c>
      <c r="X172" s="6">
        <f>IF(ISERROR(VLOOKUP($U$172,'TAR FIN'!$A$1:$O$103,15,0)),0,VLOOKUP($U$172,'TAR FIN'!$A$1:$O$103,15,0))</f>
        <v>0</v>
      </c>
      <c r="Y172" s="6">
        <f ca="1">('TUSD BE'!$AM$22+'TUSD BF'!$AM$22+'TUSD CVA'!$AM$22)*1</f>
        <v>21.369338625624472</v>
      </c>
      <c r="Z172" s="6"/>
      <c r="AA172" s="6"/>
      <c r="AB172" s="6">
        <f>$K$172*$V$172</f>
        <v>31161.24</v>
      </c>
      <c r="AC172" s="6">
        <f>$M$172*$W$172</f>
        <v>0</v>
      </c>
      <c r="AD172" s="6">
        <f>$O$172*$X$172</f>
        <v>0</v>
      </c>
      <c r="AE172" s="6">
        <f ca="1">$K$172*$Y$172</f>
        <v>35195.300716403508</v>
      </c>
      <c r="AF172" s="6">
        <f>$M$172*$Z$172</f>
        <v>0</v>
      </c>
      <c r="AG172" s="6">
        <f>$O$172*$AA$172</f>
        <v>0</v>
      </c>
    </row>
    <row r="173" spans="1:33" ht="11.25" customHeight="1" x14ac:dyDescent="0.3">
      <c r="A173" s="4" t="s">
        <v>28</v>
      </c>
      <c r="B173" s="4" t="s">
        <v>39</v>
      </c>
      <c r="C173" s="4" t="s">
        <v>40</v>
      </c>
      <c r="D173" s="4" t="s">
        <v>41</v>
      </c>
      <c r="E173" s="4" t="s">
        <v>25</v>
      </c>
      <c r="F173" s="4" t="s">
        <v>25</v>
      </c>
      <c r="G173" s="4" t="s">
        <v>25</v>
      </c>
      <c r="H173" s="4" t="s">
        <v>25</v>
      </c>
      <c r="I173" s="5">
        <v>44743</v>
      </c>
      <c r="J173" s="6">
        <v>507</v>
      </c>
      <c r="K173" s="6">
        <v>507</v>
      </c>
      <c r="L173" s="6">
        <v>0</v>
      </c>
      <c r="M173" s="6">
        <v>0</v>
      </c>
      <c r="N173" s="6">
        <v>0</v>
      </c>
      <c r="O173" s="6">
        <v>0</v>
      </c>
      <c r="P173" s="6">
        <v>4</v>
      </c>
      <c r="Q173" s="4" t="s">
        <v>26</v>
      </c>
      <c r="R173" s="4">
        <v>0</v>
      </c>
      <c r="S173" s="6">
        <v>13</v>
      </c>
      <c r="T173" s="6">
        <v>0</v>
      </c>
      <c r="U173" s="6">
        <v>0</v>
      </c>
      <c r="V173" s="6">
        <f>IF(ISERROR(VLOOKUP($S$173,'TAR FIN'!$A$1:$O$103,15,0)),0,VLOOKUP($S$173,'TAR FIN'!$A$1:$O$103,15,0))</f>
        <v>18.920000000000002</v>
      </c>
      <c r="W173" s="6">
        <f>IF(ISERROR(VLOOKUP($T$173,'TAR FIN'!$A$1:$O$103,15,0)),0,VLOOKUP($T$173,'TAR FIN'!$A$1:$O$103,15,0))</f>
        <v>0</v>
      </c>
      <c r="X173" s="6">
        <f>IF(ISERROR(VLOOKUP($U$173,'TAR FIN'!$A$1:$O$103,15,0)),0,VLOOKUP($U$173,'TAR FIN'!$A$1:$O$103,15,0))</f>
        <v>0</v>
      </c>
      <c r="Y173" s="6">
        <f ca="1">('TUSD BE'!$AM$22+'TUSD BF'!$AM$22+'TUSD CVA'!$AM$22)*1</f>
        <v>21.369338625624472</v>
      </c>
      <c r="Z173" s="6"/>
      <c r="AA173" s="6"/>
      <c r="AB173" s="6">
        <f>$K$173*$V$173</f>
        <v>9592.44</v>
      </c>
      <c r="AC173" s="6">
        <f>$M$173*$W$173</f>
        <v>0</v>
      </c>
      <c r="AD173" s="6">
        <f>$O$173*$X$173</f>
        <v>0</v>
      </c>
      <c r="AE173" s="6">
        <f ca="1">$K$173*$Y$173</f>
        <v>10834.254683191608</v>
      </c>
      <c r="AF173" s="6">
        <f>$M$173*$Z$173</f>
        <v>0</v>
      </c>
      <c r="AG173" s="6">
        <f>$O$173*$AA$173</f>
        <v>0</v>
      </c>
    </row>
    <row r="174" spans="1:33" ht="11.25" customHeight="1" x14ac:dyDescent="0.3">
      <c r="A174" s="4" t="s">
        <v>21</v>
      </c>
      <c r="B174" s="4" t="s">
        <v>39</v>
      </c>
      <c r="C174" s="4" t="s">
        <v>40</v>
      </c>
      <c r="D174" s="4" t="s">
        <v>41</v>
      </c>
      <c r="E174" s="4" t="s">
        <v>25</v>
      </c>
      <c r="F174" s="4" t="s">
        <v>25</v>
      </c>
      <c r="G174" s="4" t="s">
        <v>25</v>
      </c>
      <c r="H174" s="4" t="s">
        <v>25</v>
      </c>
      <c r="I174" s="5">
        <v>44774</v>
      </c>
      <c r="J174" s="6">
        <v>1665</v>
      </c>
      <c r="K174" s="6">
        <v>1665</v>
      </c>
      <c r="L174" s="6">
        <v>0</v>
      </c>
      <c r="M174" s="6">
        <v>0</v>
      </c>
      <c r="N174" s="6">
        <v>0</v>
      </c>
      <c r="O174" s="6">
        <v>0</v>
      </c>
      <c r="P174" s="6">
        <v>22</v>
      </c>
      <c r="Q174" s="4" t="s">
        <v>26</v>
      </c>
      <c r="R174" s="4">
        <v>0</v>
      </c>
      <c r="S174" s="6">
        <v>13</v>
      </c>
      <c r="T174" s="6">
        <v>0</v>
      </c>
      <c r="U174" s="6">
        <v>0</v>
      </c>
      <c r="V174" s="6">
        <f>IF(ISERROR(VLOOKUP($S$174,'TAR FIN'!$A$1:$O$103,15,0)),0,VLOOKUP($S$174,'TAR FIN'!$A$1:$O$103,15,0))</f>
        <v>18.920000000000002</v>
      </c>
      <c r="W174" s="6">
        <f>IF(ISERROR(VLOOKUP($T$174,'TAR FIN'!$A$1:$O$103,15,0)),0,VLOOKUP($T$174,'TAR FIN'!$A$1:$O$103,15,0))</f>
        <v>0</v>
      </c>
      <c r="X174" s="6">
        <f>IF(ISERROR(VLOOKUP($U$174,'TAR FIN'!$A$1:$O$103,15,0)),0,VLOOKUP($U$174,'TAR FIN'!$A$1:$O$103,15,0))</f>
        <v>0</v>
      </c>
      <c r="Y174" s="6">
        <f ca="1">('TUSD BE'!$AM$22+'TUSD BF'!$AM$22+'TUSD CVA'!$AM$22)*1</f>
        <v>21.369338625624472</v>
      </c>
      <c r="Z174" s="6"/>
      <c r="AA174" s="6"/>
      <c r="AB174" s="6">
        <f>$K$174*$V$174</f>
        <v>31501.800000000003</v>
      </c>
      <c r="AC174" s="6">
        <f>$M$174*$W$174</f>
        <v>0</v>
      </c>
      <c r="AD174" s="6">
        <f>$O$174*$X$174</f>
        <v>0</v>
      </c>
      <c r="AE174" s="6">
        <f ca="1">$K$174*$Y$174</f>
        <v>35579.948811664748</v>
      </c>
      <c r="AF174" s="6">
        <f>$M$174*$Z$174</f>
        <v>0</v>
      </c>
      <c r="AG174" s="6">
        <f>$O$174*$AA$174</f>
        <v>0</v>
      </c>
    </row>
    <row r="175" spans="1:33" ht="11.25" customHeight="1" x14ac:dyDescent="0.3">
      <c r="A175" s="4" t="s">
        <v>28</v>
      </c>
      <c r="B175" s="4" t="s">
        <v>39</v>
      </c>
      <c r="C175" s="4" t="s">
        <v>40</v>
      </c>
      <c r="D175" s="4" t="s">
        <v>41</v>
      </c>
      <c r="E175" s="4" t="s">
        <v>25</v>
      </c>
      <c r="F175" s="4" t="s">
        <v>25</v>
      </c>
      <c r="G175" s="4" t="s">
        <v>25</v>
      </c>
      <c r="H175" s="4" t="s">
        <v>25</v>
      </c>
      <c r="I175" s="5">
        <v>44774</v>
      </c>
      <c r="J175" s="6">
        <v>507</v>
      </c>
      <c r="K175" s="6">
        <v>507</v>
      </c>
      <c r="L175" s="6">
        <v>0</v>
      </c>
      <c r="M175" s="6">
        <v>0</v>
      </c>
      <c r="N175" s="6">
        <v>0</v>
      </c>
      <c r="O175" s="6">
        <v>0</v>
      </c>
      <c r="P175" s="6">
        <v>4</v>
      </c>
      <c r="Q175" s="4" t="s">
        <v>26</v>
      </c>
      <c r="R175" s="4">
        <v>0</v>
      </c>
      <c r="S175" s="6">
        <v>13</v>
      </c>
      <c r="T175" s="6">
        <v>0</v>
      </c>
      <c r="U175" s="6">
        <v>0</v>
      </c>
      <c r="V175" s="6">
        <f>IF(ISERROR(VLOOKUP($S$175,'TAR FIN'!$A$1:$O$103,15,0)),0,VLOOKUP($S$175,'TAR FIN'!$A$1:$O$103,15,0))</f>
        <v>18.920000000000002</v>
      </c>
      <c r="W175" s="6">
        <f>IF(ISERROR(VLOOKUP($T$175,'TAR FIN'!$A$1:$O$103,15,0)),0,VLOOKUP($T$175,'TAR FIN'!$A$1:$O$103,15,0))</f>
        <v>0</v>
      </c>
      <c r="X175" s="6">
        <f>IF(ISERROR(VLOOKUP($U$175,'TAR FIN'!$A$1:$O$103,15,0)),0,VLOOKUP($U$175,'TAR FIN'!$A$1:$O$103,15,0))</f>
        <v>0</v>
      </c>
      <c r="Y175" s="6">
        <f ca="1">('TUSD BE'!$AM$22+'TUSD BF'!$AM$22+'TUSD CVA'!$AM$22)*1</f>
        <v>21.369338625624472</v>
      </c>
      <c r="Z175" s="6"/>
      <c r="AA175" s="6"/>
      <c r="AB175" s="6">
        <f>$K$175*$V$175</f>
        <v>9592.44</v>
      </c>
      <c r="AC175" s="6">
        <f>$M$175*$W$175</f>
        <v>0</v>
      </c>
      <c r="AD175" s="6">
        <f>$O$175*$X$175</f>
        <v>0</v>
      </c>
      <c r="AE175" s="6">
        <f ca="1">$K$175*$Y$175</f>
        <v>10834.254683191608</v>
      </c>
      <c r="AF175" s="6">
        <f>$M$175*$Z$175</f>
        <v>0</v>
      </c>
      <c r="AG175" s="6">
        <f>$O$175*$AA$175</f>
        <v>0</v>
      </c>
    </row>
    <row r="176" spans="1:33" ht="11.25" customHeight="1" x14ac:dyDescent="0.3">
      <c r="A176" s="4" t="s">
        <v>21</v>
      </c>
      <c r="B176" s="4" t="s">
        <v>39</v>
      </c>
      <c r="C176" s="4" t="s">
        <v>40</v>
      </c>
      <c r="D176" s="4" t="s">
        <v>41</v>
      </c>
      <c r="E176" s="4" t="s">
        <v>25</v>
      </c>
      <c r="F176" s="4" t="s">
        <v>25</v>
      </c>
      <c r="G176" s="4" t="s">
        <v>25</v>
      </c>
      <c r="H176" s="4" t="s">
        <v>25</v>
      </c>
      <c r="I176" s="5">
        <v>44805</v>
      </c>
      <c r="J176" s="6">
        <v>1708</v>
      </c>
      <c r="K176" s="6">
        <v>1708</v>
      </c>
      <c r="L176" s="6">
        <v>0</v>
      </c>
      <c r="M176" s="6">
        <v>0</v>
      </c>
      <c r="N176" s="6">
        <v>0</v>
      </c>
      <c r="O176" s="6">
        <v>0</v>
      </c>
      <c r="P176" s="6">
        <v>22</v>
      </c>
      <c r="Q176" s="4" t="s">
        <v>26</v>
      </c>
      <c r="R176" s="4">
        <v>0</v>
      </c>
      <c r="S176" s="6">
        <v>13</v>
      </c>
      <c r="T176" s="6">
        <v>0</v>
      </c>
      <c r="U176" s="6">
        <v>0</v>
      </c>
      <c r="V176" s="6">
        <f>IF(ISERROR(VLOOKUP($S$176,'TAR FIN'!$A$1:$O$103,15,0)),0,VLOOKUP($S$176,'TAR FIN'!$A$1:$O$103,15,0))</f>
        <v>18.920000000000002</v>
      </c>
      <c r="W176" s="6">
        <f>IF(ISERROR(VLOOKUP($T$176,'TAR FIN'!$A$1:$O$103,15,0)),0,VLOOKUP($T$176,'TAR FIN'!$A$1:$O$103,15,0))</f>
        <v>0</v>
      </c>
      <c r="X176" s="6">
        <f>IF(ISERROR(VLOOKUP($U$176,'TAR FIN'!$A$1:$O$103,15,0)),0,VLOOKUP($U$176,'TAR FIN'!$A$1:$O$103,15,0))</f>
        <v>0</v>
      </c>
      <c r="Y176" s="6">
        <f ca="1">('TUSD BE'!$AM$22+'TUSD BF'!$AM$22+'TUSD CVA'!$AM$22)*1</f>
        <v>21.369338625624472</v>
      </c>
      <c r="Z176" s="6"/>
      <c r="AA176" s="6"/>
      <c r="AB176" s="6">
        <f>$K$176*$V$176</f>
        <v>32315.360000000004</v>
      </c>
      <c r="AC176" s="6">
        <f>$M$176*$W$176</f>
        <v>0</v>
      </c>
      <c r="AD176" s="6">
        <f>$O$176*$X$176</f>
        <v>0</v>
      </c>
      <c r="AE176" s="6">
        <f ca="1">$K$176*$Y$176</f>
        <v>36498.830372566597</v>
      </c>
      <c r="AF176" s="6">
        <f>$M$176*$Z$176</f>
        <v>0</v>
      </c>
      <c r="AG176" s="6">
        <f>$O$176*$AA$176</f>
        <v>0</v>
      </c>
    </row>
    <row r="177" spans="1:33" ht="11.25" customHeight="1" x14ac:dyDescent="0.3">
      <c r="A177" s="4" t="s">
        <v>28</v>
      </c>
      <c r="B177" s="4" t="s">
        <v>39</v>
      </c>
      <c r="C177" s="4" t="s">
        <v>40</v>
      </c>
      <c r="D177" s="4" t="s">
        <v>41</v>
      </c>
      <c r="E177" s="4" t="s">
        <v>25</v>
      </c>
      <c r="F177" s="4" t="s">
        <v>25</v>
      </c>
      <c r="G177" s="4" t="s">
        <v>25</v>
      </c>
      <c r="H177" s="4" t="s">
        <v>25</v>
      </c>
      <c r="I177" s="5">
        <v>44805</v>
      </c>
      <c r="J177" s="6">
        <v>507</v>
      </c>
      <c r="K177" s="6">
        <v>507</v>
      </c>
      <c r="L177" s="6">
        <v>0</v>
      </c>
      <c r="M177" s="6">
        <v>0</v>
      </c>
      <c r="N177" s="6">
        <v>0</v>
      </c>
      <c r="O177" s="6">
        <v>0</v>
      </c>
      <c r="P177" s="6">
        <v>4</v>
      </c>
      <c r="Q177" s="4" t="s">
        <v>26</v>
      </c>
      <c r="R177" s="4">
        <v>0</v>
      </c>
      <c r="S177" s="6">
        <v>13</v>
      </c>
      <c r="T177" s="6">
        <v>0</v>
      </c>
      <c r="U177" s="6">
        <v>0</v>
      </c>
      <c r="V177" s="6">
        <f>IF(ISERROR(VLOOKUP($S$177,'TAR FIN'!$A$1:$O$103,15,0)),0,VLOOKUP($S$177,'TAR FIN'!$A$1:$O$103,15,0))</f>
        <v>18.920000000000002</v>
      </c>
      <c r="W177" s="6">
        <f>IF(ISERROR(VLOOKUP($T$177,'TAR FIN'!$A$1:$O$103,15,0)),0,VLOOKUP($T$177,'TAR FIN'!$A$1:$O$103,15,0))</f>
        <v>0</v>
      </c>
      <c r="X177" s="6">
        <f>IF(ISERROR(VLOOKUP($U$177,'TAR FIN'!$A$1:$O$103,15,0)),0,VLOOKUP($U$177,'TAR FIN'!$A$1:$O$103,15,0))</f>
        <v>0</v>
      </c>
      <c r="Y177" s="6">
        <f ca="1">('TUSD BE'!$AM$22+'TUSD BF'!$AM$22+'TUSD CVA'!$AM$22)*1</f>
        <v>21.369338625624472</v>
      </c>
      <c r="Z177" s="6"/>
      <c r="AA177" s="6"/>
      <c r="AB177" s="6">
        <f>$K$177*$V$177</f>
        <v>9592.44</v>
      </c>
      <c r="AC177" s="6">
        <f>$M$177*$W$177</f>
        <v>0</v>
      </c>
      <c r="AD177" s="6">
        <f>$O$177*$X$177</f>
        <v>0</v>
      </c>
      <c r="AE177" s="6">
        <f ca="1">$K$177*$Y$177</f>
        <v>10834.254683191608</v>
      </c>
      <c r="AF177" s="6">
        <f>$M$177*$Z$177</f>
        <v>0</v>
      </c>
      <c r="AG177" s="6">
        <f>$O$177*$AA$177</f>
        <v>0</v>
      </c>
    </row>
    <row r="178" spans="1:33" ht="11.25" customHeight="1" x14ac:dyDescent="0.3">
      <c r="A178" s="4" t="s">
        <v>57</v>
      </c>
      <c r="B178" s="4" t="s">
        <v>39</v>
      </c>
      <c r="C178" s="4" t="s">
        <v>40</v>
      </c>
      <c r="D178" s="4" t="s">
        <v>41</v>
      </c>
      <c r="E178" s="4" t="s">
        <v>25</v>
      </c>
      <c r="F178" s="4" t="s">
        <v>25</v>
      </c>
      <c r="G178" s="4" t="s">
        <v>25</v>
      </c>
      <c r="H178" s="4" t="s">
        <v>25</v>
      </c>
      <c r="I178" s="5">
        <v>44835</v>
      </c>
      <c r="J178" s="6">
        <v>1708</v>
      </c>
      <c r="K178" s="6">
        <v>1708</v>
      </c>
      <c r="L178" s="6">
        <v>0</v>
      </c>
      <c r="M178" s="6">
        <v>0</v>
      </c>
      <c r="N178" s="6">
        <v>0</v>
      </c>
      <c r="O178" s="6">
        <v>0</v>
      </c>
      <c r="P178" s="6">
        <v>22</v>
      </c>
      <c r="Q178" s="4" t="s">
        <v>26</v>
      </c>
      <c r="R178" s="4">
        <v>0</v>
      </c>
      <c r="S178" s="6">
        <v>13</v>
      </c>
      <c r="T178" s="6">
        <v>0</v>
      </c>
      <c r="U178" s="6">
        <v>0</v>
      </c>
      <c r="V178" s="6">
        <f>IF(ISERROR(VLOOKUP($S$178,'TAR FIN'!$A$1:$O$103,15,0)),0,VLOOKUP($S$178,'TAR FIN'!$A$1:$O$103,15,0))</f>
        <v>18.920000000000002</v>
      </c>
      <c r="W178" s="6">
        <f>IF(ISERROR(VLOOKUP($T$178,'TAR FIN'!$A$1:$O$103,15,0)),0,VLOOKUP($T$178,'TAR FIN'!$A$1:$O$103,15,0))</f>
        <v>0</v>
      </c>
      <c r="X178" s="6">
        <f>IF(ISERROR(VLOOKUP($U$178,'TAR FIN'!$A$1:$O$103,15,0)),0,VLOOKUP($U$178,'TAR FIN'!$A$1:$O$103,15,0))</f>
        <v>0</v>
      </c>
      <c r="Y178" s="6">
        <f ca="1">('TUSD BE'!$AM$22+'TUSD BF'!$AM$22+'TUSD CVA'!$AM$22)*1</f>
        <v>21.369338625624472</v>
      </c>
      <c r="Z178" s="6"/>
      <c r="AA178" s="6"/>
      <c r="AB178" s="6">
        <f>$K$178*$V$178</f>
        <v>32315.360000000004</v>
      </c>
      <c r="AC178" s="6">
        <f>$M$178*$W$178</f>
        <v>0</v>
      </c>
      <c r="AD178" s="6">
        <f>$O$178*$X$178</f>
        <v>0</v>
      </c>
      <c r="AE178" s="6">
        <f ca="1">$K$178*$Y$178</f>
        <v>36498.830372566597</v>
      </c>
      <c r="AF178" s="6">
        <f>$M$178*$Z$178</f>
        <v>0</v>
      </c>
      <c r="AG178" s="6">
        <f>$O$178*$AA$178</f>
        <v>0</v>
      </c>
    </row>
    <row r="179" spans="1:33" ht="11.25" customHeight="1" x14ac:dyDescent="0.3">
      <c r="A179" s="4" t="s">
        <v>57</v>
      </c>
      <c r="B179" s="4" t="s">
        <v>39</v>
      </c>
      <c r="C179" s="4" t="s">
        <v>40</v>
      </c>
      <c r="D179" s="4" t="s">
        <v>41</v>
      </c>
      <c r="E179" s="4" t="s">
        <v>25</v>
      </c>
      <c r="F179" s="4" t="s">
        <v>25</v>
      </c>
      <c r="G179" s="4" t="s">
        <v>25</v>
      </c>
      <c r="H179" s="4" t="s">
        <v>25</v>
      </c>
      <c r="I179" s="5">
        <v>44835</v>
      </c>
      <c r="J179" s="6">
        <v>507</v>
      </c>
      <c r="K179" s="6">
        <v>507</v>
      </c>
      <c r="L179" s="6">
        <v>0</v>
      </c>
      <c r="M179" s="6">
        <v>0</v>
      </c>
      <c r="N179" s="6">
        <v>0</v>
      </c>
      <c r="O179" s="6">
        <v>0</v>
      </c>
      <c r="P179" s="6">
        <v>4</v>
      </c>
      <c r="Q179" s="4" t="s">
        <v>26</v>
      </c>
      <c r="R179" s="4">
        <v>0</v>
      </c>
      <c r="S179" s="6">
        <v>13</v>
      </c>
      <c r="T179" s="6">
        <v>0</v>
      </c>
      <c r="U179" s="6">
        <v>0</v>
      </c>
      <c r="V179" s="6">
        <f>IF(ISERROR(VLOOKUP($S$179,'TAR FIN'!$A$1:$O$103,15,0)),0,VLOOKUP($S$179,'TAR FIN'!$A$1:$O$103,15,0))</f>
        <v>18.920000000000002</v>
      </c>
      <c r="W179" s="6">
        <f>IF(ISERROR(VLOOKUP($T$179,'TAR FIN'!$A$1:$O$103,15,0)),0,VLOOKUP($T$179,'TAR FIN'!$A$1:$O$103,15,0))</f>
        <v>0</v>
      </c>
      <c r="X179" s="6">
        <f>IF(ISERROR(VLOOKUP($U$179,'TAR FIN'!$A$1:$O$103,15,0)),0,VLOOKUP($U$179,'TAR FIN'!$A$1:$O$103,15,0))</f>
        <v>0</v>
      </c>
      <c r="Y179" s="6">
        <f ca="1">('TUSD BE'!$AM$22+'TUSD BF'!$AM$22+'TUSD CVA'!$AM$22)*1</f>
        <v>21.369338625624472</v>
      </c>
      <c r="Z179" s="6"/>
      <c r="AA179" s="6"/>
      <c r="AB179" s="6">
        <f>$K$179*$V$179</f>
        <v>9592.44</v>
      </c>
      <c r="AC179" s="6">
        <f>$M$179*$W$179</f>
        <v>0</v>
      </c>
      <c r="AD179" s="6">
        <f>$O$179*$X$179</f>
        <v>0</v>
      </c>
      <c r="AE179" s="6">
        <f ca="1">$K$179*$Y$179</f>
        <v>10834.254683191608</v>
      </c>
      <c r="AF179" s="6">
        <f>$M$179*$Z$179</f>
        <v>0</v>
      </c>
      <c r="AG179" s="6">
        <f>$O$179*$AA$179</f>
        <v>0</v>
      </c>
    </row>
    <row r="180" spans="1:33" ht="11.25" customHeight="1" x14ac:dyDescent="0.3">
      <c r="A180" s="4" t="s">
        <v>21</v>
      </c>
      <c r="B180" s="4" t="s">
        <v>39</v>
      </c>
      <c r="C180" s="4" t="s">
        <v>40</v>
      </c>
      <c r="D180" s="4" t="s">
        <v>41</v>
      </c>
      <c r="E180" s="4" t="s">
        <v>25</v>
      </c>
      <c r="F180" s="4" t="s">
        <v>25</v>
      </c>
      <c r="G180" s="4" t="s">
        <v>25</v>
      </c>
      <c r="H180" s="4" t="s">
        <v>34</v>
      </c>
      <c r="I180" s="5">
        <v>44501</v>
      </c>
      <c r="J180" s="6">
        <v>0</v>
      </c>
      <c r="K180" s="6">
        <v>0</v>
      </c>
      <c r="L180" s="6">
        <v>26.192</v>
      </c>
      <c r="M180" s="6">
        <v>26.192</v>
      </c>
      <c r="N180" s="6">
        <v>26.192</v>
      </c>
      <c r="O180" s="6">
        <v>26.192</v>
      </c>
      <c r="P180" s="6">
        <v>0</v>
      </c>
      <c r="Q180" s="4" t="s">
        <v>26</v>
      </c>
      <c r="R180" s="4">
        <v>0</v>
      </c>
      <c r="S180" s="6">
        <v>0</v>
      </c>
      <c r="T180" s="6">
        <v>15</v>
      </c>
      <c r="U180" s="6">
        <v>65</v>
      </c>
      <c r="V180" s="6">
        <f>IF(ISERROR(VLOOKUP($S$180,'TAR FIN'!$A$1:$O$103,15,0)),0,VLOOKUP($S$180,'TAR FIN'!$A$1:$O$103,15,0))</f>
        <v>0</v>
      </c>
      <c r="W180" s="6">
        <f>IF(ISERROR(VLOOKUP($T$180,'TAR FIN'!$A$1:$O$103,15,0)),0,VLOOKUP($T$180,'TAR FIN'!$A$1:$O$103,15,0))</f>
        <v>1195.82</v>
      </c>
      <c r="X180" s="6">
        <f>IF(ISERROR(VLOOKUP($U$180,'TAR FIN'!$A$1:$O$103,15,0)),0,VLOOKUP($U$180,'TAR FIN'!$A$1:$O$103,15,0))</f>
        <v>391.54</v>
      </c>
      <c r="Y180" s="6"/>
      <c r="Z180" s="6">
        <f ca="1">('TUSD BE'!$AM$23+'TUSD BF'!$AM$23+'TUSD CVA'!$AM$23)*1</f>
        <v>1385.4977743340116</v>
      </c>
      <c r="AA180" s="6">
        <f>('TE BE'!$AB$8+'TE BF'!$AB$8+'TE CVA'!$AB$8)*1</f>
        <v>361.95264704220779</v>
      </c>
      <c r="AB180" s="6">
        <f>$K$180*$V$180</f>
        <v>0</v>
      </c>
      <c r="AC180" s="6">
        <f>$M$180*$W$180</f>
        <v>31320.917439999997</v>
      </c>
      <c r="AD180" s="6">
        <f>$O$180*$X$180</f>
        <v>10255.215680000001</v>
      </c>
      <c r="AE180" s="6">
        <f>$K$180*$Y$180</f>
        <v>0</v>
      </c>
      <c r="AF180" s="6">
        <f ca="1">$M$180*$Z$180</f>
        <v>36288.957705356435</v>
      </c>
      <c r="AG180" s="6">
        <f>$O$180*$AA$180</f>
        <v>9480.2637313295072</v>
      </c>
    </row>
    <row r="181" spans="1:33" ht="11.25" customHeight="1" x14ac:dyDescent="0.3">
      <c r="A181" s="4" t="s">
        <v>28</v>
      </c>
      <c r="B181" s="4" t="s">
        <v>39</v>
      </c>
      <c r="C181" s="4" t="s">
        <v>40</v>
      </c>
      <c r="D181" s="4" t="s">
        <v>41</v>
      </c>
      <c r="E181" s="4" t="s">
        <v>25</v>
      </c>
      <c r="F181" s="4" t="s">
        <v>25</v>
      </c>
      <c r="G181" s="4" t="s">
        <v>25</v>
      </c>
      <c r="H181" s="4" t="s">
        <v>34</v>
      </c>
      <c r="I181" s="5">
        <v>44501</v>
      </c>
      <c r="J181" s="6">
        <v>0</v>
      </c>
      <c r="K181" s="6">
        <v>0</v>
      </c>
      <c r="L181" s="6">
        <v>7.835</v>
      </c>
      <c r="M181" s="6">
        <v>7.835</v>
      </c>
      <c r="N181" s="6">
        <v>7.835</v>
      </c>
      <c r="O181" s="6">
        <v>7.835</v>
      </c>
      <c r="P181" s="6">
        <v>0</v>
      </c>
      <c r="Q181" s="4" t="s">
        <v>26</v>
      </c>
      <c r="R181" s="4">
        <v>0</v>
      </c>
      <c r="S181" s="6">
        <v>0</v>
      </c>
      <c r="T181" s="6">
        <v>15</v>
      </c>
      <c r="U181" s="6">
        <v>65</v>
      </c>
      <c r="V181" s="6">
        <f>IF(ISERROR(VLOOKUP($S$181,'TAR FIN'!$A$1:$O$103,15,0)),0,VLOOKUP($S$181,'TAR FIN'!$A$1:$O$103,15,0))</f>
        <v>0</v>
      </c>
      <c r="W181" s="6">
        <f>IF(ISERROR(VLOOKUP($T$181,'TAR FIN'!$A$1:$O$103,15,0)),0,VLOOKUP($T$181,'TAR FIN'!$A$1:$O$103,15,0))</f>
        <v>1195.82</v>
      </c>
      <c r="X181" s="6">
        <f>IF(ISERROR(VLOOKUP($U$181,'TAR FIN'!$A$1:$O$103,15,0)),0,VLOOKUP($U$181,'TAR FIN'!$A$1:$O$103,15,0))</f>
        <v>391.54</v>
      </c>
      <c r="Y181" s="6"/>
      <c r="Z181" s="6">
        <f ca="1">('TUSD BE'!$AM$23+'TUSD BF'!$AM$23+'TUSD CVA'!$AM$23)*1</f>
        <v>1385.4977743340116</v>
      </c>
      <c r="AA181" s="6">
        <f>('TE BE'!$AB$8+'TE BF'!$AB$8+'TE CVA'!$AB$8)*1</f>
        <v>361.95264704220779</v>
      </c>
      <c r="AB181" s="6">
        <f>$K$181*$V$181</f>
        <v>0</v>
      </c>
      <c r="AC181" s="6">
        <f>$M$181*$W$181</f>
        <v>9369.2497000000003</v>
      </c>
      <c r="AD181" s="6">
        <f>$O$181*$X$181</f>
        <v>3067.7159000000001</v>
      </c>
      <c r="AE181" s="6">
        <f>$K$181*$Y$181</f>
        <v>0</v>
      </c>
      <c r="AF181" s="6">
        <f ca="1">$M$181*$Z$181</f>
        <v>10855.375061906982</v>
      </c>
      <c r="AG181" s="6">
        <f>$O$181*$AA$181</f>
        <v>2835.8989895756981</v>
      </c>
    </row>
    <row r="182" spans="1:33" ht="11.25" customHeight="1" x14ac:dyDescent="0.3">
      <c r="A182" s="4" t="s">
        <v>21</v>
      </c>
      <c r="B182" s="4" t="s">
        <v>39</v>
      </c>
      <c r="C182" s="4" t="s">
        <v>40</v>
      </c>
      <c r="D182" s="4" t="s">
        <v>41</v>
      </c>
      <c r="E182" s="4" t="s">
        <v>25</v>
      </c>
      <c r="F182" s="4" t="s">
        <v>25</v>
      </c>
      <c r="G182" s="4" t="s">
        <v>25</v>
      </c>
      <c r="H182" s="4" t="s">
        <v>34</v>
      </c>
      <c r="I182" s="5">
        <v>44531</v>
      </c>
      <c r="J182" s="6">
        <v>0</v>
      </c>
      <c r="K182" s="6">
        <v>0</v>
      </c>
      <c r="L182" s="6">
        <v>25.745999999999999</v>
      </c>
      <c r="M182" s="6">
        <v>25.745999999999999</v>
      </c>
      <c r="N182" s="6">
        <v>25.745999999999999</v>
      </c>
      <c r="O182" s="6">
        <v>25.745999999999999</v>
      </c>
      <c r="P182" s="6">
        <v>0</v>
      </c>
      <c r="Q182" s="4" t="s">
        <v>26</v>
      </c>
      <c r="R182" s="4">
        <v>0</v>
      </c>
      <c r="S182" s="6">
        <v>0</v>
      </c>
      <c r="T182" s="6">
        <v>15</v>
      </c>
      <c r="U182" s="6">
        <v>65</v>
      </c>
      <c r="V182" s="6">
        <f>IF(ISERROR(VLOOKUP($S$182,'TAR FIN'!$A$1:$O$103,15,0)),0,VLOOKUP($S$182,'TAR FIN'!$A$1:$O$103,15,0))</f>
        <v>0</v>
      </c>
      <c r="W182" s="6">
        <f>IF(ISERROR(VLOOKUP($T$182,'TAR FIN'!$A$1:$O$103,15,0)),0,VLOOKUP($T$182,'TAR FIN'!$A$1:$O$103,15,0))</f>
        <v>1195.82</v>
      </c>
      <c r="X182" s="6">
        <f>IF(ISERROR(VLOOKUP($U$182,'TAR FIN'!$A$1:$O$103,15,0)),0,VLOOKUP($U$182,'TAR FIN'!$A$1:$O$103,15,0))</f>
        <v>391.54</v>
      </c>
      <c r="Y182" s="6"/>
      <c r="Z182" s="6">
        <f ca="1">('TUSD BE'!$AM$23+'TUSD BF'!$AM$23+'TUSD CVA'!$AM$23)*1</f>
        <v>1385.4977743340116</v>
      </c>
      <c r="AA182" s="6">
        <f>('TE BE'!$AB$8+'TE BF'!$AB$8+'TE CVA'!$AB$8)*1</f>
        <v>361.95264704220779</v>
      </c>
      <c r="AB182" s="6">
        <f>$K$182*$V$182</f>
        <v>0</v>
      </c>
      <c r="AC182" s="6">
        <f>$M$182*$W$182</f>
        <v>30787.581719999998</v>
      </c>
      <c r="AD182" s="6">
        <f>$O$182*$X$182</f>
        <v>10080.58884</v>
      </c>
      <c r="AE182" s="6">
        <f>$K$182*$Y$182</f>
        <v>0</v>
      </c>
      <c r="AF182" s="6">
        <f ca="1">$M$182*$Z$182</f>
        <v>35671.025698003461</v>
      </c>
      <c r="AG182" s="6">
        <f>$O$182*$AA$182</f>
        <v>9318.8328507486804</v>
      </c>
    </row>
    <row r="183" spans="1:33" ht="11.25" customHeight="1" x14ac:dyDescent="0.3">
      <c r="A183" s="4" t="s">
        <v>28</v>
      </c>
      <c r="B183" s="4" t="s">
        <v>39</v>
      </c>
      <c r="C183" s="4" t="s">
        <v>40</v>
      </c>
      <c r="D183" s="4" t="s">
        <v>41</v>
      </c>
      <c r="E183" s="4" t="s">
        <v>25</v>
      </c>
      <c r="F183" s="4" t="s">
        <v>25</v>
      </c>
      <c r="G183" s="4" t="s">
        <v>25</v>
      </c>
      <c r="H183" s="4" t="s">
        <v>34</v>
      </c>
      <c r="I183" s="5">
        <v>44531</v>
      </c>
      <c r="J183" s="6">
        <v>0</v>
      </c>
      <c r="K183" s="6">
        <v>0</v>
      </c>
      <c r="L183" s="6">
        <v>7.01</v>
      </c>
      <c r="M183" s="6">
        <v>7.01</v>
      </c>
      <c r="N183" s="6">
        <v>7.01</v>
      </c>
      <c r="O183" s="6">
        <v>7.01</v>
      </c>
      <c r="P183" s="6">
        <v>0</v>
      </c>
      <c r="Q183" s="4" t="s">
        <v>26</v>
      </c>
      <c r="R183" s="4">
        <v>0</v>
      </c>
      <c r="S183" s="6">
        <v>0</v>
      </c>
      <c r="T183" s="6">
        <v>15</v>
      </c>
      <c r="U183" s="6">
        <v>65</v>
      </c>
      <c r="V183" s="6">
        <f>IF(ISERROR(VLOOKUP($S$183,'TAR FIN'!$A$1:$O$103,15,0)),0,VLOOKUP($S$183,'TAR FIN'!$A$1:$O$103,15,0))</f>
        <v>0</v>
      </c>
      <c r="W183" s="6">
        <f>IF(ISERROR(VLOOKUP($T$183,'TAR FIN'!$A$1:$O$103,15,0)),0,VLOOKUP($T$183,'TAR FIN'!$A$1:$O$103,15,0))</f>
        <v>1195.82</v>
      </c>
      <c r="X183" s="6">
        <f>IF(ISERROR(VLOOKUP($U$183,'TAR FIN'!$A$1:$O$103,15,0)),0,VLOOKUP($U$183,'TAR FIN'!$A$1:$O$103,15,0))</f>
        <v>391.54</v>
      </c>
      <c r="Y183" s="6"/>
      <c r="Z183" s="6">
        <f ca="1">('TUSD BE'!$AM$23+'TUSD BF'!$AM$23+'TUSD CVA'!$AM$23)*1</f>
        <v>1385.4977743340116</v>
      </c>
      <c r="AA183" s="6">
        <f>('TE BE'!$AB$8+'TE BF'!$AB$8+'TE CVA'!$AB$8)*1</f>
        <v>361.95264704220779</v>
      </c>
      <c r="AB183" s="6">
        <f>$K$183*$V$183</f>
        <v>0</v>
      </c>
      <c r="AC183" s="6">
        <f>$M$183*$W$183</f>
        <v>8382.6981999999989</v>
      </c>
      <c r="AD183" s="6">
        <f>$O$183*$X$183</f>
        <v>2744.6954000000001</v>
      </c>
      <c r="AE183" s="6">
        <f>$K$183*$Y$183</f>
        <v>0</v>
      </c>
      <c r="AF183" s="6">
        <f ca="1">$M$183*$Z$183</f>
        <v>9712.3393980814217</v>
      </c>
      <c r="AG183" s="6">
        <f>$O$183*$AA$183</f>
        <v>2537.2880557658764</v>
      </c>
    </row>
    <row r="184" spans="1:33" ht="11.25" customHeight="1" x14ac:dyDescent="0.3">
      <c r="A184" s="4" t="s">
        <v>21</v>
      </c>
      <c r="B184" s="4" t="s">
        <v>39</v>
      </c>
      <c r="C184" s="4" t="s">
        <v>40</v>
      </c>
      <c r="D184" s="4" t="s">
        <v>41</v>
      </c>
      <c r="E184" s="4" t="s">
        <v>25</v>
      </c>
      <c r="F184" s="4" t="s">
        <v>25</v>
      </c>
      <c r="G184" s="4" t="s">
        <v>25</v>
      </c>
      <c r="H184" s="4" t="s">
        <v>34</v>
      </c>
      <c r="I184" s="5">
        <v>44562</v>
      </c>
      <c r="J184" s="6">
        <v>0</v>
      </c>
      <c r="K184" s="6">
        <v>0</v>
      </c>
      <c r="L184" s="6">
        <v>21.728000000000002</v>
      </c>
      <c r="M184" s="6">
        <v>21.728000000000002</v>
      </c>
      <c r="N184" s="6">
        <v>21.728000000000002</v>
      </c>
      <c r="O184" s="6">
        <v>21.728000000000002</v>
      </c>
      <c r="P184" s="6">
        <v>0</v>
      </c>
      <c r="Q184" s="4" t="s">
        <v>26</v>
      </c>
      <c r="R184" s="4">
        <v>0</v>
      </c>
      <c r="S184" s="6">
        <v>0</v>
      </c>
      <c r="T184" s="6">
        <v>15</v>
      </c>
      <c r="U184" s="6">
        <v>65</v>
      </c>
      <c r="V184" s="6">
        <f>IF(ISERROR(VLOOKUP($S$184,'TAR FIN'!$A$1:$O$103,15,0)),0,VLOOKUP($S$184,'TAR FIN'!$A$1:$O$103,15,0))</f>
        <v>0</v>
      </c>
      <c r="W184" s="6">
        <f>IF(ISERROR(VLOOKUP($T$184,'TAR FIN'!$A$1:$O$103,15,0)),0,VLOOKUP($T$184,'TAR FIN'!$A$1:$O$103,15,0))</f>
        <v>1195.82</v>
      </c>
      <c r="X184" s="6">
        <f>IF(ISERROR(VLOOKUP($U$184,'TAR FIN'!$A$1:$O$103,15,0)),0,VLOOKUP($U$184,'TAR FIN'!$A$1:$O$103,15,0))</f>
        <v>391.54</v>
      </c>
      <c r="Y184" s="6"/>
      <c r="Z184" s="6">
        <f ca="1">('TUSD BE'!$AM$23+'TUSD BF'!$AM$23+'TUSD CVA'!$AM$23)*1</f>
        <v>1385.4977743340116</v>
      </c>
      <c r="AA184" s="6">
        <f>('TE BE'!$AB$8+'TE BF'!$AB$8+'TE CVA'!$AB$8)*1</f>
        <v>361.95264704220779</v>
      </c>
      <c r="AB184" s="6">
        <f>$K$184*$V$184</f>
        <v>0</v>
      </c>
      <c r="AC184" s="6">
        <f>$M$184*$W$184</f>
        <v>25982.776959999999</v>
      </c>
      <c r="AD184" s="6">
        <f>$O$184*$X$184</f>
        <v>8507.3811200000018</v>
      </c>
      <c r="AE184" s="6">
        <f>$K$184*$Y$184</f>
        <v>0</v>
      </c>
      <c r="AF184" s="6">
        <f ca="1">$M$184*$Z$184</f>
        <v>30104.095640729407</v>
      </c>
      <c r="AG184" s="6">
        <f>$O$184*$AA$184</f>
        <v>7864.5071149330915</v>
      </c>
    </row>
    <row r="185" spans="1:33" ht="11.25" customHeight="1" x14ac:dyDescent="0.3">
      <c r="A185" s="4" t="s">
        <v>28</v>
      </c>
      <c r="B185" s="4" t="s">
        <v>39</v>
      </c>
      <c r="C185" s="4" t="s">
        <v>40</v>
      </c>
      <c r="D185" s="4" t="s">
        <v>41</v>
      </c>
      <c r="E185" s="4" t="s">
        <v>25</v>
      </c>
      <c r="F185" s="4" t="s">
        <v>25</v>
      </c>
      <c r="G185" s="4" t="s">
        <v>25</v>
      </c>
      <c r="H185" s="4" t="s">
        <v>34</v>
      </c>
      <c r="I185" s="5">
        <v>44562</v>
      </c>
      <c r="J185" s="6">
        <v>0</v>
      </c>
      <c r="K185" s="6">
        <v>0</v>
      </c>
      <c r="L185" s="6">
        <v>7.5380000000000003</v>
      </c>
      <c r="M185" s="6">
        <v>7.5380000000000003</v>
      </c>
      <c r="N185" s="6">
        <v>7.5380000000000003</v>
      </c>
      <c r="O185" s="6">
        <v>7.5380000000000003</v>
      </c>
      <c r="P185" s="6">
        <v>0</v>
      </c>
      <c r="Q185" s="4" t="s">
        <v>26</v>
      </c>
      <c r="R185" s="4">
        <v>0</v>
      </c>
      <c r="S185" s="6">
        <v>0</v>
      </c>
      <c r="T185" s="6">
        <v>15</v>
      </c>
      <c r="U185" s="6">
        <v>65</v>
      </c>
      <c r="V185" s="6">
        <f>IF(ISERROR(VLOOKUP($S$185,'TAR FIN'!$A$1:$O$103,15,0)),0,VLOOKUP($S$185,'TAR FIN'!$A$1:$O$103,15,0))</f>
        <v>0</v>
      </c>
      <c r="W185" s="6">
        <f>IF(ISERROR(VLOOKUP($T$185,'TAR FIN'!$A$1:$O$103,15,0)),0,VLOOKUP($T$185,'TAR FIN'!$A$1:$O$103,15,0))</f>
        <v>1195.82</v>
      </c>
      <c r="X185" s="6">
        <f>IF(ISERROR(VLOOKUP($U$185,'TAR FIN'!$A$1:$O$103,15,0)),0,VLOOKUP($U$185,'TAR FIN'!$A$1:$O$103,15,0))</f>
        <v>391.54</v>
      </c>
      <c r="Y185" s="6"/>
      <c r="Z185" s="6">
        <f ca="1">('TUSD BE'!$AM$23+'TUSD BF'!$AM$23+'TUSD CVA'!$AM$23)*1</f>
        <v>1385.4977743340116</v>
      </c>
      <c r="AA185" s="6">
        <f>('TE BE'!$AB$8+'TE BF'!$AB$8+'TE CVA'!$AB$8)*1</f>
        <v>361.95264704220779</v>
      </c>
      <c r="AB185" s="6">
        <f>$K$185*$V$185</f>
        <v>0</v>
      </c>
      <c r="AC185" s="6">
        <f>$M$185*$W$185</f>
        <v>9014.0911599999999</v>
      </c>
      <c r="AD185" s="6">
        <f>$O$185*$X$185</f>
        <v>2951.4285200000004</v>
      </c>
      <c r="AE185" s="6">
        <f>$K$185*$Y$185</f>
        <v>0</v>
      </c>
      <c r="AF185" s="6">
        <f ca="1">$M$185*$Z$185</f>
        <v>10443.88222292978</v>
      </c>
      <c r="AG185" s="6">
        <f>$O$185*$AA$185</f>
        <v>2728.3990534041623</v>
      </c>
    </row>
    <row r="186" spans="1:33" ht="11.25" customHeight="1" x14ac:dyDescent="0.3">
      <c r="A186" s="4" t="s">
        <v>21</v>
      </c>
      <c r="B186" s="4" t="s">
        <v>39</v>
      </c>
      <c r="C186" s="4" t="s">
        <v>40</v>
      </c>
      <c r="D186" s="4" t="s">
        <v>41</v>
      </c>
      <c r="E186" s="4" t="s">
        <v>25</v>
      </c>
      <c r="F186" s="4" t="s">
        <v>25</v>
      </c>
      <c r="G186" s="4" t="s">
        <v>25</v>
      </c>
      <c r="H186" s="4" t="s">
        <v>34</v>
      </c>
      <c r="I186" s="5">
        <v>44593</v>
      </c>
      <c r="J186" s="6">
        <v>0</v>
      </c>
      <c r="K186" s="6">
        <v>0</v>
      </c>
      <c r="L186" s="6">
        <v>26.103999999999999</v>
      </c>
      <c r="M186" s="6">
        <v>26.103999999999999</v>
      </c>
      <c r="N186" s="6">
        <v>26.103999999999999</v>
      </c>
      <c r="O186" s="6">
        <v>26.103999999999999</v>
      </c>
      <c r="P186" s="6">
        <v>0</v>
      </c>
      <c r="Q186" s="4" t="s">
        <v>26</v>
      </c>
      <c r="R186" s="4">
        <v>0</v>
      </c>
      <c r="S186" s="6">
        <v>0</v>
      </c>
      <c r="T186" s="6">
        <v>15</v>
      </c>
      <c r="U186" s="6">
        <v>65</v>
      </c>
      <c r="V186" s="6">
        <f>IF(ISERROR(VLOOKUP($S$186,'TAR FIN'!$A$1:$O$103,15,0)),0,VLOOKUP($S$186,'TAR FIN'!$A$1:$O$103,15,0))</f>
        <v>0</v>
      </c>
      <c r="W186" s="6">
        <f>IF(ISERROR(VLOOKUP($T$186,'TAR FIN'!$A$1:$O$103,15,0)),0,VLOOKUP($T$186,'TAR FIN'!$A$1:$O$103,15,0))</f>
        <v>1195.82</v>
      </c>
      <c r="X186" s="6">
        <f>IF(ISERROR(VLOOKUP($U$186,'TAR FIN'!$A$1:$O$103,15,0)),0,VLOOKUP($U$186,'TAR FIN'!$A$1:$O$103,15,0))</f>
        <v>391.54</v>
      </c>
      <c r="Y186" s="6"/>
      <c r="Z186" s="6">
        <f ca="1">('TUSD BE'!$AM$23+'TUSD BF'!$AM$23+'TUSD CVA'!$AM$23)*1</f>
        <v>1385.4977743340116</v>
      </c>
      <c r="AA186" s="6">
        <f>('TE BE'!$AB$8+'TE BF'!$AB$8+'TE CVA'!$AB$8)*1</f>
        <v>361.95264704220779</v>
      </c>
      <c r="AB186" s="6">
        <f>$K$186*$V$186</f>
        <v>0</v>
      </c>
      <c r="AC186" s="6">
        <f>$M$186*$W$186</f>
        <v>31215.685279999998</v>
      </c>
      <c r="AD186" s="6">
        <f>$O$186*$X$186</f>
        <v>10220.76016</v>
      </c>
      <c r="AE186" s="6">
        <f>$K$186*$Y$186</f>
        <v>0</v>
      </c>
      <c r="AF186" s="6">
        <f ca="1">$M$186*$Z$186</f>
        <v>36167.033901215036</v>
      </c>
      <c r="AG186" s="6">
        <f>$O$186*$AA$186</f>
        <v>9448.4118983897915</v>
      </c>
    </row>
    <row r="187" spans="1:33" ht="11.25" customHeight="1" x14ac:dyDescent="0.3">
      <c r="A187" s="4" t="s">
        <v>28</v>
      </c>
      <c r="B187" s="4" t="s">
        <v>39</v>
      </c>
      <c r="C187" s="4" t="s">
        <v>40</v>
      </c>
      <c r="D187" s="4" t="s">
        <v>41</v>
      </c>
      <c r="E187" s="4" t="s">
        <v>25</v>
      </c>
      <c r="F187" s="4" t="s">
        <v>25</v>
      </c>
      <c r="G187" s="4" t="s">
        <v>25</v>
      </c>
      <c r="H187" s="4" t="s">
        <v>34</v>
      </c>
      <c r="I187" s="5">
        <v>44593</v>
      </c>
      <c r="J187" s="6">
        <v>0</v>
      </c>
      <c r="K187" s="6">
        <v>0</v>
      </c>
      <c r="L187" s="6">
        <v>6.7990000000000004</v>
      </c>
      <c r="M187" s="6">
        <v>6.7990000000000004</v>
      </c>
      <c r="N187" s="6">
        <v>6.7990000000000004</v>
      </c>
      <c r="O187" s="6">
        <v>6.7990000000000004</v>
      </c>
      <c r="P187" s="6">
        <v>0</v>
      </c>
      <c r="Q187" s="4" t="s">
        <v>26</v>
      </c>
      <c r="R187" s="4">
        <v>0</v>
      </c>
      <c r="S187" s="6">
        <v>0</v>
      </c>
      <c r="T187" s="6">
        <v>15</v>
      </c>
      <c r="U187" s="6">
        <v>65</v>
      </c>
      <c r="V187" s="6">
        <f>IF(ISERROR(VLOOKUP($S$187,'TAR FIN'!$A$1:$O$103,15,0)),0,VLOOKUP($S$187,'TAR FIN'!$A$1:$O$103,15,0))</f>
        <v>0</v>
      </c>
      <c r="W187" s="6">
        <f>IF(ISERROR(VLOOKUP($T$187,'TAR FIN'!$A$1:$O$103,15,0)),0,VLOOKUP($T$187,'TAR FIN'!$A$1:$O$103,15,0))</f>
        <v>1195.82</v>
      </c>
      <c r="X187" s="6">
        <f>IF(ISERROR(VLOOKUP($U$187,'TAR FIN'!$A$1:$O$103,15,0)),0,VLOOKUP($U$187,'TAR FIN'!$A$1:$O$103,15,0))</f>
        <v>391.54</v>
      </c>
      <c r="Y187" s="6"/>
      <c r="Z187" s="6">
        <f ca="1">('TUSD BE'!$AM$23+'TUSD BF'!$AM$23+'TUSD CVA'!$AM$23)*1</f>
        <v>1385.4977743340116</v>
      </c>
      <c r="AA187" s="6">
        <f>('TE BE'!$AB$8+'TE BF'!$AB$8+'TE CVA'!$AB$8)*1</f>
        <v>361.95264704220779</v>
      </c>
      <c r="AB187" s="6">
        <f>$K$187*$V$187</f>
        <v>0</v>
      </c>
      <c r="AC187" s="6">
        <f>$M$187*$W$187</f>
        <v>8130.3801800000001</v>
      </c>
      <c r="AD187" s="6">
        <f>$O$187*$X$187</f>
        <v>2662.0804600000001</v>
      </c>
      <c r="AE187" s="6">
        <f>$K$187*$Y$187</f>
        <v>0</v>
      </c>
      <c r="AF187" s="6">
        <f ca="1">$M$187*$Z$187</f>
        <v>9419.9993676969461</v>
      </c>
      <c r="AG187" s="6">
        <f>$O$187*$AA$187</f>
        <v>2460.9160472399708</v>
      </c>
    </row>
    <row r="188" spans="1:33" ht="11.25" customHeight="1" x14ac:dyDescent="0.3">
      <c r="A188" s="4" t="s">
        <v>21</v>
      </c>
      <c r="B188" s="4" t="s">
        <v>39</v>
      </c>
      <c r="C188" s="4" t="s">
        <v>40</v>
      </c>
      <c r="D188" s="4" t="s">
        <v>41</v>
      </c>
      <c r="E188" s="4" t="s">
        <v>25</v>
      </c>
      <c r="F188" s="4" t="s">
        <v>25</v>
      </c>
      <c r="G188" s="4" t="s">
        <v>25</v>
      </c>
      <c r="H188" s="4" t="s">
        <v>34</v>
      </c>
      <c r="I188" s="5">
        <v>44621</v>
      </c>
      <c r="J188" s="6">
        <v>0</v>
      </c>
      <c r="K188" s="6">
        <v>0</v>
      </c>
      <c r="L188" s="6">
        <v>35.015000000000001</v>
      </c>
      <c r="M188" s="6">
        <v>35.015000000000001</v>
      </c>
      <c r="N188" s="6">
        <v>35.015000000000001</v>
      </c>
      <c r="O188" s="6">
        <v>35.015000000000001</v>
      </c>
      <c r="P188" s="6">
        <v>0</v>
      </c>
      <c r="Q188" s="4" t="s">
        <v>26</v>
      </c>
      <c r="R188" s="4">
        <v>0</v>
      </c>
      <c r="S188" s="6">
        <v>0</v>
      </c>
      <c r="T188" s="6">
        <v>15</v>
      </c>
      <c r="U188" s="6">
        <v>65</v>
      </c>
      <c r="V188" s="6">
        <f>IF(ISERROR(VLOOKUP($S$188,'TAR FIN'!$A$1:$O$103,15,0)),0,VLOOKUP($S$188,'TAR FIN'!$A$1:$O$103,15,0))</f>
        <v>0</v>
      </c>
      <c r="W188" s="6">
        <f>IF(ISERROR(VLOOKUP($T$188,'TAR FIN'!$A$1:$O$103,15,0)),0,VLOOKUP($T$188,'TAR FIN'!$A$1:$O$103,15,0))</f>
        <v>1195.82</v>
      </c>
      <c r="X188" s="6">
        <f>IF(ISERROR(VLOOKUP($U$188,'TAR FIN'!$A$1:$O$103,15,0)),0,VLOOKUP($U$188,'TAR FIN'!$A$1:$O$103,15,0))</f>
        <v>391.54</v>
      </c>
      <c r="Y188" s="6"/>
      <c r="Z188" s="6">
        <f ca="1">('TUSD BE'!$AM$23+'TUSD BF'!$AM$23+'TUSD CVA'!$AM$23)*1</f>
        <v>1385.4977743340116</v>
      </c>
      <c r="AA188" s="6">
        <f>('TE BE'!$AB$8+'TE BF'!$AB$8+'TE CVA'!$AB$8)*1</f>
        <v>361.95264704220779</v>
      </c>
      <c r="AB188" s="6">
        <f>$K$188*$V$188</f>
        <v>0</v>
      </c>
      <c r="AC188" s="6">
        <f>$M$188*$W$188</f>
        <v>41871.637299999995</v>
      </c>
      <c r="AD188" s="6">
        <f>$O$188*$X$188</f>
        <v>13709.7731</v>
      </c>
      <c r="AE188" s="6">
        <f>$K$188*$Y$188</f>
        <v>0</v>
      </c>
      <c r="AF188" s="6">
        <f ca="1">$M$188*$Z$188</f>
        <v>48513.204568305417</v>
      </c>
      <c r="AG188" s="6">
        <f>$O$188*$AA$188</f>
        <v>12673.771936182906</v>
      </c>
    </row>
    <row r="189" spans="1:33" ht="11.25" customHeight="1" x14ac:dyDescent="0.3">
      <c r="A189" s="4" t="s">
        <v>28</v>
      </c>
      <c r="B189" s="4" t="s">
        <v>39</v>
      </c>
      <c r="C189" s="4" t="s">
        <v>40</v>
      </c>
      <c r="D189" s="4" t="s">
        <v>41</v>
      </c>
      <c r="E189" s="4" t="s">
        <v>25</v>
      </c>
      <c r="F189" s="4" t="s">
        <v>25</v>
      </c>
      <c r="G189" s="4" t="s">
        <v>25</v>
      </c>
      <c r="H189" s="4" t="s">
        <v>34</v>
      </c>
      <c r="I189" s="5">
        <v>44621</v>
      </c>
      <c r="J189" s="6">
        <v>0</v>
      </c>
      <c r="K189" s="6">
        <v>0</v>
      </c>
      <c r="L189" s="6">
        <v>10.304</v>
      </c>
      <c r="M189" s="6">
        <v>10.304</v>
      </c>
      <c r="N189" s="6">
        <v>10.304</v>
      </c>
      <c r="O189" s="6">
        <v>10.304</v>
      </c>
      <c r="P189" s="6">
        <v>0</v>
      </c>
      <c r="Q189" s="4" t="s">
        <v>26</v>
      </c>
      <c r="R189" s="4">
        <v>0</v>
      </c>
      <c r="S189" s="6">
        <v>0</v>
      </c>
      <c r="T189" s="6">
        <v>15</v>
      </c>
      <c r="U189" s="6">
        <v>65</v>
      </c>
      <c r="V189" s="6">
        <f>IF(ISERROR(VLOOKUP($S$189,'TAR FIN'!$A$1:$O$103,15,0)),0,VLOOKUP($S$189,'TAR FIN'!$A$1:$O$103,15,0))</f>
        <v>0</v>
      </c>
      <c r="W189" s="6">
        <f>IF(ISERROR(VLOOKUP($T$189,'TAR FIN'!$A$1:$O$103,15,0)),0,VLOOKUP($T$189,'TAR FIN'!$A$1:$O$103,15,0))</f>
        <v>1195.82</v>
      </c>
      <c r="X189" s="6">
        <f>IF(ISERROR(VLOOKUP($U$189,'TAR FIN'!$A$1:$O$103,15,0)),0,VLOOKUP($U$189,'TAR FIN'!$A$1:$O$103,15,0))</f>
        <v>391.54</v>
      </c>
      <c r="Y189" s="6"/>
      <c r="Z189" s="6">
        <f ca="1">('TUSD BE'!$AM$23+'TUSD BF'!$AM$23+'TUSD CVA'!$AM$23)*1</f>
        <v>1385.4977743340116</v>
      </c>
      <c r="AA189" s="6">
        <f>('TE BE'!$AB$8+'TE BF'!$AB$8+'TE CVA'!$AB$8)*1</f>
        <v>361.95264704220779</v>
      </c>
      <c r="AB189" s="6">
        <f>$K$189*$V$189</f>
        <v>0</v>
      </c>
      <c r="AC189" s="6">
        <f>$M$189*$W$189</f>
        <v>12321.72928</v>
      </c>
      <c r="AD189" s="6">
        <f>$O$189*$X$189</f>
        <v>4034.4281600000004</v>
      </c>
      <c r="AE189" s="6">
        <f>$K$189*$Y$189</f>
        <v>0</v>
      </c>
      <c r="AF189" s="6">
        <f ca="1">$M$189*$Z$189</f>
        <v>14276.169066737657</v>
      </c>
      <c r="AG189" s="6">
        <f>$O$189*$AA$189</f>
        <v>3729.560075122909</v>
      </c>
    </row>
    <row r="190" spans="1:33" ht="11.25" customHeight="1" x14ac:dyDescent="0.3">
      <c r="A190" s="4" t="s">
        <v>21</v>
      </c>
      <c r="B190" s="4" t="s">
        <v>39</v>
      </c>
      <c r="C190" s="4" t="s">
        <v>40</v>
      </c>
      <c r="D190" s="4" t="s">
        <v>41</v>
      </c>
      <c r="E190" s="4" t="s">
        <v>25</v>
      </c>
      <c r="F190" s="4" t="s">
        <v>25</v>
      </c>
      <c r="G190" s="4" t="s">
        <v>25</v>
      </c>
      <c r="H190" s="4" t="s">
        <v>34</v>
      </c>
      <c r="I190" s="5">
        <v>44652</v>
      </c>
      <c r="J190" s="6">
        <v>0</v>
      </c>
      <c r="K190" s="6">
        <v>0</v>
      </c>
      <c r="L190" s="6">
        <v>30.991</v>
      </c>
      <c r="M190" s="6">
        <v>30.991</v>
      </c>
      <c r="N190" s="6">
        <v>30.991</v>
      </c>
      <c r="O190" s="6">
        <v>30.991</v>
      </c>
      <c r="P190" s="6">
        <v>0</v>
      </c>
      <c r="Q190" s="4" t="s">
        <v>26</v>
      </c>
      <c r="R190" s="4">
        <v>0</v>
      </c>
      <c r="S190" s="6">
        <v>0</v>
      </c>
      <c r="T190" s="6">
        <v>15</v>
      </c>
      <c r="U190" s="6">
        <v>65</v>
      </c>
      <c r="V190" s="6">
        <f>IF(ISERROR(VLOOKUP($S$190,'TAR FIN'!$A$1:$O$103,15,0)),0,VLOOKUP($S$190,'TAR FIN'!$A$1:$O$103,15,0))</f>
        <v>0</v>
      </c>
      <c r="W190" s="6">
        <f>IF(ISERROR(VLOOKUP($T$190,'TAR FIN'!$A$1:$O$103,15,0)),0,VLOOKUP($T$190,'TAR FIN'!$A$1:$O$103,15,0))</f>
        <v>1195.82</v>
      </c>
      <c r="X190" s="6">
        <f>IF(ISERROR(VLOOKUP($U$190,'TAR FIN'!$A$1:$O$103,15,0)),0,VLOOKUP($U$190,'TAR FIN'!$A$1:$O$103,15,0))</f>
        <v>391.54</v>
      </c>
      <c r="Y190" s="6"/>
      <c r="Z190" s="6">
        <f ca="1">('TUSD BE'!$AM$23+'TUSD BF'!$AM$23+'TUSD CVA'!$AM$23)*1</f>
        <v>1385.4977743340116</v>
      </c>
      <c r="AA190" s="6">
        <f>('TE BE'!$AB$8+'TE BF'!$AB$8+'TE CVA'!$AB$8)*1</f>
        <v>361.95264704220779</v>
      </c>
      <c r="AB190" s="6">
        <f>$K$190*$V$190</f>
        <v>0</v>
      </c>
      <c r="AC190" s="6">
        <f>$M$190*$W$190</f>
        <v>37059.657619999998</v>
      </c>
      <c r="AD190" s="6">
        <f>$O$190*$X$190</f>
        <v>12134.21614</v>
      </c>
      <c r="AE190" s="6">
        <f>$K$190*$Y$190</f>
        <v>0</v>
      </c>
      <c r="AF190" s="6">
        <f ca="1">$M$190*$Z$190</f>
        <v>42937.961524385355</v>
      </c>
      <c r="AG190" s="6">
        <f>$O$190*$AA$190</f>
        <v>11217.274484485062</v>
      </c>
    </row>
    <row r="191" spans="1:33" ht="11.25" customHeight="1" x14ac:dyDescent="0.3">
      <c r="A191" s="4" t="s">
        <v>28</v>
      </c>
      <c r="B191" s="4" t="s">
        <v>39</v>
      </c>
      <c r="C191" s="4" t="s">
        <v>40</v>
      </c>
      <c r="D191" s="4" t="s">
        <v>41</v>
      </c>
      <c r="E191" s="4" t="s">
        <v>25</v>
      </c>
      <c r="F191" s="4" t="s">
        <v>25</v>
      </c>
      <c r="G191" s="4" t="s">
        <v>25</v>
      </c>
      <c r="H191" s="4" t="s">
        <v>34</v>
      </c>
      <c r="I191" s="5">
        <v>44652</v>
      </c>
      <c r="J191" s="6">
        <v>0</v>
      </c>
      <c r="K191" s="6">
        <v>0</v>
      </c>
      <c r="L191" s="6">
        <v>8.5730000000000004</v>
      </c>
      <c r="M191" s="6">
        <v>8.5730000000000004</v>
      </c>
      <c r="N191" s="6">
        <v>8.5730000000000004</v>
      </c>
      <c r="O191" s="6">
        <v>8.5730000000000004</v>
      </c>
      <c r="P191" s="6">
        <v>0</v>
      </c>
      <c r="Q191" s="4" t="s">
        <v>26</v>
      </c>
      <c r="R191" s="4">
        <v>0</v>
      </c>
      <c r="S191" s="6">
        <v>0</v>
      </c>
      <c r="T191" s="6">
        <v>15</v>
      </c>
      <c r="U191" s="6">
        <v>65</v>
      </c>
      <c r="V191" s="6">
        <f>IF(ISERROR(VLOOKUP($S$191,'TAR FIN'!$A$1:$O$103,15,0)),0,VLOOKUP($S$191,'TAR FIN'!$A$1:$O$103,15,0))</f>
        <v>0</v>
      </c>
      <c r="W191" s="6">
        <f>IF(ISERROR(VLOOKUP($T$191,'TAR FIN'!$A$1:$O$103,15,0)),0,VLOOKUP($T$191,'TAR FIN'!$A$1:$O$103,15,0))</f>
        <v>1195.82</v>
      </c>
      <c r="X191" s="6">
        <f>IF(ISERROR(VLOOKUP($U$191,'TAR FIN'!$A$1:$O$103,15,0)),0,VLOOKUP($U$191,'TAR FIN'!$A$1:$O$103,15,0))</f>
        <v>391.54</v>
      </c>
      <c r="Y191" s="6"/>
      <c r="Z191" s="6">
        <f ca="1">('TUSD BE'!$AM$23+'TUSD BF'!$AM$23+'TUSD CVA'!$AM$23)*1</f>
        <v>1385.4977743340116</v>
      </c>
      <c r="AA191" s="6">
        <f>('TE BE'!$AB$8+'TE BF'!$AB$8+'TE CVA'!$AB$8)*1</f>
        <v>361.95264704220779</v>
      </c>
      <c r="AB191" s="6">
        <f>$K$191*$V$191</f>
        <v>0</v>
      </c>
      <c r="AC191" s="6">
        <f>$M$191*$W$191</f>
        <v>10251.764859999999</v>
      </c>
      <c r="AD191" s="6">
        <f>$O$191*$X$191</f>
        <v>3356.6724200000003</v>
      </c>
      <c r="AE191" s="6">
        <f>$K$191*$Y$191</f>
        <v>0</v>
      </c>
      <c r="AF191" s="6">
        <f ca="1">$M$191*$Z$191</f>
        <v>11877.872419365482</v>
      </c>
      <c r="AG191" s="6">
        <f>$O$191*$AA$191</f>
        <v>3103.0200430928476</v>
      </c>
    </row>
    <row r="192" spans="1:33" ht="11.25" customHeight="1" x14ac:dyDescent="0.3">
      <c r="A192" s="4" t="s">
        <v>21</v>
      </c>
      <c r="B192" s="4" t="s">
        <v>39</v>
      </c>
      <c r="C192" s="4" t="s">
        <v>40</v>
      </c>
      <c r="D192" s="4" t="s">
        <v>41</v>
      </c>
      <c r="E192" s="4" t="s">
        <v>25</v>
      </c>
      <c r="F192" s="4" t="s">
        <v>25</v>
      </c>
      <c r="G192" s="4" t="s">
        <v>25</v>
      </c>
      <c r="H192" s="4" t="s">
        <v>34</v>
      </c>
      <c r="I192" s="5">
        <v>44682</v>
      </c>
      <c r="J192" s="6">
        <v>0</v>
      </c>
      <c r="K192" s="6">
        <v>0</v>
      </c>
      <c r="L192" s="6">
        <v>28.847999999999999</v>
      </c>
      <c r="M192" s="6">
        <v>28.847999999999999</v>
      </c>
      <c r="N192" s="6">
        <v>28.847999999999999</v>
      </c>
      <c r="O192" s="6">
        <v>28.847999999999999</v>
      </c>
      <c r="P192" s="6">
        <v>0</v>
      </c>
      <c r="Q192" s="4" t="s">
        <v>26</v>
      </c>
      <c r="R192" s="4">
        <v>0</v>
      </c>
      <c r="S192" s="6">
        <v>0</v>
      </c>
      <c r="T192" s="6">
        <v>15</v>
      </c>
      <c r="U192" s="6">
        <v>65</v>
      </c>
      <c r="V192" s="6">
        <f>IF(ISERROR(VLOOKUP($S$192,'TAR FIN'!$A$1:$O$103,15,0)),0,VLOOKUP($S$192,'TAR FIN'!$A$1:$O$103,15,0))</f>
        <v>0</v>
      </c>
      <c r="W192" s="6">
        <f>IF(ISERROR(VLOOKUP($T$192,'TAR FIN'!$A$1:$O$103,15,0)),0,VLOOKUP($T$192,'TAR FIN'!$A$1:$O$103,15,0))</f>
        <v>1195.82</v>
      </c>
      <c r="X192" s="6">
        <f>IF(ISERROR(VLOOKUP($U$192,'TAR FIN'!$A$1:$O$103,15,0)),0,VLOOKUP($U$192,'TAR FIN'!$A$1:$O$103,15,0))</f>
        <v>391.54</v>
      </c>
      <c r="Y192" s="6"/>
      <c r="Z192" s="6">
        <f ca="1">('TUSD BE'!$AM$23+'TUSD BF'!$AM$23+'TUSD CVA'!$AM$23)*1</f>
        <v>1385.4977743340116</v>
      </c>
      <c r="AA192" s="6">
        <f>('TE BE'!$AB$8+'TE BF'!$AB$8+'TE CVA'!$AB$8)*1</f>
        <v>361.95264704220779</v>
      </c>
      <c r="AB192" s="6">
        <f>$K$192*$V$192</f>
        <v>0</v>
      </c>
      <c r="AC192" s="6">
        <f>$M$192*$W$192</f>
        <v>34497.015359999998</v>
      </c>
      <c r="AD192" s="6">
        <f>$O$192*$X$192</f>
        <v>11295.145920000001</v>
      </c>
      <c r="AE192" s="6">
        <f>$K$192*$Y$192</f>
        <v>0</v>
      </c>
      <c r="AF192" s="6">
        <f ca="1">$M$192*$Z$192</f>
        <v>39968.839793987565</v>
      </c>
      <c r="AG192" s="6">
        <f>$O$192*$AA$192</f>
        <v>10441.60996187361</v>
      </c>
    </row>
    <row r="193" spans="1:33" ht="11.25" customHeight="1" x14ac:dyDescent="0.3">
      <c r="A193" s="4" t="s">
        <v>28</v>
      </c>
      <c r="B193" s="4" t="s">
        <v>39</v>
      </c>
      <c r="C193" s="4" t="s">
        <v>40</v>
      </c>
      <c r="D193" s="4" t="s">
        <v>41</v>
      </c>
      <c r="E193" s="4" t="s">
        <v>25</v>
      </c>
      <c r="F193" s="4" t="s">
        <v>25</v>
      </c>
      <c r="G193" s="4" t="s">
        <v>25</v>
      </c>
      <c r="H193" s="4" t="s">
        <v>34</v>
      </c>
      <c r="I193" s="5">
        <v>44682</v>
      </c>
      <c r="J193" s="6">
        <v>0</v>
      </c>
      <c r="K193" s="6">
        <v>0</v>
      </c>
      <c r="L193" s="6">
        <v>9.3439999999999994</v>
      </c>
      <c r="M193" s="6">
        <v>9.3439999999999994</v>
      </c>
      <c r="N193" s="6">
        <v>9.3439999999999994</v>
      </c>
      <c r="O193" s="6">
        <v>9.3439999999999994</v>
      </c>
      <c r="P193" s="6">
        <v>0</v>
      </c>
      <c r="Q193" s="4" t="s">
        <v>26</v>
      </c>
      <c r="R193" s="4">
        <v>0</v>
      </c>
      <c r="S193" s="6">
        <v>0</v>
      </c>
      <c r="T193" s="6">
        <v>15</v>
      </c>
      <c r="U193" s="6">
        <v>65</v>
      </c>
      <c r="V193" s="6">
        <f>IF(ISERROR(VLOOKUP($S$193,'TAR FIN'!$A$1:$O$103,15,0)),0,VLOOKUP($S$193,'TAR FIN'!$A$1:$O$103,15,0))</f>
        <v>0</v>
      </c>
      <c r="W193" s="6">
        <f>IF(ISERROR(VLOOKUP($T$193,'TAR FIN'!$A$1:$O$103,15,0)),0,VLOOKUP($T$193,'TAR FIN'!$A$1:$O$103,15,0))</f>
        <v>1195.82</v>
      </c>
      <c r="X193" s="6">
        <f>IF(ISERROR(VLOOKUP($U$193,'TAR FIN'!$A$1:$O$103,15,0)),0,VLOOKUP($U$193,'TAR FIN'!$A$1:$O$103,15,0))</f>
        <v>391.54</v>
      </c>
      <c r="Y193" s="6"/>
      <c r="Z193" s="6">
        <f ca="1">('TUSD BE'!$AM$23+'TUSD BF'!$AM$23+'TUSD CVA'!$AM$23)*1</f>
        <v>1385.4977743340116</v>
      </c>
      <c r="AA193" s="6">
        <f>('TE BE'!$AB$8+'TE BF'!$AB$8+'TE CVA'!$AB$8)*1</f>
        <v>361.95264704220779</v>
      </c>
      <c r="AB193" s="6">
        <f>$K$193*$V$193</f>
        <v>0</v>
      </c>
      <c r="AC193" s="6">
        <f>$M$193*$W$193</f>
        <v>11173.742079999998</v>
      </c>
      <c r="AD193" s="6">
        <f>$O$193*$X$193</f>
        <v>3658.5497599999999</v>
      </c>
      <c r="AE193" s="6">
        <f>$K$193*$Y$193</f>
        <v>0</v>
      </c>
      <c r="AF193" s="6">
        <f ca="1">$M$193*$Z$193</f>
        <v>12946.091203377004</v>
      </c>
      <c r="AG193" s="6">
        <f>$O$193*$AA$193</f>
        <v>3382.0855339623895</v>
      </c>
    </row>
    <row r="194" spans="1:33" ht="11.25" customHeight="1" x14ac:dyDescent="0.3">
      <c r="A194" s="4" t="s">
        <v>21</v>
      </c>
      <c r="B194" s="4" t="s">
        <v>39</v>
      </c>
      <c r="C194" s="4" t="s">
        <v>40</v>
      </c>
      <c r="D194" s="4" t="s">
        <v>41</v>
      </c>
      <c r="E194" s="4" t="s">
        <v>25</v>
      </c>
      <c r="F194" s="4" t="s">
        <v>25</v>
      </c>
      <c r="G194" s="4" t="s">
        <v>25</v>
      </c>
      <c r="H194" s="4" t="s">
        <v>34</v>
      </c>
      <c r="I194" s="5">
        <v>44713</v>
      </c>
      <c r="J194" s="6">
        <v>0</v>
      </c>
      <c r="K194" s="6">
        <v>0</v>
      </c>
      <c r="L194" s="6">
        <v>26.05</v>
      </c>
      <c r="M194" s="6">
        <v>26.05</v>
      </c>
      <c r="N194" s="6">
        <v>26.05</v>
      </c>
      <c r="O194" s="6">
        <v>26.05</v>
      </c>
      <c r="P194" s="6">
        <v>0</v>
      </c>
      <c r="Q194" s="4" t="s">
        <v>26</v>
      </c>
      <c r="R194" s="4">
        <v>0</v>
      </c>
      <c r="S194" s="6">
        <v>0</v>
      </c>
      <c r="T194" s="6">
        <v>15</v>
      </c>
      <c r="U194" s="6">
        <v>65</v>
      </c>
      <c r="V194" s="6">
        <f>IF(ISERROR(VLOOKUP($S$194,'TAR FIN'!$A$1:$O$103,15,0)),0,VLOOKUP($S$194,'TAR FIN'!$A$1:$O$103,15,0))</f>
        <v>0</v>
      </c>
      <c r="W194" s="6">
        <f>IF(ISERROR(VLOOKUP($T$194,'TAR FIN'!$A$1:$O$103,15,0)),0,VLOOKUP($T$194,'TAR FIN'!$A$1:$O$103,15,0))</f>
        <v>1195.82</v>
      </c>
      <c r="X194" s="6">
        <f>IF(ISERROR(VLOOKUP($U$194,'TAR FIN'!$A$1:$O$103,15,0)),0,VLOOKUP($U$194,'TAR FIN'!$A$1:$O$103,15,0))</f>
        <v>391.54</v>
      </c>
      <c r="Y194" s="6"/>
      <c r="Z194" s="6">
        <f ca="1">('TUSD BE'!$AM$23+'TUSD BF'!$AM$23+'TUSD CVA'!$AM$23)*1</f>
        <v>1385.4977743340116</v>
      </c>
      <c r="AA194" s="6">
        <f>('TE BE'!$AB$8+'TE BF'!$AB$8+'TE CVA'!$AB$8)*1</f>
        <v>361.95264704220779</v>
      </c>
      <c r="AB194" s="6">
        <f>$K$194*$V$194</f>
        <v>0</v>
      </c>
      <c r="AC194" s="6">
        <f>$M$194*$W$194</f>
        <v>31151.111000000001</v>
      </c>
      <c r="AD194" s="6">
        <f>$O$194*$X$194</f>
        <v>10199.617</v>
      </c>
      <c r="AE194" s="6">
        <f>$K$194*$Y$194</f>
        <v>0</v>
      </c>
      <c r="AF194" s="6">
        <f ca="1">$M$194*$Z$194</f>
        <v>36092.217021401004</v>
      </c>
      <c r="AG194" s="6">
        <f>$O$194*$AA$194</f>
        <v>9428.8664554495135</v>
      </c>
    </row>
    <row r="195" spans="1:33" ht="11.25" customHeight="1" x14ac:dyDescent="0.3">
      <c r="A195" s="4" t="s">
        <v>28</v>
      </c>
      <c r="B195" s="4" t="s">
        <v>39</v>
      </c>
      <c r="C195" s="4" t="s">
        <v>40</v>
      </c>
      <c r="D195" s="4" t="s">
        <v>41</v>
      </c>
      <c r="E195" s="4" t="s">
        <v>25</v>
      </c>
      <c r="F195" s="4" t="s">
        <v>25</v>
      </c>
      <c r="G195" s="4" t="s">
        <v>25</v>
      </c>
      <c r="H195" s="4" t="s">
        <v>34</v>
      </c>
      <c r="I195" s="5">
        <v>44713</v>
      </c>
      <c r="J195" s="6">
        <v>0</v>
      </c>
      <c r="K195" s="6">
        <v>0</v>
      </c>
      <c r="L195" s="6">
        <v>12.593999999999999</v>
      </c>
      <c r="M195" s="6">
        <v>12.593999999999999</v>
      </c>
      <c r="N195" s="6">
        <v>12.593999999999999</v>
      </c>
      <c r="O195" s="6">
        <v>12.593999999999999</v>
      </c>
      <c r="P195" s="6">
        <v>0</v>
      </c>
      <c r="Q195" s="4" t="s">
        <v>26</v>
      </c>
      <c r="R195" s="4">
        <v>0</v>
      </c>
      <c r="S195" s="6">
        <v>0</v>
      </c>
      <c r="T195" s="6">
        <v>15</v>
      </c>
      <c r="U195" s="6">
        <v>65</v>
      </c>
      <c r="V195" s="6">
        <f>IF(ISERROR(VLOOKUP($S$195,'TAR FIN'!$A$1:$O$103,15,0)),0,VLOOKUP($S$195,'TAR FIN'!$A$1:$O$103,15,0))</f>
        <v>0</v>
      </c>
      <c r="W195" s="6">
        <f>IF(ISERROR(VLOOKUP($T$195,'TAR FIN'!$A$1:$O$103,15,0)),0,VLOOKUP($T$195,'TAR FIN'!$A$1:$O$103,15,0))</f>
        <v>1195.82</v>
      </c>
      <c r="X195" s="6">
        <f>IF(ISERROR(VLOOKUP($U$195,'TAR FIN'!$A$1:$O$103,15,0)),0,VLOOKUP($U$195,'TAR FIN'!$A$1:$O$103,15,0))</f>
        <v>391.54</v>
      </c>
      <c r="Y195" s="6"/>
      <c r="Z195" s="6">
        <f ca="1">('TUSD BE'!$AM$23+'TUSD BF'!$AM$23+'TUSD CVA'!$AM$23)*1</f>
        <v>1385.4977743340116</v>
      </c>
      <c r="AA195" s="6">
        <f>('TE BE'!$AB$8+'TE BF'!$AB$8+'TE CVA'!$AB$8)*1</f>
        <v>361.95264704220779</v>
      </c>
      <c r="AB195" s="6">
        <f>$K$195*$V$195</f>
        <v>0</v>
      </c>
      <c r="AC195" s="6">
        <f>$M$195*$W$195</f>
        <v>15060.157079999999</v>
      </c>
      <c r="AD195" s="6">
        <f>$O$195*$X$195</f>
        <v>4931.05476</v>
      </c>
      <c r="AE195" s="6">
        <f>$K$195*$Y$195</f>
        <v>0</v>
      </c>
      <c r="AF195" s="6">
        <f ca="1">$M$195*$Z$195</f>
        <v>17448.958969962543</v>
      </c>
      <c r="AG195" s="6">
        <f>$O$195*$AA$195</f>
        <v>4558.4316368495647</v>
      </c>
    </row>
    <row r="196" spans="1:33" ht="11.25" customHeight="1" x14ac:dyDescent="0.3">
      <c r="A196" s="4" t="s">
        <v>21</v>
      </c>
      <c r="B196" s="4" t="s">
        <v>39</v>
      </c>
      <c r="C196" s="4" t="s">
        <v>40</v>
      </c>
      <c r="D196" s="4" t="s">
        <v>41</v>
      </c>
      <c r="E196" s="4" t="s">
        <v>25</v>
      </c>
      <c r="F196" s="4" t="s">
        <v>25</v>
      </c>
      <c r="G196" s="4" t="s">
        <v>25</v>
      </c>
      <c r="H196" s="4" t="s">
        <v>34</v>
      </c>
      <c r="I196" s="5">
        <v>44743</v>
      </c>
      <c r="J196" s="6">
        <v>0</v>
      </c>
      <c r="K196" s="6">
        <v>0</v>
      </c>
      <c r="L196" s="6">
        <v>16.786000000000001</v>
      </c>
      <c r="M196" s="6">
        <v>16.786000000000001</v>
      </c>
      <c r="N196" s="6">
        <v>16.786000000000001</v>
      </c>
      <c r="O196" s="6">
        <v>16.786000000000001</v>
      </c>
      <c r="P196" s="6">
        <v>0</v>
      </c>
      <c r="Q196" s="4" t="s">
        <v>26</v>
      </c>
      <c r="R196" s="4">
        <v>0</v>
      </c>
      <c r="S196" s="6">
        <v>0</v>
      </c>
      <c r="T196" s="6">
        <v>15</v>
      </c>
      <c r="U196" s="6">
        <v>65</v>
      </c>
      <c r="V196" s="6">
        <f>IF(ISERROR(VLOOKUP($S$196,'TAR FIN'!$A$1:$O$103,15,0)),0,VLOOKUP($S$196,'TAR FIN'!$A$1:$O$103,15,0))</f>
        <v>0</v>
      </c>
      <c r="W196" s="6">
        <f>IF(ISERROR(VLOOKUP($T$196,'TAR FIN'!$A$1:$O$103,15,0)),0,VLOOKUP($T$196,'TAR FIN'!$A$1:$O$103,15,0))</f>
        <v>1195.82</v>
      </c>
      <c r="X196" s="6">
        <f>IF(ISERROR(VLOOKUP($U$196,'TAR FIN'!$A$1:$O$103,15,0)),0,VLOOKUP($U$196,'TAR FIN'!$A$1:$O$103,15,0))</f>
        <v>391.54</v>
      </c>
      <c r="Y196" s="6"/>
      <c r="Z196" s="6">
        <f ca="1">('TUSD BE'!$AM$23+'TUSD BF'!$AM$23+'TUSD CVA'!$AM$23)*1</f>
        <v>1385.4977743340116</v>
      </c>
      <c r="AA196" s="6">
        <f>('TE BE'!$AB$8+'TE BF'!$AB$8+'TE CVA'!$AB$8)*1</f>
        <v>361.95264704220779</v>
      </c>
      <c r="AB196" s="6">
        <f>$K$196*$V$196</f>
        <v>0</v>
      </c>
      <c r="AC196" s="6">
        <f>$M$196*$W$196</f>
        <v>20073.034520000001</v>
      </c>
      <c r="AD196" s="6">
        <f>$O$196*$X$196</f>
        <v>6572.390440000001</v>
      </c>
      <c r="AE196" s="6">
        <f>$K$196*$Y$196</f>
        <v>0</v>
      </c>
      <c r="AF196" s="6">
        <f ca="1">$M$196*$Z$196</f>
        <v>23256.96563997072</v>
      </c>
      <c r="AG196" s="6">
        <f>$O$196*$AA$196</f>
        <v>6075.7371332505008</v>
      </c>
    </row>
    <row r="197" spans="1:33" ht="11.25" customHeight="1" x14ac:dyDescent="0.3">
      <c r="A197" s="4" t="s">
        <v>28</v>
      </c>
      <c r="B197" s="4" t="s">
        <v>39</v>
      </c>
      <c r="C197" s="4" t="s">
        <v>40</v>
      </c>
      <c r="D197" s="4" t="s">
        <v>41</v>
      </c>
      <c r="E197" s="4" t="s">
        <v>25</v>
      </c>
      <c r="F197" s="4" t="s">
        <v>25</v>
      </c>
      <c r="G197" s="4" t="s">
        <v>25</v>
      </c>
      <c r="H197" s="4" t="s">
        <v>34</v>
      </c>
      <c r="I197" s="5">
        <v>44743</v>
      </c>
      <c r="J197" s="6">
        <v>0</v>
      </c>
      <c r="K197" s="6">
        <v>0</v>
      </c>
      <c r="L197" s="6">
        <v>11.019</v>
      </c>
      <c r="M197" s="6">
        <v>11.019</v>
      </c>
      <c r="N197" s="6">
        <v>11.019</v>
      </c>
      <c r="O197" s="6">
        <v>11.019</v>
      </c>
      <c r="P197" s="6">
        <v>0</v>
      </c>
      <c r="Q197" s="4" t="s">
        <v>26</v>
      </c>
      <c r="R197" s="4">
        <v>0</v>
      </c>
      <c r="S197" s="6">
        <v>0</v>
      </c>
      <c r="T197" s="6">
        <v>15</v>
      </c>
      <c r="U197" s="6">
        <v>65</v>
      </c>
      <c r="V197" s="6">
        <f>IF(ISERROR(VLOOKUP($S$197,'TAR FIN'!$A$1:$O$103,15,0)),0,VLOOKUP($S$197,'TAR FIN'!$A$1:$O$103,15,0))</f>
        <v>0</v>
      </c>
      <c r="W197" s="6">
        <f>IF(ISERROR(VLOOKUP($T$197,'TAR FIN'!$A$1:$O$103,15,0)),0,VLOOKUP($T$197,'TAR FIN'!$A$1:$O$103,15,0))</f>
        <v>1195.82</v>
      </c>
      <c r="X197" s="6">
        <f>IF(ISERROR(VLOOKUP($U$197,'TAR FIN'!$A$1:$O$103,15,0)),0,VLOOKUP($U$197,'TAR FIN'!$A$1:$O$103,15,0))</f>
        <v>391.54</v>
      </c>
      <c r="Y197" s="6"/>
      <c r="Z197" s="6">
        <f ca="1">('TUSD BE'!$AM$23+'TUSD BF'!$AM$23+'TUSD CVA'!$AM$23)*1</f>
        <v>1385.4977743340116</v>
      </c>
      <c r="AA197" s="6">
        <f>('TE BE'!$AB$8+'TE BF'!$AB$8+'TE CVA'!$AB$8)*1</f>
        <v>361.95264704220779</v>
      </c>
      <c r="AB197" s="6">
        <f>$K$197*$V$197</f>
        <v>0</v>
      </c>
      <c r="AC197" s="6">
        <f>$M$197*$W$197</f>
        <v>13176.74058</v>
      </c>
      <c r="AD197" s="6">
        <f>$O$197*$X$197</f>
        <v>4314.3792600000006</v>
      </c>
      <c r="AE197" s="6">
        <f>$K$197*$Y$197</f>
        <v>0</v>
      </c>
      <c r="AF197" s="6">
        <f ca="1">$M$197*$Z$197</f>
        <v>15266.799975386475</v>
      </c>
      <c r="AG197" s="6">
        <f>$O$197*$AA$197</f>
        <v>3988.3562177580875</v>
      </c>
    </row>
    <row r="198" spans="1:33" ht="11.25" customHeight="1" x14ac:dyDescent="0.3">
      <c r="A198" s="4" t="s">
        <v>21</v>
      </c>
      <c r="B198" s="4" t="s">
        <v>39</v>
      </c>
      <c r="C198" s="4" t="s">
        <v>40</v>
      </c>
      <c r="D198" s="4" t="s">
        <v>41</v>
      </c>
      <c r="E198" s="4" t="s">
        <v>25</v>
      </c>
      <c r="F198" s="4" t="s">
        <v>25</v>
      </c>
      <c r="G198" s="4" t="s">
        <v>25</v>
      </c>
      <c r="H198" s="4" t="s">
        <v>34</v>
      </c>
      <c r="I198" s="5">
        <v>44774</v>
      </c>
      <c r="J198" s="6">
        <v>0</v>
      </c>
      <c r="K198" s="6">
        <v>0</v>
      </c>
      <c r="L198" s="6">
        <v>25.280999999999999</v>
      </c>
      <c r="M198" s="6">
        <v>25.280999999999999</v>
      </c>
      <c r="N198" s="6">
        <v>25.280999999999999</v>
      </c>
      <c r="O198" s="6">
        <v>25.280999999999999</v>
      </c>
      <c r="P198" s="6">
        <v>0</v>
      </c>
      <c r="Q198" s="4" t="s">
        <v>26</v>
      </c>
      <c r="R198" s="4">
        <v>0</v>
      </c>
      <c r="S198" s="6">
        <v>0</v>
      </c>
      <c r="T198" s="6">
        <v>15</v>
      </c>
      <c r="U198" s="6">
        <v>65</v>
      </c>
      <c r="V198" s="6">
        <f>IF(ISERROR(VLOOKUP($S$198,'TAR FIN'!$A$1:$O$103,15,0)),0,VLOOKUP($S$198,'TAR FIN'!$A$1:$O$103,15,0))</f>
        <v>0</v>
      </c>
      <c r="W198" s="6">
        <f>IF(ISERROR(VLOOKUP($T$198,'TAR FIN'!$A$1:$O$103,15,0)),0,VLOOKUP($T$198,'TAR FIN'!$A$1:$O$103,15,0))</f>
        <v>1195.82</v>
      </c>
      <c r="X198" s="6">
        <f>IF(ISERROR(VLOOKUP($U$198,'TAR FIN'!$A$1:$O$103,15,0)),0,VLOOKUP($U$198,'TAR FIN'!$A$1:$O$103,15,0))</f>
        <v>391.54</v>
      </c>
      <c r="Y198" s="6"/>
      <c r="Z198" s="6">
        <f ca="1">('TUSD BE'!$AM$23+'TUSD BF'!$AM$23+'TUSD CVA'!$AM$23)*1</f>
        <v>1385.4977743340116</v>
      </c>
      <c r="AA198" s="6">
        <f>('TE BE'!$AB$8+'TE BF'!$AB$8+'TE CVA'!$AB$8)*1</f>
        <v>361.95264704220779</v>
      </c>
      <c r="AB198" s="6">
        <f>$K$198*$V$198</f>
        <v>0</v>
      </c>
      <c r="AC198" s="6">
        <f>$M$198*$W$198</f>
        <v>30231.525419999998</v>
      </c>
      <c r="AD198" s="6">
        <f>$O$198*$X$198</f>
        <v>9898.5227400000003</v>
      </c>
      <c r="AE198" s="6">
        <f>$K$198*$Y$198</f>
        <v>0</v>
      </c>
      <c r="AF198" s="6">
        <f ca="1">$M$198*$Z$198</f>
        <v>35026.769232938146</v>
      </c>
      <c r="AG198" s="6">
        <f>$O$198*$AA$198</f>
        <v>9150.5248698740543</v>
      </c>
    </row>
    <row r="199" spans="1:33" ht="11.25" customHeight="1" x14ac:dyDescent="0.3">
      <c r="A199" s="4" t="s">
        <v>28</v>
      </c>
      <c r="B199" s="4" t="s">
        <v>39</v>
      </c>
      <c r="C199" s="4" t="s">
        <v>40</v>
      </c>
      <c r="D199" s="4" t="s">
        <v>41</v>
      </c>
      <c r="E199" s="4" t="s">
        <v>25</v>
      </c>
      <c r="F199" s="4" t="s">
        <v>25</v>
      </c>
      <c r="G199" s="4" t="s">
        <v>25</v>
      </c>
      <c r="H199" s="4" t="s">
        <v>34</v>
      </c>
      <c r="I199" s="5">
        <v>44774</v>
      </c>
      <c r="J199" s="6">
        <v>0</v>
      </c>
      <c r="K199" s="6">
        <v>0</v>
      </c>
      <c r="L199" s="6">
        <v>11.702</v>
      </c>
      <c r="M199" s="6">
        <v>11.702</v>
      </c>
      <c r="N199" s="6">
        <v>11.702</v>
      </c>
      <c r="O199" s="6">
        <v>11.702</v>
      </c>
      <c r="P199" s="6">
        <v>0</v>
      </c>
      <c r="Q199" s="4" t="s">
        <v>26</v>
      </c>
      <c r="R199" s="4">
        <v>0</v>
      </c>
      <c r="S199" s="6">
        <v>0</v>
      </c>
      <c r="T199" s="6">
        <v>15</v>
      </c>
      <c r="U199" s="6">
        <v>65</v>
      </c>
      <c r="V199" s="6">
        <f>IF(ISERROR(VLOOKUP($S$199,'TAR FIN'!$A$1:$O$103,15,0)),0,VLOOKUP($S$199,'TAR FIN'!$A$1:$O$103,15,0))</f>
        <v>0</v>
      </c>
      <c r="W199" s="6">
        <f>IF(ISERROR(VLOOKUP($T$199,'TAR FIN'!$A$1:$O$103,15,0)),0,VLOOKUP($T$199,'TAR FIN'!$A$1:$O$103,15,0))</f>
        <v>1195.82</v>
      </c>
      <c r="X199" s="6">
        <f>IF(ISERROR(VLOOKUP($U$199,'TAR FIN'!$A$1:$O$103,15,0)),0,VLOOKUP($U$199,'TAR FIN'!$A$1:$O$103,15,0))</f>
        <v>391.54</v>
      </c>
      <c r="Y199" s="6"/>
      <c r="Z199" s="6">
        <f ca="1">('TUSD BE'!$AM$23+'TUSD BF'!$AM$23+'TUSD CVA'!$AM$23)*1</f>
        <v>1385.4977743340116</v>
      </c>
      <c r="AA199" s="6">
        <f>('TE BE'!$AB$8+'TE BF'!$AB$8+'TE CVA'!$AB$8)*1</f>
        <v>361.95264704220779</v>
      </c>
      <c r="AB199" s="6">
        <f>$K$199*$V$199</f>
        <v>0</v>
      </c>
      <c r="AC199" s="6">
        <f>$M$199*$W$199</f>
        <v>13993.485639999999</v>
      </c>
      <c r="AD199" s="6">
        <f>$O$199*$X$199</f>
        <v>4581.8010800000002</v>
      </c>
      <c r="AE199" s="6">
        <f>$K$199*$Y$199</f>
        <v>0</v>
      </c>
      <c r="AF199" s="6">
        <f ca="1">$M$199*$Z$199</f>
        <v>16213.094955256603</v>
      </c>
      <c r="AG199" s="6">
        <f>$O$199*$AA$199</f>
        <v>4235.5698756879156</v>
      </c>
    </row>
    <row r="200" spans="1:33" ht="11.25" customHeight="1" x14ac:dyDescent="0.3">
      <c r="A200" s="4" t="s">
        <v>21</v>
      </c>
      <c r="B200" s="4" t="s">
        <v>39</v>
      </c>
      <c r="C200" s="4" t="s">
        <v>40</v>
      </c>
      <c r="D200" s="4" t="s">
        <v>41</v>
      </c>
      <c r="E200" s="4" t="s">
        <v>25</v>
      </c>
      <c r="F200" s="4" t="s">
        <v>25</v>
      </c>
      <c r="G200" s="4" t="s">
        <v>25</v>
      </c>
      <c r="H200" s="4" t="s">
        <v>34</v>
      </c>
      <c r="I200" s="5">
        <v>44805</v>
      </c>
      <c r="J200" s="6">
        <v>0</v>
      </c>
      <c r="K200" s="6">
        <v>0</v>
      </c>
      <c r="L200" s="6">
        <v>29.542000000000002</v>
      </c>
      <c r="M200" s="6">
        <v>29.542000000000002</v>
      </c>
      <c r="N200" s="6">
        <v>29.542000000000002</v>
      </c>
      <c r="O200" s="6">
        <v>29.542000000000002</v>
      </c>
      <c r="P200" s="6">
        <v>0</v>
      </c>
      <c r="Q200" s="4" t="s">
        <v>26</v>
      </c>
      <c r="R200" s="4">
        <v>0</v>
      </c>
      <c r="S200" s="6">
        <v>0</v>
      </c>
      <c r="T200" s="6">
        <v>15</v>
      </c>
      <c r="U200" s="6">
        <v>65</v>
      </c>
      <c r="V200" s="6">
        <f>IF(ISERROR(VLOOKUP($S$200,'TAR FIN'!$A$1:$O$103,15,0)),0,VLOOKUP($S$200,'TAR FIN'!$A$1:$O$103,15,0))</f>
        <v>0</v>
      </c>
      <c r="W200" s="6">
        <f>IF(ISERROR(VLOOKUP($T$200,'TAR FIN'!$A$1:$O$103,15,0)),0,VLOOKUP($T$200,'TAR FIN'!$A$1:$O$103,15,0))</f>
        <v>1195.82</v>
      </c>
      <c r="X200" s="6">
        <f>IF(ISERROR(VLOOKUP($U$200,'TAR FIN'!$A$1:$O$103,15,0)),0,VLOOKUP($U$200,'TAR FIN'!$A$1:$O$103,15,0))</f>
        <v>391.54</v>
      </c>
      <c r="Y200" s="6"/>
      <c r="Z200" s="6">
        <f ca="1">('TUSD BE'!$AM$23+'TUSD BF'!$AM$23+'TUSD CVA'!$AM$23)*1</f>
        <v>1385.4977743340116</v>
      </c>
      <c r="AA200" s="6">
        <f>('TE BE'!$AB$8+'TE BF'!$AB$8+'TE CVA'!$AB$8)*1</f>
        <v>361.95264704220779</v>
      </c>
      <c r="AB200" s="6">
        <f>$K$200*$V$200</f>
        <v>0</v>
      </c>
      <c r="AC200" s="6">
        <f>$M$200*$W$200</f>
        <v>35326.91444</v>
      </c>
      <c r="AD200" s="6">
        <f>$O$200*$X$200</f>
        <v>11566.874680000001</v>
      </c>
      <c r="AE200" s="6">
        <f>$K$200*$Y$200</f>
        <v>0</v>
      </c>
      <c r="AF200" s="6">
        <f ca="1">$M$200*$Z$200</f>
        <v>40930.375249375371</v>
      </c>
      <c r="AG200" s="6">
        <f>$O$200*$AA$200</f>
        <v>10692.805098920902</v>
      </c>
    </row>
    <row r="201" spans="1:33" ht="11.25" customHeight="1" x14ac:dyDescent="0.3">
      <c r="A201" s="4" t="s">
        <v>28</v>
      </c>
      <c r="B201" s="4" t="s">
        <v>39</v>
      </c>
      <c r="C201" s="4" t="s">
        <v>40</v>
      </c>
      <c r="D201" s="4" t="s">
        <v>41</v>
      </c>
      <c r="E201" s="4" t="s">
        <v>25</v>
      </c>
      <c r="F201" s="4" t="s">
        <v>25</v>
      </c>
      <c r="G201" s="4" t="s">
        <v>25</v>
      </c>
      <c r="H201" s="4" t="s">
        <v>34</v>
      </c>
      <c r="I201" s="5">
        <v>44805</v>
      </c>
      <c r="J201" s="6">
        <v>0</v>
      </c>
      <c r="K201" s="6">
        <v>0</v>
      </c>
      <c r="L201" s="6">
        <v>8.1170000000000009</v>
      </c>
      <c r="M201" s="6">
        <v>8.1170000000000009</v>
      </c>
      <c r="N201" s="6">
        <v>8.1170000000000009</v>
      </c>
      <c r="O201" s="6">
        <v>8.1170000000000009</v>
      </c>
      <c r="P201" s="6">
        <v>0</v>
      </c>
      <c r="Q201" s="4" t="s">
        <v>26</v>
      </c>
      <c r="R201" s="4">
        <v>0</v>
      </c>
      <c r="S201" s="6">
        <v>0</v>
      </c>
      <c r="T201" s="6">
        <v>15</v>
      </c>
      <c r="U201" s="6">
        <v>65</v>
      </c>
      <c r="V201" s="6">
        <f>IF(ISERROR(VLOOKUP($S$201,'TAR FIN'!$A$1:$O$103,15,0)),0,VLOOKUP($S$201,'TAR FIN'!$A$1:$O$103,15,0))</f>
        <v>0</v>
      </c>
      <c r="W201" s="6">
        <f>IF(ISERROR(VLOOKUP($T$201,'TAR FIN'!$A$1:$O$103,15,0)),0,VLOOKUP($T$201,'TAR FIN'!$A$1:$O$103,15,0))</f>
        <v>1195.82</v>
      </c>
      <c r="X201" s="6">
        <f>IF(ISERROR(VLOOKUP($U$201,'TAR FIN'!$A$1:$O$103,15,0)),0,VLOOKUP($U$201,'TAR FIN'!$A$1:$O$103,15,0))</f>
        <v>391.54</v>
      </c>
      <c r="Y201" s="6"/>
      <c r="Z201" s="6">
        <f ca="1">('TUSD BE'!$AM$23+'TUSD BF'!$AM$23+'TUSD CVA'!$AM$23)*1</f>
        <v>1385.4977743340116</v>
      </c>
      <c r="AA201" s="6">
        <f>('TE BE'!$AB$8+'TE BF'!$AB$8+'TE CVA'!$AB$8)*1</f>
        <v>361.95264704220779</v>
      </c>
      <c r="AB201" s="6">
        <f>$K$201*$V$201</f>
        <v>0</v>
      </c>
      <c r="AC201" s="6">
        <f>$M$201*$W$201</f>
        <v>9706.4709400000011</v>
      </c>
      <c r="AD201" s="6">
        <f>$O$201*$X$201</f>
        <v>3178.1301800000006</v>
      </c>
      <c r="AE201" s="6">
        <f>$K$201*$Y$201</f>
        <v>0</v>
      </c>
      <c r="AF201" s="6">
        <f ca="1">$M$201*$Z$201</f>
        <v>11246.085434269175</v>
      </c>
      <c r="AG201" s="6">
        <f>$O$201*$AA$201</f>
        <v>2937.969636041601</v>
      </c>
    </row>
    <row r="202" spans="1:33" ht="11.25" customHeight="1" x14ac:dyDescent="0.3">
      <c r="A202" s="4" t="s">
        <v>57</v>
      </c>
      <c r="B202" s="4" t="s">
        <v>39</v>
      </c>
      <c r="C202" s="4" t="s">
        <v>40</v>
      </c>
      <c r="D202" s="4" t="s">
        <v>41</v>
      </c>
      <c r="E202" s="4" t="s">
        <v>25</v>
      </c>
      <c r="F202" s="4" t="s">
        <v>25</v>
      </c>
      <c r="G202" s="4" t="s">
        <v>25</v>
      </c>
      <c r="H202" s="4" t="s">
        <v>34</v>
      </c>
      <c r="I202" s="5">
        <v>44835</v>
      </c>
      <c r="J202" s="6">
        <v>0</v>
      </c>
      <c r="K202" s="6">
        <v>0</v>
      </c>
      <c r="L202" s="6">
        <v>29.542000000000002</v>
      </c>
      <c r="M202" s="6">
        <v>29.542000000000002</v>
      </c>
      <c r="N202" s="6">
        <v>29.542000000000002</v>
      </c>
      <c r="O202" s="6">
        <v>29.542000000000002</v>
      </c>
      <c r="P202" s="6">
        <v>0</v>
      </c>
      <c r="Q202" s="4" t="s">
        <v>26</v>
      </c>
      <c r="R202" s="4">
        <v>0</v>
      </c>
      <c r="S202" s="6">
        <v>0</v>
      </c>
      <c r="T202" s="6">
        <v>15</v>
      </c>
      <c r="U202" s="6">
        <v>65</v>
      </c>
      <c r="V202" s="6">
        <f>IF(ISERROR(VLOOKUP($S$202,'TAR FIN'!$A$1:$O$103,15,0)),0,VLOOKUP($S$202,'TAR FIN'!$A$1:$O$103,15,0))</f>
        <v>0</v>
      </c>
      <c r="W202" s="6">
        <f>IF(ISERROR(VLOOKUP($T$202,'TAR FIN'!$A$1:$O$103,15,0)),0,VLOOKUP($T$202,'TAR FIN'!$A$1:$O$103,15,0))</f>
        <v>1195.82</v>
      </c>
      <c r="X202" s="6">
        <f>IF(ISERROR(VLOOKUP($U$202,'TAR FIN'!$A$1:$O$103,15,0)),0,VLOOKUP($U$202,'TAR FIN'!$A$1:$O$103,15,0))</f>
        <v>391.54</v>
      </c>
      <c r="Y202" s="6"/>
      <c r="Z202" s="6">
        <f ca="1">('TUSD BE'!$AM$23+'TUSD BF'!$AM$23+'TUSD CVA'!$AM$23)*1</f>
        <v>1385.4977743340116</v>
      </c>
      <c r="AA202" s="6">
        <f>('TE BE'!$AB$8+'TE BF'!$AB$8+'TE CVA'!$AB$8)*1</f>
        <v>361.95264704220779</v>
      </c>
      <c r="AB202" s="6">
        <f>$K$202*$V$202</f>
        <v>0</v>
      </c>
      <c r="AC202" s="6">
        <f>$M$202*$W$202</f>
        <v>35326.91444</v>
      </c>
      <c r="AD202" s="6">
        <f>$O$202*$X$202</f>
        <v>11566.874680000001</v>
      </c>
      <c r="AE202" s="6">
        <f>$K$202*$Y$202</f>
        <v>0</v>
      </c>
      <c r="AF202" s="6">
        <f ca="1">$M$202*$Z$202</f>
        <v>40930.375249375371</v>
      </c>
      <c r="AG202" s="6">
        <f>$O$202*$AA$202</f>
        <v>10692.805098920902</v>
      </c>
    </row>
    <row r="203" spans="1:33" ht="11.25" customHeight="1" x14ac:dyDescent="0.3">
      <c r="A203" s="4" t="s">
        <v>57</v>
      </c>
      <c r="B203" s="4" t="s">
        <v>39</v>
      </c>
      <c r="C203" s="4" t="s">
        <v>40</v>
      </c>
      <c r="D203" s="4" t="s">
        <v>41</v>
      </c>
      <c r="E203" s="4" t="s">
        <v>25</v>
      </c>
      <c r="F203" s="4" t="s">
        <v>25</v>
      </c>
      <c r="G203" s="4" t="s">
        <v>25</v>
      </c>
      <c r="H203" s="4" t="s">
        <v>34</v>
      </c>
      <c r="I203" s="5">
        <v>44835</v>
      </c>
      <c r="J203" s="6">
        <v>0</v>
      </c>
      <c r="K203" s="6">
        <v>0</v>
      </c>
      <c r="L203" s="6">
        <v>8.1170000000000009</v>
      </c>
      <c r="M203" s="6">
        <v>8.1170000000000009</v>
      </c>
      <c r="N203" s="6">
        <v>8.1170000000000009</v>
      </c>
      <c r="O203" s="6">
        <v>8.1170000000000009</v>
      </c>
      <c r="P203" s="6">
        <v>0</v>
      </c>
      <c r="Q203" s="4" t="s">
        <v>26</v>
      </c>
      <c r="R203" s="4">
        <v>0</v>
      </c>
      <c r="S203" s="6">
        <v>0</v>
      </c>
      <c r="T203" s="6">
        <v>15</v>
      </c>
      <c r="U203" s="6">
        <v>65</v>
      </c>
      <c r="V203" s="6">
        <f>IF(ISERROR(VLOOKUP($S$203,'TAR FIN'!$A$1:$O$103,15,0)),0,VLOOKUP($S$203,'TAR FIN'!$A$1:$O$103,15,0))</f>
        <v>0</v>
      </c>
      <c r="W203" s="6">
        <f>IF(ISERROR(VLOOKUP($T$203,'TAR FIN'!$A$1:$O$103,15,0)),0,VLOOKUP($T$203,'TAR FIN'!$A$1:$O$103,15,0))</f>
        <v>1195.82</v>
      </c>
      <c r="X203" s="6">
        <f>IF(ISERROR(VLOOKUP($U$203,'TAR FIN'!$A$1:$O$103,15,0)),0,VLOOKUP($U$203,'TAR FIN'!$A$1:$O$103,15,0))</f>
        <v>391.54</v>
      </c>
      <c r="Y203" s="6"/>
      <c r="Z203" s="6">
        <f ca="1">('TUSD BE'!$AM$23+'TUSD BF'!$AM$23+'TUSD CVA'!$AM$23)*1</f>
        <v>1385.4977743340116</v>
      </c>
      <c r="AA203" s="6">
        <f>('TE BE'!$AB$8+'TE BF'!$AB$8+'TE CVA'!$AB$8)*1</f>
        <v>361.95264704220779</v>
      </c>
      <c r="AB203" s="6">
        <f>$K$203*$V$203</f>
        <v>0</v>
      </c>
      <c r="AC203" s="6">
        <f>$M$203*$W$203</f>
        <v>9706.4709400000011</v>
      </c>
      <c r="AD203" s="6">
        <f>$O$203*$X$203</f>
        <v>3178.1301800000006</v>
      </c>
      <c r="AE203" s="6">
        <f>$K$203*$Y$203</f>
        <v>0</v>
      </c>
      <c r="AF203" s="6">
        <f ca="1">$M$203*$Z$203</f>
        <v>11246.085434269175</v>
      </c>
      <c r="AG203" s="6">
        <f>$O$203*$AA$203</f>
        <v>2937.969636041601</v>
      </c>
    </row>
    <row r="204" spans="1:33" ht="11.25" customHeight="1" x14ac:dyDescent="0.3">
      <c r="A204" s="4" t="s">
        <v>21</v>
      </c>
      <c r="B204" s="4" t="s">
        <v>39</v>
      </c>
      <c r="C204" s="4" t="s">
        <v>40</v>
      </c>
      <c r="D204" s="4" t="s">
        <v>38</v>
      </c>
      <c r="E204" s="4" t="s">
        <v>25</v>
      </c>
      <c r="F204" s="4" t="s">
        <v>58</v>
      </c>
      <c r="G204" s="4" t="s">
        <v>25</v>
      </c>
      <c r="H204" s="4" t="s">
        <v>35</v>
      </c>
      <c r="I204" s="5">
        <v>44501</v>
      </c>
      <c r="J204" s="6">
        <v>0</v>
      </c>
      <c r="K204" s="6">
        <v>0</v>
      </c>
      <c r="L204" s="6">
        <v>575.26099999999997</v>
      </c>
      <c r="M204" s="6">
        <v>575.26099999999997</v>
      </c>
      <c r="N204" s="6">
        <v>0</v>
      </c>
      <c r="O204" s="6">
        <v>0</v>
      </c>
      <c r="P204" s="6">
        <v>0</v>
      </c>
      <c r="Q204" s="4" t="s">
        <v>59</v>
      </c>
      <c r="R204" s="4">
        <v>0</v>
      </c>
      <c r="S204" s="6">
        <v>0</v>
      </c>
      <c r="T204" s="6">
        <v>17</v>
      </c>
      <c r="U204" s="6">
        <v>0</v>
      </c>
      <c r="V204" s="6">
        <f>IF(ISERROR(VLOOKUP($S$204,'TAR FIN'!$A$1:$O$103,15,0)),0,VLOOKUP($S$204,'TAR FIN'!$A$1:$O$103,15,0))</f>
        <v>0</v>
      </c>
      <c r="W204" s="6">
        <f>IF(ISERROR(VLOOKUP($T$204,'TAR FIN'!$A$1:$O$103,15,0)),0,VLOOKUP($T$204,'TAR FIN'!$A$1:$O$103,15,0))</f>
        <v>84.99</v>
      </c>
      <c r="X204" s="6">
        <f>IF(ISERROR(VLOOKUP($U$204,'TAR FIN'!$A$1:$O$103,15,0)),0,VLOOKUP($U$204,'TAR FIN'!$A$1:$O$103,15,0))</f>
        <v>0</v>
      </c>
      <c r="Y204" s="6"/>
      <c r="Z204" s="6">
        <f ca="1">('TUSD BE'!$AM$24+'TUSD BF'!$AM$24+'TUSD CVA'!$AM$24)*1</f>
        <v>145.72237393634796</v>
      </c>
      <c r="AA204" s="6"/>
      <c r="AB204" s="6">
        <f>$K$204*$V$204</f>
        <v>0</v>
      </c>
      <c r="AC204" s="6">
        <f>$M$204*$W$204</f>
        <v>48891.432389999994</v>
      </c>
      <c r="AD204" s="6">
        <f>$O$204*$X$204</f>
        <v>0</v>
      </c>
      <c r="AE204" s="6">
        <f>$K$204*$Y$204</f>
        <v>0</v>
      </c>
      <c r="AF204" s="6">
        <f ca="1">$M$204*$Z$204</f>
        <v>83828.39855299746</v>
      </c>
      <c r="AG204" s="6">
        <f>$O$204*$AA$204</f>
        <v>0</v>
      </c>
    </row>
    <row r="205" spans="1:33" ht="11.25" customHeight="1" x14ac:dyDescent="0.3">
      <c r="A205" s="4" t="s">
        <v>21</v>
      </c>
      <c r="B205" s="4" t="s">
        <v>39</v>
      </c>
      <c r="C205" s="4" t="s">
        <v>40</v>
      </c>
      <c r="D205" s="4" t="s">
        <v>38</v>
      </c>
      <c r="E205" s="4" t="s">
        <v>25</v>
      </c>
      <c r="F205" s="4" t="s">
        <v>58</v>
      </c>
      <c r="G205" s="4" t="s">
        <v>25</v>
      </c>
      <c r="H205" s="4" t="s">
        <v>35</v>
      </c>
      <c r="I205" s="5">
        <v>44531</v>
      </c>
      <c r="J205" s="6">
        <v>0</v>
      </c>
      <c r="K205" s="6">
        <v>0</v>
      </c>
      <c r="L205" s="6">
        <v>596.47500000000002</v>
      </c>
      <c r="M205" s="6">
        <v>596.47500000000002</v>
      </c>
      <c r="N205" s="6">
        <v>0</v>
      </c>
      <c r="O205" s="6">
        <v>0</v>
      </c>
      <c r="P205" s="6">
        <v>0</v>
      </c>
      <c r="Q205" s="4" t="s">
        <v>59</v>
      </c>
      <c r="R205" s="4">
        <v>0</v>
      </c>
      <c r="S205" s="6">
        <v>0</v>
      </c>
      <c r="T205" s="6">
        <v>17</v>
      </c>
      <c r="U205" s="6">
        <v>0</v>
      </c>
      <c r="V205" s="6">
        <f>IF(ISERROR(VLOOKUP($S$205,'TAR FIN'!$A$1:$O$103,15,0)),0,VLOOKUP($S$205,'TAR FIN'!$A$1:$O$103,15,0))</f>
        <v>0</v>
      </c>
      <c r="W205" s="6">
        <f>IF(ISERROR(VLOOKUP($T$205,'TAR FIN'!$A$1:$O$103,15,0)),0,VLOOKUP($T$205,'TAR FIN'!$A$1:$O$103,15,0))</f>
        <v>84.99</v>
      </c>
      <c r="X205" s="6">
        <f>IF(ISERROR(VLOOKUP($U$205,'TAR FIN'!$A$1:$O$103,15,0)),0,VLOOKUP($U$205,'TAR FIN'!$A$1:$O$103,15,0))</f>
        <v>0</v>
      </c>
      <c r="Y205" s="6"/>
      <c r="Z205" s="6">
        <f ca="1">('TUSD BE'!$AM$24+'TUSD BF'!$AM$24+'TUSD CVA'!$AM$24)*1</f>
        <v>145.72237393634796</v>
      </c>
      <c r="AA205" s="6"/>
      <c r="AB205" s="6">
        <f>$K$205*$V$205</f>
        <v>0</v>
      </c>
      <c r="AC205" s="6">
        <f>$M$205*$W$205</f>
        <v>50694.410250000001</v>
      </c>
      <c r="AD205" s="6">
        <f>$O$205*$X$205</f>
        <v>0</v>
      </c>
      <c r="AE205" s="6">
        <f>$K$205*$Y$205</f>
        <v>0</v>
      </c>
      <c r="AF205" s="6">
        <f ca="1">$M$205*$Z$205</f>
        <v>86919.752993683156</v>
      </c>
      <c r="AG205" s="6">
        <f>$O$205*$AA$205</f>
        <v>0</v>
      </c>
    </row>
    <row r="206" spans="1:33" ht="11.25" customHeight="1" x14ac:dyDescent="0.3">
      <c r="A206" s="4" t="s">
        <v>21</v>
      </c>
      <c r="B206" s="4" t="s">
        <v>39</v>
      </c>
      <c r="C206" s="4" t="s">
        <v>40</v>
      </c>
      <c r="D206" s="4" t="s">
        <v>38</v>
      </c>
      <c r="E206" s="4" t="s">
        <v>25</v>
      </c>
      <c r="F206" s="4" t="s">
        <v>58</v>
      </c>
      <c r="G206" s="4" t="s">
        <v>25</v>
      </c>
      <c r="H206" s="4" t="s">
        <v>35</v>
      </c>
      <c r="I206" s="5">
        <v>44562</v>
      </c>
      <c r="J206" s="6">
        <v>0</v>
      </c>
      <c r="K206" s="6">
        <v>0</v>
      </c>
      <c r="L206" s="6">
        <v>604.79100000000005</v>
      </c>
      <c r="M206" s="6">
        <v>604.79100000000005</v>
      </c>
      <c r="N206" s="6">
        <v>0</v>
      </c>
      <c r="O206" s="6">
        <v>0</v>
      </c>
      <c r="P206" s="6">
        <v>0</v>
      </c>
      <c r="Q206" s="4" t="s">
        <v>59</v>
      </c>
      <c r="R206" s="4">
        <v>0</v>
      </c>
      <c r="S206" s="6">
        <v>0</v>
      </c>
      <c r="T206" s="6">
        <v>17</v>
      </c>
      <c r="U206" s="6">
        <v>0</v>
      </c>
      <c r="V206" s="6">
        <f>IF(ISERROR(VLOOKUP($S$206,'TAR FIN'!$A$1:$O$103,15,0)),0,VLOOKUP($S$206,'TAR FIN'!$A$1:$O$103,15,0))</f>
        <v>0</v>
      </c>
      <c r="W206" s="6">
        <f>IF(ISERROR(VLOOKUP($T$206,'TAR FIN'!$A$1:$O$103,15,0)),0,VLOOKUP($T$206,'TAR FIN'!$A$1:$O$103,15,0))</f>
        <v>84.99</v>
      </c>
      <c r="X206" s="6">
        <f>IF(ISERROR(VLOOKUP($U$206,'TAR FIN'!$A$1:$O$103,15,0)),0,VLOOKUP($U$206,'TAR FIN'!$A$1:$O$103,15,0))</f>
        <v>0</v>
      </c>
      <c r="Y206" s="6"/>
      <c r="Z206" s="6">
        <f ca="1">('TUSD BE'!$AM$24+'TUSD BF'!$AM$24+'TUSD CVA'!$AM$24)*1</f>
        <v>145.72237393634796</v>
      </c>
      <c r="AA206" s="6"/>
      <c r="AB206" s="6">
        <f>$K$206*$V$206</f>
        <v>0</v>
      </c>
      <c r="AC206" s="6">
        <f>$M$206*$W$206</f>
        <v>51401.187089999999</v>
      </c>
      <c r="AD206" s="6">
        <f>$O$206*$X$206</f>
        <v>0</v>
      </c>
      <c r="AE206" s="6">
        <f>$K$206*$Y$206</f>
        <v>0</v>
      </c>
      <c r="AF206" s="6">
        <f ca="1">$M$206*$Z$206</f>
        <v>88131.580255337831</v>
      </c>
      <c r="AG206" s="6">
        <f>$O$206*$AA$206</f>
        <v>0</v>
      </c>
    </row>
    <row r="207" spans="1:33" ht="11.25" customHeight="1" x14ac:dyDescent="0.3">
      <c r="A207" s="4" t="s">
        <v>21</v>
      </c>
      <c r="B207" s="4" t="s">
        <v>39</v>
      </c>
      <c r="C207" s="4" t="s">
        <v>40</v>
      </c>
      <c r="D207" s="4" t="s">
        <v>38</v>
      </c>
      <c r="E207" s="4" t="s">
        <v>25</v>
      </c>
      <c r="F207" s="4" t="s">
        <v>58</v>
      </c>
      <c r="G207" s="4" t="s">
        <v>25</v>
      </c>
      <c r="H207" s="4" t="s">
        <v>35</v>
      </c>
      <c r="I207" s="5">
        <v>44593</v>
      </c>
      <c r="J207" s="6">
        <v>0</v>
      </c>
      <c r="K207" s="6">
        <v>0</v>
      </c>
      <c r="L207" s="6">
        <v>605.59</v>
      </c>
      <c r="M207" s="6">
        <v>605.59</v>
      </c>
      <c r="N207" s="6">
        <v>0</v>
      </c>
      <c r="O207" s="6">
        <v>0</v>
      </c>
      <c r="P207" s="6">
        <v>0</v>
      </c>
      <c r="Q207" s="4" t="s">
        <v>59</v>
      </c>
      <c r="R207" s="4">
        <v>0</v>
      </c>
      <c r="S207" s="6">
        <v>0</v>
      </c>
      <c r="T207" s="6">
        <v>17</v>
      </c>
      <c r="U207" s="6">
        <v>0</v>
      </c>
      <c r="V207" s="6">
        <f>IF(ISERROR(VLOOKUP($S$207,'TAR FIN'!$A$1:$O$103,15,0)),0,VLOOKUP($S$207,'TAR FIN'!$A$1:$O$103,15,0))</f>
        <v>0</v>
      </c>
      <c r="W207" s="6">
        <f>IF(ISERROR(VLOOKUP($T$207,'TAR FIN'!$A$1:$O$103,15,0)),0,VLOOKUP($T$207,'TAR FIN'!$A$1:$O$103,15,0))</f>
        <v>84.99</v>
      </c>
      <c r="X207" s="6">
        <f>IF(ISERROR(VLOOKUP($U$207,'TAR FIN'!$A$1:$O$103,15,0)),0,VLOOKUP($U$207,'TAR FIN'!$A$1:$O$103,15,0))</f>
        <v>0</v>
      </c>
      <c r="Y207" s="6"/>
      <c r="Z207" s="6">
        <f ca="1">('TUSD BE'!$AM$24+'TUSD BF'!$AM$24+'TUSD CVA'!$AM$24)*1</f>
        <v>145.72237393634796</v>
      </c>
      <c r="AA207" s="6"/>
      <c r="AB207" s="6">
        <f>$K$207*$V$207</f>
        <v>0</v>
      </c>
      <c r="AC207" s="6">
        <f>$M$207*$W$207</f>
        <v>51469.094100000002</v>
      </c>
      <c r="AD207" s="6">
        <f>$O$207*$X$207</f>
        <v>0</v>
      </c>
      <c r="AE207" s="6">
        <f>$K$207*$Y$207</f>
        <v>0</v>
      </c>
      <c r="AF207" s="6">
        <f ca="1">$M$207*$Z$207</f>
        <v>88248.01243211297</v>
      </c>
      <c r="AG207" s="6">
        <f>$O$207*$AA$207</f>
        <v>0</v>
      </c>
    </row>
    <row r="208" spans="1:33" ht="11.25" customHeight="1" x14ac:dyDescent="0.3">
      <c r="A208" s="4" t="s">
        <v>21</v>
      </c>
      <c r="B208" s="4" t="s">
        <v>39</v>
      </c>
      <c r="C208" s="4" t="s">
        <v>40</v>
      </c>
      <c r="D208" s="4" t="s">
        <v>38</v>
      </c>
      <c r="E208" s="4" t="s">
        <v>25</v>
      </c>
      <c r="F208" s="4" t="s">
        <v>58</v>
      </c>
      <c r="G208" s="4" t="s">
        <v>25</v>
      </c>
      <c r="H208" s="4" t="s">
        <v>35</v>
      </c>
      <c r="I208" s="5">
        <v>44621</v>
      </c>
      <c r="J208" s="6">
        <v>0</v>
      </c>
      <c r="K208" s="6">
        <v>0</v>
      </c>
      <c r="L208" s="6">
        <v>636.11300000000006</v>
      </c>
      <c r="M208" s="6">
        <v>636.11300000000006</v>
      </c>
      <c r="N208" s="6">
        <v>0</v>
      </c>
      <c r="O208" s="6">
        <v>0</v>
      </c>
      <c r="P208" s="6">
        <v>0</v>
      </c>
      <c r="Q208" s="4" t="s">
        <v>59</v>
      </c>
      <c r="R208" s="4">
        <v>0</v>
      </c>
      <c r="S208" s="6">
        <v>0</v>
      </c>
      <c r="T208" s="6">
        <v>17</v>
      </c>
      <c r="U208" s="6">
        <v>0</v>
      </c>
      <c r="V208" s="6">
        <f>IF(ISERROR(VLOOKUP($S$208,'TAR FIN'!$A$1:$O$103,15,0)),0,VLOOKUP($S$208,'TAR FIN'!$A$1:$O$103,15,0))</f>
        <v>0</v>
      </c>
      <c r="W208" s="6">
        <f>IF(ISERROR(VLOOKUP($T$208,'TAR FIN'!$A$1:$O$103,15,0)),0,VLOOKUP($T$208,'TAR FIN'!$A$1:$O$103,15,0))</f>
        <v>84.99</v>
      </c>
      <c r="X208" s="6">
        <f>IF(ISERROR(VLOOKUP($U$208,'TAR FIN'!$A$1:$O$103,15,0)),0,VLOOKUP($U$208,'TAR FIN'!$A$1:$O$103,15,0))</f>
        <v>0</v>
      </c>
      <c r="Y208" s="6"/>
      <c r="Z208" s="6">
        <f ca="1">('TUSD BE'!$AM$24+'TUSD BF'!$AM$24+'TUSD CVA'!$AM$24)*1</f>
        <v>145.72237393634796</v>
      </c>
      <c r="AA208" s="6"/>
      <c r="AB208" s="6">
        <f>$K$208*$V$208</f>
        <v>0</v>
      </c>
      <c r="AC208" s="6">
        <f>$M$208*$W$208</f>
        <v>54063.243869999998</v>
      </c>
      <c r="AD208" s="6">
        <f>$O$208*$X$208</f>
        <v>0</v>
      </c>
      <c r="AE208" s="6">
        <f>$K$208*$Y$208</f>
        <v>0</v>
      </c>
      <c r="AF208" s="6">
        <f ca="1">$M$208*$Z$208</f>
        <v>92695.896451772118</v>
      </c>
      <c r="AG208" s="6">
        <f>$O$208*$AA$208</f>
        <v>0</v>
      </c>
    </row>
    <row r="209" spans="1:33" ht="11.25" customHeight="1" x14ac:dyDescent="0.3">
      <c r="A209" s="4" t="s">
        <v>21</v>
      </c>
      <c r="B209" s="4" t="s">
        <v>39</v>
      </c>
      <c r="C209" s="4" t="s">
        <v>40</v>
      </c>
      <c r="D209" s="4" t="s">
        <v>38</v>
      </c>
      <c r="E209" s="4" t="s">
        <v>25</v>
      </c>
      <c r="F209" s="4" t="s">
        <v>58</v>
      </c>
      <c r="G209" s="4" t="s">
        <v>25</v>
      </c>
      <c r="H209" s="4" t="s">
        <v>35</v>
      </c>
      <c r="I209" s="5">
        <v>44652</v>
      </c>
      <c r="J209" s="6">
        <v>0</v>
      </c>
      <c r="K209" s="6">
        <v>0</v>
      </c>
      <c r="L209" s="6">
        <v>652.21600000000001</v>
      </c>
      <c r="M209" s="6">
        <v>652.21600000000001</v>
      </c>
      <c r="N209" s="6">
        <v>0</v>
      </c>
      <c r="O209" s="6">
        <v>0</v>
      </c>
      <c r="P209" s="6">
        <v>0</v>
      </c>
      <c r="Q209" s="4" t="s">
        <v>59</v>
      </c>
      <c r="R209" s="4">
        <v>0</v>
      </c>
      <c r="S209" s="6">
        <v>0</v>
      </c>
      <c r="T209" s="6">
        <v>17</v>
      </c>
      <c r="U209" s="6">
        <v>0</v>
      </c>
      <c r="V209" s="6">
        <f>IF(ISERROR(VLOOKUP($S$209,'TAR FIN'!$A$1:$O$103,15,0)),0,VLOOKUP($S$209,'TAR FIN'!$A$1:$O$103,15,0))</f>
        <v>0</v>
      </c>
      <c r="W209" s="6">
        <f>IF(ISERROR(VLOOKUP($T$209,'TAR FIN'!$A$1:$O$103,15,0)),0,VLOOKUP($T$209,'TAR FIN'!$A$1:$O$103,15,0))</f>
        <v>84.99</v>
      </c>
      <c r="X209" s="6">
        <f>IF(ISERROR(VLOOKUP($U$209,'TAR FIN'!$A$1:$O$103,15,0)),0,VLOOKUP($U$209,'TAR FIN'!$A$1:$O$103,15,0))</f>
        <v>0</v>
      </c>
      <c r="Y209" s="6"/>
      <c r="Z209" s="6">
        <f ca="1">('TUSD BE'!$AM$24+'TUSD BF'!$AM$24+'TUSD CVA'!$AM$24)*1</f>
        <v>145.72237393634796</v>
      </c>
      <c r="AA209" s="6"/>
      <c r="AB209" s="6">
        <f>$K$209*$V$209</f>
        <v>0</v>
      </c>
      <c r="AC209" s="6">
        <f>$M$209*$W$209</f>
        <v>55431.83784</v>
      </c>
      <c r="AD209" s="6">
        <f>$O$209*$X$209</f>
        <v>0</v>
      </c>
      <c r="AE209" s="6">
        <f>$K$209*$Y$209</f>
        <v>0</v>
      </c>
      <c r="AF209" s="6">
        <f ca="1">$M$209*$Z$209</f>
        <v>95042.463839269127</v>
      </c>
      <c r="AG209" s="6">
        <f>$O$209*$AA$209</f>
        <v>0</v>
      </c>
    </row>
    <row r="210" spans="1:33" ht="11.25" customHeight="1" x14ac:dyDescent="0.3">
      <c r="A210" s="4" t="s">
        <v>21</v>
      </c>
      <c r="B210" s="4" t="s">
        <v>39</v>
      </c>
      <c r="C210" s="4" t="s">
        <v>40</v>
      </c>
      <c r="D210" s="4" t="s">
        <v>38</v>
      </c>
      <c r="E210" s="4" t="s">
        <v>25</v>
      </c>
      <c r="F210" s="4" t="s">
        <v>58</v>
      </c>
      <c r="G210" s="4" t="s">
        <v>25</v>
      </c>
      <c r="H210" s="4" t="s">
        <v>35</v>
      </c>
      <c r="I210" s="5">
        <v>44682</v>
      </c>
      <c r="J210" s="6">
        <v>0</v>
      </c>
      <c r="K210" s="6">
        <v>0</v>
      </c>
      <c r="L210" s="6">
        <v>649.923</v>
      </c>
      <c r="M210" s="6">
        <v>649.923</v>
      </c>
      <c r="N210" s="6">
        <v>0</v>
      </c>
      <c r="O210" s="6">
        <v>0</v>
      </c>
      <c r="P210" s="6">
        <v>0</v>
      </c>
      <c r="Q210" s="4" t="s">
        <v>59</v>
      </c>
      <c r="R210" s="4">
        <v>0</v>
      </c>
      <c r="S210" s="6">
        <v>0</v>
      </c>
      <c r="T210" s="6">
        <v>17</v>
      </c>
      <c r="U210" s="6">
        <v>0</v>
      </c>
      <c r="V210" s="6">
        <f>IF(ISERROR(VLOOKUP($S$210,'TAR FIN'!$A$1:$O$103,15,0)),0,VLOOKUP($S$210,'TAR FIN'!$A$1:$O$103,15,0))</f>
        <v>0</v>
      </c>
      <c r="W210" s="6">
        <f>IF(ISERROR(VLOOKUP($T$210,'TAR FIN'!$A$1:$O$103,15,0)),0,VLOOKUP($T$210,'TAR FIN'!$A$1:$O$103,15,0))</f>
        <v>84.99</v>
      </c>
      <c r="X210" s="6">
        <f>IF(ISERROR(VLOOKUP($U$210,'TAR FIN'!$A$1:$O$103,15,0)),0,VLOOKUP($U$210,'TAR FIN'!$A$1:$O$103,15,0))</f>
        <v>0</v>
      </c>
      <c r="Y210" s="6"/>
      <c r="Z210" s="6">
        <f ca="1">('TUSD BE'!$AM$24+'TUSD BF'!$AM$24+'TUSD CVA'!$AM$24)*1</f>
        <v>145.72237393634796</v>
      </c>
      <c r="AA210" s="6"/>
      <c r="AB210" s="6">
        <f>$K$210*$V$210</f>
        <v>0</v>
      </c>
      <c r="AC210" s="6">
        <f>$M$210*$W$210</f>
        <v>55236.955769999993</v>
      </c>
      <c r="AD210" s="6">
        <f>$O$210*$X$210</f>
        <v>0</v>
      </c>
      <c r="AE210" s="6">
        <f>$K$210*$Y$210</f>
        <v>0</v>
      </c>
      <c r="AF210" s="6">
        <f ca="1">$M$210*$Z$210</f>
        <v>94708.322435833077</v>
      </c>
      <c r="AG210" s="6">
        <f>$O$210*$AA$210</f>
        <v>0</v>
      </c>
    </row>
    <row r="211" spans="1:33" ht="11.25" customHeight="1" x14ac:dyDescent="0.3">
      <c r="A211" s="4" t="s">
        <v>21</v>
      </c>
      <c r="B211" s="4" t="s">
        <v>39</v>
      </c>
      <c r="C211" s="4" t="s">
        <v>40</v>
      </c>
      <c r="D211" s="4" t="s">
        <v>38</v>
      </c>
      <c r="E211" s="4" t="s">
        <v>25</v>
      </c>
      <c r="F211" s="4" t="s">
        <v>58</v>
      </c>
      <c r="G211" s="4" t="s">
        <v>25</v>
      </c>
      <c r="H211" s="4" t="s">
        <v>35</v>
      </c>
      <c r="I211" s="5">
        <v>44713</v>
      </c>
      <c r="J211" s="6">
        <v>0</v>
      </c>
      <c r="K211" s="6">
        <v>0</v>
      </c>
      <c r="L211" s="6">
        <v>575.21400000000006</v>
      </c>
      <c r="M211" s="6">
        <v>575.21400000000006</v>
      </c>
      <c r="N211" s="6">
        <v>0</v>
      </c>
      <c r="O211" s="6">
        <v>0</v>
      </c>
      <c r="P211" s="6">
        <v>0</v>
      </c>
      <c r="Q211" s="4" t="s">
        <v>59</v>
      </c>
      <c r="R211" s="4">
        <v>0</v>
      </c>
      <c r="S211" s="6">
        <v>0</v>
      </c>
      <c r="T211" s="6">
        <v>17</v>
      </c>
      <c r="U211" s="6">
        <v>0</v>
      </c>
      <c r="V211" s="6">
        <f>IF(ISERROR(VLOOKUP($S$211,'TAR FIN'!$A$1:$O$103,15,0)),0,VLOOKUP($S$211,'TAR FIN'!$A$1:$O$103,15,0))</f>
        <v>0</v>
      </c>
      <c r="W211" s="6">
        <f>IF(ISERROR(VLOOKUP($T$211,'TAR FIN'!$A$1:$O$103,15,0)),0,VLOOKUP($T$211,'TAR FIN'!$A$1:$O$103,15,0))</f>
        <v>84.99</v>
      </c>
      <c r="X211" s="6">
        <f>IF(ISERROR(VLOOKUP($U$211,'TAR FIN'!$A$1:$O$103,15,0)),0,VLOOKUP($U$211,'TAR FIN'!$A$1:$O$103,15,0))</f>
        <v>0</v>
      </c>
      <c r="Y211" s="6"/>
      <c r="Z211" s="6">
        <f ca="1">('TUSD BE'!$AM$24+'TUSD BF'!$AM$24+'TUSD CVA'!$AM$24)*1</f>
        <v>145.72237393634796</v>
      </c>
      <c r="AA211" s="6"/>
      <c r="AB211" s="6">
        <f>$K$211*$V$211</f>
        <v>0</v>
      </c>
      <c r="AC211" s="6">
        <f>$M$211*$W$211</f>
        <v>48887.437859999998</v>
      </c>
      <c r="AD211" s="6">
        <f>$O$211*$X$211</f>
        <v>0</v>
      </c>
      <c r="AE211" s="6">
        <f>$K$211*$Y$211</f>
        <v>0</v>
      </c>
      <c r="AF211" s="6">
        <f ca="1">$M$211*$Z$211</f>
        <v>83821.549601422463</v>
      </c>
      <c r="AG211" s="6">
        <f>$O$211*$AA$211</f>
        <v>0</v>
      </c>
    </row>
    <row r="212" spans="1:33" ht="11.25" customHeight="1" x14ac:dyDescent="0.3">
      <c r="A212" s="4" t="s">
        <v>21</v>
      </c>
      <c r="B212" s="4" t="s">
        <v>39</v>
      </c>
      <c r="C212" s="4" t="s">
        <v>40</v>
      </c>
      <c r="D212" s="4" t="s">
        <v>38</v>
      </c>
      <c r="E212" s="4" t="s">
        <v>25</v>
      </c>
      <c r="F212" s="4" t="s">
        <v>58</v>
      </c>
      <c r="G212" s="4" t="s">
        <v>25</v>
      </c>
      <c r="H212" s="4" t="s">
        <v>35</v>
      </c>
      <c r="I212" s="5">
        <v>44743</v>
      </c>
      <c r="J212" s="6">
        <v>0</v>
      </c>
      <c r="K212" s="6">
        <v>0</v>
      </c>
      <c r="L212" s="6">
        <v>748.23299999999995</v>
      </c>
      <c r="M212" s="6">
        <v>748.23299999999995</v>
      </c>
      <c r="N212" s="6">
        <v>0</v>
      </c>
      <c r="O212" s="6">
        <v>0</v>
      </c>
      <c r="P212" s="6">
        <v>0</v>
      </c>
      <c r="Q212" s="4" t="s">
        <v>59</v>
      </c>
      <c r="R212" s="4">
        <v>0</v>
      </c>
      <c r="S212" s="6">
        <v>0</v>
      </c>
      <c r="T212" s="6">
        <v>17</v>
      </c>
      <c r="U212" s="6">
        <v>0</v>
      </c>
      <c r="V212" s="6">
        <f>IF(ISERROR(VLOOKUP($S$212,'TAR FIN'!$A$1:$O$103,15,0)),0,VLOOKUP($S$212,'TAR FIN'!$A$1:$O$103,15,0))</f>
        <v>0</v>
      </c>
      <c r="W212" s="6">
        <f>IF(ISERROR(VLOOKUP($T$212,'TAR FIN'!$A$1:$O$103,15,0)),0,VLOOKUP($T$212,'TAR FIN'!$A$1:$O$103,15,0))</f>
        <v>84.99</v>
      </c>
      <c r="X212" s="6">
        <f>IF(ISERROR(VLOOKUP($U$212,'TAR FIN'!$A$1:$O$103,15,0)),0,VLOOKUP($U$212,'TAR FIN'!$A$1:$O$103,15,0))</f>
        <v>0</v>
      </c>
      <c r="Y212" s="6"/>
      <c r="Z212" s="6">
        <f ca="1">('TUSD BE'!$AM$24+'TUSD BF'!$AM$24+'TUSD CVA'!$AM$24)*1</f>
        <v>145.72237393634796</v>
      </c>
      <c r="AA212" s="6"/>
      <c r="AB212" s="6">
        <f>$K$212*$V$212</f>
        <v>0</v>
      </c>
      <c r="AC212" s="6">
        <f>$M$212*$W$212</f>
        <v>63592.322669999994</v>
      </c>
      <c r="AD212" s="6">
        <f>$O$212*$X$212</f>
        <v>0</v>
      </c>
      <c r="AE212" s="6">
        <f>$K$212*$Y$212</f>
        <v>0</v>
      </c>
      <c r="AF212" s="6">
        <f ca="1">$M$212*$Z$212</f>
        <v>109034.28901751543</v>
      </c>
      <c r="AG212" s="6">
        <f>$O$212*$AA$212</f>
        <v>0</v>
      </c>
    </row>
    <row r="213" spans="1:33" ht="11.25" customHeight="1" x14ac:dyDescent="0.3">
      <c r="A213" s="4" t="s">
        <v>21</v>
      </c>
      <c r="B213" s="4" t="s">
        <v>39</v>
      </c>
      <c r="C213" s="4" t="s">
        <v>40</v>
      </c>
      <c r="D213" s="4" t="s">
        <v>38</v>
      </c>
      <c r="E213" s="4" t="s">
        <v>25</v>
      </c>
      <c r="F213" s="4" t="s">
        <v>58</v>
      </c>
      <c r="G213" s="4" t="s">
        <v>25</v>
      </c>
      <c r="H213" s="4" t="s">
        <v>35</v>
      </c>
      <c r="I213" s="5">
        <v>44774</v>
      </c>
      <c r="J213" s="6">
        <v>0</v>
      </c>
      <c r="K213" s="6">
        <v>0</v>
      </c>
      <c r="L213" s="6">
        <v>706.13199999999995</v>
      </c>
      <c r="M213" s="6">
        <v>706.13199999999995</v>
      </c>
      <c r="N213" s="6">
        <v>0</v>
      </c>
      <c r="O213" s="6">
        <v>0</v>
      </c>
      <c r="P213" s="6">
        <v>0</v>
      </c>
      <c r="Q213" s="4" t="s">
        <v>59</v>
      </c>
      <c r="R213" s="4">
        <v>0</v>
      </c>
      <c r="S213" s="6">
        <v>0</v>
      </c>
      <c r="T213" s="6">
        <v>17</v>
      </c>
      <c r="U213" s="6">
        <v>0</v>
      </c>
      <c r="V213" s="6">
        <f>IF(ISERROR(VLOOKUP($S$213,'TAR FIN'!$A$1:$O$103,15,0)),0,VLOOKUP($S$213,'TAR FIN'!$A$1:$O$103,15,0))</f>
        <v>0</v>
      </c>
      <c r="W213" s="6">
        <f>IF(ISERROR(VLOOKUP($T$213,'TAR FIN'!$A$1:$O$103,15,0)),0,VLOOKUP($T$213,'TAR FIN'!$A$1:$O$103,15,0))</f>
        <v>84.99</v>
      </c>
      <c r="X213" s="6">
        <f>IF(ISERROR(VLOOKUP($U$213,'TAR FIN'!$A$1:$O$103,15,0)),0,VLOOKUP($U$213,'TAR FIN'!$A$1:$O$103,15,0))</f>
        <v>0</v>
      </c>
      <c r="Y213" s="6"/>
      <c r="Z213" s="6">
        <f ca="1">('TUSD BE'!$AM$24+'TUSD BF'!$AM$24+'TUSD CVA'!$AM$24)*1</f>
        <v>145.72237393634796</v>
      </c>
      <c r="AA213" s="6"/>
      <c r="AB213" s="6">
        <f>$K$213*$V$213</f>
        <v>0</v>
      </c>
      <c r="AC213" s="6">
        <f>$M$213*$W$213</f>
        <v>60014.158679999993</v>
      </c>
      <c r="AD213" s="6">
        <f>$O$213*$X$213</f>
        <v>0</v>
      </c>
      <c r="AE213" s="6">
        <f>$K$213*$Y$213</f>
        <v>0</v>
      </c>
      <c r="AF213" s="6">
        <f ca="1">$M$213*$Z$213</f>
        <v>102899.23135242125</v>
      </c>
      <c r="AG213" s="6">
        <f>$O$213*$AA$213</f>
        <v>0</v>
      </c>
    </row>
    <row r="214" spans="1:33" ht="11.25" customHeight="1" x14ac:dyDescent="0.3">
      <c r="A214" s="4" t="s">
        <v>21</v>
      </c>
      <c r="B214" s="4" t="s">
        <v>39</v>
      </c>
      <c r="C214" s="4" t="s">
        <v>40</v>
      </c>
      <c r="D214" s="4" t="s">
        <v>38</v>
      </c>
      <c r="E214" s="4" t="s">
        <v>25</v>
      </c>
      <c r="F214" s="4" t="s">
        <v>58</v>
      </c>
      <c r="G214" s="4" t="s">
        <v>25</v>
      </c>
      <c r="H214" s="4" t="s">
        <v>35</v>
      </c>
      <c r="I214" s="5">
        <v>44805</v>
      </c>
      <c r="J214" s="6">
        <v>0</v>
      </c>
      <c r="K214" s="6">
        <v>0</v>
      </c>
      <c r="L214" s="6">
        <v>641.66600000000005</v>
      </c>
      <c r="M214" s="6">
        <v>641.66600000000005</v>
      </c>
      <c r="N214" s="6">
        <v>0</v>
      </c>
      <c r="O214" s="6">
        <v>0</v>
      </c>
      <c r="P214" s="6">
        <v>0</v>
      </c>
      <c r="Q214" s="4" t="s">
        <v>59</v>
      </c>
      <c r="R214" s="4">
        <v>0</v>
      </c>
      <c r="S214" s="6">
        <v>0</v>
      </c>
      <c r="T214" s="6">
        <v>17</v>
      </c>
      <c r="U214" s="6">
        <v>0</v>
      </c>
      <c r="V214" s="6">
        <f>IF(ISERROR(VLOOKUP($S$214,'TAR FIN'!$A$1:$O$103,15,0)),0,VLOOKUP($S$214,'TAR FIN'!$A$1:$O$103,15,0))</f>
        <v>0</v>
      </c>
      <c r="W214" s="6">
        <f>IF(ISERROR(VLOOKUP($T$214,'TAR FIN'!$A$1:$O$103,15,0)),0,VLOOKUP($T$214,'TAR FIN'!$A$1:$O$103,15,0))</f>
        <v>84.99</v>
      </c>
      <c r="X214" s="6">
        <f>IF(ISERROR(VLOOKUP($U$214,'TAR FIN'!$A$1:$O$103,15,0)),0,VLOOKUP($U$214,'TAR FIN'!$A$1:$O$103,15,0))</f>
        <v>0</v>
      </c>
      <c r="Y214" s="6"/>
      <c r="Z214" s="6">
        <f ca="1">('TUSD BE'!$AM$24+'TUSD BF'!$AM$24+'TUSD CVA'!$AM$24)*1</f>
        <v>145.72237393634796</v>
      </c>
      <c r="AA214" s="6"/>
      <c r="AB214" s="6">
        <f>$K$214*$V$214</f>
        <v>0</v>
      </c>
      <c r="AC214" s="6">
        <f>$M$214*$W$214</f>
        <v>54535.193339999998</v>
      </c>
      <c r="AD214" s="6">
        <f>$O$214*$X$214</f>
        <v>0</v>
      </c>
      <c r="AE214" s="6">
        <f>$K$214*$Y$214</f>
        <v>0</v>
      </c>
      <c r="AF214" s="6">
        <f ca="1">$M$214*$Z$214</f>
        <v>93505.092794240656</v>
      </c>
      <c r="AG214" s="6">
        <f>$O$214*$AA$214</f>
        <v>0</v>
      </c>
    </row>
    <row r="215" spans="1:33" ht="11.25" customHeight="1" x14ac:dyDescent="0.3">
      <c r="A215" s="4" t="s">
        <v>57</v>
      </c>
      <c r="B215" s="4" t="s">
        <v>39</v>
      </c>
      <c r="C215" s="4" t="s">
        <v>40</v>
      </c>
      <c r="D215" s="4" t="s">
        <v>38</v>
      </c>
      <c r="E215" s="4" t="s">
        <v>25</v>
      </c>
      <c r="F215" s="4" t="s">
        <v>58</v>
      </c>
      <c r="G215" s="4" t="s">
        <v>25</v>
      </c>
      <c r="H215" s="4" t="s">
        <v>35</v>
      </c>
      <c r="I215" s="5">
        <v>44835</v>
      </c>
      <c r="J215" s="6">
        <v>0</v>
      </c>
      <c r="K215" s="6">
        <v>0</v>
      </c>
      <c r="L215" s="6">
        <v>641.66600000000005</v>
      </c>
      <c r="M215" s="6">
        <v>641.66600000000005</v>
      </c>
      <c r="N215" s="6">
        <v>0</v>
      </c>
      <c r="O215" s="6">
        <v>0</v>
      </c>
      <c r="P215" s="6">
        <v>0</v>
      </c>
      <c r="Q215" s="4" t="s">
        <v>59</v>
      </c>
      <c r="R215" s="4">
        <v>0</v>
      </c>
      <c r="S215" s="6">
        <v>0</v>
      </c>
      <c r="T215" s="6">
        <v>17</v>
      </c>
      <c r="U215" s="6">
        <v>0</v>
      </c>
      <c r="V215" s="6">
        <f>IF(ISERROR(VLOOKUP($S$215,'TAR FIN'!$A$1:$O$103,15,0)),0,VLOOKUP($S$215,'TAR FIN'!$A$1:$O$103,15,0))</f>
        <v>0</v>
      </c>
      <c r="W215" s="6">
        <f>IF(ISERROR(VLOOKUP($T$215,'TAR FIN'!$A$1:$O$103,15,0)),0,VLOOKUP($T$215,'TAR FIN'!$A$1:$O$103,15,0))</f>
        <v>84.99</v>
      </c>
      <c r="X215" s="6">
        <f>IF(ISERROR(VLOOKUP($U$215,'TAR FIN'!$A$1:$O$103,15,0)),0,VLOOKUP($U$215,'TAR FIN'!$A$1:$O$103,15,0))</f>
        <v>0</v>
      </c>
      <c r="Y215" s="6"/>
      <c r="Z215" s="6">
        <f ca="1">('TUSD BE'!$AM$24+'TUSD BF'!$AM$24+'TUSD CVA'!$AM$24)*1</f>
        <v>145.72237393634796</v>
      </c>
      <c r="AA215" s="6"/>
      <c r="AB215" s="6">
        <f>$K$215*$V$215</f>
        <v>0</v>
      </c>
      <c r="AC215" s="6">
        <f>$M$215*$W$215</f>
        <v>54535.193339999998</v>
      </c>
      <c r="AD215" s="6">
        <f>$O$215*$X$215</f>
        <v>0</v>
      </c>
      <c r="AE215" s="6">
        <f>$K$215*$Y$215</f>
        <v>0</v>
      </c>
      <c r="AF215" s="6">
        <f ca="1">$M$215*$Z$215</f>
        <v>93505.092794240656</v>
      </c>
      <c r="AG215" s="6">
        <f>$O$215*$AA$215</f>
        <v>0</v>
      </c>
    </row>
    <row r="216" spans="1:33" ht="11.25" customHeight="1" x14ac:dyDescent="0.3">
      <c r="A216" s="4" t="s">
        <v>21</v>
      </c>
      <c r="B216" s="4" t="s">
        <v>39</v>
      </c>
      <c r="C216" s="4" t="s">
        <v>40</v>
      </c>
      <c r="D216" s="4" t="s">
        <v>38</v>
      </c>
      <c r="E216" s="4" t="s">
        <v>25</v>
      </c>
      <c r="F216" s="4" t="s">
        <v>58</v>
      </c>
      <c r="G216" s="4" t="s">
        <v>25</v>
      </c>
      <c r="H216" s="4" t="s">
        <v>25</v>
      </c>
      <c r="I216" s="5">
        <v>44501</v>
      </c>
      <c r="J216" s="6">
        <v>2100</v>
      </c>
      <c r="K216" s="6">
        <v>1050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4" t="s">
        <v>59</v>
      </c>
      <c r="R216" s="4">
        <v>0</v>
      </c>
      <c r="S216" s="6">
        <v>13</v>
      </c>
      <c r="T216" s="6">
        <v>0</v>
      </c>
      <c r="U216" s="6">
        <v>0</v>
      </c>
      <c r="V216" s="6">
        <f>IF(ISERROR(VLOOKUP($S$216,'TAR FIN'!$A$1:$O$103,15,0)),0,VLOOKUP($S$216,'TAR FIN'!$A$1:$O$103,15,0))</f>
        <v>18.920000000000002</v>
      </c>
      <c r="W216" s="6">
        <f>IF(ISERROR(VLOOKUP($T$216,'TAR FIN'!$A$1:$O$103,15,0)),0,VLOOKUP($T$216,'TAR FIN'!$A$1:$O$103,15,0))</f>
        <v>0</v>
      </c>
      <c r="X216" s="6">
        <f>IF(ISERROR(VLOOKUP($U$216,'TAR FIN'!$A$1:$O$103,15,0)),0,VLOOKUP($U$216,'TAR FIN'!$A$1:$O$103,15,0))</f>
        <v>0</v>
      </c>
      <c r="Y216" s="6">
        <f ca="1">('TUSD BE'!$AM$22+'TUSD BF'!$AM$22+'TUSD CVA'!$AM$22)*1</f>
        <v>21.369338625624472</v>
      </c>
      <c r="Z216" s="6"/>
      <c r="AA216" s="6"/>
      <c r="AB216" s="6">
        <f>$K$216*$V$216</f>
        <v>19866</v>
      </c>
      <c r="AC216" s="6">
        <f>$M$216*$W$216</f>
        <v>0</v>
      </c>
      <c r="AD216" s="6">
        <f>$O$216*$X$216</f>
        <v>0</v>
      </c>
      <c r="AE216" s="6">
        <f ca="1">$K$216*$Y$216</f>
        <v>22437.805556905696</v>
      </c>
      <c r="AF216" s="6">
        <f>$M$216*$Z$216</f>
        <v>0</v>
      </c>
      <c r="AG216" s="6">
        <f>$O$216*$AA$216</f>
        <v>0</v>
      </c>
    </row>
    <row r="217" spans="1:33" ht="11.25" customHeight="1" x14ac:dyDescent="0.3">
      <c r="A217" s="4" t="s">
        <v>21</v>
      </c>
      <c r="B217" s="4" t="s">
        <v>39</v>
      </c>
      <c r="C217" s="4" t="s">
        <v>40</v>
      </c>
      <c r="D217" s="4" t="s">
        <v>38</v>
      </c>
      <c r="E217" s="4" t="s">
        <v>25</v>
      </c>
      <c r="F217" s="4" t="s">
        <v>58</v>
      </c>
      <c r="G217" s="4" t="s">
        <v>25</v>
      </c>
      <c r="H217" s="4" t="s">
        <v>25</v>
      </c>
      <c r="I217" s="5">
        <v>44531</v>
      </c>
      <c r="J217" s="6">
        <v>2100</v>
      </c>
      <c r="K217" s="6">
        <v>1050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4" t="s">
        <v>59</v>
      </c>
      <c r="R217" s="4">
        <v>0</v>
      </c>
      <c r="S217" s="6">
        <v>13</v>
      </c>
      <c r="T217" s="6">
        <v>0</v>
      </c>
      <c r="U217" s="6">
        <v>0</v>
      </c>
      <c r="V217" s="6">
        <f>IF(ISERROR(VLOOKUP($S$217,'TAR FIN'!$A$1:$O$103,15,0)),0,VLOOKUP($S$217,'TAR FIN'!$A$1:$O$103,15,0))</f>
        <v>18.920000000000002</v>
      </c>
      <c r="W217" s="6">
        <f>IF(ISERROR(VLOOKUP($T$217,'TAR FIN'!$A$1:$O$103,15,0)),0,VLOOKUP($T$217,'TAR FIN'!$A$1:$O$103,15,0))</f>
        <v>0</v>
      </c>
      <c r="X217" s="6">
        <f>IF(ISERROR(VLOOKUP($U$217,'TAR FIN'!$A$1:$O$103,15,0)),0,VLOOKUP($U$217,'TAR FIN'!$A$1:$O$103,15,0))</f>
        <v>0</v>
      </c>
      <c r="Y217" s="6">
        <f ca="1">('TUSD BE'!$AM$22+'TUSD BF'!$AM$22+'TUSD CVA'!$AM$22)*1</f>
        <v>21.369338625624472</v>
      </c>
      <c r="Z217" s="6"/>
      <c r="AA217" s="6"/>
      <c r="AB217" s="6">
        <f>$K$217*$V$217</f>
        <v>19866</v>
      </c>
      <c r="AC217" s="6">
        <f>$M$217*$W$217</f>
        <v>0</v>
      </c>
      <c r="AD217" s="6">
        <f>$O$217*$X$217</f>
        <v>0</v>
      </c>
      <c r="AE217" s="6">
        <f ca="1">$K$217*$Y$217</f>
        <v>22437.805556905696</v>
      </c>
      <c r="AF217" s="6">
        <f>$M$217*$Z$217</f>
        <v>0</v>
      </c>
      <c r="AG217" s="6">
        <f>$O$217*$AA$217</f>
        <v>0</v>
      </c>
    </row>
    <row r="218" spans="1:33" ht="11.25" customHeight="1" x14ac:dyDescent="0.3">
      <c r="A218" s="4" t="s">
        <v>21</v>
      </c>
      <c r="B218" s="4" t="s">
        <v>39</v>
      </c>
      <c r="C218" s="4" t="s">
        <v>40</v>
      </c>
      <c r="D218" s="4" t="s">
        <v>38</v>
      </c>
      <c r="E218" s="4" t="s">
        <v>25</v>
      </c>
      <c r="F218" s="4" t="s">
        <v>58</v>
      </c>
      <c r="G218" s="4" t="s">
        <v>25</v>
      </c>
      <c r="H218" s="4" t="s">
        <v>25</v>
      </c>
      <c r="I218" s="5">
        <v>44562</v>
      </c>
      <c r="J218" s="6">
        <v>2100</v>
      </c>
      <c r="K218" s="6">
        <v>1050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4" t="s">
        <v>59</v>
      </c>
      <c r="R218" s="4">
        <v>0</v>
      </c>
      <c r="S218" s="6">
        <v>13</v>
      </c>
      <c r="T218" s="6">
        <v>0</v>
      </c>
      <c r="U218" s="6">
        <v>0</v>
      </c>
      <c r="V218" s="6">
        <f>IF(ISERROR(VLOOKUP($S$218,'TAR FIN'!$A$1:$O$103,15,0)),0,VLOOKUP($S$218,'TAR FIN'!$A$1:$O$103,15,0))</f>
        <v>18.920000000000002</v>
      </c>
      <c r="W218" s="6">
        <f>IF(ISERROR(VLOOKUP($T$218,'TAR FIN'!$A$1:$O$103,15,0)),0,VLOOKUP($T$218,'TAR FIN'!$A$1:$O$103,15,0))</f>
        <v>0</v>
      </c>
      <c r="X218" s="6">
        <f>IF(ISERROR(VLOOKUP($U$218,'TAR FIN'!$A$1:$O$103,15,0)),0,VLOOKUP($U$218,'TAR FIN'!$A$1:$O$103,15,0))</f>
        <v>0</v>
      </c>
      <c r="Y218" s="6">
        <f ca="1">('TUSD BE'!$AM$22+'TUSD BF'!$AM$22+'TUSD CVA'!$AM$22)*1</f>
        <v>21.369338625624472</v>
      </c>
      <c r="Z218" s="6"/>
      <c r="AA218" s="6"/>
      <c r="AB218" s="6">
        <f>$K$218*$V$218</f>
        <v>19866</v>
      </c>
      <c r="AC218" s="6">
        <f>$M$218*$W$218</f>
        <v>0</v>
      </c>
      <c r="AD218" s="6">
        <f>$O$218*$X$218</f>
        <v>0</v>
      </c>
      <c r="AE218" s="6">
        <f ca="1">$K$218*$Y$218</f>
        <v>22437.805556905696</v>
      </c>
      <c r="AF218" s="6">
        <f>$M$218*$Z$218</f>
        <v>0</v>
      </c>
      <c r="AG218" s="6">
        <f>$O$218*$AA$218</f>
        <v>0</v>
      </c>
    </row>
    <row r="219" spans="1:33" ht="11.25" customHeight="1" x14ac:dyDescent="0.3">
      <c r="A219" s="4" t="s">
        <v>21</v>
      </c>
      <c r="B219" s="4" t="s">
        <v>39</v>
      </c>
      <c r="C219" s="4" t="s">
        <v>40</v>
      </c>
      <c r="D219" s="4" t="s">
        <v>38</v>
      </c>
      <c r="E219" s="4" t="s">
        <v>25</v>
      </c>
      <c r="F219" s="4" t="s">
        <v>58</v>
      </c>
      <c r="G219" s="4" t="s">
        <v>25</v>
      </c>
      <c r="H219" s="4" t="s">
        <v>25</v>
      </c>
      <c r="I219" s="5">
        <v>44593</v>
      </c>
      <c r="J219" s="6">
        <v>2100</v>
      </c>
      <c r="K219" s="6">
        <v>1050</v>
      </c>
      <c r="L219" s="6">
        <v>0</v>
      </c>
      <c r="M219" s="6">
        <v>0</v>
      </c>
      <c r="N219" s="6">
        <v>0</v>
      </c>
      <c r="O219" s="6">
        <v>0</v>
      </c>
      <c r="P219" s="6">
        <v>1</v>
      </c>
      <c r="Q219" s="4" t="s">
        <v>59</v>
      </c>
      <c r="R219" s="4">
        <v>0</v>
      </c>
      <c r="S219" s="6">
        <v>13</v>
      </c>
      <c r="T219" s="6">
        <v>0</v>
      </c>
      <c r="U219" s="6">
        <v>0</v>
      </c>
      <c r="V219" s="6">
        <f>IF(ISERROR(VLOOKUP($S$219,'TAR FIN'!$A$1:$O$103,15,0)),0,VLOOKUP($S$219,'TAR FIN'!$A$1:$O$103,15,0))</f>
        <v>18.920000000000002</v>
      </c>
      <c r="W219" s="6">
        <f>IF(ISERROR(VLOOKUP($T$219,'TAR FIN'!$A$1:$O$103,15,0)),0,VLOOKUP($T$219,'TAR FIN'!$A$1:$O$103,15,0))</f>
        <v>0</v>
      </c>
      <c r="X219" s="6">
        <f>IF(ISERROR(VLOOKUP($U$219,'TAR FIN'!$A$1:$O$103,15,0)),0,VLOOKUP($U$219,'TAR FIN'!$A$1:$O$103,15,0))</f>
        <v>0</v>
      </c>
      <c r="Y219" s="6">
        <f ca="1">('TUSD BE'!$AM$22+'TUSD BF'!$AM$22+'TUSD CVA'!$AM$22)*1</f>
        <v>21.369338625624472</v>
      </c>
      <c r="Z219" s="6"/>
      <c r="AA219" s="6"/>
      <c r="AB219" s="6">
        <f>$K$219*$V$219</f>
        <v>19866</v>
      </c>
      <c r="AC219" s="6">
        <f>$M$219*$W$219</f>
        <v>0</v>
      </c>
      <c r="AD219" s="6">
        <f>$O$219*$X$219</f>
        <v>0</v>
      </c>
      <c r="AE219" s="6">
        <f ca="1">$K$219*$Y$219</f>
        <v>22437.805556905696</v>
      </c>
      <c r="AF219" s="6">
        <f>$M$219*$Z$219</f>
        <v>0</v>
      </c>
      <c r="AG219" s="6">
        <f>$O$219*$AA$219</f>
        <v>0</v>
      </c>
    </row>
    <row r="220" spans="1:33" ht="11.25" customHeight="1" x14ac:dyDescent="0.3">
      <c r="A220" s="4" t="s">
        <v>21</v>
      </c>
      <c r="B220" s="4" t="s">
        <v>39</v>
      </c>
      <c r="C220" s="4" t="s">
        <v>40</v>
      </c>
      <c r="D220" s="4" t="s">
        <v>38</v>
      </c>
      <c r="E220" s="4" t="s">
        <v>25</v>
      </c>
      <c r="F220" s="4" t="s">
        <v>58</v>
      </c>
      <c r="G220" s="4" t="s">
        <v>25</v>
      </c>
      <c r="H220" s="4" t="s">
        <v>25</v>
      </c>
      <c r="I220" s="5">
        <v>44621</v>
      </c>
      <c r="J220" s="6">
        <v>2100</v>
      </c>
      <c r="K220" s="6">
        <v>1050</v>
      </c>
      <c r="L220" s="6">
        <v>0</v>
      </c>
      <c r="M220" s="6">
        <v>0</v>
      </c>
      <c r="N220" s="6">
        <v>0</v>
      </c>
      <c r="O220" s="6">
        <v>0</v>
      </c>
      <c r="P220" s="6">
        <v>1</v>
      </c>
      <c r="Q220" s="4" t="s">
        <v>59</v>
      </c>
      <c r="R220" s="4">
        <v>0</v>
      </c>
      <c r="S220" s="6">
        <v>13</v>
      </c>
      <c r="T220" s="6">
        <v>0</v>
      </c>
      <c r="U220" s="6">
        <v>0</v>
      </c>
      <c r="V220" s="6">
        <f>IF(ISERROR(VLOOKUP($S$220,'TAR FIN'!$A$1:$O$103,15,0)),0,VLOOKUP($S$220,'TAR FIN'!$A$1:$O$103,15,0))</f>
        <v>18.920000000000002</v>
      </c>
      <c r="W220" s="6">
        <f>IF(ISERROR(VLOOKUP($T$220,'TAR FIN'!$A$1:$O$103,15,0)),0,VLOOKUP($T$220,'TAR FIN'!$A$1:$O$103,15,0))</f>
        <v>0</v>
      </c>
      <c r="X220" s="6">
        <f>IF(ISERROR(VLOOKUP($U$220,'TAR FIN'!$A$1:$O$103,15,0)),0,VLOOKUP($U$220,'TAR FIN'!$A$1:$O$103,15,0))</f>
        <v>0</v>
      </c>
      <c r="Y220" s="6">
        <f ca="1">('TUSD BE'!$AM$22+'TUSD BF'!$AM$22+'TUSD CVA'!$AM$22)*1</f>
        <v>21.369338625624472</v>
      </c>
      <c r="Z220" s="6"/>
      <c r="AA220" s="6"/>
      <c r="AB220" s="6">
        <f>$K$220*$V$220</f>
        <v>19866</v>
      </c>
      <c r="AC220" s="6">
        <f>$M$220*$W$220</f>
        <v>0</v>
      </c>
      <c r="AD220" s="6">
        <f>$O$220*$X$220</f>
        <v>0</v>
      </c>
      <c r="AE220" s="6">
        <f ca="1">$K$220*$Y$220</f>
        <v>22437.805556905696</v>
      </c>
      <c r="AF220" s="6">
        <f>$M$220*$Z$220</f>
        <v>0</v>
      </c>
      <c r="AG220" s="6">
        <f>$O$220*$AA$220</f>
        <v>0</v>
      </c>
    </row>
    <row r="221" spans="1:33" ht="11.25" customHeight="1" x14ac:dyDescent="0.3">
      <c r="A221" s="4" t="s">
        <v>21</v>
      </c>
      <c r="B221" s="4" t="s">
        <v>39</v>
      </c>
      <c r="C221" s="4" t="s">
        <v>40</v>
      </c>
      <c r="D221" s="4" t="s">
        <v>38</v>
      </c>
      <c r="E221" s="4" t="s">
        <v>25</v>
      </c>
      <c r="F221" s="4" t="s">
        <v>58</v>
      </c>
      <c r="G221" s="4" t="s">
        <v>25</v>
      </c>
      <c r="H221" s="4" t="s">
        <v>25</v>
      </c>
      <c r="I221" s="5">
        <v>44652</v>
      </c>
      <c r="J221" s="6">
        <v>2100</v>
      </c>
      <c r="K221" s="6">
        <v>1050</v>
      </c>
      <c r="L221" s="6">
        <v>0</v>
      </c>
      <c r="M221" s="6">
        <v>0</v>
      </c>
      <c r="N221" s="6">
        <v>0</v>
      </c>
      <c r="O221" s="6">
        <v>0</v>
      </c>
      <c r="P221" s="6">
        <v>1</v>
      </c>
      <c r="Q221" s="4" t="s">
        <v>59</v>
      </c>
      <c r="R221" s="4">
        <v>0</v>
      </c>
      <c r="S221" s="6">
        <v>13</v>
      </c>
      <c r="T221" s="6">
        <v>0</v>
      </c>
      <c r="U221" s="6">
        <v>0</v>
      </c>
      <c r="V221" s="6">
        <f>IF(ISERROR(VLOOKUP($S$221,'TAR FIN'!$A$1:$O$103,15,0)),0,VLOOKUP($S$221,'TAR FIN'!$A$1:$O$103,15,0))</f>
        <v>18.920000000000002</v>
      </c>
      <c r="W221" s="6">
        <f>IF(ISERROR(VLOOKUP($T$221,'TAR FIN'!$A$1:$O$103,15,0)),0,VLOOKUP($T$221,'TAR FIN'!$A$1:$O$103,15,0))</f>
        <v>0</v>
      </c>
      <c r="X221" s="6">
        <f>IF(ISERROR(VLOOKUP($U$221,'TAR FIN'!$A$1:$O$103,15,0)),0,VLOOKUP($U$221,'TAR FIN'!$A$1:$O$103,15,0))</f>
        <v>0</v>
      </c>
      <c r="Y221" s="6">
        <f ca="1">('TUSD BE'!$AM$22+'TUSD BF'!$AM$22+'TUSD CVA'!$AM$22)*1</f>
        <v>21.369338625624472</v>
      </c>
      <c r="Z221" s="6"/>
      <c r="AA221" s="6"/>
      <c r="AB221" s="6">
        <f>$K$221*$V$221</f>
        <v>19866</v>
      </c>
      <c r="AC221" s="6">
        <f>$M$221*$W$221</f>
        <v>0</v>
      </c>
      <c r="AD221" s="6">
        <f>$O$221*$X$221</f>
        <v>0</v>
      </c>
      <c r="AE221" s="6">
        <f ca="1">$K$221*$Y$221</f>
        <v>22437.805556905696</v>
      </c>
      <c r="AF221" s="6">
        <f>$M$221*$Z$221</f>
        <v>0</v>
      </c>
      <c r="AG221" s="6">
        <f>$O$221*$AA$221</f>
        <v>0</v>
      </c>
    </row>
    <row r="222" spans="1:33" ht="11.25" customHeight="1" x14ac:dyDescent="0.3">
      <c r="A222" s="4" t="s">
        <v>21</v>
      </c>
      <c r="B222" s="4" t="s">
        <v>39</v>
      </c>
      <c r="C222" s="4" t="s">
        <v>40</v>
      </c>
      <c r="D222" s="4" t="s">
        <v>38</v>
      </c>
      <c r="E222" s="4" t="s">
        <v>25</v>
      </c>
      <c r="F222" s="4" t="s">
        <v>58</v>
      </c>
      <c r="G222" s="4" t="s">
        <v>25</v>
      </c>
      <c r="H222" s="4" t="s">
        <v>25</v>
      </c>
      <c r="I222" s="5">
        <v>44682</v>
      </c>
      <c r="J222" s="6">
        <v>2100</v>
      </c>
      <c r="K222" s="6">
        <v>1050</v>
      </c>
      <c r="L222" s="6">
        <v>0</v>
      </c>
      <c r="M222" s="6">
        <v>0</v>
      </c>
      <c r="N222" s="6">
        <v>0</v>
      </c>
      <c r="O222" s="6">
        <v>0</v>
      </c>
      <c r="P222" s="6">
        <v>1</v>
      </c>
      <c r="Q222" s="4" t="s">
        <v>59</v>
      </c>
      <c r="R222" s="4">
        <v>0</v>
      </c>
      <c r="S222" s="6">
        <v>13</v>
      </c>
      <c r="T222" s="6">
        <v>0</v>
      </c>
      <c r="U222" s="6">
        <v>0</v>
      </c>
      <c r="V222" s="6">
        <f>IF(ISERROR(VLOOKUP($S$222,'TAR FIN'!$A$1:$O$103,15,0)),0,VLOOKUP($S$222,'TAR FIN'!$A$1:$O$103,15,0))</f>
        <v>18.920000000000002</v>
      </c>
      <c r="W222" s="6">
        <f>IF(ISERROR(VLOOKUP($T$222,'TAR FIN'!$A$1:$O$103,15,0)),0,VLOOKUP($T$222,'TAR FIN'!$A$1:$O$103,15,0))</f>
        <v>0</v>
      </c>
      <c r="X222" s="6">
        <f>IF(ISERROR(VLOOKUP($U$222,'TAR FIN'!$A$1:$O$103,15,0)),0,VLOOKUP($U$222,'TAR FIN'!$A$1:$O$103,15,0))</f>
        <v>0</v>
      </c>
      <c r="Y222" s="6">
        <f ca="1">('TUSD BE'!$AM$22+'TUSD BF'!$AM$22+'TUSD CVA'!$AM$22)*1</f>
        <v>21.369338625624472</v>
      </c>
      <c r="Z222" s="6"/>
      <c r="AA222" s="6"/>
      <c r="AB222" s="6">
        <f>$K$222*$V$222</f>
        <v>19866</v>
      </c>
      <c r="AC222" s="6">
        <f>$M$222*$W$222</f>
        <v>0</v>
      </c>
      <c r="AD222" s="6">
        <f>$O$222*$X$222</f>
        <v>0</v>
      </c>
      <c r="AE222" s="6">
        <f ca="1">$K$222*$Y$222</f>
        <v>22437.805556905696</v>
      </c>
      <c r="AF222" s="6">
        <f>$M$222*$Z$222</f>
        <v>0</v>
      </c>
      <c r="AG222" s="6">
        <f>$O$222*$AA$222</f>
        <v>0</v>
      </c>
    </row>
    <row r="223" spans="1:33" ht="11.25" customHeight="1" x14ac:dyDescent="0.3">
      <c r="A223" s="4" t="s">
        <v>21</v>
      </c>
      <c r="B223" s="4" t="s">
        <v>39</v>
      </c>
      <c r="C223" s="4" t="s">
        <v>40</v>
      </c>
      <c r="D223" s="4" t="s">
        <v>38</v>
      </c>
      <c r="E223" s="4" t="s">
        <v>25</v>
      </c>
      <c r="F223" s="4" t="s">
        <v>58</v>
      </c>
      <c r="G223" s="4" t="s">
        <v>25</v>
      </c>
      <c r="H223" s="4" t="s">
        <v>25</v>
      </c>
      <c r="I223" s="5">
        <v>44713</v>
      </c>
      <c r="J223" s="6">
        <v>2100</v>
      </c>
      <c r="K223" s="6">
        <v>1050</v>
      </c>
      <c r="L223" s="6">
        <v>0</v>
      </c>
      <c r="M223" s="6">
        <v>0</v>
      </c>
      <c r="N223" s="6">
        <v>0</v>
      </c>
      <c r="O223" s="6">
        <v>0</v>
      </c>
      <c r="P223" s="6">
        <v>1</v>
      </c>
      <c r="Q223" s="4" t="s">
        <v>59</v>
      </c>
      <c r="R223" s="4">
        <v>0</v>
      </c>
      <c r="S223" s="6">
        <v>13</v>
      </c>
      <c r="T223" s="6">
        <v>0</v>
      </c>
      <c r="U223" s="6">
        <v>0</v>
      </c>
      <c r="V223" s="6">
        <f>IF(ISERROR(VLOOKUP($S$223,'TAR FIN'!$A$1:$O$103,15,0)),0,VLOOKUP($S$223,'TAR FIN'!$A$1:$O$103,15,0))</f>
        <v>18.920000000000002</v>
      </c>
      <c r="W223" s="6">
        <f>IF(ISERROR(VLOOKUP($T$223,'TAR FIN'!$A$1:$O$103,15,0)),0,VLOOKUP($T$223,'TAR FIN'!$A$1:$O$103,15,0))</f>
        <v>0</v>
      </c>
      <c r="X223" s="6">
        <f>IF(ISERROR(VLOOKUP($U$223,'TAR FIN'!$A$1:$O$103,15,0)),0,VLOOKUP($U$223,'TAR FIN'!$A$1:$O$103,15,0))</f>
        <v>0</v>
      </c>
      <c r="Y223" s="6">
        <f ca="1">('TUSD BE'!$AM$22+'TUSD BF'!$AM$22+'TUSD CVA'!$AM$22)*1</f>
        <v>21.369338625624472</v>
      </c>
      <c r="Z223" s="6"/>
      <c r="AA223" s="6"/>
      <c r="AB223" s="6">
        <f>$K$223*$V$223</f>
        <v>19866</v>
      </c>
      <c r="AC223" s="6">
        <f>$M$223*$W$223</f>
        <v>0</v>
      </c>
      <c r="AD223" s="6">
        <f>$O$223*$X$223</f>
        <v>0</v>
      </c>
      <c r="AE223" s="6">
        <f ca="1">$K$223*$Y$223</f>
        <v>22437.805556905696</v>
      </c>
      <c r="AF223" s="6">
        <f>$M$223*$Z$223</f>
        <v>0</v>
      </c>
      <c r="AG223" s="6">
        <f>$O$223*$AA$223</f>
        <v>0</v>
      </c>
    </row>
    <row r="224" spans="1:33" ht="11.25" customHeight="1" x14ac:dyDescent="0.3">
      <c r="A224" s="4" t="s">
        <v>21</v>
      </c>
      <c r="B224" s="4" t="s">
        <v>39</v>
      </c>
      <c r="C224" s="4" t="s">
        <v>40</v>
      </c>
      <c r="D224" s="4" t="s">
        <v>38</v>
      </c>
      <c r="E224" s="4" t="s">
        <v>25</v>
      </c>
      <c r="F224" s="4" t="s">
        <v>58</v>
      </c>
      <c r="G224" s="4" t="s">
        <v>25</v>
      </c>
      <c r="H224" s="4" t="s">
        <v>25</v>
      </c>
      <c r="I224" s="5">
        <v>44743</v>
      </c>
      <c r="J224" s="6">
        <v>2100</v>
      </c>
      <c r="K224" s="6">
        <v>1050</v>
      </c>
      <c r="L224" s="6">
        <v>0</v>
      </c>
      <c r="M224" s="6">
        <v>0</v>
      </c>
      <c r="N224" s="6">
        <v>0</v>
      </c>
      <c r="O224" s="6">
        <v>0</v>
      </c>
      <c r="P224" s="6">
        <v>1</v>
      </c>
      <c r="Q224" s="4" t="s">
        <v>59</v>
      </c>
      <c r="R224" s="4">
        <v>0</v>
      </c>
      <c r="S224" s="6">
        <v>13</v>
      </c>
      <c r="T224" s="6">
        <v>0</v>
      </c>
      <c r="U224" s="6">
        <v>0</v>
      </c>
      <c r="V224" s="6">
        <f>IF(ISERROR(VLOOKUP($S$224,'TAR FIN'!$A$1:$O$103,15,0)),0,VLOOKUP($S$224,'TAR FIN'!$A$1:$O$103,15,0))</f>
        <v>18.920000000000002</v>
      </c>
      <c r="W224" s="6">
        <f>IF(ISERROR(VLOOKUP($T$224,'TAR FIN'!$A$1:$O$103,15,0)),0,VLOOKUP($T$224,'TAR FIN'!$A$1:$O$103,15,0))</f>
        <v>0</v>
      </c>
      <c r="X224" s="6">
        <f>IF(ISERROR(VLOOKUP($U$224,'TAR FIN'!$A$1:$O$103,15,0)),0,VLOOKUP($U$224,'TAR FIN'!$A$1:$O$103,15,0))</f>
        <v>0</v>
      </c>
      <c r="Y224" s="6">
        <f ca="1">('TUSD BE'!$AM$22+'TUSD BF'!$AM$22+'TUSD CVA'!$AM$22)*1</f>
        <v>21.369338625624472</v>
      </c>
      <c r="Z224" s="6"/>
      <c r="AA224" s="6"/>
      <c r="AB224" s="6">
        <f>$K$224*$V$224</f>
        <v>19866</v>
      </c>
      <c r="AC224" s="6">
        <f>$M$224*$W$224</f>
        <v>0</v>
      </c>
      <c r="AD224" s="6">
        <f>$O$224*$X$224</f>
        <v>0</v>
      </c>
      <c r="AE224" s="6">
        <f ca="1">$K$224*$Y$224</f>
        <v>22437.805556905696</v>
      </c>
      <c r="AF224" s="6">
        <f>$M$224*$Z$224</f>
        <v>0</v>
      </c>
      <c r="AG224" s="6">
        <f>$O$224*$AA$224</f>
        <v>0</v>
      </c>
    </row>
    <row r="225" spans="1:33" ht="11.25" customHeight="1" x14ac:dyDescent="0.3">
      <c r="A225" s="4" t="s">
        <v>21</v>
      </c>
      <c r="B225" s="4" t="s">
        <v>39</v>
      </c>
      <c r="C225" s="4" t="s">
        <v>40</v>
      </c>
      <c r="D225" s="4" t="s">
        <v>38</v>
      </c>
      <c r="E225" s="4" t="s">
        <v>25</v>
      </c>
      <c r="F225" s="4" t="s">
        <v>58</v>
      </c>
      <c r="G225" s="4" t="s">
        <v>25</v>
      </c>
      <c r="H225" s="4" t="s">
        <v>25</v>
      </c>
      <c r="I225" s="5">
        <v>44774</v>
      </c>
      <c r="J225" s="6">
        <v>2100</v>
      </c>
      <c r="K225" s="6">
        <v>1050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4" t="s">
        <v>59</v>
      </c>
      <c r="R225" s="4">
        <v>0</v>
      </c>
      <c r="S225" s="6">
        <v>13</v>
      </c>
      <c r="T225" s="6">
        <v>0</v>
      </c>
      <c r="U225" s="6">
        <v>0</v>
      </c>
      <c r="V225" s="6">
        <f>IF(ISERROR(VLOOKUP($S$225,'TAR FIN'!$A$1:$O$103,15,0)),0,VLOOKUP($S$225,'TAR FIN'!$A$1:$O$103,15,0))</f>
        <v>18.920000000000002</v>
      </c>
      <c r="W225" s="6">
        <f>IF(ISERROR(VLOOKUP($T$225,'TAR FIN'!$A$1:$O$103,15,0)),0,VLOOKUP($T$225,'TAR FIN'!$A$1:$O$103,15,0))</f>
        <v>0</v>
      </c>
      <c r="X225" s="6">
        <f>IF(ISERROR(VLOOKUP($U$225,'TAR FIN'!$A$1:$O$103,15,0)),0,VLOOKUP($U$225,'TAR FIN'!$A$1:$O$103,15,0))</f>
        <v>0</v>
      </c>
      <c r="Y225" s="6">
        <f ca="1">('TUSD BE'!$AM$22+'TUSD BF'!$AM$22+'TUSD CVA'!$AM$22)*1</f>
        <v>21.369338625624472</v>
      </c>
      <c r="Z225" s="6"/>
      <c r="AA225" s="6"/>
      <c r="AB225" s="6">
        <f>$K$225*$V$225</f>
        <v>19866</v>
      </c>
      <c r="AC225" s="6">
        <f>$M$225*$W$225</f>
        <v>0</v>
      </c>
      <c r="AD225" s="6">
        <f>$O$225*$X$225</f>
        <v>0</v>
      </c>
      <c r="AE225" s="6">
        <f ca="1">$K$225*$Y$225</f>
        <v>22437.805556905696</v>
      </c>
      <c r="AF225" s="6">
        <f>$M$225*$Z$225</f>
        <v>0</v>
      </c>
      <c r="AG225" s="6">
        <f>$O$225*$AA$225</f>
        <v>0</v>
      </c>
    </row>
    <row r="226" spans="1:33" ht="11.25" customHeight="1" x14ac:dyDescent="0.3">
      <c r="A226" s="4" t="s">
        <v>21</v>
      </c>
      <c r="B226" s="4" t="s">
        <v>39</v>
      </c>
      <c r="C226" s="4" t="s">
        <v>40</v>
      </c>
      <c r="D226" s="4" t="s">
        <v>38</v>
      </c>
      <c r="E226" s="4" t="s">
        <v>25</v>
      </c>
      <c r="F226" s="4" t="s">
        <v>58</v>
      </c>
      <c r="G226" s="4" t="s">
        <v>25</v>
      </c>
      <c r="H226" s="4" t="s">
        <v>25</v>
      </c>
      <c r="I226" s="5">
        <v>44805</v>
      </c>
      <c r="J226" s="6">
        <v>2100</v>
      </c>
      <c r="K226" s="6">
        <v>1050</v>
      </c>
      <c r="L226" s="6">
        <v>0</v>
      </c>
      <c r="M226" s="6">
        <v>0</v>
      </c>
      <c r="N226" s="6">
        <v>0</v>
      </c>
      <c r="O226" s="6">
        <v>0</v>
      </c>
      <c r="P226" s="6">
        <v>1</v>
      </c>
      <c r="Q226" s="4" t="s">
        <v>59</v>
      </c>
      <c r="R226" s="4">
        <v>0</v>
      </c>
      <c r="S226" s="6">
        <v>13</v>
      </c>
      <c r="T226" s="6">
        <v>0</v>
      </c>
      <c r="U226" s="6">
        <v>0</v>
      </c>
      <c r="V226" s="6">
        <f>IF(ISERROR(VLOOKUP($S$226,'TAR FIN'!$A$1:$O$103,15,0)),0,VLOOKUP($S$226,'TAR FIN'!$A$1:$O$103,15,0))</f>
        <v>18.920000000000002</v>
      </c>
      <c r="W226" s="6">
        <f>IF(ISERROR(VLOOKUP($T$226,'TAR FIN'!$A$1:$O$103,15,0)),0,VLOOKUP($T$226,'TAR FIN'!$A$1:$O$103,15,0))</f>
        <v>0</v>
      </c>
      <c r="X226" s="6">
        <f>IF(ISERROR(VLOOKUP($U$226,'TAR FIN'!$A$1:$O$103,15,0)),0,VLOOKUP($U$226,'TAR FIN'!$A$1:$O$103,15,0))</f>
        <v>0</v>
      </c>
      <c r="Y226" s="6">
        <f ca="1">('TUSD BE'!$AM$22+'TUSD BF'!$AM$22+'TUSD CVA'!$AM$22)*1</f>
        <v>21.369338625624472</v>
      </c>
      <c r="Z226" s="6"/>
      <c r="AA226" s="6"/>
      <c r="AB226" s="6">
        <f>$K$226*$V$226</f>
        <v>19866</v>
      </c>
      <c r="AC226" s="6">
        <f>$M$226*$W$226</f>
        <v>0</v>
      </c>
      <c r="AD226" s="6">
        <f>$O$226*$X$226</f>
        <v>0</v>
      </c>
      <c r="AE226" s="6">
        <f ca="1">$K$226*$Y$226</f>
        <v>22437.805556905696</v>
      </c>
      <c r="AF226" s="6">
        <f>$M$226*$Z$226</f>
        <v>0</v>
      </c>
      <c r="AG226" s="6">
        <f>$O$226*$AA$226</f>
        <v>0</v>
      </c>
    </row>
    <row r="227" spans="1:33" ht="11.25" customHeight="1" x14ac:dyDescent="0.3">
      <c r="A227" s="4" t="s">
        <v>57</v>
      </c>
      <c r="B227" s="4" t="s">
        <v>39</v>
      </c>
      <c r="C227" s="4" t="s">
        <v>40</v>
      </c>
      <c r="D227" s="4" t="s">
        <v>38</v>
      </c>
      <c r="E227" s="4" t="s">
        <v>25</v>
      </c>
      <c r="F227" s="4" t="s">
        <v>58</v>
      </c>
      <c r="G227" s="4" t="s">
        <v>25</v>
      </c>
      <c r="H227" s="4" t="s">
        <v>25</v>
      </c>
      <c r="I227" s="5">
        <v>44835</v>
      </c>
      <c r="J227" s="6">
        <v>2100</v>
      </c>
      <c r="K227" s="6">
        <v>1050</v>
      </c>
      <c r="L227" s="6">
        <v>0</v>
      </c>
      <c r="M227" s="6">
        <v>0</v>
      </c>
      <c r="N227" s="6">
        <v>0</v>
      </c>
      <c r="O227" s="6">
        <v>0</v>
      </c>
      <c r="P227" s="6">
        <v>1</v>
      </c>
      <c r="Q227" s="4" t="s">
        <v>59</v>
      </c>
      <c r="R227" s="4">
        <v>0</v>
      </c>
      <c r="S227" s="6">
        <v>13</v>
      </c>
      <c r="T227" s="6">
        <v>0</v>
      </c>
      <c r="U227" s="6">
        <v>0</v>
      </c>
      <c r="V227" s="6">
        <f>IF(ISERROR(VLOOKUP($S$227,'TAR FIN'!$A$1:$O$103,15,0)),0,VLOOKUP($S$227,'TAR FIN'!$A$1:$O$103,15,0))</f>
        <v>18.920000000000002</v>
      </c>
      <c r="W227" s="6">
        <f>IF(ISERROR(VLOOKUP($T$227,'TAR FIN'!$A$1:$O$103,15,0)),0,VLOOKUP($T$227,'TAR FIN'!$A$1:$O$103,15,0))</f>
        <v>0</v>
      </c>
      <c r="X227" s="6">
        <f>IF(ISERROR(VLOOKUP($U$227,'TAR FIN'!$A$1:$O$103,15,0)),0,VLOOKUP($U$227,'TAR FIN'!$A$1:$O$103,15,0))</f>
        <v>0</v>
      </c>
      <c r="Y227" s="6">
        <f ca="1">('TUSD BE'!$AM$22+'TUSD BF'!$AM$22+'TUSD CVA'!$AM$22)*1</f>
        <v>21.369338625624472</v>
      </c>
      <c r="Z227" s="6"/>
      <c r="AA227" s="6"/>
      <c r="AB227" s="6">
        <f>$K$227*$V$227</f>
        <v>19866</v>
      </c>
      <c r="AC227" s="6">
        <f>$M$227*$W$227</f>
        <v>0</v>
      </c>
      <c r="AD227" s="6">
        <f>$O$227*$X$227</f>
        <v>0</v>
      </c>
      <c r="AE227" s="6">
        <f ca="1">$K$227*$Y$227</f>
        <v>22437.805556905696</v>
      </c>
      <c r="AF227" s="6">
        <f>$M$227*$Z$227</f>
        <v>0</v>
      </c>
      <c r="AG227" s="6">
        <f>$O$227*$AA$227</f>
        <v>0</v>
      </c>
    </row>
    <row r="228" spans="1:33" ht="11.25" customHeight="1" x14ac:dyDescent="0.3">
      <c r="A228" s="4" t="s">
        <v>21</v>
      </c>
      <c r="B228" s="4" t="s">
        <v>39</v>
      </c>
      <c r="C228" s="4" t="s">
        <v>40</v>
      </c>
      <c r="D228" s="4" t="s">
        <v>38</v>
      </c>
      <c r="E228" s="4" t="s">
        <v>25</v>
      </c>
      <c r="F228" s="4" t="s">
        <v>58</v>
      </c>
      <c r="G228" s="4" t="s">
        <v>25</v>
      </c>
      <c r="H228" s="4" t="s">
        <v>34</v>
      </c>
      <c r="I228" s="5">
        <v>44501</v>
      </c>
      <c r="J228" s="6">
        <v>0</v>
      </c>
      <c r="K228" s="6">
        <v>0</v>
      </c>
      <c r="L228" s="6">
        <v>20.846</v>
      </c>
      <c r="M228" s="6">
        <v>11.075382657640001</v>
      </c>
      <c r="N228" s="6">
        <v>0</v>
      </c>
      <c r="O228" s="6">
        <v>0</v>
      </c>
      <c r="P228" s="6">
        <v>0</v>
      </c>
      <c r="Q228" s="4" t="s">
        <v>59</v>
      </c>
      <c r="R228" s="4">
        <v>0</v>
      </c>
      <c r="S228" s="6">
        <v>0</v>
      </c>
      <c r="T228" s="6">
        <v>15</v>
      </c>
      <c r="U228" s="6">
        <v>0</v>
      </c>
      <c r="V228" s="6">
        <f>IF(ISERROR(VLOOKUP($S$228,'TAR FIN'!$A$1:$O$103,15,0)),0,VLOOKUP($S$228,'TAR FIN'!$A$1:$O$103,15,0))</f>
        <v>0</v>
      </c>
      <c r="W228" s="6">
        <f>IF(ISERROR(VLOOKUP($T$228,'TAR FIN'!$A$1:$O$103,15,0)),0,VLOOKUP($T$228,'TAR FIN'!$A$1:$O$103,15,0))</f>
        <v>1195.82</v>
      </c>
      <c r="X228" s="6">
        <f>IF(ISERROR(VLOOKUP($U$228,'TAR FIN'!$A$1:$O$103,15,0)),0,VLOOKUP($U$228,'TAR FIN'!$A$1:$O$103,15,0))</f>
        <v>0</v>
      </c>
      <c r="Y228" s="6"/>
      <c r="Z228" s="6">
        <f ca="1">('TUSD BE'!$AM$23+'TUSD BF'!$AM$23+'TUSD CVA'!$AM$23)*1</f>
        <v>1385.4977743340116</v>
      </c>
      <c r="AA228" s="6"/>
      <c r="AB228" s="6">
        <f>$K$228*$V$228</f>
        <v>0</v>
      </c>
      <c r="AC228" s="6">
        <f>$M$228*$W$228</f>
        <v>13244.164089659065</v>
      </c>
      <c r="AD228" s="6">
        <f>$O$228*$X$228</f>
        <v>0</v>
      </c>
      <c r="AE228" s="6">
        <f>$K$228*$Y$228</f>
        <v>0</v>
      </c>
      <c r="AF228" s="6">
        <f ca="1">$M$228*$Z$228</f>
        <v>15344.918022057731</v>
      </c>
      <c r="AG228" s="6">
        <f>$O$228*$AA$228</f>
        <v>0</v>
      </c>
    </row>
    <row r="229" spans="1:33" ht="11.25" customHeight="1" x14ac:dyDescent="0.3">
      <c r="A229" s="4" t="s">
        <v>21</v>
      </c>
      <c r="B229" s="4" t="s">
        <v>39</v>
      </c>
      <c r="C229" s="4" t="s">
        <v>40</v>
      </c>
      <c r="D229" s="4" t="s">
        <v>38</v>
      </c>
      <c r="E229" s="4" t="s">
        <v>25</v>
      </c>
      <c r="F229" s="4" t="s">
        <v>58</v>
      </c>
      <c r="G229" s="4" t="s">
        <v>25</v>
      </c>
      <c r="H229" s="4" t="s">
        <v>34</v>
      </c>
      <c r="I229" s="5">
        <v>44531</v>
      </c>
      <c r="J229" s="6">
        <v>0</v>
      </c>
      <c r="K229" s="6">
        <v>0</v>
      </c>
      <c r="L229" s="6">
        <v>24.186</v>
      </c>
      <c r="M229" s="6">
        <v>12.952480468079999</v>
      </c>
      <c r="N229" s="6">
        <v>0</v>
      </c>
      <c r="O229" s="6">
        <v>0</v>
      </c>
      <c r="P229" s="6">
        <v>0</v>
      </c>
      <c r="Q229" s="4" t="s">
        <v>59</v>
      </c>
      <c r="R229" s="4">
        <v>0</v>
      </c>
      <c r="S229" s="6">
        <v>0</v>
      </c>
      <c r="T229" s="6">
        <v>15</v>
      </c>
      <c r="U229" s="6">
        <v>0</v>
      </c>
      <c r="V229" s="6">
        <f>IF(ISERROR(VLOOKUP($S$229,'TAR FIN'!$A$1:$O$103,15,0)),0,VLOOKUP($S$229,'TAR FIN'!$A$1:$O$103,15,0))</f>
        <v>0</v>
      </c>
      <c r="W229" s="6">
        <f>IF(ISERROR(VLOOKUP($T$229,'TAR FIN'!$A$1:$O$103,15,0)),0,VLOOKUP($T$229,'TAR FIN'!$A$1:$O$103,15,0))</f>
        <v>1195.82</v>
      </c>
      <c r="X229" s="6">
        <f>IF(ISERROR(VLOOKUP($U$229,'TAR FIN'!$A$1:$O$103,15,0)),0,VLOOKUP($U$229,'TAR FIN'!$A$1:$O$103,15,0))</f>
        <v>0</v>
      </c>
      <c r="Y229" s="6"/>
      <c r="Z229" s="6">
        <f ca="1">('TUSD BE'!$AM$23+'TUSD BF'!$AM$23+'TUSD CVA'!$AM$23)*1</f>
        <v>1385.4977743340116</v>
      </c>
      <c r="AA229" s="6"/>
      <c r="AB229" s="6">
        <f>$K$229*$V$229</f>
        <v>0</v>
      </c>
      <c r="AC229" s="6">
        <f>$M$229*$W$229</f>
        <v>15488.835193339424</v>
      </c>
      <c r="AD229" s="6">
        <f>$O$229*$X$229</f>
        <v>0</v>
      </c>
      <c r="AE229" s="6">
        <f>$K$229*$Y$229</f>
        <v>0</v>
      </c>
      <c r="AF229" s="6">
        <f ca="1">$M$229*$Z$229</f>
        <v>17945.632860629597</v>
      </c>
      <c r="AG229" s="6">
        <f>$O$229*$AA$229</f>
        <v>0</v>
      </c>
    </row>
    <row r="230" spans="1:33" ht="11.25" customHeight="1" x14ac:dyDescent="0.3">
      <c r="A230" s="4" t="s">
        <v>21</v>
      </c>
      <c r="B230" s="4" t="s">
        <v>39</v>
      </c>
      <c r="C230" s="4" t="s">
        <v>40</v>
      </c>
      <c r="D230" s="4" t="s">
        <v>38</v>
      </c>
      <c r="E230" s="4" t="s">
        <v>25</v>
      </c>
      <c r="F230" s="4" t="s">
        <v>58</v>
      </c>
      <c r="G230" s="4" t="s">
        <v>25</v>
      </c>
      <c r="H230" s="4" t="s">
        <v>34</v>
      </c>
      <c r="I230" s="5">
        <v>44562</v>
      </c>
      <c r="J230" s="6">
        <v>0</v>
      </c>
      <c r="K230" s="6">
        <v>0</v>
      </c>
      <c r="L230" s="6">
        <v>26.704000000000001</v>
      </c>
      <c r="M230" s="6">
        <v>14.30096082112</v>
      </c>
      <c r="N230" s="6">
        <v>0</v>
      </c>
      <c r="O230" s="6">
        <v>0</v>
      </c>
      <c r="P230" s="6">
        <v>0</v>
      </c>
      <c r="Q230" s="4" t="s">
        <v>59</v>
      </c>
      <c r="R230" s="4">
        <v>0</v>
      </c>
      <c r="S230" s="6">
        <v>0</v>
      </c>
      <c r="T230" s="6">
        <v>15</v>
      </c>
      <c r="U230" s="6">
        <v>0</v>
      </c>
      <c r="V230" s="6">
        <f>IF(ISERROR(VLOOKUP($S$230,'TAR FIN'!$A$1:$O$103,15,0)),0,VLOOKUP($S$230,'TAR FIN'!$A$1:$O$103,15,0))</f>
        <v>0</v>
      </c>
      <c r="W230" s="6">
        <f>IF(ISERROR(VLOOKUP($T$230,'TAR FIN'!$A$1:$O$103,15,0)),0,VLOOKUP($T$230,'TAR FIN'!$A$1:$O$103,15,0))</f>
        <v>1195.82</v>
      </c>
      <c r="X230" s="6">
        <f>IF(ISERROR(VLOOKUP($U$230,'TAR FIN'!$A$1:$O$103,15,0)),0,VLOOKUP($U$230,'TAR FIN'!$A$1:$O$103,15,0))</f>
        <v>0</v>
      </c>
      <c r="Y230" s="6"/>
      <c r="Z230" s="6">
        <f ca="1">('TUSD BE'!$AM$23+'TUSD BF'!$AM$23+'TUSD CVA'!$AM$23)*1</f>
        <v>1385.4977743340116</v>
      </c>
      <c r="AA230" s="6"/>
      <c r="AB230" s="6">
        <f>$K$230*$V$230</f>
        <v>0</v>
      </c>
      <c r="AC230" s="6">
        <f>$M$230*$W$230</f>
        <v>17101.374969111719</v>
      </c>
      <c r="AD230" s="6">
        <f>$O$230*$X$230</f>
        <v>0</v>
      </c>
      <c r="AE230" s="6">
        <f>$K$230*$Y$230</f>
        <v>0</v>
      </c>
      <c r="AF230" s="6">
        <f ca="1">$M$230*$Z$230</f>
        <v>19813.949388499659</v>
      </c>
      <c r="AG230" s="6">
        <f>$O$230*$AA$230</f>
        <v>0</v>
      </c>
    </row>
    <row r="231" spans="1:33" ht="11.25" customHeight="1" x14ac:dyDescent="0.3">
      <c r="A231" s="4" t="s">
        <v>21</v>
      </c>
      <c r="B231" s="4" t="s">
        <v>39</v>
      </c>
      <c r="C231" s="4" t="s">
        <v>40</v>
      </c>
      <c r="D231" s="4" t="s">
        <v>38</v>
      </c>
      <c r="E231" s="4" t="s">
        <v>25</v>
      </c>
      <c r="F231" s="4" t="s">
        <v>58</v>
      </c>
      <c r="G231" s="4" t="s">
        <v>25</v>
      </c>
      <c r="H231" s="4" t="s">
        <v>34</v>
      </c>
      <c r="I231" s="5">
        <v>44593</v>
      </c>
      <c r="J231" s="6">
        <v>0</v>
      </c>
      <c r="K231" s="6">
        <v>0</v>
      </c>
      <c r="L231" s="6">
        <v>23.411000000000001</v>
      </c>
      <c r="M231" s="6">
        <v>12.53743985108</v>
      </c>
      <c r="N231" s="6">
        <v>0</v>
      </c>
      <c r="O231" s="6">
        <v>0</v>
      </c>
      <c r="P231" s="6">
        <v>0</v>
      </c>
      <c r="Q231" s="4" t="s">
        <v>59</v>
      </c>
      <c r="R231" s="4">
        <v>0</v>
      </c>
      <c r="S231" s="6">
        <v>0</v>
      </c>
      <c r="T231" s="6">
        <v>15</v>
      </c>
      <c r="U231" s="6">
        <v>0</v>
      </c>
      <c r="V231" s="6">
        <f>IF(ISERROR(VLOOKUP($S$231,'TAR FIN'!$A$1:$O$103,15,0)),0,VLOOKUP($S$231,'TAR FIN'!$A$1:$O$103,15,0))</f>
        <v>0</v>
      </c>
      <c r="W231" s="6">
        <f>IF(ISERROR(VLOOKUP($T$231,'TAR FIN'!$A$1:$O$103,15,0)),0,VLOOKUP($T$231,'TAR FIN'!$A$1:$O$103,15,0))</f>
        <v>1195.82</v>
      </c>
      <c r="X231" s="6">
        <f>IF(ISERROR(VLOOKUP($U$231,'TAR FIN'!$A$1:$O$103,15,0)),0,VLOOKUP($U$231,'TAR FIN'!$A$1:$O$103,15,0))</f>
        <v>0</v>
      </c>
      <c r="Y231" s="6"/>
      <c r="Z231" s="6">
        <f ca="1">('TUSD BE'!$AM$23+'TUSD BF'!$AM$23+'TUSD CVA'!$AM$23)*1</f>
        <v>1385.4977743340116</v>
      </c>
      <c r="AA231" s="6"/>
      <c r="AB231" s="6">
        <f>$K$231*$V$231</f>
        <v>0</v>
      </c>
      <c r="AC231" s="6">
        <f>$M$231*$W$231</f>
        <v>14992.521322718485</v>
      </c>
      <c r="AD231" s="6">
        <f>$O$231*$X$231</f>
        <v>0</v>
      </c>
      <c r="AE231" s="6">
        <f>$K$231*$Y$231</f>
        <v>0</v>
      </c>
      <c r="AF231" s="6">
        <f ca="1">$M$231*$Z$231</f>
        <v>17370.595009517881</v>
      </c>
      <c r="AG231" s="6">
        <f>$O$231*$AA$231</f>
        <v>0</v>
      </c>
    </row>
    <row r="232" spans="1:33" ht="11.25" customHeight="1" x14ac:dyDescent="0.3">
      <c r="A232" s="4" t="s">
        <v>21</v>
      </c>
      <c r="B232" s="4" t="s">
        <v>39</v>
      </c>
      <c r="C232" s="4" t="s">
        <v>40</v>
      </c>
      <c r="D232" s="4" t="s">
        <v>38</v>
      </c>
      <c r="E232" s="4" t="s">
        <v>25</v>
      </c>
      <c r="F232" s="4" t="s">
        <v>58</v>
      </c>
      <c r="G232" s="4" t="s">
        <v>25</v>
      </c>
      <c r="H232" s="4" t="s">
        <v>34</v>
      </c>
      <c r="I232" s="5">
        <v>44621</v>
      </c>
      <c r="J232" s="6">
        <v>0</v>
      </c>
      <c r="K232" s="6">
        <v>0</v>
      </c>
      <c r="L232" s="6">
        <v>22.696999999999999</v>
      </c>
      <c r="M232" s="6">
        <v>12.15506694716</v>
      </c>
      <c r="N232" s="6">
        <v>0</v>
      </c>
      <c r="O232" s="6">
        <v>0</v>
      </c>
      <c r="P232" s="6">
        <v>0</v>
      </c>
      <c r="Q232" s="4" t="s">
        <v>59</v>
      </c>
      <c r="R232" s="4">
        <v>0</v>
      </c>
      <c r="S232" s="6">
        <v>0</v>
      </c>
      <c r="T232" s="6">
        <v>15</v>
      </c>
      <c r="U232" s="6">
        <v>0</v>
      </c>
      <c r="V232" s="6">
        <f>IF(ISERROR(VLOOKUP($S$232,'TAR FIN'!$A$1:$O$103,15,0)),0,VLOOKUP($S$232,'TAR FIN'!$A$1:$O$103,15,0))</f>
        <v>0</v>
      </c>
      <c r="W232" s="6">
        <f>IF(ISERROR(VLOOKUP($T$232,'TAR FIN'!$A$1:$O$103,15,0)),0,VLOOKUP($T$232,'TAR FIN'!$A$1:$O$103,15,0))</f>
        <v>1195.82</v>
      </c>
      <c r="X232" s="6">
        <f>IF(ISERROR(VLOOKUP($U$232,'TAR FIN'!$A$1:$O$103,15,0)),0,VLOOKUP($U$232,'TAR FIN'!$A$1:$O$103,15,0))</f>
        <v>0</v>
      </c>
      <c r="Y232" s="6"/>
      <c r="Z232" s="6">
        <f ca="1">('TUSD BE'!$AM$23+'TUSD BF'!$AM$23+'TUSD CVA'!$AM$23)*1</f>
        <v>1385.4977743340116</v>
      </c>
      <c r="AA232" s="6"/>
      <c r="AB232" s="6">
        <f>$K$232*$V$232</f>
        <v>0</v>
      </c>
      <c r="AC232" s="6">
        <f>$M$232*$W$232</f>
        <v>14535.27215675287</v>
      </c>
      <c r="AD232" s="6">
        <f>$O$232*$X$232</f>
        <v>0</v>
      </c>
      <c r="AE232" s="6">
        <f>$K$232*$Y$232</f>
        <v>0</v>
      </c>
      <c r="AF232" s="6">
        <f ca="1">$M$232*$Z$232</f>
        <v>16840.818202171089</v>
      </c>
      <c r="AG232" s="6">
        <f>$O$232*$AA$232</f>
        <v>0</v>
      </c>
    </row>
    <row r="233" spans="1:33" ht="11.25" customHeight="1" x14ac:dyDescent="0.3">
      <c r="A233" s="4" t="s">
        <v>21</v>
      </c>
      <c r="B233" s="4" t="s">
        <v>39</v>
      </c>
      <c r="C233" s="4" t="s">
        <v>40</v>
      </c>
      <c r="D233" s="4" t="s">
        <v>38</v>
      </c>
      <c r="E233" s="4" t="s">
        <v>25</v>
      </c>
      <c r="F233" s="4" t="s">
        <v>58</v>
      </c>
      <c r="G233" s="4" t="s">
        <v>25</v>
      </c>
      <c r="H233" s="4" t="s">
        <v>34</v>
      </c>
      <c r="I233" s="5">
        <v>44652</v>
      </c>
      <c r="J233" s="6">
        <v>0</v>
      </c>
      <c r="K233" s="6">
        <v>0</v>
      </c>
      <c r="L233" s="6">
        <v>22.974</v>
      </c>
      <c r="M233" s="6">
        <v>12.30341049672</v>
      </c>
      <c r="N233" s="6">
        <v>0</v>
      </c>
      <c r="O233" s="6">
        <v>0</v>
      </c>
      <c r="P233" s="6">
        <v>0</v>
      </c>
      <c r="Q233" s="4" t="s">
        <v>59</v>
      </c>
      <c r="R233" s="4">
        <v>0</v>
      </c>
      <c r="S233" s="6">
        <v>0</v>
      </c>
      <c r="T233" s="6">
        <v>15</v>
      </c>
      <c r="U233" s="6">
        <v>0</v>
      </c>
      <c r="V233" s="6">
        <f>IF(ISERROR(VLOOKUP($S$233,'TAR FIN'!$A$1:$O$103,15,0)),0,VLOOKUP($S$233,'TAR FIN'!$A$1:$O$103,15,0))</f>
        <v>0</v>
      </c>
      <c r="W233" s="6">
        <f>IF(ISERROR(VLOOKUP($T$233,'TAR FIN'!$A$1:$O$103,15,0)),0,VLOOKUP($T$233,'TAR FIN'!$A$1:$O$103,15,0))</f>
        <v>1195.82</v>
      </c>
      <c r="X233" s="6">
        <f>IF(ISERROR(VLOOKUP($U$233,'TAR FIN'!$A$1:$O$103,15,0)),0,VLOOKUP($U$233,'TAR FIN'!$A$1:$O$103,15,0))</f>
        <v>0</v>
      </c>
      <c r="Y233" s="6"/>
      <c r="Z233" s="6">
        <f ca="1">('TUSD BE'!$AM$23+'TUSD BF'!$AM$23+'TUSD CVA'!$AM$23)*1</f>
        <v>1385.4977743340116</v>
      </c>
      <c r="AA233" s="6"/>
      <c r="AB233" s="6">
        <f>$K$233*$V$233</f>
        <v>0</v>
      </c>
      <c r="AC233" s="6">
        <f>$M$233*$W$233</f>
        <v>14712.66434018771</v>
      </c>
      <c r="AD233" s="6">
        <f>$O$233*$X$233</f>
        <v>0</v>
      </c>
      <c r="AE233" s="6">
        <f>$K$233*$Y$233</f>
        <v>0</v>
      </c>
      <c r="AF233" s="6">
        <f ca="1">$M$233*$Z$233</f>
        <v>17046.347859923277</v>
      </c>
      <c r="AG233" s="6">
        <f>$O$233*$AA$233</f>
        <v>0</v>
      </c>
    </row>
    <row r="234" spans="1:33" ht="11.25" customHeight="1" x14ac:dyDescent="0.3">
      <c r="A234" s="4" t="s">
        <v>21</v>
      </c>
      <c r="B234" s="4" t="s">
        <v>39</v>
      </c>
      <c r="C234" s="4" t="s">
        <v>40</v>
      </c>
      <c r="D234" s="4" t="s">
        <v>38</v>
      </c>
      <c r="E234" s="4" t="s">
        <v>25</v>
      </c>
      <c r="F234" s="4" t="s">
        <v>58</v>
      </c>
      <c r="G234" s="4" t="s">
        <v>25</v>
      </c>
      <c r="H234" s="4" t="s">
        <v>34</v>
      </c>
      <c r="I234" s="5">
        <v>44682</v>
      </c>
      <c r="J234" s="6">
        <v>0</v>
      </c>
      <c r="K234" s="6">
        <v>0</v>
      </c>
      <c r="L234" s="6">
        <v>22.655999999999999</v>
      </c>
      <c r="M234" s="6">
        <v>12.133109959680001</v>
      </c>
      <c r="N234" s="6">
        <v>0</v>
      </c>
      <c r="O234" s="6">
        <v>0</v>
      </c>
      <c r="P234" s="6">
        <v>0</v>
      </c>
      <c r="Q234" s="4" t="s">
        <v>59</v>
      </c>
      <c r="R234" s="4">
        <v>0</v>
      </c>
      <c r="S234" s="6">
        <v>0</v>
      </c>
      <c r="T234" s="6">
        <v>15</v>
      </c>
      <c r="U234" s="6">
        <v>0</v>
      </c>
      <c r="V234" s="6">
        <f>IF(ISERROR(VLOOKUP($S$234,'TAR FIN'!$A$1:$O$103,15,0)),0,VLOOKUP($S$234,'TAR FIN'!$A$1:$O$103,15,0))</f>
        <v>0</v>
      </c>
      <c r="W234" s="6">
        <f>IF(ISERROR(VLOOKUP($T$234,'TAR FIN'!$A$1:$O$103,15,0)),0,VLOOKUP($T$234,'TAR FIN'!$A$1:$O$103,15,0))</f>
        <v>1195.82</v>
      </c>
      <c r="X234" s="6">
        <f>IF(ISERROR(VLOOKUP($U$234,'TAR FIN'!$A$1:$O$103,15,0)),0,VLOOKUP($U$234,'TAR FIN'!$A$1:$O$103,15,0))</f>
        <v>0</v>
      </c>
      <c r="Y234" s="6"/>
      <c r="Z234" s="6">
        <f ca="1">('TUSD BE'!$AM$23+'TUSD BF'!$AM$23+'TUSD CVA'!$AM$23)*1</f>
        <v>1385.4977743340116</v>
      </c>
      <c r="AA234" s="6"/>
      <c r="AB234" s="6">
        <f>$K$234*$V$234</f>
        <v>0</v>
      </c>
      <c r="AC234" s="6">
        <f>$M$234*$W$234</f>
        <v>14509.015551984538</v>
      </c>
      <c r="AD234" s="6">
        <f>$O$234*$X$234</f>
        <v>0</v>
      </c>
      <c r="AE234" s="6">
        <f>$K$234*$Y$234</f>
        <v>0</v>
      </c>
      <c r="AF234" s="6">
        <f ca="1">$M$234*$Z$234</f>
        <v>16810.396844886469</v>
      </c>
      <c r="AG234" s="6">
        <f>$O$234*$AA$234</f>
        <v>0</v>
      </c>
    </row>
    <row r="235" spans="1:33" ht="11.25" customHeight="1" x14ac:dyDescent="0.3">
      <c r="A235" s="4" t="s">
        <v>21</v>
      </c>
      <c r="B235" s="4" t="s">
        <v>39</v>
      </c>
      <c r="C235" s="4" t="s">
        <v>40</v>
      </c>
      <c r="D235" s="4" t="s">
        <v>38</v>
      </c>
      <c r="E235" s="4" t="s">
        <v>25</v>
      </c>
      <c r="F235" s="4" t="s">
        <v>58</v>
      </c>
      <c r="G235" s="4" t="s">
        <v>25</v>
      </c>
      <c r="H235" s="4" t="s">
        <v>34</v>
      </c>
      <c r="I235" s="5">
        <v>44713</v>
      </c>
      <c r="J235" s="6">
        <v>0</v>
      </c>
      <c r="K235" s="6">
        <v>0</v>
      </c>
      <c r="L235" s="6">
        <v>19.187999999999999</v>
      </c>
      <c r="M235" s="6">
        <v>10.27587014064</v>
      </c>
      <c r="N235" s="6">
        <v>0</v>
      </c>
      <c r="O235" s="6">
        <v>0</v>
      </c>
      <c r="P235" s="6">
        <v>0</v>
      </c>
      <c r="Q235" s="4" t="s">
        <v>59</v>
      </c>
      <c r="R235" s="4">
        <v>0</v>
      </c>
      <c r="S235" s="6">
        <v>0</v>
      </c>
      <c r="T235" s="6">
        <v>15</v>
      </c>
      <c r="U235" s="6">
        <v>0</v>
      </c>
      <c r="V235" s="6">
        <f>IF(ISERROR(VLOOKUP($S$235,'TAR FIN'!$A$1:$O$103,15,0)),0,VLOOKUP($S$235,'TAR FIN'!$A$1:$O$103,15,0))</f>
        <v>0</v>
      </c>
      <c r="W235" s="6">
        <f>IF(ISERROR(VLOOKUP($T$235,'TAR FIN'!$A$1:$O$103,15,0)),0,VLOOKUP($T$235,'TAR FIN'!$A$1:$O$103,15,0))</f>
        <v>1195.82</v>
      </c>
      <c r="X235" s="6">
        <f>IF(ISERROR(VLOOKUP($U$235,'TAR FIN'!$A$1:$O$103,15,0)),0,VLOOKUP($U$235,'TAR FIN'!$A$1:$O$103,15,0))</f>
        <v>0</v>
      </c>
      <c r="Y235" s="6"/>
      <c r="Z235" s="6">
        <f ca="1">('TUSD BE'!$AM$23+'TUSD BF'!$AM$23+'TUSD CVA'!$AM$23)*1</f>
        <v>1385.4977743340116</v>
      </c>
      <c r="AA235" s="6"/>
      <c r="AB235" s="6">
        <f>$K$235*$V$235</f>
        <v>0</v>
      </c>
      <c r="AC235" s="6">
        <f>$M$235*$W$235</f>
        <v>12288.091031580125</v>
      </c>
      <c r="AD235" s="6">
        <f>$O$235*$X$235</f>
        <v>0</v>
      </c>
      <c r="AE235" s="6">
        <f>$K$235*$Y$235</f>
        <v>0</v>
      </c>
      <c r="AF235" s="6">
        <f ca="1">$M$235*$Z$235</f>
        <v>14237.195209202047</v>
      </c>
      <c r="AG235" s="6">
        <f>$O$235*$AA$235</f>
        <v>0</v>
      </c>
    </row>
    <row r="236" spans="1:33" ht="11.25" customHeight="1" x14ac:dyDescent="0.3">
      <c r="A236" s="4" t="s">
        <v>21</v>
      </c>
      <c r="B236" s="4" t="s">
        <v>39</v>
      </c>
      <c r="C236" s="4" t="s">
        <v>40</v>
      </c>
      <c r="D236" s="4" t="s">
        <v>38</v>
      </c>
      <c r="E236" s="4" t="s">
        <v>25</v>
      </c>
      <c r="F236" s="4" t="s">
        <v>58</v>
      </c>
      <c r="G236" s="4" t="s">
        <v>25</v>
      </c>
      <c r="H236" s="4" t="s">
        <v>34</v>
      </c>
      <c r="I236" s="5">
        <v>44743</v>
      </c>
      <c r="J236" s="6">
        <v>0</v>
      </c>
      <c r="K236" s="6">
        <v>0</v>
      </c>
      <c r="L236" s="6">
        <v>28.712</v>
      </c>
      <c r="M236" s="6">
        <v>15.376317671360001</v>
      </c>
      <c r="N236" s="6">
        <v>0</v>
      </c>
      <c r="O236" s="6">
        <v>0</v>
      </c>
      <c r="P236" s="6">
        <v>0</v>
      </c>
      <c r="Q236" s="4" t="s">
        <v>59</v>
      </c>
      <c r="R236" s="4">
        <v>0</v>
      </c>
      <c r="S236" s="6">
        <v>0</v>
      </c>
      <c r="T236" s="6">
        <v>15</v>
      </c>
      <c r="U236" s="6">
        <v>0</v>
      </c>
      <c r="V236" s="6">
        <f>IF(ISERROR(VLOOKUP($S$236,'TAR FIN'!$A$1:$O$103,15,0)),0,VLOOKUP($S$236,'TAR FIN'!$A$1:$O$103,15,0))</f>
        <v>0</v>
      </c>
      <c r="W236" s="6">
        <f>IF(ISERROR(VLOOKUP($T$236,'TAR FIN'!$A$1:$O$103,15,0)),0,VLOOKUP($T$236,'TAR FIN'!$A$1:$O$103,15,0))</f>
        <v>1195.82</v>
      </c>
      <c r="X236" s="6">
        <f>IF(ISERROR(VLOOKUP($U$236,'TAR FIN'!$A$1:$O$103,15,0)),0,VLOOKUP($U$236,'TAR FIN'!$A$1:$O$103,15,0))</f>
        <v>0</v>
      </c>
      <c r="Y236" s="6"/>
      <c r="Z236" s="6">
        <f ca="1">('TUSD BE'!$AM$23+'TUSD BF'!$AM$23+'TUSD CVA'!$AM$23)*1</f>
        <v>1385.4977743340116</v>
      </c>
      <c r="AA236" s="6"/>
      <c r="AB236" s="6">
        <f>$K$236*$V$236</f>
        <v>0</v>
      </c>
      <c r="AC236" s="6">
        <f>$M$236*$W$236</f>
        <v>18387.308197765717</v>
      </c>
      <c r="AD236" s="6">
        <f>$O$236*$X$236</f>
        <v>0</v>
      </c>
      <c r="AE236" s="6">
        <f>$K$236*$Y$236</f>
        <v>0</v>
      </c>
      <c r="AF236" s="6">
        <f ca="1">$M$236*$Z$236</f>
        <v>21303.853911122013</v>
      </c>
      <c r="AG236" s="6">
        <f>$O$236*$AA$236</f>
        <v>0</v>
      </c>
    </row>
    <row r="237" spans="1:33" ht="11.25" customHeight="1" x14ac:dyDescent="0.3">
      <c r="A237" s="4" t="s">
        <v>21</v>
      </c>
      <c r="B237" s="4" t="s">
        <v>39</v>
      </c>
      <c r="C237" s="4" t="s">
        <v>40</v>
      </c>
      <c r="D237" s="4" t="s">
        <v>38</v>
      </c>
      <c r="E237" s="4" t="s">
        <v>25</v>
      </c>
      <c r="F237" s="4" t="s">
        <v>58</v>
      </c>
      <c r="G237" s="4" t="s">
        <v>25</v>
      </c>
      <c r="H237" s="4" t="s">
        <v>34</v>
      </c>
      <c r="I237" s="5">
        <v>44774</v>
      </c>
      <c r="J237" s="6">
        <v>0</v>
      </c>
      <c r="K237" s="6">
        <v>0</v>
      </c>
      <c r="L237" s="6">
        <v>31.527999999999999</v>
      </c>
      <c r="M237" s="6">
        <v>16.884387835839998</v>
      </c>
      <c r="N237" s="6">
        <v>0</v>
      </c>
      <c r="O237" s="6">
        <v>0</v>
      </c>
      <c r="P237" s="6">
        <v>0</v>
      </c>
      <c r="Q237" s="4" t="s">
        <v>59</v>
      </c>
      <c r="R237" s="4">
        <v>0</v>
      </c>
      <c r="S237" s="6">
        <v>0</v>
      </c>
      <c r="T237" s="6">
        <v>15</v>
      </c>
      <c r="U237" s="6">
        <v>0</v>
      </c>
      <c r="V237" s="6">
        <f>IF(ISERROR(VLOOKUP($S$237,'TAR FIN'!$A$1:$O$103,15,0)),0,VLOOKUP($S$237,'TAR FIN'!$A$1:$O$103,15,0))</f>
        <v>0</v>
      </c>
      <c r="W237" s="6">
        <f>IF(ISERROR(VLOOKUP($T$237,'TAR FIN'!$A$1:$O$103,15,0)),0,VLOOKUP($T$237,'TAR FIN'!$A$1:$O$103,15,0))</f>
        <v>1195.82</v>
      </c>
      <c r="X237" s="6">
        <f>IF(ISERROR(VLOOKUP($U$237,'TAR FIN'!$A$1:$O$103,15,0)),0,VLOOKUP($U$237,'TAR FIN'!$A$1:$O$103,15,0))</f>
        <v>0</v>
      </c>
      <c r="Y237" s="6"/>
      <c r="Z237" s="6">
        <f ca="1">('TUSD BE'!$AM$23+'TUSD BF'!$AM$23+'TUSD CVA'!$AM$23)*1</f>
        <v>1385.4977743340116</v>
      </c>
      <c r="AA237" s="6"/>
      <c r="AB237" s="6">
        <f>$K$237*$V$237</f>
        <v>0</v>
      </c>
      <c r="AC237" s="6">
        <f>$M$237*$W$237</f>
        <v>20190.688661854187</v>
      </c>
      <c r="AD237" s="6">
        <f>$O$237*$X$237</f>
        <v>0</v>
      </c>
      <c r="AE237" s="6">
        <f>$K$237*$Y$237</f>
        <v>0</v>
      </c>
      <c r="AF237" s="6">
        <f ca="1">$M$237*$Z$237</f>
        <v>23393.281767548579</v>
      </c>
      <c r="AG237" s="6">
        <f>$O$237*$AA$237</f>
        <v>0</v>
      </c>
    </row>
    <row r="238" spans="1:33" ht="11.25" customHeight="1" x14ac:dyDescent="0.3">
      <c r="A238" s="4" t="s">
        <v>21</v>
      </c>
      <c r="B238" s="4" t="s">
        <v>39</v>
      </c>
      <c r="C238" s="4" t="s">
        <v>40</v>
      </c>
      <c r="D238" s="4" t="s">
        <v>38</v>
      </c>
      <c r="E238" s="4" t="s">
        <v>25</v>
      </c>
      <c r="F238" s="4" t="s">
        <v>58</v>
      </c>
      <c r="G238" s="4" t="s">
        <v>25</v>
      </c>
      <c r="H238" s="4" t="s">
        <v>34</v>
      </c>
      <c r="I238" s="5">
        <v>44805</v>
      </c>
      <c r="J238" s="6">
        <v>0</v>
      </c>
      <c r="K238" s="6">
        <v>0</v>
      </c>
      <c r="L238" s="6">
        <v>29.128</v>
      </c>
      <c r="M238" s="6">
        <v>15.599100763839999</v>
      </c>
      <c r="N238" s="6">
        <v>0</v>
      </c>
      <c r="O238" s="6">
        <v>0</v>
      </c>
      <c r="P238" s="6">
        <v>0</v>
      </c>
      <c r="Q238" s="4" t="s">
        <v>59</v>
      </c>
      <c r="R238" s="4">
        <v>0</v>
      </c>
      <c r="S238" s="6">
        <v>0</v>
      </c>
      <c r="T238" s="6">
        <v>15</v>
      </c>
      <c r="U238" s="6">
        <v>0</v>
      </c>
      <c r="V238" s="6">
        <f>IF(ISERROR(VLOOKUP($S$238,'TAR FIN'!$A$1:$O$103,15,0)),0,VLOOKUP($S$238,'TAR FIN'!$A$1:$O$103,15,0))</f>
        <v>0</v>
      </c>
      <c r="W238" s="6">
        <f>IF(ISERROR(VLOOKUP($T$238,'TAR FIN'!$A$1:$O$103,15,0)),0,VLOOKUP($T$238,'TAR FIN'!$A$1:$O$103,15,0))</f>
        <v>1195.82</v>
      </c>
      <c r="X238" s="6">
        <f>IF(ISERROR(VLOOKUP($U$238,'TAR FIN'!$A$1:$O$103,15,0)),0,VLOOKUP($U$238,'TAR FIN'!$A$1:$O$103,15,0))</f>
        <v>0</v>
      </c>
      <c r="Y238" s="6"/>
      <c r="Z238" s="6">
        <f ca="1">('TUSD BE'!$AM$23+'TUSD BF'!$AM$23+'TUSD CVA'!$AM$23)*1</f>
        <v>1385.4977743340116</v>
      </c>
      <c r="AA238" s="6"/>
      <c r="AB238" s="6">
        <f>$K$238*$V$238</f>
        <v>0</v>
      </c>
      <c r="AC238" s="6">
        <f>$M$238*$W$238</f>
        <v>18653.716675415148</v>
      </c>
      <c r="AD238" s="6">
        <f>$O$238*$X$238</f>
        <v>0</v>
      </c>
      <c r="AE238" s="6">
        <f>$K$238*$Y$238</f>
        <v>0</v>
      </c>
      <c r="AF238" s="6">
        <f ca="1">$M$238*$Z$238</f>
        <v>21612.519389912301</v>
      </c>
      <c r="AG238" s="6">
        <f>$O$238*$AA$238</f>
        <v>0</v>
      </c>
    </row>
    <row r="239" spans="1:33" ht="11.25" customHeight="1" x14ac:dyDescent="0.3">
      <c r="A239" s="4" t="s">
        <v>57</v>
      </c>
      <c r="B239" s="4" t="s">
        <v>39</v>
      </c>
      <c r="C239" s="4" t="s">
        <v>40</v>
      </c>
      <c r="D239" s="4" t="s">
        <v>38</v>
      </c>
      <c r="E239" s="4" t="s">
        <v>25</v>
      </c>
      <c r="F239" s="4" t="s">
        <v>58</v>
      </c>
      <c r="G239" s="4" t="s">
        <v>25</v>
      </c>
      <c r="H239" s="4" t="s">
        <v>34</v>
      </c>
      <c r="I239" s="5">
        <v>44835</v>
      </c>
      <c r="J239" s="6">
        <v>0</v>
      </c>
      <c r="K239" s="6">
        <v>0</v>
      </c>
      <c r="L239" s="6">
        <v>29.128</v>
      </c>
      <c r="M239" s="6">
        <v>15.599100763839999</v>
      </c>
      <c r="N239" s="6">
        <v>0</v>
      </c>
      <c r="O239" s="6">
        <v>0</v>
      </c>
      <c r="P239" s="6">
        <v>0</v>
      </c>
      <c r="Q239" s="4" t="s">
        <v>59</v>
      </c>
      <c r="R239" s="4">
        <v>0</v>
      </c>
      <c r="S239" s="6">
        <v>0</v>
      </c>
      <c r="T239" s="6">
        <v>15</v>
      </c>
      <c r="U239" s="6">
        <v>0</v>
      </c>
      <c r="V239" s="6">
        <f>IF(ISERROR(VLOOKUP($S$239,'TAR FIN'!$A$1:$O$103,15,0)),0,VLOOKUP($S$239,'TAR FIN'!$A$1:$O$103,15,0))</f>
        <v>0</v>
      </c>
      <c r="W239" s="6">
        <f>IF(ISERROR(VLOOKUP($T$239,'TAR FIN'!$A$1:$O$103,15,0)),0,VLOOKUP($T$239,'TAR FIN'!$A$1:$O$103,15,0))</f>
        <v>1195.82</v>
      </c>
      <c r="X239" s="6">
        <f>IF(ISERROR(VLOOKUP($U$239,'TAR FIN'!$A$1:$O$103,15,0)),0,VLOOKUP($U$239,'TAR FIN'!$A$1:$O$103,15,0))</f>
        <v>0</v>
      </c>
      <c r="Y239" s="6"/>
      <c r="Z239" s="6">
        <f ca="1">('TUSD BE'!$AM$23+'TUSD BF'!$AM$23+'TUSD CVA'!$AM$23)*1</f>
        <v>1385.4977743340116</v>
      </c>
      <c r="AA239" s="6"/>
      <c r="AB239" s="6">
        <f>$K$239*$V$239</f>
        <v>0</v>
      </c>
      <c r="AC239" s="6">
        <f>$M$239*$W$239</f>
        <v>18653.716675415148</v>
      </c>
      <c r="AD239" s="6">
        <f>$O$239*$X$239</f>
        <v>0</v>
      </c>
      <c r="AE239" s="6">
        <f>$K$239*$Y$239</f>
        <v>0</v>
      </c>
      <c r="AF239" s="6">
        <f ca="1">$M$239*$Z$239</f>
        <v>21612.519389912301</v>
      </c>
      <c r="AG239" s="6">
        <f>$O$239*$AA$239</f>
        <v>0</v>
      </c>
    </row>
    <row r="240" spans="1:33" ht="11.25" customHeight="1" x14ac:dyDescent="0.3">
      <c r="A240" s="4" t="s">
        <v>21</v>
      </c>
      <c r="B240" s="4" t="s">
        <v>39</v>
      </c>
      <c r="C240" s="4" t="s">
        <v>40</v>
      </c>
      <c r="D240" s="4" t="s">
        <v>38</v>
      </c>
      <c r="E240" s="4" t="s">
        <v>25</v>
      </c>
      <c r="F240" s="4" t="s">
        <v>25</v>
      </c>
      <c r="G240" s="4" t="s">
        <v>25</v>
      </c>
      <c r="H240" s="4" t="s">
        <v>35</v>
      </c>
      <c r="I240" s="5">
        <v>44501</v>
      </c>
      <c r="J240" s="6">
        <v>0</v>
      </c>
      <c r="K240" s="6">
        <v>0</v>
      </c>
      <c r="L240" s="6">
        <v>849.83</v>
      </c>
      <c r="M240" s="6">
        <v>849.83</v>
      </c>
      <c r="N240" s="6">
        <v>849.83</v>
      </c>
      <c r="O240" s="6">
        <v>849.83</v>
      </c>
      <c r="P240" s="6">
        <v>0</v>
      </c>
      <c r="Q240" s="4" t="s">
        <v>26</v>
      </c>
      <c r="R240" s="4">
        <v>0</v>
      </c>
      <c r="S240" s="6">
        <v>0</v>
      </c>
      <c r="T240" s="6">
        <v>17</v>
      </c>
      <c r="U240" s="6">
        <v>66</v>
      </c>
      <c r="V240" s="6">
        <f>IF(ISERROR(VLOOKUP($S$240,'TAR FIN'!$A$1:$O$103,15,0)),0,VLOOKUP($S$240,'TAR FIN'!$A$1:$O$103,15,0))</f>
        <v>0</v>
      </c>
      <c r="W240" s="6">
        <f>IF(ISERROR(VLOOKUP($T$240,'TAR FIN'!$A$1:$O$103,15,0)),0,VLOOKUP($T$240,'TAR FIN'!$A$1:$O$103,15,0))</f>
        <v>84.99</v>
      </c>
      <c r="X240" s="6">
        <f>IF(ISERROR(VLOOKUP($U$240,'TAR FIN'!$A$1:$O$103,15,0)),0,VLOOKUP($U$240,'TAR FIN'!$A$1:$O$103,15,0))</f>
        <v>242.77</v>
      </c>
      <c r="Y240" s="6"/>
      <c r="Z240" s="6">
        <f ca="1">('TUSD BE'!$AM$24+'TUSD BF'!$AM$24+'TUSD CVA'!$AM$24)*1</f>
        <v>145.72237393634796</v>
      </c>
      <c r="AA240" s="6">
        <f>('TE BE'!$AB$9+'TE BF'!$AB$9+'TE CVA'!$AB$9)*1</f>
        <v>222.39386487986414</v>
      </c>
      <c r="AB240" s="6">
        <f>$K$240*$V$240</f>
        <v>0</v>
      </c>
      <c r="AC240" s="6">
        <f>$M$240*$W$240</f>
        <v>72227.051699999996</v>
      </c>
      <c r="AD240" s="6">
        <f>$O$240*$X$240</f>
        <v>206313.22910000003</v>
      </c>
      <c r="AE240" s="6">
        <f>$K$240*$Y$240</f>
        <v>0</v>
      </c>
      <c r="AF240" s="6">
        <f ca="1">$M$240*$Z$240</f>
        <v>123839.2450423266</v>
      </c>
      <c r="AG240" s="6">
        <f>$O$240*$AA$240</f>
        <v>188996.97819085495</v>
      </c>
    </row>
    <row r="241" spans="1:33" ht="11.25" customHeight="1" x14ac:dyDescent="0.3">
      <c r="A241" s="4" t="s">
        <v>28</v>
      </c>
      <c r="B241" s="4" t="s">
        <v>39</v>
      </c>
      <c r="C241" s="4" t="s">
        <v>40</v>
      </c>
      <c r="D241" s="4" t="s">
        <v>38</v>
      </c>
      <c r="E241" s="4" t="s">
        <v>25</v>
      </c>
      <c r="F241" s="4" t="s">
        <v>25</v>
      </c>
      <c r="G241" s="4" t="s">
        <v>25</v>
      </c>
      <c r="H241" s="4" t="s">
        <v>35</v>
      </c>
      <c r="I241" s="5">
        <v>44501</v>
      </c>
      <c r="J241" s="6">
        <v>0</v>
      </c>
      <c r="K241" s="6">
        <v>0</v>
      </c>
      <c r="L241" s="6">
        <v>1</v>
      </c>
      <c r="M241" s="6">
        <v>1</v>
      </c>
      <c r="N241" s="6">
        <v>1</v>
      </c>
      <c r="O241" s="6">
        <v>1</v>
      </c>
      <c r="P241" s="6">
        <v>0</v>
      </c>
      <c r="Q241" s="4" t="s">
        <v>26</v>
      </c>
      <c r="R241" s="4">
        <v>0</v>
      </c>
      <c r="S241" s="6">
        <v>0</v>
      </c>
      <c r="T241" s="6">
        <v>17</v>
      </c>
      <c r="U241" s="6">
        <v>66</v>
      </c>
      <c r="V241" s="6">
        <f>IF(ISERROR(VLOOKUP($S$241,'TAR FIN'!$A$1:$O$103,15,0)),0,VLOOKUP($S$241,'TAR FIN'!$A$1:$O$103,15,0))</f>
        <v>0</v>
      </c>
      <c r="W241" s="6">
        <f>IF(ISERROR(VLOOKUP($T$241,'TAR FIN'!$A$1:$O$103,15,0)),0,VLOOKUP($T$241,'TAR FIN'!$A$1:$O$103,15,0))</f>
        <v>84.99</v>
      </c>
      <c r="X241" s="6">
        <f>IF(ISERROR(VLOOKUP($U$241,'TAR FIN'!$A$1:$O$103,15,0)),0,VLOOKUP($U$241,'TAR FIN'!$A$1:$O$103,15,0))</f>
        <v>242.77</v>
      </c>
      <c r="Y241" s="6"/>
      <c r="Z241" s="6">
        <f ca="1">('TUSD BE'!$AM$24+'TUSD BF'!$AM$24+'TUSD CVA'!$AM$24)*1</f>
        <v>145.72237393634796</v>
      </c>
      <c r="AA241" s="6">
        <f>('TE BE'!$AB$9+'TE BF'!$AB$9+'TE CVA'!$AB$9)*1</f>
        <v>222.39386487986414</v>
      </c>
      <c r="AB241" s="6">
        <f>$K$241*$V$241</f>
        <v>0</v>
      </c>
      <c r="AC241" s="6">
        <f>$M$241*$W$241</f>
        <v>84.99</v>
      </c>
      <c r="AD241" s="6">
        <f>$O$241*$X$241</f>
        <v>242.77</v>
      </c>
      <c r="AE241" s="6">
        <f>$K$241*$Y$241</f>
        <v>0</v>
      </c>
      <c r="AF241" s="6">
        <f ca="1">$M$241*$Z$241</f>
        <v>145.72237393634796</v>
      </c>
      <c r="AG241" s="6">
        <f>$O$241*$AA$241</f>
        <v>222.39386487986414</v>
      </c>
    </row>
    <row r="242" spans="1:33" ht="11.25" customHeight="1" x14ac:dyDescent="0.3">
      <c r="A242" s="4" t="s">
        <v>21</v>
      </c>
      <c r="B242" s="4" t="s">
        <v>39</v>
      </c>
      <c r="C242" s="4" t="s">
        <v>40</v>
      </c>
      <c r="D242" s="4" t="s">
        <v>38</v>
      </c>
      <c r="E242" s="4" t="s">
        <v>25</v>
      </c>
      <c r="F242" s="4" t="s">
        <v>25</v>
      </c>
      <c r="G242" s="4" t="s">
        <v>25</v>
      </c>
      <c r="H242" s="4" t="s">
        <v>35</v>
      </c>
      <c r="I242" s="5">
        <v>44531</v>
      </c>
      <c r="J242" s="6">
        <v>0</v>
      </c>
      <c r="K242" s="6">
        <v>0</v>
      </c>
      <c r="L242" s="6">
        <v>751.16800000000001</v>
      </c>
      <c r="M242" s="6">
        <v>751.16800000000001</v>
      </c>
      <c r="N242" s="6">
        <v>751.16800000000001</v>
      </c>
      <c r="O242" s="6">
        <v>751.16800000000001</v>
      </c>
      <c r="P242" s="6">
        <v>0</v>
      </c>
      <c r="Q242" s="4" t="s">
        <v>26</v>
      </c>
      <c r="R242" s="4">
        <v>0</v>
      </c>
      <c r="S242" s="6">
        <v>0</v>
      </c>
      <c r="T242" s="6">
        <v>17</v>
      </c>
      <c r="U242" s="6">
        <v>66</v>
      </c>
      <c r="V242" s="6">
        <f>IF(ISERROR(VLOOKUP($S$242,'TAR FIN'!$A$1:$O$103,15,0)),0,VLOOKUP($S$242,'TAR FIN'!$A$1:$O$103,15,0))</f>
        <v>0</v>
      </c>
      <c r="W242" s="6">
        <f>IF(ISERROR(VLOOKUP($T$242,'TAR FIN'!$A$1:$O$103,15,0)),0,VLOOKUP($T$242,'TAR FIN'!$A$1:$O$103,15,0))</f>
        <v>84.99</v>
      </c>
      <c r="X242" s="6">
        <f>IF(ISERROR(VLOOKUP($U$242,'TAR FIN'!$A$1:$O$103,15,0)),0,VLOOKUP($U$242,'TAR FIN'!$A$1:$O$103,15,0))</f>
        <v>242.77</v>
      </c>
      <c r="Y242" s="6"/>
      <c r="Z242" s="6">
        <f ca="1">('TUSD BE'!$AM$24+'TUSD BF'!$AM$24+'TUSD CVA'!$AM$24)*1</f>
        <v>145.72237393634796</v>
      </c>
      <c r="AA242" s="6">
        <f>('TE BE'!$AB$9+'TE BF'!$AB$9+'TE CVA'!$AB$9)*1</f>
        <v>222.39386487986414</v>
      </c>
      <c r="AB242" s="6">
        <f>$K$242*$V$242</f>
        <v>0</v>
      </c>
      <c r="AC242" s="6">
        <f>$M$242*$W$242</f>
        <v>63841.768319999996</v>
      </c>
      <c r="AD242" s="6">
        <f>$O$242*$X$242</f>
        <v>182361.05536</v>
      </c>
      <c r="AE242" s="6">
        <f>$K$242*$Y$242</f>
        <v>0</v>
      </c>
      <c r="AF242" s="6">
        <f ca="1">$M$242*$Z$242</f>
        <v>109461.98418501863</v>
      </c>
      <c r="AG242" s="6">
        <f>$O$242*$AA$242</f>
        <v>167055.15469407779</v>
      </c>
    </row>
    <row r="243" spans="1:33" ht="11.25" customHeight="1" x14ac:dyDescent="0.3">
      <c r="A243" s="4" t="s">
        <v>28</v>
      </c>
      <c r="B243" s="4" t="s">
        <v>39</v>
      </c>
      <c r="C243" s="4" t="s">
        <v>40</v>
      </c>
      <c r="D243" s="4" t="s">
        <v>38</v>
      </c>
      <c r="E243" s="4" t="s">
        <v>25</v>
      </c>
      <c r="F243" s="4" t="s">
        <v>25</v>
      </c>
      <c r="G243" s="4" t="s">
        <v>25</v>
      </c>
      <c r="H243" s="4" t="s">
        <v>35</v>
      </c>
      <c r="I243" s="5">
        <v>44531</v>
      </c>
      <c r="J243" s="6">
        <v>0</v>
      </c>
      <c r="K243" s="6">
        <v>0</v>
      </c>
      <c r="L243" s="6">
        <v>1.2030000000000001</v>
      </c>
      <c r="M243" s="6">
        <v>1.2030000000000001</v>
      </c>
      <c r="N243" s="6">
        <v>1.2030000000000001</v>
      </c>
      <c r="O243" s="6">
        <v>1.2030000000000001</v>
      </c>
      <c r="P243" s="6">
        <v>0</v>
      </c>
      <c r="Q243" s="4" t="s">
        <v>26</v>
      </c>
      <c r="R243" s="4">
        <v>0</v>
      </c>
      <c r="S243" s="6">
        <v>0</v>
      </c>
      <c r="T243" s="6">
        <v>17</v>
      </c>
      <c r="U243" s="6">
        <v>66</v>
      </c>
      <c r="V243" s="6">
        <f>IF(ISERROR(VLOOKUP($S$243,'TAR FIN'!$A$1:$O$103,15,0)),0,VLOOKUP($S$243,'TAR FIN'!$A$1:$O$103,15,0))</f>
        <v>0</v>
      </c>
      <c r="W243" s="6">
        <f>IF(ISERROR(VLOOKUP($T$243,'TAR FIN'!$A$1:$O$103,15,0)),0,VLOOKUP($T$243,'TAR FIN'!$A$1:$O$103,15,0))</f>
        <v>84.99</v>
      </c>
      <c r="X243" s="6">
        <f>IF(ISERROR(VLOOKUP($U$243,'TAR FIN'!$A$1:$O$103,15,0)),0,VLOOKUP($U$243,'TAR FIN'!$A$1:$O$103,15,0))</f>
        <v>242.77</v>
      </c>
      <c r="Y243" s="6"/>
      <c r="Z243" s="6">
        <f ca="1">('TUSD BE'!$AM$24+'TUSD BF'!$AM$24+'TUSD CVA'!$AM$24)*1</f>
        <v>145.72237393634796</v>
      </c>
      <c r="AA243" s="6">
        <f>('TE BE'!$AB$9+'TE BF'!$AB$9+'TE CVA'!$AB$9)*1</f>
        <v>222.39386487986414</v>
      </c>
      <c r="AB243" s="6">
        <f>$K$243*$V$243</f>
        <v>0</v>
      </c>
      <c r="AC243" s="6">
        <f>$M$243*$W$243</f>
        <v>102.24297</v>
      </c>
      <c r="AD243" s="6">
        <f>$O$243*$X$243</f>
        <v>292.05231000000003</v>
      </c>
      <c r="AE243" s="6">
        <f>$K$243*$Y$243</f>
        <v>0</v>
      </c>
      <c r="AF243" s="6">
        <f ca="1">$M$243*$Z$243</f>
        <v>175.30401584542662</v>
      </c>
      <c r="AG243" s="6">
        <f>$O$243*$AA$243</f>
        <v>267.53981945047656</v>
      </c>
    </row>
    <row r="244" spans="1:33" ht="11.25" customHeight="1" x14ac:dyDescent="0.3">
      <c r="A244" s="4" t="s">
        <v>21</v>
      </c>
      <c r="B244" s="4" t="s">
        <v>39</v>
      </c>
      <c r="C244" s="4" t="s">
        <v>40</v>
      </c>
      <c r="D244" s="4" t="s">
        <v>38</v>
      </c>
      <c r="E244" s="4" t="s">
        <v>25</v>
      </c>
      <c r="F244" s="4" t="s">
        <v>25</v>
      </c>
      <c r="G244" s="4" t="s">
        <v>25</v>
      </c>
      <c r="H244" s="4" t="s">
        <v>35</v>
      </c>
      <c r="I244" s="5">
        <v>44562</v>
      </c>
      <c r="J244" s="6">
        <v>0</v>
      </c>
      <c r="K244" s="6">
        <v>0</v>
      </c>
      <c r="L244" s="6">
        <v>729.11</v>
      </c>
      <c r="M244" s="6">
        <v>729.11</v>
      </c>
      <c r="N244" s="6">
        <v>729.11</v>
      </c>
      <c r="O244" s="6">
        <v>729.11</v>
      </c>
      <c r="P244" s="6">
        <v>0</v>
      </c>
      <c r="Q244" s="4" t="s">
        <v>26</v>
      </c>
      <c r="R244" s="4">
        <v>0</v>
      </c>
      <c r="S244" s="6">
        <v>0</v>
      </c>
      <c r="T244" s="6">
        <v>17</v>
      </c>
      <c r="U244" s="6">
        <v>66</v>
      </c>
      <c r="V244" s="6">
        <f>IF(ISERROR(VLOOKUP($S$244,'TAR FIN'!$A$1:$O$103,15,0)),0,VLOOKUP($S$244,'TAR FIN'!$A$1:$O$103,15,0))</f>
        <v>0</v>
      </c>
      <c r="W244" s="6">
        <f>IF(ISERROR(VLOOKUP($T$244,'TAR FIN'!$A$1:$O$103,15,0)),0,VLOOKUP($T$244,'TAR FIN'!$A$1:$O$103,15,0))</f>
        <v>84.99</v>
      </c>
      <c r="X244" s="6">
        <f>IF(ISERROR(VLOOKUP($U$244,'TAR FIN'!$A$1:$O$103,15,0)),0,VLOOKUP($U$244,'TAR FIN'!$A$1:$O$103,15,0))</f>
        <v>242.77</v>
      </c>
      <c r="Y244" s="6"/>
      <c r="Z244" s="6">
        <f ca="1">('TUSD BE'!$AM$24+'TUSD BF'!$AM$24+'TUSD CVA'!$AM$24)*1</f>
        <v>145.72237393634796</v>
      </c>
      <c r="AA244" s="6">
        <f>('TE BE'!$AB$9+'TE BF'!$AB$9+'TE CVA'!$AB$9)*1</f>
        <v>222.39386487986414</v>
      </c>
      <c r="AB244" s="6">
        <f>$K$244*$V$244</f>
        <v>0</v>
      </c>
      <c r="AC244" s="6">
        <f>$M$244*$W$244</f>
        <v>61967.058899999996</v>
      </c>
      <c r="AD244" s="6">
        <f>$O$244*$X$244</f>
        <v>177006.03470000002</v>
      </c>
      <c r="AE244" s="6">
        <f>$K$244*$Y$244</f>
        <v>0</v>
      </c>
      <c r="AF244" s="6">
        <f ca="1">$M$244*$Z$244</f>
        <v>106247.64006073067</v>
      </c>
      <c r="AG244" s="6">
        <f>$O$244*$AA$244</f>
        <v>162149.59082255774</v>
      </c>
    </row>
    <row r="245" spans="1:33" ht="11.25" customHeight="1" x14ac:dyDescent="0.3">
      <c r="A245" s="4" t="s">
        <v>28</v>
      </c>
      <c r="B245" s="4" t="s">
        <v>39</v>
      </c>
      <c r="C245" s="4" t="s">
        <v>40</v>
      </c>
      <c r="D245" s="4" t="s">
        <v>38</v>
      </c>
      <c r="E245" s="4" t="s">
        <v>25</v>
      </c>
      <c r="F245" s="4" t="s">
        <v>25</v>
      </c>
      <c r="G245" s="4" t="s">
        <v>25</v>
      </c>
      <c r="H245" s="4" t="s">
        <v>35</v>
      </c>
      <c r="I245" s="5">
        <v>44562</v>
      </c>
      <c r="J245" s="6">
        <v>0</v>
      </c>
      <c r="K245" s="6">
        <v>0</v>
      </c>
      <c r="L245" s="6">
        <v>1.08</v>
      </c>
      <c r="M245" s="6">
        <v>1.08</v>
      </c>
      <c r="N245" s="6">
        <v>1.08</v>
      </c>
      <c r="O245" s="6">
        <v>1.08</v>
      </c>
      <c r="P245" s="6">
        <v>0</v>
      </c>
      <c r="Q245" s="4" t="s">
        <v>26</v>
      </c>
      <c r="R245" s="4">
        <v>0</v>
      </c>
      <c r="S245" s="6">
        <v>0</v>
      </c>
      <c r="T245" s="6">
        <v>17</v>
      </c>
      <c r="U245" s="6">
        <v>66</v>
      </c>
      <c r="V245" s="6">
        <f>IF(ISERROR(VLOOKUP($S$245,'TAR FIN'!$A$1:$O$103,15,0)),0,VLOOKUP($S$245,'TAR FIN'!$A$1:$O$103,15,0))</f>
        <v>0</v>
      </c>
      <c r="W245" s="6">
        <f>IF(ISERROR(VLOOKUP($T$245,'TAR FIN'!$A$1:$O$103,15,0)),0,VLOOKUP($T$245,'TAR FIN'!$A$1:$O$103,15,0))</f>
        <v>84.99</v>
      </c>
      <c r="X245" s="6">
        <f>IF(ISERROR(VLOOKUP($U$245,'TAR FIN'!$A$1:$O$103,15,0)),0,VLOOKUP($U$245,'TAR FIN'!$A$1:$O$103,15,0))</f>
        <v>242.77</v>
      </c>
      <c r="Y245" s="6"/>
      <c r="Z245" s="6">
        <f ca="1">('TUSD BE'!$AM$24+'TUSD BF'!$AM$24+'TUSD CVA'!$AM$24)*1</f>
        <v>145.72237393634796</v>
      </c>
      <c r="AA245" s="6">
        <f>('TE BE'!$AB$9+'TE BF'!$AB$9+'TE CVA'!$AB$9)*1</f>
        <v>222.39386487986414</v>
      </c>
      <c r="AB245" s="6">
        <f>$K$245*$V$245</f>
        <v>0</v>
      </c>
      <c r="AC245" s="6">
        <f>$M$245*$W$245</f>
        <v>91.789199999999994</v>
      </c>
      <c r="AD245" s="6">
        <f>$O$245*$X$245</f>
        <v>262.19160000000005</v>
      </c>
      <c r="AE245" s="6">
        <f>$K$245*$Y$245</f>
        <v>0</v>
      </c>
      <c r="AF245" s="6">
        <f ca="1">$M$245*$Z$245</f>
        <v>157.38016385125582</v>
      </c>
      <c r="AG245" s="6">
        <f>$O$245*$AA$245</f>
        <v>240.18537407025329</v>
      </c>
    </row>
    <row r="246" spans="1:33" ht="11.25" customHeight="1" x14ac:dyDescent="0.3">
      <c r="A246" s="4" t="s">
        <v>21</v>
      </c>
      <c r="B246" s="4" t="s">
        <v>39</v>
      </c>
      <c r="C246" s="4" t="s">
        <v>40</v>
      </c>
      <c r="D246" s="4" t="s">
        <v>38</v>
      </c>
      <c r="E246" s="4" t="s">
        <v>25</v>
      </c>
      <c r="F246" s="4" t="s">
        <v>25</v>
      </c>
      <c r="G246" s="4" t="s">
        <v>25</v>
      </c>
      <c r="H246" s="4" t="s">
        <v>35</v>
      </c>
      <c r="I246" s="5">
        <v>44593</v>
      </c>
      <c r="J246" s="6">
        <v>0</v>
      </c>
      <c r="K246" s="6">
        <v>0</v>
      </c>
      <c r="L246" s="6">
        <v>748.76099999999997</v>
      </c>
      <c r="M246" s="6">
        <v>748.76099999999997</v>
      </c>
      <c r="N246" s="6">
        <v>748.76099999999997</v>
      </c>
      <c r="O246" s="6">
        <v>748.76099999999997</v>
      </c>
      <c r="P246" s="6">
        <v>0</v>
      </c>
      <c r="Q246" s="4" t="s">
        <v>26</v>
      </c>
      <c r="R246" s="4">
        <v>0</v>
      </c>
      <c r="S246" s="6">
        <v>0</v>
      </c>
      <c r="T246" s="6">
        <v>17</v>
      </c>
      <c r="U246" s="6">
        <v>66</v>
      </c>
      <c r="V246" s="6">
        <f>IF(ISERROR(VLOOKUP($S$246,'TAR FIN'!$A$1:$O$103,15,0)),0,VLOOKUP($S$246,'TAR FIN'!$A$1:$O$103,15,0))</f>
        <v>0</v>
      </c>
      <c r="W246" s="6">
        <f>IF(ISERROR(VLOOKUP($T$246,'TAR FIN'!$A$1:$O$103,15,0)),0,VLOOKUP($T$246,'TAR FIN'!$A$1:$O$103,15,0))</f>
        <v>84.99</v>
      </c>
      <c r="X246" s="6">
        <f>IF(ISERROR(VLOOKUP($U$246,'TAR FIN'!$A$1:$O$103,15,0)),0,VLOOKUP($U$246,'TAR FIN'!$A$1:$O$103,15,0))</f>
        <v>242.77</v>
      </c>
      <c r="Y246" s="6"/>
      <c r="Z246" s="6">
        <f ca="1">('TUSD BE'!$AM$24+'TUSD BF'!$AM$24+'TUSD CVA'!$AM$24)*1</f>
        <v>145.72237393634796</v>
      </c>
      <c r="AA246" s="6">
        <f>('TE BE'!$AB$9+'TE BF'!$AB$9+'TE CVA'!$AB$9)*1</f>
        <v>222.39386487986414</v>
      </c>
      <c r="AB246" s="6">
        <f>$K$246*$V$246</f>
        <v>0</v>
      </c>
      <c r="AC246" s="6">
        <f>$M$246*$W$246</f>
        <v>63637.197389999994</v>
      </c>
      <c r="AD246" s="6">
        <f>$O$246*$X$246</f>
        <v>181776.70796999999</v>
      </c>
      <c r="AE246" s="6">
        <f>$K$246*$Y$246</f>
        <v>0</v>
      </c>
      <c r="AF246" s="6">
        <f ca="1">$M$246*$Z$246</f>
        <v>109111.23043095383</v>
      </c>
      <c r="AG246" s="6">
        <f>$O$246*$AA$246</f>
        <v>166519.85266131195</v>
      </c>
    </row>
    <row r="247" spans="1:33" ht="11.25" customHeight="1" x14ac:dyDescent="0.3">
      <c r="A247" s="4" t="s">
        <v>28</v>
      </c>
      <c r="B247" s="4" t="s">
        <v>39</v>
      </c>
      <c r="C247" s="4" t="s">
        <v>40</v>
      </c>
      <c r="D247" s="4" t="s">
        <v>38</v>
      </c>
      <c r="E247" s="4" t="s">
        <v>25</v>
      </c>
      <c r="F247" s="4" t="s">
        <v>25</v>
      </c>
      <c r="G247" s="4" t="s">
        <v>25</v>
      </c>
      <c r="H247" s="4" t="s">
        <v>35</v>
      </c>
      <c r="I247" s="5">
        <v>44593</v>
      </c>
      <c r="J247" s="6">
        <v>0</v>
      </c>
      <c r="K247" s="6">
        <v>0</v>
      </c>
      <c r="L247" s="6">
        <v>1.585</v>
      </c>
      <c r="M247" s="6">
        <v>1.585</v>
      </c>
      <c r="N247" s="6">
        <v>1.585</v>
      </c>
      <c r="O247" s="6">
        <v>1.585</v>
      </c>
      <c r="P247" s="6">
        <v>0</v>
      </c>
      <c r="Q247" s="4" t="s">
        <v>26</v>
      </c>
      <c r="R247" s="4">
        <v>0</v>
      </c>
      <c r="S247" s="6">
        <v>0</v>
      </c>
      <c r="T247" s="6">
        <v>17</v>
      </c>
      <c r="U247" s="6">
        <v>66</v>
      </c>
      <c r="V247" s="6">
        <f>IF(ISERROR(VLOOKUP($S$247,'TAR FIN'!$A$1:$O$103,15,0)),0,VLOOKUP($S$247,'TAR FIN'!$A$1:$O$103,15,0))</f>
        <v>0</v>
      </c>
      <c r="W247" s="6">
        <f>IF(ISERROR(VLOOKUP($T$247,'TAR FIN'!$A$1:$O$103,15,0)),0,VLOOKUP($T$247,'TAR FIN'!$A$1:$O$103,15,0))</f>
        <v>84.99</v>
      </c>
      <c r="X247" s="6">
        <f>IF(ISERROR(VLOOKUP($U$247,'TAR FIN'!$A$1:$O$103,15,0)),0,VLOOKUP($U$247,'TAR FIN'!$A$1:$O$103,15,0))</f>
        <v>242.77</v>
      </c>
      <c r="Y247" s="6"/>
      <c r="Z247" s="6">
        <f ca="1">('TUSD BE'!$AM$24+'TUSD BF'!$AM$24+'TUSD CVA'!$AM$24)*1</f>
        <v>145.72237393634796</v>
      </c>
      <c r="AA247" s="6">
        <f>('TE BE'!$AB$9+'TE BF'!$AB$9+'TE CVA'!$AB$9)*1</f>
        <v>222.39386487986414</v>
      </c>
      <c r="AB247" s="6">
        <f>$K$247*$V$247</f>
        <v>0</v>
      </c>
      <c r="AC247" s="6">
        <f>$M$247*$W$247</f>
        <v>134.70914999999999</v>
      </c>
      <c r="AD247" s="6">
        <f>$O$247*$X$247</f>
        <v>384.79045000000002</v>
      </c>
      <c r="AE247" s="6">
        <f>$K$247*$Y$247</f>
        <v>0</v>
      </c>
      <c r="AF247" s="6">
        <f ca="1">$M$247*$Z$247</f>
        <v>230.96996268911153</v>
      </c>
      <c r="AG247" s="6">
        <f>$O$247*$AA$247</f>
        <v>352.49427583458464</v>
      </c>
    </row>
    <row r="248" spans="1:33" ht="11.25" customHeight="1" x14ac:dyDescent="0.3">
      <c r="A248" s="4" t="s">
        <v>21</v>
      </c>
      <c r="B248" s="4" t="s">
        <v>39</v>
      </c>
      <c r="C248" s="4" t="s">
        <v>40</v>
      </c>
      <c r="D248" s="4" t="s">
        <v>38</v>
      </c>
      <c r="E248" s="4" t="s">
        <v>25</v>
      </c>
      <c r="F248" s="4" t="s">
        <v>25</v>
      </c>
      <c r="G248" s="4" t="s">
        <v>25</v>
      </c>
      <c r="H248" s="4" t="s">
        <v>35</v>
      </c>
      <c r="I248" s="5">
        <v>44621</v>
      </c>
      <c r="J248" s="6">
        <v>0</v>
      </c>
      <c r="K248" s="6">
        <v>0</v>
      </c>
      <c r="L248" s="6">
        <v>879.36</v>
      </c>
      <c r="M248" s="6">
        <v>879.36</v>
      </c>
      <c r="N248" s="6">
        <v>879.36</v>
      </c>
      <c r="O248" s="6">
        <v>879.36</v>
      </c>
      <c r="P248" s="6">
        <v>0</v>
      </c>
      <c r="Q248" s="4" t="s">
        <v>26</v>
      </c>
      <c r="R248" s="4">
        <v>0</v>
      </c>
      <c r="S248" s="6">
        <v>0</v>
      </c>
      <c r="T248" s="6">
        <v>17</v>
      </c>
      <c r="U248" s="6">
        <v>66</v>
      </c>
      <c r="V248" s="6">
        <f>IF(ISERROR(VLOOKUP($S$248,'TAR FIN'!$A$1:$O$103,15,0)),0,VLOOKUP($S$248,'TAR FIN'!$A$1:$O$103,15,0))</f>
        <v>0</v>
      </c>
      <c r="W248" s="6">
        <f>IF(ISERROR(VLOOKUP($T$248,'TAR FIN'!$A$1:$O$103,15,0)),0,VLOOKUP($T$248,'TAR FIN'!$A$1:$O$103,15,0))</f>
        <v>84.99</v>
      </c>
      <c r="X248" s="6">
        <f>IF(ISERROR(VLOOKUP($U$248,'TAR FIN'!$A$1:$O$103,15,0)),0,VLOOKUP($U$248,'TAR FIN'!$A$1:$O$103,15,0))</f>
        <v>242.77</v>
      </c>
      <c r="Y248" s="6"/>
      <c r="Z248" s="6">
        <f ca="1">('TUSD BE'!$AM$24+'TUSD BF'!$AM$24+'TUSD CVA'!$AM$24)*1</f>
        <v>145.72237393634796</v>
      </c>
      <c r="AA248" s="6">
        <f>('TE BE'!$AB$9+'TE BF'!$AB$9+'TE CVA'!$AB$9)*1</f>
        <v>222.39386487986414</v>
      </c>
      <c r="AB248" s="6">
        <f>$K$248*$V$248</f>
        <v>0</v>
      </c>
      <c r="AC248" s="6">
        <f>$M$248*$W$248</f>
        <v>74736.806400000001</v>
      </c>
      <c r="AD248" s="6">
        <f>$O$248*$X$248</f>
        <v>213482.22720000002</v>
      </c>
      <c r="AE248" s="6">
        <f>$K$248*$Y$248</f>
        <v>0</v>
      </c>
      <c r="AF248" s="6">
        <f ca="1">$M$248*$Z$248</f>
        <v>128142.42674466695</v>
      </c>
      <c r="AG248" s="6">
        <f>$O$248*$AA$248</f>
        <v>195564.26902075735</v>
      </c>
    </row>
    <row r="249" spans="1:33" ht="11.25" customHeight="1" x14ac:dyDescent="0.3">
      <c r="A249" s="4" t="s">
        <v>28</v>
      </c>
      <c r="B249" s="4" t="s">
        <v>39</v>
      </c>
      <c r="C249" s="4" t="s">
        <v>40</v>
      </c>
      <c r="D249" s="4" t="s">
        <v>38</v>
      </c>
      <c r="E249" s="4" t="s">
        <v>25</v>
      </c>
      <c r="F249" s="4" t="s">
        <v>25</v>
      </c>
      <c r="G249" s="4" t="s">
        <v>25</v>
      </c>
      <c r="H249" s="4" t="s">
        <v>35</v>
      </c>
      <c r="I249" s="5">
        <v>44621</v>
      </c>
      <c r="J249" s="6">
        <v>0</v>
      </c>
      <c r="K249" s="6">
        <v>0</v>
      </c>
      <c r="L249" s="6">
        <v>1.5589999999999999</v>
      </c>
      <c r="M249" s="6">
        <v>1.5589999999999999</v>
      </c>
      <c r="N249" s="6">
        <v>1.5589999999999999</v>
      </c>
      <c r="O249" s="6">
        <v>1.5589999999999999</v>
      </c>
      <c r="P249" s="6">
        <v>0</v>
      </c>
      <c r="Q249" s="4" t="s">
        <v>26</v>
      </c>
      <c r="R249" s="4">
        <v>0</v>
      </c>
      <c r="S249" s="6">
        <v>0</v>
      </c>
      <c r="T249" s="6">
        <v>17</v>
      </c>
      <c r="U249" s="6">
        <v>66</v>
      </c>
      <c r="V249" s="6">
        <f>IF(ISERROR(VLOOKUP($S$249,'TAR FIN'!$A$1:$O$103,15,0)),0,VLOOKUP($S$249,'TAR FIN'!$A$1:$O$103,15,0))</f>
        <v>0</v>
      </c>
      <c r="W249" s="6">
        <f>IF(ISERROR(VLOOKUP($T$249,'TAR FIN'!$A$1:$O$103,15,0)),0,VLOOKUP($T$249,'TAR FIN'!$A$1:$O$103,15,0))</f>
        <v>84.99</v>
      </c>
      <c r="X249" s="6">
        <f>IF(ISERROR(VLOOKUP($U$249,'TAR FIN'!$A$1:$O$103,15,0)),0,VLOOKUP($U$249,'TAR FIN'!$A$1:$O$103,15,0))</f>
        <v>242.77</v>
      </c>
      <c r="Y249" s="6"/>
      <c r="Z249" s="6">
        <f ca="1">('TUSD BE'!$AM$24+'TUSD BF'!$AM$24+'TUSD CVA'!$AM$24)*1</f>
        <v>145.72237393634796</v>
      </c>
      <c r="AA249" s="6">
        <f>('TE BE'!$AB$9+'TE BF'!$AB$9+'TE CVA'!$AB$9)*1</f>
        <v>222.39386487986414</v>
      </c>
      <c r="AB249" s="6">
        <f>$K$249*$V$249</f>
        <v>0</v>
      </c>
      <c r="AC249" s="6">
        <f>$M$249*$W$249</f>
        <v>132.49940999999998</v>
      </c>
      <c r="AD249" s="6">
        <f>$O$249*$X$249</f>
        <v>378.47843</v>
      </c>
      <c r="AE249" s="6">
        <f>$K$249*$Y$249</f>
        <v>0</v>
      </c>
      <c r="AF249" s="6">
        <f ca="1">$M$249*$Z$249</f>
        <v>227.18118096676648</v>
      </c>
      <c r="AG249" s="6">
        <f>$O$249*$AA$249</f>
        <v>346.71203534770819</v>
      </c>
    </row>
    <row r="250" spans="1:33" ht="11.25" customHeight="1" x14ac:dyDescent="0.3">
      <c r="A250" s="4" t="s">
        <v>21</v>
      </c>
      <c r="B250" s="4" t="s">
        <v>39</v>
      </c>
      <c r="C250" s="4" t="s">
        <v>40</v>
      </c>
      <c r="D250" s="4" t="s">
        <v>38</v>
      </c>
      <c r="E250" s="4" t="s">
        <v>25</v>
      </c>
      <c r="F250" s="4" t="s">
        <v>25</v>
      </c>
      <c r="G250" s="4" t="s">
        <v>25</v>
      </c>
      <c r="H250" s="4" t="s">
        <v>35</v>
      </c>
      <c r="I250" s="5">
        <v>44652</v>
      </c>
      <c r="J250" s="6">
        <v>0</v>
      </c>
      <c r="K250" s="6">
        <v>0</v>
      </c>
      <c r="L250" s="6">
        <v>776.197</v>
      </c>
      <c r="M250" s="6">
        <v>776.197</v>
      </c>
      <c r="N250" s="6">
        <v>776.197</v>
      </c>
      <c r="O250" s="6">
        <v>776.197</v>
      </c>
      <c r="P250" s="6">
        <v>0</v>
      </c>
      <c r="Q250" s="4" t="s">
        <v>26</v>
      </c>
      <c r="R250" s="4">
        <v>0</v>
      </c>
      <c r="S250" s="6">
        <v>0</v>
      </c>
      <c r="T250" s="6">
        <v>17</v>
      </c>
      <c r="U250" s="6">
        <v>66</v>
      </c>
      <c r="V250" s="6">
        <f>IF(ISERROR(VLOOKUP($S$250,'TAR FIN'!$A$1:$O$103,15,0)),0,VLOOKUP($S$250,'TAR FIN'!$A$1:$O$103,15,0))</f>
        <v>0</v>
      </c>
      <c r="W250" s="6">
        <f>IF(ISERROR(VLOOKUP($T$250,'TAR FIN'!$A$1:$O$103,15,0)),0,VLOOKUP($T$250,'TAR FIN'!$A$1:$O$103,15,0))</f>
        <v>84.99</v>
      </c>
      <c r="X250" s="6">
        <f>IF(ISERROR(VLOOKUP($U$250,'TAR FIN'!$A$1:$O$103,15,0)),0,VLOOKUP($U$250,'TAR FIN'!$A$1:$O$103,15,0))</f>
        <v>242.77</v>
      </c>
      <c r="Y250" s="6"/>
      <c r="Z250" s="6">
        <f ca="1">('TUSD BE'!$AM$24+'TUSD BF'!$AM$24+'TUSD CVA'!$AM$24)*1</f>
        <v>145.72237393634796</v>
      </c>
      <c r="AA250" s="6">
        <f>('TE BE'!$AB$9+'TE BF'!$AB$9+'TE CVA'!$AB$9)*1</f>
        <v>222.39386487986414</v>
      </c>
      <c r="AB250" s="6">
        <f>$K$250*$V$250</f>
        <v>0</v>
      </c>
      <c r="AC250" s="6">
        <f>$M$250*$W$250</f>
        <v>65968.983030000003</v>
      </c>
      <c r="AD250" s="6">
        <f>$O$250*$X$250</f>
        <v>188437.34569000002</v>
      </c>
      <c r="AE250" s="6">
        <f>$K$250*$Y$250</f>
        <v>0</v>
      </c>
      <c r="AF250" s="6">
        <f ca="1">$M$250*$Z$250</f>
        <v>113109.26948227148</v>
      </c>
      <c r="AG250" s="6">
        <f>$O$250*$AA$250</f>
        <v>172621.45073815589</v>
      </c>
    </row>
    <row r="251" spans="1:33" ht="11.25" customHeight="1" x14ac:dyDescent="0.3">
      <c r="A251" s="4" t="s">
        <v>28</v>
      </c>
      <c r="B251" s="4" t="s">
        <v>39</v>
      </c>
      <c r="C251" s="4" t="s">
        <v>40</v>
      </c>
      <c r="D251" s="4" t="s">
        <v>38</v>
      </c>
      <c r="E251" s="4" t="s">
        <v>25</v>
      </c>
      <c r="F251" s="4" t="s">
        <v>25</v>
      </c>
      <c r="G251" s="4" t="s">
        <v>25</v>
      </c>
      <c r="H251" s="4" t="s">
        <v>35</v>
      </c>
      <c r="I251" s="5">
        <v>44652</v>
      </c>
      <c r="J251" s="6">
        <v>0</v>
      </c>
      <c r="K251" s="6">
        <v>0</v>
      </c>
      <c r="L251" s="6">
        <v>1.232</v>
      </c>
      <c r="M251" s="6">
        <v>1.232</v>
      </c>
      <c r="N251" s="6">
        <v>1.232</v>
      </c>
      <c r="O251" s="6">
        <v>1.232</v>
      </c>
      <c r="P251" s="6">
        <v>0</v>
      </c>
      <c r="Q251" s="4" t="s">
        <v>26</v>
      </c>
      <c r="R251" s="4">
        <v>0</v>
      </c>
      <c r="S251" s="6">
        <v>0</v>
      </c>
      <c r="T251" s="6">
        <v>17</v>
      </c>
      <c r="U251" s="6">
        <v>66</v>
      </c>
      <c r="V251" s="6">
        <f>IF(ISERROR(VLOOKUP($S$251,'TAR FIN'!$A$1:$O$103,15,0)),0,VLOOKUP($S$251,'TAR FIN'!$A$1:$O$103,15,0))</f>
        <v>0</v>
      </c>
      <c r="W251" s="6">
        <f>IF(ISERROR(VLOOKUP($T$251,'TAR FIN'!$A$1:$O$103,15,0)),0,VLOOKUP($T$251,'TAR FIN'!$A$1:$O$103,15,0))</f>
        <v>84.99</v>
      </c>
      <c r="X251" s="6">
        <f>IF(ISERROR(VLOOKUP($U$251,'TAR FIN'!$A$1:$O$103,15,0)),0,VLOOKUP($U$251,'TAR FIN'!$A$1:$O$103,15,0))</f>
        <v>242.77</v>
      </c>
      <c r="Y251" s="6"/>
      <c r="Z251" s="6">
        <f ca="1">('TUSD BE'!$AM$24+'TUSD BF'!$AM$24+'TUSD CVA'!$AM$24)*1</f>
        <v>145.72237393634796</v>
      </c>
      <c r="AA251" s="6">
        <f>('TE BE'!$AB$9+'TE BF'!$AB$9+'TE CVA'!$AB$9)*1</f>
        <v>222.39386487986414</v>
      </c>
      <c r="AB251" s="6">
        <f>$K$251*$V$251</f>
        <v>0</v>
      </c>
      <c r="AC251" s="6">
        <f>$M$251*$W$251</f>
        <v>104.70768</v>
      </c>
      <c r="AD251" s="6">
        <f>$O$251*$X$251</f>
        <v>299.09264000000002</v>
      </c>
      <c r="AE251" s="6">
        <f>$K$251*$Y$251</f>
        <v>0</v>
      </c>
      <c r="AF251" s="6">
        <f ca="1">$M$251*$Z$251</f>
        <v>179.52996468958068</v>
      </c>
      <c r="AG251" s="6">
        <f>$O$251*$AA$251</f>
        <v>273.9892415319926</v>
      </c>
    </row>
    <row r="252" spans="1:33" ht="11.25" customHeight="1" x14ac:dyDescent="0.3">
      <c r="A252" s="4" t="s">
        <v>21</v>
      </c>
      <c r="B252" s="4" t="s">
        <v>39</v>
      </c>
      <c r="C252" s="4" t="s">
        <v>40</v>
      </c>
      <c r="D252" s="4" t="s">
        <v>38</v>
      </c>
      <c r="E252" s="4" t="s">
        <v>25</v>
      </c>
      <c r="F252" s="4" t="s">
        <v>25</v>
      </c>
      <c r="G252" s="4" t="s">
        <v>25</v>
      </c>
      <c r="H252" s="4" t="s">
        <v>35</v>
      </c>
      <c r="I252" s="5">
        <v>44682</v>
      </c>
      <c r="J252" s="6">
        <v>0</v>
      </c>
      <c r="K252" s="6">
        <v>0</v>
      </c>
      <c r="L252" s="6">
        <v>673.07399999999996</v>
      </c>
      <c r="M252" s="6">
        <v>673.07399999999996</v>
      </c>
      <c r="N252" s="6">
        <v>673.07399999999996</v>
      </c>
      <c r="O252" s="6">
        <v>673.07399999999996</v>
      </c>
      <c r="P252" s="6">
        <v>0</v>
      </c>
      <c r="Q252" s="4" t="s">
        <v>26</v>
      </c>
      <c r="R252" s="4">
        <v>0</v>
      </c>
      <c r="S252" s="6">
        <v>0</v>
      </c>
      <c r="T252" s="6">
        <v>17</v>
      </c>
      <c r="U252" s="6">
        <v>66</v>
      </c>
      <c r="V252" s="6">
        <f>IF(ISERROR(VLOOKUP($S$252,'TAR FIN'!$A$1:$O$103,15,0)),0,VLOOKUP($S$252,'TAR FIN'!$A$1:$O$103,15,0))</f>
        <v>0</v>
      </c>
      <c r="W252" s="6">
        <f>IF(ISERROR(VLOOKUP($T$252,'TAR FIN'!$A$1:$O$103,15,0)),0,VLOOKUP($T$252,'TAR FIN'!$A$1:$O$103,15,0))</f>
        <v>84.99</v>
      </c>
      <c r="X252" s="6">
        <f>IF(ISERROR(VLOOKUP($U$252,'TAR FIN'!$A$1:$O$103,15,0)),0,VLOOKUP($U$252,'TAR FIN'!$A$1:$O$103,15,0))</f>
        <v>242.77</v>
      </c>
      <c r="Y252" s="6"/>
      <c r="Z252" s="6">
        <f ca="1">('TUSD BE'!$AM$24+'TUSD BF'!$AM$24+'TUSD CVA'!$AM$24)*1</f>
        <v>145.72237393634796</v>
      </c>
      <c r="AA252" s="6">
        <f>('TE BE'!$AB$9+'TE BF'!$AB$9+'TE CVA'!$AB$9)*1</f>
        <v>222.39386487986414</v>
      </c>
      <c r="AB252" s="6">
        <f>$K$252*$V$252</f>
        <v>0</v>
      </c>
      <c r="AC252" s="6">
        <f>$M$252*$W$252</f>
        <v>57204.559259999995</v>
      </c>
      <c r="AD252" s="6">
        <f>$O$252*$X$252</f>
        <v>163402.17497999998</v>
      </c>
      <c r="AE252" s="6">
        <f>$K$252*$Y$252</f>
        <v>0</v>
      </c>
      <c r="AF252" s="6">
        <f ca="1">$M$252*$Z$252</f>
        <v>98081.941114833462</v>
      </c>
      <c r="AG252" s="6">
        <f>$O$252*$AA$252</f>
        <v>149687.52821014967</v>
      </c>
    </row>
    <row r="253" spans="1:33" ht="11.25" customHeight="1" x14ac:dyDescent="0.3">
      <c r="A253" s="4" t="s">
        <v>28</v>
      </c>
      <c r="B253" s="4" t="s">
        <v>39</v>
      </c>
      <c r="C253" s="4" t="s">
        <v>40</v>
      </c>
      <c r="D253" s="4" t="s">
        <v>38</v>
      </c>
      <c r="E253" s="4" t="s">
        <v>25</v>
      </c>
      <c r="F253" s="4" t="s">
        <v>25</v>
      </c>
      <c r="G253" s="4" t="s">
        <v>25</v>
      </c>
      <c r="H253" s="4" t="s">
        <v>35</v>
      </c>
      <c r="I253" s="5">
        <v>44682</v>
      </c>
      <c r="J253" s="6">
        <v>0</v>
      </c>
      <c r="K253" s="6">
        <v>0</v>
      </c>
      <c r="L253" s="6">
        <v>1.0860000000000001</v>
      </c>
      <c r="M253" s="6">
        <v>1.0860000000000001</v>
      </c>
      <c r="N253" s="6">
        <v>1.0860000000000001</v>
      </c>
      <c r="O253" s="6">
        <v>1.0860000000000001</v>
      </c>
      <c r="P253" s="6">
        <v>0</v>
      </c>
      <c r="Q253" s="4" t="s">
        <v>26</v>
      </c>
      <c r="R253" s="4">
        <v>0</v>
      </c>
      <c r="S253" s="6">
        <v>0</v>
      </c>
      <c r="T253" s="6">
        <v>17</v>
      </c>
      <c r="U253" s="6">
        <v>66</v>
      </c>
      <c r="V253" s="6">
        <f>IF(ISERROR(VLOOKUP($S$253,'TAR FIN'!$A$1:$O$103,15,0)),0,VLOOKUP($S$253,'TAR FIN'!$A$1:$O$103,15,0))</f>
        <v>0</v>
      </c>
      <c r="W253" s="6">
        <f>IF(ISERROR(VLOOKUP($T$253,'TAR FIN'!$A$1:$O$103,15,0)),0,VLOOKUP($T$253,'TAR FIN'!$A$1:$O$103,15,0))</f>
        <v>84.99</v>
      </c>
      <c r="X253" s="6">
        <f>IF(ISERROR(VLOOKUP($U$253,'TAR FIN'!$A$1:$O$103,15,0)),0,VLOOKUP($U$253,'TAR FIN'!$A$1:$O$103,15,0))</f>
        <v>242.77</v>
      </c>
      <c r="Y253" s="6"/>
      <c r="Z253" s="6">
        <f ca="1">('TUSD BE'!$AM$24+'TUSD BF'!$AM$24+'TUSD CVA'!$AM$24)*1</f>
        <v>145.72237393634796</v>
      </c>
      <c r="AA253" s="6">
        <f>('TE BE'!$AB$9+'TE BF'!$AB$9+'TE CVA'!$AB$9)*1</f>
        <v>222.39386487986414</v>
      </c>
      <c r="AB253" s="6">
        <f>$K$253*$V$253</f>
        <v>0</v>
      </c>
      <c r="AC253" s="6">
        <f>$M$253*$W$253</f>
        <v>92.299139999999994</v>
      </c>
      <c r="AD253" s="6">
        <f>$O$253*$X$253</f>
        <v>263.64822000000004</v>
      </c>
      <c r="AE253" s="6">
        <f>$K$253*$Y$253</f>
        <v>0</v>
      </c>
      <c r="AF253" s="6">
        <f ca="1">$M$253*$Z$253</f>
        <v>158.2544980948739</v>
      </c>
      <c r="AG253" s="6">
        <f>$O$253*$AA$253</f>
        <v>241.51973725953246</v>
      </c>
    </row>
    <row r="254" spans="1:33" ht="11.25" customHeight="1" x14ac:dyDescent="0.3">
      <c r="A254" s="4" t="s">
        <v>21</v>
      </c>
      <c r="B254" s="4" t="s">
        <v>39</v>
      </c>
      <c r="C254" s="4" t="s">
        <v>40</v>
      </c>
      <c r="D254" s="4" t="s">
        <v>38</v>
      </c>
      <c r="E254" s="4" t="s">
        <v>25</v>
      </c>
      <c r="F254" s="4" t="s">
        <v>25</v>
      </c>
      <c r="G254" s="4" t="s">
        <v>25</v>
      </c>
      <c r="H254" s="4" t="s">
        <v>35</v>
      </c>
      <c r="I254" s="5">
        <v>44713</v>
      </c>
      <c r="J254" s="6">
        <v>0</v>
      </c>
      <c r="K254" s="6">
        <v>0</v>
      </c>
      <c r="L254" s="6">
        <v>639.99800000000005</v>
      </c>
      <c r="M254" s="6">
        <v>639.99800000000005</v>
      </c>
      <c r="N254" s="6">
        <v>639.99800000000005</v>
      </c>
      <c r="O254" s="6">
        <v>639.99800000000005</v>
      </c>
      <c r="P254" s="6">
        <v>0</v>
      </c>
      <c r="Q254" s="4" t="s">
        <v>26</v>
      </c>
      <c r="R254" s="4">
        <v>0</v>
      </c>
      <c r="S254" s="6">
        <v>0</v>
      </c>
      <c r="T254" s="6">
        <v>17</v>
      </c>
      <c r="U254" s="6">
        <v>66</v>
      </c>
      <c r="V254" s="6">
        <f>IF(ISERROR(VLOOKUP($S$254,'TAR FIN'!$A$1:$O$103,15,0)),0,VLOOKUP($S$254,'TAR FIN'!$A$1:$O$103,15,0))</f>
        <v>0</v>
      </c>
      <c r="W254" s="6">
        <f>IF(ISERROR(VLOOKUP($T$254,'TAR FIN'!$A$1:$O$103,15,0)),0,VLOOKUP($T$254,'TAR FIN'!$A$1:$O$103,15,0))</f>
        <v>84.99</v>
      </c>
      <c r="X254" s="6">
        <f>IF(ISERROR(VLOOKUP($U$254,'TAR FIN'!$A$1:$O$103,15,0)),0,VLOOKUP($U$254,'TAR FIN'!$A$1:$O$103,15,0))</f>
        <v>242.77</v>
      </c>
      <c r="Y254" s="6"/>
      <c r="Z254" s="6">
        <f ca="1">('TUSD BE'!$AM$24+'TUSD BF'!$AM$24+'TUSD CVA'!$AM$24)*1</f>
        <v>145.72237393634796</v>
      </c>
      <c r="AA254" s="6">
        <f>('TE BE'!$AB$9+'TE BF'!$AB$9+'TE CVA'!$AB$9)*1</f>
        <v>222.39386487986414</v>
      </c>
      <c r="AB254" s="6">
        <f>$K$254*$V$254</f>
        <v>0</v>
      </c>
      <c r="AC254" s="6">
        <f>$M$254*$W$254</f>
        <v>54393.43002</v>
      </c>
      <c r="AD254" s="6">
        <f>$O$254*$X$254</f>
        <v>155372.31446000002</v>
      </c>
      <c r="AE254" s="6">
        <f>$K$254*$Y$254</f>
        <v>0</v>
      </c>
      <c r="AF254" s="6">
        <f ca="1">$M$254*$Z$254</f>
        <v>93262.027874514824</v>
      </c>
      <c r="AG254" s="6">
        <f>$O$254*$AA$254</f>
        <v>142331.6287353833</v>
      </c>
    </row>
    <row r="255" spans="1:33" ht="11.25" customHeight="1" x14ac:dyDescent="0.3">
      <c r="A255" s="4" t="s">
        <v>28</v>
      </c>
      <c r="B255" s="4" t="s">
        <v>39</v>
      </c>
      <c r="C255" s="4" t="s">
        <v>40</v>
      </c>
      <c r="D255" s="4" t="s">
        <v>38</v>
      </c>
      <c r="E255" s="4" t="s">
        <v>25</v>
      </c>
      <c r="F255" s="4" t="s">
        <v>25</v>
      </c>
      <c r="G255" s="4" t="s">
        <v>25</v>
      </c>
      <c r="H255" s="4" t="s">
        <v>35</v>
      </c>
      <c r="I255" s="5">
        <v>44713</v>
      </c>
      <c r="J255" s="6">
        <v>0</v>
      </c>
      <c r="K255" s="6">
        <v>0</v>
      </c>
      <c r="L255" s="6">
        <v>1.1859999999999999</v>
      </c>
      <c r="M255" s="6">
        <v>1.1859999999999999</v>
      </c>
      <c r="N255" s="6">
        <v>1.1859999999999999</v>
      </c>
      <c r="O255" s="6">
        <v>1.1859999999999999</v>
      </c>
      <c r="P255" s="6">
        <v>0</v>
      </c>
      <c r="Q255" s="4" t="s">
        <v>26</v>
      </c>
      <c r="R255" s="4">
        <v>0</v>
      </c>
      <c r="S255" s="6">
        <v>0</v>
      </c>
      <c r="T255" s="6">
        <v>17</v>
      </c>
      <c r="U255" s="6">
        <v>66</v>
      </c>
      <c r="V255" s="6">
        <f>IF(ISERROR(VLOOKUP($S$255,'TAR FIN'!$A$1:$O$103,15,0)),0,VLOOKUP($S$255,'TAR FIN'!$A$1:$O$103,15,0))</f>
        <v>0</v>
      </c>
      <c r="W255" s="6">
        <f>IF(ISERROR(VLOOKUP($T$255,'TAR FIN'!$A$1:$O$103,15,0)),0,VLOOKUP($T$255,'TAR FIN'!$A$1:$O$103,15,0))</f>
        <v>84.99</v>
      </c>
      <c r="X255" s="6">
        <f>IF(ISERROR(VLOOKUP($U$255,'TAR FIN'!$A$1:$O$103,15,0)),0,VLOOKUP($U$255,'TAR FIN'!$A$1:$O$103,15,0))</f>
        <v>242.77</v>
      </c>
      <c r="Y255" s="6"/>
      <c r="Z255" s="6">
        <f ca="1">('TUSD BE'!$AM$24+'TUSD BF'!$AM$24+'TUSD CVA'!$AM$24)*1</f>
        <v>145.72237393634796</v>
      </c>
      <c r="AA255" s="6">
        <f>('TE BE'!$AB$9+'TE BF'!$AB$9+'TE CVA'!$AB$9)*1</f>
        <v>222.39386487986414</v>
      </c>
      <c r="AB255" s="6">
        <f>$K$255*$V$255</f>
        <v>0</v>
      </c>
      <c r="AC255" s="6">
        <f>$M$255*$W$255</f>
        <v>100.79813999999999</v>
      </c>
      <c r="AD255" s="6">
        <f>$O$255*$X$255</f>
        <v>287.92522000000002</v>
      </c>
      <c r="AE255" s="6">
        <f>$K$255*$Y$255</f>
        <v>0</v>
      </c>
      <c r="AF255" s="6">
        <f ca="1">$M$255*$Z$255</f>
        <v>172.82673548850869</v>
      </c>
      <c r="AG255" s="6">
        <f>$O$255*$AA$255</f>
        <v>263.75912374751886</v>
      </c>
    </row>
    <row r="256" spans="1:33" ht="11.25" customHeight="1" x14ac:dyDescent="0.3">
      <c r="A256" s="4" t="s">
        <v>21</v>
      </c>
      <c r="B256" s="4" t="s">
        <v>39</v>
      </c>
      <c r="C256" s="4" t="s">
        <v>40</v>
      </c>
      <c r="D256" s="4" t="s">
        <v>38</v>
      </c>
      <c r="E256" s="4" t="s">
        <v>25</v>
      </c>
      <c r="F256" s="4" t="s">
        <v>25</v>
      </c>
      <c r="G256" s="4" t="s">
        <v>25</v>
      </c>
      <c r="H256" s="4" t="s">
        <v>35</v>
      </c>
      <c r="I256" s="5">
        <v>44743</v>
      </c>
      <c r="J256" s="6">
        <v>0</v>
      </c>
      <c r="K256" s="6">
        <v>0</v>
      </c>
      <c r="L256" s="6">
        <v>635.27200000000005</v>
      </c>
      <c r="M256" s="6">
        <v>635.27200000000005</v>
      </c>
      <c r="N256" s="6">
        <v>635.27200000000005</v>
      </c>
      <c r="O256" s="6">
        <v>635.27200000000005</v>
      </c>
      <c r="P256" s="6">
        <v>0</v>
      </c>
      <c r="Q256" s="4" t="s">
        <v>26</v>
      </c>
      <c r="R256" s="4">
        <v>0</v>
      </c>
      <c r="S256" s="6">
        <v>0</v>
      </c>
      <c r="T256" s="6">
        <v>17</v>
      </c>
      <c r="U256" s="6">
        <v>66</v>
      </c>
      <c r="V256" s="6">
        <f>IF(ISERROR(VLOOKUP($S$256,'TAR FIN'!$A$1:$O$103,15,0)),0,VLOOKUP($S$256,'TAR FIN'!$A$1:$O$103,15,0))</f>
        <v>0</v>
      </c>
      <c r="W256" s="6">
        <f>IF(ISERROR(VLOOKUP($T$256,'TAR FIN'!$A$1:$O$103,15,0)),0,VLOOKUP($T$256,'TAR FIN'!$A$1:$O$103,15,0))</f>
        <v>84.99</v>
      </c>
      <c r="X256" s="6">
        <f>IF(ISERROR(VLOOKUP($U$256,'TAR FIN'!$A$1:$O$103,15,0)),0,VLOOKUP($U$256,'TAR FIN'!$A$1:$O$103,15,0))</f>
        <v>242.77</v>
      </c>
      <c r="Y256" s="6"/>
      <c r="Z256" s="6">
        <f ca="1">('TUSD BE'!$AM$24+'TUSD BF'!$AM$24+'TUSD CVA'!$AM$24)*1</f>
        <v>145.72237393634796</v>
      </c>
      <c r="AA256" s="6">
        <f>('TE BE'!$AB$9+'TE BF'!$AB$9+'TE CVA'!$AB$9)*1</f>
        <v>222.39386487986414</v>
      </c>
      <c r="AB256" s="6">
        <f>$K$256*$V$256</f>
        <v>0</v>
      </c>
      <c r="AC256" s="6">
        <f>$M$256*$W$256</f>
        <v>53991.76728</v>
      </c>
      <c r="AD256" s="6">
        <f>$O$256*$X$256</f>
        <v>154224.98344000001</v>
      </c>
      <c r="AE256" s="6">
        <f>$K$256*$Y$256</f>
        <v>0</v>
      </c>
      <c r="AF256" s="6">
        <f ca="1">$M$256*$Z$256</f>
        <v>92573.343935291647</v>
      </c>
      <c r="AG256" s="6">
        <f>$O$256*$AA$256</f>
        <v>141280.59532996107</v>
      </c>
    </row>
    <row r="257" spans="1:33" ht="11.25" customHeight="1" x14ac:dyDescent="0.3">
      <c r="A257" s="4" t="s">
        <v>28</v>
      </c>
      <c r="B257" s="4" t="s">
        <v>39</v>
      </c>
      <c r="C257" s="4" t="s">
        <v>40</v>
      </c>
      <c r="D257" s="4" t="s">
        <v>38</v>
      </c>
      <c r="E257" s="4" t="s">
        <v>25</v>
      </c>
      <c r="F257" s="4" t="s">
        <v>25</v>
      </c>
      <c r="G257" s="4" t="s">
        <v>25</v>
      </c>
      <c r="H257" s="4" t="s">
        <v>35</v>
      </c>
      <c r="I257" s="5">
        <v>44743</v>
      </c>
      <c r="J257" s="6">
        <v>0</v>
      </c>
      <c r="K257" s="6">
        <v>0</v>
      </c>
      <c r="L257" s="6">
        <v>0.89600000000000002</v>
      </c>
      <c r="M257" s="6">
        <v>0.89600000000000002</v>
      </c>
      <c r="N257" s="6">
        <v>0.89600000000000002</v>
      </c>
      <c r="O257" s="6">
        <v>0.89600000000000002</v>
      </c>
      <c r="P257" s="6">
        <v>0</v>
      </c>
      <c r="Q257" s="4" t="s">
        <v>26</v>
      </c>
      <c r="R257" s="4">
        <v>0</v>
      </c>
      <c r="S257" s="6">
        <v>0</v>
      </c>
      <c r="T257" s="6">
        <v>17</v>
      </c>
      <c r="U257" s="6">
        <v>66</v>
      </c>
      <c r="V257" s="6">
        <f>IF(ISERROR(VLOOKUP($S$257,'TAR FIN'!$A$1:$O$103,15,0)),0,VLOOKUP($S$257,'TAR FIN'!$A$1:$O$103,15,0))</f>
        <v>0</v>
      </c>
      <c r="W257" s="6">
        <f>IF(ISERROR(VLOOKUP($T$257,'TAR FIN'!$A$1:$O$103,15,0)),0,VLOOKUP($T$257,'TAR FIN'!$A$1:$O$103,15,0))</f>
        <v>84.99</v>
      </c>
      <c r="X257" s="6">
        <f>IF(ISERROR(VLOOKUP($U$257,'TAR FIN'!$A$1:$O$103,15,0)),0,VLOOKUP($U$257,'TAR FIN'!$A$1:$O$103,15,0))</f>
        <v>242.77</v>
      </c>
      <c r="Y257" s="6"/>
      <c r="Z257" s="6">
        <f ca="1">('TUSD BE'!$AM$24+'TUSD BF'!$AM$24+'TUSD CVA'!$AM$24)*1</f>
        <v>145.72237393634796</v>
      </c>
      <c r="AA257" s="6">
        <f>('TE BE'!$AB$9+'TE BF'!$AB$9+'TE CVA'!$AB$9)*1</f>
        <v>222.39386487986414</v>
      </c>
      <c r="AB257" s="6">
        <f>$K$257*$V$257</f>
        <v>0</v>
      </c>
      <c r="AC257" s="6">
        <f>$M$257*$W$257</f>
        <v>76.151039999999995</v>
      </c>
      <c r="AD257" s="6">
        <f>$O$257*$X$257</f>
        <v>217.52192000000002</v>
      </c>
      <c r="AE257" s="6">
        <f>$K$257*$Y$257</f>
        <v>0</v>
      </c>
      <c r="AF257" s="6">
        <f ca="1">$M$257*$Z$257</f>
        <v>130.56724704696776</v>
      </c>
      <c r="AG257" s="6">
        <f>$O$257*$AA$257</f>
        <v>199.26490293235827</v>
      </c>
    </row>
    <row r="258" spans="1:33" ht="11.25" customHeight="1" x14ac:dyDescent="0.3">
      <c r="A258" s="4" t="s">
        <v>21</v>
      </c>
      <c r="B258" s="4" t="s">
        <v>39</v>
      </c>
      <c r="C258" s="4" t="s">
        <v>40</v>
      </c>
      <c r="D258" s="4" t="s">
        <v>38</v>
      </c>
      <c r="E258" s="4" t="s">
        <v>25</v>
      </c>
      <c r="F258" s="4" t="s">
        <v>25</v>
      </c>
      <c r="G258" s="4" t="s">
        <v>25</v>
      </c>
      <c r="H258" s="4" t="s">
        <v>35</v>
      </c>
      <c r="I258" s="5">
        <v>44774</v>
      </c>
      <c r="J258" s="6">
        <v>0</v>
      </c>
      <c r="K258" s="6">
        <v>0</v>
      </c>
      <c r="L258" s="6">
        <v>749.01499999999999</v>
      </c>
      <c r="M258" s="6">
        <v>749.01499999999999</v>
      </c>
      <c r="N258" s="6">
        <v>749.01499999999999</v>
      </c>
      <c r="O258" s="6">
        <v>749.01499999999999</v>
      </c>
      <c r="P258" s="6">
        <v>0</v>
      </c>
      <c r="Q258" s="4" t="s">
        <v>26</v>
      </c>
      <c r="R258" s="4">
        <v>0</v>
      </c>
      <c r="S258" s="6">
        <v>0</v>
      </c>
      <c r="T258" s="6">
        <v>17</v>
      </c>
      <c r="U258" s="6">
        <v>66</v>
      </c>
      <c r="V258" s="6">
        <f>IF(ISERROR(VLOOKUP($S$258,'TAR FIN'!$A$1:$O$103,15,0)),0,VLOOKUP($S$258,'TAR FIN'!$A$1:$O$103,15,0))</f>
        <v>0</v>
      </c>
      <c r="W258" s="6">
        <f>IF(ISERROR(VLOOKUP($T$258,'TAR FIN'!$A$1:$O$103,15,0)),0,VLOOKUP($T$258,'TAR FIN'!$A$1:$O$103,15,0))</f>
        <v>84.99</v>
      </c>
      <c r="X258" s="6">
        <f>IF(ISERROR(VLOOKUP($U$258,'TAR FIN'!$A$1:$O$103,15,0)),0,VLOOKUP($U$258,'TAR FIN'!$A$1:$O$103,15,0))</f>
        <v>242.77</v>
      </c>
      <c r="Y258" s="6"/>
      <c r="Z258" s="6">
        <f ca="1">('TUSD BE'!$AM$24+'TUSD BF'!$AM$24+'TUSD CVA'!$AM$24)*1</f>
        <v>145.72237393634796</v>
      </c>
      <c r="AA258" s="6">
        <f>('TE BE'!$AB$9+'TE BF'!$AB$9+'TE CVA'!$AB$9)*1</f>
        <v>222.39386487986414</v>
      </c>
      <c r="AB258" s="6">
        <f>$K$258*$V$258</f>
        <v>0</v>
      </c>
      <c r="AC258" s="6">
        <f>$M$258*$W$258</f>
        <v>63658.784849999996</v>
      </c>
      <c r="AD258" s="6">
        <f>$O$258*$X$258</f>
        <v>181838.37155000001</v>
      </c>
      <c r="AE258" s="6">
        <f>$K$258*$Y$258</f>
        <v>0</v>
      </c>
      <c r="AF258" s="6">
        <f ca="1">$M$258*$Z$258</f>
        <v>109148.24391393366</v>
      </c>
      <c r="AG258" s="6">
        <f>$O$258*$AA$258</f>
        <v>166576.34070299144</v>
      </c>
    </row>
    <row r="259" spans="1:33" ht="11.25" customHeight="1" x14ac:dyDescent="0.3">
      <c r="A259" s="4" t="s">
        <v>28</v>
      </c>
      <c r="B259" s="4" t="s">
        <v>39</v>
      </c>
      <c r="C259" s="4" t="s">
        <v>40</v>
      </c>
      <c r="D259" s="4" t="s">
        <v>38</v>
      </c>
      <c r="E259" s="4" t="s">
        <v>25</v>
      </c>
      <c r="F259" s="4" t="s">
        <v>25</v>
      </c>
      <c r="G259" s="4" t="s">
        <v>25</v>
      </c>
      <c r="H259" s="4" t="s">
        <v>35</v>
      </c>
      <c r="I259" s="5">
        <v>44774</v>
      </c>
      <c r="J259" s="6">
        <v>0</v>
      </c>
      <c r="K259" s="6">
        <v>0</v>
      </c>
      <c r="L259" s="6">
        <v>1.2310000000000001</v>
      </c>
      <c r="M259" s="6">
        <v>1.2310000000000001</v>
      </c>
      <c r="N259" s="6">
        <v>1.2310000000000001</v>
      </c>
      <c r="O259" s="6">
        <v>1.2310000000000001</v>
      </c>
      <c r="P259" s="6">
        <v>0</v>
      </c>
      <c r="Q259" s="4" t="s">
        <v>26</v>
      </c>
      <c r="R259" s="4">
        <v>0</v>
      </c>
      <c r="S259" s="6">
        <v>0</v>
      </c>
      <c r="T259" s="6">
        <v>17</v>
      </c>
      <c r="U259" s="6">
        <v>66</v>
      </c>
      <c r="V259" s="6">
        <f>IF(ISERROR(VLOOKUP($S$259,'TAR FIN'!$A$1:$O$103,15,0)),0,VLOOKUP($S$259,'TAR FIN'!$A$1:$O$103,15,0))</f>
        <v>0</v>
      </c>
      <c r="W259" s="6">
        <f>IF(ISERROR(VLOOKUP($T$259,'TAR FIN'!$A$1:$O$103,15,0)),0,VLOOKUP($T$259,'TAR FIN'!$A$1:$O$103,15,0))</f>
        <v>84.99</v>
      </c>
      <c r="X259" s="6">
        <f>IF(ISERROR(VLOOKUP($U$259,'TAR FIN'!$A$1:$O$103,15,0)),0,VLOOKUP($U$259,'TAR FIN'!$A$1:$O$103,15,0))</f>
        <v>242.77</v>
      </c>
      <c r="Y259" s="6"/>
      <c r="Z259" s="6">
        <f ca="1">('TUSD BE'!$AM$24+'TUSD BF'!$AM$24+'TUSD CVA'!$AM$24)*1</f>
        <v>145.72237393634796</v>
      </c>
      <c r="AA259" s="6">
        <f>('TE BE'!$AB$9+'TE BF'!$AB$9+'TE CVA'!$AB$9)*1</f>
        <v>222.39386487986414</v>
      </c>
      <c r="AB259" s="6">
        <f>$K$259*$V$259</f>
        <v>0</v>
      </c>
      <c r="AC259" s="6">
        <f>$M$259*$W$259</f>
        <v>104.62269000000001</v>
      </c>
      <c r="AD259" s="6">
        <f>$O$259*$X$259</f>
        <v>298.84987000000001</v>
      </c>
      <c r="AE259" s="6">
        <f>$K$259*$Y$259</f>
        <v>0</v>
      </c>
      <c r="AF259" s="6">
        <f ca="1">$M$259*$Z$259</f>
        <v>179.38424231564434</v>
      </c>
      <c r="AG259" s="6">
        <f>$O$259*$AA$259</f>
        <v>273.76684766711276</v>
      </c>
    </row>
    <row r="260" spans="1:33" ht="11.25" customHeight="1" x14ac:dyDescent="0.3">
      <c r="A260" s="4" t="s">
        <v>21</v>
      </c>
      <c r="B260" s="4" t="s">
        <v>39</v>
      </c>
      <c r="C260" s="4" t="s">
        <v>40</v>
      </c>
      <c r="D260" s="4" t="s">
        <v>38</v>
      </c>
      <c r="E260" s="4" t="s">
        <v>25</v>
      </c>
      <c r="F260" s="4" t="s">
        <v>25</v>
      </c>
      <c r="G260" s="4" t="s">
        <v>25</v>
      </c>
      <c r="H260" s="4" t="s">
        <v>35</v>
      </c>
      <c r="I260" s="5">
        <v>44805</v>
      </c>
      <c r="J260" s="6">
        <v>0</v>
      </c>
      <c r="K260" s="6">
        <v>0</v>
      </c>
      <c r="L260" s="6">
        <v>731.51099999999997</v>
      </c>
      <c r="M260" s="6">
        <v>731.51099999999997</v>
      </c>
      <c r="N260" s="6">
        <v>731.51099999999997</v>
      </c>
      <c r="O260" s="6">
        <v>731.51099999999997</v>
      </c>
      <c r="P260" s="6">
        <v>0</v>
      </c>
      <c r="Q260" s="4" t="s">
        <v>26</v>
      </c>
      <c r="R260" s="4">
        <v>0</v>
      </c>
      <c r="S260" s="6">
        <v>0</v>
      </c>
      <c r="T260" s="6">
        <v>17</v>
      </c>
      <c r="U260" s="6">
        <v>66</v>
      </c>
      <c r="V260" s="6">
        <f>IF(ISERROR(VLOOKUP($S$260,'TAR FIN'!$A$1:$O$103,15,0)),0,VLOOKUP($S$260,'TAR FIN'!$A$1:$O$103,15,0))</f>
        <v>0</v>
      </c>
      <c r="W260" s="6">
        <f>IF(ISERROR(VLOOKUP($T$260,'TAR FIN'!$A$1:$O$103,15,0)),0,VLOOKUP($T$260,'TAR FIN'!$A$1:$O$103,15,0))</f>
        <v>84.99</v>
      </c>
      <c r="X260" s="6">
        <f>IF(ISERROR(VLOOKUP($U$260,'TAR FIN'!$A$1:$O$103,15,0)),0,VLOOKUP($U$260,'TAR FIN'!$A$1:$O$103,15,0))</f>
        <v>242.77</v>
      </c>
      <c r="Y260" s="6"/>
      <c r="Z260" s="6">
        <f ca="1">('TUSD BE'!$AM$24+'TUSD BF'!$AM$24+'TUSD CVA'!$AM$24)*1</f>
        <v>145.72237393634796</v>
      </c>
      <c r="AA260" s="6">
        <f>('TE BE'!$AB$9+'TE BF'!$AB$9+'TE CVA'!$AB$9)*1</f>
        <v>222.39386487986414</v>
      </c>
      <c r="AB260" s="6">
        <f>$K$260*$V$260</f>
        <v>0</v>
      </c>
      <c r="AC260" s="6">
        <f>$M$260*$W$260</f>
        <v>62171.119889999994</v>
      </c>
      <c r="AD260" s="6">
        <f>$O$260*$X$260</f>
        <v>177588.92546999999</v>
      </c>
      <c r="AE260" s="6">
        <f>$K$260*$Y$260</f>
        <v>0</v>
      </c>
      <c r="AF260" s="6">
        <f ca="1">$M$260*$Z$260</f>
        <v>106597.51948055183</v>
      </c>
      <c r="AG260" s="6">
        <f>$O$260*$AA$260</f>
        <v>162683.5584921343</v>
      </c>
    </row>
    <row r="261" spans="1:33" ht="11.25" customHeight="1" x14ac:dyDescent="0.3">
      <c r="A261" s="4" t="s">
        <v>28</v>
      </c>
      <c r="B261" s="4" t="s">
        <v>39</v>
      </c>
      <c r="C261" s="4" t="s">
        <v>40</v>
      </c>
      <c r="D261" s="4" t="s">
        <v>38</v>
      </c>
      <c r="E261" s="4" t="s">
        <v>25</v>
      </c>
      <c r="F261" s="4" t="s">
        <v>25</v>
      </c>
      <c r="G261" s="4" t="s">
        <v>25</v>
      </c>
      <c r="H261" s="4" t="s">
        <v>35</v>
      </c>
      <c r="I261" s="5">
        <v>44805</v>
      </c>
      <c r="J261" s="6">
        <v>0</v>
      </c>
      <c r="K261" s="6">
        <v>0</v>
      </c>
      <c r="L261" s="6">
        <v>1.2130000000000001</v>
      </c>
      <c r="M261" s="6">
        <v>1.2130000000000001</v>
      </c>
      <c r="N261" s="6">
        <v>1.2130000000000001</v>
      </c>
      <c r="O261" s="6">
        <v>1.2130000000000001</v>
      </c>
      <c r="P261" s="6">
        <v>0</v>
      </c>
      <c r="Q261" s="4" t="s">
        <v>26</v>
      </c>
      <c r="R261" s="4">
        <v>0</v>
      </c>
      <c r="S261" s="6">
        <v>0</v>
      </c>
      <c r="T261" s="6">
        <v>17</v>
      </c>
      <c r="U261" s="6">
        <v>66</v>
      </c>
      <c r="V261" s="6">
        <f>IF(ISERROR(VLOOKUP($S$261,'TAR FIN'!$A$1:$O$103,15,0)),0,VLOOKUP($S$261,'TAR FIN'!$A$1:$O$103,15,0))</f>
        <v>0</v>
      </c>
      <c r="W261" s="6">
        <f>IF(ISERROR(VLOOKUP($T$261,'TAR FIN'!$A$1:$O$103,15,0)),0,VLOOKUP($T$261,'TAR FIN'!$A$1:$O$103,15,0))</f>
        <v>84.99</v>
      </c>
      <c r="X261" s="6">
        <f>IF(ISERROR(VLOOKUP($U$261,'TAR FIN'!$A$1:$O$103,15,0)),0,VLOOKUP($U$261,'TAR FIN'!$A$1:$O$103,15,0))</f>
        <v>242.77</v>
      </c>
      <c r="Y261" s="6"/>
      <c r="Z261" s="6">
        <f ca="1">('TUSD BE'!$AM$24+'TUSD BF'!$AM$24+'TUSD CVA'!$AM$24)*1</f>
        <v>145.72237393634796</v>
      </c>
      <c r="AA261" s="6">
        <f>('TE BE'!$AB$9+'TE BF'!$AB$9+'TE CVA'!$AB$9)*1</f>
        <v>222.39386487986414</v>
      </c>
      <c r="AB261" s="6">
        <f>$K$261*$V$261</f>
        <v>0</v>
      </c>
      <c r="AC261" s="6">
        <f>$M$261*$W$261</f>
        <v>103.09287</v>
      </c>
      <c r="AD261" s="6">
        <f>$O$261*$X$261</f>
        <v>294.48001000000005</v>
      </c>
      <c r="AE261" s="6">
        <f>$K$261*$Y$261</f>
        <v>0</v>
      </c>
      <c r="AF261" s="6">
        <f ca="1">$M$261*$Z$261</f>
        <v>176.7612395847901</v>
      </c>
      <c r="AG261" s="6">
        <f>$O$261*$AA$261</f>
        <v>269.76375809927521</v>
      </c>
    </row>
    <row r="262" spans="1:33" ht="11.25" customHeight="1" x14ac:dyDescent="0.3">
      <c r="A262" s="4" t="s">
        <v>57</v>
      </c>
      <c r="B262" s="4" t="s">
        <v>39</v>
      </c>
      <c r="C262" s="4" t="s">
        <v>40</v>
      </c>
      <c r="D262" s="4" t="s">
        <v>38</v>
      </c>
      <c r="E262" s="4" t="s">
        <v>25</v>
      </c>
      <c r="F262" s="4" t="s">
        <v>25</v>
      </c>
      <c r="G262" s="4" t="s">
        <v>25</v>
      </c>
      <c r="H262" s="4" t="s">
        <v>35</v>
      </c>
      <c r="I262" s="5">
        <v>44835</v>
      </c>
      <c r="J262" s="6">
        <v>0</v>
      </c>
      <c r="K262" s="6">
        <v>0</v>
      </c>
      <c r="L262" s="6">
        <v>731.51099999999997</v>
      </c>
      <c r="M262" s="6">
        <v>731.51099999999997</v>
      </c>
      <c r="N262" s="6">
        <v>731.51099999999997</v>
      </c>
      <c r="O262" s="6">
        <v>731.51099999999997</v>
      </c>
      <c r="P262" s="6">
        <v>0</v>
      </c>
      <c r="Q262" s="4" t="s">
        <v>26</v>
      </c>
      <c r="R262" s="4">
        <v>0</v>
      </c>
      <c r="S262" s="6">
        <v>0</v>
      </c>
      <c r="T262" s="6">
        <v>17</v>
      </c>
      <c r="U262" s="6">
        <v>66</v>
      </c>
      <c r="V262" s="6">
        <f>IF(ISERROR(VLOOKUP($S$262,'TAR FIN'!$A$1:$O$103,15,0)),0,VLOOKUP($S$262,'TAR FIN'!$A$1:$O$103,15,0))</f>
        <v>0</v>
      </c>
      <c r="W262" s="6">
        <f>IF(ISERROR(VLOOKUP($T$262,'TAR FIN'!$A$1:$O$103,15,0)),0,VLOOKUP($T$262,'TAR FIN'!$A$1:$O$103,15,0))</f>
        <v>84.99</v>
      </c>
      <c r="X262" s="6">
        <f>IF(ISERROR(VLOOKUP($U$262,'TAR FIN'!$A$1:$O$103,15,0)),0,VLOOKUP($U$262,'TAR FIN'!$A$1:$O$103,15,0))</f>
        <v>242.77</v>
      </c>
      <c r="Y262" s="6"/>
      <c r="Z262" s="6">
        <f ca="1">('TUSD BE'!$AM$24+'TUSD BF'!$AM$24+'TUSD CVA'!$AM$24)*1</f>
        <v>145.72237393634796</v>
      </c>
      <c r="AA262" s="6">
        <f>('TE BE'!$AB$9+'TE BF'!$AB$9+'TE CVA'!$AB$9)*1</f>
        <v>222.39386487986414</v>
      </c>
      <c r="AB262" s="6">
        <f>$K$262*$V$262</f>
        <v>0</v>
      </c>
      <c r="AC262" s="6">
        <f>$M$262*$W$262</f>
        <v>62171.119889999994</v>
      </c>
      <c r="AD262" s="6">
        <f>$O$262*$X$262</f>
        <v>177588.92546999999</v>
      </c>
      <c r="AE262" s="6">
        <f>$K$262*$Y$262</f>
        <v>0</v>
      </c>
      <c r="AF262" s="6">
        <f ca="1">$M$262*$Z$262</f>
        <v>106597.51948055183</v>
      </c>
      <c r="AG262" s="6">
        <f>$O$262*$AA$262</f>
        <v>162683.5584921343</v>
      </c>
    </row>
    <row r="263" spans="1:33" ht="11.25" customHeight="1" x14ac:dyDescent="0.3">
      <c r="A263" s="4" t="s">
        <v>57</v>
      </c>
      <c r="B263" s="4" t="s">
        <v>39</v>
      </c>
      <c r="C263" s="4" t="s">
        <v>40</v>
      </c>
      <c r="D263" s="4" t="s">
        <v>38</v>
      </c>
      <c r="E263" s="4" t="s">
        <v>25</v>
      </c>
      <c r="F263" s="4" t="s">
        <v>25</v>
      </c>
      <c r="G263" s="4" t="s">
        <v>25</v>
      </c>
      <c r="H263" s="4" t="s">
        <v>35</v>
      </c>
      <c r="I263" s="5">
        <v>44835</v>
      </c>
      <c r="J263" s="6">
        <v>0</v>
      </c>
      <c r="K263" s="6">
        <v>0</v>
      </c>
      <c r="L263" s="6">
        <v>1.2130000000000001</v>
      </c>
      <c r="M263" s="6">
        <v>1.2130000000000001</v>
      </c>
      <c r="N263" s="6">
        <v>1.2130000000000001</v>
      </c>
      <c r="O263" s="6">
        <v>1.2130000000000001</v>
      </c>
      <c r="P263" s="6">
        <v>0</v>
      </c>
      <c r="Q263" s="4" t="s">
        <v>26</v>
      </c>
      <c r="R263" s="4">
        <v>0</v>
      </c>
      <c r="S263" s="6">
        <v>0</v>
      </c>
      <c r="T263" s="6">
        <v>17</v>
      </c>
      <c r="U263" s="6">
        <v>66</v>
      </c>
      <c r="V263" s="6">
        <f>IF(ISERROR(VLOOKUP($S$263,'TAR FIN'!$A$1:$O$103,15,0)),0,VLOOKUP($S$263,'TAR FIN'!$A$1:$O$103,15,0))</f>
        <v>0</v>
      </c>
      <c r="W263" s="6">
        <f>IF(ISERROR(VLOOKUP($T$263,'TAR FIN'!$A$1:$O$103,15,0)),0,VLOOKUP($T$263,'TAR FIN'!$A$1:$O$103,15,0))</f>
        <v>84.99</v>
      </c>
      <c r="X263" s="6">
        <f>IF(ISERROR(VLOOKUP($U$263,'TAR FIN'!$A$1:$O$103,15,0)),0,VLOOKUP($U$263,'TAR FIN'!$A$1:$O$103,15,0))</f>
        <v>242.77</v>
      </c>
      <c r="Y263" s="6"/>
      <c r="Z263" s="6">
        <f ca="1">('TUSD BE'!$AM$24+'TUSD BF'!$AM$24+'TUSD CVA'!$AM$24)*1</f>
        <v>145.72237393634796</v>
      </c>
      <c r="AA263" s="6">
        <f>('TE BE'!$AB$9+'TE BF'!$AB$9+'TE CVA'!$AB$9)*1</f>
        <v>222.39386487986414</v>
      </c>
      <c r="AB263" s="6">
        <f>$K$263*$V$263</f>
        <v>0</v>
      </c>
      <c r="AC263" s="6">
        <f>$M$263*$W$263</f>
        <v>103.09287</v>
      </c>
      <c r="AD263" s="6">
        <f>$O$263*$X$263</f>
        <v>294.48001000000005</v>
      </c>
      <c r="AE263" s="6">
        <f>$K$263*$Y$263</f>
        <v>0</v>
      </c>
      <c r="AF263" s="6">
        <f ca="1">$M$263*$Z$263</f>
        <v>176.7612395847901</v>
      </c>
      <c r="AG263" s="6">
        <f>$O$263*$AA$263</f>
        <v>269.76375809927521</v>
      </c>
    </row>
    <row r="264" spans="1:33" ht="11.25" customHeight="1" x14ac:dyDescent="0.3">
      <c r="A264" s="4" t="s">
        <v>21</v>
      </c>
      <c r="B264" s="4" t="s">
        <v>39</v>
      </c>
      <c r="C264" s="4" t="s">
        <v>40</v>
      </c>
      <c r="D264" s="4" t="s">
        <v>38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44501</v>
      </c>
      <c r="J264" s="6">
        <v>3988</v>
      </c>
      <c r="K264" s="6">
        <v>3988</v>
      </c>
      <c r="L264" s="6">
        <v>0</v>
      </c>
      <c r="M264" s="6">
        <v>0</v>
      </c>
      <c r="N264" s="6">
        <v>0</v>
      </c>
      <c r="O264" s="6">
        <v>0</v>
      </c>
      <c r="P264" s="6">
        <v>15</v>
      </c>
      <c r="Q264" s="4" t="s">
        <v>26</v>
      </c>
      <c r="R264" s="4">
        <v>0</v>
      </c>
      <c r="S264" s="6">
        <v>13</v>
      </c>
      <c r="T264" s="6">
        <v>0</v>
      </c>
      <c r="U264" s="6">
        <v>0</v>
      </c>
      <c r="V264" s="6">
        <f>IF(ISERROR(VLOOKUP($S$264,'TAR FIN'!$A$1:$O$103,15,0)),0,VLOOKUP($S$264,'TAR FIN'!$A$1:$O$103,15,0))</f>
        <v>18.920000000000002</v>
      </c>
      <c r="W264" s="6">
        <f>IF(ISERROR(VLOOKUP($T$264,'TAR FIN'!$A$1:$O$103,15,0)),0,VLOOKUP($T$264,'TAR FIN'!$A$1:$O$103,15,0))</f>
        <v>0</v>
      </c>
      <c r="X264" s="6">
        <f>IF(ISERROR(VLOOKUP($U$264,'TAR FIN'!$A$1:$O$103,15,0)),0,VLOOKUP($U$264,'TAR FIN'!$A$1:$O$103,15,0))</f>
        <v>0</v>
      </c>
      <c r="Y264" s="6">
        <f ca="1">('TUSD BE'!$AM$22+'TUSD BF'!$AM$22+'TUSD CVA'!$AM$22)*1</f>
        <v>21.369338625624472</v>
      </c>
      <c r="Z264" s="6"/>
      <c r="AA264" s="6"/>
      <c r="AB264" s="6">
        <f>$K$264*$V$264</f>
        <v>75452.960000000006</v>
      </c>
      <c r="AC264" s="6">
        <f>$M$264*$W$264</f>
        <v>0</v>
      </c>
      <c r="AD264" s="6">
        <f>$O$264*$X$264</f>
        <v>0</v>
      </c>
      <c r="AE264" s="6">
        <f ca="1">$K$264*$Y$264</f>
        <v>85220.922438990397</v>
      </c>
      <c r="AF264" s="6">
        <f>$M$264*$Z$264</f>
        <v>0</v>
      </c>
      <c r="AG264" s="6">
        <f>$O$264*$AA$264</f>
        <v>0</v>
      </c>
    </row>
    <row r="265" spans="1:33" ht="11.25" customHeight="1" x14ac:dyDescent="0.3">
      <c r="A265" s="4" t="s">
        <v>28</v>
      </c>
      <c r="B265" s="4" t="s">
        <v>39</v>
      </c>
      <c r="C265" s="4" t="s">
        <v>40</v>
      </c>
      <c r="D265" s="4" t="s">
        <v>38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44501</v>
      </c>
      <c r="J265" s="6">
        <v>209</v>
      </c>
      <c r="K265" s="6">
        <v>209</v>
      </c>
      <c r="L265" s="6">
        <v>0</v>
      </c>
      <c r="M265" s="6">
        <v>0</v>
      </c>
      <c r="N265" s="6">
        <v>0</v>
      </c>
      <c r="O265" s="6">
        <v>0</v>
      </c>
      <c r="P265" s="6">
        <v>2</v>
      </c>
      <c r="Q265" s="4" t="s">
        <v>26</v>
      </c>
      <c r="R265" s="4">
        <v>0</v>
      </c>
      <c r="S265" s="6">
        <v>13</v>
      </c>
      <c r="T265" s="6">
        <v>0</v>
      </c>
      <c r="U265" s="6">
        <v>0</v>
      </c>
      <c r="V265" s="6">
        <f>IF(ISERROR(VLOOKUP($S$265,'TAR FIN'!$A$1:$O$103,15,0)),0,VLOOKUP($S$265,'TAR FIN'!$A$1:$O$103,15,0))</f>
        <v>18.920000000000002</v>
      </c>
      <c r="W265" s="6">
        <f>IF(ISERROR(VLOOKUP($T$265,'TAR FIN'!$A$1:$O$103,15,0)),0,VLOOKUP($T$265,'TAR FIN'!$A$1:$O$103,15,0))</f>
        <v>0</v>
      </c>
      <c r="X265" s="6">
        <f>IF(ISERROR(VLOOKUP($U$265,'TAR FIN'!$A$1:$O$103,15,0)),0,VLOOKUP($U$265,'TAR FIN'!$A$1:$O$103,15,0))</f>
        <v>0</v>
      </c>
      <c r="Y265" s="6">
        <f ca="1">('TUSD BE'!$AM$22+'TUSD BF'!$AM$22+'TUSD CVA'!$AM$22)*1</f>
        <v>21.369338625624472</v>
      </c>
      <c r="Z265" s="6"/>
      <c r="AA265" s="6"/>
      <c r="AB265" s="6">
        <f>$K$265*$V$265</f>
        <v>3954.28</v>
      </c>
      <c r="AC265" s="6">
        <f>$M$265*$W$265</f>
        <v>0</v>
      </c>
      <c r="AD265" s="6">
        <f>$O$265*$X$265</f>
        <v>0</v>
      </c>
      <c r="AE265" s="6">
        <f ca="1">$K$265*$Y$265</f>
        <v>4466.1917727555146</v>
      </c>
      <c r="AF265" s="6">
        <f>$M$265*$Z$265</f>
        <v>0</v>
      </c>
      <c r="AG265" s="6">
        <f>$O$265*$AA$265</f>
        <v>0</v>
      </c>
    </row>
    <row r="266" spans="1:33" ht="11.25" customHeight="1" x14ac:dyDescent="0.3">
      <c r="A266" s="4" t="s">
        <v>21</v>
      </c>
      <c r="B266" s="4" t="s">
        <v>39</v>
      </c>
      <c r="C266" s="4" t="s">
        <v>40</v>
      </c>
      <c r="D266" s="4" t="s">
        <v>38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44531</v>
      </c>
      <c r="J266" s="6">
        <v>3660</v>
      </c>
      <c r="K266" s="6">
        <v>3660</v>
      </c>
      <c r="L266" s="6">
        <v>0</v>
      </c>
      <c r="M266" s="6">
        <v>0</v>
      </c>
      <c r="N266" s="6">
        <v>0</v>
      </c>
      <c r="O266" s="6">
        <v>0</v>
      </c>
      <c r="P266" s="6">
        <v>15</v>
      </c>
      <c r="Q266" s="4" t="s">
        <v>26</v>
      </c>
      <c r="R266" s="4">
        <v>0</v>
      </c>
      <c r="S266" s="6">
        <v>13</v>
      </c>
      <c r="T266" s="6">
        <v>0</v>
      </c>
      <c r="U266" s="6">
        <v>0</v>
      </c>
      <c r="V266" s="6">
        <f>IF(ISERROR(VLOOKUP($S$266,'TAR FIN'!$A$1:$O$103,15,0)),0,VLOOKUP($S$266,'TAR FIN'!$A$1:$O$103,15,0))</f>
        <v>18.920000000000002</v>
      </c>
      <c r="W266" s="6">
        <f>IF(ISERROR(VLOOKUP($T$266,'TAR FIN'!$A$1:$O$103,15,0)),0,VLOOKUP($T$266,'TAR FIN'!$A$1:$O$103,15,0))</f>
        <v>0</v>
      </c>
      <c r="X266" s="6">
        <f>IF(ISERROR(VLOOKUP($U$266,'TAR FIN'!$A$1:$O$103,15,0)),0,VLOOKUP($U$266,'TAR FIN'!$A$1:$O$103,15,0))</f>
        <v>0</v>
      </c>
      <c r="Y266" s="6">
        <f ca="1">('TUSD BE'!$AM$22+'TUSD BF'!$AM$22+'TUSD CVA'!$AM$22)*1</f>
        <v>21.369338625624472</v>
      </c>
      <c r="Z266" s="6"/>
      <c r="AA266" s="6"/>
      <c r="AB266" s="6">
        <f>$K$266*$V$266</f>
        <v>69247.200000000012</v>
      </c>
      <c r="AC266" s="6">
        <f>$M$266*$W$266</f>
        <v>0</v>
      </c>
      <c r="AD266" s="6">
        <f>$O$266*$X$266</f>
        <v>0</v>
      </c>
      <c r="AE266" s="6">
        <f ca="1">$K$266*$Y$266</f>
        <v>78211.779369785567</v>
      </c>
      <c r="AF266" s="6">
        <f>$M$266*$Z$266</f>
        <v>0</v>
      </c>
      <c r="AG266" s="6">
        <f>$O$266*$AA$266</f>
        <v>0</v>
      </c>
    </row>
    <row r="267" spans="1:33" ht="11.25" customHeight="1" x14ac:dyDescent="0.3">
      <c r="A267" s="4" t="s">
        <v>28</v>
      </c>
      <c r="B267" s="4" t="s">
        <v>39</v>
      </c>
      <c r="C267" s="4" t="s">
        <v>40</v>
      </c>
      <c r="D267" s="4" t="s">
        <v>38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44531</v>
      </c>
      <c r="J267" s="6">
        <v>209</v>
      </c>
      <c r="K267" s="6">
        <v>209</v>
      </c>
      <c r="L267" s="6">
        <v>0</v>
      </c>
      <c r="M267" s="6">
        <v>0</v>
      </c>
      <c r="N267" s="6">
        <v>0</v>
      </c>
      <c r="O267" s="6">
        <v>0</v>
      </c>
      <c r="P267" s="6">
        <v>2</v>
      </c>
      <c r="Q267" s="4" t="s">
        <v>26</v>
      </c>
      <c r="R267" s="4">
        <v>0</v>
      </c>
      <c r="S267" s="6">
        <v>13</v>
      </c>
      <c r="T267" s="6">
        <v>0</v>
      </c>
      <c r="U267" s="6">
        <v>0</v>
      </c>
      <c r="V267" s="6">
        <f>IF(ISERROR(VLOOKUP($S$267,'TAR FIN'!$A$1:$O$103,15,0)),0,VLOOKUP($S$267,'TAR FIN'!$A$1:$O$103,15,0))</f>
        <v>18.920000000000002</v>
      </c>
      <c r="W267" s="6">
        <f>IF(ISERROR(VLOOKUP($T$267,'TAR FIN'!$A$1:$O$103,15,0)),0,VLOOKUP($T$267,'TAR FIN'!$A$1:$O$103,15,0))</f>
        <v>0</v>
      </c>
      <c r="X267" s="6">
        <f>IF(ISERROR(VLOOKUP($U$267,'TAR FIN'!$A$1:$O$103,15,0)),0,VLOOKUP($U$267,'TAR FIN'!$A$1:$O$103,15,0))</f>
        <v>0</v>
      </c>
      <c r="Y267" s="6">
        <f ca="1">('TUSD BE'!$AM$22+'TUSD BF'!$AM$22+'TUSD CVA'!$AM$22)*1</f>
        <v>21.369338625624472</v>
      </c>
      <c r="Z267" s="6"/>
      <c r="AA267" s="6"/>
      <c r="AB267" s="6">
        <f>$K$267*$V$267</f>
        <v>3954.28</v>
      </c>
      <c r="AC267" s="6">
        <f>$M$267*$W$267</f>
        <v>0</v>
      </c>
      <c r="AD267" s="6">
        <f>$O$267*$X$267</f>
        <v>0</v>
      </c>
      <c r="AE267" s="6">
        <f ca="1">$K$267*$Y$267</f>
        <v>4466.1917727555146</v>
      </c>
      <c r="AF267" s="6">
        <f>$M$267*$Z$267</f>
        <v>0</v>
      </c>
      <c r="AG267" s="6">
        <f>$O$267*$AA$267</f>
        <v>0</v>
      </c>
    </row>
    <row r="268" spans="1:33" ht="11.25" customHeight="1" x14ac:dyDescent="0.3">
      <c r="A268" s="4" t="s">
        <v>21</v>
      </c>
      <c r="B268" s="4" t="s">
        <v>39</v>
      </c>
      <c r="C268" s="4" t="s">
        <v>40</v>
      </c>
      <c r="D268" s="4" t="s">
        <v>38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44562</v>
      </c>
      <c r="J268" s="6">
        <v>3514</v>
      </c>
      <c r="K268" s="6">
        <v>3514</v>
      </c>
      <c r="L268" s="6">
        <v>0</v>
      </c>
      <c r="M268" s="6">
        <v>0</v>
      </c>
      <c r="N268" s="6">
        <v>0</v>
      </c>
      <c r="O268" s="6">
        <v>0</v>
      </c>
      <c r="P268" s="6">
        <v>15</v>
      </c>
      <c r="Q268" s="4" t="s">
        <v>26</v>
      </c>
      <c r="R268" s="4">
        <v>0</v>
      </c>
      <c r="S268" s="6">
        <v>13</v>
      </c>
      <c r="T268" s="6">
        <v>0</v>
      </c>
      <c r="U268" s="6">
        <v>0</v>
      </c>
      <c r="V268" s="6">
        <f>IF(ISERROR(VLOOKUP($S$268,'TAR FIN'!$A$1:$O$103,15,0)),0,VLOOKUP($S$268,'TAR FIN'!$A$1:$O$103,15,0))</f>
        <v>18.920000000000002</v>
      </c>
      <c r="W268" s="6">
        <f>IF(ISERROR(VLOOKUP($T$268,'TAR FIN'!$A$1:$O$103,15,0)),0,VLOOKUP($T$268,'TAR FIN'!$A$1:$O$103,15,0))</f>
        <v>0</v>
      </c>
      <c r="X268" s="6">
        <f>IF(ISERROR(VLOOKUP($U$268,'TAR FIN'!$A$1:$O$103,15,0)),0,VLOOKUP($U$268,'TAR FIN'!$A$1:$O$103,15,0))</f>
        <v>0</v>
      </c>
      <c r="Y268" s="6">
        <f ca="1">('TUSD BE'!$AM$22+'TUSD BF'!$AM$22+'TUSD CVA'!$AM$22)*1</f>
        <v>21.369338625624472</v>
      </c>
      <c r="Z268" s="6"/>
      <c r="AA268" s="6"/>
      <c r="AB268" s="6">
        <f>$K$268*$V$268</f>
        <v>66484.88</v>
      </c>
      <c r="AC268" s="6">
        <f>$M$268*$W$268</f>
        <v>0</v>
      </c>
      <c r="AD268" s="6">
        <f>$O$268*$X$268</f>
        <v>0</v>
      </c>
      <c r="AE268" s="6">
        <f ca="1">$K$268*$Y$268</f>
        <v>75091.855930444392</v>
      </c>
      <c r="AF268" s="6">
        <f>$M$268*$Z$268</f>
        <v>0</v>
      </c>
      <c r="AG268" s="6">
        <f>$O$268*$AA$268</f>
        <v>0</v>
      </c>
    </row>
    <row r="269" spans="1:33" ht="11.25" customHeight="1" x14ac:dyDescent="0.3">
      <c r="A269" s="4" t="s">
        <v>28</v>
      </c>
      <c r="B269" s="4" t="s">
        <v>39</v>
      </c>
      <c r="C269" s="4" t="s">
        <v>40</v>
      </c>
      <c r="D269" s="4" t="s">
        <v>38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44562</v>
      </c>
      <c r="J269" s="6">
        <v>209</v>
      </c>
      <c r="K269" s="6">
        <v>209</v>
      </c>
      <c r="L269" s="6">
        <v>0</v>
      </c>
      <c r="M269" s="6">
        <v>0</v>
      </c>
      <c r="N269" s="6">
        <v>0</v>
      </c>
      <c r="O269" s="6">
        <v>0</v>
      </c>
      <c r="P269" s="6">
        <v>2</v>
      </c>
      <c r="Q269" s="4" t="s">
        <v>26</v>
      </c>
      <c r="R269" s="4">
        <v>0</v>
      </c>
      <c r="S269" s="6">
        <v>13</v>
      </c>
      <c r="T269" s="6">
        <v>0</v>
      </c>
      <c r="U269" s="6">
        <v>0</v>
      </c>
      <c r="V269" s="6">
        <f>IF(ISERROR(VLOOKUP($S$269,'TAR FIN'!$A$1:$O$103,15,0)),0,VLOOKUP($S$269,'TAR FIN'!$A$1:$O$103,15,0))</f>
        <v>18.920000000000002</v>
      </c>
      <c r="W269" s="6">
        <f>IF(ISERROR(VLOOKUP($T$269,'TAR FIN'!$A$1:$O$103,15,0)),0,VLOOKUP($T$269,'TAR FIN'!$A$1:$O$103,15,0))</f>
        <v>0</v>
      </c>
      <c r="X269" s="6">
        <f>IF(ISERROR(VLOOKUP($U$269,'TAR FIN'!$A$1:$O$103,15,0)),0,VLOOKUP($U$269,'TAR FIN'!$A$1:$O$103,15,0))</f>
        <v>0</v>
      </c>
      <c r="Y269" s="6">
        <f ca="1">('TUSD BE'!$AM$22+'TUSD BF'!$AM$22+'TUSD CVA'!$AM$22)*1</f>
        <v>21.369338625624472</v>
      </c>
      <c r="Z269" s="6"/>
      <c r="AA269" s="6"/>
      <c r="AB269" s="6">
        <f>$K$269*$V$269</f>
        <v>3954.28</v>
      </c>
      <c r="AC269" s="6">
        <f>$M$269*$W$269</f>
        <v>0</v>
      </c>
      <c r="AD269" s="6">
        <f>$O$269*$X$269</f>
        <v>0</v>
      </c>
      <c r="AE269" s="6">
        <f ca="1">$K$269*$Y$269</f>
        <v>4466.1917727555146</v>
      </c>
      <c r="AF269" s="6">
        <f>$M$269*$Z$269</f>
        <v>0</v>
      </c>
      <c r="AG269" s="6">
        <f>$O$269*$AA$269</f>
        <v>0</v>
      </c>
    </row>
    <row r="270" spans="1:33" ht="11.25" customHeight="1" x14ac:dyDescent="0.3">
      <c r="A270" s="4" t="s">
        <v>21</v>
      </c>
      <c r="B270" s="4" t="s">
        <v>39</v>
      </c>
      <c r="C270" s="4" t="s">
        <v>40</v>
      </c>
      <c r="D270" s="4" t="s">
        <v>38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44593</v>
      </c>
      <c r="J270" s="6">
        <v>3548</v>
      </c>
      <c r="K270" s="6">
        <v>3548</v>
      </c>
      <c r="L270" s="6">
        <v>0</v>
      </c>
      <c r="M270" s="6">
        <v>0</v>
      </c>
      <c r="N270" s="6">
        <v>0</v>
      </c>
      <c r="O270" s="6">
        <v>0</v>
      </c>
      <c r="P270" s="6">
        <v>15</v>
      </c>
      <c r="Q270" s="4" t="s">
        <v>26</v>
      </c>
      <c r="R270" s="4">
        <v>0</v>
      </c>
      <c r="S270" s="6">
        <v>13</v>
      </c>
      <c r="T270" s="6">
        <v>0</v>
      </c>
      <c r="U270" s="6">
        <v>0</v>
      </c>
      <c r="V270" s="6">
        <f>IF(ISERROR(VLOOKUP($S$270,'TAR FIN'!$A$1:$O$103,15,0)),0,VLOOKUP($S$270,'TAR FIN'!$A$1:$O$103,15,0))</f>
        <v>18.920000000000002</v>
      </c>
      <c r="W270" s="6">
        <f>IF(ISERROR(VLOOKUP($T$270,'TAR FIN'!$A$1:$O$103,15,0)),0,VLOOKUP($T$270,'TAR FIN'!$A$1:$O$103,15,0))</f>
        <v>0</v>
      </c>
      <c r="X270" s="6">
        <f>IF(ISERROR(VLOOKUP($U$270,'TAR FIN'!$A$1:$O$103,15,0)),0,VLOOKUP($U$270,'TAR FIN'!$A$1:$O$103,15,0))</f>
        <v>0</v>
      </c>
      <c r="Y270" s="6">
        <f ca="1">('TUSD BE'!$AM$22+'TUSD BF'!$AM$22+'TUSD CVA'!$AM$22)*1</f>
        <v>21.369338625624472</v>
      </c>
      <c r="Z270" s="6"/>
      <c r="AA270" s="6"/>
      <c r="AB270" s="6">
        <f>$K$270*$V$270</f>
        <v>67128.160000000003</v>
      </c>
      <c r="AC270" s="6">
        <f>$M$270*$W$270</f>
        <v>0</v>
      </c>
      <c r="AD270" s="6">
        <f>$O$270*$X$270</f>
        <v>0</v>
      </c>
      <c r="AE270" s="6">
        <f ca="1">$K$270*$Y$270</f>
        <v>75818.413443715632</v>
      </c>
      <c r="AF270" s="6">
        <f>$M$270*$Z$270</f>
        <v>0</v>
      </c>
      <c r="AG270" s="6">
        <f>$O$270*$AA$270</f>
        <v>0</v>
      </c>
    </row>
    <row r="271" spans="1:33" ht="11.25" customHeight="1" x14ac:dyDescent="0.3">
      <c r="A271" s="4" t="s">
        <v>28</v>
      </c>
      <c r="B271" s="4" t="s">
        <v>39</v>
      </c>
      <c r="C271" s="4" t="s">
        <v>40</v>
      </c>
      <c r="D271" s="4" t="s">
        <v>38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44593</v>
      </c>
      <c r="J271" s="6">
        <v>209</v>
      </c>
      <c r="K271" s="6">
        <v>209</v>
      </c>
      <c r="L271" s="6">
        <v>0</v>
      </c>
      <c r="M271" s="6">
        <v>0</v>
      </c>
      <c r="N271" s="6">
        <v>0</v>
      </c>
      <c r="O271" s="6">
        <v>0</v>
      </c>
      <c r="P271" s="6">
        <v>2</v>
      </c>
      <c r="Q271" s="4" t="s">
        <v>26</v>
      </c>
      <c r="R271" s="4">
        <v>0</v>
      </c>
      <c r="S271" s="6">
        <v>13</v>
      </c>
      <c r="T271" s="6">
        <v>0</v>
      </c>
      <c r="U271" s="6">
        <v>0</v>
      </c>
      <c r="V271" s="6">
        <f>IF(ISERROR(VLOOKUP($S$271,'TAR FIN'!$A$1:$O$103,15,0)),0,VLOOKUP($S$271,'TAR FIN'!$A$1:$O$103,15,0))</f>
        <v>18.920000000000002</v>
      </c>
      <c r="W271" s="6">
        <f>IF(ISERROR(VLOOKUP($T$271,'TAR FIN'!$A$1:$O$103,15,0)),0,VLOOKUP($T$271,'TAR FIN'!$A$1:$O$103,15,0))</f>
        <v>0</v>
      </c>
      <c r="X271" s="6">
        <f>IF(ISERROR(VLOOKUP($U$271,'TAR FIN'!$A$1:$O$103,15,0)),0,VLOOKUP($U$271,'TAR FIN'!$A$1:$O$103,15,0))</f>
        <v>0</v>
      </c>
      <c r="Y271" s="6">
        <f ca="1">('TUSD BE'!$AM$22+'TUSD BF'!$AM$22+'TUSD CVA'!$AM$22)*1</f>
        <v>21.369338625624472</v>
      </c>
      <c r="Z271" s="6"/>
      <c r="AA271" s="6"/>
      <c r="AB271" s="6">
        <f>$K$271*$V$271</f>
        <v>3954.28</v>
      </c>
      <c r="AC271" s="6">
        <f>$M$271*$W$271</f>
        <v>0</v>
      </c>
      <c r="AD271" s="6">
        <f>$O$271*$X$271</f>
        <v>0</v>
      </c>
      <c r="AE271" s="6">
        <f ca="1">$K$271*$Y$271</f>
        <v>4466.1917727555146</v>
      </c>
      <c r="AF271" s="6">
        <f>$M$271*$Z$271</f>
        <v>0</v>
      </c>
      <c r="AG271" s="6">
        <f>$O$271*$AA$271</f>
        <v>0</v>
      </c>
    </row>
    <row r="272" spans="1:33" ht="11.25" customHeight="1" x14ac:dyDescent="0.3">
      <c r="A272" s="4" t="s">
        <v>21</v>
      </c>
      <c r="B272" s="4" t="s">
        <v>39</v>
      </c>
      <c r="C272" s="4" t="s">
        <v>40</v>
      </c>
      <c r="D272" s="4" t="s">
        <v>38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44621</v>
      </c>
      <c r="J272" s="6">
        <v>3826</v>
      </c>
      <c r="K272" s="6">
        <v>3826</v>
      </c>
      <c r="L272" s="6">
        <v>0</v>
      </c>
      <c r="M272" s="6">
        <v>0</v>
      </c>
      <c r="N272" s="6">
        <v>0</v>
      </c>
      <c r="O272" s="6">
        <v>0</v>
      </c>
      <c r="P272" s="6">
        <v>15</v>
      </c>
      <c r="Q272" s="4" t="s">
        <v>26</v>
      </c>
      <c r="R272" s="4">
        <v>0</v>
      </c>
      <c r="S272" s="6">
        <v>13</v>
      </c>
      <c r="T272" s="6">
        <v>0</v>
      </c>
      <c r="U272" s="6">
        <v>0</v>
      </c>
      <c r="V272" s="6">
        <f>IF(ISERROR(VLOOKUP($S$272,'TAR FIN'!$A$1:$O$103,15,0)),0,VLOOKUP($S$272,'TAR FIN'!$A$1:$O$103,15,0))</f>
        <v>18.920000000000002</v>
      </c>
      <c r="W272" s="6">
        <f>IF(ISERROR(VLOOKUP($T$272,'TAR FIN'!$A$1:$O$103,15,0)),0,VLOOKUP($T$272,'TAR FIN'!$A$1:$O$103,15,0))</f>
        <v>0</v>
      </c>
      <c r="X272" s="6">
        <f>IF(ISERROR(VLOOKUP($U$272,'TAR FIN'!$A$1:$O$103,15,0)),0,VLOOKUP($U$272,'TAR FIN'!$A$1:$O$103,15,0))</f>
        <v>0</v>
      </c>
      <c r="Y272" s="6">
        <f ca="1">('TUSD BE'!$AM$22+'TUSD BF'!$AM$22+'TUSD CVA'!$AM$22)*1</f>
        <v>21.369338625624472</v>
      </c>
      <c r="Z272" s="6"/>
      <c r="AA272" s="6"/>
      <c r="AB272" s="6">
        <f>$K$272*$V$272</f>
        <v>72387.920000000013</v>
      </c>
      <c r="AC272" s="6">
        <f>$M$272*$W$272</f>
        <v>0</v>
      </c>
      <c r="AD272" s="6">
        <f>$O$272*$X$272</f>
        <v>0</v>
      </c>
      <c r="AE272" s="6">
        <f ca="1">$K$272*$Y$272</f>
        <v>81759.089581639229</v>
      </c>
      <c r="AF272" s="6">
        <f>$M$272*$Z$272</f>
        <v>0</v>
      </c>
      <c r="AG272" s="6">
        <f>$O$272*$AA$272</f>
        <v>0</v>
      </c>
    </row>
    <row r="273" spans="1:33" ht="11.25" customHeight="1" x14ac:dyDescent="0.3">
      <c r="A273" s="4" t="s">
        <v>28</v>
      </c>
      <c r="B273" s="4" t="s">
        <v>39</v>
      </c>
      <c r="C273" s="4" t="s">
        <v>40</v>
      </c>
      <c r="D273" s="4" t="s">
        <v>38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44621</v>
      </c>
      <c r="J273" s="6">
        <v>209</v>
      </c>
      <c r="K273" s="6">
        <v>209</v>
      </c>
      <c r="L273" s="6">
        <v>0</v>
      </c>
      <c r="M273" s="6">
        <v>0</v>
      </c>
      <c r="N273" s="6">
        <v>0</v>
      </c>
      <c r="O273" s="6">
        <v>0</v>
      </c>
      <c r="P273" s="6">
        <v>2</v>
      </c>
      <c r="Q273" s="4" t="s">
        <v>26</v>
      </c>
      <c r="R273" s="4">
        <v>0</v>
      </c>
      <c r="S273" s="6">
        <v>13</v>
      </c>
      <c r="T273" s="6">
        <v>0</v>
      </c>
      <c r="U273" s="6">
        <v>0</v>
      </c>
      <c r="V273" s="6">
        <f>IF(ISERROR(VLOOKUP($S$273,'TAR FIN'!$A$1:$O$103,15,0)),0,VLOOKUP($S$273,'TAR FIN'!$A$1:$O$103,15,0))</f>
        <v>18.920000000000002</v>
      </c>
      <c r="W273" s="6">
        <f>IF(ISERROR(VLOOKUP($T$273,'TAR FIN'!$A$1:$O$103,15,0)),0,VLOOKUP($T$273,'TAR FIN'!$A$1:$O$103,15,0))</f>
        <v>0</v>
      </c>
      <c r="X273" s="6">
        <f>IF(ISERROR(VLOOKUP($U$273,'TAR FIN'!$A$1:$O$103,15,0)),0,VLOOKUP($U$273,'TAR FIN'!$A$1:$O$103,15,0))</f>
        <v>0</v>
      </c>
      <c r="Y273" s="6">
        <f ca="1">('TUSD BE'!$AM$22+'TUSD BF'!$AM$22+'TUSD CVA'!$AM$22)*1</f>
        <v>21.369338625624472</v>
      </c>
      <c r="Z273" s="6"/>
      <c r="AA273" s="6"/>
      <c r="AB273" s="6">
        <f>$K$273*$V$273</f>
        <v>3954.28</v>
      </c>
      <c r="AC273" s="6">
        <f>$M$273*$W$273</f>
        <v>0</v>
      </c>
      <c r="AD273" s="6">
        <f>$O$273*$X$273</f>
        <v>0</v>
      </c>
      <c r="AE273" s="6">
        <f ca="1">$K$273*$Y$273</f>
        <v>4466.1917727555146</v>
      </c>
      <c r="AF273" s="6">
        <f>$M$273*$Z$273</f>
        <v>0</v>
      </c>
      <c r="AG273" s="6">
        <f>$O$273*$AA$273</f>
        <v>0</v>
      </c>
    </row>
    <row r="274" spans="1:33" ht="11.25" customHeight="1" x14ac:dyDescent="0.3">
      <c r="A274" s="4" t="s">
        <v>21</v>
      </c>
      <c r="B274" s="4" t="s">
        <v>39</v>
      </c>
      <c r="C274" s="4" t="s">
        <v>40</v>
      </c>
      <c r="D274" s="4" t="s">
        <v>38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44652</v>
      </c>
      <c r="J274" s="6">
        <v>4167</v>
      </c>
      <c r="K274" s="6">
        <v>4167</v>
      </c>
      <c r="L274" s="6">
        <v>0</v>
      </c>
      <c r="M274" s="6">
        <v>0</v>
      </c>
      <c r="N274" s="6">
        <v>0</v>
      </c>
      <c r="O274" s="6">
        <v>0</v>
      </c>
      <c r="P274" s="6">
        <v>16</v>
      </c>
      <c r="Q274" s="4" t="s">
        <v>26</v>
      </c>
      <c r="R274" s="4">
        <v>0</v>
      </c>
      <c r="S274" s="6">
        <v>13</v>
      </c>
      <c r="T274" s="6">
        <v>0</v>
      </c>
      <c r="U274" s="6">
        <v>0</v>
      </c>
      <c r="V274" s="6">
        <f>IF(ISERROR(VLOOKUP($S$274,'TAR FIN'!$A$1:$O$103,15,0)),0,VLOOKUP($S$274,'TAR FIN'!$A$1:$O$103,15,0))</f>
        <v>18.920000000000002</v>
      </c>
      <c r="W274" s="6">
        <f>IF(ISERROR(VLOOKUP($T$274,'TAR FIN'!$A$1:$O$103,15,0)),0,VLOOKUP($T$274,'TAR FIN'!$A$1:$O$103,15,0))</f>
        <v>0</v>
      </c>
      <c r="X274" s="6">
        <f>IF(ISERROR(VLOOKUP($U$274,'TAR FIN'!$A$1:$O$103,15,0)),0,VLOOKUP($U$274,'TAR FIN'!$A$1:$O$103,15,0))</f>
        <v>0</v>
      </c>
      <c r="Y274" s="6">
        <f ca="1">('TUSD BE'!$AM$22+'TUSD BF'!$AM$22+'TUSD CVA'!$AM$22)*1</f>
        <v>21.369338625624472</v>
      </c>
      <c r="Z274" s="6"/>
      <c r="AA274" s="6"/>
      <c r="AB274" s="6">
        <f>$K$274*$V$274</f>
        <v>78839.640000000014</v>
      </c>
      <c r="AC274" s="6">
        <f>$M$274*$W$274</f>
        <v>0</v>
      </c>
      <c r="AD274" s="6">
        <f>$O$274*$X$274</f>
        <v>0</v>
      </c>
      <c r="AE274" s="6">
        <f ca="1">$K$274*$Y$274</f>
        <v>89046.034052977178</v>
      </c>
      <c r="AF274" s="6">
        <f>$M$274*$Z$274</f>
        <v>0</v>
      </c>
      <c r="AG274" s="6">
        <f>$O$274*$AA$274</f>
        <v>0</v>
      </c>
    </row>
    <row r="275" spans="1:33" ht="11.25" customHeight="1" x14ac:dyDescent="0.3">
      <c r="A275" s="4" t="s">
        <v>28</v>
      </c>
      <c r="B275" s="4" t="s">
        <v>39</v>
      </c>
      <c r="C275" s="4" t="s">
        <v>40</v>
      </c>
      <c r="D275" s="4" t="s">
        <v>38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44652</v>
      </c>
      <c r="J275" s="6">
        <v>209</v>
      </c>
      <c r="K275" s="6">
        <v>209</v>
      </c>
      <c r="L275" s="6">
        <v>0</v>
      </c>
      <c r="M275" s="6">
        <v>0</v>
      </c>
      <c r="N275" s="6">
        <v>0</v>
      </c>
      <c r="O275" s="6">
        <v>0</v>
      </c>
      <c r="P275" s="6">
        <v>2</v>
      </c>
      <c r="Q275" s="4" t="s">
        <v>26</v>
      </c>
      <c r="R275" s="4">
        <v>0</v>
      </c>
      <c r="S275" s="6">
        <v>13</v>
      </c>
      <c r="T275" s="6">
        <v>0</v>
      </c>
      <c r="U275" s="6">
        <v>0</v>
      </c>
      <c r="V275" s="6">
        <f>IF(ISERROR(VLOOKUP($S$275,'TAR FIN'!$A$1:$O$103,15,0)),0,VLOOKUP($S$275,'TAR FIN'!$A$1:$O$103,15,0))</f>
        <v>18.920000000000002</v>
      </c>
      <c r="W275" s="6">
        <f>IF(ISERROR(VLOOKUP($T$275,'TAR FIN'!$A$1:$O$103,15,0)),0,VLOOKUP($T$275,'TAR FIN'!$A$1:$O$103,15,0))</f>
        <v>0</v>
      </c>
      <c r="X275" s="6">
        <f>IF(ISERROR(VLOOKUP($U$275,'TAR FIN'!$A$1:$O$103,15,0)),0,VLOOKUP($U$275,'TAR FIN'!$A$1:$O$103,15,0))</f>
        <v>0</v>
      </c>
      <c r="Y275" s="6">
        <f ca="1">('TUSD BE'!$AM$22+'TUSD BF'!$AM$22+'TUSD CVA'!$AM$22)*1</f>
        <v>21.369338625624472</v>
      </c>
      <c r="Z275" s="6"/>
      <c r="AA275" s="6"/>
      <c r="AB275" s="6">
        <f>$K$275*$V$275</f>
        <v>3954.28</v>
      </c>
      <c r="AC275" s="6">
        <f>$M$275*$W$275</f>
        <v>0</v>
      </c>
      <c r="AD275" s="6">
        <f>$O$275*$X$275</f>
        <v>0</v>
      </c>
      <c r="AE275" s="6">
        <f ca="1">$K$275*$Y$275</f>
        <v>4466.1917727555146</v>
      </c>
      <c r="AF275" s="6">
        <f>$M$275*$Z$275</f>
        <v>0</v>
      </c>
      <c r="AG275" s="6">
        <f>$O$275*$AA$275</f>
        <v>0</v>
      </c>
    </row>
    <row r="276" spans="1:33" ht="11.25" customHeight="1" x14ac:dyDescent="0.3">
      <c r="A276" s="4" t="s">
        <v>21</v>
      </c>
      <c r="B276" s="4" t="s">
        <v>39</v>
      </c>
      <c r="C276" s="4" t="s">
        <v>40</v>
      </c>
      <c r="D276" s="4" t="s">
        <v>38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44682</v>
      </c>
      <c r="J276" s="6">
        <v>4194</v>
      </c>
      <c r="K276" s="6">
        <v>4194</v>
      </c>
      <c r="L276" s="6">
        <v>0</v>
      </c>
      <c r="M276" s="6">
        <v>0</v>
      </c>
      <c r="N276" s="6">
        <v>0</v>
      </c>
      <c r="O276" s="6">
        <v>0</v>
      </c>
      <c r="P276" s="6">
        <v>15</v>
      </c>
      <c r="Q276" s="4" t="s">
        <v>26</v>
      </c>
      <c r="R276" s="4">
        <v>0</v>
      </c>
      <c r="S276" s="6">
        <v>13</v>
      </c>
      <c r="T276" s="6">
        <v>0</v>
      </c>
      <c r="U276" s="6">
        <v>0</v>
      </c>
      <c r="V276" s="6">
        <f>IF(ISERROR(VLOOKUP($S$276,'TAR FIN'!$A$1:$O$103,15,0)),0,VLOOKUP($S$276,'TAR FIN'!$A$1:$O$103,15,0))</f>
        <v>18.920000000000002</v>
      </c>
      <c r="W276" s="6">
        <f>IF(ISERROR(VLOOKUP($T$276,'TAR FIN'!$A$1:$O$103,15,0)),0,VLOOKUP($T$276,'TAR FIN'!$A$1:$O$103,15,0))</f>
        <v>0</v>
      </c>
      <c r="X276" s="6">
        <f>IF(ISERROR(VLOOKUP($U$276,'TAR FIN'!$A$1:$O$103,15,0)),0,VLOOKUP($U$276,'TAR FIN'!$A$1:$O$103,15,0))</f>
        <v>0</v>
      </c>
      <c r="Y276" s="6">
        <f ca="1">('TUSD BE'!$AM$22+'TUSD BF'!$AM$22+'TUSD CVA'!$AM$22)*1</f>
        <v>21.369338625624472</v>
      </c>
      <c r="Z276" s="6"/>
      <c r="AA276" s="6"/>
      <c r="AB276" s="6">
        <f>$K$276*$V$276</f>
        <v>79350.48000000001</v>
      </c>
      <c r="AC276" s="6">
        <f>$M$276*$W$276</f>
        <v>0</v>
      </c>
      <c r="AD276" s="6">
        <f>$O$276*$X$276</f>
        <v>0</v>
      </c>
      <c r="AE276" s="6">
        <f ca="1">$K$276*$Y$276</f>
        <v>89623.006195869035</v>
      </c>
      <c r="AF276" s="6">
        <f>$M$276*$Z$276</f>
        <v>0</v>
      </c>
      <c r="AG276" s="6">
        <f>$O$276*$AA$276</f>
        <v>0</v>
      </c>
    </row>
    <row r="277" spans="1:33" ht="11.25" customHeight="1" x14ac:dyDescent="0.3">
      <c r="A277" s="4" t="s">
        <v>28</v>
      </c>
      <c r="B277" s="4" t="s">
        <v>39</v>
      </c>
      <c r="C277" s="4" t="s">
        <v>40</v>
      </c>
      <c r="D277" s="4" t="s">
        <v>38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44682</v>
      </c>
      <c r="J277" s="6">
        <v>209</v>
      </c>
      <c r="K277" s="6">
        <v>209</v>
      </c>
      <c r="L277" s="6">
        <v>0</v>
      </c>
      <c r="M277" s="6">
        <v>0</v>
      </c>
      <c r="N277" s="6">
        <v>0</v>
      </c>
      <c r="O277" s="6">
        <v>0</v>
      </c>
      <c r="P277" s="6">
        <v>2</v>
      </c>
      <c r="Q277" s="4" t="s">
        <v>26</v>
      </c>
      <c r="R277" s="4">
        <v>0</v>
      </c>
      <c r="S277" s="6">
        <v>13</v>
      </c>
      <c r="T277" s="6">
        <v>0</v>
      </c>
      <c r="U277" s="6">
        <v>0</v>
      </c>
      <c r="V277" s="6">
        <f>IF(ISERROR(VLOOKUP($S$277,'TAR FIN'!$A$1:$O$103,15,0)),0,VLOOKUP($S$277,'TAR FIN'!$A$1:$O$103,15,0))</f>
        <v>18.920000000000002</v>
      </c>
      <c r="W277" s="6">
        <f>IF(ISERROR(VLOOKUP($T$277,'TAR FIN'!$A$1:$O$103,15,0)),0,VLOOKUP($T$277,'TAR FIN'!$A$1:$O$103,15,0))</f>
        <v>0</v>
      </c>
      <c r="X277" s="6">
        <f>IF(ISERROR(VLOOKUP($U$277,'TAR FIN'!$A$1:$O$103,15,0)),0,VLOOKUP($U$277,'TAR FIN'!$A$1:$O$103,15,0))</f>
        <v>0</v>
      </c>
      <c r="Y277" s="6">
        <f ca="1">('TUSD BE'!$AM$22+'TUSD BF'!$AM$22+'TUSD CVA'!$AM$22)*1</f>
        <v>21.369338625624472</v>
      </c>
      <c r="Z277" s="6"/>
      <c r="AA277" s="6"/>
      <c r="AB277" s="6">
        <f>$K$277*$V$277</f>
        <v>3954.28</v>
      </c>
      <c r="AC277" s="6">
        <f>$M$277*$W$277</f>
        <v>0</v>
      </c>
      <c r="AD277" s="6">
        <f>$O$277*$X$277</f>
        <v>0</v>
      </c>
      <c r="AE277" s="6">
        <f ca="1">$K$277*$Y$277</f>
        <v>4466.1917727555146</v>
      </c>
      <c r="AF277" s="6">
        <f>$M$277*$Z$277</f>
        <v>0</v>
      </c>
      <c r="AG277" s="6">
        <f>$O$277*$AA$277</f>
        <v>0</v>
      </c>
    </row>
    <row r="278" spans="1:33" ht="11.25" customHeight="1" x14ac:dyDescent="0.3">
      <c r="A278" s="4" t="s">
        <v>21</v>
      </c>
      <c r="B278" s="4" t="s">
        <v>39</v>
      </c>
      <c r="C278" s="4" t="s">
        <v>40</v>
      </c>
      <c r="D278" s="4" t="s">
        <v>38</v>
      </c>
      <c r="E278" s="4" t="s">
        <v>25</v>
      </c>
      <c r="F278" s="4" t="s">
        <v>25</v>
      </c>
      <c r="G278" s="4" t="s">
        <v>25</v>
      </c>
      <c r="H278" s="4" t="s">
        <v>25</v>
      </c>
      <c r="I278" s="5">
        <v>44713</v>
      </c>
      <c r="J278" s="6">
        <v>4304</v>
      </c>
      <c r="K278" s="6">
        <v>4304</v>
      </c>
      <c r="L278" s="6">
        <v>0</v>
      </c>
      <c r="M278" s="6">
        <v>0</v>
      </c>
      <c r="N278" s="6">
        <v>0</v>
      </c>
      <c r="O278" s="6">
        <v>0</v>
      </c>
      <c r="P278" s="6">
        <v>15</v>
      </c>
      <c r="Q278" s="4" t="s">
        <v>26</v>
      </c>
      <c r="R278" s="4">
        <v>0</v>
      </c>
      <c r="S278" s="6">
        <v>13</v>
      </c>
      <c r="T278" s="6">
        <v>0</v>
      </c>
      <c r="U278" s="6">
        <v>0</v>
      </c>
      <c r="V278" s="6">
        <f>IF(ISERROR(VLOOKUP($S$278,'TAR FIN'!$A$1:$O$103,15,0)),0,VLOOKUP($S$278,'TAR FIN'!$A$1:$O$103,15,0))</f>
        <v>18.920000000000002</v>
      </c>
      <c r="W278" s="6">
        <f>IF(ISERROR(VLOOKUP($T$278,'TAR FIN'!$A$1:$O$103,15,0)),0,VLOOKUP($T$278,'TAR FIN'!$A$1:$O$103,15,0))</f>
        <v>0</v>
      </c>
      <c r="X278" s="6">
        <f>IF(ISERROR(VLOOKUP($U$278,'TAR FIN'!$A$1:$O$103,15,0)),0,VLOOKUP($U$278,'TAR FIN'!$A$1:$O$103,15,0))</f>
        <v>0</v>
      </c>
      <c r="Y278" s="6">
        <f ca="1">('TUSD BE'!$AM$22+'TUSD BF'!$AM$22+'TUSD CVA'!$AM$22)*1</f>
        <v>21.369338625624472</v>
      </c>
      <c r="Z278" s="6"/>
      <c r="AA278" s="6"/>
      <c r="AB278" s="6">
        <f>$K$278*$V$278</f>
        <v>81431.680000000008</v>
      </c>
      <c r="AC278" s="6">
        <f>$M$278*$W$278</f>
        <v>0</v>
      </c>
      <c r="AD278" s="6">
        <f>$O$278*$X$278</f>
        <v>0</v>
      </c>
      <c r="AE278" s="6">
        <f ca="1">$K$278*$Y$278</f>
        <v>91973.63344468773</v>
      </c>
      <c r="AF278" s="6">
        <f>$M$278*$Z$278</f>
        <v>0</v>
      </c>
      <c r="AG278" s="6">
        <f>$O$278*$AA$278</f>
        <v>0</v>
      </c>
    </row>
    <row r="279" spans="1:33" ht="11.25" customHeight="1" x14ac:dyDescent="0.3">
      <c r="A279" s="4" t="s">
        <v>28</v>
      </c>
      <c r="B279" s="4" t="s">
        <v>39</v>
      </c>
      <c r="C279" s="4" t="s">
        <v>40</v>
      </c>
      <c r="D279" s="4" t="s">
        <v>38</v>
      </c>
      <c r="E279" s="4" t="s">
        <v>25</v>
      </c>
      <c r="F279" s="4" t="s">
        <v>25</v>
      </c>
      <c r="G279" s="4" t="s">
        <v>25</v>
      </c>
      <c r="H279" s="4" t="s">
        <v>25</v>
      </c>
      <c r="I279" s="5">
        <v>44713</v>
      </c>
      <c r="J279" s="6">
        <v>209</v>
      </c>
      <c r="K279" s="6">
        <v>209</v>
      </c>
      <c r="L279" s="6">
        <v>0</v>
      </c>
      <c r="M279" s="6">
        <v>0</v>
      </c>
      <c r="N279" s="6">
        <v>0</v>
      </c>
      <c r="O279" s="6">
        <v>0</v>
      </c>
      <c r="P279" s="6">
        <v>2</v>
      </c>
      <c r="Q279" s="4" t="s">
        <v>26</v>
      </c>
      <c r="R279" s="4">
        <v>0</v>
      </c>
      <c r="S279" s="6">
        <v>13</v>
      </c>
      <c r="T279" s="6">
        <v>0</v>
      </c>
      <c r="U279" s="6">
        <v>0</v>
      </c>
      <c r="V279" s="6">
        <f>IF(ISERROR(VLOOKUP($S$279,'TAR FIN'!$A$1:$O$103,15,0)),0,VLOOKUP($S$279,'TAR FIN'!$A$1:$O$103,15,0))</f>
        <v>18.920000000000002</v>
      </c>
      <c r="W279" s="6">
        <f>IF(ISERROR(VLOOKUP($T$279,'TAR FIN'!$A$1:$O$103,15,0)),0,VLOOKUP($T$279,'TAR FIN'!$A$1:$O$103,15,0))</f>
        <v>0</v>
      </c>
      <c r="X279" s="6">
        <f>IF(ISERROR(VLOOKUP($U$279,'TAR FIN'!$A$1:$O$103,15,0)),0,VLOOKUP($U$279,'TAR FIN'!$A$1:$O$103,15,0))</f>
        <v>0</v>
      </c>
      <c r="Y279" s="6">
        <f ca="1">('TUSD BE'!$AM$22+'TUSD BF'!$AM$22+'TUSD CVA'!$AM$22)*1</f>
        <v>21.369338625624472</v>
      </c>
      <c r="Z279" s="6"/>
      <c r="AA279" s="6"/>
      <c r="AB279" s="6">
        <f>$K$279*$V$279</f>
        <v>3954.28</v>
      </c>
      <c r="AC279" s="6">
        <f>$M$279*$W$279</f>
        <v>0</v>
      </c>
      <c r="AD279" s="6">
        <f>$O$279*$X$279</f>
        <v>0</v>
      </c>
      <c r="AE279" s="6">
        <f ca="1">$K$279*$Y$279</f>
        <v>4466.1917727555146</v>
      </c>
      <c r="AF279" s="6">
        <f>$M$279*$Z$279</f>
        <v>0</v>
      </c>
      <c r="AG279" s="6">
        <f>$O$279*$AA$279</f>
        <v>0</v>
      </c>
    </row>
    <row r="280" spans="1:33" ht="11.25" customHeight="1" x14ac:dyDescent="0.3">
      <c r="A280" s="4" t="s">
        <v>21</v>
      </c>
      <c r="B280" s="4" t="s">
        <v>39</v>
      </c>
      <c r="C280" s="4" t="s">
        <v>40</v>
      </c>
      <c r="D280" s="4" t="s">
        <v>38</v>
      </c>
      <c r="E280" s="4" t="s">
        <v>25</v>
      </c>
      <c r="F280" s="4" t="s">
        <v>25</v>
      </c>
      <c r="G280" s="4" t="s">
        <v>25</v>
      </c>
      <c r="H280" s="4" t="s">
        <v>25</v>
      </c>
      <c r="I280" s="5">
        <v>44743</v>
      </c>
      <c r="J280" s="6">
        <v>3071</v>
      </c>
      <c r="K280" s="6">
        <v>3071</v>
      </c>
      <c r="L280" s="6">
        <v>0</v>
      </c>
      <c r="M280" s="6">
        <v>0</v>
      </c>
      <c r="N280" s="6">
        <v>0</v>
      </c>
      <c r="O280" s="6">
        <v>0</v>
      </c>
      <c r="P280" s="6">
        <v>15</v>
      </c>
      <c r="Q280" s="4" t="s">
        <v>26</v>
      </c>
      <c r="R280" s="4">
        <v>0</v>
      </c>
      <c r="S280" s="6">
        <v>13</v>
      </c>
      <c r="T280" s="6">
        <v>0</v>
      </c>
      <c r="U280" s="6">
        <v>0</v>
      </c>
      <c r="V280" s="6">
        <f>IF(ISERROR(VLOOKUP($S$280,'TAR FIN'!$A$1:$O$103,15,0)),0,VLOOKUP($S$280,'TAR FIN'!$A$1:$O$103,15,0))</f>
        <v>18.920000000000002</v>
      </c>
      <c r="W280" s="6">
        <f>IF(ISERROR(VLOOKUP($T$280,'TAR FIN'!$A$1:$O$103,15,0)),0,VLOOKUP($T$280,'TAR FIN'!$A$1:$O$103,15,0))</f>
        <v>0</v>
      </c>
      <c r="X280" s="6">
        <f>IF(ISERROR(VLOOKUP($U$280,'TAR FIN'!$A$1:$O$103,15,0)),0,VLOOKUP($U$280,'TAR FIN'!$A$1:$O$103,15,0))</f>
        <v>0</v>
      </c>
      <c r="Y280" s="6">
        <f ca="1">('TUSD BE'!$AM$22+'TUSD BF'!$AM$22+'TUSD CVA'!$AM$22)*1</f>
        <v>21.369338625624472</v>
      </c>
      <c r="Z280" s="6"/>
      <c r="AA280" s="6"/>
      <c r="AB280" s="6">
        <f>$K$280*$V$280</f>
        <v>58103.320000000007</v>
      </c>
      <c r="AC280" s="6">
        <f>$M$280*$W$280</f>
        <v>0</v>
      </c>
      <c r="AD280" s="6">
        <f>$O$280*$X$280</f>
        <v>0</v>
      </c>
      <c r="AE280" s="6">
        <f ca="1">$K$280*$Y$280</f>
        <v>65625.238919292751</v>
      </c>
      <c r="AF280" s="6">
        <f>$M$280*$Z$280</f>
        <v>0</v>
      </c>
      <c r="AG280" s="6">
        <f>$O$280*$AA$280</f>
        <v>0</v>
      </c>
    </row>
    <row r="281" spans="1:33" ht="11.25" customHeight="1" x14ac:dyDescent="0.3">
      <c r="A281" s="4" t="s">
        <v>28</v>
      </c>
      <c r="B281" s="4" t="s">
        <v>39</v>
      </c>
      <c r="C281" s="4" t="s">
        <v>40</v>
      </c>
      <c r="D281" s="4" t="s">
        <v>38</v>
      </c>
      <c r="E281" s="4" t="s">
        <v>25</v>
      </c>
      <c r="F281" s="4" t="s">
        <v>25</v>
      </c>
      <c r="G281" s="4" t="s">
        <v>25</v>
      </c>
      <c r="H281" s="4" t="s">
        <v>25</v>
      </c>
      <c r="I281" s="5">
        <v>44743</v>
      </c>
      <c r="J281" s="6">
        <v>209</v>
      </c>
      <c r="K281" s="6">
        <v>209</v>
      </c>
      <c r="L281" s="6">
        <v>0</v>
      </c>
      <c r="M281" s="6">
        <v>0</v>
      </c>
      <c r="N281" s="6">
        <v>0</v>
      </c>
      <c r="O281" s="6">
        <v>0</v>
      </c>
      <c r="P281" s="6">
        <v>2</v>
      </c>
      <c r="Q281" s="4" t="s">
        <v>26</v>
      </c>
      <c r="R281" s="4">
        <v>0</v>
      </c>
      <c r="S281" s="6">
        <v>13</v>
      </c>
      <c r="T281" s="6">
        <v>0</v>
      </c>
      <c r="U281" s="6">
        <v>0</v>
      </c>
      <c r="V281" s="6">
        <f>IF(ISERROR(VLOOKUP($S$281,'TAR FIN'!$A$1:$O$103,15,0)),0,VLOOKUP($S$281,'TAR FIN'!$A$1:$O$103,15,0))</f>
        <v>18.920000000000002</v>
      </c>
      <c r="W281" s="6">
        <f>IF(ISERROR(VLOOKUP($T$281,'TAR FIN'!$A$1:$O$103,15,0)),0,VLOOKUP($T$281,'TAR FIN'!$A$1:$O$103,15,0))</f>
        <v>0</v>
      </c>
      <c r="X281" s="6">
        <f>IF(ISERROR(VLOOKUP($U$281,'TAR FIN'!$A$1:$O$103,15,0)),0,VLOOKUP($U$281,'TAR FIN'!$A$1:$O$103,15,0))</f>
        <v>0</v>
      </c>
      <c r="Y281" s="6">
        <f ca="1">('TUSD BE'!$AM$22+'TUSD BF'!$AM$22+'TUSD CVA'!$AM$22)*1</f>
        <v>21.369338625624472</v>
      </c>
      <c r="Z281" s="6"/>
      <c r="AA281" s="6"/>
      <c r="AB281" s="6">
        <f>$K$281*$V$281</f>
        <v>3954.28</v>
      </c>
      <c r="AC281" s="6">
        <f>$M$281*$W$281</f>
        <v>0</v>
      </c>
      <c r="AD281" s="6">
        <f>$O$281*$X$281</f>
        <v>0</v>
      </c>
      <c r="AE281" s="6">
        <f ca="1">$K$281*$Y$281</f>
        <v>4466.1917727555146</v>
      </c>
      <c r="AF281" s="6">
        <f>$M$281*$Z$281</f>
        <v>0</v>
      </c>
      <c r="AG281" s="6">
        <f>$O$281*$AA$281</f>
        <v>0</v>
      </c>
    </row>
    <row r="282" spans="1:33" ht="11.25" customHeight="1" x14ac:dyDescent="0.3">
      <c r="A282" s="4" t="s">
        <v>21</v>
      </c>
      <c r="B282" s="4" t="s">
        <v>39</v>
      </c>
      <c r="C282" s="4" t="s">
        <v>40</v>
      </c>
      <c r="D282" s="4" t="s">
        <v>38</v>
      </c>
      <c r="E282" s="4" t="s">
        <v>25</v>
      </c>
      <c r="F282" s="4" t="s">
        <v>25</v>
      </c>
      <c r="G282" s="4" t="s">
        <v>25</v>
      </c>
      <c r="H282" s="4" t="s">
        <v>25</v>
      </c>
      <c r="I282" s="5">
        <v>44774</v>
      </c>
      <c r="J282" s="6">
        <v>4328</v>
      </c>
      <c r="K282" s="6">
        <v>4328</v>
      </c>
      <c r="L282" s="6">
        <v>0</v>
      </c>
      <c r="M282" s="6">
        <v>0</v>
      </c>
      <c r="N282" s="6">
        <v>0</v>
      </c>
      <c r="O282" s="6">
        <v>0</v>
      </c>
      <c r="P282" s="6">
        <v>15</v>
      </c>
      <c r="Q282" s="4" t="s">
        <v>26</v>
      </c>
      <c r="R282" s="4">
        <v>0</v>
      </c>
      <c r="S282" s="6">
        <v>13</v>
      </c>
      <c r="T282" s="6">
        <v>0</v>
      </c>
      <c r="U282" s="6">
        <v>0</v>
      </c>
      <c r="V282" s="6">
        <f>IF(ISERROR(VLOOKUP($S$282,'TAR FIN'!$A$1:$O$103,15,0)),0,VLOOKUP($S$282,'TAR FIN'!$A$1:$O$103,15,0))</f>
        <v>18.920000000000002</v>
      </c>
      <c r="W282" s="6">
        <f>IF(ISERROR(VLOOKUP($T$282,'TAR FIN'!$A$1:$O$103,15,0)),0,VLOOKUP($T$282,'TAR FIN'!$A$1:$O$103,15,0))</f>
        <v>0</v>
      </c>
      <c r="X282" s="6">
        <f>IF(ISERROR(VLOOKUP($U$282,'TAR FIN'!$A$1:$O$103,15,0)),0,VLOOKUP($U$282,'TAR FIN'!$A$1:$O$103,15,0))</f>
        <v>0</v>
      </c>
      <c r="Y282" s="6">
        <f ca="1">('TUSD BE'!$AM$22+'TUSD BF'!$AM$22+'TUSD CVA'!$AM$22)*1</f>
        <v>21.369338625624472</v>
      </c>
      <c r="Z282" s="6"/>
      <c r="AA282" s="6"/>
      <c r="AB282" s="6">
        <f>$K$282*$V$282</f>
        <v>81885.760000000009</v>
      </c>
      <c r="AC282" s="6">
        <f>$M$282*$W$282</f>
        <v>0</v>
      </c>
      <c r="AD282" s="6">
        <f>$O$282*$X$282</f>
        <v>0</v>
      </c>
      <c r="AE282" s="6">
        <f ca="1">$K$282*$Y$282</f>
        <v>92486.497571702712</v>
      </c>
      <c r="AF282" s="6">
        <f>$M$282*$Z$282</f>
        <v>0</v>
      </c>
      <c r="AG282" s="6">
        <f>$O$282*$AA$282</f>
        <v>0</v>
      </c>
    </row>
    <row r="283" spans="1:33" ht="11.25" customHeight="1" x14ac:dyDescent="0.3">
      <c r="A283" s="4" t="s">
        <v>28</v>
      </c>
      <c r="B283" s="4" t="s">
        <v>39</v>
      </c>
      <c r="C283" s="4" t="s">
        <v>40</v>
      </c>
      <c r="D283" s="4" t="s">
        <v>38</v>
      </c>
      <c r="E283" s="4" t="s">
        <v>25</v>
      </c>
      <c r="F283" s="4" t="s">
        <v>25</v>
      </c>
      <c r="G283" s="4" t="s">
        <v>25</v>
      </c>
      <c r="H283" s="4" t="s">
        <v>25</v>
      </c>
      <c r="I283" s="5">
        <v>44774</v>
      </c>
      <c r="J283" s="6">
        <v>209</v>
      </c>
      <c r="K283" s="6">
        <v>209</v>
      </c>
      <c r="L283" s="6">
        <v>0</v>
      </c>
      <c r="M283" s="6">
        <v>0</v>
      </c>
      <c r="N283" s="6">
        <v>0</v>
      </c>
      <c r="O283" s="6">
        <v>0</v>
      </c>
      <c r="P283" s="6">
        <v>2</v>
      </c>
      <c r="Q283" s="4" t="s">
        <v>26</v>
      </c>
      <c r="R283" s="4">
        <v>0</v>
      </c>
      <c r="S283" s="6">
        <v>13</v>
      </c>
      <c r="T283" s="6">
        <v>0</v>
      </c>
      <c r="U283" s="6">
        <v>0</v>
      </c>
      <c r="V283" s="6">
        <f>IF(ISERROR(VLOOKUP($S$283,'TAR FIN'!$A$1:$O$103,15,0)),0,VLOOKUP($S$283,'TAR FIN'!$A$1:$O$103,15,0))</f>
        <v>18.920000000000002</v>
      </c>
      <c r="W283" s="6">
        <f>IF(ISERROR(VLOOKUP($T$283,'TAR FIN'!$A$1:$O$103,15,0)),0,VLOOKUP($T$283,'TAR FIN'!$A$1:$O$103,15,0))</f>
        <v>0</v>
      </c>
      <c r="X283" s="6">
        <f>IF(ISERROR(VLOOKUP($U$283,'TAR FIN'!$A$1:$O$103,15,0)),0,VLOOKUP($U$283,'TAR FIN'!$A$1:$O$103,15,0))</f>
        <v>0</v>
      </c>
      <c r="Y283" s="6">
        <f ca="1">('TUSD BE'!$AM$22+'TUSD BF'!$AM$22+'TUSD CVA'!$AM$22)*1</f>
        <v>21.369338625624472</v>
      </c>
      <c r="Z283" s="6"/>
      <c r="AA283" s="6"/>
      <c r="AB283" s="6">
        <f>$K$283*$V$283</f>
        <v>3954.28</v>
      </c>
      <c r="AC283" s="6">
        <f>$M$283*$W$283</f>
        <v>0</v>
      </c>
      <c r="AD283" s="6">
        <f>$O$283*$X$283</f>
        <v>0</v>
      </c>
      <c r="AE283" s="6">
        <f ca="1">$K$283*$Y$283</f>
        <v>4466.1917727555146</v>
      </c>
      <c r="AF283" s="6">
        <f>$M$283*$Z$283</f>
        <v>0</v>
      </c>
      <c r="AG283" s="6">
        <f>$O$283*$AA$283</f>
        <v>0</v>
      </c>
    </row>
    <row r="284" spans="1:33" ht="11.25" customHeight="1" x14ac:dyDescent="0.3">
      <c r="A284" s="4" t="s">
        <v>21</v>
      </c>
      <c r="B284" s="4" t="s">
        <v>39</v>
      </c>
      <c r="C284" s="4" t="s">
        <v>40</v>
      </c>
      <c r="D284" s="4" t="s">
        <v>38</v>
      </c>
      <c r="E284" s="4" t="s">
        <v>25</v>
      </c>
      <c r="F284" s="4" t="s">
        <v>25</v>
      </c>
      <c r="G284" s="4" t="s">
        <v>25</v>
      </c>
      <c r="H284" s="4" t="s">
        <v>25</v>
      </c>
      <c r="I284" s="5">
        <v>44805</v>
      </c>
      <c r="J284" s="6">
        <v>4550</v>
      </c>
      <c r="K284" s="6">
        <v>4550</v>
      </c>
      <c r="L284" s="6">
        <v>0</v>
      </c>
      <c r="M284" s="6">
        <v>0</v>
      </c>
      <c r="N284" s="6">
        <v>0</v>
      </c>
      <c r="O284" s="6">
        <v>0</v>
      </c>
      <c r="P284" s="6">
        <v>16</v>
      </c>
      <c r="Q284" s="4" t="s">
        <v>26</v>
      </c>
      <c r="R284" s="4">
        <v>0</v>
      </c>
      <c r="S284" s="6">
        <v>13</v>
      </c>
      <c r="T284" s="6">
        <v>0</v>
      </c>
      <c r="U284" s="6">
        <v>0</v>
      </c>
      <c r="V284" s="6">
        <f>IF(ISERROR(VLOOKUP($S$284,'TAR FIN'!$A$1:$O$103,15,0)),0,VLOOKUP($S$284,'TAR FIN'!$A$1:$O$103,15,0))</f>
        <v>18.920000000000002</v>
      </c>
      <c r="W284" s="6">
        <f>IF(ISERROR(VLOOKUP($T$284,'TAR FIN'!$A$1:$O$103,15,0)),0,VLOOKUP($T$284,'TAR FIN'!$A$1:$O$103,15,0))</f>
        <v>0</v>
      </c>
      <c r="X284" s="6">
        <f>IF(ISERROR(VLOOKUP($U$284,'TAR FIN'!$A$1:$O$103,15,0)),0,VLOOKUP($U$284,'TAR FIN'!$A$1:$O$103,15,0))</f>
        <v>0</v>
      </c>
      <c r="Y284" s="6">
        <f ca="1">('TUSD BE'!$AM$22+'TUSD BF'!$AM$22+'TUSD CVA'!$AM$22)*1</f>
        <v>21.369338625624472</v>
      </c>
      <c r="Z284" s="6"/>
      <c r="AA284" s="6"/>
      <c r="AB284" s="6">
        <f>$K$284*$V$284</f>
        <v>86086.000000000015</v>
      </c>
      <c r="AC284" s="6">
        <f>$M$284*$W$284</f>
        <v>0</v>
      </c>
      <c r="AD284" s="6">
        <f>$O$284*$X$284</f>
        <v>0</v>
      </c>
      <c r="AE284" s="6">
        <f ca="1">$K$284*$Y$284</f>
        <v>97230.490746591342</v>
      </c>
      <c r="AF284" s="6">
        <f>$M$284*$Z$284</f>
        <v>0</v>
      </c>
      <c r="AG284" s="6">
        <f>$O$284*$AA$284</f>
        <v>0</v>
      </c>
    </row>
    <row r="285" spans="1:33" ht="11.25" customHeight="1" x14ac:dyDescent="0.3">
      <c r="A285" s="4" t="s">
        <v>28</v>
      </c>
      <c r="B285" s="4" t="s">
        <v>39</v>
      </c>
      <c r="C285" s="4" t="s">
        <v>40</v>
      </c>
      <c r="D285" s="4" t="s">
        <v>38</v>
      </c>
      <c r="E285" s="4" t="s">
        <v>25</v>
      </c>
      <c r="F285" s="4" t="s">
        <v>25</v>
      </c>
      <c r="G285" s="4" t="s">
        <v>25</v>
      </c>
      <c r="H285" s="4" t="s">
        <v>25</v>
      </c>
      <c r="I285" s="5">
        <v>44805</v>
      </c>
      <c r="J285" s="6">
        <v>209</v>
      </c>
      <c r="K285" s="6">
        <v>209</v>
      </c>
      <c r="L285" s="6">
        <v>0</v>
      </c>
      <c r="M285" s="6">
        <v>0</v>
      </c>
      <c r="N285" s="6">
        <v>0</v>
      </c>
      <c r="O285" s="6">
        <v>0</v>
      </c>
      <c r="P285" s="6">
        <v>2</v>
      </c>
      <c r="Q285" s="4" t="s">
        <v>26</v>
      </c>
      <c r="R285" s="4">
        <v>0</v>
      </c>
      <c r="S285" s="6">
        <v>13</v>
      </c>
      <c r="T285" s="6">
        <v>0</v>
      </c>
      <c r="U285" s="6">
        <v>0</v>
      </c>
      <c r="V285" s="6">
        <f>IF(ISERROR(VLOOKUP($S$285,'TAR FIN'!$A$1:$O$103,15,0)),0,VLOOKUP($S$285,'TAR FIN'!$A$1:$O$103,15,0))</f>
        <v>18.920000000000002</v>
      </c>
      <c r="W285" s="6">
        <f>IF(ISERROR(VLOOKUP($T$285,'TAR FIN'!$A$1:$O$103,15,0)),0,VLOOKUP($T$285,'TAR FIN'!$A$1:$O$103,15,0))</f>
        <v>0</v>
      </c>
      <c r="X285" s="6">
        <f>IF(ISERROR(VLOOKUP($U$285,'TAR FIN'!$A$1:$O$103,15,0)),0,VLOOKUP($U$285,'TAR FIN'!$A$1:$O$103,15,0))</f>
        <v>0</v>
      </c>
      <c r="Y285" s="6">
        <f ca="1">('TUSD BE'!$AM$22+'TUSD BF'!$AM$22+'TUSD CVA'!$AM$22)*1</f>
        <v>21.369338625624472</v>
      </c>
      <c r="Z285" s="6"/>
      <c r="AA285" s="6"/>
      <c r="AB285" s="6">
        <f>$K$285*$V$285</f>
        <v>3954.28</v>
      </c>
      <c r="AC285" s="6">
        <f>$M$285*$W$285</f>
        <v>0</v>
      </c>
      <c r="AD285" s="6">
        <f>$O$285*$X$285</f>
        <v>0</v>
      </c>
      <c r="AE285" s="6">
        <f ca="1">$K$285*$Y$285</f>
        <v>4466.1917727555146</v>
      </c>
      <c r="AF285" s="6">
        <f>$M$285*$Z$285</f>
        <v>0</v>
      </c>
      <c r="AG285" s="6">
        <f>$O$285*$AA$285</f>
        <v>0</v>
      </c>
    </row>
    <row r="286" spans="1:33" ht="11.25" customHeight="1" x14ac:dyDescent="0.3">
      <c r="A286" s="4" t="s">
        <v>57</v>
      </c>
      <c r="B286" s="4" t="s">
        <v>39</v>
      </c>
      <c r="C286" s="4" t="s">
        <v>40</v>
      </c>
      <c r="D286" s="4" t="s">
        <v>38</v>
      </c>
      <c r="E286" s="4" t="s">
        <v>25</v>
      </c>
      <c r="F286" s="4" t="s">
        <v>25</v>
      </c>
      <c r="G286" s="4" t="s">
        <v>25</v>
      </c>
      <c r="H286" s="4" t="s">
        <v>25</v>
      </c>
      <c r="I286" s="5">
        <v>44835</v>
      </c>
      <c r="J286" s="6">
        <v>4550</v>
      </c>
      <c r="K286" s="6">
        <v>4550</v>
      </c>
      <c r="L286" s="6">
        <v>0</v>
      </c>
      <c r="M286" s="6">
        <v>0</v>
      </c>
      <c r="N286" s="6">
        <v>0</v>
      </c>
      <c r="O286" s="6">
        <v>0</v>
      </c>
      <c r="P286" s="6">
        <v>16</v>
      </c>
      <c r="Q286" s="4" t="s">
        <v>26</v>
      </c>
      <c r="R286" s="4">
        <v>0</v>
      </c>
      <c r="S286" s="6">
        <v>13</v>
      </c>
      <c r="T286" s="6">
        <v>0</v>
      </c>
      <c r="U286" s="6">
        <v>0</v>
      </c>
      <c r="V286" s="6">
        <f>IF(ISERROR(VLOOKUP($S$286,'TAR FIN'!$A$1:$O$103,15,0)),0,VLOOKUP($S$286,'TAR FIN'!$A$1:$O$103,15,0))</f>
        <v>18.920000000000002</v>
      </c>
      <c r="W286" s="6">
        <f>IF(ISERROR(VLOOKUP($T$286,'TAR FIN'!$A$1:$O$103,15,0)),0,VLOOKUP($T$286,'TAR FIN'!$A$1:$O$103,15,0))</f>
        <v>0</v>
      </c>
      <c r="X286" s="6">
        <f>IF(ISERROR(VLOOKUP($U$286,'TAR FIN'!$A$1:$O$103,15,0)),0,VLOOKUP($U$286,'TAR FIN'!$A$1:$O$103,15,0))</f>
        <v>0</v>
      </c>
      <c r="Y286" s="6">
        <f ca="1">('TUSD BE'!$AM$22+'TUSD BF'!$AM$22+'TUSD CVA'!$AM$22)*1</f>
        <v>21.369338625624472</v>
      </c>
      <c r="Z286" s="6"/>
      <c r="AA286" s="6"/>
      <c r="AB286" s="6">
        <f>$K$286*$V$286</f>
        <v>86086.000000000015</v>
      </c>
      <c r="AC286" s="6">
        <f>$M$286*$W$286</f>
        <v>0</v>
      </c>
      <c r="AD286" s="6">
        <f>$O$286*$X$286</f>
        <v>0</v>
      </c>
      <c r="AE286" s="6">
        <f ca="1">$K$286*$Y$286</f>
        <v>97230.490746591342</v>
      </c>
      <c r="AF286" s="6">
        <f>$M$286*$Z$286</f>
        <v>0</v>
      </c>
      <c r="AG286" s="6">
        <f>$O$286*$AA$286</f>
        <v>0</v>
      </c>
    </row>
    <row r="287" spans="1:33" ht="11.25" customHeight="1" x14ac:dyDescent="0.3">
      <c r="A287" s="4" t="s">
        <v>57</v>
      </c>
      <c r="B287" s="4" t="s">
        <v>39</v>
      </c>
      <c r="C287" s="4" t="s">
        <v>40</v>
      </c>
      <c r="D287" s="4" t="s">
        <v>38</v>
      </c>
      <c r="E287" s="4" t="s">
        <v>25</v>
      </c>
      <c r="F287" s="4" t="s">
        <v>25</v>
      </c>
      <c r="G287" s="4" t="s">
        <v>25</v>
      </c>
      <c r="H287" s="4" t="s">
        <v>25</v>
      </c>
      <c r="I287" s="5">
        <v>44835</v>
      </c>
      <c r="J287" s="6">
        <v>209</v>
      </c>
      <c r="K287" s="6">
        <v>209</v>
      </c>
      <c r="L287" s="6">
        <v>0</v>
      </c>
      <c r="M287" s="6">
        <v>0</v>
      </c>
      <c r="N287" s="6">
        <v>0</v>
      </c>
      <c r="O287" s="6">
        <v>0</v>
      </c>
      <c r="P287" s="6">
        <v>2</v>
      </c>
      <c r="Q287" s="4" t="s">
        <v>26</v>
      </c>
      <c r="R287" s="4">
        <v>0</v>
      </c>
      <c r="S287" s="6">
        <v>13</v>
      </c>
      <c r="T287" s="6">
        <v>0</v>
      </c>
      <c r="U287" s="6">
        <v>0</v>
      </c>
      <c r="V287" s="6">
        <f>IF(ISERROR(VLOOKUP($S$287,'TAR FIN'!$A$1:$O$103,15,0)),0,VLOOKUP($S$287,'TAR FIN'!$A$1:$O$103,15,0))</f>
        <v>18.920000000000002</v>
      </c>
      <c r="W287" s="6">
        <f>IF(ISERROR(VLOOKUP($T$287,'TAR FIN'!$A$1:$O$103,15,0)),0,VLOOKUP($T$287,'TAR FIN'!$A$1:$O$103,15,0))</f>
        <v>0</v>
      </c>
      <c r="X287" s="6">
        <f>IF(ISERROR(VLOOKUP($U$287,'TAR FIN'!$A$1:$O$103,15,0)),0,VLOOKUP($U$287,'TAR FIN'!$A$1:$O$103,15,0))</f>
        <v>0</v>
      </c>
      <c r="Y287" s="6">
        <f ca="1">('TUSD BE'!$AM$22+'TUSD BF'!$AM$22+'TUSD CVA'!$AM$22)*1</f>
        <v>21.369338625624472</v>
      </c>
      <c r="Z287" s="6"/>
      <c r="AA287" s="6"/>
      <c r="AB287" s="6">
        <f>$K$287*$V$287</f>
        <v>3954.28</v>
      </c>
      <c r="AC287" s="6">
        <f>$M$287*$W$287</f>
        <v>0</v>
      </c>
      <c r="AD287" s="6">
        <f>$O$287*$X$287</f>
        <v>0</v>
      </c>
      <c r="AE287" s="6">
        <f ca="1">$K$287*$Y$287</f>
        <v>4466.1917727555146</v>
      </c>
      <c r="AF287" s="6">
        <f>$M$287*$Z$287</f>
        <v>0</v>
      </c>
      <c r="AG287" s="6">
        <f>$O$287*$AA$287</f>
        <v>0</v>
      </c>
    </row>
    <row r="288" spans="1:33" ht="11.25" customHeight="1" x14ac:dyDescent="0.3">
      <c r="A288" s="4" t="s">
        <v>21</v>
      </c>
      <c r="B288" s="4" t="s">
        <v>39</v>
      </c>
      <c r="C288" s="4" t="s">
        <v>40</v>
      </c>
      <c r="D288" s="4" t="s">
        <v>38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44501</v>
      </c>
      <c r="J288" s="6">
        <v>0</v>
      </c>
      <c r="K288" s="6">
        <v>0</v>
      </c>
      <c r="L288" s="6">
        <v>32.292999999999999</v>
      </c>
      <c r="M288" s="6">
        <v>32.292999999999999</v>
      </c>
      <c r="N288" s="6">
        <v>32.292999999999999</v>
      </c>
      <c r="O288" s="6">
        <v>32.292999999999999</v>
      </c>
      <c r="P288" s="6">
        <v>0</v>
      </c>
      <c r="Q288" s="4" t="s">
        <v>26</v>
      </c>
      <c r="R288" s="4">
        <v>0</v>
      </c>
      <c r="S288" s="6">
        <v>0</v>
      </c>
      <c r="T288" s="6">
        <v>15</v>
      </c>
      <c r="U288" s="6">
        <v>65</v>
      </c>
      <c r="V288" s="6">
        <f>IF(ISERROR(VLOOKUP($S$288,'TAR FIN'!$A$1:$O$103,15,0)),0,VLOOKUP($S$288,'TAR FIN'!$A$1:$O$103,15,0))</f>
        <v>0</v>
      </c>
      <c r="W288" s="6">
        <f>IF(ISERROR(VLOOKUP($T$288,'TAR FIN'!$A$1:$O$103,15,0)),0,VLOOKUP($T$288,'TAR FIN'!$A$1:$O$103,15,0))</f>
        <v>1195.82</v>
      </c>
      <c r="X288" s="6">
        <f>IF(ISERROR(VLOOKUP($U$288,'TAR FIN'!$A$1:$O$103,15,0)),0,VLOOKUP($U$288,'TAR FIN'!$A$1:$O$103,15,0))</f>
        <v>391.54</v>
      </c>
      <c r="Y288" s="6"/>
      <c r="Z288" s="6">
        <f ca="1">('TUSD BE'!$AM$23+'TUSD BF'!$AM$23+'TUSD CVA'!$AM$23)*1</f>
        <v>1385.4977743340116</v>
      </c>
      <c r="AA288" s="6">
        <f>('TE BE'!$AB$8+'TE BF'!$AB$8+'TE CVA'!$AB$8)*1</f>
        <v>361.95264704220779</v>
      </c>
      <c r="AB288" s="6">
        <f>$K$288*$V$288</f>
        <v>0</v>
      </c>
      <c r="AC288" s="6">
        <f>$M$288*$W$288</f>
        <v>38616.615259999999</v>
      </c>
      <c r="AD288" s="6">
        <f>$O$288*$X$288</f>
        <v>12644.00122</v>
      </c>
      <c r="AE288" s="6">
        <f>$K$288*$Y$288</f>
        <v>0</v>
      </c>
      <c r="AF288" s="6">
        <f ca="1">$M$288*$Z$288</f>
        <v>44741.879626568239</v>
      </c>
      <c r="AG288" s="6">
        <f>$O$288*$AA$288</f>
        <v>11688.536830934016</v>
      </c>
    </row>
    <row r="289" spans="1:33" ht="11.25" customHeight="1" x14ac:dyDescent="0.3">
      <c r="A289" s="4" t="s">
        <v>28</v>
      </c>
      <c r="B289" s="4" t="s">
        <v>39</v>
      </c>
      <c r="C289" s="4" t="s">
        <v>40</v>
      </c>
      <c r="D289" s="4" t="s">
        <v>38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44501</v>
      </c>
      <c r="J289" s="6">
        <v>0</v>
      </c>
      <c r="K289" s="6">
        <v>0</v>
      </c>
      <c r="L289" s="6">
        <v>2.3E-2</v>
      </c>
      <c r="M289" s="6">
        <v>2.3E-2</v>
      </c>
      <c r="N289" s="6">
        <v>2.3E-2</v>
      </c>
      <c r="O289" s="6">
        <v>2.3E-2</v>
      </c>
      <c r="P289" s="6">
        <v>0</v>
      </c>
      <c r="Q289" s="4" t="s">
        <v>26</v>
      </c>
      <c r="R289" s="4">
        <v>0</v>
      </c>
      <c r="S289" s="6">
        <v>0</v>
      </c>
      <c r="T289" s="6">
        <v>15</v>
      </c>
      <c r="U289" s="6">
        <v>65</v>
      </c>
      <c r="V289" s="6">
        <f>IF(ISERROR(VLOOKUP($S$289,'TAR FIN'!$A$1:$O$103,15,0)),0,VLOOKUP($S$289,'TAR FIN'!$A$1:$O$103,15,0))</f>
        <v>0</v>
      </c>
      <c r="W289" s="6">
        <f>IF(ISERROR(VLOOKUP($T$289,'TAR FIN'!$A$1:$O$103,15,0)),0,VLOOKUP($T$289,'TAR FIN'!$A$1:$O$103,15,0))</f>
        <v>1195.82</v>
      </c>
      <c r="X289" s="6">
        <f>IF(ISERROR(VLOOKUP($U$289,'TAR FIN'!$A$1:$O$103,15,0)),0,VLOOKUP($U$289,'TAR FIN'!$A$1:$O$103,15,0))</f>
        <v>391.54</v>
      </c>
      <c r="Y289" s="6"/>
      <c r="Z289" s="6">
        <f ca="1">('TUSD BE'!$AM$23+'TUSD BF'!$AM$23+'TUSD CVA'!$AM$23)*1</f>
        <v>1385.4977743340116</v>
      </c>
      <c r="AA289" s="6">
        <f>('TE BE'!$AB$8+'TE BF'!$AB$8+'TE CVA'!$AB$8)*1</f>
        <v>361.95264704220779</v>
      </c>
      <c r="AB289" s="6">
        <f>$K$289*$V$289</f>
        <v>0</v>
      </c>
      <c r="AC289" s="6">
        <f>$M$289*$W$289</f>
        <v>27.50386</v>
      </c>
      <c r="AD289" s="6">
        <f>$O$289*$X$289</f>
        <v>9.0054200000000009</v>
      </c>
      <c r="AE289" s="6">
        <f>$K$289*$Y$289</f>
        <v>0</v>
      </c>
      <c r="AF289" s="6">
        <f ca="1">$M$289*$Z$289</f>
        <v>31.866448809682268</v>
      </c>
      <c r="AG289" s="6">
        <f>$O$289*$AA$289</f>
        <v>8.3249108819707782</v>
      </c>
    </row>
    <row r="290" spans="1:33" ht="11.25" customHeight="1" x14ac:dyDescent="0.3">
      <c r="A290" s="4" t="s">
        <v>21</v>
      </c>
      <c r="B290" s="4" t="s">
        <v>39</v>
      </c>
      <c r="C290" s="4" t="s">
        <v>40</v>
      </c>
      <c r="D290" s="4" t="s">
        <v>38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44531</v>
      </c>
      <c r="J290" s="6">
        <v>0</v>
      </c>
      <c r="K290" s="6">
        <v>0</v>
      </c>
      <c r="L290" s="6">
        <v>28.228000000000002</v>
      </c>
      <c r="M290" s="6">
        <v>28.228000000000002</v>
      </c>
      <c r="N290" s="6">
        <v>28.228000000000002</v>
      </c>
      <c r="O290" s="6">
        <v>28.228000000000002</v>
      </c>
      <c r="P290" s="6">
        <v>0</v>
      </c>
      <c r="Q290" s="4" t="s">
        <v>26</v>
      </c>
      <c r="R290" s="4">
        <v>0</v>
      </c>
      <c r="S290" s="6">
        <v>0</v>
      </c>
      <c r="T290" s="6">
        <v>15</v>
      </c>
      <c r="U290" s="6">
        <v>65</v>
      </c>
      <c r="V290" s="6">
        <f>IF(ISERROR(VLOOKUP($S$290,'TAR FIN'!$A$1:$O$103,15,0)),0,VLOOKUP($S$290,'TAR FIN'!$A$1:$O$103,15,0))</f>
        <v>0</v>
      </c>
      <c r="W290" s="6">
        <f>IF(ISERROR(VLOOKUP($T$290,'TAR FIN'!$A$1:$O$103,15,0)),0,VLOOKUP($T$290,'TAR FIN'!$A$1:$O$103,15,0))</f>
        <v>1195.82</v>
      </c>
      <c r="X290" s="6">
        <f>IF(ISERROR(VLOOKUP($U$290,'TAR FIN'!$A$1:$O$103,15,0)),0,VLOOKUP($U$290,'TAR FIN'!$A$1:$O$103,15,0))</f>
        <v>391.54</v>
      </c>
      <c r="Y290" s="6"/>
      <c r="Z290" s="6">
        <f ca="1">('TUSD BE'!$AM$23+'TUSD BF'!$AM$23+'TUSD CVA'!$AM$23)*1</f>
        <v>1385.4977743340116</v>
      </c>
      <c r="AA290" s="6">
        <f>('TE BE'!$AB$8+'TE BF'!$AB$8+'TE CVA'!$AB$8)*1</f>
        <v>361.95264704220779</v>
      </c>
      <c r="AB290" s="6">
        <f>$K$290*$V$290</f>
        <v>0</v>
      </c>
      <c r="AC290" s="6">
        <f>$M$290*$W$290</f>
        <v>33755.606959999997</v>
      </c>
      <c r="AD290" s="6">
        <f>$O$290*$X$290</f>
        <v>11052.391120000002</v>
      </c>
      <c r="AE290" s="6">
        <f>$K$290*$Y$290</f>
        <v>0</v>
      </c>
      <c r="AF290" s="6">
        <f ca="1">$M$290*$Z$290</f>
        <v>39109.831173900486</v>
      </c>
      <c r="AG290" s="6">
        <f>$O$290*$AA$290</f>
        <v>10217.199320707441</v>
      </c>
    </row>
    <row r="291" spans="1:33" ht="11.25" customHeight="1" x14ac:dyDescent="0.3">
      <c r="A291" s="4" t="s">
        <v>28</v>
      </c>
      <c r="B291" s="4" t="s">
        <v>39</v>
      </c>
      <c r="C291" s="4" t="s">
        <v>40</v>
      </c>
      <c r="D291" s="4" t="s">
        <v>38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44531</v>
      </c>
      <c r="J291" s="6">
        <v>0</v>
      </c>
      <c r="K291" s="6">
        <v>0</v>
      </c>
      <c r="L291" s="6">
        <v>2.5000000000000001E-2</v>
      </c>
      <c r="M291" s="6">
        <v>2.5000000000000001E-2</v>
      </c>
      <c r="N291" s="6">
        <v>2.5000000000000001E-2</v>
      </c>
      <c r="O291" s="6">
        <v>2.5000000000000001E-2</v>
      </c>
      <c r="P291" s="6">
        <v>0</v>
      </c>
      <c r="Q291" s="4" t="s">
        <v>26</v>
      </c>
      <c r="R291" s="4">
        <v>0</v>
      </c>
      <c r="S291" s="6">
        <v>0</v>
      </c>
      <c r="T291" s="6">
        <v>15</v>
      </c>
      <c r="U291" s="6">
        <v>65</v>
      </c>
      <c r="V291" s="6">
        <f>IF(ISERROR(VLOOKUP($S$291,'TAR FIN'!$A$1:$O$103,15,0)),0,VLOOKUP($S$291,'TAR FIN'!$A$1:$O$103,15,0))</f>
        <v>0</v>
      </c>
      <c r="W291" s="6">
        <f>IF(ISERROR(VLOOKUP($T$291,'TAR FIN'!$A$1:$O$103,15,0)),0,VLOOKUP($T$291,'TAR FIN'!$A$1:$O$103,15,0))</f>
        <v>1195.82</v>
      </c>
      <c r="X291" s="6">
        <f>IF(ISERROR(VLOOKUP($U$291,'TAR FIN'!$A$1:$O$103,15,0)),0,VLOOKUP($U$291,'TAR FIN'!$A$1:$O$103,15,0))</f>
        <v>391.54</v>
      </c>
      <c r="Y291" s="6"/>
      <c r="Z291" s="6">
        <f ca="1">('TUSD BE'!$AM$23+'TUSD BF'!$AM$23+'TUSD CVA'!$AM$23)*1</f>
        <v>1385.4977743340116</v>
      </c>
      <c r="AA291" s="6">
        <f>('TE BE'!$AB$8+'TE BF'!$AB$8+'TE CVA'!$AB$8)*1</f>
        <v>361.95264704220779</v>
      </c>
      <c r="AB291" s="6">
        <f>$K$291*$V$291</f>
        <v>0</v>
      </c>
      <c r="AC291" s="6">
        <f>$M$291*$W$291</f>
        <v>29.895499999999998</v>
      </c>
      <c r="AD291" s="6">
        <f>$O$291*$X$291</f>
        <v>9.7885000000000009</v>
      </c>
      <c r="AE291" s="6">
        <f>$K$291*$Y$291</f>
        <v>0</v>
      </c>
      <c r="AF291" s="6">
        <f ca="1">$M$291*$Z$291</f>
        <v>34.637444358350294</v>
      </c>
      <c r="AG291" s="6">
        <f>$O$291*$AA$291</f>
        <v>9.0488161760551957</v>
      </c>
    </row>
    <row r="292" spans="1:33" ht="11.25" customHeight="1" x14ac:dyDescent="0.3">
      <c r="A292" s="4" t="s">
        <v>21</v>
      </c>
      <c r="B292" s="4" t="s">
        <v>39</v>
      </c>
      <c r="C292" s="4" t="s">
        <v>40</v>
      </c>
      <c r="D292" s="4" t="s">
        <v>38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44562</v>
      </c>
      <c r="J292" s="6">
        <v>0</v>
      </c>
      <c r="K292" s="6">
        <v>0</v>
      </c>
      <c r="L292" s="6">
        <v>25.013999999999999</v>
      </c>
      <c r="M292" s="6">
        <v>25.013999999999999</v>
      </c>
      <c r="N292" s="6">
        <v>25.013999999999999</v>
      </c>
      <c r="O292" s="6">
        <v>25.013999999999999</v>
      </c>
      <c r="P292" s="6">
        <v>0</v>
      </c>
      <c r="Q292" s="4" t="s">
        <v>26</v>
      </c>
      <c r="R292" s="4">
        <v>0</v>
      </c>
      <c r="S292" s="6">
        <v>0</v>
      </c>
      <c r="T292" s="6">
        <v>15</v>
      </c>
      <c r="U292" s="6">
        <v>65</v>
      </c>
      <c r="V292" s="6">
        <f>IF(ISERROR(VLOOKUP($S$292,'TAR FIN'!$A$1:$O$103,15,0)),0,VLOOKUP($S$292,'TAR FIN'!$A$1:$O$103,15,0))</f>
        <v>0</v>
      </c>
      <c r="W292" s="6">
        <f>IF(ISERROR(VLOOKUP($T$292,'TAR FIN'!$A$1:$O$103,15,0)),0,VLOOKUP($T$292,'TAR FIN'!$A$1:$O$103,15,0))</f>
        <v>1195.82</v>
      </c>
      <c r="X292" s="6">
        <f>IF(ISERROR(VLOOKUP($U$292,'TAR FIN'!$A$1:$O$103,15,0)),0,VLOOKUP($U$292,'TAR FIN'!$A$1:$O$103,15,0))</f>
        <v>391.54</v>
      </c>
      <c r="Y292" s="6"/>
      <c r="Z292" s="6">
        <f ca="1">('TUSD BE'!$AM$23+'TUSD BF'!$AM$23+'TUSD CVA'!$AM$23)*1</f>
        <v>1385.4977743340116</v>
      </c>
      <c r="AA292" s="6">
        <f>('TE BE'!$AB$8+'TE BF'!$AB$8+'TE CVA'!$AB$8)*1</f>
        <v>361.95264704220779</v>
      </c>
      <c r="AB292" s="6">
        <f>$K$292*$V$292</f>
        <v>0</v>
      </c>
      <c r="AC292" s="6">
        <f>$M$292*$W$292</f>
        <v>29912.241479999997</v>
      </c>
      <c r="AD292" s="6">
        <f>$O$292*$X$292</f>
        <v>9793.9815600000002</v>
      </c>
      <c r="AE292" s="6">
        <f>$K$292*$Y$292</f>
        <v>0</v>
      </c>
      <c r="AF292" s="6">
        <f ca="1">$M$292*$Z$292</f>
        <v>34656.841327190967</v>
      </c>
      <c r="AG292" s="6">
        <f>$O$292*$AA$292</f>
        <v>9053.8835131137857</v>
      </c>
    </row>
    <row r="293" spans="1:33" ht="11.25" customHeight="1" x14ac:dyDescent="0.3">
      <c r="A293" s="4" t="s">
        <v>28</v>
      </c>
      <c r="B293" s="4" t="s">
        <v>39</v>
      </c>
      <c r="C293" s="4" t="s">
        <v>40</v>
      </c>
      <c r="D293" s="4" t="s">
        <v>38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44562</v>
      </c>
      <c r="J293" s="6">
        <v>0</v>
      </c>
      <c r="K293" s="6">
        <v>0</v>
      </c>
      <c r="L293" s="6">
        <v>3.1E-2</v>
      </c>
      <c r="M293" s="6">
        <v>3.1E-2</v>
      </c>
      <c r="N293" s="6">
        <v>3.1E-2</v>
      </c>
      <c r="O293" s="6">
        <v>3.1E-2</v>
      </c>
      <c r="P293" s="6">
        <v>0</v>
      </c>
      <c r="Q293" s="4" t="s">
        <v>26</v>
      </c>
      <c r="R293" s="4">
        <v>0</v>
      </c>
      <c r="S293" s="6">
        <v>0</v>
      </c>
      <c r="T293" s="6">
        <v>15</v>
      </c>
      <c r="U293" s="6">
        <v>65</v>
      </c>
      <c r="V293" s="6">
        <f>IF(ISERROR(VLOOKUP($S$293,'TAR FIN'!$A$1:$O$103,15,0)),0,VLOOKUP($S$293,'TAR FIN'!$A$1:$O$103,15,0))</f>
        <v>0</v>
      </c>
      <c r="W293" s="6">
        <f>IF(ISERROR(VLOOKUP($T$293,'TAR FIN'!$A$1:$O$103,15,0)),0,VLOOKUP($T$293,'TAR FIN'!$A$1:$O$103,15,0))</f>
        <v>1195.82</v>
      </c>
      <c r="X293" s="6">
        <f>IF(ISERROR(VLOOKUP($U$293,'TAR FIN'!$A$1:$O$103,15,0)),0,VLOOKUP($U$293,'TAR FIN'!$A$1:$O$103,15,0))</f>
        <v>391.54</v>
      </c>
      <c r="Y293" s="6"/>
      <c r="Z293" s="6">
        <f ca="1">('TUSD BE'!$AM$23+'TUSD BF'!$AM$23+'TUSD CVA'!$AM$23)*1</f>
        <v>1385.4977743340116</v>
      </c>
      <c r="AA293" s="6">
        <f>('TE BE'!$AB$8+'TE BF'!$AB$8+'TE CVA'!$AB$8)*1</f>
        <v>361.95264704220779</v>
      </c>
      <c r="AB293" s="6">
        <f>$K$293*$V$293</f>
        <v>0</v>
      </c>
      <c r="AC293" s="6">
        <f>$M$293*$W$293</f>
        <v>37.070419999999999</v>
      </c>
      <c r="AD293" s="6">
        <f>$O$293*$X$293</f>
        <v>12.137740000000001</v>
      </c>
      <c r="AE293" s="6">
        <f>$K$293*$Y$293</f>
        <v>0</v>
      </c>
      <c r="AF293" s="6">
        <f ca="1">$M$293*$Z$293</f>
        <v>42.950431004354364</v>
      </c>
      <c r="AG293" s="6">
        <f>$O$293*$AA$293</f>
        <v>11.220532058308441</v>
      </c>
    </row>
    <row r="294" spans="1:33" ht="11.25" customHeight="1" x14ac:dyDescent="0.3">
      <c r="A294" s="4" t="s">
        <v>21</v>
      </c>
      <c r="B294" s="4" t="s">
        <v>39</v>
      </c>
      <c r="C294" s="4" t="s">
        <v>40</v>
      </c>
      <c r="D294" s="4" t="s">
        <v>38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44593</v>
      </c>
      <c r="J294" s="6">
        <v>0</v>
      </c>
      <c r="K294" s="6">
        <v>0</v>
      </c>
      <c r="L294" s="6">
        <v>23.594999999999999</v>
      </c>
      <c r="M294" s="6">
        <v>23.594999999999999</v>
      </c>
      <c r="N294" s="6">
        <v>23.594999999999999</v>
      </c>
      <c r="O294" s="6">
        <v>23.594999999999999</v>
      </c>
      <c r="P294" s="6">
        <v>0</v>
      </c>
      <c r="Q294" s="4" t="s">
        <v>26</v>
      </c>
      <c r="R294" s="4">
        <v>0</v>
      </c>
      <c r="S294" s="6">
        <v>0</v>
      </c>
      <c r="T294" s="6">
        <v>15</v>
      </c>
      <c r="U294" s="6">
        <v>65</v>
      </c>
      <c r="V294" s="6">
        <f>IF(ISERROR(VLOOKUP($S$294,'TAR FIN'!$A$1:$O$103,15,0)),0,VLOOKUP($S$294,'TAR FIN'!$A$1:$O$103,15,0))</f>
        <v>0</v>
      </c>
      <c r="W294" s="6">
        <f>IF(ISERROR(VLOOKUP($T$294,'TAR FIN'!$A$1:$O$103,15,0)),0,VLOOKUP($T$294,'TAR FIN'!$A$1:$O$103,15,0))</f>
        <v>1195.82</v>
      </c>
      <c r="X294" s="6">
        <f>IF(ISERROR(VLOOKUP($U$294,'TAR FIN'!$A$1:$O$103,15,0)),0,VLOOKUP($U$294,'TAR FIN'!$A$1:$O$103,15,0))</f>
        <v>391.54</v>
      </c>
      <c r="Y294" s="6"/>
      <c r="Z294" s="6">
        <f ca="1">('TUSD BE'!$AM$23+'TUSD BF'!$AM$23+'TUSD CVA'!$AM$23)*1</f>
        <v>1385.4977743340116</v>
      </c>
      <c r="AA294" s="6">
        <f>('TE BE'!$AB$8+'TE BF'!$AB$8+'TE CVA'!$AB$8)*1</f>
        <v>361.95264704220779</v>
      </c>
      <c r="AB294" s="6">
        <f>$K$294*$V$294</f>
        <v>0</v>
      </c>
      <c r="AC294" s="6">
        <f>$M$294*$W$294</f>
        <v>28215.372899999998</v>
      </c>
      <c r="AD294" s="6">
        <f>$O$294*$X$294</f>
        <v>9238.3863000000001</v>
      </c>
      <c r="AE294" s="6">
        <f>$K$294*$Y$294</f>
        <v>0</v>
      </c>
      <c r="AF294" s="6">
        <f ca="1">$M$294*$Z$294</f>
        <v>32690.819985411003</v>
      </c>
      <c r="AG294" s="6">
        <f>$O$294*$AA$294</f>
        <v>8540.2727069608918</v>
      </c>
    </row>
    <row r="295" spans="1:33" ht="11.25" customHeight="1" x14ac:dyDescent="0.3">
      <c r="A295" s="4" t="s">
        <v>28</v>
      </c>
      <c r="B295" s="4" t="s">
        <v>39</v>
      </c>
      <c r="C295" s="4" t="s">
        <v>40</v>
      </c>
      <c r="D295" s="4" t="s">
        <v>38</v>
      </c>
      <c r="E295" s="4" t="s">
        <v>25</v>
      </c>
      <c r="F295" s="4" t="s">
        <v>25</v>
      </c>
      <c r="G295" s="4" t="s">
        <v>25</v>
      </c>
      <c r="H295" s="4" t="s">
        <v>34</v>
      </c>
      <c r="I295" s="5">
        <v>44593</v>
      </c>
      <c r="J295" s="6">
        <v>0</v>
      </c>
      <c r="K295" s="6">
        <v>0</v>
      </c>
      <c r="L295" s="6">
        <v>1.9E-2</v>
      </c>
      <c r="M295" s="6">
        <v>1.9E-2</v>
      </c>
      <c r="N295" s="6">
        <v>1.9E-2</v>
      </c>
      <c r="O295" s="6">
        <v>1.9E-2</v>
      </c>
      <c r="P295" s="6">
        <v>0</v>
      </c>
      <c r="Q295" s="4" t="s">
        <v>26</v>
      </c>
      <c r="R295" s="4">
        <v>0</v>
      </c>
      <c r="S295" s="6">
        <v>0</v>
      </c>
      <c r="T295" s="6">
        <v>15</v>
      </c>
      <c r="U295" s="6">
        <v>65</v>
      </c>
      <c r="V295" s="6">
        <f>IF(ISERROR(VLOOKUP($S$295,'TAR FIN'!$A$1:$O$103,15,0)),0,VLOOKUP($S$295,'TAR FIN'!$A$1:$O$103,15,0))</f>
        <v>0</v>
      </c>
      <c r="W295" s="6">
        <f>IF(ISERROR(VLOOKUP($T$295,'TAR FIN'!$A$1:$O$103,15,0)),0,VLOOKUP($T$295,'TAR FIN'!$A$1:$O$103,15,0))</f>
        <v>1195.82</v>
      </c>
      <c r="X295" s="6">
        <f>IF(ISERROR(VLOOKUP($U$295,'TAR FIN'!$A$1:$O$103,15,0)),0,VLOOKUP($U$295,'TAR FIN'!$A$1:$O$103,15,0))</f>
        <v>391.54</v>
      </c>
      <c r="Y295" s="6"/>
      <c r="Z295" s="6">
        <f ca="1">('TUSD BE'!$AM$23+'TUSD BF'!$AM$23+'TUSD CVA'!$AM$23)*1</f>
        <v>1385.4977743340116</v>
      </c>
      <c r="AA295" s="6">
        <f>('TE BE'!$AB$8+'TE BF'!$AB$8+'TE CVA'!$AB$8)*1</f>
        <v>361.95264704220779</v>
      </c>
      <c r="AB295" s="6">
        <f>$K$295*$V$295</f>
        <v>0</v>
      </c>
      <c r="AC295" s="6">
        <f>$M$295*$W$295</f>
        <v>22.720579999999998</v>
      </c>
      <c r="AD295" s="6">
        <f>$O$295*$X$295</f>
        <v>7.43926</v>
      </c>
      <c r="AE295" s="6">
        <f>$K$295*$Y$295</f>
        <v>0</v>
      </c>
      <c r="AF295" s="6">
        <f ca="1">$M$295*$Z$295</f>
        <v>26.32445771234622</v>
      </c>
      <c r="AG295" s="6">
        <f>$O$295*$AA$295</f>
        <v>6.8771002938019477</v>
      </c>
    </row>
    <row r="296" spans="1:33" ht="11.25" customHeight="1" x14ac:dyDescent="0.3">
      <c r="A296" s="4" t="s">
        <v>21</v>
      </c>
      <c r="B296" s="4" t="s">
        <v>39</v>
      </c>
      <c r="C296" s="4" t="s">
        <v>40</v>
      </c>
      <c r="D296" s="4" t="s">
        <v>38</v>
      </c>
      <c r="E296" s="4" t="s">
        <v>25</v>
      </c>
      <c r="F296" s="4" t="s">
        <v>25</v>
      </c>
      <c r="G296" s="4" t="s">
        <v>25</v>
      </c>
      <c r="H296" s="4" t="s">
        <v>34</v>
      </c>
      <c r="I296" s="5">
        <v>44621</v>
      </c>
      <c r="J296" s="6">
        <v>0</v>
      </c>
      <c r="K296" s="6">
        <v>0</v>
      </c>
      <c r="L296" s="6">
        <v>27.001999999999999</v>
      </c>
      <c r="M296" s="6">
        <v>27.001999999999999</v>
      </c>
      <c r="N296" s="6">
        <v>27.001999999999999</v>
      </c>
      <c r="O296" s="6">
        <v>27.001999999999999</v>
      </c>
      <c r="P296" s="6">
        <v>0</v>
      </c>
      <c r="Q296" s="4" t="s">
        <v>26</v>
      </c>
      <c r="R296" s="4">
        <v>0</v>
      </c>
      <c r="S296" s="6">
        <v>0</v>
      </c>
      <c r="T296" s="6">
        <v>15</v>
      </c>
      <c r="U296" s="6">
        <v>65</v>
      </c>
      <c r="V296" s="6">
        <f>IF(ISERROR(VLOOKUP($S$296,'TAR FIN'!$A$1:$O$103,15,0)),0,VLOOKUP($S$296,'TAR FIN'!$A$1:$O$103,15,0))</f>
        <v>0</v>
      </c>
      <c r="W296" s="6">
        <f>IF(ISERROR(VLOOKUP($T$296,'TAR FIN'!$A$1:$O$103,15,0)),0,VLOOKUP($T$296,'TAR FIN'!$A$1:$O$103,15,0))</f>
        <v>1195.82</v>
      </c>
      <c r="X296" s="6">
        <f>IF(ISERROR(VLOOKUP($U$296,'TAR FIN'!$A$1:$O$103,15,0)),0,VLOOKUP($U$296,'TAR FIN'!$A$1:$O$103,15,0))</f>
        <v>391.54</v>
      </c>
      <c r="Y296" s="6"/>
      <c r="Z296" s="6">
        <f ca="1">('TUSD BE'!$AM$23+'TUSD BF'!$AM$23+'TUSD CVA'!$AM$23)*1</f>
        <v>1385.4977743340116</v>
      </c>
      <c r="AA296" s="6">
        <f>('TE BE'!$AB$8+'TE BF'!$AB$8+'TE CVA'!$AB$8)*1</f>
        <v>361.95264704220779</v>
      </c>
      <c r="AB296" s="6">
        <f>$K$296*$V$296</f>
        <v>0</v>
      </c>
      <c r="AC296" s="6">
        <f>$M$296*$W$296</f>
        <v>32289.531639999997</v>
      </c>
      <c r="AD296" s="6">
        <f>$O$296*$X$296</f>
        <v>10572.363080000001</v>
      </c>
      <c r="AE296" s="6">
        <f>$K$296*$Y$296</f>
        <v>0</v>
      </c>
      <c r="AF296" s="6">
        <f ca="1">$M$296*$Z$296</f>
        <v>37411.210902566978</v>
      </c>
      <c r="AG296" s="6">
        <f>$O$296*$AA$296</f>
        <v>9773.4453754336937</v>
      </c>
    </row>
    <row r="297" spans="1:33" ht="11.25" customHeight="1" x14ac:dyDescent="0.3">
      <c r="A297" s="4" t="s">
        <v>28</v>
      </c>
      <c r="B297" s="4" t="s">
        <v>39</v>
      </c>
      <c r="C297" s="4" t="s">
        <v>40</v>
      </c>
      <c r="D297" s="4" t="s">
        <v>38</v>
      </c>
      <c r="E297" s="4" t="s">
        <v>25</v>
      </c>
      <c r="F297" s="4" t="s">
        <v>25</v>
      </c>
      <c r="G297" s="4" t="s">
        <v>25</v>
      </c>
      <c r="H297" s="4" t="s">
        <v>34</v>
      </c>
      <c r="I297" s="5">
        <v>44621</v>
      </c>
      <c r="J297" s="6">
        <v>0</v>
      </c>
      <c r="K297" s="6">
        <v>0</v>
      </c>
      <c r="L297" s="6">
        <v>2.3E-2</v>
      </c>
      <c r="M297" s="6">
        <v>2.3E-2</v>
      </c>
      <c r="N297" s="6">
        <v>2.3E-2</v>
      </c>
      <c r="O297" s="6">
        <v>2.3E-2</v>
      </c>
      <c r="P297" s="6">
        <v>0</v>
      </c>
      <c r="Q297" s="4" t="s">
        <v>26</v>
      </c>
      <c r="R297" s="4">
        <v>0</v>
      </c>
      <c r="S297" s="6">
        <v>0</v>
      </c>
      <c r="T297" s="6">
        <v>15</v>
      </c>
      <c r="U297" s="6">
        <v>65</v>
      </c>
      <c r="V297" s="6">
        <f>IF(ISERROR(VLOOKUP($S$297,'TAR FIN'!$A$1:$O$103,15,0)),0,VLOOKUP($S$297,'TAR FIN'!$A$1:$O$103,15,0))</f>
        <v>0</v>
      </c>
      <c r="W297" s="6">
        <f>IF(ISERROR(VLOOKUP($T$297,'TAR FIN'!$A$1:$O$103,15,0)),0,VLOOKUP($T$297,'TAR FIN'!$A$1:$O$103,15,0))</f>
        <v>1195.82</v>
      </c>
      <c r="X297" s="6">
        <f>IF(ISERROR(VLOOKUP($U$297,'TAR FIN'!$A$1:$O$103,15,0)),0,VLOOKUP($U$297,'TAR FIN'!$A$1:$O$103,15,0))</f>
        <v>391.54</v>
      </c>
      <c r="Y297" s="6"/>
      <c r="Z297" s="6">
        <f ca="1">('TUSD BE'!$AM$23+'TUSD BF'!$AM$23+'TUSD CVA'!$AM$23)*1</f>
        <v>1385.4977743340116</v>
      </c>
      <c r="AA297" s="6">
        <f>('TE BE'!$AB$8+'TE BF'!$AB$8+'TE CVA'!$AB$8)*1</f>
        <v>361.95264704220779</v>
      </c>
      <c r="AB297" s="6">
        <f>$K$297*$V$297</f>
        <v>0</v>
      </c>
      <c r="AC297" s="6">
        <f>$M$297*$W$297</f>
        <v>27.50386</v>
      </c>
      <c r="AD297" s="6">
        <f>$O$297*$X$297</f>
        <v>9.0054200000000009</v>
      </c>
      <c r="AE297" s="6">
        <f>$K$297*$Y$297</f>
        <v>0</v>
      </c>
      <c r="AF297" s="6">
        <f ca="1">$M$297*$Z$297</f>
        <v>31.866448809682268</v>
      </c>
      <c r="AG297" s="6">
        <f>$O$297*$AA$297</f>
        <v>8.3249108819707782</v>
      </c>
    </row>
    <row r="298" spans="1:33" ht="11.25" customHeight="1" x14ac:dyDescent="0.3">
      <c r="A298" s="4" t="s">
        <v>21</v>
      </c>
      <c r="B298" s="4" t="s">
        <v>39</v>
      </c>
      <c r="C298" s="4" t="s">
        <v>40</v>
      </c>
      <c r="D298" s="4" t="s">
        <v>38</v>
      </c>
      <c r="E298" s="4" t="s">
        <v>25</v>
      </c>
      <c r="F298" s="4" t="s">
        <v>25</v>
      </c>
      <c r="G298" s="4" t="s">
        <v>25</v>
      </c>
      <c r="H298" s="4" t="s">
        <v>34</v>
      </c>
      <c r="I298" s="5">
        <v>44652</v>
      </c>
      <c r="J298" s="6">
        <v>0</v>
      </c>
      <c r="K298" s="6">
        <v>0</v>
      </c>
      <c r="L298" s="6">
        <v>18.097000000000001</v>
      </c>
      <c r="M298" s="6">
        <v>18.097000000000001</v>
      </c>
      <c r="N298" s="6">
        <v>18.097000000000001</v>
      </c>
      <c r="O298" s="6">
        <v>18.097000000000001</v>
      </c>
      <c r="P298" s="6">
        <v>0</v>
      </c>
      <c r="Q298" s="4" t="s">
        <v>26</v>
      </c>
      <c r="R298" s="4">
        <v>0</v>
      </c>
      <c r="S298" s="6">
        <v>0</v>
      </c>
      <c r="T298" s="6">
        <v>15</v>
      </c>
      <c r="U298" s="6">
        <v>65</v>
      </c>
      <c r="V298" s="6">
        <f>IF(ISERROR(VLOOKUP($S$298,'TAR FIN'!$A$1:$O$103,15,0)),0,VLOOKUP($S$298,'TAR FIN'!$A$1:$O$103,15,0))</f>
        <v>0</v>
      </c>
      <c r="W298" s="6">
        <f>IF(ISERROR(VLOOKUP($T$298,'TAR FIN'!$A$1:$O$103,15,0)),0,VLOOKUP($T$298,'TAR FIN'!$A$1:$O$103,15,0))</f>
        <v>1195.82</v>
      </c>
      <c r="X298" s="6">
        <f>IF(ISERROR(VLOOKUP($U$298,'TAR FIN'!$A$1:$O$103,15,0)),0,VLOOKUP($U$298,'TAR FIN'!$A$1:$O$103,15,0))</f>
        <v>391.54</v>
      </c>
      <c r="Y298" s="6"/>
      <c r="Z298" s="6">
        <f ca="1">('TUSD BE'!$AM$23+'TUSD BF'!$AM$23+'TUSD CVA'!$AM$23)*1</f>
        <v>1385.4977743340116</v>
      </c>
      <c r="AA298" s="6">
        <f>('TE BE'!$AB$8+'TE BF'!$AB$8+'TE CVA'!$AB$8)*1</f>
        <v>361.95264704220779</v>
      </c>
      <c r="AB298" s="6">
        <f>$K$298*$V$298</f>
        <v>0</v>
      </c>
      <c r="AC298" s="6">
        <f>$M$298*$W$298</f>
        <v>21640.754540000002</v>
      </c>
      <c r="AD298" s="6">
        <f>$O$298*$X$298</f>
        <v>7085.6993800000009</v>
      </c>
      <c r="AE298" s="6">
        <f>$K$298*$Y$298</f>
        <v>0</v>
      </c>
      <c r="AF298" s="6">
        <f ca="1">$M$298*$Z$298</f>
        <v>25073.353222122609</v>
      </c>
      <c r="AG298" s="6">
        <f>$O$298*$AA$298</f>
        <v>6550.2570535228351</v>
      </c>
    </row>
    <row r="299" spans="1:33" ht="11.25" customHeight="1" x14ac:dyDescent="0.3">
      <c r="A299" s="4" t="s">
        <v>28</v>
      </c>
      <c r="B299" s="4" t="s">
        <v>39</v>
      </c>
      <c r="C299" s="4" t="s">
        <v>40</v>
      </c>
      <c r="D299" s="4" t="s">
        <v>38</v>
      </c>
      <c r="E299" s="4" t="s">
        <v>25</v>
      </c>
      <c r="F299" s="4" t="s">
        <v>25</v>
      </c>
      <c r="G299" s="4" t="s">
        <v>25</v>
      </c>
      <c r="H299" s="4" t="s">
        <v>34</v>
      </c>
      <c r="I299" s="5">
        <v>44652</v>
      </c>
      <c r="J299" s="6">
        <v>0</v>
      </c>
      <c r="K299" s="6">
        <v>0</v>
      </c>
      <c r="L299" s="6">
        <v>2.4E-2</v>
      </c>
      <c r="M299" s="6">
        <v>2.4E-2</v>
      </c>
      <c r="N299" s="6">
        <v>2.4E-2</v>
      </c>
      <c r="O299" s="6">
        <v>2.4E-2</v>
      </c>
      <c r="P299" s="6">
        <v>0</v>
      </c>
      <c r="Q299" s="4" t="s">
        <v>26</v>
      </c>
      <c r="R299" s="4">
        <v>0</v>
      </c>
      <c r="S299" s="6">
        <v>0</v>
      </c>
      <c r="T299" s="6">
        <v>15</v>
      </c>
      <c r="U299" s="6">
        <v>65</v>
      </c>
      <c r="V299" s="6">
        <f>IF(ISERROR(VLOOKUP($S$299,'TAR FIN'!$A$1:$O$103,15,0)),0,VLOOKUP($S$299,'TAR FIN'!$A$1:$O$103,15,0))</f>
        <v>0</v>
      </c>
      <c r="W299" s="6">
        <f>IF(ISERROR(VLOOKUP($T$299,'TAR FIN'!$A$1:$O$103,15,0)),0,VLOOKUP($T$299,'TAR FIN'!$A$1:$O$103,15,0))</f>
        <v>1195.82</v>
      </c>
      <c r="X299" s="6">
        <f>IF(ISERROR(VLOOKUP($U$299,'TAR FIN'!$A$1:$O$103,15,0)),0,VLOOKUP($U$299,'TAR FIN'!$A$1:$O$103,15,0))</f>
        <v>391.54</v>
      </c>
      <c r="Y299" s="6"/>
      <c r="Z299" s="6">
        <f ca="1">('TUSD BE'!$AM$23+'TUSD BF'!$AM$23+'TUSD CVA'!$AM$23)*1</f>
        <v>1385.4977743340116</v>
      </c>
      <c r="AA299" s="6">
        <f>('TE BE'!$AB$8+'TE BF'!$AB$8+'TE CVA'!$AB$8)*1</f>
        <v>361.95264704220779</v>
      </c>
      <c r="AB299" s="6">
        <f>$K$299*$V$299</f>
        <v>0</v>
      </c>
      <c r="AC299" s="6">
        <f>$M$299*$W$299</f>
        <v>28.699680000000001</v>
      </c>
      <c r="AD299" s="6">
        <f>$O$299*$X$299</f>
        <v>9.39696</v>
      </c>
      <c r="AE299" s="6">
        <f>$K$299*$Y$299</f>
        <v>0</v>
      </c>
      <c r="AF299" s="6">
        <f ca="1">$M$299*$Z$299</f>
        <v>33.251946584016281</v>
      </c>
      <c r="AG299" s="6">
        <f>$O$299*$AA$299</f>
        <v>8.686863529012987</v>
      </c>
    </row>
    <row r="300" spans="1:33" ht="11.25" customHeight="1" x14ac:dyDescent="0.3">
      <c r="A300" s="4" t="s">
        <v>21</v>
      </c>
      <c r="B300" s="4" t="s">
        <v>39</v>
      </c>
      <c r="C300" s="4" t="s">
        <v>40</v>
      </c>
      <c r="D300" s="4" t="s">
        <v>38</v>
      </c>
      <c r="E300" s="4" t="s">
        <v>25</v>
      </c>
      <c r="F300" s="4" t="s">
        <v>25</v>
      </c>
      <c r="G300" s="4" t="s">
        <v>25</v>
      </c>
      <c r="H300" s="4" t="s">
        <v>34</v>
      </c>
      <c r="I300" s="5">
        <v>44682</v>
      </c>
      <c r="J300" s="6">
        <v>0</v>
      </c>
      <c r="K300" s="6">
        <v>0</v>
      </c>
      <c r="L300" s="6">
        <v>14.175000000000001</v>
      </c>
      <c r="M300" s="6">
        <v>14.175000000000001</v>
      </c>
      <c r="N300" s="6">
        <v>14.175000000000001</v>
      </c>
      <c r="O300" s="6">
        <v>14.175000000000001</v>
      </c>
      <c r="P300" s="6">
        <v>0</v>
      </c>
      <c r="Q300" s="4" t="s">
        <v>26</v>
      </c>
      <c r="R300" s="4">
        <v>0</v>
      </c>
      <c r="S300" s="6">
        <v>0</v>
      </c>
      <c r="T300" s="6">
        <v>15</v>
      </c>
      <c r="U300" s="6">
        <v>65</v>
      </c>
      <c r="V300" s="6">
        <f>IF(ISERROR(VLOOKUP($S$300,'TAR FIN'!$A$1:$O$103,15,0)),0,VLOOKUP($S$300,'TAR FIN'!$A$1:$O$103,15,0))</f>
        <v>0</v>
      </c>
      <c r="W300" s="6">
        <f>IF(ISERROR(VLOOKUP($T$300,'TAR FIN'!$A$1:$O$103,15,0)),0,VLOOKUP($T$300,'TAR FIN'!$A$1:$O$103,15,0))</f>
        <v>1195.82</v>
      </c>
      <c r="X300" s="6">
        <f>IF(ISERROR(VLOOKUP($U$300,'TAR FIN'!$A$1:$O$103,15,0)),0,VLOOKUP($U$300,'TAR FIN'!$A$1:$O$103,15,0))</f>
        <v>391.54</v>
      </c>
      <c r="Y300" s="6"/>
      <c r="Z300" s="6">
        <f ca="1">('TUSD BE'!$AM$23+'TUSD BF'!$AM$23+'TUSD CVA'!$AM$23)*1</f>
        <v>1385.4977743340116</v>
      </c>
      <c r="AA300" s="6">
        <f>('TE BE'!$AB$8+'TE BF'!$AB$8+'TE CVA'!$AB$8)*1</f>
        <v>361.95264704220779</v>
      </c>
      <c r="AB300" s="6">
        <f>$K$300*$V$300</f>
        <v>0</v>
      </c>
      <c r="AC300" s="6">
        <f>$M$300*$W$300</f>
        <v>16950.748500000002</v>
      </c>
      <c r="AD300" s="6">
        <f>$O$300*$X$300</f>
        <v>5550.0795000000007</v>
      </c>
      <c r="AE300" s="6">
        <f>$K$300*$Y$300</f>
        <v>0</v>
      </c>
      <c r="AF300" s="6">
        <f ca="1">$M$300*$Z$300</f>
        <v>19639.430951184615</v>
      </c>
      <c r="AG300" s="6">
        <f>$O$300*$AA$300</f>
        <v>5130.6787718232954</v>
      </c>
    </row>
    <row r="301" spans="1:33" ht="11.25" customHeight="1" x14ac:dyDescent="0.3">
      <c r="A301" s="4" t="s">
        <v>28</v>
      </c>
      <c r="B301" s="4" t="s">
        <v>39</v>
      </c>
      <c r="C301" s="4" t="s">
        <v>40</v>
      </c>
      <c r="D301" s="4" t="s">
        <v>38</v>
      </c>
      <c r="E301" s="4" t="s">
        <v>25</v>
      </c>
      <c r="F301" s="4" t="s">
        <v>25</v>
      </c>
      <c r="G301" s="4" t="s">
        <v>25</v>
      </c>
      <c r="H301" s="4" t="s">
        <v>34</v>
      </c>
      <c r="I301" s="5">
        <v>44682</v>
      </c>
      <c r="J301" s="6">
        <v>0</v>
      </c>
      <c r="K301" s="6">
        <v>0</v>
      </c>
      <c r="L301" s="6">
        <v>2.9000000000000001E-2</v>
      </c>
      <c r="M301" s="6">
        <v>2.9000000000000001E-2</v>
      </c>
      <c r="N301" s="6">
        <v>2.9000000000000001E-2</v>
      </c>
      <c r="O301" s="6">
        <v>2.9000000000000001E-2</v>
      </c>
      <c r="P301" s="6">
        <v>0</v>
      </c>
      <c r="Q301" s="4" t="s">
        <v>26</v>
      </c>
      <c r="R301" s="4">
        <v>0</v>
      </c>
      <c r="S301" s="6">
        <v>0</v>
      </c>
      <c r="T301" s="6">
        <v>15</v>
      </c>
      <c r="U301" s="6">
        <v>65</v>
      </c>
      <c r="V301" s="6">
        <f>IF(ISERROR(VLOOKUP($S$301,'TAR FIN'!$A$1:$O$103,15,0)),0,VLOOKUP($S$301,'TAR FIN'!$A$1:$O$103,15,0))</f>
        <v>0</v>
      </c>
      <c r="W301" s="6">
        <f>IF(ISERROR(VLOOKUP($T$301,'TAR FIN'!$A$1:$O$103,15,0)),0,VLOOKUP($T$301,'TAR FIN'!$A$1:$O$103,15,0))</f>
        <v>1195.82</v>
      </c>
      <c r="X301" s="6">
        <f>IF(ISERROR(VLOOKUP($U$301,'TAR FIN'!$A$1:$O$103,15,0)),0,VLOOKUP($U$301,'TAR FIN'!$A$1:$O$103,15,0))</f>
        <v>391.54</v>
      </c>
      <c r="Y301" s="6"/>
      <c r="Z301" s="6">
        <f ca="1">('TUSD BE'!$AM$23+'TUSD BF'!$AM$23+'TUSD CVA'!$AM$23)*1</f>
        <v>1385.4977743340116</v>
      </c>
      <c r="AA301" s="6">
        <f>('TE BE'!$AB$8+'TE BF'!$AB$8+'TE CVA'!$AB$8)*1</f>
        <v>361.95264704220779</v>
      </c>
      <c r="AB301" s="6">
        <f>$K$301*$V$301</f>
        <v>0</v>
      </c>
      <c r="AC301" s="6">
        <f>$M$301*$W$301</f>
        <v>34.678780000000003</v>
      </c>
      <c r="AD301" s="6">
        <f>$O$301*$X$301</f>
        <v>11.354660000000001</v>
      </c>
      <c r="AE301" s="6">
        <f>$K$301*$Y$301</f>
        <v>0</v>
      </c>
      <c r="AF301" s="6">
        <f ca="1">$M$301*$Z$301</f>
        <v>40.179435455686338</v>
      </c>
      <c r="AG301" s="6">
        <f>$O$301*$AA$301</f>
        <v>10.496626764224027</v>
      </c>
    </row>
    <row r="302" spans="1:33" ht="11.25" customHeight="1" x14ac:dyDescent="0.3">
      <c r="A302" s="4" t="s">
        <v>21</v>
      </c>
      <c r="B302" s="4" t="s">
        <v>39</v>
      </c>
      <c r="C302" s="4" t="s">
        <v>40</v>
      </c>
      <c r="D302" s="4" t="s">
        <v>38</v>
      </c>
      <c r="E302" s="4" t="s">
        <v>25</v>
      </c>
      <c r="F302" s="4" t="s">
        <v>25</v>
      </c>
      <c r="G302" s="4" t="s">
        <v>25</v>
      </c>
      <c r="H302" s="4" t="s">
        <v>34</v>
      </c>
      <c r="I302" s="5">
        <v>44713</v>
      </c>
      <c r="J302" s="6">
        <v>0</v>
      </c>
      <c r="K302" s="6">
        <v>0</v>
      </c>
      <c r="L302" s="6">
        <v>10.794</v>
      </c>
      <c r="M302" s="6">
        <v>10.794</v>
      </c>
      <c r="N302" s="6">
        <v>10.794</v>
      </c>
      <c r="O302" s="6">
        <v>10.794</v>
      </c>
      <c r="P302" s="6">
        <v>0</v>
      </c>
      <c r="Q302" s="4" t="s">
        <v>26</v>
      </c>
      <c r="R302" s="4">
        <v>0</v>
      </c>
      <c r="S302" s="6">
        <v>0</v>
      </c>
      <c r="T302" s="6">
        <v>15</v>
      </c>
      <c r="U302" s="6">
        <v>65</v>
      </c>
      <c r="V302" s="6">
        <f>IF(ISERROR(VLOOKUP($S$302,'TAR FIN'!$A$1:$O$103,15,0)),0,VLOOKUP($S$302,'TAR FIN'!$A$1:$O$103,15,0))</f>
        <v>0</v>
      </c>
      <c r="W302" s="6">
        <f>IF(ISERROR(VLOOKUP($T$302,'TAR FIN'!$A$1:$O$103,15,0)),0,VLOOKUP($T$302,'TAR FIN'!$A$1:$O$103,15,0))</f>
        <v>1195.82</v>
      </c>
      <c r="X302" s="6">
        <f>IF(ISERROR(VLOOKUP($U$302,'TAR FIN'!$A$1:$O$103,15,0)),0,VLOOKUP($U$302,'TAR FIN'!$A$1:$O$103,15,0))</f>
        <v>391.54</v>
      </c>
      <c r="Y302" s="6"/>
      <c r="Z302" s="6">
        <f ca="1">('TUSD BE'!$AM$23+'TUSD BF'!$AM$23+'TUSD CVA'!$AM$23)*1</f>
        <v>1385.4977743340116</v>
      </c>
      <c r="AA302" s="6">
        <f>('TE BE'!$AB$8+'TE BF'!$AB$8+'TE CVA'!$AB$8)*1</f>
        <v>361.95264704220779</v>
      </c>
      <c r="AB302" s="6">
        <f>$K$302*$V$302</f>
        <v>0</v>
      </c>
      <c r="AC302" s="6">
        <f>$M$302*$W$302</f>
        <v>12907.68108</v>
      </c>
      <c r="AD302" s="6">
        <f>$O$302*$X$302</f>
        <v>4226.2827600000001</v>
      </c>
      <c r="AE302" s="6">
        <f>$K$302*$Y$302</f>
        <v>0</v>
      </c>
      <c r="AF302" s="6">
        <f ca="1">$M$302*$Z$302</f>
        <v>14955.062976161322</v>
      </c>
      <c r="AG302" s="6">
        <f>$O$302*$AA$302</f>
        <v>3906.9168721735909</v>
      </c>
    </row>
    <row r="303" spans="1:33" ht="11.25" customHeight="1" x14ac:dyDescent="0.3">
      <c r="A303" s="4" t="s">
        <v>28</v>
      </c>
      <c r="B303" s="4" t="s">
        <v>39</v>
      </c>
      <c r="C303" s="4" t="s">
        <v>40</v>
      </c>
      <c r="D303" s="4" t="s">
        <v>38</v>
      </c>
      <c r="E303" s="4" t="s">
        <v>25</v>
      </c>
      <c r="F303" s="4" t="s">
        <v>25</v>
      </c>
      <c r="G303" s="4" t="s">
        <v>25</v>
      </c>
      <c r="H303" s="4" t="s">
        <v>34</v>
      </c>
      <c r="I303" s="5">
        <v>44713</v>
      </c>
      <c r="J303" s="6">
        <v>0</v>
      </c>
      <c r="K303" s="6">
        <v>0</v>
      </c>
      <c r="L303" s="6">
        <v>2.8000000000000001E-2</v>
      </c>
      <c r="M303" s="6">
        <v>2.8000000000000001E-2</v>
      </c>
      <c r="N303" s="6">
        <v>2.8000000000000001E-2</v>
      </c>
      <c r="O303" s="6">
        <v>2.8000000000000001E-2</v>
      </c>
      <c r="P303" s="6">
        <v>0</v>
      </c>
      <c r="Q303" s="4" t="s">
        <v>26</v>
      </c>
      <c r="R303" s="4">
        <v>0</v>
      </c>
      <c r="S303" s="6">
        <v>0</v>
      </c>
      <c r="T303" s="6">
        <v>15</v>
      </c>
      <c r="U303" s="6">
        <v>65</v>
      </c>
      <c r="V303" s="6">
        <f>IF(ISERROR(VLOOKUP($S$303,'TAR FIN'!$A$1:$O$103,15,0)),0,VLOOKUP($S$303,'TAR FIN'!$A$1:$O$103,15,0))</f>
        <v>0</v>
      </c>
      <c r="W303" s="6">
        <f>IF(ISERROR(VLOOKUP($T$303,'TAR FIN'!$A$1:$O$103,15,0)),0,VLOOKUP($T$303,'TAR FIN'!$A$1:$O$103,15,0))</f>
        <v>1195.82</v>
      </c>
      <c r="X303" s="6">
        <f>IF(ISERROR(VLOOKUP($U$303,'TAR FIN'!$A$1:$O$103,15,0)),0,VLOOKUP($U$303,'TAR FIN'!$A$1:$O$103,15,0))</f>
        <v>391.54</v>
      </c>
      <c r="Y303" s="6"/>
      <c r="Z303" s="6">
        <f ca="1">('TUSD BE'!$AM$23+'TUSD BF'!$AM$23+'TUSD CVA'!$AM$23)*1</f>
        <v>1385.4977743340116</v>
      </c>
      <c r="AA303" s="6">
        <f>('TE BE'!$AB$8+'TE BF'!$AB$8+'TE CVA'!$AB$8)*1</f>
        <v>361.95264704220779</v>
      </c>
      <c r="AB303" s="6">
        <f>$K$303*$V$303</f>
        <v>0</v>
      </c>
      <c r="AC303" s="6">
        <f>$M$303*$W$303</f>
        <v>33.482959999999999</v>
      </c>
      <c r="AD303" s="6">
        <f>$O$303*$X$303</f>
        <v>10.96312</v>
      </c>
      <c r="AE303" s="6">
        <f>$K$303*$Y$303</f>
        <v>0</v>
      </c>
      <c r="AF303" s="6">
        <f ca="1">$M$303*$Z$303</f>
        <v>38.793937681352325</v>
      </c>
      <c r="AG303" s="6">
        <f>$O$303*$AA$303</f>
        <v>10.134674117181818</v>
      </c>
    </row>
    <row r="304" spans="1:33" ht="11.25" customHeight="1" x14ac:dyDescent="0.3">
      <c r="A304" s="4" t="s">
        <v>21</v>
      </c>
      <c r="B304" s="4" t="s">
        <v>39</v>
      </c>
      <c r="C304" s="4" t="s">
        <v>40</v>
      </c>
      <c r="D304" s="4" t="s">
        <v>38</v>
      </c>
      <c r="E304" s="4" t="s">
        <v>25</v>
      </c>
      <c r="F304" s="4" t="s">
        <v>25</v>
      </c>
      <c r="G304" s="4" t="s">
        <v>25</v>
      </c>
      <c r="H304" s="4" t="s">
        <v>34</v>
      </c>
      <c r="I304" s="5">
        <v>44743</v>
      </c>
      <c r="J304" s="6">
        <v>0</v>
      </c>
      <c r="K304" s="6">
        <v>0</v>
      </c>
      <c r="L304" s="6">
        <v>10.436999999999999</v>
      </c>
      <c r="M304" s="6">
        <v>10.436999999999999</v>
      </c>
      <c r="N304" s="6">
        <v>10.436999999999999</v>
      </c>
      <c r="O304" s="6">
        <v>10.436999999999999</v>
      </c>
      <c r="P304" s="6">
        <v>0</v>
      </c>
      <c r="Q304" s="4" t="s">
        <v>26</v>
      </c>
      <c r="R304" s="4">
        <v>0</v>
      </c>
      <c r="S304" s="6">
        <v>0</v>
      </c>
      <c r="T304" s="6">
        <v>15</v>
      </c>
      <c r="U304" s="6">
        <v>65</v>
      </c>
      <c r="V304" s="6">
        <f>IF(ISERROR(VLOOKUP($S$304,'TAR FIN'!$A$1:$O$103,15,0)),0,VLOOKUP($S$304,'TAR FIN'!$A$1:$O$103,15,0))</f>
        <v>0</v>
      </c>
      <c r="W304" s="6">
        <f>IF(ISERROR(VLOOKUP($T$304,'TAR FIN'!$A$1:$O$103,15,0)),0,VLOOKUP($T$304,'TAR FIN'!$A$1:$O$103,15,0))</f>
        <v>1195.82</v>
      </c>
      <c r="X304" s="6">
        <f>IF(ISERROR(VLOOKUP($U$304,'TAR FIN'!$A$1:$O$103,15,0)),0,VLOOKUP($U$304,'TAR FIN'!$A$1:$O$103,15,0))</f>
        <v>391.54</v>
      </c>
      <c r="Y304" s="6"/>
      <c r="Z304" s="6">
        <f ca="1">('TUSD BE'!$AM$23+'TUSD BF'!$AM$23+'TUSD CVA'!$AM$23)*1</f>
        <v>1385.4977743340116</v>
      </c>
      <c r="AA304" s="6">
        <f>('TE BE'!$AB$8+'TE BF'!$AB$8+'TE CVA'!$AB$8)*1</f>
        <v>361.95264704220779</v>
      </c>
      <c r="AB304" s="6">
        <f>$K$304*$V$304</f>
        <v>0</v>
      </c>
      <c r="AC304" s="6">
        <f>$M$304*$W$304</f>
        <v>12480.773339999998</v>
      </c>
      <c r="AD304" s="6">
        <f>$O$304*$X$304</f>
        <v>4086.5029799999998</v>
      </c>
      <c r="AE304" s="6">
        <f>$K$304*$Y$304</f>
        <v>0</v>
      </c>
      <c r="AF304" s="6">
        <f ca="1">$M$304*$Z$304</f>
        <v>14460.440270724079</v>
      </c>
      <c r="AG304" s="6">
        <f>$O$304*$AA$304</f>
        <v>3777.6997771795222</v>
      </c>
    </row>
    <row r="305" spans="1:33" ht="11.25" customHeight="1" x14ac:dyDescent="0.3">
      <c r="A305" s="4" t="s">
        <v>28</v>
      </c>
      <c r="B305" s="4" t="s">
        <v>39</v>
      </c>
      <c r="C305" s="4" t="s">
        <v>40</v>
      </c>
      <c r="D305" s="4" t="s">
        <v>38</v>
      </c>
      <c r="E305" s="4" t="s">
        <v>25</v>
      </c>
      <c r="F305" s="4" t="s">
        <v>25</v>
      </c>
      <c r="G305" s="4" t="s">
        <v>25</v>
      </c>
      <c r="H305" s="4" t="s">
        <v>34</v>
      </c>
      <c r="I305" s="5">
        <v>44743</v>
      </c>
      <c r="J305" s="6">
        <v>0</v>
      </c>
      <c r="K305" s="6">
        <v>0</v>
      </c>
      <c r="L305" s="6">
        <v>0.03</v>
      </c>
      <c r="M305" s="6">
        <v>0.03</v>
      </c>
      <c r="N305" s="6">
        <v>0.03</v>
      </c>
      <c r="O305" s="6">
        <v>0.03</v>
      </c>
      <c r="P305" s="6">
        <v>0</v>
      </c>
      <c r="Q305" s="4" t="s">
        <v>26</v>
      </c>
      <c r="R305" s="4">
        <v>0</v>
      </c>
      <c r="S305" s="6">
        <v>0</v>
      </c>
      <c r="T305" s="6">
        <v>15</v>
      </c>
      <c r="U305" s="6">
        <v>65</v>
      </c>
      <c r="V305" s="6">
        <f>IF(ISERROR(VLOOKUP($S$305,'TAR FIN'!$A$1:$O$103,15,0)),0,VLOOKUP($S$305,'TAR FIN'!$A$1:$O$103,15,0))</f>
        <v>0</v>
      </c>
      <c r="W305" s="6">
        <f>IF(ISERROR(VLOOKUP($T$305,'TAR FIN'!$A$1:$O$103,15,0)),0,VLOOKUP($T$305,'TAR FIN'!$A$1:$O$103,15,0))</f>
        <v>1195.82</v>
      </c>
      <c r="X305" s="6">
        <f>IF(ISERROR(VLOOKUP($U$305,'TAR FIN'!$A$1:$O$103,15,0)),0,VLOOKUP($U$305,'TAR FIN'!$A$1:$O$103,15,0))</f>
        <v>391.54</v>
      </c>
      <c r="Y305" s="6"/>
      <c r="Z305" s="6">
        <f ca="1">('TUSD BE'!$AM$23+'TUSD BF'!$AM$23+'TUSD CVA'!$AM$23)*1</f>
        <v>1385.4977743340116</v>
      </c>
      <c r="AA305" s="6">
        <f>('TE BE'!$AB$8+'TE BF'!$AB$8+'TE CVA'!$AB$8)*1</f>
        <v>361.95264704220779</v>
      </c>
      <c r="AB305" s="6">
        <f>$K$305*$V$305</f>
        <v>0</v>
      </c>
      <c r="AC305" s="6">
        <f>$M$305*$W$305</f>
        <v>35.874599999999994</v>
      </c>
      <c r="AD305" s="6">
        <f>$O$305*$X$305</f>
        <v>11.7462</v>
      </c>
      <c r="AE305" s="6">
        <f>$K$305*$Y$305</f>
        <v>0</v>
      </c>
      <c r="AF305" s="6">
        <f ca="1">$M$305*$Z$305</f>
        <v>41.564933230020351</v>
      </c>
      <c r="AG305" s="6">
        <f>$O$305*$AA$305</f>
        <v>10.858579411266232</v>
      </c>
    </row>
    <row r="306" spans="1:33" ht="11.25" customHeight="1" x14ac:dyDescent="0.3">
      <c r="A306" s="4" t="s">
        <v>21</v>
      </c>
      <c r="B306" s="4" t="s">
        <v>39</v>
      </c>
      <c r="C306" s="4" t="s">
        <v>40</v>
      </c>
      <c r="D306" s="4" t="s">
        <v>38</v>
      </c>
      <c r="E306" s="4" t="s">
        <v>25</v>
      </c>
      <c r="F306" s="4" t="s">
        <v>25</v>
      </c>
      <c r="G306" s="4" t="s">
        <v>25</v>
      </c>
      <c r="H306" s="4" t="s">
        <v>34</v>
      </c>
      <c r="I306" s="5">
        <v>44774</v>
      </c>
      <c r="J306" s="6">
        <v>0</v>
      </c>
      <c r="K306" s="6">
        <v>0</v>
      </c>
      <c r="L306" s="6">
        <v>15.644</v>
      </c>
      <c r="M306" s="6">
        <v>15.644</v>
      </c>
      <c r="N306" s="6">
        <v>15.644</v>
      </c>
      <c r="O306" s="6">
        <v>15.644</v>
      </c>
      <c r="P306" s="6">
        <v>0</v>
      </c>
      <c r="Q306" s="4" t="s">
        <v>26</v>
      </c>
      <c r="R306" s="4">
        <v>0</v>
      </c>
      <c r="S306" s="6">
        <v>0</v>
      </c>
      <c r="T306" s="6">
        <v>15</v>
      </c>
      <c r="U306" s="6">
        <v>65</v>
      </c>
      <c r="V306" s="6">
        <f>IF(ISERROR(VLOOKUP($S$306,'TAR FIN'!$A$1:$O$103,15,0)),0,VLOOKUP($S$306,'TAR FIN'!$A$1:$O$103,15,0))</f>
        <v>0</v>
      </c>
      <c r="W306" s="6">
        <f>IF(ISERROR(VLOOKUP($T$306,'TAR FIN'!$A$1:$O$103,15,0)),0,VLOOKUP($T$306,'TAR FIN'!$A$1:$O$103,15,0))</f>
        <v>1195.82</v>
      </c>
      <c r="X306" s="6">
        <f>IF(ISERROR(VLOOKUP($U$306,'TAR FIN'!$A$1:$O$103,15,0)),0,VLOOKUP($U$306,'TAR FIN'!$A$1:$O$103,15,0))</f>
        <v>391.54</v>
      </c>
      <c r="Y306" s="6"/>
      <c r="Z306" s="6">
        <f ca="1">('TUSD BE'!$AM$23+'TUSD BF'!$AM$23+'TUSD CVA'!$AM$23)*1</f>
        <v>1385.4977743340116</v>
      </c>
      <c r="AA306" s="6">
        <f>('TE BE'!$AB$8+'TE BF'!$AB$8+'TE CVA'!$AB$8)*1</f>
        <v>361.95264704220779</v>
      </c>
      <c r="AB306" s="6">
        <f>$K$306*$V$306</f>
        <v>0</v>
      </c>
      <c r="AC306" s="6">
        <f>$M$306*$W$306</f>
        <v>18707.408079999997</v>
      </c>
      <c r="AD306" s="6">
        <f>$O$306*$X$306</f>
        <v>6125.2517600000001</v>
      </c>
      <c r="AE306" s="6">
        <f>$K$306*$Y$306</f>
        <v>0</v>
      </c>
      <c r="AF306" s="6">
        <f ca="1">$M$306*$Z$306</f>
        <v>21674.727181681279</v>
      </c>
      <c r="AG306" s="6">
        <f>$O$306*$AA$306</f>
        <v>5662.3872103282984</v>
      </c>
    </row>
    <row r="307" spans="1:33" ht="11.25" customHeight="1" x14ac:dyDescent="0.3">
      <c r="A307" s="4" t="s">
        <v>28</v>
      </c>
      <c r="B307" s="4" t="s">
        <v>39</v>
      </c>
      <c r="C307" s="4" t="s">
        <v>40</v>
      </c>
      <c r="D307" s="4" t="s">
        <v>38</v>
      </c>
      <c r="E307" s="4" t="s">
        <v>25</v>
      </c>
      <c r="F307" s="4" t="s">
        <v>25</v>
      </c>
      <c r="G307" s="4" t="s">
        <v>25</v>
      </c>
      <c r="H307" s="4" t="s">
        <v>34</v>
      </c>
      <c r="I307" s="5">
        <v>44774</v>
      </c>
      <c r="J307" s="6">
        <v>0</v>
      </c>
      <c r="K307" s="6">
        <v>0</v>
      </c>
      <c r="L307" s="6">
        <v>3.5000000000000003E-2</v>
      </c>
      <c r="M307" s="6">
        <v>3.5000000000000003E-2</v>
      </c>
      <c r="N307" s="6">
        <v>3.5000000000000003E-2</v>
      </c>
      <c r="O307" s="6">
        <v>3.5000000000000003E-2</v>
      </c>
      <c r="P307" s="6">
        <v>0</v>
      </c>
      <c r="Q307" s="4" t="s">
        <v>26</v>
      </c>
      <c r="R307" s="4">
        <v>0</v>
      </c>
      <c r="S307" s="6">
        <v>0</v>
      </c>
      <c r="T307" s="6">
        <v>15</v>
      </c>
      <c r="U307" s="6">
        <v>65</v>
      </c>
      <c r="V307" s="6">
        <f>IF(ISERROR(VLOOKUP($S$307,'TAR FIN'!$A$1:$O$103,15,0)),0,VLOOKUP($S$307,'TAR FIN'!$A$1:$O$103,15,0))</f>
        <v>0</v>
      </c>
      <c r="W307" s="6">
        <f>IF(ISERROR(VLOOKUP($T$307,'TAR FIN'!$A$1:$O$103,15,0)),0,VLOOKUP($T$307,'TAR FIN'!$A$1:$O$103,15,0))</f>
        <v>1195.82</v>
      </c>
      <c r="X307" s="6">
        <f>IF(ISERROR(VLOOKUP($U$307,'TAR FIN'!$A$1:$O$103,15,0)),0,VLOOKUP($U$307,'TAR FIN'!$A$1:$O$103,15,0))</f>
        <v>391.54</v>
      </c>
      <c r="Y307" s="6"/>
      <c r="Z307" s="6">
        <f ca="1">('TUSD BE'!$AM$23+'TUSD BF'!$AM$23+'TUSD CVA'!$AM$23)*1</f>
        <v>1385.4977743340116</v>
      </c>
      <c r="AA307" s="6">
        <f>('TE BE'!$AB$8+'TE BF'!$AB$8+'TE CVA'!$AB$8)*1</f>
        <v>361.95264704220779</v>
      </c>
      <c r="AB307" s="6">
        <f>$K$307*$V$307</f>
        <v>0</v>
      </c>
      <c r="AC307" s="6">
        <f>$M$307*$W$307</f>
        <v>41.853700000000003</v>
      </c>
      <c r="AD307" s="6">
        <f>$O$307*$X$307</f>
        <v>13.703900000000003</v>
      </c>
      <c r="AE307" s="6">
        <f>$K$307*$Y$307</f>
        <v>0</v>
      </c>
      <c r="AF307" s="6">
        <f ca="1">$M$307*$Z$307</f>
        <v>48.492422101690408</v>
      </c>
      <c r="AG307" s="6">
        <f>$O$307*$AA$307</f>
        <v>12.668342646477274</v>
      </c>
    </row>
    <row r="308" spans="1:33" ht="11.25" customHeight="1" x14ac:dyDescent="0.3">
      <c r="A308" s="4" t="s">
        <v>21</v>
      </c>
      <c r="B308" s="4" t="s">
        <v>39</v>
      </c>
      <c r="C308" s="4" t="s">
        <v>40</v>
      </c>
      <c r="D308" s="4" t="s">
        <v>38</v>
      </c>
      <c r="E308" s="4" t="s">
        <v>25</v>
      </c>
      <c r="F308" s="4" t="s">
        <v>25</v>
      </c>
      <c r="G308" s="4" t="s">
        <v>25</v>
      </c>
      <c r="H308" s="4" t="s">
        <v>34</v>
      </c>
      <c r="I308" s="5">
        <v>44805</v>
      </c>
      <c r="J308" s="6">
        <v>0</v>
      </c>
      <c r="K308" s="6">
        <v>0</v>
      </c>
      <c r="L308" s="6">
        <v>15.657</v>
      </c>
      <c r="M308" s="6">
        <v>15.657</v>
      </c>
      <c r="N308" s="6">
        <v>15.657</v>
      </c>
      <c r="O308" s="6">
        <v>15.657</v>
      </c>
      <c r="P308" s="6">
        <v>0</v>
      </c>
      <c r="Q308" s="4" t="s">
        <v>26</v>
      </c>
      <c r="R308" s="4">
        <v>0</v>
      </c>
      <c r="S308" s="6">
        <v>0</v>
      </c>
      <c r="T308" s="6">
        <v>15</v>
      </c>
      <c r="U308" s="6">
        <v>65</v>
      </c>
      <c r="V308" s="6">
        <f>IF(ISERROR(VLOOKUP($S$308,'TAR FIN'!$A$1:$O$103,15,0)),0,VLOOKUP($S$308,'TAR FIN'!$A$1:$O$103,15,0))</f>
        <v>0</v>
      </c>
      <c r="W308" s="6">
        <f>IF(ISERROR(VLOOKUP($T$308,'TAR FIN'!$A$1:$O$103,15,0)),0,VLOOKUP($T$308,'TAR FIN'!$A$1:$O$103,15,0))</f>
        <v>1195.82</v>
      </c>
      <c r="X308" s="6">
        <f>IF(ISERROR(VLOOKUP($U$308,'TAR FIN'!$A$1:$O$103,15,0)),0,VLOOKUP($U$308,'TAR FIN'!$A$1:$O$103,15,0))</f>
        <v>391.54</v>
      </c>
      <c r="Y308" s="6"/>
      <c r="Z308" s="6">
        <f ca="1">('TUSD BE'!$AM$23+'TUSD BF'!$AM$23+'TUSD CVA'!$AM$23)*1</f>
        <v>1385.4977743340116</v>
      </c>
      <c r="AA308" s="6">
        <f>('TE BE'!$AB$8+'TE BF'!$AB$8+'TE CVA'!$AB$8)*1</f>
        <v>361.95264704220779</v>
      </c>
      <c r="AB308" s="6">
        <f>$K$308*$V$308</f>
        <v>0</v>
      </c>
      <c r="AC308" s="6">
        <f>$M$308*$W$308</f>
        <v>18722.953740000001</v>
      </c>
      <c r="AD308" s="6">
        <f>$O$308*$X$308</f>
        <v>6130.3417800000007</v>
      </c>
      <c r="AE308" s="6">
        <f>$K$308*$Y$308</f>
        <v>0</v>
      </c>
      <c r="AF308" s="6">
        <f ca="1">$M$308*$Z$308</f>
        <v>21692.738652747619</v>
      </c>
      <c r="AG308" s="6">
        <f>$O$308*$AA$308</f>
        <v>5667.0925947398473</v>
      </c>
    </row>
    <row r="309" spans="1:33" ht="11.25" customHeight="1" x14ac:dyDescent="0.3">
      <c r="A309" s="4" t="s">
        <v>28</v>
      </c>
      <c r="B309" s="4" t="s">
        <v>39</v>
      </c>
      <c r="C309" s="4" t="s">
        <v>40</v>
      </c>
      <c r="D309" s="4" t="s">
        <v>38</v>
      </c>
      <c r="E309" s="4" t="s">
        <v>25</v>
      </c>
      <c r="F309" s="4" t="s">
        <v>25</v>
      </c>
      <c r="G309" s="4" t="s">
        <v>25</v>
      </c>
      <c r="H309" s="4" t="s">
        <v>34</v>
      </c>
      <c r="I309" s="5">
        <v>44805</v>
      </c>
      <c r="J309" s="6">
        <v>0</v>
      </c>
      <c r="K309" s="6">
        <v>0</v>
      </c>
      <c r="L309" s="6">
        <v>3.5999999999999997E-2</v>
      </c>
      <c r="M309" s="6">
        <v>3.5999999999999997E-2</v>
      </c>
      <c r="N309" s="6">
        <v>3.5999999999999997E-2</v>
      </c>
      <c r="O309" s="6">
        <v>3.5999999999999997E-2</v>
      </c>
      <c r="P309" s="6">
        <v>0</v>
      </c>
      <c r="Q309" s="4" t="s">
        <v>26</v>
      </c>
      <c r="R309" s="4">
        <v>0</v>
      </c>
      <c r="S309" s="6">
        <v>0</v>
      </c>
      <c r="T309" s="6">
        <v>15</v>
      </c>
      <c r="U309" s="6">
        <v>65</v>
      </c>
      <c r="V309" s="6">
        <f>IF(ISERROR(VLOOKUP($S$309,'TAR FIN'!$A$1:$O$103,15,0)),0,VLOOKUP($S$309,'TAR FIN'!$A$1:$O$103,15,0))</f>
        <v>0</v>
      </c>
      <c r="W309" s="6">
        <f>IF(ISERROR(VLOOKUP($T$309,'TAR FIN'!$A$1:$O$103,15,0)),0,VLOOKUP($T$309,'TAR FIN'!$A$1:$O$103,15,0))</f>
        <v>1195.82</v>
      </c>
      <c r="X309" s="6">
        <f>IF(ISERROR(VLOOKUP($U$309,'TAR FIN'!$A$1:$O$103,15,0)),0,VLOOKUP($U$309,'TAR FIN'!$A$1:$O$103,15,0))</f>
        <v>391.54</v>
      </c>
      <c r="Y309" s="6"/>
      <c r="Z309" s="6">
        <f ca="1">('TUSD BE'!$AM$23+'TUSD BF'!$AM$23+'TUSD CVA'!$AM$23)*1</f>
        <v>1385.4977743340116</v>
      </c>
      <c r="AA309" s="6">
        <f>('TE BE'!$AB$8+'TE BF'!$AB$8+'TE CVA'!$AB$8)*1</f>
        <v>361.95264704220779</v>
      </c>
      <c r="AB309" s="6">
        <f>$K$309*$V$309</f>
        <v>0</v>
      </c>
      <c r="AC309" s="6">
        <f>$M$309*$W$309</f>
        <v>43.049519999999994</v>
      </c>
      <c r="AD309" s="6">
        <f>$O$309*$X$309</f>
        <v>14.09544</v>
      </c>
      <c r="AE309" s="6">
        <f>$K$309*$Y$309</f>
        <v>0</v>
      </c>
      <c r="AF309" s="6">
        <f ca="1">$M$309*$Z$309</f>
        <v>49.877919876024414</v>
      </c>
      <c r="AG309" s="6">
        <f>$O$309*$AA$309</f>
        <v>13.03029529351948</v>
      </c>
    </row>
    <row r="310" spans="1:33" ht="11.25" customHeight="1" x14ac:dyDescent="0.3">
      <c r="A310" s="4" t="s">
        <v>57</v>
      </c>
      <c r="B310" s="4" t="s">
        <v>39</v>
      </c>
      <c r="C310" s="4" t="s">
        <v>40</v>
      </c>
      <c r="D310" s="4" t="s">
        <v>38</v>
      </c>
      <c r="E310" s="4" t="s">
        <v>25</v>
      </c>
      <c r="F310" s="4" t="s">
        <v>25</v>
      </c>
      <c r="G310" s="4" t="s">
        <v>25</v>
      </c>
      <c r="H310" s="4" t="s">
        <v>34</v>
      </c>
      <c r="I310" s="5">
        <v>44835</v>
      </c>
      <c r="J310" s="6">
        <v>0</v>
      </c>
      <c r="K310" s="6">
        <v>0</v>
      </c>
      <c r="L310" s="6">
        <v>15.657</v>
      </c>
      <c r="M310" s="6">
        <v>15.657</v>
      </c>
      <c r="N310" s="6">
        <v>15.657</v>
      </c>
      <c r="O310" s="6">
        <v>15.657</v>
      </c>
      <c r="P310" s="6">
        <v>0</v>
      </c>
      <c r="Q310" s="4" t="s">
        <v>26</v>
      </c>
      <c r="R310" s="4">
        <v>0</v>
      </c>
      <c r="S310" s="6">
        <v>0</v>
      </c>
      <c r="T310" s="6">
        <v>15</v>
      </c>
      <c r="U310" s="6">
        <v>65</v>
      </c>
      <c r="V310" s="6">
        <f>IF(ISERROR(VLOOKUP($S$310,'TAR FIN'!$A$1:$O$103,15,0)),0,VLOOKUP($S$310,'TAR FIN'!$A$1:$O$103,15,0))</f>
        <v>0</v>
      </c>
      <c r="W310" s="6">
        <f>IF(ISERROR(VLOOKUP($T$310,'TAR FIN'!$A$1:$O$103,15,0)),0,VLOOKUP($T$310,'TAR FIN'!$A$1:$O$103,15,0))</f>
        <v>1195.82</v>
      </c>
      <c r="X310" s="6">
        <f>IF(ISERROR(VLOOKUP($U$310,'TAR FIN'!$A$1:$O$103,15,0)),0,VLOOKUP($U$310,'TAR FIN'!$A$1:$O$103,15,0))</f>
        <v>391.54</v>
      </c>
      <c r="Y310" s="6"/>
      <c r="Z310" s="6">
        <f ca="1">('TUSD BE'!$AM$23+'TUSD BF'!$AM$23+'TUSD CVA'!$AM$23)*1</f>
        <v>1385.4977743340116</v>
      </c>
      <c r="AA310" s="6">
        <f>('TE BE'!$AB$8+'TE BF'!$AB$8+'TE CVA'!$AB$8)*1</f>
        <v>361.95264704220779</v>
      </c>
      <c r="AB310" s="6">
        <f>$K$310*$V$310</f>
        <v>0</v>
      </c>
      <c r="AC310" s="6">
        <f>$M$310*$W$310</f>
        <v>18722.953740000001</v>
      </c>
      <c r="AD310" s="6">
        <f>$O$310*$X$310</f>
        <v>6130.3417800000007</v>
      </c>
      <c r="AE310" s="6">
        <f>$K$310*$Y$310</f>
        <v>0</v>
      </c>
      <c r="AF310" s="6">
        <f ca="1">$M$310*$Z$310</f>
        <v>21692.738652747619</v>
      </c>
      <c r="AG310" s="6">
        <f>$O$310*$AA$310</f>
        <v>5667.0925947398473</v>
      </c>
    </row>
    <row r="311" spans="1:33" ht="11.25" customHeight="1" x14ac:dyDescent="0.3">
      <c r="A311" s="4" t="s">
        <v>57</v>
      </c>
      <c r="B311" s="4" t="s">
        <v>39</v>
      </c>
      <c r="C311" s="4" t="s">
        <v>40</v>
      </c>
      <c r="D311" s="4" t="s">
        <v>38</v>
      </c>
      <c r="E311" s="4" t="s">
        <v>25</v>
      </c>
      <c r="F311" s="4" t="s">
        <v>25</v>
      </c>
      <c r="G311" s="4" t="s">
        <v>25</v>
      </c>
      <c r="H311" s="4" t="s">
        <v>34</v>
      </c>
      <c r="I311" s="5">
        <v>44835</v>
      </c>
      <c r="J311" s="6">
        <v>0</v>
      </c>
      <c r="K311" s="6">
        <v>0</v>
      </c>
      <c r="L311" s="6">
        <v>3.5999999999999997E-2</v>
      </c>
      <c r="M311" s="6">
        <v>3.5999999999999997E-2</v>
      </c>
      <c r="N311" s="6">
        <v>3.5999999999999997E-2</v>
      </c>
      <c r="O311" s="6">
        <v>3.5999999999999997E-2</v>
      </c>
      <c r="P311" s="6">
        <v>0</v>
      </c>
      <c r="Q311" s="4" t="s">
        <v>26</v>
      </c>
      <c r="R311" s="4">
        <v>0</v>
      </c>
      <c r="S311" s="6">
        <v>0</v>
      </c>
      <c r="T311" s="6">
        <v>15</v>
      </c>
      <c r="U311" s="6">
        <v>65</v>
      </c>
      <c r="V311" s="6">
        <f>IF(ISERROR(VLOOKUP($S$311,'TAR FIN'!$A$1:$O$103,15,0)),0,VLOOKUP($S$311,'TAR FIN'!$A$1:$O$103,15,0))</f>
        <v>0</v>
      </c>
      <c r="W311" s="6">
        <f>IF(ISERROR(VLOOKUP($T$311,'TAR FIN'!$A$1:$O$103,15,0)),0,VLOOKUP($T$311,'TAR FIN'!$A$1:$O$103,15,0))</f>
        <v>1195.82</v>
      </c>
      <c r="X311" s="6">
        <f>IF(ISERROR(VLOOKUP($U$311,'TAR FIN'!$A$1:$O$103,15,0)),0,VLOOKUP($U$311,'TAR FIN'!$A$1:$O$103,15,0))</f>
        <v>391.54</v>
      </c>
      <c r="Y311" s="6"/>
      <c r="Z311" s="6">
        <f ca="1">('TUSD BE'!$AM$23+'TUSD BF'!$AM$23+'TUSD CVA'!$AM$23)*1</f>
        <v>1385.4977743340116</v>
      </c>
      <c r="AA311" s="6">
        <f>('TE BE'!$AB$8+'TE BF'!$AB$8+'TE CVA'!$AB$8)*1</f>
        <v>361.95264704220779</v>
      </c>
      <c r="AB311" s="6">
        <f>$K$311*$V$311</f>
        <v>0</v>
      </c>
      <c r="AC311" s="6">
        <f>$M$311*$W$311</f>
        <v>43.049519999999994</v>
      </c>
      <c r="AD311" s="6">
        <f>$O$311*$X$311</f>
        <v>14.09544</v>
      </c>
      <c r="AE311" s="6">
        <f>$K$311*$Y$311</f>
        <v>0</v>
      </c>
      <c r="AF311" s="6">
        <f ca="1">$M$311*$Z$311</f>
        <v>49.877919876024414</v>
      </c>
      <c r="AG311" s="6">
        <f>$O$311*$AA$311</f>
        <v>13.03029529351948</v>
      </c>
    </row>
    <row r="312" spans="1:33" ht="11.25" customHeight="1" x14ac:dyDescent="0.3">
      <c r="A312" s="4" t="s">
        <v>21</v>
      </c>
      <c r="B312" s="4" t="s">
        <v>39</v>
      </c>
      <c r="C312" s="4" t="s">
        <v>40</v>
      </c>
      <c r="D312" s="4" t="s">
        <v>46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44501</v>
      </c>
      <c r="J312" s="6">
        <v>0</v>
      </c>
      <c r="K312" s="6">
        <v>0</v>
      </c>
      <c r="L312" s="6">
        <v>44.543999999999997</v>
      </c>
      <c r="M312" s="6">
        <v>44.543999999999997</v>
      </c>
      <c r="N312" s="6">
        <v>44.543999999999997</v>
      </c>
      <c r="O312" s="6">
        <v>44.543999999999997</v>
      </c>
      <c r="P312" s="6">
        <v>0</v>
      </c>
      <c r="Q312" s="4" t="s">
        <v>26</v>
      </c>
      <c r="R312" s="4">
        <v>0</v>
      </c>
      <c r="S312" s="6">
        <v>0</v>
      </c>
      <c r="T312" s="6">
        <v>17</v>
      </c>
      <c r="U312" s="6">
        <v>66</v>
      </c>
      <c r="V312" s="6">
        <f>IF(ISERROR(VLOOKUP($S$312,'TAR FIN'!$A$1:$O$103,15,0)),0,VLOOKUP($S$312,'TAR FIN'!$A$1:$O$103,15,0))</f>
        <v>0</v>
      </c>
      <c r="W312" s="6">
        <f>IF(ISERROR(VLOOKUP($T$312,'TAR FIN'!$A$1:$O$103,15,0)),0,VLOOKUP($T$312,'TAR FIN'!$A$1:$O$103,15,0))</f>
        <v>84.99</v>
      </c>
      <c r="X312" s="6">
        <f>IF(ISERROR(VLOOKUP($U$312,'TAR FIN'!$A$1:$O$103,15,0)),0,VLOOKUP($U$312,'TAR FIN'!$A$1:$O$103,15,0))</f>
        <v>242.77</v>
      </c>
      <c r="Y312" s="6"/>
      <c r="Z312" s="6">
        <f ca="1">('TUSD BE'!$AM$24+'TUSD BF'!$AM$24+'TUSD CVA'!$AM$24)*1</f>
        <v>145.72237393634796</v>
      </c>
      <c r="AA312" s="6">
        <f>('TE BE'!$AB$9+'TE BF'!$AB$9+'TE CVA'!$AB$9)*1</f>
        <v>222.39386487986414</v>
      </c>
      <c r="AB312" s="6">
        <f>$K$312*$V$312</f>
        <v>0</v>
      </c>
      <c r="AC312" s="6">
        <f>$M$312*$W$312</f>
        <v>3785.7945599999994</v>
      </c>
      <c r="AD312" s="6">
        <f>$O$312*$X$312</f>
        <v>10813.94688</v>
      </c>
      <c r="AE312" s="6">
        <f>$K$312*$Y$312</f>
        <v>0</v>
      </c>
      <c r="AF312" s="6">
        <f ca="1">$M$312*$Z$312</f>
        <v>6491.0574246206834</v>
      </c>
      <c r="AG312" s="6">
        <f>$O$312*$AA$312</f>
        <v>9906.3123172086671</v>
      </c>
    </row>
    <row r="313" spans="1:33" ht="11.25" customHeight="1" x14ac:dyDescent="0.3">
      <c r="A313" s="4" t="s">
        <v>28</v>
      </c>
      <c r="B313" s="4" t="s">
        <v>39</v>
      </c>
      <c r="C313" s="4" t="s">
        <v>40</v>
      </c>
      <c r="D313" s="4" t="s">
        <v>46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44501</v>
      </c>
      <c r="J313" s="6">
        <v>0</v>
      </c>
      <c r="K313" s="6">
        <v>0</v>
      </c>
      <c r="L313" s="6">
        <v>13.754</v>
      </c>
      <c r="M313" s="6">
        <v>13.754</v>
      </c>
      <c r="N313" s="6">
        <v>13.754</v>
      </c>
      <c r="O313" s="6">
        <v>13.754</v>
      </c>
      <c r="P313" s="6">
        <v>0</v>
      </c>
      <c r="Q313" s="4" t="s">
        <v>26</v>
      </c>
      <c r="R313" s="4">
        <v>0</v>
      </c>
      <c r="S313" s="6">
        <v>0</v>
      </c>
      <c r="T313" s="6">
        <v>17</v>
      </c>
      <c r="U313" s="6">
        <v>66</v>
      </c>
      <c r="V313" s="6">
        <f>IF(ISERROR(VLOOKUP($S$313,'TAR FIN'!$A$1:$O$103,15,0)),0,VLOOKUP($S$313,'TAR FIN'!$A$1:$O$103,15,0))</f>
        <v>0</v>
      </c>
      <c r="W313" s="6">
        <f>IF(ISERROR(VLOOKUP($T$313,'TAR FIN'!$A$1:$O$103,15,0)),0,VLOOKUP($T$313,'TAR FIN'!$A$1:$O$103,15,0))</f>
        <v>84.99</v>
      </c>
      <c r="X313" s="6">
        <f>IF(ISERROR(VLOOKUP($U$313,'TAR FIN'!$A$1:$O$103,15,0)),0,VLOOKUP($U$313,'TAR FIN'!$A$1:$O$103,15,0))</f>
        <v>242.77</v>
      </c>
      <c r="Y313" s="6"/>
      <c r="Z313" s="6">
        <f ca="1">('TUSD BE'!$AM$24+'TUSD BF'!$AM$24+'TUSD CVA'!$AM$24)*1</f>
        <v>145.72237393634796</v>
      </c>
      <c r="AA313" s="6">
        <f>('TE BE'!$AB$9+'TE BF'!$AB$9+'TE CVA'!$AB$9)*1</f>
        <v>222.39386487986414</v>
      </c>
      <c r="AB313" s="6">
        <f>$K$313*$V$313</f>
        <v>0</v>
      </c>
      <c r="AC313" s="6">
        <f>$M$313*$W$313</f>
        <v>1168.95246</v>
      </c>
      <c r="AD313" s="6">
        <f>$O$313*$X$313</f>
        <v>3339.0585799999999</v>
      </c>
      <c r="AE313" s="6">
        <f>$K$313*$Y$313</f>
        <v>0</v>
      </c>
      <c r="AF313" s="6">
        <f ca="1">$M$313*$Z$313</f>
        <v>2004.2655311205299</v>
      </c>
      <c r="AG313" s="6">
        <f>$O$313*$AA$313</f>
        <v>3058.8052175576513</v>
      </c>
    </row>
    <row r="314" spans="1:33" ht="11.25" customHeight="1" x14ac:dyDescent="0.3">
      <c r="A314" s="4" t="s">
        <v>21</v>
      </c>
      <c r="B314" s="4" t="s">
        <v>39</v>
      </c>
      <c r="C314" s="4" t="s">
        <v>40</v>
      </c>
      <c r="D314" s="4" t="s">
        <v>46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44531</v>
      </c>
      <c r="J314" s="6">
        <v>0</v>
      </c>
      <c r="K314" s="6">
        <v>0</v>
      </c>
      <c r="L314" s="6">
        <v>38.204999999999998</v>
      </c>
      <c r="M314" s="6">
        <v>38.204999999999998</v>
      </c>
      <c r="N314" s="6">
        <v>38.204999999999998</v>
      </c>
      <c r="O314" s="6">
        <v>38.204999999999998</v>
      </c>
      <c r="P314" s="6">
        <v>0</v>
      </c>
      <c r="Q314" s="4" t="s">
        <v>26</v>
      </c>
      <c r="R314" s="4">
        <v>0</v>
      </c>
      <c r="S314" s="6">
        <v>0</v>
      </c>
      <c r="T314" s="6">
        <v>17</v>
      </c>
      <c r="U314" s="6">
        <v>66</v>
      </c>
      <c r="V314" s="6">
        <f>IF(ISERROR(VLOOKUP($S$314,'TAR FIN'!$A$1:$O$103,15,0)),0,VLOOKUP($S$314,'TAR FIN'!$A$1:$O$103,15,0))</f>
        <v>0</v>
      </c>
      <c r="W314" s="6">
        <f>IF(ISERROR(VLOOKUP($T$314,'TAR FIN'!$A$1:$O$103,15,0)),0,VLOOKUP($T$314,'TAR FIN'!$A$1:$O$103,15,0))</f>
        <v>84.99</v>
      </c>
      <c r="X314" s="6">
        <f>IF(ISERROR(VLOOKUP($U$314,'TAR FIN'!$A$1:$O$103,15,0)),0,VLOOKUP($U$314,'TAR FIN'!$A$1:$O$103,15,0))</f>
        <v>242.77</v>
      </c>
      <c r="Y314" s="6"/>
      <c r="Z314" s="6">
        <f ca="1">('TUSD BE'!$AM$24+'TUSD BF'!$AM$24+'TUSD CVA'!$AM$24)*1</f>
        <v>145.72237393634796</v>
      </c>
      <c r="AA314" s="6">
        <f>('TE BE'!$AB$9+'TE BF'!$AB$9+'TE CVA'!$AB$9)*1</f>
        <v>222.39386487986414</v>
      </c>
      <c r="AB314" s="6">
        <f>$K$314*$V$314</f>
        <v>0</v>
      </c>
      <c r="AC314" s="6">
        <f>$M$314*$W$314</f>
        <v>3247.0429499999996</v>
      </c>
      <c r="AD314" s="6">
        <f>$O$314*$X$314</f>
        <v>9275.0278500000004</v>
      </c>
      <c r="AE314" s="6">
        <f>$K$314*$Y$314</f>
        <v>0</v>
      </c>
      <c r="AF314" s="6">
        <f ca="1">$M$314*$Z$314</f>
        <v>5567.3232962381735</v>
      </c>
      <c r="AG314" s="6">
        <f>$O$314*$AA$314</f>
        <v>8496.5576077352089</v>
      </c>
    </row>
    <row r="315" spans="1:33" ht="11.25" customHeight="1" x14ac:dyDescent="0.3">
      <c r="A315" s="4" t="s">
        <v>28</v>
      </c>
      <c r="B315" s="4" t="s">
        <v>39</v>
      </c>
      <c r="C315" s="4" t="s">
        <v>40</v>
      </c>
      <c r="D315" s="4" t="s">
        <v>46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44531</v>
      </c>
      <c r="J315" s="6">
        <v>0</v>
      </c>
      <c r="K315" s="6">
        <v>0</v>
      </c>
      <c r="L315" s="6">
        <v>11.188000000000001</v>
      </c>
      <c r="M315" s="6">
        <v>11.188000000000001</v>
      </c>
      <c r="N315" s="6">
        <v>11.188000000000001</v>
      </c>
      <c r="O315" s="6">
        <v>11.188000000000001</v>
      </c>
      <c r="P315" s="6">
        <v>0</v>
      </c>
      <c r="Q315" s="4" t="s">
        <v>26</v>
      </c>
      <c r="R315" s="4">
        <v>0</v>
      </c>
      <c r="S315" s="6">
        <v>0</v>
      </c>
      <c r="T315" s="6">
        <v>17</v>
      </c>
      <c r="U315" s="6">
        <v>66</v>
      </c>
      <c r="V315" s="6">
        <f>IF(ISERROR(VLOOKUP($S$315,'TAR FIN'!$A$1:$O$103,15,0)),0,VLOOKUP($S$315,'TAR FIN'!$A$1:$O$103,15,0))</f>
        <v>0</v>
      </c>
      <c r="W315" s="6">
        <f>IF(ISERROR(VLOOKUP($T$315,'TAR FIN'!$A$1:$O$103,15,0)),0,VLOOKUP($T$315,'TAR FIN'!$A$1:$O$103,15,0))</f>
        <v>84.99</v>
      </c>
      <c r="X315" s="6">
        <f>IF(ISERROR(VLOOKUP($U$315,'TAR FIN'!$A$1:$O$103,15,0)),0,VLOOKUP($U$315,'TAR FIN'!$A$1:$O$103,15,0))</f>
        <v>242.77</v>
      </c>
      <c r="Y315" s="6"/>
      <c r="Z315" s="6">
        <f ca="1">('TUSD BE'!$AM$24+'TUSD BF'!$AM$24+'TUSD CVA'!$AM$24)*1</f>
        <v>145.72237393634796</v>
      </c>
      <c r="AA315" s="6">
        <f>('TE BE'!$AB$9+'TE BF'!$AB$9+'TE CVA'!$AB$9)*1</f>
        <v>222.39386487986414</v>
      </c>
      <c r="AB315" s="6">
        <f>$K$315*$V$315</f>
        <v>0</v>
      </c>
      <c r="AC315" s="6">
        <f>$M$315*$W$315</f>
        <v>950.86811999999998</v>
      </c>
      <c r="AD315" s="6">
        <f>$O$315*$X$315</f>
        <v>2716.1107600000005</v>
      </c>
      <c r="AE315" s="6">
        <f>$K$315*$Y$315</f>
        <v>0</v>
      </c>
      <c r="AF315" s="6">
        <f ca="1">$M$315*$Z$315</f>
        <v>1630.3419195998611</v>
      </c>
      <c r="AG315" s="6">
        <f>$O$315*$AA$315</f>
        <v>2488.14256027592</v>
      </c>
    </row>
    <row r="316" spans="1:33" ht="11.25" customHeight="1" x14ac:dyDescent="0.3">
      <c r="A316" s="4" t="s">
        <v>21</v>
      </c>
      <c r="B316" s="4" t="s">
        <v>39</v>
      </c>
      <c r="C316" s="4" t="s">
        <v>40</v>
      </c>
      <c r="D316" s="4" t="s">
        <v>46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44562</v>
      </c>
      <c r="J316" s="6">
        <v>0</v>
      </c>
      <c r="K316" s="6">
        <v>0</v>
      </c>
      <c r="L316" s="6">
        <v>34.058</v>
      </c>
      <c r="M316" s="6">
        <v>34.058</v>
      </c>
      <c r="N316" s="6">
        <v>34.058</v>
      </c>
      <c r="O316" s="6">
        <v>34.058</v>
      </c>
      <c r="P316" s="6">
        <v>0</v>
      </c>
      <c r="Q316" s="4" t="s">
        <v>26</v>
      </c>
      <c r="R316" s="4">
        <v>0</v>
      </c>
      <c r="S316" s="6">
        <v>0</v>
      </c>
      <c r="T316" s="6">
        <v>17</v>
      </c>
      <c r="U316" s="6">
        <v>66</v>
      </c>
      <c r="V316" s="6">
        <f>IF(ISERROR(VLOOKUP($S$316,'TAR FIN'!$A$1:$O$103,15,0)),0,VLOOKUP($S$316,'TAR FIN'!$A$1:$O$103,15,0))</f>
        <v>0</v>
      </c>
      <c r="W316" s="6">
        <f>IF(ISERROR(VLOOKUP($T$316,'TAR FIN'!$A$1:$O$103,15,0)),0,VLOOKUP($T$316,'TAR FIN'!$A$1:$O$103,15,0))</f>
        <v>84.99</v>
      </c>
      <c r="X316" s="6">
        <f>IF(ISERROR(VLOOKUP($U$316,'TAR FIN'!$A$1:$O$103,15,0)),0,VLOOKUP($U$316,'TAR FIN'!$A$1:$O$103,15,0))</f>
        <v>242.77</v>
      </c>
      <c r="Y316" s="6"/>
      <c r="Z316" s="6">
        <f ca="1">('TUSD BE'!$AM$24+'TUSD BF'!$AM$24+'TUSD CVA'!$AM$24)*1</f>
        <v>145.72237393634796</v>
      </c>
      <c r="AA316" s="6">
        <f>('TE BE'!$AB$9+'TE BF'!$AB$9+'TE CVA'!$AB$9)*1</f>
        <v>222.39386487986414</v>
      </c>
      <c r="AB316" s="6">
        <f>$K$316*$V$316</f>
        <v>0</v>
      </c>
      <c r="AC316" s="6">
        <f>$M$316*$W$316</f>
        <v>2894.5894199999998</v>
      </c>
      <c r="AD316" s="6">
        <f>$O$316*$X$316</f>
        <v>8268.2606599999999</v>
      </c>
      <c r="AE316" s="6">
        <f>$K$316*$Y$316</f>
        <v>0</v>
      </c>
      <c r="AF316" s="6">
        <f ca="1">$M$316*$Z$316</f>
        <v>4963.0126115241392</v>
      </c>
      <c r="AG316" s="6">
        <f>$O$316*$AA$316</f>
        <v>7574.290250078413</v>
      </c>
    </row>
    <row r="317" spans="1:33" ht="11.25" customHeight="1" x14ac:dyDescent="0.3">
      <c r="A317" s="4" t="s">
        <v>28</v>
      </c>
      <c r="B317" s="4" t="s">
        <v>39</v>
      </c>
      <c r="C317" s="4" t="s">
        <v>40</v>
      </c>
      <c r="D317" s="4" t="s">
        <v>46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44562</v>
      </c>
      <c r="J317" s="6">
        <v>0</v>
      </c>
      <c r="K317" s="6">
        <v>0</v>
      </c>
      <c r="L317" s="6">
        <v>12.085000000000001</v>
      </c>
      <c r="M317" s="6">
        <v>12.085000000000001</v>
      </c>
      <c r="N317" s="6">
        <v>12.085000000000001</v>
      </c>
      <c r="O317" s="6">
        <v>12.085000000000001</v>
      </c>
      <c r="P317" s="6">
        <v>0</v>
      </c>
      <c r="Q317" s="4" t="s">
        <v>26</v>
      </c>
      <c r="R317" s="4">
        <v>0</v>
      </c>
      <c r="S317" s="6">
        <v>0</v>
      </c>
      <c r="T317" s="6">
        <v>17</v>
      </c>
      <c r="U317" s="6">
        <v>66</v>
      </c>
      <c r="V317" s="6">
        <f>IF(ISERROR(VLOOKUP($S$317,'TAR FIN'!$A$1:$O$103,15,0)),0,VLOOKUP($S$317,'TAR FIN'!$A$1:$O$103,15,0))</f>
        <v>0</v>
      </c>
      <c r="W317" s="6">
        <f>IF(ISERROR(VLOOKUP($T$317,'TAR FIN'!$A$1:$O$103,15,0)),0,VLOOKUP($T$317,'TAR FIN'!$A$1:$O$103,15,0))</f>
        <v>84.99</v>
      </c>
      <c r="X317" s="6">
        <f>IF(ISERROR(VLOOKUP($U$317,'TAR FIN'!$A$1:$O$103,15,0)),0,VLOOKUP($U$317,'TAR FIN'!$A$1:$O$103,15,0))</f>
        <v>242.77</v>
      </c>
      <c r="Y317" s="6"/>
      <c r="Z317" s="6">
        <f ca="1">('TUSD BE'!$AM$24+'TUSD BF'!$AM$24+'TUSD CVA'!$AM$24)*1</f>
        <v>145.72237393634796</v>
      </c>
      <c r="AA317" s="6">
        <f>('TE BE'!$AB$9+'TE BF'!$AB$9+'TE CVA'!$AB$9)*1</f>
        <v>222.39386487986414</v>
      </c>
      <c r="AB317" s="6">
        <f>$K$317*$V$317</f>
        <v>0</v>
      </c>
      <c r="AC317" s="6">
        <f>$M$317*$W$317</f>
        <v>1027.1041500000001</v>
      </c>
      <c r="AD317" s="6">
        <f>$O$317*$X$317</f>
        <v>2933.8754500000005</v>
      </c>
      <c r="AE317" s="6">
        <f>$K$317*$Y$317</f>
        <v>0</v>
      </c>
      <c r="AF317" s="6">
        <f ca="1">$M$317*$Z$317</f>
        <v>1761.0548890207654</v>
      </c>
      <c r="AG317" s="6">
        <f>$O$317*$AA$317</f>
        <v>2687.6298570731583</v>
      </c>
    </row>
    <row r="318" spans="1:33" ht="11.25" customHeight="1" x14ac:dyDescent="0.3">
      <c r="A318" s="4" t="s">
        <v>21</v>
      </c>
      <c r="B318" s="4" t="s">
        <v>39</v>
      </c>
      <c r="C318" s="4" t="s">
        <v>40</v>
      </c>
      <c r="D318" s="4" t="s">
        <v>46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44593</v>
      </c>
      <c r="J318" s="6">
        <v>0</v>
      </c>
      <c r="K318" s="6">
        <v>0</v>
      </c>
      <c r="L318" s="6">
        <v>38.064</v>
      </c>
      <c r="M318" s="6">
        <v>38.064</v>
      </c>
      <c r="N318" s="6">
        <v>38.064</v>
      </c>
      <c r="O318" s="6">
        <v>38.064</v>
      </c>
      <c r="P318" s="6">
        <v>0</v>
      </c>
      <c r="Q318" s="4" t="s">
        <v>26</v>
      </c>
      <c r="R318" s="4">
        <v>0</v>
      </c>
      <c r="S318" s="6">
        <v>0</v>
      </c>
      <c r="T318" s="6">
        <v>17</v>
      </c>
      <c r="U318" s="6">
        <v>66</v>
      </c>
      <c r="V318" s="6">
        <f>IF(ISERROR(VLOOKUP($S$318,'TAR FIN'!$A$1:$O$103,15,0)),0,VLOOKUP($S$318,'TAR FIN'!$A$1:$O$103,15,0))</f>
        <v>0</v>
      </c>
      <c r="W318" s="6">
        <f>IF(ISERROR(VLOOKUP($T$318,'TAR FIN'!$A$1:$O$103,15,0)),0,VLOOKUP($T$318,'TAR FIN'!$A$1:$O$103,15,0))</f>
        <v>84.99</v>
      </c>
      <c r="X318" s="6">
        <f>IF(ISERROR(VLOOKUP($U$318,'TAR FIN'!$A$1:$O$103,15,0)),0,VLOOKUP($U$318,'TAR FIN'!$A$1:$O$103,15,0))</f>
        <v>242.77</v>
      </c>
      <c r="Y318" s="6"/>
      <c r="Z318" s="6">
        <f ca="1">('TUSD BE'!$AM$24+'TUSD BF'!$AM$24+'TUSD CVA'!$AM$24)*1</f>
        <v>145.72237393634796</v>
      </c>
      <c r="AA318" s="6">
        <f>('TE BE'!$AB$9+'TE BF'!$AB$9+'TE CVA'!$AB$9)*1</f>
        <v>222.39386487986414</v>
      </c>
      <c r="AB318" s="6">
        <f>$K$318*$V$318</f>
        <v>0</v>
      </c>
      <c r="AC318" s="6">
        <f>$M$318*$W$318</f>
        <v>3235.0593599999997</v>
      </c>
      <c r="AD318" s="6">
        <f>$O$318*$X$318</f>
        <v>9240.7972800000007</v>
      </c>
      <c r="AE318" s="6">
        <f>$K$318*$Y$318</f>
        <v>0</v>
      </c>
      <c r="AF318" s="6">
        <f ca="1">$M$318*$Z$318</f>
        <v>5546.7764415131487</v>
      </c>
      <c r="AG318" s="6">
        <f>$O$318*$AA$318</f>
        <v>8465.2000727871491</v>
      </c>
    </row>
    <row r="319" spans="1:33" ht="11.25" customHeight="1" x14ac:dyDescent="0.3">
      <c r="A319" s="4" t="s">
        <v>28</v>
      </c>
      <c r="B319" s="4" t="s">
        <v>39</v>
      </c>
      <c r="C319" s="4" t="s">
        <v>40</v>
      </c>
      <c r="D319" s="4" t="s">
        <v>46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44593</v>
      </c>
      <c r="J319" s="6">
        <v>0</v>
      </c>
      <c r="K319" s="6">
        <v>0</v>
      </c>
      <c r="L319" s="6">
        <v>16.135999999999999</v>
      </c>
      <c r="M319" s="6">
        <v>16.135999999999999</v>
      </c>
      <c r="N319" s="6">
        <v>16.135999999999999</v>
      </c>
      <c r="O319" s="6">
        <v>16.135999999999999</v>
      </c>
      <c r="P319" s="6">
        <v>0</v>
      </c>
      <c r="Q319" s="4" t="s">
        <v>26</v>
      </c>
      <c r="R319" s="4">
        <v>0</v>
      </c>
      <c r="S319" s="6">
        <v>0</v>
      </c>
      <c r="T319" s="6">
        <v>17</v>
      </c>
      <c r="U319" s="6">
        <v>66</v>
      </c>
      <c r="V319" s="6">
        <f>IF(ISERROR(VLOOKUP($S$319,'TAR FIN'!$A$1:$O$103,15,0)),0,VLOOKUP($S$319,'TAR FIN'!$A$1:$O$103,15,0))</f>
        <v>0</v>
      </c>
      <c r="W319" s="6">
        <f>IF(ISERROR(VLOOKUP($T$319,'TAR FIN'!$A$1:$O$103,15,0)),0,VLOOKUP($T$319,'TAR FIN'!$A$1:$O$103,15,0))</f>
        <v>84.99</v>
      </c>
      <c r="X319" s="6">
        <f>IF(ISERROR(VLOOKUP($U$319,'TAR FIN'!$A$1:$O$103,15,0)),0,VLOOKUP($U$319,'TAR FIN'!$A$1:$O$103,15,0))</f>
        <v>242.77</v>
      </c>
      <c r="Y319" s="6"/>
      <c r="Z319" s="6">
        <f ca="1">('TUSD BE'!$AM$24+'TUSD BF'!$AM$24+'TUSD CVA'!$AM$24)*1</f>
        <v>145.72237393634796</v>
      </c>
      <c r="AA319" s="6">
        <f>('TE BE'!$AB$9+'TE BF'!$AB$9+'TE CVA'!$AB$9)*1</f>
        <v>222.39386487986414</v>
      </c>
      <c r="AB319" s="6">
        <f>$K$319*$V$319</f>
        <v>0</v>
      </c>
      <c r="AC319" s="6">
        <f>$M$319*$W$319</f>
        <v>1371.3986399999999</v>
      </c>
      <c r="AD319" s="6">
        <f>$O$319*$X$319</f>
        <v>3917.3367199999998</v>
      </c>
      <c r="AE319" s="6">
        <f>$K$319*$Y$319</f>
        <v>0</v>
      </c>
      <c r="AF319" s="6">
        <f ca="1">$M$319*$Z$319</f>
        <v>2351.3762258369106</v>
      </c>
      <c r="AG319" s="6">
        <f>$O$319*$AA$319</f>
        <v>3588.5474037014874</v>
      </c>
    </row>
    <row r="320" spans="1:33" ht="11.25" customHeight="1" x14ac:dyDescent="0.3">
      <c r="A320" s="4" t="s">
        <v>21</v>
      </c>
      <c r="B320" s="4" t="s">
        <v>39</v>
      </c>
      <c r="C320" s="4" t="s">
        <v>40</v>
      </c>
      <c r="D320" s="4" t="s">
        <v>46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44621</v>
      </c>
      <c r="J320" s="6">
        <v>0</v>
      </c>
      <c r="K320" s="6">
        <v>0</v>
      </c>
      <c r="L320" s="6">
        <v>49.121000000000002</v>
      </c>
      <c r="M320" s="6">
        <v>49.121000000000002</v>
      </c>
      <c r="N320" s="6">
        <v>49.121000000000002</v>
      </c>
      <c r="O320" s="6">
        <v>49.121000000000002</v>
      </c>
      <c r="P320" s="6">
        <v>0</v>
      </c>
      <c r="Q320" s="4" t="s">
        <v>26</v>
      </c>
      <c r="R320" s="4">
        <v>0</v>
      </c>
      <c r="S320" s="6">
        <v>0</v>
      </c>
      <c r="T320" s="6">
        <v>17</v>
      </c>
      <c r="U320" s="6">
        <v>66</v>
      </c>
      <c r="V320" s="6">
        <f>IF(ISERROR(VLOOKUP($S$320,'TAR FIN'!$A$1:$O$103,15,0)),0,VLOOKUP($S$320,'TAR FIN'!$A$1:$O$103,15,0))</f>
        <v>0</v>
      </c>
      <c r="W320" s="6">
        <f>IF(ISERROR(VLOOKUP($T$320,'TAR FIN'!$A$1:$O$103,15,0)),0,VLOOKUP($T$320,'TAR FIN'!$A$1:$O$103,15,0))</f>
        <v>84.99</v>
      </c>
      <c r="X320" s="6">
        <f>IF(ISERROR(VLOOKUP($U$320,'TAR FIN'!$A$1:$O$103,15,0)),0,VLOOKUP($U$320,'TAR FIN'!$A$1:$O$103,15,0))</f>
        <v>242.77</v>
      </c>
      <c r="Y320" s="6"/>
      <c r="Z320" s="6">
        <f ca="1">('TUSD BE'!$AM$24+'TUSD BF'!$AM$24+'TUSD CVA'!$AM$24)*1</f>
        <v>145.72237393634796</v>
      </c>
      <c r="AA320" s="6">
        <f>('TE BE'!$AB$9+'TE BF'!$AB$9+'TE CVA'!$AB$9)*1</f>
        <v>222.39386487986414</v>
      </c>
      <c r="AB320" s="6">
        <f>$K$320*$V$320</f>
        <v>0</v>
      </c>
      <c r="AC320" s="6">
        <f>$M$320*$W$320</f>
        <v>4174.7937899999997</v>
      </c>
      <c r="AD320" s="6">
        <f>$O$320*$X$320</f>
        <v>11925.105170000001</v>
      </c>
      <c r="AE320" s="6">
        <f>$K$320*$Y$320</f>
        <v>0</v>
      </c>
      <c r="AF320" s="6">
        <f ca="1">$M$320*$Z$320</f>
        <v>7158.0287301273484</v>
      </c>
      <c r="AG320" s="6">
        <f>$O$320*$AA$320</f>
        <v>10924.209036763807</v>
      </c>
    </row>
    <row r="321" spans="1:33" ht="11.25" customHeight="1" x14ac:dyDescent="0.3">
      <c r="A321" s="4" t="s">
        <v>28</v>
      </c>
      <c r="B321" s="4" t="s">
        <v>39</v>
      </c>
      <c r="C321" s="4" t="s">
        <v>40</v>
      </c>
      <c r="D321" s="4" t="s">
        <v>46</v>
      </c>
      <c r="E321" s="4" t="s">
        <v>25</v>
      </c>
      <c r="F321" s="4" t="s">
        <v>25</v>
      </c>
      <c r="G321" s="4" t="s">
        <v>25</v>
      </c>
      <c r="H321" s="4" t="s">
        <v>35</v>
      </c>
      <c r="I321" s="5">
        <v>44621</v>
      </c>
      <c r="J321" s="6">
        <v>0</v>
      </c>
      <c r="K321" s="6">
        <v>0</v>
      </c>
      <c r="L321" s="6">
        <v>37.816000000000003</v>
      </c>
      <c r="M321" s="6">
        <v>37.816000000000003</v>
      </c>
      <c r="N321" s="6">
        <v>37.816000000000003</v>
      </c>
      <c r="O321" s="6">
        <v>37.816000000000003</v>
      </c>
      <c r="P321" s="6">
        <v>0</v>
      </c>
      <c r="Q321" s="4" t="s">
        <v>26</v>
      </c>
      <c r="R321" s="4">
        <v>0</v>
      </c>
      <c r="S321" s="6">
        <v>0</v>
      </c>
      <c r="T321" s="6">
        <v>17</v>
      </c>
      <c r="U321" s="6">
        <v>66</v>
      </c>
      <c r="V321" s="6">
        <f>IF(ISERROR(VLOOKUP($S$321,'TAR FIN'!$A$1:$O$103,15,0)),0,VLOOKUP($S$321,'TAR FIN'!$A$1:$O$103,15,0))</f>
        <v>0</v>
      </c>
      <c r="W321" s="6">
        <f>IF(ISERROR(VLOOKUP($T$321,'TAR FIN'!$A$1:$O$103,15,0)),0,VLOOKUP($T$321,'TAR FIN'!$A$1:$O$103,15,0))</f>
        <v>84.99</v>
      </c>
      <c r="X321" s="6">
        <f>IF(ISERROR(VLOOKUP($U$321,'TAR FIN'!$A$1:$O$103,15,0)),0,VLOOKUP($U$321,'TAR FIN'!$A$1:$O$103,15,0))</f>
        <v>242.77</v>
      </c>
      <c r="Y321" s="6"/>
      <c r="Z321" s="6">
        <f ca="1">('TUSD BE'!$AM$24+'TUSD BF'!$AM$24+'TUSD CVA'!$AM$24)*1</f>
        <v>145.72237393634796</v>
      </c>
      <c r="AA321" s="6">
        <f>('TE BE'!$AB$9+'TE BF'!$AB$9+'TE CVA'!$AB$9)*1</f>
        <v>222.39386487986414</v>
      </c>
      <c r="AB321" s="6">
        <f>$K$321*$V$321</f>
        <v>0</v>
      </c>
      <c r="AC321" s="6">
        <f>$M$321*$W$321</f>
        <v>3213.9818399999999</v>
      </c>
      <c r="AD321" s="6">
        <f>$O$321*$X$321</f>
        <v>9180.5903200000012</v>
      </c>
      <c r="AE321" s="6">
        <f>$K$321*$Y$321</f>
        <v>0</v>
      </c>
      <c r="AF321" s="6">
        <f ca="1">$M$321*$Z$321</f>
        <v>5510.6372927769353</v>
      </c>
      <c r="AG321" s="6">
        <f>$O$321*$AA$321</f>
        <v>8410.0463942969436</v>
      </c>
    </row>
    <row r="322" spans="1:33" ht="11.25" customHeight="1" x14ac:dyDescent="0.3">
      <c r="A322" s="4" t="s">
        <v>21</v>
      </c>
      <c r="B322" s="4" t="s">
        <v>39</v>
      </c>
      <c r="C322" s="4" t="s">
        <v>40</v>
      </c>
      <c r="D322" s="4" t="s">
        <v>46</v>
      </c>
      <c r="E322" s="4" t="s">
        <v>25</v>
      </c>
      <c r="F322" s="4" t="s">
        <v>25</v>
      </c>
      <c r="G322" s="4" t="s">
        <v>25</v>
      </c>
      <c r="H322" s="4" t="s">
        <v>35</v>
      </c>
      <c r="I322" s="5">
        <v>44652</v>
      </c>
      <c r="J322" s="6">
        <v>0</v>
      </c>
      <c r="K322" s="6">
        <v>0</v>
      </c>
      <c r="L322" s="6">
        <v>49.987000000000002</v>
      </c>
      <c r="M322" s="6">
        <v>49.987000000000002</v>
      </c>
      <c r="N322" s="6">
        <v>49.987000000000002</v>
      </c>
      <c r="O322" s="6">
        <v>49.987000000000002</v>
      </c>
      <c r="P322" s="6">
        <v>0</v>
      </c>
      <c r="Q322" s="4" t="s">
        <v>26</v>
      </c>
      <c r="R322" s="4">
        <v>0</v>
      </c>
      <c r="S322" s="6">
        <v>0</v>
      </c>
      <c r="T322" s="6">
        <v>17</v>
      </c>
      <c r="U322" s="6">
        <v>66</v>
      </c>
      <c r="V322" s="6">
        <f>IF(ISERROR(VLOOKUP($S$322,'TAR FIN'!$A$1:$O$103,15,0)),0,VLOOKUP($S$322,'TAR FIN'!$A$1:$O$103,15,0))</f>
        <v>0</v>
      </c>
      <c r="W322" s="6">
        <f>IF(ISERROR(VLOOKUP($T$322,'TAR FIN'!$A$1:$O$103,15,0)),0,VLOOKUP($T$322,'TAR FIN'!$A$1:$O$103,15,0))</f>
        <v>84.99</v>
      </c>
      <c r="X322" s="6">
        <f>IF(ISERROR(VLOOKUP($U$322,'TAR FIN'!$A$1:$O$103,15,0)),0,VLOOKUP($U$322,'TAR FIN'!$A$1:$O$103,15,0))</f>
        <v>242.77</v>
      </c>
      <c r="Y322" s="6"/>
      <c r="Z322" s="6">
        <f ca="1">('TUSD BE'!$AM$24+'TUSD BF'!$AM$24+'TUSD CVA'!$AM$24)*1</f>
        <v>145.72237393634796</v>
      </c>
      <c r="AA322" s="6">
        <f>('TE BE'!$AB$9+'TE BF'!$AB$9+'TE CVA'!$AB$9)*1</f>
        <v>222.39386487986414</v>
      </c>
      <c r="AB322" s="6">
        <f>$K$322*$V$322</f>
        <v>0</v>
      </c>
      <c r="AC322" s="6">
        <f>$M$322*$W$322</f>
        <v>4248.3951299999999</v>
      </c>
      <c r="AD322" s="6">
        <f>$O$322*$X$322</f>
        <v>12135.343990000001</v>
      </c>
      <c r="AE322" s="6">
        <f>$K$322*$Y$322</f>
        <v>0</v>
      </c>
      <c r="AF322" s="6">
        <f ca="1">$M$322*$Z$322</f>
        <v>7284.2243059562261</v>
      </c>
      <c r="AG322" s="6">
        <f>$O$322*$AA$322</f>
        <v>11116.802123749769</v>
      </c>
    </row>
    <row r="323" spans="1:33" ht="11.25" customHeight="1" x14ac:dyDescent="0.3">
      <c r="A323" s="4" t="s">
        <v>28</v>
      </c>
      <c r="B323" s="4" t="s">
        <v>39</v>
      </c>
      <c r="C323" s="4" t="s">
        <v>40</v>
      </c>
      <c r="D323" s="4" t="s">
        <v>46</v>
      </c>
      <c r="E323" s="4" t="s">
        <v>25</v>
      </c>
      <c r="F323" s="4" t="s">
        <v>25</v>
      </c>
      <c r="G323" s="4" t="s">
        <v>25</v>
      </c>
      <c r="H323" s="4" t="s">
        <v>35</v>
      </c>
      <c r="I323" s="5">
        <v>44652</v>
      </c>
      <c r="J323" s="6">
        <v>0</v>
      </c>
      <c r="K323" s="6">
        <v>0</v>
      </c>
      <c r="L323" s="6">
        <v>40.042999999999999</v>
      </c>
      <c r="M323" s="6">
        <v>40.042999999999999</v>
      </c>
      <c r="N323" s="6">
        <v>40.042999999999999</v>
      </c>
      <c r="O323" s="6">
        <v>40.042999999999999</v>
      </c>
      <c r="P323" s="6">
        <v>0</v>
      </c>
      <c r="Q323" s="4" t="s">
        <v>26</v>
      </c>
      <c r="R323" s="4">
        <v>0</v>
      </c>
      <c r="S323" s="6">
        <v>0</v>
      </c>
      <c r="T323" s="6">
        <v>17</v>
      </c>
      <c r="U323" s="6">
        <v>66</v>
      </c>
      <c r="V323" s="6">
        <f>IF(ISERROR(VLOOKUP($S$323,'TAR FIN'!$A$1:$O$103,15,0)),0,VLOOKUP($S$323,'TAR FIN'!$A$1:$O$103,15,0))</f>
        <v>0</v>
      </c>
      <c r="W323" s="6">
        <f>IF(ISERROR(VLOOKUP($T$323,'TAR FIN'!$A$1:$O$103,15,0)),0,VLOOKUP($T$323,'TAR FIN'!$A$1:$O$103,15,0))</f>
        <v>84.99</v>
      </c>
      <c r="X323" s="6">
        <f>IF(ISERROR(VLOOKUP($U$323,'TAR FIN'!$A$1:$O$103,15,0)),0,VLOOKUP($U$323,'TAR FIN'!$A$1:$O$103,15,0))</f>
        <v>242.77</v>
      </c>
      <c r="Y323" s="6"/>
      <c r="Z323" s="6">
        <f ca="1">('TUSD BE'!$AM$24+'TUSD BF'!$AM$24+'TUSD CVA'!$AM$24)*1</f>
        <v>145.72237393634796</v>
      </c>
      <c r="AA323" s="6">
        <f>('TE BE'!$AB$9+'TE BF'!$AB$9+'TE CVA'!$AB$9)*1</f>
        <v>222.39386487986414</v>
      </c>
      <c r="AB323" s="6">
        <f>$K$323*$V$323</f>
        <v>0</v>
      </c>
      <c r="AC323" s="6">
        <f>$M$323*$W$323</f>
        <v>3403.2545699999996</v>
      </c>
      <c r="AD323" s="6">
        <f>$O$323*$X$323</f>
        <v>9721.2391100000004</v>
      </c>
      <c r="AE323" s="6">
        <f>$K$323*$Y$323</f>
        <v>0</v>
      </c>
      <c r="AF323" s="6">
        <f ca="1">$M$323*$Z$323</f>
        <v>5835.1610195331814</v>
      </c>
      <c r="AG323" s="6">
        <f>$O$323*$AA$323</f>
        <v>8905.3175313844004</v>
      </c>
    </row>
    <row r="324" spans="1:33" ht="11.25" customHeight="1" x14ac:dyDescent="0.3">
      <c r="A324" s="4" t="s">
        <v>21</v>
      </c>
      <c r="B324" s="4" t="s">
        <v>39</v>
      </c>
      <c r="C324" s="4" t="s">
        <v>40</v>
      </c>
      <c r="D324" s="4" t="s">
        <v>46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44682</v>
      </c>
      <c r="J324" s="6">
        <v>0</v>
      </c>
      <c r="K324" s="6">
        <v>0</v>
      </c>
      <c r="L324" s="6">
        <v>47.21</v>
      </c>
      <c r="M324" s="6">
        <v>47.21</v>
      </c>
      <c r="N324" s="6">
        <v>47.21</v>
      </c>
      <c r="O324" s="6">
        <v>47.21</v>
      </c>
      <c r="P324" s="6">
        <v>0</v>
      </c>
      <c r="Q324" s="4" t="s">
        <v>26</v>
      </c>
      <c r="R324" s="4">
        <v>0</v>
      </c>
      <c r="S324" s="6">
        <v>0</v>
      </c>
      <c r="T324" s="6">
        <v>17</v>
      </c>
      <c r="U324" s="6">
        <v>66</v>
      </c>
      <c r="V324" s="6">
        <f>IF(ISERROR(VLOOKUP($S$324,'TAR FIN'!$A$1:$O$103,15,0)),0,VLOOKUP($S$324,'TAR FIN'!$A$1:$O$103,15,0))</f>
        <v>0</v>
      </c>
      <c r="W324" s="6">
        <f>IF(ISERROR(VLOOKUP($T$324,'TAR FIN'!$A$1:$O$103,15,0)),0,VLOOKUP($T$324,'TAR FIN'!$A$1:$O$103,15,0))</f>
        <v>84.99</v>
      </c>
      <c r="X324" s="6">
        <f>IF(ISERROR(VLOOKUP($U$324,'TAR FIN'!$A$1:$O$103,15,0)),0,VLOOKUP($U$324,'TAR FIN'!$A$1:$O$103,15,0))</f>
        <v>242.77</v>
      </c>
      <c r="Y324" s="6"/>
      <c r="Z324" s="6">
        <f ca="1">('TUSD BE'!$AM$24+'TUSD BF'!$AM$24+'TUSD CVA'!$AM$24)*1</f>
        <v>145.72237393634796</v>
      </c>
      <c r="AA324" s="6">
        <f>('TE BE'!$AB$9+'TE BF'!$AB$9+'TE CVA'!$AB$9)*1</f>
        <v>222.39386487986414</v>
      </c>
      <c r="AB324" s="6">
        <f>$K$324*$V$324</f>
        <v>0</v>
      </c>
      <c r="AC324" s="6">
        <f>$M$324*$W$324</f>
        <v>4012.3779</v>
      </c>
      <c r="AD324" s="6">
        <f>$O$324*$X$324</f>
        <v>11461.171700000001</v>
      </c>
      <c r="AE324" s="6">
        <f>$K$324*$Y$324</f>
        <v>0</v>
      </c>
      <c r="AF324" s="6">
        <f ca="1">$M$324*$Z$324</f>
        <v>6879.5532735349871</v>
      </c>
      <c r="AG324" s="6">
        <f>$O$324*$AA$324</f>
        <v>10499.214360978387</v>
      </c>
    </row>
    <row r="325" spans="1:33" ht="11.25" customHeight="1" x14ac:dyDescent="0.3">
      <c r="A325" s="4" t="s">
        <v>28</v>
      </c>
      <c r="B325" s="4" t="s">
        <v>39</v>
      </c>
      <c r="C325" s="4" t="s">
        <v>40</v>
      </c>
      <c r="D325" s="4" t="s">
        <v>46</v>
      </c>
      <c r="E325" s="4" t="s">
        <v>25</v>
      </c>
      <c r="F325" s="4" t="s">
        <v>25</v>
      </c>
      <c r="G325" s="4" t="s">
        <v>25</v>
      </c>
      <c r="H325" s="4" t="s">
        <v>35</v>
      </c>
      <c r="I325" s="5">
        <v>44682</v>
      </c>
      <c r="J325" s="6">
        <v>0</v>
      </c>
      <c r="K325" s="6">
        <v>0</v>
      </c>
      <c r="L325" s="6">
        <v>39.948999999999998</v>
      </c>
      <c r="M325" s="6">
        <v>39.948999999999998</v>
      </c>
      <c r="N325" s="6">
        <v>39.948999999999998</v>
      </c>
      <c r="O325" s="6">
        <v>39.948999999999998</v>
      </c>
      <c r="P325" s="6">
        <v>0</v>
      </c>
      <c r="Q325" s="4" t="s">
        <v>26</v>
      </c>
      <c r="R325" s="4">
        <v>0</v>
      </c>
      <c r="S325" s="6">
        <v>0</v>
      </c>
      <c r="T325" s="6">
        <v>17</v>
      </c>
      <c r="U325" s="6">
        <v>66</v>
      </c>
      <c r="V325" s="6">
        <f>IF(ISERROR(VLOOKUP($S$325,'TAR FIN'!$A$1:$O$103,15,0)),0,VLOOKUP($S$325,'TAR FIN'!$A$1:$O$103,15,0))</f>
        <v>0</v>
      </c>
      <c r="W325" s="6">
        <f>IF(ISERROR(VLOOKUP($T$325,'TAR FIN'!$A$1:$O$103,15,0)),0,VLOOKUP($T$325,'TAR FIN'!$A$1:$O$103,15,0))</f>
        <v>84.99</v>
      </c>
      <c r="X325" s="6">
        <f>IF(ISERROR(VLOOKUP($U$325,'TAR FIN'!$A$1:$O$103,15,0)),0,VLOOKUP($U$325,'TAR FIN'!$A$1:$O$103,15,0))</f>
        <v>242.77</v>
      </c>
      <c r="Y325" s="6"/>
      <c r="Z325" s="6">
        <f ca="1">('TUSD BE'!$AM$24+'TUSD BF'!$AM$24+'TUSD CVA'!$AM$24)*1</f>
        <v>145.72237393634796</v>
      </c>
      <c r="AA325" s="6">
        <f>('TE BE'!$AB$9+'TE BF'!$AB$9+'TE CVA'!$AB$9)*1</f>
        <v>222.39386487986414</v>
      </c>
      <c r="AB325" s="6">
        <f>$K$325*$V$325</f>
        <v>0</v>
      </c>
      <c r="AC325" s="6">
        <f>$M$325*$W$325</f>
        <v>3395.2655099999997</v>
      </c>
      <c r="AD325" s="6">
        <f>$O$325*$X$325</f>
        <v>9698.4187299999994</v>
      </c>
      <c r="AE325" s="6">
        <f>$K$325*$Y$325</f>
        <v>0</v>
      </c>
      <c r="AF325" s="6">
        <f ca="1">$M$325*$Z$325</f>
        <v>5821.4631163831646</v>
      </c>
      <c r="AG325" s="6">
        <f>$O$325*$AA$325</f>
        <v>8884.412508085692</v>
      </c>
    </row>
    <row r="326" spans="1:33" ht="11.25" customHeight="1" x14ac:dyDescent="0.3">
      <c r="A326" s="4" t="s">
        <v>21</v>
      </c>
      <c r="B326" s="4" t="s">
        <v>39</v>
      </c>
      <c r="C326" s="4" t="s">
        <v>40</v>
      </c>
      <c r="D326" s="4" t="s">
        <v>46</v>
      </c>
      <c r="E326" s="4" t="s">
        <v>25</v>
      </c>
      <c r="F326" s="4" t="s">
        <v>25</v>
      </c>
      <c r="G326" s="4" t="s">
        <v>25</v>
      </c>
      <c r="H326" s="4" t="s">
        <v>35</v>
      </c>
      <c r="I326" s="5">
        <v>44713</v>
      </c>
      <c r="J326" s="6">
        <v>0</v>
      </c>
      <c r="K326" s="6">
        <v>0</v>
      </c>
      <c r="L326" s="6">
        <v>40.213000000000001</v>
      </c>
      <c r="M326" s="6">
        <v>40.213000000000001</v>
      </c>
      <c r="N326" s="6">
        <v>40.213000000000001</v>
      </c>
      <c r="O326" s="6">
        <v>40.213000000000001</v>
      </c>
      <c r="P326" s="6">
        <v>0</v>
      </c>
      <c r="Q326" s="4" t="s">
        <v>26</v>
      </c>
      <c r="R326" s="4">
        <v>0</v>
      </c>
      <c r="S326" s="6">
        <v>0</v>
      </c>
      <c r="T326" s="6">
        <v>17</v>
      </c>
      <c r="U326" s="6">
        <v>66</v>
      </c>
      <c r="V326" s="6">
        <f>IF(ISERROR(VLOOKUP($S$326,'TAR FIN'!$A$1:$O$103,15,0)),0,VLOOKUP($S$326,'TAR FIN'!$A$1:$O$103,15,0))</f>
        <v>0</v>
      </c>
      <c r="W326" s="6">
        <f>IF(ISERROR(VLOOKUP($T$326,'TAR FIN'!$A$1:$O$103,15,0)),0,VLOOKUP($T$326,'TAR FIN'!$A$1:$O$103,15,0))</f>
        <v>84.99</v>
      </c>
      <c r="X326" s="6">
        <f>IF(ISERROR(VLOOKUP($U$326,'TAR FIN'!$A$1:$O$103,15,0)),0,VLOOKUP($U$326,'TAR FIN'!$A$1:$O$103,15,0))</f>
        <v>242.77</v>
      </c>
      <c r="Y326" s="6"/>
      <c r="Z326" s="6">
        <f ca="1">('TUSD BE'!$AM$24+'TUSD BF'!$AM$24+'TUSD CVA'!$AM$24)*1</f>
        <v>145.72237393634796</v>
      </c>
      <c r="AA326" s="6">
        <f>('TE BE'!$AB$9+'TE BF'!$AB$9+'TE CVA'!$AB$9)*1</f>
        <v>222.39386487986414</v>
      </c>
      <c r="AB326" s="6">
        <f>$K$326*$V$326</f>
        <v>0</v>
      </c>
      <c r="AC326" s="6">
        <f>$M$326*$W$326</f>
        <v>3417.7028700000001</v>
      </c>
      <c r="AD326" s="6">
        <f>$O$326*$X$326</f>
        <v>9762.51001</v>
      </c>
      <c r="AE326" s="6">
        <f>$K$326*$Y$326</f>
        <v>0</v>
      </c>
      <c r="AF326" s="6">
        <f ca="1">$M$326*$Z$326</f>
        <v>5859.9338231023612</v>
      </c>
      <c r="AG326" s="6">
        <f>$O$326*$AA$326</f>
        <v>8943.124488413976</v>
      </c>
    </row>
    <row r="327" spans="1:33" ht="11.25" customHeight="1" x14ac:dyDescent="0.3">
      <c r="A327" s="4" t="s">
        <v>28</v>
      </c>
      <c r="B327" s="4" t="s">
        <v>39</v>
      </c>
      <c r="C327" s="4" t="s">
        <v>40</v>
      </c>
      <c r="D327" s="4" t="s">
        <v>46</v>
      </c>
      <c r="E327" s="4" t="s">
        <v>25</v>
      </c>
      <c r="F327" s="4" t="s">
        <v>25</v>
      </c>
      <c r="G327" s="4" t="s">
        <v>25</v>
      </c>
      <c r="H327" s="4" t="s">
        <v>35</v>
      </c>
      <c r="I327" s="5">
        <v>44713</v>
      </c>
      <c r="J327" s="6">
        <v>0</v>
      </c>
      <c r="K327" s="6">
        <v>0</v>
      </c>
      <c r="L327" s="6">
        <v>33.003</v>
      </c>
      <c r="M327" s="6">
        <v>33.003</v>
      </c>
      <c r="N327" s="6">
        <v>33.003</v>
      </c>
      <c r="O327" s="6">
        <v>33.003</v>
      </c>
      <c r="P327" s="6">
        <v>0</v>
      </c>
      <c r="Q327" s="4" t="s">
        <v>26</v>
      </c>
      <c r="R327" s="4">
        <v>0</v>
      </c>
      <c r="S327" s="6">
        <v>0</v>
      </c>
      <c r="T327" s="6">
        <v>17</v>
      </c>
      <c r="U327" s="6">
        <v>66</v>
      </c>
      <c r="V327" s="6">
        <f>IF(ISERROR(VLOOKUP($S$327,'TAR FIN'!$A$1:$O$103,15,0)),0,VLOOKUP($S$327,'TAR FIN'!$A$1:$O$103,15,0))</f>
        <v>0</v>
      </c>
      <c r="W327" s="6">
        <f>IF(ISERROR(VLOOKUP($T$327,'TAR FIN'!$A$1:$O$103,15,0)),0,VLOOKUP($T$327,'TAR FIN'!$A$1:$O$103,15,0))</f>
        <v>84.99</v>
      </c>
      <c r="X327" s="6">
        <f>IF(ISERROR(VLOOKUP($U$327,'TAR FIN'!$A$1:$O$103,15,0)),0,VLOOKUP($U$327,'TAR FIN'!$A$1:$O$103,15,0))</f>
        <v>242.77</v>
      </c>
      <c r="Y327" s="6"/>
      <c r="Z327" s="6">
        <f ca="1">('TUSD BE'!$AM$24+'TUSD BF'!$AM$24+'TUSD CVA'!$AM$24)*1</f>
        <v>145.72237393634796</v>
      </c>
      <c r="AA327" s="6">
        <f>('TE BE'!$AB$9+'TE BF'!$AB$9+'TE CVA'!$AB$9)*1</f>
        <v>222.39386487986414</v>
      </c>
      <c r="AB327" s="6">
        <f>$K$327*$V$327</f>
        <v>0</v>
      </c>
      <c r="AC327" s="6">
        <f>$M$327*$W$327</f>
        <v>2804.92497</v>
      </c>
      <c r="AD327" s="6">
        <f>$O$327*$X$327</f>
        <v>8012.1383100000003</v>
      </c>
      <c r="AE327" s="6">
        <f>$K$327*$Y$327</f>
        <v>0</v>
      </c>
      <c r="AF327" s="6">
        <f ca="1">$M$327*$Z$327</f>
        <v>4809.2755070212916</v>
      </c>
      <c r="AG327" s="6">
        <f>$O$327*$AA$327</f>
        <v>7339.6647226301566</v>
      </c>
    </row>
    <row r="328" spans="1:33" ht="11.25" customHeight="1" x14ac:dyDescent="0.3">
      <c r="A328" s="4" t="s">
        <v>21</v>
      </c>
      <c r="B328" s="4" t="s">
        <v>39</v>
      </c>
      <c r="C328" s="4" t="s">
        <v>40</v>
      </c>
      <c r="D328" s="4" t="s">
        <v>46</v>
      </c>
      <c r="E328" s="4" t="s">
        <v>25</v>
      </c>
      <c r="F328" s="4" t="s">
        <v>25</v>
      </c>
      <c r="G328" s="4" t="s">
        <v>25</v>
      </c>
      <c r="H328" s="4" t="s">
        <v>35</v>
      </c>
      <c r="I328" s="5">
        <v>44743</v>
      </c>
      <c r="J328" s="6">
        <v>0</v>
      </c>
      <c r="K328" s="6">
        <v>0</v>
      </c>
      <c r="L328" s="6">
        <v>29.54</v>
      </c>
      <c r="M328" s="6">
        <v>29.54</v>
      </c>
      <c r="N328" s="6">
        <v>29.54</v>
      </c>
      <c r="O328" s="6">
        <v>29.54</v>
      </c>
      <c r="P328" s="6">
        <v>0</v>
      </c>
      <c r="Q328" s="4" t="s">
        <v>26</v>
      </c>
      <c r="R328" s="4">
        <v>0</v>
      </c>
      <c r="S328" s="6">
        <v>0</v>
      </c>
      <c r="T328" s="6">
        <v>17</v>
      </c>
      <c r="U328" s="6">
        <v>66</v>
      </c>
      <c r="V328" s="6">
        <f>IF(ISERROR(VLOOKUP($S$328,'TAR FIN'!$A$1:$O$103,15,0)),0,VLOOKUP($S$328,'TAR FIN'!$A$1:$O$103,15,0))</f>
        <v>0</v>
      </c>
      <c r="W328" s="6">
        <f>IF(ISERROR(VLOOKUP($T$328,'TAR FIN'!$A$1:$O$103,15,0)),0,VLOOKUP($T$328,'TAR FIN'!$A$1:$O$103,15,0))</f>
        <v>84.99</v>
      </c>
      <c r="X328" s="6">
        <f>IF(ISERROR(VLOOKUP($U$328,'TAR FIN'!$A$1:$O$103,15,0)),0,VLOOKUP($U$328,'TAR FIN'!$A$1:$O$103,15,0))</f>
        <v>242.77</v>
      </c>
      <c r="Y328" s="6"/>
      <c r="Z328" s="6">
        <f ca="1">('TUSD BE'!$AM$24+'TUSD BF'!$AM$24+'TUSD CVA'!$AM$24)*1</f>
        <v>145.72237393634796</v>
      </c>
      <c r="AA328" s="6">
        <f>('TE BE'!$AB$9+'TE BF'!$AB$9+'TE CVA'!$AB$9)*1</f>
        <v>222.39386487986414</v>
      </c>
      <c r="AB328" s="6">
        <f>$K$328*$V$328</f>
        <v>0</v>
      </c>
      <c r="AC328" s="6">
        <f>$M$328*$W$328</f>
        <v>2510.6045999999997</v>
      </c>
      <c r="AD328" s="6">
        <f>$O$328*$X$328</f>
        <v>7171.4258</v>
      </c>
      <c r="AE328" s="6">
        <f>$K$328*$Y$328</f>
        <v>0</v>
      </c>
      <c r="AF328" s="6">
        <f ca="1">$M$328*$Z$328</f>
        <v>4304.6389260797187</v>
      </c>
      <c r="AG328" s="6">
        <f>$O$328*$AA$328</f>
        <v>6569.5147685511865</v>
      </c>
    </row>
    <row r="329" spans="1:33" ht="11.25" customHeight="1" x14ac:dyDescent="0.3">
      <c r="A329" s="4" t="s">
        <v>28</v>
      </c>
      <c r="B329" s="4" t="s">
        <v>39</v>
      </c>
      <c r="C329" s="4" t="s">
        <v>40</v>
      </c>
      <c r="D329" s="4" t="s">
        <v>46</v>
      </c>
      <c r="E329" s="4" t="s">
        <v>25</v>
      </c>
      <c r="F329" s="4" t="s">
        <v>25</v>
      </c>
      <c r="G329" s="4" t="s">
        <v>25</v>
      </c>
      <c r="H329" s="4" t="s">
        <v>35</v>
      </c>
      <c r="I329" s="5">
        <v>44743</v>
      </c>
      <c r="J329" s="6">
        <v>0</v>
      </c>
      <c r="K329" s="6">
        <v>0</v>
      </c>
      <c r="L329" s="6">
        <v>21.186</v>
      </c>
      <c r="M329" s="6">
        <v>21.186</v>
      </c>
      <c r="N329" s="6">
        <v>21.186</v>
      </c>
      <c r="O329" s="6">
        <v>21.186</v>
      </c>
      <c r="P329" s="6">
        <v>0</v>
      </c>
      <c r="Q329" s="4" t="s">
        <v>26</v>
      </c>
      <c r="R329" s="4">
        <v>0</v>
      </c>
      <c r="S329" s="6">
        <v>0</v>
      </c>
      <c r="T329" s="6">
        <v>17</v>
      </c>
      <c r="U329" s="6">
        <v>66</v>
      </c>
      <c r="V329" s="6">
        <f>IF(ISERROR(VLOOKUP($S$329,'TAR FIN'!$A$1:$O$103,15,0)),0,VLOOKUP($S$329,'TAR FIN'!$A$1:$O$103,15,0))</f>
        <v>0</v>
      </c>
      <c r="W329" s="6">
        <f>IF(ISERROR(VLOOKUP($T$329,'TAR FIN'!$A$1:$O$103,15,0)),0,VLOOKUP($T$329,'TAR FIN'!$A$1:$O$103,15,0))</f>
        <v>84.99</v>
      </c>
      <c r="X329" s="6">
        <f>IF(ISERROR(VLOOKUP($U$329,'TAR FIN'!$A$1:$O$103,15,0)),0,VLOOKUP($U$329,'TAR FIN'!$A$1:$O$103,15,0))</f>
        <v>242.77</v>
      </c>
      <c r="Y329" s="6"/>
      <c r="Z329" s="6">
        <f ca="1">('TUSD BE'!$AM$24+'TUSD BF'!$AM$24+'TUSD CVA'!$AM$24)*1</f>
        <v>145.72237393634796</v>
      </c>
      <c r="AA329" s="6">
        <f>('TE BE'!$AB$9+'TE BF'!$AB$9+'TE CVA'!$AB$9)*1</f>
        <v>222.39386487986414</v>
      </c>
      <c r="AB329" s="6">
        <f>$K$329*$V$329</f>
        <v>0</v>
      </c>
      <c r="AC329" s="6">
        <f>$M$329*$W$329</f>
        <v>1800.5981399999998</v>
      </c>
      <c r="AD329" s="6">
        <f>$O$329*$X$329</f>
        <v>5143.3252200000006</v>
      </c>
      <c r="AE329" s="6">
        <f>$K$329*$Y$329</f>
        <v>0</v>
      </c>
      <c r="AF329" s="6">
        <f ca="1">$M$329*$Z$329</f>
        <v>3087.274214215468</v>
      </c>
      <c r="AG329" s="6">
        <f>$O$329*$AA$329</f>
        <v>4711.6364213448014</v>
      </c>
    </row>
    <row r="330" spans="1:33" ht="11.25" customHeight="1" x14ac:dyDescent="0.3">
      <c r="A330" s="4" t="s">
        <v>21</v>
      </c>
      <c r="B330" s="4" t="s">
        <v>39</v>
      </c>
      <c r="C330" s="4" t="s">
        <v>40</v>
      </c>
      <c r="D330" s="4" t="s">
        <v>46</v>
      </c>
      <c r="E330" s="4" t="s">
        <v>25</v>
      </c>
      <c r="F330" s="4" t="s">
        <v>25</v>
      </c>
      <c r="G330" s="4" t="s">
        <v>25</v>
      </c>
      <c r="H330" s="4" t="s">
        <v>35</v>
      </c>
      <c r="I330" s="5">
        <v>44774</v>
      </c>
      <c r="J330" s="6">
        <v>0</v>
      </c>
      <c r="K330" s="6">
        <v>0</v>
      </c>
      <c r="L330" s="6">
        <v>55.023000000000003</v>
      </c>
      <c r="M330" s="6">
        <v>55.023000000000003</v>
      </c>
      <c r="N330" s="6">
        <v>55.023000000000003</v>
      </c>
      <c r="O330" s="6">
        <v>55.023000000000003</v>
      </c>
      <c r="P330" s="6">
        <v>0</v>
      </c>
      <c r="Q330" s="4" t="s">
        <v>26</v>
      </c>
      <c r="R330" s="4">
        <v>0</v>
      </c>
      <c r="S330" s="6">
        <v>0</v>
      </c>
      <c r="T330" s="6">
        <v>17</v>
      </c>
      <c r="U330" s="6">
        <v>66</v>
      </c>
      <c r="V330" s="6">
        <f>IF(ISERROR(VLOOKUP($S$330,'TAR FIN'!$A$1:$O$103,15,0)),0,VLOOKUP($S$330,'TAR FIN'!$A$1:$O$103,15,0))</f>
        <v>0</v>
      </c>
      <c r="W330" s="6">
        <f>IF(ISERROR(VLOOKUP($T$330,'TAR FIN'!$A$1:$O$103,15,0)),0,VLOOKUP($T$330,'TAR FIN'!$A$1:$O$103,15,0))</f>
        <v>84.99</v>
      </c>
      <c r="X330" s="6">
        <f>IF(ISERROR(VLOOKUP($U$330,'TAR FIN'!$A$1:$O$103,15,0)),0,VLOOKUP($U$330,'TAR FIN'!$A$1:$O$103,15,0))</f>
        <v>242.77</v>
      </c>
      <c r="Y330" s="6"/>
      <c r="Z330" s="6">
        <f ca="1">('TUSD BE'!$AM$24+'TUSD BF'!$AM$24+'TUSD CVA'!$AM$24)*1</f>
        <v>145.72237393634796</v>
      </c>
      <c r="AA330" s="6">
        <f>('TE BE'!$AB$9+'TE BF'!$AB$9+'TE CVA'!$AB$9)*1</f>
        <v>222.39386487986414</v>
      </c>
      <c r="AB330" s="6">
        <f>$K$330*$V$330</f>
        <v>0</v>
      </c>
      <c r="AC330" s="6">
        <f>$M$330*$W$330</f>
        <v>4676.4047700000001</v>
      </c>
      <c r="AD330" s="6">
        <f>$O$330*$X$330</f>
        <v>13357.933710000001</v>
      </c>
      <c r="AE330" s="6">
        <f>$K$330*$Y$330</f>
        <v>0</v>
      </c>
      <c r="AF330" s="6">
        <f ca="1">$M$330*$Z$330</f>
        <v>8018.0821810996749</v>
      </c>
      <c r="AG330" s="6">
        <f>$O$330*$AA$330</f>
        <v>12236.777627284766</v>
      </c>
    </row>
    <row r="331" spans="1:33" ht="11.25" customHeight="1" x14ac:dyDescent="0.3">
      <c r="A331" s="4" t="s">
        <v>28</v>
      </c>
      <c r="B331" s="4" t="s">
        <v>39</v>
      </c>
      <c r="C331" s="4" t="s">
        <v>40</v>
      </c>
      <c r="D331" s="4" t="s">
        <v>46</v>
      </c>
      <c r="E331" s="4" t="s">
        <v>25</v>
      </c>
      <c r="F331" s="4" t="s">
        <v>25</v>
      </c>
      <c r="G331" s="4" t="s">
        <v>25</v>
      </c>
      <c r="H331" s="4" t="s">
        <v>35</v>
      </c>
      <c r="I331" s="5">
        <v>44774</v>
      </c>
      <c r="J331" s="6">
        <v>0</v>
      </c>
      <c r="K331" s="6">
        <v>0</v>
      </c>
      <c r="L331" s="6">
        <v>34.936999999999998</v>
      </c>
      <c r="M331" s="6">
        <v>34.936999999999998</v>
      </c>
      <c r="N331" s="6">
        <v>34.936999999999998</v>
      </c>
      <c r="O331" s="6">
        <v>34.936999999999998</v>
      </c>
      <c r="P331" s="6">
        <v>0</v>
      </c>
      <c r="Q331" s="4" t="s">
        <v>26</v>
      </c>
      <c r="R331" s="4">
        <v>0</v>
      </c>
      <c r="S331" s="6">
        <v>0</v>
      </c>
      <c r="T331" s="6">
        <v>17</v>
      </c>
      <c r="U331" s="6">
        <v>66</v>
      </c>
      <c r="V331" s="6">
        <f>IF(ISERROR(VLOOKUP($S$331,'TAR FIN'!$A$1:$O$103,15,0)),0,VLOOKUP($S$331,'TAR FIN'!$A$1:$O$103,15,0))</f>
        <v>0</v>
      </c>
      <c r="W331" s="6">
        <f>IF(ISERROR(VLOOKUP($T$331,'TAR FIN'!$A$1:$O$103,15,0)),0,VLOOKUP($T$331,'TAR FIN'!$A$1:$O$103,15,0))</f>
        <v>84.99</v>
      </c>
      <c r="X331" s="6">
        <f>IF(ISERROR(VLOOKUP($U$331,'TAR FIN'!$A$1:$O$103,15,0)),0,VLOOKUP($U$331,'TAR FIN'!$A$1:$O$103,15,0))</f>
        <v>242.77</v>
      </c>
      <c r="Y331" s="6"/>
      <c r="Z331" s="6">
        <f ca="1">('TUSD BE'!$AM$24+'TUSD BF'!$AM$24+'TUSD CVA'!$AM$24)*1</f>
        <v>145.72237393634796</v>
      </c>
      <c r="AA331" s="6">
        <f>('TE BE'!$AB$9+'TE BF'!$AB$9+'TE CVA'!$AB$9)*1</f>
        <v>222.39386487986414</v>
      </c>
      <c r="AB331" s="6">
        <f>$K$331*$V$331</f>
        <v>0</v>
      </c>
      <c r="AC331" s="6">
        <f>$M$331*$W$331</f>
        <v>2969.2956299999996</v>
      </c>
      <c r="AD331" s="6">
        <f>$O$331*$X$331</f>
        <v>8481.6554899999992</v>
      </c>
      <c r="AE331" s="6">
        <f>$K$331*$Y$331</f>
        <v>0</v>
      </c>
      <c r="AF331" s="6">
        <f ca="1">$M$331*$Z$331</f>
        <v>5091.1025782141887</v>
      </c>
      <c r="AG331" s="6">
        <f>$O$331*$AA$331</f>
        <v>7769.7744573078126</v>
      </c>
    </row>
    <row r="332" spans="1:33" ht="11.25" customHeight="1" x14ac:dyDescent="0.3">
      <c r="A332" s="4" t="s">
        <v>21</v>
      </c>
      <c r="B332" s="4" t="s">
        <v>39</v>
      </c>
      <c r="C332" s="4" t="s">
        <v>40</v>
      </c>
      <c r="D332" s="4" t="s">
        <v>46</v>
      </c>
      <c r="E332" s="4" t="s">
        <v>25</v>
      </c>
      <c r="F332" s="4" t="s">
        <v>25</v>
      </c>
      <c r="G332" s="4" t="s">
        <v>25</v>
      </c>
      <c r="H332" s="4" t="s">
        <v>35</v>
      </c>
      <c r="I332" s="5">
        <v>44805</v>
      </c>
      <c r="J332" s="6">
        <v>0</v>
      </c>
      <c r="K332" s="6">
        <v>0</v>
      </c>
      <c r="L332" s="6">
        <v>66.283000000000001</v>
      </c>
      <c r="M332" s="6">
        <v>66.283000000000001</v>
      </c>
      <c r="N332" s="6">
        <v>66.283000000000001</v>
      </c>
      <c r="O332" s="6">
        <v>66.283000000000001</v>
      </c>
      <c r="P332" s="6">
        <v>0</v>
      </c>
      <c r="Q332" s="4" t="s">
        <v>26</v>
      </c>
      <c r="R332" s="4">
        <v>0</v>
      </c>
      <c r="S332" s="6">
        <v>0</v>
      </c>
      <c r="T332" s="6">
        <v>17</v>
      </c>
      <c r="U332" s="6">
        <v>66</v>
      </c>
      <c r="V332" s="6">
        <f>IF(ISERROR(VLOOKUP($S$332,'TAR FIN'!$A$1:$O$103,15,0)),0,VLOOKUP($S$332,'TAR FIN'!$A$1:$O$103,15,0))</f>
        <v>0</v>
      </c>
      <c r="W332" s="6">
        <f>IF(ISERROR(VLOOKUP($T$332,'TAR FIN'!$A$1:$O$103,15,0)),0,VLOOKUP($T$332,'TAR FIN'!$A$1:$O$103,15,0))</f>
        <v>84.99</v>
      </c>
      <c r="X332" s="6">
        <f>IF(ISERROR(VLOOKUP($U$332,'TAR FIN'!$A$1:$O$103,15,0)),0,VLOOKUP($U$332,'TAR FIN'!$A$1:$O$103,15,0))</f>
        <v>242.77</v>
      </c>
      <c r="Y332" s="6"/>
      <c r="Z332" s="6">
        <f ca="1">('TUSD BE'!$AM$24+'TUSD BF'!$AM$24+'TUSD CVA'!$AM$24)*1</f>
        <v>145.72237393634796</v>
      </c>
      <c r="AA332" s="6">
        <f>('TE BE'!$AB$9+'TE BF'!$AB$9+'TE CVA'!$AB$9)*1</f>
        <v>222.39386487986414</v>
      </c>
      <c r="AB332" s="6">
        <f>$K$332*$V$332</f>
        <v>0</v>
      </c>
      <c r="AC332" s="6">
        <f>$M$332*$W$332</f>
        <v>5633.3921700000001</v>
      </c>
      <c r="AD332" s="6">
        <f>$O$332*$X$332</f>
        <v>16091.523910000002</v>
      </c>
      <c r="AE332" s="6">
        <f>$K$332*$Y$332</f>
        <v>0</v>
      </c>
      <c r="AF332" s="6">
        <f ca="1">$M$332*$Z$332</f>
        <v>9658.9161116229516</v>
      </c>
      <c r="AG332" s="6">
        <f>$O$332*$AA$332</f>
        <v>14740.932545832035</v>
      </c>
    </row>
    <row r="333" spans="1:33" ht="11.25" customHeight="1" x14ac:dyDescent="0.3">
      <c r="A333" s="4" t="s">
        <v>28</v>
      </c>
      <c r="B333" s="4" t="s">
        <v>39</v>
      </c>
      <c r="C333" s="4" t="s">
        <v>40</v>
      </c>
      <c r="D333" s="4" t="s">
        <v>46</v>
      </c>
      <c r="E333" s="4" t="s">
        <v>25</v>
      </c>
      <c r="F333" s="4" t="s">
        <v>25</v>
      </c>
      <c r="G333" s="4" t="s">
        <v>25</v>
      </c>
      <c r="H333" s="4" t="s">
        <v>35</v>
      </c>
      <c r="I333" s="5">
        <v>44805</v>
      </c>
      <c r="J333" s="6">
        <v>0</v>
      </c>
      <c r="K333" s="6">
        <v>0</v>
      </c>
      <c r="L333" s="6">
        <v>50.369</v>
      </c>
      <c r="M333" s="6">
        <v>50.369</v>
      </c>
      <c r="N333" s="6">
        <v>50.369</v>
      </c>
      <c r="O333" s="6">
        <v>50.369</v>
      </c>
      <c r="P333" s="6">
        <v>0</v>
      </c>
      <c r="Q333" s="4" t="s">
        <v>26</v>
      </c>
      <c r="R333" s="4">
        <v>0</v>
      </c>
      <c r="S333" s="6">
        <v>0</v>
      </c>
      <c r="T333" s="6">
        <v>17</v>
      </c>
      <c r="U333" s="6">
        <v>66</v>
      </c>
      <c r="V333" s="6">
        <f>IF(ISERROR(VLOOKUP($S$333,'TAR FIN'!$A$1:$O$103,15,0)),0,VLOOKUP($S$333,'TAR FIN'!$A$1:$O$103,15,0))</f>
        <v>0</v>
      </c>
      <c r="W333" s="6">
        <f>IF(ISERROR(VLOOKUP($T$333,'TAR FIN'!$A$1:$O$103,15,0)),0,VLOOKUP($T$333,'TAR FIN'!$A$1:$O$103,15,0))</f>
        <v>84.99</v>
      </c>
      <c r="X333" s="6">
        <f>IF(ISERROR(VLOOKUP($U$333,'TAR FIN'!$A$1:$O$103,15,0)),0,VLOOKUP($U$333,'TAR FIN'!$A$1:$O$103,15,0))</f>
        <v>242.77</v>
      </c>
      <c r="Y333" s="6"/>
      <c r="Z333" s="6">
        <f ca="1">('TUSD BE'!$AM$24+'TUSD BF'!$AM$24+'TUSD CVA'!$AM$24)*1</f>
        <v>145.72237393634796</v>
      </c>
      <c r="AA333" s="6">
        <f>('TE BE'!$AB$9+'TE BF'!$AB$9+'TE CVA'!$AB$9)*1</f>
        <v>222.39386487986414</v>
      </c>
      <c r="AB333" s="6">
        <f>$K$333*$V$333</f>
        <v>0</v>
      </c>
      <c r="AC333" s="6">
        <f>$M$333*$W$333</f>
        <v>4280.8613099999993</v>
      </c>
      <c r="AD333" s="6">
        <f>$O$333*$X$333</f>
        <v>12228.082130000001</v>
      </c>
      <c r="AE333" s="6">
        <f>$K$333*$Y$333</f>
        <v>0</v>
      </c>
      <c r="AF333" s="6">
        <f ca="1">$M$333*$Z$333</f>
        <v>7339.8902527999107</v>
      </c>
      <c r="AG333" s="6">
        <f>$O$333*$AA$333</f>
        <v>11201.756580133877</v>
      </c>
    </row>
    <row r="334" spans="1:33" ht="11.25" customHeight="1" x14ac:dyDescent="0.3">
      <c r="A334" s="4" t="s">
        <v>57</v>
      </c>
      <c r="B334" s="4" t="s">
        <v>39</v>
      </c>
      <c r="C334" s="4" t="s">
        <v>40</v>
      </c>
      <c r="D334" s="4" t="s">
        <v>46</v>
      </c>
      <c r="E334" s="4" t="s">
        <v>25</v>
      </c>
      <c r="F334" s="4" t="s">
        <v>25</v>
      </c>
      <c r="G334" s="4" t="s">
        <v>25</v>
      </c>
      <c r="H334" s="4" t="s">
        <v>35</v>
      </c>
      <c r="I334" s="5">
        <v>44835</v>
      </c>
      <c r="J334" s="6">
        <v>0</v>
      </c>
      <c r="K334" s="6">
        <v>0</v>
      </c>
      <c r="L334" s="6">
        <v>66.283000000000001</v>
      </c>
      <c r="M334" s="6">
        <v>66.283000000000001</v>
      </c>
      <c r="N334" s="6">
        <v>66.283000000000001</v>
      </c>
      <c r="O334" s="6">
        <v>66.283000000000001</v>
      </c>
      <c r="P334" s="6">
        <v>0</v>
      </c>
      <c r="Q334" s="4" t="s">
        <v>26</v>
      </c>
      <c r="R334" s="4">
        <v>0</v>
      </c>
      <c r="S334" s="6">
        <v>0</v>
      </c>
      <c r="T334" s="6">
        <v>17</v>
      </c>
      <c r="U334" s="6">
        <v>66</v>
      </c>
      <c r="V334" s="6">
        <f>IF(ISERROR(VLOOKUP($S$334,'TAR FIN'!$A$1:$O$103,15,0)),0,VLOOKUP($S$334,'TAR FIN'!$A$1:$O$103,15,0))</f>
        <v>0</v>
      </c>
      <c r="W334" s="6">
        <f>IF(ISERROR(VLOOKUP($T$334,'TAR FIN'!$A$1:$O$103,15,0)),0,VLOOKUP($T$334,'TAR FIN'!$A$1:$O$103,15,0))</f>
        <v>84.99</v>
      </c>
      <c r="X334" s="6">
        <f>IF(ISERROR(VLOOKUP($U$334,'TAR FIN'!$A$1:$O$103,15,0)),0,VLOOKUP($U$334,'TAR FIN'!$A$1:$O$103,15,0))</f>
        <v>242.77</v>
      </c>
      <c r="Y334" s="6"/>
      <c r="Z334" s="6">
        <f ca="1">('TUSD BE'!$AM$24+'TUSD BF'!$AM$24+'TUSD CVA'!$AM$24)*1</f>
        <v>145.72237393634796</v>
      </c>
      <c r="AA334" s="6">
        <f>('TE BE'!$AB$9+'TE BF'!$AB$9+'TE CVA'!$AB$9)*1</f>
        <v>222.39386487986414</v>
      </c>
      <c r="AB334" s="6">
        <f>$K$334*$V$334</f>
        <v>0</v>
      </c>
      <c r="AC334" s="6">
        <f>$M$334*$W$334</f>
        <v>5633.3921700000001</v>
      </c>
      <c r="AD334" s="6">
        <f>$O$334*$X$334</f>
        <v>16091.523910000002</v>
      </c>
      <c r="AE334" s="6">
        <f>$K$334*$Y$334</f>
        <v>0</v>
      </c>
      <c r="AF334" s="6">
        <f ca="1">$M$334*$Z$334</f>
        <v>9658.9161116229516</v>
      </c>
      <c r="AG334" s="6">
        <f>$O$334*$AA$334</f>
        <v>14740.932545832035</v>
      </c>
    </row>
    <row r="335" spans="1:33" ht="11.25" customHeight="1" x14ac:dyDescent="0.3">
      <c r="A335" s="4" t="s">
        <v>57</v>
      </c>
      <c r="B335" s="4" t="s">
        <v>39</v>
      </c>
      <c r="C335" s="4" t="s">
        <v>40</v>
      </c>
      <c r="D335" s="4" t="s">
        <v>46</v>
      </c>
      <c r="E335" s="4" t="s">
        <v>25</v>
      </c>
      <c r="F335" s="4" t="s">
        <v>25</v>
      </c>
      <c r="G335" s="4" t="s">
        <v>25</v>
      </c>
      <c r="H335" s="4" t="s">
        <v>35</v>
      </c>
      <c r="I335" s="5">
        <v>44835</v>
      </c>
      <c r="J335" s="6">
        <v>0</v>
      </c>
      <c r="K335" s="6">
        <v>0</v>
      </c>
      <c r="L335" s="6">
        <v>50.369</v>
      </c>
      <c r="M335" s="6">
        <v>50.369</v>
      </c>
      <c r="N335" s="6">
        <v>50.369</v>
      </c>
      <c r="O335" s="6">
        <v>50.369</v>
      </c>
      <c r="P335" s="6">
        <v>0</v>
      </c>
      <c r="Q335" s="4" t="s">
        <v>26</v>
      </c>
      <c r="R335" s="4">
        <v>0</v>
      </c>
      <c r="S335" s="6">
        <v>0</v>
      </c>
      <c r="T335" s="6">
        <v>17</v>
      </c>
      <c r="U335" s="6">
        <v>66</v>
      </c>
      <c r="V335" s="6">
        <f>IF(ISERROR(VLOOKUP($S$335,'TAR FIN'!$A$1:$O$103,15,0)),0,VLOOKUP($S$335,'TAR FIN'!$A$1:$O$103,15,0))</f>
        <v>0</v>
      </c>
      <c r="W335" s="6">
        <f>IF(ISERROR(VLOOKUP($T$335,'TAR FIN'!$A$1:$O$103,15,0)),0,VLOOKUP($T$335,'TAR FIN'!$A$1:$O$103,15,0))</f>
        <v>84.99</v>
      </c>
      <c r="X335" s="6">
        <f>IF(ISERROR(VLOOKUP($U$335,'TAR FIN'!$A$1:$O$103,15,0)),0,VLOOKUP($U$335,'TAR FIN'!$A$1:$O$103,15,0))</f>
        <v>242.77</v>
      </c>
      <c r="Y335" s="6"/>
      <c r="Z335" s="6">
        <f ca="1">('TUSD BE'!$AM$24+'TUSD BF'!$AM$24+'TUSD CVA'!$AM$24)*1</f>
        <v>145.72237393634796</v>
      </c>
      <c r="AA335" s="6">
        <f>('TE BE'!$AB$9+'TE BF'!$AB$9+'TE CVA'!$AB$9)*1</f>
        <v>222.39386487986414</v>
      </c>
      <c r="AB335" s="6">
        <f>$K$335*$V$335</f>
        <v>0</v>
      </c>
      <c r="AC335" s="6">
        <f>$M$335*$W$335</f>
        <v>4280.8613099999993</v>
      </c>
      <c r="AD335" s="6">
        <f>$O$335*$X$335</f>
        <v>12228.082130000001</v>
      </c>
      <c r="AE335" s="6">
        <f>$K$335*$Y$335</f>
        <v>0</v>
      </c>
      <c r="AF335" s="6">
        <f ca="1">$M$335*$Z$335</f>
        <v>7339.8902527999107</v>
      </c>
      <c r="AG335" s="6">
        <f>$O$335*$AA$335</f>
        <v>11201.756580133877</v>
      </c>
    </row>
    <row r="336" spans="1:33" ht="11.25" customHeight="1" x14ac:dyDescent="0.3">
      <c r="A336" s="4" t="s">
        <v>21</v>
      </c>
      <c r="B336" s="4" t="s">
        <v>39</v>
      </c>
      <c r="C336" s="4" t="s">
        <v>40</v>
      </c>
      <c r="D336" s="4" t="s">
        <v>46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44501</v>
      </c>
      <c r="J336" s="6">
        <v>395</v>
      </c>
      <c r="K336" s="6">
        <v>395</v>
      </c>
      <c r="L336" s="6">
        <v>0</v>
      </c>
      <c r="M336" s="6">
        <v>0</v>
      </c>
      <c r="N336" s="6">
        <v>0</v>
      </c>
      <c r="O336" s="6">
        <v>0</v>
      </c>
      <c r="P336" s="6">
        <v>7</v>
      </c>
      <c r="Q336" s="4" t="s">
        <v>26</v>
      </c>
      <c r="R336" s="4">
        <v>0</v>
      </c>
      <c r="S336" s="6">
        <v>13</v>
      </c>
      <c r="T336" s="6">
        <v>0</v>
      </c>
      <c r="U336" s="6">
        <v>0</v>
      </c>
      <c r="V336" s="6">
        <f>IF(ISERROR(VLOOKUP($S$336,'TAR FIN'!$A$1:$O$103,15,0)),0,VLOOKUP($S$336,'TAR FIN'!$A$1:$O$103,15,0))</f>
        <v>18.920000000000002</v>
      </c>
      <c r="W336" s="6">
        <f>IF(ISERROR(VLOOKUP($T$336,'TAR FIN'!$A$1:$O$103,15,0)),0,VLOOKUP($T$336,'TAR FIN'!$A$1:$O$103,15,0))</f>
        <v>0</v>
      </c>
      <c r="X336" s="6">
        <f>IF(ISERROR(VLOOKUP($U$336,'TAR FIN'!$A$1:$O$103,15,0)),0,VLOOKUP($U$336,'TAR FIN'!$A$1:$O$103,15,0))</f>
        <v>0</v>
      </c>
      <c r="Y336" s="6">
        <f ca="1">('TUSD BE'!$AM$22+'TUSD BF'!$AM$22+'TUSD CVA'!$AM$22)*1</f>
        <v>21.369338625624472</v>
      </c>
      <c r="Z336" s="6"/>
      <c r="AA336" s="6"/>
      <c r="AB336" s="6">
        <f>$K$336*$V$336</f>
        <v>7473.4000000000005</v>
      </c>
      <c r="AC336" s="6">
        <f>$M$336*$W$336</f>
        <v>0</v>
      </c>
      <c r="AD336" s="6">
        <f>$O$336*$X$336</f>
        <v>0</v>
      </c>
      <c r="AE336" s="6">
        <f ca="1">$K$336*$Y$336</f>
        <v>8440.8887571216674</v>
      </c>
      <c r="AF336" s="6">
        <f>$M$336*$Z$336</f>
        <v>0</v>
      </c>
      <c r="AG336" s="6">
        <f>$O$336*$AA$336</f>
        <v>0</v>
      </c>
    </row>
    <row r="337" spans="1:33" ht="11.25" customHeight="1" x14ac:dyDescent="0.3">
      <c r="A337" s="4" t="s">
        <v>28</v>
      </c>
      <c r="B337" s="4" t="s">
        <v>39</v>
      </c>
      <c r="C337" s="4" t="s">
        <v>40</v>
      </c>
      <c r="D337" s="4" t="s">
        <v>46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44501</v>
      </c>
      <c r="J337" s="6">
        <v>320</v>
      </c>
      <c r="K337" s="6">
        <v>320</v>
      </c>
      <c r="L337" s="6">
        <v>0</v>
      </c>
      <c r="M337" s="6">
        <v>0</v>
      </c>
      <c r="N337" s="6">
        <v>0</v>
      </c>
      <c r="O337" s="6">
        <v>0</v>
      </c>
      <c r="P337" s="6">
        <v>2</v>
      </c>
      <c r="Q337" s="4" t="s">
        <v>26</v>
      </c>
      <c r="R337" s="4">
        <v>0</v>
      </c>
      <c r="S337" s="6">
        <v>13</v>
      </c>
      <c r="T337" s="6">
        <v>0</v>
      </c>
      <c r="U337" s="6">
        <v>0</v>
      </c>
      <c r="V337" s="6">
        <f>IF(ISERROR(VLOOKUP($S$337,'TAR FIN'!$A$1:$O$103,15,0)),0,VLOOKUP($S$337,'TAR FIN'!$A$1:$O$103,15,0))</f>
        <v>18.920000000000002</v>
      </c>
      <c r="W337" s="6">
        <f>IF(ISERROR(VLOOKUP($T$337,'TAR FIN'!$A$1:$O$103,15,0)),0,VLOOKUP($T$337,'TAR FIN'!$A$1:$O$103,15,0))</f>
        <v>0</v>
      </c>
      <c r="X337" s="6">
        <f>IF(ISERROR(VLOOKUP($U$337,'TAR FIN'!$A$1:$O$103,15,0)),0,VLOOKUP($U$337,'TAR FIN'!$A$1:$O$103,15,0))</f>
        <v>0</v>
      </c>
      <c r="Y337" s="6">
        <f ca="1">('TUSD BE'!$AM$22+'TUSD BF'!$AM$22+'TUSD CVA'!$AM$22)*1</f>
        <v>21.369338625624472</v>
      </c>
      <c r="Z337" s="6"/>
      <c r="AA337" s="6"/>
      <c r="AB337" s="6">
        <f>$K$337*$V$337</f>
        <v>6054.4000000000005</v>
      </c>
      <c r="AC337" s="6">
        <f>$M$337*$W$337</f>
        <v>0</v>
      </c>
      <c r="AD337" s="6">
        <f>$O$337*$X$337</f>
        <v>0</v>
      </c>
      <c r="AE337" s="6">
        <f ca="1">$K$337*$Y$337</f>
        <v>6838.1883601998306</v>
      </c>
      <c r="AF337" s="6">
        <f>$M$337*$Z$337</f>
        <v>0</v>
      </c>
      <c r="AG337" s="6">
        <f>$O$337*$AA$337</f>
        <v>0</v>
      </c>
    </row>
    <row r="338" spans="1:33" ht="11.25" customHeight="1" x14ac:dyDescent="0.3">
      <c r="A338" s="4" t="s">
        <v>21</v>
      </c>
      <c r="B338" s="4" t="s">
        <v>39</v>
      </c>
      <c r="C338" s="4" t="s">
        <v>40</v>
      </c>
      <c r="D338" s="4" t="s">
        <v>46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44531</v>
      </c>
      <c r="J338" s="6">
        <v>392</v>
      </c>
      <c r="K338" s="6">
        <v>392</v>
      </c>
      <c r="L338" s="6">
        <v>0</v>
      </c>
      <c r="M338" s="6">
        <v>0</v>
      </c>
      <c r="N338" s="6">
        <v>0</v>
      </c>
      <c r="O338" s="6">
        <v>0</v>
      </c>
      <c r="P338" s="6">
        <v>7</v>
      </c>
      <c r="Q338" s="4" t="s">
        <v>26</v>
      </c>
      <c r="R338" s="4">
        <v>0</v>
      </c>
      <c r="S338" s="6">
        <v>13</v>
      </c>
      <c r="T338" s="6">
        <v>0</v>
      </c>
      <c r="U338" s="6">
        <v>0</v>
      </c>
      <c r="V338" s="6">
        <f>IF(ISERROR(VLOOKUP($S$338,'TAR FIN'!$A$1:$O$103,15,0)),0,VLOOKUP($S$338,'TAR FIN'!$A$1:$O$103,15,0))</f>
        <v>18.920000000000002</v>
      </c>
      <c r="W338" s="6">
        <f>IF(ISERROR(VLOOKUP($T$338,'TAR FIN'!$A$1:$O$103,15,0)),0,VLOOKUP($T$338,'TAR FIN'!$A$1:$O$103,15,0))</f>
        <v>0</v>
      </c>
      <c r="X338" s="6">
        <f>IF(ISERROR(VLOOKUP($U$338,'TAR FIN'!$A$1:$O$103,15,0)),0,VLOOKUP($U$338,'TAR FIN'!$A$1:$O$103,15,0))</f>
        <v>0</v>
      </c>
      <c r="Y338" s="6">
        <f ca="1">('TUSD BE'!$AM$22+'TUSD BF'!$AM$22+'TUSD CVA'!$AM$22)*1</f>
        <v>21.369338625624472</v>
      </c>
      <c r="Z338" s="6"/>
      <c r="AA338" s="6"/>
      <c r="AB338" s="6">
        <f>$K$338*$V$338</f>
        <v>7416.64</v>
      </c>
      <c r="AC338" s="6">
        <f>$M$338*$W$338</f>
        <v>0</v>
      </c>
      <c r="AD338" s="6">
        <f>$O$338*$X$338</f>
        <v>0</v>
      </c>
      <c r="AE338" s="6">
        <f ca="1">$K$338*$Y$338</f>
        <v>8376.7807412447928</v>
      </c>
      <c r="AF338" s="6">
        <f>$M$338*$Z$338</f>
        <v>0</v>
      </c>
      <c r="AG338" s="6">
        <f>$O$338*$AA$338</f>
        <v>0</v>
      </c>
    </row>
    <row r="339" spans="1:33" ht="11.25" customHeight="1" x14ac:dyDescent="0.3">
      <c r="A339" s="4" t="s">
        <v>28</v>
      </c>
      <c r="B339" s="4" t="s">
        <v>39</v>
      </c>
      <c r="C339" s="4" t="s">
        <v>40</v>
      </c>
      <c r="D339" s="4" t="s">
        <v>46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44531</v>
      </c>
      <c r="J339" s="6">
        <v>320</v>
      </c>
      <c r="K339" s="6">
        <v>320</v>
      </c>
      <c r="L339" s="6">
        <v>0</v>
      </c>
      <c r="M339" s="6">
        <v>0</v>
      </c>
      <c r="N339" s="6">
        <v>0</v>
      </c>
      <c r="O339" s="6">
        <v>0</v>
      </c>
      <c r="P339" s="6">
        <v>2</v>
      </c>
      <c r="Q339" s="4" t="s">
        <v>26</v>
      </c>
      <c r="R339" s="4">
        <v>0</v>
      </c>
      <c r="S339" s="6">
        <v>13</v>
      </c>
      <c r="T339" s="6">
        <v>0</v>
      </c>
      <c r="U339" s="6">
        <v>0</v>
      </c>
      <c r="V339" s="6">
        <f>IF(ISERROR(VLOOKUP($S$339,'TAR FIN'!$A$1:$O$103,15,0)),0,VLOOKUP($S$339,'TAR FIN'!$A$1:$O$103,15,0))</f>
        <v>18.920000000000002</v>
      </c>
      <c r="W339" s="6">
        <f>IF(ISERROR(VLOOKUP($T$339,'TAR FIN'!$A$1:$O$103,15,0)),0,VLOOKUP($T$339,'TAR FIN'!$A$1:$O$103,15,0))</f>
        <v>0</v>
      </c>
      <c r="X339" s="6">
        <f>IF(ISERROR(VLOOKUP($U$339,'TAR FIN'!$A$1:$O$103,15,0)),0,VLOOKUP($U$339,'TAR FIN'!$A$1:$O$103,15,0))</f>
        <v>0</v>
      </c>
      <c r="Y339" s="6">
        <f ca="1">('TUSD BE'!$AM$22+'TUSD BF'!$AM$22+'TUSD CVA'!$AM$22)*1</f>
        <v>21.369338625624472</v>
      </c>
      <c r="Z339" s="6"/>
      <c r="AA339" s="6"/>
      <c r="AB339" s="6">
        <f>$K$339*$V$339</f>
        <v>6054.4000000000005</v>
      </c>
      <c r="AC339" s="6">
        <f>$M$339*$W$339</f>
        <v>0</v>
      </c>
      <c r="AD339" s="6">
        <f>$O$339*$X$339</f>
        <v>0</v>
      </c>
      <c r="AE339" s="6">
        <f ca="1">$K$339*$Y$339</f>
        <v>6838.1883601998306</v>
      </c>
      <c r="AF339" s="6">
        <f>$M$339*$Z$339</f>
        <v>0</v>
      </c>
      <c r="AG339" s="6">
        <f>$O$339*$AA$339</f>
        <v>0</v>
      </c>
    </row>
    <row r="340" spans="1:33" ht="11.25" customHeight="1" x14ac:dyDescent="0.3">
      <c r="A340" s="4" t="s">
        <v>21</v>
      </c>
      <c r="B340" s="4" t="s">
        <v>39</v>
      </c>
      <c r="C340" s="4" t="s">
        <v>40</v>
      </c>
      <c r="D340" s="4" t="s">
        <v>46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44562</v>
      </c>
      <c r="J340" s="6">
        <v>391</v>
      </c>
      <c r="K340" s="6">
        <v>391</v>
      </c>
      <c r="L340" s="6">
        <v>0</v>
      </c>
      <c r="M340" s="6">
        <v>0</v>
      </c>
      <c r="N340" s="6">
        <v>0</v>
      </c>
      <c r="O340" s="6">
        <v>0</v>
      </c>
      <c r="P340" s="6">
        <v>7</v>
      </c>
      <c r="Q340" s="4" t="s">
        <v>26</v>
      </c>
      <c r="R340" s="4">
        <v>0</v>
      </c>
      <c r="S340" s="6">
        <v>13</v>
      </c>
      <c r="T340" s="6">
        <v>0</v>
      </c>
      <c r="U340" s="6">
        <v>0</v>
      </c>
      <c r="V340" s="6">
        <f>IF(ISERROR(VLOOKUP($S$340,'TAR FIN'!$A$1:$O$103,15,0)),0,VLOOKUP($S$340,'TAR FIN'!$A$1:$O$103,15,0))</f>
        <v>18.920000000000002</v>
      </c>
      <c r="W340" s="6">
        <f>IF(ISERROR(VLOOKUP($T$340,'TAR FIN'!$A$1:$O$103,15,0)),0,VLOOKUP($T$340,'TAR FIN'!$A$1:$O$103,15,0))</f>
        <v>0</v>
      </c>
      <c r="X340" s="6">
        <f>IF(ISERROR(VLOOKUP($U$340,'TAR FIN'!$A$1:$O$103,15,0)),0,VLOOKUP($U$340,'TAR FIN'!$A$1:$O$103,15,0))</f>
        <v>0</v>
      </c>
      <c r="Y340" s="6">
        <f ca="1">('TUSD BE'!$AM$22+'TUSD BF'!$AM$22+'TUSD CVA'!$AM$22)*1</f>
        <v>21.369338625624472</v>
      </c>
      <c r="Z340" s="6"/>
      <c r="AA340" s="6"/>
      <c r="AB340" s="6">
        <f>$K$340*$V$340</f>
        <v>7397.72</v>
      </c>
      <c r="AC340" s="6">
        <f>$M$340*$W$340</f>
        <v>0</v>
      </c>
      <c r="AD340" s="6">
        <f>$O$340*$X$340</f>
        <v>0</v>
      </c>
      <c r="AE340" s="6">
        <f ca="1">$K$340*$Y$340</f>
        <v>8355.4114026191692</v>
      </c>
      <c r="AF340" s="6">
        <f>$M$340*$Z$340</f>
        <v>0</v>
      </c>
      <c r="AG340" s="6">
        <f>$O$340*$AA$340</f>
        <v>0</v>
      </c>
    </row>
    <row r="341" spans="1:33" ht="11.25" customHeight="1" x14ac:dyDescent="0.3">
      <c r="A341" s="4" t="s">
        <v>28</v>
      </c>
      <c r="B341" s="4" t="s">
        <v>39</v>
      </c>
      <c r="C341" s="4" t="s">
        <v>40</v>
      </c>
      <c r="D341" s="4" t="s">
        <v>46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44562</v>
      </c>
      <c r="J341" s="6">
        <v>320</v>
      </c>
      <c r="K341" s="6">
        <v>320</v>
      </c>
      <c r="L341" s="6">
        <v>0</v>
      </c>
      <c r="M341" s="6">
        <v>0</v>
      </c>
      <c r="N341" s="6">
        <v>0</v>
      </c>
      <c r="O341" s="6">
        <v>0</v>
      </c>
      <c r="P341" s="6">
        <v>2</v>
      </c>
      <c r="Q341" s="4" t="s">
        <v>26</v>
      </c>
      <c r="R341" s="4">
        <v>0</v>
      </c>
      <c r="S341" s="6">
        <v>13</v>
      </c>
      <c r="T341" s="6">
        <v>0</v>
      </c>
      <c r="U341" s="6">
        <v>0</v>
      </c>
      <c r="V341" s="6">
        <f>IF(ISERROR(VLOOKUP($S$341,'TAR FIN'!$A$1:$O$103,15,0)),0,VLOOKUP($S$341,'TAR FIN'!$A$1:$O$103,15,0))</f>
        <v>18.920000000000002</v>
      </c>
      <c r="W341" s="6">
        <f>IF(ISERROR(VLOOKUP($T$341,'TAR FIN'!$A$1:$O$103,15,0)),0,VLOOKUP($T$341,'TAR FIN'!$A$1:$O$103,15,0))</f>
        <v>0</v>
      </c>
      <c r="X341" s="6">
        <f>IF(ISERROR(VLOOKUP($U$341,'TAR FIN'!$A$1:$O$103,15,0)),0,VLOOKUP($U$341,'TAR FIN'!$A$1:$O$103,15,0))</f>
        <v>0</v>
      </c>
      <c r="Y341" s="6">
        <f ca="1">('TUSD BE'!$AM$22+'TUSD BF'!$AM$22+'TUSD CVA'!$AM$22)*1</f>
        <v>21.369338625624472</v>
      </c>
      <c r="Z341" s="6"/>
      <c r="AA341" s="6"/>
      <c r="AB341" s="6">
        <f>$K$341*$V$341</f>
        <v>6054.4000000000005</v>
      </c>
      <c r="AC341" s="6">
        <f>$M$341*$W$341</f>
        <v>0</v>
      </c>
      <c r="AD341" s="6">
        <f>$O$341*$X$341</f>
        <v>0</v>
      </c>
      <c r="AE341" s="6">
        <f ca="1">$K$341*$Y$341</f>
        <v>6838.1883601998306</v>
      </c>
      <c r="AF341" s="6">
        <f>$M$341*$Z$341</f>
        <v>0</v>
      </c>
      <c r="AG341" s="6">
        <f>$O$341*$AA$341</f>
        <v>0</v>
      </c>
    </row>
    <row r="342" spans="1:33" ht="11.25" customHeight="1" x14ac:dyDescent="0.3">
      <c r="A342" s="4" t="s">
        <v>21</v>
      </c>
      <c r="B342" s="4" t="s">
        <v>39</v>
      </c>
      <c r="C342" s="4" t="s">
        <v>40</v>
      </c>
      <c r="D342" s="4" t="s">
        <v>46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44593</v>
      </c>
      <c r="J342" s="6">
        <v>390</v>
      </c>
      <c r="K342" s="6">
        <v>390</v>
      </c>
      <c r="L342" s="6">
        <v>0</v>
      </c>
      <c r="M342" s="6">
        <v>0</v>
      </c>
      <c r="N342" s="6">
        <v>0</v>
      </c>
      <c r="O342" s="6">
        <v>0</v>
      </c>
      <c r="P342" s="6">
        <v>7</v>
      </c>
      <c r="Q342" s="4" t="s">
        <v>26</v>
      </c>
      <c r="R342" s="4">
        <v>0</v>
      </c>
      <c r="S342" s="6">
        <v>13</v>
      </c>
      <c r="T342" s="6">
        <v>0</v>
      </c>
      <c r="U342" s="6">
        <v>0</v>
      </c>
      <c r="V342" s="6">
        <f>IF(ISERROR(VLOOKUP($S$342,'TAR FIN'!$A$1:$O$103,15,0)),0,VLOOKUP($S$342,'TAR FIN'!$A$1:$O$103,15,0))</f>
        <v>18.920000000000002</v>
      </c>
      <c r="W342" s="6">
        <f>IF(ISERROR(VLOOKUP($T$342,'TAR FIN'!$A$1:$O$103,15,0)),0,VLOOKUP($T$342,'TAR FIN'!$A$1:$O$103,15,0))</f>
        <v>0</v>
      </c>
      <c r="X342" s="6">
        <f>IF(ISERROR(VLOOKUP($U$342,'TAR FIN'!$A$1:$O$103,15,0)),0,VLOOKUP($U$342,'TAR FIN'!$A$1:$O$103,15,0))</f>
        <v>0</v>
      </c>
      <c r="Y342" s="6">
        <f ca="1">('TUSD BE'!$AM$22+'TUSD BF'!$AM$22+'TUSD CVA'!$AM$22)*1</f>
        <v>21.369338625624472</v>
      </c>
      <c r="Z342" s="6"/>
      <c r="AA342" s="6"/>
      <c r="AB342" s="6">
        <f>$K$342*$V$342</f>
        <v>7378.8000000000011</v>
      </c>
      <c r="AC342" s="6">
        <f>$M$342*$W$342</f>
        <v>0</v>
      </c>
      <c r="AD342" s="6">
        <f>$O$342*$X$342</f>
        <v>0</v>
      </c>
      <c r="AE342" s="6">
        <f ca="1">$K$342*$Y$342</f>
        <v>8334.0420639935437</v>
      </c>
      <c r="AF342" s="6">
        <f>$M$342*$Z$342</f>
        <v>0</v>
      </c>
      <c r="AG342" s="6">
        <f>$O$342*$AA$342</f>
        <v>0</v>
      </c>
    </row>
    <row r="343" spans="1:33" ht="11.25" customHeight="1" x14ac:dyDescent="0.3">
      <c r="A343" s="4" t="s">
        <v>28</v>
      </c>
      <c r="B343" s="4" t="s">
        <v>39</v>
      </c>
      <c r="C343" s="4" t="s">
        <v>40</v>
      </c>
      <c r="D343" s="4" t="s">
        <v>46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44593</v>
      </c>
      <c r="J343" s="6">
        <v>320</v>
      </c>
      <c r="K343" s="6">
        <v>320</v>
      </c>
      <c r="L343" s="6">
        <v>0</v>
      </c>
      <c r="M343" s="6">
        <v>0</v>
      </c>
      <c r="N343" s="6">
        <v>0</v>
      </c>
      <c r="O343" s="6">
        <v>0</v>
      </c>
      <c r="P343" s="6">
        <v>2</v>
      </c>
      <c r="Q343" s="4" t="s">
        <v>26</v>
      </c>
      <c r="R343" s="4">
        <v>0</v>
      </c>
      <c r="S343" s="6">
        <v>13</v>
      </c>
      <c r="T343" s="6">
        <v>0</v>
      </c>
      <c r="U343" s="6">
        <v>0</v>
      </c>
      <c r="V343" s="6">
        <f>IF(ISERROR(VLOOKUP($S$343,'TAR FIN'!$A$1:$O$103,15,0)),0,VLOOKUP($S$343,'TAR FIN'!$A$1:$O$103,15,0))</f>
        <v>18.920000000000002</v>
      </c>
      <c r="W343" s="6">
        <f>IF(ISERROR(VLOOKUP($T$343,'TAR FIN'!$A$1:$O$103,15,0)),0,VLOOKUP($T$343,'TAR FIN'!$A$1:$O$103,15,0))</f>
        <v>0</v>
      </c>
      <c r="X343" s="6">
        <f>IF(ISERROR(VLOOKUP($U$343,'TAR FIN'!$A$1:$O$103,15,0)),0,VLOOKUP($U$343,'TAR FIN'!$A$1:$O$103,15,0))</f>
        <v>0</v>
      </c>
      <c r="Y343" s="6">
        <f ca="1">('TUSD BE'!$AM$22+'TUSD BF'!$AM$22+'TUSD CVA'!$AM$22)*1</f>
        <v>21.369338625624472</v>
      </c>
      <c r="Z343" s="6"/>
      <c r="AA343" s="6"/>
      <c r="AB343" s="6">
        <f>$K$343*$V$343</f>
        <v>6054.4000000000005</v>
      </c>
      <c r="AC343" s="6">
        <f>$M$343*$W$343</f>
        <v>0</v>
      </c>
      <c r="AD343" s="6">
        <f>$O$343*$X$343</f>
        <v>0</v>
      </c>
      <c r="AE343" s="6">
        <f ca="1">$K$343*$Y$343</f>
        <v>6838.1883601998306</v>
      </c>
      <c r="AF343" s="6">
        <f>$M$343*$Z$343</f>
        <v>0</v>
      </c>
      <c r="AG343" s="6">
        <f>$O$343*$AA$343</f>
        <v>0</v>
      </c>
    </row>
    <row r="344" spans="1:33" ht="11.25" customHeight="1" x14ac:dyDescent="0.3">
      <c r="A344" s="4" t="s">
        <v>21</v>
      </c>
      <c r="B344" s="4" t="s">
        <v>39</v>
      </c>
      <c r="C344" s="4" t="s">
        <v>40</v>
      </c>
      <c r="D344" s="4" t="s">
        <v>46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44621</v>
      </c>
      <c r="J344" s="6">
        <v>392</v>
      </c>
      <c r="K344" s="6">
        <v>392</v>
      </c>
      <c r="L344" s="6">
        <v>0</v>
      </c>
      <c r="M344" s="6">
        <v>0</v>
      </c>
      <c r="N344" s="6">
        <v>0</v>
      </c>
      <c r="O344" s="6">
        <v>0</v>
      </c>
      <c r="P344" s="6">
        <v>7</v>
      </c>
      <c r="Q344" s="4" t="s">
        <v>26</v>
      </c>
      <c r="R344" s="4">
        <v>0</v>
      </c>
      <c r="S344" s="6">
        <v>13</v>
      </c>
      <c r="T344" s="6">
        <v>0</v>
      </c>
      <c r="U344" s="6">
        <v>0</v>
      </c>
      <c r="V344" s="6">
        <f>IF(ISERROR(VLOOKUP($S$344,'TAR FIN'!$A$1:$O$103,15,0)),0,VLOOKUP($S$344,'TAR FIN'!$A$1:$O$103,15,0))</f>
        <v>18.920000000000002</v>
      </c>
      <c r="W344" s="6">
        <f>IF(ISERROR(VLOOKUP($T$344,'TAR FIN'!$A$1:$O$103,15,0)),0,VLOOKUP($T$344,'TAR FIN'!$A$1:$O$103,15,0))</f>
        <v>0</v>
      </c>
      <c r="X344" s="6">
        <f>IF(ISERROR(VLOOKUP($U$344,'TAR FIN'!$A$1:$O$103,15,0)),0,VLOOKUP($U$344,'TAR FIN'!$A$1:$O$103,15,0))</f>
        <v>0</v>
      </c>
      <c r="Y344" s="6">
        <f ca="1">('TUSD BE'!$AM$22+'TUSD BF'!$AM$22+'TUSD CVA'!$AM$22)*1</f>
        <v>21.369338625624472</v>
      </c>
      <c r="Z344" s="6"/>
      <c r="AA344" s="6"/>
      <c r="AB344" s="6">
        <f>$K$344*$V$344</f>
        <v>7416.64</v>
      </c>
      <c r="AC344" s="6">
        <f>$M$344*$W$344</f>
        <v>0</v>
      </c>
      <c r="AD344" s="6">
        <f>$O$344*$X$344</f>
        <v>0</v>
      </c>
      <c r="AE344" s="6">
        <f ca="1">$K$344*$Y$344</f>
        <v>8376.7807412447928</v>
      </c>
      <c r="AF344" s="6">
        <f>$M$344*$Z$344</f>
        <v>0</v>
      </c>
      <c r="AG344" s="6">
        <f>$O$344*$AA$344</f>
        <v>0</v>
      </c>
    </row>
    <row r="345" spans="1:33" ht="11.25" customHeight="1" x14ac:dyDescent="0.3">
      <c r="A345" s="4" t="s">
        <v>28</v>
      </c>
      <c r="B345" s="4" t="s">
        <v>39</v>
      </c>
      <c r="C345" s="4" t="s">
        <v>40</v>
      </c>
      <c r="D345" s="4" t="s">
        <v>46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44621</v>
      </c>
      <c r="J345" s="6">
        <v>320</v>
      </c>
      <c r="K345" s="6">
        <v>320</v>
      </c>
      <c r="L345" s="6">
        <v>0</v>
      </c>
      <c r="M345" s="6">
        <v>0</v>
      </c>
      <c r="N345" s="6">
        <v>0</v>
      </c>
      <c r="O345" s="6">
        <v>0</v>
      </c>
      <c r="P345" s="6">
        <v>2</v>
      </c>
      <c r="Q345" s="4" t="s">
        <v>26</v>
      </c>
      <c r="R345" s="4">
        <v>0</v>
      </c>
      <c r="S345" s="6">
        <v>13</v>
      </c>
      <c r="T345" s="6">
        <v>0</v>
      </c>
      <c r="U345" s="6">
        <v>0</v>
      </c>
      <c r="V345" s="6">
        <f>IF(ISERROR(VLOOKUP($S$345,'TAR FIN'!$A$1:$O$103,15,0)),0,VLOOKUP($S$345,'TAR FIN'!$A$1:$O$103,15,0))</f>
        <v>18.920000000000002</v>
      </c>
      <c r="W345" s="6">
        <f>IF(ISERROR(VLOOKUP($T$345,'TAR FIN'!$A$1:$O$103,15,0)),0,VLOOKUP($T$345,'TAR FIN'!$A$1:$O$103,15,0))</f>
        <v>0</v>
      </c>
      <c r="X345" s="6">
        <f>IF(ISERROR(VLOOKUP($U$345,'TAR FIN'!$A$1:$O$103,15,0)),0,VLOOKUP($U$345,'TAR FIN'!$A$1:$O$103,15,0))</f>
        <v>0</v>
      </c>
      <c r="Y345" s="6">
        <f ca="1">('TUSD BE'!$AM$22+'TUSD BF'!$AM$22+'TUSD CVA'!$AM$22)*1</f>
        <v>21.369338625624472</v>
      </c>
      <c r="Z345" s="6"/>
      <c r="AA345" s="6"/>
      <c r="AB345" s="6">
        <f>$K$345*$V$345</f>
        <v>6054.4000000000005</v>
      </c>
      <c r="AC345" s="6">
        <f>$M$345*$W$345</f>
        <v>0</v>
      </c>
      <c r="AD345" s="6">
        <f>$O$345*$X$345</f>
        <v>0</v>
      </c>
      <c r="AE345" s="6">
        <f ca="1">$K$345*$Y$345</f>
        <v>6838.1883601998306</v>
      </c>
      <c r="AF345" s="6">
        <f>$M$345*$Z$345</f>
        <v>0</v>
      </c>
      <c r="AG345" s="6">
        <f>$O$345*$AA$345</f>
        <v>0</v>
      </c>
    </row>
    <row r="346" spans="1:33" ht="11.25" customHeight="1" x14ac:dyDescent="0.3">
      <c r="A346" s="4" t="s">
        <v>21</v>
      </c>
      <c r="B346" s="4" t="s">
        <v>39</v>
      </c>
      <c r="C346" s="4" t="s">
        <v>40</v>
      </c>
      <c r="D346" s="4" t="s">
        <v>46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44652</v>
      </c>
      <c r="J346" s="6">
        <v>415</v>
      </c>
      <c r="K346" s="6">
        <v>415</v>
      </c>
      <c r="L346" s="6">
        <v>0</v>
      </c>
      <c r="M346" s="6">
        <v>0</v>
      </c>
      <c r="N346" s="6">
        <v>0</v>
      </c>
      <c r="O346" s="6">
        <v>0</v>
      </c>
      <c r="P346" s="6">
        <v>8</v>
      </c>
      <c r="Q346" s="4" t="s">
        <v>26</v>
      </c>
      <c r="R346" s="4">
        <v>0</v>
      </c>
      <c r="S346" s="6">
        <v>13</v>
      </c>
      <c r="T346" s="6">
        <v>0</v>
      </c>
      <c r="U346" s="6">
        <v>0</v>
      </c>
      <c r="V346" s="6">
        <f>IF(ISERROR(VLOOKUP($S$346,'TAR FIN'!$A$1:$O$103,15,0)),0,VLOOKUP($S$346,'TAR FIN'!$A$1:$O$103,15,0))</f>
        <v>18.920000000000002</v>
      </c>
      <c r="W346" s="6">
        <f>IF(ISERROR(VLOOKUP($T$346,'TAR FIN'!$A$1:$O$103,15,0)),0,VLOOKUP($T$346,'TAR FIN'!$A$1:$O$103,15,0))</f>
        <v>0</v>
      </c>
      <c r="X346" s="6">
        <f>IF(ISERROR(VLOOKUP($U$346,'TAR FIN'!$A$1:$O$103,15,0)),0,VLOOKUP($U$346,'TAR FIN'!$A$1:$O$103,15,0))</f>
        <v>0</v>
      </c>
      <c r="Y346" s="6">
        <f ca="1">('TUSD BE'!$AM$22+'TUSD BF'!$AM$22+'TUSD CVA'!$AM$22)*1</f>
        <v>21.369338625624472</v>
      </c>
      <c r="Z346" s="6"/>
      <c r="AA346" s="6"/>
      <c r="AB346" s="6">
        <f>$K$346*$V$346</f>
        <v>7851.8000000000011</v>
      </c>
      <c r="AC346" s="6">
        <f>$M$346*$W$346</f>
        <v>0</v>
      </c>
      <c r="AD346" s="6">
        <f>$O$346*$X$346</f>
        <v>0</v>
      </c>
      <c r="AE346" s="6">
        <f ca="1">$K$346*$Y$346</f>
        <v>8868.2755296341566</v>
      </c>
      <c r="AF346" s="6">
        <f>$M$346*$Z$346</f>
        <v>0</v>
      </c>
      <c r="AG346" s="6">
        <f>$O$346*$AA$346</f>
        <v>0</v>
      </c>
    </row>
    <row r="347" spans="1:33" ht="11.25" customHeight="1" x14ac:dyDescent="0.3">
      <c r="A347" s="4" t="s">
        <v>28</v>
      </c>
      <c r="B347" s="4" t="s">
        <v>39</v>
      </c>
      <c r="C347" s="4" t="s">
        <v>40</v>
      </c>
      <c r="D347" s="4" t="s">
        <v>46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44652</v>
      </c>
      <c r="J347" s="6">
        <v>320</v>
      </c>
      <c r="K347" s="6">
        <v>320</v>
      </c>
      <c r="L347" s="6">
        <v>0</v>
      </c>
      <c r="M347" s="6">
        <v>0</v>
      </c>
      <c r="N347" s="6">
        <v>0</v>
      </c>
      <c r="O347" s="6">
        <v>0</v>
      </c>
      <c r="P347" s="6">
        <v>2</v>
      </c>
      <c r="Q347" s="4" t="s">
        <v>26</v>
      </c>
      <c r="R347" s="4">
        <v>0</v>
      </c>
      <c r="S347" s="6">
        <v>13</v>
      </c>
      <c r="T347" s="6">
        <v>0</v>
      </c>
      <c r="U347" s="6">
        <v>0</v>
      </c>
      <c r="V347" s="6">
        <f>IF(ISERROR(VLOOKUP($S$347,'TAR FIN'!$A$1:$O$103,15,0)),0,VLOOKUP($S$347,'TAR FIN'!$A$1:$O$103,15,0))</f>
        <v>18.920000000000002</v>
      </c>
      <c r="W347" s="6">
        <f>IF(ISERROR(VLOOKUP($T$347,'TAR FIN'!$A$1:$O$103,15,0)),0,VLOOKUP($T$347,'TAR FIN'!$A$1:$O$103,15,0))</f>
        <v>0</v>
      </c>
      <c r="X347" s="6">
        <f>IF(ISERROR(VLOOKUP($U$347,'TAR FIN'!$A$1:$O$103,15,0)),0,VLOOKUP($U$347,'TAR FIN'!$A$1:$O$103,15,0))</f>
        <v>0</v>
      </c>
      <c r="Y347" s="6">
        <f ca="1">('TUSD BE'!$AM$22+'TUSD BF'!$AM$22+'TUSD CVA'!$AM$22)*1</f>
        <v>21.369338625624472</v>
      </c>
      <c r="Z347" s="6"/>
      <c r="AA347" s="6"/>
      <c r="AB347" s="6">
        <f>$K$347*$V$347</f>
        <v>6054.4000000000005</v>
      </c>
      <c r="AC347" s="6">
        <f>$M$347*$W$347</f>
        <v>0</v>
      </c>
      <c r="AD347" s="6">
        <f>$O$347*$X$347</f>
        <v>0</v>
      </c>
      <c r="AE347" s="6">
        <f ca="1">$K$347*$Y$347</f>
        <v>6838.1883601998306</v>
      </c>
      <c r="AF347" s="6">
        <f>$M$347*$Z$347</f>
        <v>0</v>
      </c>
      <c r="AG347" s="6">
        <f>$O$347*$AA$347</f>
        <v>0</v>
      </c>
    </row>
    <row r="348" spans="1:33" ht="11.25" customHeight="1" x14ac:dyDescent="0.3">
      <c r="A348" s="4" t="s">
        <v>21</v>
      </c>
      <c r="B348" s="4" t="s">
        <v>39</v>
      </c>
      <c r="C348" s="4" t="s">
        <v>40</v>
      </c>
      <c r="D348" s="4" t="s">
        <v>46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44682</v>
      </c>
      <c r="J348" s="6">
        <v>456</v>
      </c>
      <c r="K348" s="6">
        <v>456</v>
      </c>
      <c r="L348" s="6">
        <v>0</v>
      </c>
      <c r="M348" s="6">
        <v>0</v>
      </c>
      <c r="N348" s="6">
        <v>0</v>
      </c>
      <c r="O348" s="6">
        <v>0</v>
      </c>
      <c r="P348" s="6">
        <v>9</v>
      </c>
      <c r="Q348" s="4" t="s">
        <v>26</v>
      </c>
      <c r="R348" s="4">
        <v>0</v>
      </c>
      <c r="S348" s="6">
        <v>13</v>
      </c>
      <c r="T348" s="6">
        <v>0</v>
      </c>
      <c r="U348" s="6">
        <v>0</v>
      </c>
      <c r="V348" s="6">
        <f>IF(ISERROR(VLOOKUP($S$348,'TAR FIN'!$A$1:$O$103,15,0)),0,VLOOKUP($S$348,'TAR FIN'!$A$1:$O$103,15,0))</f>
        <v>18.920000000000002</v>
      </c>
      <c r="W348" s="6">
        <f>IF(ISERROR(VLOOKUP($T$348,'TAR FIN'!$A$1:$O$103,15,0)),0,VLOOKUP($T$348,'TAR FIN'!$A$1:$O$103,15,0))</f>
        <v>0</v>
      </c>
      <c r="X348" s="6">
        <f>IF(ISERROR(VLOOKUP($U$348,'TAR FIN'!$A$1:$O$103,15,0)),0,VLOOKUP($U$348,'TAR FIN'!$A$1:$O$103,15,0))</f>
        <v>0</v>
      </c>
      <c r="Y348" s="6">
        <f ca="1">('TUSD BE'!$AM$22+'TUSD BF'!$AM$22+'TUSD CVA'!$AM$22)*1</f>
        <v>21.369338625624472</v>
      </c>
      <c r="Z348" s="6"/>
      <c r="AA348" s="6"/>
      <c r="AB348" s="6">
        <f>$K$348*$V$348</f>
        <v>8627.52</v>
      </c>
      <c r="AC348" s="6">
        <f>$M$348*$W$348</f>
        <v>0</v>
      </c>
      <c r="AD348" s="6">
        <f>$O$348*$X$348</f>
        <v>0</v>
      </c>
      <c r="AE348" s="6">
        <f ca="1">$K$348*$Y$348</f>
        <v>9744.4184132847586</v>
      </c>
      <c r="AF348" s="6">
        <f>$M$348*$Z$348</f>
        <v>0</v>
      </c>
      <c r="AG348" s="6">
        <f>$O$348*$AA$348</f>
        <v>0</v>
      </c>
    </row>
    <row r="349" spans="1:33" ht="11.25" customHeight="1" x14ac:dyDescent="0.3">
      <c r="A349" s="4" t="s">
        <v>28</v>
      </c>
      <c r="B349" s="4" t="s">
        <v>39</v>
      </c>
      <c r="C349" s="4" t="s">
        <v>40</v>
      </c>
      <c r="D349" s="4" t="s">
        <v>46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44682</v>
      </c>
      <c r="J349" s="6">
        <v>320</v>
      </c>
      <c r="K349" s="6">
        <v>320</v>
      </c>
      <c r="L349" s="6">
        <v>0</v>
      </c>
      <c r="M349" s="6">
        <v>0</v>
      </c>
      <c r="N349" s="6">
        <v>0</v>
      </c>
      <c r="O349" s="6">
        <v>0</v>
      </c>
      <c r="P349" s="6">
        <v>2</v>
      </c>
      <c r="Q349" s="4" t="s">
        <v>26</v>
      </c>
      <c r="R349" s="4">
        <v>0</v>
      </c>
      <c r="S349" s="6">
        <v>13</v>
      </c>
      <c r="T349" s="6">
        <v>0</v>
      </c>
      <c r="U349" s="6">
        <v>0</v>
      </c>
      <c r="V349" s="6">
        <f>IF(ISERROR(VLOOKUP($S$349,'TAR FIN'!$A$1:$O$103,15,0)),0,VLOOKUP($S$349,'TAR FIN'!$A$1:$O$103,15,0))</f>
        <v>18.920000000000002</v>
      </c>
      <c r="W349" s="6">
        <f>IF(ISERROR(VLOOKUP($T$349,'TAR FIN'!$A$1:$O$103,15,0)),0,VLOOKUP($T$349,'TAR FIN'!$A$1:$O$103,15,0))</f>
        <v>0</v>
      </c>
      <c r="X349" s="6">
        <f>IF(ISERROR(VLOOKUP($U$349,'TAR FIN'!$A$1:$O$103,15,0)),0,VLOOKUP($U$349,'TAR FIN'!$A$1:$O$103,15,0))</f>
        <v>0</v>
      </c>
      <c r="Y349" s="6">
        <f ca="1">('TUSD BE'!$AM$22+'TUSD BF'!$AM$22+'TUSD CVA'!$AM$22)*1</f>
        <v>21.369338625624472</v>
      </c>
      <c r="Z349" s="6"/>
      <c r="AA349" s="6"/>
      <c r="AB349" s="6">
        <f>$K$349*$V$349</f>
        <v>6054.4000000000005</v>
      </c>
      <c r="AC349" s="6">
        <f>$M$349*$W$349</f>
        <v>0</v>
      </c>
      <c r="AD349" s="6">
        <f>$O$349*$X$349</f>
        <v>0</v>
      </c>
      <c r="AE349" s="6">
        <f ca="1">$K$349*$Y$349</f>
        <v>6838.1883601998306</v>
      </c>
      <c r="AF349" s="6">
        <f>$M$349*$Z$349</f>
        <v>0</v>
      </c>
      <c r="AG349" s="6">
        <f>$O$349*$AA$349</f>
        <v>0</v>
      </c>
    </row>
    <row r="350" spans="1:33" ht="11.25" customHeight="1" x14ac:dyDescent="0.3">
      <c r="A350" s="4" t="s">
        <v>21</v>
      </c>
      <c r="B350" s="4" t="s">
        <v>39</v>
      </c>
      <c r="C350" s="4" t="s">
        <v>40</v>
      </c>
      <c r="D350" s="4" t="s">
        <v>46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44713</v>
      </c>
      <c r="J350" s="6">
        <v>441</v>
      </c>
      <c r="K350" s="6">
        <v>441</v>
      </c>
      <c r="L350" s="6">
        <v>0</v>
      </c>
      <c r="M350" s="6">
        <v>0</v>
      </c>
      <c r="N350" s="6">
        <v>0</v>
      </c>
      <c r="O350" s="6">
        <v>0</v>
      </c>
      <c r="P350" s="6">
        <v>9</v>
      </c>
      <c r="Q350" s="4" t="s">
        <v>26</v>
      </c>
      <c r="R350" s="4">
        <v>0</v>
      </c>
      <c r="S350" s="6">
        <v>13</v>
      </c>
      <c r="T350" s="6">
        <v>0</v>
      </c>
      <c r="U350" s="6">
        <v>0</v>
      </c>
      <c r="V350" s="6">
        <f>IF(ISERROR(VLOOKUP($S$350,'TAR FIN'!$A$1:$O$103,15,0)),0,VLOOKUP($S$350,'TAR FIN'!$A$1:$O$103,15,0))</f>
        <v>18.920000000000002</v>
      </c>
      <c r="W350" s="6">
        <f>IF(ISERROR(VLOOKUP($T$350,'TAR FIN'!$A$1:$O$103,15,0)),0,VLOOKUP($T$350,'TAR FIN'!$A$1:$O$103,15,0))</f>
        <v>0</v>
      </c>
      <c r="X350" s="6">
        <f>IF(ISERROR(VLOOKUP($U$350,'TAR FIN'!$A$1:$O$103,15,0)),0,VLOOKUP($U$350,'TAR FIN'!$A$1:$O$103,15,0))</f>
        <v>0</v>
      </c>
      <c r="Y350" s="6">
        <f ca="1">('TUSD BE'!$AM$22+'TUSD BF'!$AM$22+'TUSD CVA'!$AM$22)*1</f>
        <v>21.369338625624472</v>
      </c>
      <c r="Z350" s="6"/>
      <c r="AA350" s="6"/>
      <c r="AB350" s="6">
        <f>$K$350*$V$350</f>
        <v>8343.7200000000012</v>
      </c>
      <c r="AC350" s="6">
        <f>$M$350*$W$350</f>
        <v>0</v>
      </c>
      <c r="AD350" s="6">
        <f>$O$350*$X$350</f>
        <v>0</v>
      </c>
      <c r="AE350" s="6">
        <f ca="1">$K$350*$Y$350</f>
        <v>9423.878333900393</v>
      </c>
      <c r="AF350" s="6">
        <f>$M$350*$Z$350</f>
        <v>0</v>
      </c>
      <c r="AG350" s="6">
        <f>$O$350*$AA$350</f>
        <v>0</v>
      </c>
    </row>
    <row r="351" spans="1:33" ht="11.25" customHeight="1" x14ac:dyDescent="0.3">
      <c r="A351" s="4" t="s">
        <v>28</v>
      </c>
      <c r="B351" s="4" t="s">
        <v>39</v>
      </c>
      <c r="C351" s="4" t="s">
        <v>40</v>
      </c>
      <c r="D351" s="4" t="s">
        <v>46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44713</v>
      </c>
      <c r="J351" s="6">
        <v>320</v>
      </c>
      <c r="K351" s="6">
        <v>320</v>
      </c>
      <c r="L351" s="6">
        <v>0</v>
      </c>
      <c r="M351" s="6">
        <v>0</v>
      </c>
      <c r="N351" s="6">
        <v>0</v>
      </c>
      <c r="O351" s="6">
        <v>0</v>
      </c>
      <c r="P351" s="6">
        <v>2</v>
      </c>
      <c r="Q351" s="4" t="s">
        <v>26</v>
      </c>
      <c r="R351" s="4">
        <v>0</v>
      </c>
      <c r="S351" s="6">
        <v>13</v>
      </c>
      <c r="T351" s="6">
        <v>0</v>
      </c>
      <c r="U351" s="6">
        <v>0</v>
      </c>
      <c r="V351" s="6">
        <f>IF(ISERROR(VLOOKUP($S$351,'TAR FIN'!$A$1:$O$103,15,0)),0,VLOOKUP($S$351,'TAR FIN'!$A$1:$O$103,15,0))</f>
        <v>18.920000000000002</v>
      </c>
      <c r="W351" s="6">
        <f>IF(ISERROR(VLOOKUP($T$351,'TAR FIN'!$A$1:$O$103,15,0)),0,VLOOKUP($T$351,'TAR FIN'!$A$1:$O$103,15,0))</f>
        <v>0</v>
      </c>
      <c r="X351" s="6">
        <f>IF(ISERROR(VLOOKUP($U$351,'TAR FIN'!$A$1:$O$103,15,0)),0,VLOOKUP($U$351,'TAR FIN'!$A$1:$O$103,15,0))</f>
        <v>0</v>
      </c>
      <c r="Y351" s="6">
        <f ca="1">('TUSD BE'!$AM$22+'TUSD BF'!$AM$22+'TUSD CVA'!$AM$22)*1</f>
        <v>21.369338625624472</v>
      </c>
      <c r="Z351" s="6"/>
      <c r="AA351" s="6"/>
      <c r="AB351" s="6">
        <f>$K$351*$V$351</f>
        <v>6054.4000000000005</v>
      </c>
      <c r="AC351" s="6">
        <f>$M$351*$W$351</f>
        <v>0</v>
      </c>
      <c r="AD351" s="6">
        <f>$O$351*$X$351</f>
        <v>0</v>
      </c>
      <c r="AE351" s="6">
        <f ca="1">$K$351*$Y$351</f>
        <v>6838.1883601998306</v>
      </c>
      <c r="AF351" s="6">
        <f>$M$351*$Z$351</f>
        <v>0</v>
      </c>
      <c r="AG351" s="6">
        <f>$O$351*$AA$351</f>
        <v>0</v>
      </c>
    </row>
    <row r="352" spans="1:33" ht="11.25" customHeight="1" x14ac:dyDescent="0.3">
      <c r="A352" s="4" t="s">
        <v>21</v>
      </c>
      <c r="B352" s="4" t="s">
        <v>39</v>
      </c>
      <c r="C352" s="4" t="s">
        <v>40</v>
      </c>
      <c r="D352" s="4" t="s">
        <v>46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44743</v>
      </c>
      <c r="J352" s="6">
        <v>552</v>
      </c>
      <c r="K352" s="6">
        <v>552</v>
      </c>
      <c r="L352" s="6">
        <v>0</v>
      </c>
      <c r="M352" s="6">
        <v>0</v>
      </c>
      <c r="N352" s="6">
        <v>0</v>
      </c>
      <c r="O352" s="6">
        <v>0</v>
      </c>
      <c r="P352" s="6">
        <v>9</v>
      </c>
      <c r="Q352" s="4" t="s">
        <v>26</v>
      </c>
      <c r="R352" s="4">
        <v>0</v>
      </c>
      <c r="S352" s="6">
        <v>13</v>
      </c>
      <c r="T352" s="6">
        <v>0</v>
      </c>
      <c r="U352" s="6">
        <v>0</v>
      </c>
      <c r="V352" s="6">
        <f>IF(ISERROR(VLOOKUP($S$352,'TAR FIN'!$A$1:$O$103,15,0)),0,VLOOKUP($S$352,'TAR FIN'!$A$1:$O$103,15,0))</f>
        <v>18.920000000000002</v>
      </c>
      <c r="W352" s="6">
        <f>IF(ISERROR(VLOOKUP($T$352,'TAR FIN'!$A$1:$O$103,15,0)),0,VLOOKUP($T$352,'TAR FIN'!$A$1:$O$103,15,0))</f>
        <v>0</v>
      </c>
      <c r="X352" s="6">
        <f>IF(ISERROR(VLOOKUP($U$352,'TAR FIN'!$A$1:$O$103,15,0)),0,VLOOKUP($U$352,'TAR FIN'!$A$1:$O$103,15,0))</f>
        <v>0</v>
      </c>
      <c r="Y352" s="6">
        <f ca="1">('TUSD BE'!$AM$22+'TUSD BF'!$AM$22+'TUSD CVA'!$AM$22)*1</f>
        <v>21.369338625624472</v>
      </c>
      <c r="Z352" s="6"/>
      <c r="AA352" s="6"/>
      <c r="AB352" s="6">
        <f>$K$352*$V$352</f>
        <v>10443.84</v>
      </c>
      <c r="AC352" s="6">
        <f>$M$352*$W$352</f>
        <v>0</v>
      </c>
      <c r="AD352" s="6">
        <f>$O$352*$X$352</f>
        <v>0</v>
      </c>
      <c r="AE352" s="6">
        <f ca="1">$K$352*$Y$352</f>
        <v>11795.874921344708</v>
      </c>
      <c r="AF352" s="6">
        <f>$M$352*$Z$352</f>
        <v>0</v>
      </c>
      <c r="AG352" s="6">
        <f>$O$352*$AA$352</f>
        <v>0</v>
      </c>
    </row>
    <row r="353" spans="1:33" ht="11.25" customHeight="1" x14ac:dyDescent="0.3">
      <c r="A353" s="4" t="s">
        <v>28</v>
      </c>
      <c r="B353" s="4" t="s">
        <v>39</v>
      </c>
      <c r="C353" s="4" t="s">
        <v>40</v>
      </c>
      <c r="D353" s="4" t="s">
        <v>46</v>
      </c>
      <c r="E353" s="4" t="s">
        <v>25</v>
      </c>
      <c r="F353" s="4" t="s">
        <v>25</v>
      </c>
      <c r="G353" s="4" t="s">
        <v>25</v>
      </c>
      <c r="H353" s="4" t="s">
        <v>25</v>
      </c>
      <c r="I353" s="5">
        <v>44743</v>
      </c>
      <c r="J353" s="6">
        <v>320</v>
      </c>
      <c r="K353" s="6">
        <v>320</v>
      </c>
      <c r="L353" s="6">
        <v>0</v>
      </c>
      <c r="M353" s="6">
        <v>0</v>
      </c>
      <c r="N353" s="6">
        <v>0</v>
      </c>
      <c r="O353" s="6">
        <v>0</v>
      </c>
      <c r="P353" s="6">
        <v>2</v>
      </c>
      <c r="Q353" s="4" t="s">
        <v>26</v>
      </c>
      <c r="R353" s="4">
        <v>0</v>
      </c>
      <c r="S353" s="6">
        <v>13</v>
      </c>
      <c r="T353" s="6">
        <v>0</v>
      </c>
      <c r="U353" s="6">
        <v>0</v>
      </c>
      <c r="V353" s="6">
        <f>IF(ISERROR(VLOOKUP($S$353,'TAR FIN'!$A$1:$O$103,15,0)),0,VLOOKUP($S$353,'TAR FIN'!$A$1:$O$103,15,0))</f>
        <v>18.920000000000002</v>
      </c>
      <c r="W353" s="6">
        <f>IF(ISERROR(VLOOKUP($T$353,'TAR FIN'!$A$1:$O$103,15,0)),0,VLOOKUP($T$353,'TAR FIN'!$A$1:$O$103,15,0))</f>
        <v>0</v>
      </c>
      <c r="X353" s="6">
        <f>IF(ISERROR(VLOOKUP($U$353,'TAR FIN'!$A$1:$O$103,15,0)),0,VLOOKUP($U$353,'TAR FIN'!$A$1:$O$103,15,0))</f>
        <v>0</v>
      </c>
      <c r="Y353" s="6">
        <f ca="1">('TUSD BE'!$AM$22+'TUSD BF'!$AM$22+'TUSD CVA'!$AM$22)*1</f>
        <v>21.369338625624472</v>
      </c>
      <c r="Z353" s="6"/>
      <c r="AA353" s="6"/>
      <c r="AB353" s="6">
        <f>$K$353*$V$353</f>
        <v>6054.4000000000005</v>
      </c>
      <c r="AC353" s="6">
        <f>$M$353*$W$353</f>
        <v>0</v>
      </c>
      <c r="AD353" s="6">
        <f>$O$353*$X$353</f>
        <v>0</v>
      </c>
      <c r="AE353" s="6">
        <f ca="1">$K$353*$Y$353</f>
        <v>6838.1883601998306</v>
      </c>
      <c r="AF353" s="6">
        <f>$M$353*$Z$353</f>
        <v>0</v>
      </c>
      <c r="AG353" s="6">
        <f>$O$353*$AA$353</f>
        <v>0</v>
      </c>
    </row>
    <row r="354" spans="1:33" ht="11.25" customHeight="1" x14ac:dyDescent="0.3">
      <c r="A354" s="4" t="s">
        <v>21</v>
      </c>
      <c r="B354" s="4" t="s">
        <v>39</v>
      </c>
      <c r="C354" s="4" t="s">
        <v>40</v>
      </c>
      <c r="D354" s="4" t="s">
        <v>46</v>
      </c>
      <c r="E354" s="4" t="s">
        <v>25</v>
      </c>
      <c r="F354" s="4" t="s">
        <v>25</v>
      </c>
      <c r="G354" s="4" t="s">
        <v>25</v>
      </c>
      <c r="H354" s="4" t="s">
        <v>25</v>
      </c>
      <c r="I354" s="5">
        <v>44774</v>
      </c>
      <c r="J354" s="6">
        <v>583</v>
      </c>
      <c r="K354" s="6">
        <v>583</v>
      </c>
      <c r="L354" s="6">
        <v>0</v>
      </c>
      <c r="M354" s="6">
        <v>0</v>
      </c>
      <c r="N354" s="6">
        <v>0</v>
      </c>
      <c r="O354" s="6">
        <v>0</v>
      </c>
      <c r="P354" s="6">
        <v>9</v>
      </c>
      <c r="Q354" s="4" t="s">
        <v>26</v>
      </c>
      <c r="R354" s="4">
        <v>0</v>
      </c>
      <c r="S354" s="6">
        <v>13</v>
      </c>
      <c r="T354" s="6">
        <v>0</v>
      </c>
      <c r="U354" s="6">
        <v>0</v>
      </c>
      <c r="V354" s="6">
        <f>IF(ISERROR(VLOOKUP($S$354,'TAR FIN'!$A$1:$O$103,15,0)),0,VLOOKUP($S$354,'TAR FIN'!$A$1:$O$103,15,0))</f>
        <v>18.920000000000002</v>
      </c>
      <c r="W354" s="6">
        <f>IF(ISERROR(VLOOKUP($T$354,'TAR FIN'!$A$1:$O$103,15,0)),0,VLOOKUP($T$354,'TAR FIN'!$A$1:$O$103,15,0))</f>
        <v>0</v>
      </c>
      <c r="X354" s="6">
        <f>IF(ISERROR(VLOOKUP($U$354,'TAR FIN'!$A$1:$O$103,15,0)),0,VLOOKUP($U$354,'TAR FIN'!$A$1:$O$103,15,0))</f>
        <v>0</v>
      </c>
      <c r="Y354" s="6">
        <f ca="1">('TUSD BE'!$AM$22+'TUSD BF'!$AM$22+'TUSD CVA'!$AM$22)*1</f>
        <v>21.369338625624472</v>
      </c>
      <c r="Z354" s="6"/>
      <c r="AA354" s="6"/>
      <c r="AB354" s="6">
        <f>$K$354*$V$354</f>
        <v>11030.36</v>
      </c>
      <c r="AC354" s="6">
        <f>$M$354*$W$354</f>
        <v>0</v>
      </c>
      <c r="AD354" s="6">
        <f>$O$354*$X$354</f>
        <v>0</v>
      </c>
      <c r="AE354" s="6">
        <f ca="1">$K$354*$Y$354</f>
        <v>12458.324418739066</v>
      </c>
      <c r="AF354" s="6">
        <f>$M$354*$Z$354</f>
        <v>0</v>
      </c>
      <c r="AG354" s="6">
        <f>$O$354*$AA$354</f>
        <v>0</v>
      </c>
    </row>
    <row r="355" spans="1:33" ht="11.25" customHeight="1" x14ac:dyDescent="0.3">
      <c r="A355" s="4" t="s">
        <v>28</v>
      </c>
      <c r="B355" s="4" t="s">
        <v>39</v>
      </c>
      <c r="C355" s="4" t="s">
        <v>40</v>
      </c>
      <c r="D355" s="4" t="s">
        <v>46</v>
      </c>
      <c r="E355" s="4" t="s">
        <v>25</v>
      </c>
      <c r="F355" s="4" t="s">
        <v>25</v>
      </c>
      <c r="G355" s="4" t="s">
        <v>25</v>
      </c>
      <c r="H355" s="4" t="s">
        <v>25</v>
      </c>
      <c r="I355" s="5">
        <v>44774</v>
      </c>
      <c r="J355" s="6">
        <v>320</v>
      </c>
      <c r="K355" s="6">
        <v>320</v>
      </c>
      <c r="L355" s="6">
        <v>0</v>
      </c>
      <c r="M355" s="6">
        <v>0</v>
      </c>
      <c r="N355" s="6">
        <v>0</v>
      </c>
      <c r="O355" s="6">
        <v>0</v>
      </c>
      <c r="P355" s="6">
        <v>2</v>
      </c>
      <c r="Q355" s="4" t="s">
        <v>26</v>
      </c>
      <c r="R355" s="4">
        <v>0</v>
      </c>
      <c r="S355" s="6">
        <v>13</v>
      </c>
      <c r="T355" s="6">
        <v>0</v>
      </c>
      <c r="U355" s="6">
        <v>0</v>
      </c>
      <c r="V355" s="6">
        <f>IF(ISERROR(VLOOKUP($S$355,'TAR FIN'!$A$1:$O$103,15,0)),0,VLOOKUP($S$355,'TAR FIN'!$A$1:$O$103,15,0))</f>
        <v>18.920000000000002</v>
      </c>
      <c r="W355" s="6">
        <f>IF(ISERROR(VLOOKUP($T$355,'TAR FIN'!$A$1:$O$103,15,0)),0,VLOOKUP($T$355,'TAR FIN'!$A$1:$O$103,15,0))</f>
        <v>0</v>
      </c>
      <c r="X355" s="6">
        <f>IF(ISERROR(VLOOKUP($U$355,'TAR FIN'!$A$1:$O$103,15,0)),0,VLOOKUP($U$355,'TAR FIN'!$A$1:$O$103,15,0))</f>
        <v>0</v>
      </c>
      <c r="Y355" s="6">
        <f ca="1">('TUSD BE'!$AM$22+'TUSD BF'!$AM$22+'TUSD CVA'!$AM$22)*1</f>
        <v>21.369338625624472</v>
      </c>
      <c r="Z355" s="6"/>
      <c r="AA355" s="6"/>
      <c r="AB355" s="6">
        <f>$K$355*$V$355</f>
        <v>6054.4000000000005</v>
      </c>
      <c r="AC355" s="6">
        <f>$M$355*$W$355</f>
        <v>0</v>
      </c>
      <c r="AD355" s="6">
        <f>$O$355*$X$355</f>
        <v>0</v>
      </c>
      <c r="AE355" s="6">
        <f ca="1">$K$355*$Y$355</f>
        <v>6838.1883601998306</v>
      </c>
      <c r="AF355" s="6">
        <f>$M$355*$Z$355</f>
        <v>0</v>
      </c>
      <c r="AG355" s="6">
        <f>$O$355*$AA$355</f>
        <v>0</v>
      </c>
    </row>
    <row r="356" spans="1:33" ht="11.25" customHeight="1" x14ac:dyDescent="0.3">
      <c r="A356" s="4" t="s">
        <v>21</v>
      </c>
      <c r="B356" s="4" t="s">
        <v>39</v>
      </c>
      <c r="C356" s="4" t="s">
        <v>40</v>
      </c>
      <c r="D356" s="4" t="s">
        <v>46</v>
      </c>
      <c r="E356" s="4" t="s">
        <v>25</v>
      </c>
      <c r="F356" s="4" t="s">
        <v>25</v>
      </c>
      <c r="G356" s="4" t="s">
        <v>25</v>
      </c>
      <c r="H356" s="4" t="s">
        <v>25</v>
      </c>
      <c r="I356" s="5">
        <v>44805</v>
      </c>
      <c r="J356" s="6">
        <v>613</v>
      </c>
      <c r="K356" s="6">
        <v>613</v>
      </c>
      <c r="L356" s="6">
        <v>0</v>
      </c>
      <c r="M356" s="6">
        <v>0</v>
      </c>
      <c r="N356" s="6">
        <v>0</v>
      </c>
      <c r="O356" s="6">
        <v>0</v>
      </c>
      <c r="P356" s="6">
        <v>9</v>
      </c>
      <c r="Q356" s="4" t="s">
        <v>26</v>
      </c>
      <c r="R356" s="4">
        <v>0</v>
      </c>
      <c r="S356" s="6">
        <v>13</v>
      </c>
      <c r="T356" s="6">
        <v>0</v>
      </c>
      <c r="U356" s="6">
        <v>0</v>
      </c>
      <c r="V356" s="6">
        <f>IF(ISERROR(VLOOKUP($S$356,'TAR FIN'!$A$1:$O$103,15,0)),0,VLOOKUP($S$356,'TAR FIN'!$A$1:$O$103,15,0))</f>
        <v>18.920000000000002</v>
      </c>
      <c r="W356" s="6">
        <f>IF(ISERROR(VLOOKUP($T$356,'TAR FIN'!$A$1:$O$103,15,0)),0,VLOOKUP($T$356,'TAR FIN'!$A$1:$O$103,15,0))</f>
        <v>0</v>
      </c>
      <c r="X356" s="6">
        <f>IF(ISERROR(VLOOKUP($U$356,'TAR FIN'!$A$1:$O$103,15,0)),0,VLOOKUP($U$356,'TAR FIN'!$A$1:$O$103,15,0))</f>
        <v>0</v>
      </c>
      <c r="Y356" s="6">
        <f ca="1">('TUSD BE'!$AM$22+'TUSD BF'!$AM$22+'TUSD CVA'!$AM$22)*1</f>
        <v>21.369338625624472</v>
      </c>
      <c r="Z356" s="6"/>
      <c r="AA356" s="6"/>
      <c r="AB356" s="6">
        <f>$K$356*$V$356</f>
        <v>11597.960000000001</v>
      </c>
      <c r="AC356" s="6">
        <f>$M$356*$W$356</f>
        <v>0</v>
      </c>
      <c r="AD356" s="6">
        <f>$O$356*$X$356</f>
        <v>0</v>
      </c>
      <c r="AE356" s="6">
        <f ca="1">$K$356*$Y$356</f>
        <v>13099.404577507801</v>
      </c>
      <c r="AF356" s="6">
        <f>$M$356*$Z$356</f>
        <v>0</v>
      </c>
      <c r="AG356" s="6">
        <f>$O$356*$AA$356</f>
        <v>0</v>
      </c>
    </row>
    <row r="357" spans="1:33" ht="11.25" customHeight="1" x14ac:dyDescent="0.3">
      <c r="A357" s="4" t="s">
        <v>28</v>
      </c>
      <c r="B357" s="4" t="s">
        <v>39</v>
      </c>
      <c r="C357" s="4" t="s">
        <v>40</v>
      </c>
      <c r="D357" s="4" t="s">
        <v>46</v>
      </c>
      <c r="E357" s="4" t="s">
        <v>25</v>
      </c>
      <c r="F357" s="4" t="s">
        <v>25</v>
      </c>
      <c r="G357" s="4" t="s">
        <v>25</v>
      </c>
      <c r="H357" s="4" t="s">
        <v>25</v>
      </c>
      <c r="I357" s="5">
        <v>44805</v>
      </c>
      <c r="J357" s="6">
        <v>320</v>
      </c>
      <c r="K357" s="6">
        <v>320</v>
      </c>
      <c r="L357" s="6">
        <v>0</v>
      </c>
      <c r="M357" s="6">
        <v>0</v>
      </c>
      <c r="N357" s="6">
        <v>0</v>
      </c>
      <c r="O357" s="6">
        <v>0</v>
      </c>
      <c r="P357" s="6">
        <v>2</v>
      </c>
      <c r="Q357" s="4" t="s">
        <v>26</v>
      </c>
      <c r="R357" s="4">
        <v>0</v>
      </c>
      <c r="S357" s="6">
        <v>13</v>
      </c>
      <c r="T357" s="6">
        <v>0</v>
      </c>
      <c r="U357" s="6">
        <v>0</v>
      </c>
      <c r="V357" s="6">
        <f>IF(ISERROR(VLOOKUP($S$357,'TAR FIN'!$A$1:$O$103,15,0)),0,VLOOKUP($S$357,'TAR FIN'!$A$1:$O$103,15,0))</f>
        <v>18.920000000000002</v>
      </c>
      <c r="W357" s="6">
        <f>IF(ISERROR(VLOOKUP($T$357,'TAR FIN'!$A$1:$O$103,15,0)),0,VLOOKUP($T$357,'TAR FIN'!$A$1:$O$103,15,0))</f>
        <v>0</v>
      </c>
      <c r="X357" s="6">
        <f>IF(ISERROR(VLOOKUP($U$357,'TAR FIN'!$A$1:$O$103,15,0)),0,VLOOKUP($U$357,'TAR FIN'!$A$1:$O$103,15,0))</f>
        <v>0</v>
      </c>
      <c r="Y357" s="6">
        <f ca="1">('TUSD BE'!$AM$22+'TUSD BF'!$AM$22+'TUSD CVA'!$AM$22)*1</f>
        <v>21.369338625624472</v>
      </c>
      <c r="Z357" s="6"/>
      <c r="AA357" s="6"/>
      <c r="AB357" s="6">
        <f>$K$357*$V$357</f>
        <v>6054.4000000000005</v>
      </c>
      <c r="AC357" s="6">
        <f>$M$357*$W$357</f>
        <v>0</v>
      </c>
      <c r="AD357" s="6">
        <f>$O$357*$X$357</f>
        <v>0</v>
      </c>
      <c r="AE357" s="6">
        <f ca="1">$K$357*$Y$357</f>
        <v>6838.1883601998306</v>
      </c>
      <c r="AF357" s="6">
        <f>$M$357*$Z$357</f>
        <v>0</v>
      </c>
      <c r="AG357" s="6">
        <f>$O$357*$AA$357</f>
        <v>0</v>
      </c>
    </row>
    <row r="358" spans="1:33" ht="11.25" customHeight="1" x14ac:dyDescent="0.3">
      <c r="A358" s="4" t="s">
        <v>57</v>
      </c>
      <c r="B358" s="4" t="s">
        <v>39</v>
      </c>
      <c r="C358" s="4" t="s">
        <v>40</v>
      </c>
      <c r="D358" s="4" t="s">
        <v>46</v>
      </c>
      <c r="E358" s="4" t="s">
        <v>25</v>
      </c>
      <c r="F358" s="4" t="s">
        <v>25</v>
      </c>
      <c r="G358" s="4" t="s">
        <v>25</v>
      </c>
      <c r="H358" s="4" t="s">
        <v>25</v>
      </c>
      <c r="I358" s="5">
        <v>44835</v>
      </c>
      <c r="J358" s="6">
        <v>613</v>
      </c>
      <c r="K358" s="6">
        <v>613</v>
      </c>
      <c r="L358" s="6">
        <v>0</v>
      </c>
      <c r="M358" s="6">
        <v>0</v>
      </c>
      <c r="N358" s="6">
        <v>0</v>
      </c>
      <c r="O358" s="6">
        <v>0</v>
      </c>
      <c r="P358" s="6">
        <v>9</v>
      </c>
      <c r="Q358" s="4" t="s">
        <v>26</v>
      </c>
      <c r="R358" s="4">
        <v>0</v>
      </c>
      <c r="S358" s="6">
        <v>13</v>
      </c>
      <c r="T358" s="6">
        <v>0</v>
      </c>
      <c r="U358" s="6">
        <v>0</v>
      </c>
      <c r="V358" s="6">
        <f>IF(ISERROR(VLOOKUP($S$358,'TAR FIN'!$A$1:$O$103,15,0)),0,VLOOKUP($S$358,'TAR FIN'!$A$1:$O$103,15,0))</f>
        <v>18.920000000000002</v>
      </c>
      <c r="W358" s="6">
        <f>IF(ISERROR(VLOOKUP($T$358,'TAR FIN'!$A$1:$O$103,15,0)),0,VLOOKUP($T$358,'TAR FIN'!$A$1:$O$103,15,0))</f>
        <v>0</v>
      </c>
      <c r="X358" s="6">
        <f>IF(ISERROR(VLOOKUP($U$358,'TAR FIN'!$A$1:$O$103,15,0)),0,VLOOKUP($U$358,'TAR FIN'!$A$1:$O$103,15,0))</f>
        <v>0</v>
      </c>
      <c r="Y358" s="6">
        <f ca="1">('TUSD BE'!$AM$22+'TUSD BF'!$AM$22+'TUSD CVA'!$AM$22)*1</f>
        <v>21.369338625624472</v>
      </c>
      <c r="Z358" s="6"/>
      <c r="AA358" s="6"/>
      <c r="AB358" s="6">
        <f>$K$358*$V$358</f>
        <v>11597.960000000001</v>
      </c>
      <c r="AC358" s="6">
        <f>$M$358*$W$358</f>
        <v>0</v>
      </c>
      <c r="AD358" s="6">
        <f>$O$358*$X$358</f>
        <v>0</v>
      </c>
      <c r="AE358" s="6">
        <f ca="1">$K$358*$Y$358</f>
        <v>13099.404577507801</v>
      </c>
      <c r="AF358" s="6">
        <f>$M$358*$Z$358</f>
        <v>0</v>
      </c>
      <c r="AG358" s="6">
        <f>$O$358*$AA$358</f>
        <v>0</v>
      </c>
    </row>
    <row r="359" spans="1:33" ht="11.25" customHeight="1" x14ac:dyDescent="0.3">
      <c r="A359" s="4" t="s">
        <v>57</v>
      </c>
      <c r="B359" s="4" t="s">
        <v>39</v>
      </c>
      <c r="C359" s="4" t="s">
        <v>40</v>
      </c>
      <c r="D359" s="4" t="s">
        <v>46</v>
      </c>
      <c r="E359" s="4" t="s">
        <v>25</v>
      </c>
      <c r="F359" s="4" t="s">
        <v>25</v>
      </c>
      <c r="G359" s="4" t="s">
        <v>25</v>
      </c>
      <c r="H359" s="4" t="s">
        <v>25</v>
      </c>
      <c r="I359" s="5">
        <v>44835</v>
      </c>
      <c r="J359" s="6">
        <v>320</v>
      </c>
      <c r="K359" s="6">
        <v>320</v>
      </c>
      <c r="L359" s="6">
        <v>0</v>
      </c>
      <c r="M359" s="6">
        <v>0</v>
      </c>
      <c r="N359" s="6">
        <v>0</v>
      </c>
      <c r="O359" s="6">
        <v>0</v>
      </c>
      <c r="P359" s="6">
        <v>2</v>
      </c>
      <c r="Q359" s="4" t="s">
        <v>26</v>
      </c>
      <c r="R359" s="4">
        <v>0</v>
      </c>
      <c r="S359" s="6">
        <v>13</v>
      </c>
      <c r="T359" s="6">
        <v>0</v>
      </c>
      <c r="U359" s="6">
        <v>0</v>
      </c>
      <c r="V359" s="6">
        <f>IF(ISERROR(VLOOKUP($S$359,'TAR FIN'!$A$1:$O$103,15,0)),0,VLOOKUP($S$359,'TAR FIN'!$A$1:$O$103,15,0))</f>
        <v>18.920000000000002</v>
      </c>
      <c r="W359" s="6">
        <f>IF(ISERROR(VLOOKUP($T$359,'TAR FIN'!$A$1:$O$103,15,0)),0,VLOOKUP($T$359,'TAR FIN'!$A$1:$O$103,15,0))</f>
        <v>0</v>
      </c>
      <c r="X359" s="6">
        <f>IF(ISERROR(VLOOKUP($U$359,'TAR FIN'!$A$1:$O$103,15,0)),0,VLOOKUP($U$359,'TAR FIN'!$A$1:$O$103,15,0))</f>
        <v>0</v>
      </c>
      <c r="Y359" s="6">
        <f ca="1">('TUSD BE'!$AM$22+'TUSD BF'!$AM$22+'TUSD CVA'!$AM$22)*1</f>
        <v>21.369338625624472</v>
      </c>
      <c r="Z359" s="6"/>
      <c r="AA359" s="6"/>
      <c r="AB359" s="6">
        <f>$K$359*$V$359</f>
        <v>6054.4000000000005</v>
      </c>
      <c r="AC359" s="6">
        <f>$M$359*$W$359</f>
        <v>0</v>
      </c>
      <c r="AD359" s="6">
        <f>$O$359*$X$359</f>
        <v>0</v>
      </c>
      <c r="AE359" s="6">
        <f ca="1">$K$359*$Y$359</f>
        <v>6838.1883601998306</v>
      </c>
      <c r="AF359" s="6">
        <f>$M$359*$Z$359</f>
        <v>0</v>
      </c>
      <c r="AG359" s="6">
        <f>$O$359*$AA$359</f>
        <v>0</v>
      </c>
    </row>
    <row r="360" spans="1:33" ht="11.25" customHeight="1" x14ac:dyDescent="0.3">
      <c r="A360" s="4" t="s">
        <v>21</v>
      </c>
      <c r="B360" s="4" t="s">
        <v>39</v>
      </c>
      <c r="C360" s="4" t="s">
        <v>40</v>
      </c>
      <c r="D360" s="4" t="s">
        <v>46</v>
      </c>
      <c r="E360" s="4" t="s">
        <v>25</v>
      </c>
      <c r="F360" s="4" t="s">
        <v>25</v>
      </c>
      <c r="G360" s="4" t="s">
        <v>25</v>
      </c>
      <c r="H360" s="4" t="s">
        <v>34</v>
      </c>
      <c r="I360" s="5">
        <v>44501</v>
      </c>
      <c r="J360" s="6">
        <v>0</v>
      </c>
      <c r="K360" s="6">
        <v>0</v>
      </c>
      <c r="L360" s="6">
        <v>3.5510000000000002</v>
      </c>
      <c r="M360" s="6">
        <v>3.5510000000000002</v>
      </c>
      <c r="N360" s="6">
        <v>3.5510000000000002</v>
      </c>
      <c r="O360" s="6">
        <v>3.5510000000000002</v>
      </c>
      <c r="P360" s="6">
        <v>0</v>
      </c>
      <c r="Q360" s="4" t="s">
        <v>26</v>
      </c>
      <c r="R360" s="4">
        <v>0</v>
      </c>
      <c r="S360" s="6">
        <v>0</v>
      </c>
      <c r="T360" s="6">
        <v>15</v>
      </c>
      <c r="U360" s="6">
        <v>65</v>
      </c>
      <c r="V360" s="6">
        <f>IF(ISERROR(VLOOKUP($S$360,'TAR FIN'!$A$1:$O$103,15,0)),0,VLOOKUP($S$360,'TAR FIN'!$A$1:$O$103,15,0))</f>
        <v>0</v>
      </c>
      <c r="W360" s="6">
        <f>IF(ISERROR(VLOOKUP($T$360,'TAR FIN'!$A$1:$O$103,15,0)),0,VLOOKUP($T$360,'TAR FIN'!$A$1:$O$103,15,0))</f>
        <v>1195.82</v>
      </c>
      <c r="X360" s="6">
        <f>IF(ISERROR(VLOOKUP($U$360,'TAR FIN'!$A$1:$O$103,15,0)),0,VLOOKUP($U$360,'TAR FIN'!$A$1:$O$103,15,0))</f>
        <v>391.54</v>
      </c>
      <c r="Y360" s="6"/>
      <c r="Z360" s="6">
        <f ca="1">('TUSD BE'!$AM$23+'TUSD BF'!$AM$23+'TUSD CVA'!$AM$23)*1</f>
        <v>1385.4977743340116</v>
      </c>
      <c r="AA360" s="6">
        <f>('TE BE'!$AB$8+'TE BF'!$AB$8+'TE CVA'!$AB$8)*1</f>
        <v>361.95264704220779</v>
      </c>
      <c r="AB360" s="6">
        <f>$K$360*$V$360</f>
        <v>0</v>
      </c>
      <c r="AC360" s="6">
        <f>$M$360*$W$360</f>
        <v>4246.35682</v>
      </c>
      <c r="AD360" s="6">
        <f>$O$360*$X$360</f>
        <v>1390.3585400000002</v>
      </c>
      <c r="AE360" s="6">
        <f>$K$360*$Y$360</f>
        <v>0</v>
      </c>
      <c r="AF360" s="6">
        <f ca="1">$M$360*$Z$360</f>
        <v>4919.9025966600757</v>
      </c>
      <c r="AG360" s="6">
        <f>$O$360*$AA$360</f>
        <v>1285.2938496468798</v>
      </c>
    </row>
    <row r="361" spans="1:33" ht="11.25" customHeight="1" x14ac:dyDescent="0.3">
      <c r="A361" s="4" t="s">
        <v>28</v>
      </c>
      <c r="B361" s="4" t="s">
        <v>39</v>
      </c>
      <c r="C361" s="4" t="s">
        <v>40</v>
      </c>
      <c r="D361" s="4" t="s">
        <v>46</v>
      </c>
      <c r="E361" s="4" t="s">
        <v>25</v>
      </c>
      <c r="F361" s="4" t="s">
        <v>25</v>
      </c>
      <c r="G361" s="4" t="s">
        <v>25</v>
      </c>
      <c r="H361" s="4" t="s">
        <v>34</v>
      </c>
      <c r="I361" s="5">
        <v>44501</v>
      </c>
      <c r="J361" s="6">
        <v>0</v>
      </c>
      <c r="K361" s="6">
        <v>0</v>
      </c>
      <c r="L361" s="6">
        <v>3.101</v>
      </c>
      <c r="M361" s="6">
        <v>3.101</v>
      </c>
      <c r="N361" s="6">
        <v>3.101</v>
      </c>
      <c r="O361" s="6">
        <v>3.101</v>
      </c>
      <c r="P361" s="6">
        <v>0</v>
      </c>
      <c r="Q361" s="4" t="s">
        <v>26</v>
      </c>
      <c r="R361" s="4">
        <v>0</v>
      </c>
      <c r="S361" s="6">
        <v>0</v>
      </c>
      <c r="T361" s="6">
        <v>15</v>
      </c>
      <c r="U361" s="6">
        <v>65</v>
      </c>
      <c r="V361" s="6">
        <f>IF(ISERROR(VLOOKUP($S$361,'TAR FIN'!$A$1:$O$103,15,0)),0,VLOOKUP($S$361,'TAR FIN'!$A$1:$O$103,15,0))</f>
        <v>0</v>
      </c>
      <c r="W361" s="6">
        <f>IF(ISERROR(VLOOKUP($T$361,'TAR FIN'!$A$1:$O$103,15,0)),0,VLOOKUP($T$361,'TAR FIN'!$A$1:$O$103,15,0))</f>
        <v>1195.82</v>
      </c>
      <c r="X361" s="6">
        <f>IF(ISERROR(VLOOKUP($U$361,'TAR FIN'!$A$1:$O$103,15,0)),0,VLOOKUP($U$361,'TAR FIN'!$A$1:$O$103,15,0))</f>
        <v>391.54</v>
      </c>
      <c r="Y361" s="6"/>
      <c r="Z361" s="6">
        <f ca="1">('TUSD BE'!$AM$23+'TUSD BF'!$AM$23+'TUSD CVA'!$AM$23)*1</f>
        <v>1385.4977743340116</v>
      </c>
      <c r="AA361" s="6">
        <f>('TE BE'!$AB$8+'TE BF'!$AB$8+'TE CVA'!$AB$8)*1</f>
        <v>361.95264704220779</v>
      </c>
      <c r="AB361" s="6">
        <f>$K$361*$V$361</f>
        <v>0</v>
      </c>
      <c r="AC361" s="6">
        <f>$M$361*$W$361</f>
        <v>3708.2378199999998</v>
      </c>
      <c r="AD361" s="6">
        <f>$O$361*$X$361</f>
        <v>1214.16554</v>
      </c>
      <c r="AE361" s="6">
        <f>$K$361*$Y$361</f>
        <v>0</v>
      </c>
      <c r="AF361" s="6">
        <f ca="1">$M$361*$Z$361</f>
        <v>4296.4285982097699</v>
      </c>
      <c r="AG361" s="6">
        <f>$O$361*$AA$361</f>
        <v>1122.4151584778863</v>
      </c>
    </row>
    <row r="362" spans="1:33" ht="11.25" customHeight="1" x14ac:dyDescent="0.3">
      <c r="A362" s="4" t="s">
        <v>21</v>
      </c>
      <c r="B362" s="4" t="s">
        <v>39</v>
      </c>
      <c r="C362" s="4" t="s">
        <v>40</v>
      </c>
      <c r="D362" s="4" t="s">
        <v>46</v>
      </c>
      <c r="E362" s="4" t="s">
        <v>25</v>
      </c>
      <c r="F362" s="4" t="s">
        <v>25</v>
      </c>
      <c r="G362" s="4" t="s">
        <v>25</v>
      </c>
      <c r="H362" s="4" t="s">
        <v>34</v>
      </c>
      <c r="I362" s="5">
        <v>44531</v>
      </c>
      <c r="J362" s="6">
        <v>0</v>
      </c>
      <c r="K362" s="6">
        <v>0</v>
      </c>
      <c r="L362" s="6">
        <v>4.2439999999999998</v>
      </c>
      <c r="M362" s="6">
        <v>4.2439999999999998</v>
      </c>
      <c r="N362" s="6">
        <v>4.2439999999999998</v>
      </c>
      <c r="O362" s="6">
        <v>4.2439999999999998</v>
      </c>
      <c r="P362" s="6">
        <v>0</v>
      </c>
      <c r="Q362" s="4" t="s">
        <v>26</v>
      </c>
      <c r="R362" s="4">
        <v>0</v>
      </c>
      <c r="S362" s="6">
        <v>0</v>
      </c>
      <c r="T362" s="6">
        <v>15</v>
      </c>
      <c r="U362" s="6">
        <v>65</v>
      </c>
      <c r="V362" s="6">
        <f>IF(ISERROR(VLOOKUP($S$362,'TAR FIN'!$A$1:$O$103,15,0)),0,VLOOKUP($S$362,'TAR FIN'!$A$1:$O$103,15,0))</f>
        <v>0</v>
      </c>
      <c r="W362" s="6">
        <f>IF(ISERROR(VLOOKUP($T$362,'TAR FIN'!$A$1:$O$103,15,0)),0,VLOOKUP($T$362,'TAR FIN'!$A$1:$O$103,15,0))</f>
        <v>1195.82</v>
      </c>
      <c r="X362" s="6">
        <f>IF(ISERROR(VLOOKUP($U$362,'TAR FIN'!$A$1:$O$103,15,0)),0,VLOOKUP($U$362,'TAR FIN'!$A$1:$O$103,15,0))</f>
        <v>391.54</v>
      </c>
      <c r="Y362" s="6"/>
      <c r="Z362" s="6">
        <f ca="1">('TUSD BE'!$AM$23+'TUSD BF'!$AM$23+'TUSD CVA'!$AM$23)*1</f>
        <v>1385.4977743340116</v>
      </c>
      <c r="AA362" s="6">
        <f>('TE BE'!$AB$8+'TE BF'!$AB$8+'TE CVA'!$AB$8)*1</f>
        <v>361.95264704220779</v>
      </c>
      <c r="AB362" s="6">
        <f>$K$362*$V$362</f>
        <v>0</v>
      </c>
      <c r="AC362" s="6">
        <f>$M$362*$W$362</f>
        <v>5075.0600799999993</v>
      </c>
      <c r="AD362" s="6">
        <f>$O$362*$X$362</f>
        <v>1661.6957600000001</v>
      </c>
      <c r="AE362" s="6">
        <f>$K$362*$Y$362</f>
        <v>0</v>
      </c>
      <c r="AF362" s="6">
        <f ca="1">$M$362*$Z$362</f>
        <v>5880.052554273545</v>
      </c>
      <c r="AG362" s="6">
        <f>$O$362*$AA$362</f>
        <v>1536.1270340471297</v>
      </c>
    </row>
    <row r="363" spans="1:33" ht="11.25" customHeight="1" x14ac:dyDescent="0.3">
      <c r="A363" s="4" t="s">
        <v>28</v>
      </c>
      <c r="B363" s="4" t="s">
        <v>39</v>
      </c>
      <c r="C363" s="4" t="s">
        <v>40</v>
      </c>
      <c r="D363" s="4" t="s">
        <v>46</v>
      </c>
      <c r="E363" s="4" t="s">
        <v>25</v>
      </c>
      <c r="F363" s="4" t="s">
        <v>25</v>
      </c>
      <c r="G363" s="4" t="s">
        <v>25</v>
      </c>
      <c r="H363" s="4" t="s">
        <v>34</v>
      </c>
      <c r="I363" s="5">
        <v>44531</v>
      </c>
      <c r="J363" s="6">
        <v>0</v>
      </c>
      <c r="K363" s="6">
        <v>0</v>
      </c>
      <c r="L363" s="6">
        <v>3.1509999999999998</v>
      </c>
      <c r="M363" s="6">
        <v>3.1509999999999998</v>
      </c>
      <c r="N363" s="6">
        <v>3.1509999999999998</v>
      </c>
      <c r="O363" s="6">
        <v>3.1509999999999998</v>
      </c>
      <c r="P363" s="6">
        <v>0</v>
      </c>
      <c r="Q363" s="4" t="s">
        <v>26</v>
      </c>
      <c r="R363" s="4">
        <v>0</v>
      </c>
      <c r="S363" s="6">
        <v>0</v>
      </c>
      <c r="T363" s="6">
        <v>15</v>
      </c>
      <c r="U363" s="6">
        <v>65</v>
      </c>
      <c r="V363" s="6">
        <f>IF(ISERROR(VLOOKUP($S$363,'TAR FIN'!$A$1:$O$103,15,0)),0,VLOOKUP($S$363,'TAR FIN'!$A$1:$O$103,15,0))</f>
        <v>0</v>
      </c>
      <c r="W363" s="6">
        <f>IF(ISERROR(VLOOKUP($T$363,'TAR FIN'!$A$1:$O$103,15,0)),0,VLOOKUP($T$363,'TAR FIN'!$A$1:$O$103,15,0))</f>
        <v>1195.82</v>
      </c>
      <c r="X363" s="6">
        <f>IF(ISERROR(VLOOKUP($U$363,'TAR FIN'!$A$1:$O$103,15,0)),0,VLOOKUP($U$363,'TAR FIN'!$A$1:$O$103,15,0))</f>
        <v>391.54</v>
      </c>
      <c r="Y363" s="6"/>
      <c r="Z363" s="6">
        <f ca="1">('TUSD BE'!$AM$23+'TUSD BF'!$AM$23+'TUSD CVA'!$AM$23)*1</f>
        <v>1385.4977743340116</v>
      </c>
      <c r="AA363" s="6">
        <f>('TE BE'!$AB$8+'TE BF'!$AB$8+'TE CVA'!$AB$8)*1</f>
        <v>361.95264704220779</v>
      </c>
      <c r="AB363" s="6">
        <f>$K$363*$V$363</f>
        <v>0</v>
      </c>
      <c r="AC363" s="6">
        <f>$M$363*$W$363</f>
        <v>3768.0288199999995</v>
      </c>
      <c r="AD363" s="6">
        <f>$O$363*$X$363</f>
        <v>1233.74254</v>
      </c>
      <c r="AE363" s="6">
        <f>$K$363*$Y$363</f>
        <v>0</v>
      </c>
      <c r="AF363" s="6">
        <f ca="1">$M$363*$Z$363</f>
        <v>4365.7034869264708</v>
      </c>
      <c r="AG363" s="6">
        <f>$O$363*$AA$363</f>
        <v>1140.5127908299967</v>
      </c>
    </row>
    <row r="364" spans="1:33" ht="11.25" customHeight="1" x14ac:dyDescent="0.3">
      <c r="A364" s="4" t="s">
        <v>21</v>
      </c>
      <c r="B364" s="4" t="s">
        <v>39</v>
      </c>
      <c r="C364" s="4" t="s">
        <v>40</v>
      </c>
      <c r="D364" s="4" t="s">
        <v>46</v>
      </c>
      <c r="E364" s="4" t="s">
        <v>25</v>
      </c>
      <c r="F364" s="4" t="s">
        <v>25</v>
      </c>
      <c r="G364" s="4" t="s">
        <v>25</v>
      </c>
      <c r="H364" s="4" t="s">
        <v>34</v>
      </c>
      <c r="I364" s="5">
        <v>44562</v>
      </c>
      <c r="J364" s="6">
        <v>0</v>
      </c>
      <c r="K364" s="6">
        <v>0</v>
      </c>
      <c r="L364" s="6">
        <v>2.9239999999999999</v>
      </c>
      <c r="M364" s="6">
        <v>2.9239999999999999</v>
      </c>
      <c r="N364" s="6">
        <v>2.9239999999999999</v>
      </c>
      <c r="O364" s="6">
        <v>2.9239999999999999</v>
      </c>
      <c r="P364" s="6">
        <v>0</v>
      </c>
      <c r="Q364" s="4" t="s">
        <v>26</v>
      </c>
      <c r="R364" s="4">
        <v>0</v>
      </c>
      <c r="S364" s="6">
        <v>0</v>
      </c>
      <c r="T364" s="6">
        <v>15</v>
      </c>
      <c r="U364" s="6">
        <v>65</v>
      </c>
      <c r="V364" s="6">
        <f>IF(ISERROR(VLOOKUP($S$364,'TAR FIN'!$A$1:$O$103,15,0)),0,VLOOKUP($S$364,'TAR FIN'!$A$1:$O$103,15,0))</f>
        <v>0</v>
      </c>
      <c r="W364" s="6">
        <f>IF(ISERROR(VLOOKUP($T$364,'TAR FIN'!$A$1:$O$103,15,0)),0,VLOOKUP($T$364,'TAR FIN'!$A$1:$O$103,15,0))</f>
        <v>1195.82</v>
      </c>
      <c r="X364" s="6">
        <f>IF(ISERROR(VLOOKUP($U$364,'TAR FIN'!$A$1:$O$103,15,0)),0,VLOOKUP($U$364,'TAR FIN'!$A$1:$O$103,15,0))</f>
        <v>391.54</v>
      </c>
      <c r="Y364" s="6"/>
      <c r="Z364" s="6">
        <f ca="1">('TUSD BE'!$AM$23+'TUSD BF'!$AM$23+'TUSD CVA'!$AM$23)*1</f>
        <v>1385.4977743340116</v>
      </c>
      <c r="AA364" s="6">
        <f>('TE BE'!$AB$8+'TE BF'!$AB$8+'TE CVA'!$AB$8)*1</f>
        <v>361.95264704220779</v>
      </c>
      <c r="AB364" s="6">
        <f>$K$364*$V$364</f>
        <v>0</v>
      </c>
      <c r="AC364" s="6">
        <f>$M$364*$W$364</f>
        <v>3496.5776799999999</v>
      </c>
      <c r="AD364" s="6">
        <f>$O$364*$X$364</f>
        <v>1144.8629599999999</v>
      </c>
      <c r="AE364" s="6">
        <f>$K$364*$Y$364</f>
        <v>0</v>
      </c>
      <c r="AF364" s="6">
        <f ca="1">$M$364*$Z$364</f>
        <v>4051.1954921526499</v>
      </c>
      <c r="AG364" s="6">
        <f>$O$364*$AA$364</f>
        <v>1058.3495399514156</v>
      </c>
    </row>
    <row r="365" spans="1:33" ht="11.25" customHeight="1" x14ac:dyDescent="0.3">
      <c r="A365" s="4" t="s">
        <v>28</v>
      </c>
      <c r="B365" s="4" t="s">
        <v>39</v>
      </c>
      <c r="C365" s="4" t="s">
        <v>40</v>
      </c>
      <c r="D365" s="4" t="s">
        <v>46</v>
      </c>
      <c r="E365" s="4" t="s">
        <v>25</v>
      </c>
      <c r="F365" s="4" t="s">
        <v>25</v>
      </c>
      <c r="G365" s="4" t="s">
        <v>25</v>
      </c>
      <c r="H365" s="4" t="s">
        <v>34</v>
      </c>
      <c r="I365" s="5">
        <v>44562</v>
      </c>
      <c r="J365" s="6">
        <v>0</v>
      </c>
      <c r="K365" s="6">
        <v>0</v>
      </c>
      <c r="L365" s="6">
        <v>2.6309999999999998</v>
      </c>
      <c r="M365" s="6">
        <v>2.6309999999999998</v>
      </c>
      <c r="N365" s="6">
        <v>2.6309999999999998</v>
      </c>
      <c r="O365" s="6">
        <v>2.6309999999999998</v>
      </c>
      <c r="P365" s="6">
        <v>0</v>
      </c>
      <c r="Q365" s="4" t="s">
        <v>26</v>
      </c>
      <c r="R365" s="4">
        <v>0</v>
      </c>
      <c r="S365" s="6">
        <v>0</v>
      </c>
      <c r="T365" s="6">
        <v>15</v>
      </c>
      <c r="U365" s="6">
        <v>65</v>
      </c>
      <c r="V365" s="6">
        <f>IF(ISERROR(VLOOKUP($S$365,'TAR FIN'!$A$1:$O$103,15,0)),0,VLOOKUP($S$365,'TAR FIN'!$A$1:$O$103,15,0))</f>
        <v>0</v>
      </c>
      <c r="W365" s="6">
        <f>IF(ISERROR(VLOOKUP($T$365,'TAR FIN'!$A$1:$O$103,15,0)),0,VLOOKUP($T$365,'TAR FIN'!$A$1:$O$103,15,0))</f>
        <v>1195.82</v>
      </c>
      <c r="X365" s="6">
        <f>IF(ISERROR(VLOOKUP($U$365,'TAR FIN'!$A$1:$O$103,15,0)),0,VLOOKUP($U$365,'TAR FIN'!$A$1:$O$103,15,0))</f>
        <v>391.54</v>
      </c>
      <c r="Y365" s="6"/>
      <c r="Z365" s="6">
        <f ca="1">('TUSD BE'!$AM$23+'TUSD BF'!$AM$23+'TUSD CVA'!$AM$23)*1</f>
        <v>1385.4977743340116</v>
      </c>
      <c r="AA365" s="6">
        <f>('TE BE'!$AB$8+'TE BF'!$AB$8+'TE CVA'!$AB$8)*1</f>
        <v>361.95264704220779</v>
      </c>
      <c r="AB365" s="6">
        <f>$K$365*$V$365</f>
        <v>0</v>
      </c>
      <c r="AC365" s="6">
        <f>$M$365*$W$365</f>
        <v>3146.2024199999996</v>
      </c>
      <c r="AD365" s="6">
        <f>$O$365*$X$365</f>
        <v>1030.14174</v>
      </c>
      <c r="AE365" s="6">
        <f>$K$365*$Y$365</f>
        <v>0</v>
      </c>
      <c r="AF365" s="6">
        <f ca="1">$M$365*$Z$365</f>
        <v>3645.2446442727842</v>
      </c>
      <c r="AG365" s="6">
        <f>$O$365*$AA$365</f>
        <v>952.29741436804863</v>
      </c>
    </row>
    <row r="366" spans="1:33" ht="11.25" customHeight="1" x14ac:dyDescent="0.3">
      <c r="A366" s="4" t="s">
        <v>21</v>
      </c>
      <c r="B366" s="4" t="s">
        <v>39</v>
      </c>
      <c r="C366" s="4" t="s">
        <v>40</v>
      </c>
      <c r="D366" s="4" t="s">
        <v>46</v>
      </c>
      <c r="E366" s="4" t="s">
        <v>25</v>
      </c>
      <c r="F366" s="4" t="s">
        <v>25</v>
      </c>
      <c r="G366" s="4" t="s">
        <v>25</v>
      </c>
      <c r="H366" s="4" t="s">
        <v>34</v>
      </c>
      <c r="I366" s="5">
        <v>44593</v>
      </c>
      <c r="J366" s="6">
        <v>0</v>
      </c>
      <c r="K366" s="6">
        <v>0</v>
      </c>
      <c r="L366" s="6">
        <v>3.3050000000000002</v>
      </c>
      <c r="M366" s="6">
        <v>3.3050000000000002</v>
      </c>
      <c r="N366" s="6">
        <v>3.3050000000000002</v>
      </c>
      <c r="O366" s="6">
        <v>3.3050000000000002</v>
      </c>
      <c r="P366" s="6">
        <v>0</v>
      </c>
      <c r="Q366" s="4" t="s">
        <v>26</v>
      </c>
      <c r="R366" s="4">
        <v>0</v>
      </c>
      <c r="S366" s="6">
        <v>0</v>
      </c>
      <c r="T366" s="6">
        <v>15</v>
      </c>
      <c r="U366" s="6">
        <v>65</v>
      </c>
      <c r="V366" s="6">
        <f>IF(ISERROR(VLOOKUP($S$366,'TAR FIN'!$A$1:$O$103,15,0)),0,VLOOKUP($S$366,'TAR FIN'!$A$1:$O$103,15,0))</f>
        <v>0</v>
      </c>
      <c r="W366" s="6">
        <f>IF(ISERROR(VLOOKUP($T$366,'TAR FIN'!$A$1:$O$103,15,0)),0,VLOOKUP($T$366,'TAR FIN'!$A$1:$O$103,15,0))</f>
        <v>1195.82</v>
      </c>
      <c r="X366" s="6">
        <f>IF(ISERROR(VLOOKUP($U$366,'TAR FIN'!$A$1:$O$103,15,0)),0,VLOOKUP($U$366,'TAR FIN'!$A$1:$O$103,15,0))</f>
        <v>391.54</v>
      </c>
      <c r="Y366" s="6"/>
      <c r="Z366" s="6">
        <f ca="1">('TUSD BE'!$AM$23+'TUSD BF'!$AM$23+'TUSD CVA'!$AM$23)*1</f>
        <v>1385.4977743340116</v>
      </c>
      <c r="AA366" s="6">
        <f>('TE BE'!$AB$8+'TE BF'!$AB$8+'TE CVA'!$AB$8)*1</f>
        <v>361.95264704220779</v>
      </c>
      <c r="AB366" s="6">
        <f>$K$366*$V$366</f>
        <v>0</v>
      </c>
      <c r="AC366" s="6">
        <f>$M$366*$W$366</f>
        <v>3952.1851000000001</v>
      </c>
      <c r="AD366" s="6">
        <f>$O$366*$X$366</f>
        <v>1294.0397</v>
      </c>
      <c r="AE366" s="6">
        <f>$K$366*$Y$366</f>
        <v>0</v>
      </c>
      <c r="AF366" s="6">
        <f ca="1">$M$366*$Z$366</f>
        <v>4579.0701441739084</v>
      </c>
      <c r="AG366" s="6">
        <f>$O$366*$AA$366</f>
        <v>1196.2534984744968</v>
      </c>
    </row>
    <row r="367" spans="1:33" ht="11.25" customHeight="1" x14ac:dyDescent="0.3">
      <c r="A367" s="4" t="s">
        <v>28</v>
      </c>
      <c r="B367" s="4" t="s">
        <v>39</v>
      </c>
      <c r="C367" s="4" t="s">
        <v>40</v>
      </c>
      <c r="D367" s="4" t="s">
        <v>46</v>
      </c>
      <c r="E367" s="4" t="s">
        <v>25</v>
      </c>
      <c r="F367" s="4" t="s">
        <v>25</v>
      </c>
      <c r="G367" s="4" t="s">
        <v>25</v>
      </c>
      <c r="H367" s="4" t="s">
        <v>34</v>
      </c>
      <c r="I367" s="5">
        <v>44593</v>
      </c>
      <c r="J367" s="6">
        <v>0</v>
      </c>
      <c r="K367" s="6">
        <v>0</v>
      </c>
      <c r="L367" s="6">
        <v>2.9140000000000001</v>
      </c>
      <c r="M367" s="6">
        <v>2.9140000000000001</v>
      </c>
      <c r="N367" s="6">
        <v>2.9140000000000001</v>
      </c>
      <c r="O367" s="6">
        <v>2.9140000000000001</v>
      </c>
      <c r="P367" s="6">
        <v>0</v>
      </c>
      <c r="Q367" s="4" t="s">
        <v>26</v>
      </c>
      <c r="R367" s="4">
        <v>0</v>
      </c>
      <c r="S367" s="6">
        <v>0</v>
      </c>
      <c r="T367" s="6">
        <v>15</v>
      </c>
      <c r="U367" s="6">
        <v>65</v>
      </c>
      <c r="V367" s="6">
        <f>IF(ISERROR(VLOOKUP($S$367,'TAR FIN'!$A$1:$O$103,15,0)),0,VLOOKUP($S$367,'TAR FIN'!$A$1:$O$103,15,0))</f>
        <v>0</v>
      </c>
      <c r="W367" s="6">
        <f>IF(ISERROR(VLOOKUP($T$367,'TAR FIN'!$A$1:$O$103,15,0)),0,VLOOKUP($T$367,'TAR FIN'!$A$1:$O$103,15,0))</f>
        <v>1195.82</v>
      </c>
      <c r="X367" s="6">
        <f>IF(ISERROR(VLOOKUP($U$367,'TAR FIN'!$A$1:$O$103,15,0)),0,VLOOKUP($U$367,'TAR FIN'!$A$1:$O$103,15,0))</f>
        <v>391.54</v>
      </c>
      <c r="Y367" s="6"/>
      <c r="Z367" s="6">
        <f ca="1">('TUSD BE'!$AM$23+'TUSD BF'!$AM$23+'TUSD CVA'!$AM$23)*1</f>
        <v>1385.4977743340116</v>
      </c>
      <c r="AA367" s="6">
        <f>('TE BE'!$AB$8+'TE BF'!$AB$8+'TE CVA'!$AB$8)*1</f>
        <v>361.95264704220779</v>
      </c>
      <c r="AB367" s="6">
        <f>$K$367*$V$367</f>
        <v>0</v>
      </c>
      <c r="AC367" s="6">
        <f>$M$367*$W$367</f>
        <v>3484.6194799999998</v>
      </c>
      <c r="AD367" s="6">
        <f>$O$367*$X$367</f>
        <v>1140.9475600000001</v>
      </c>
      <c r="AE367" s="6">
        <f>$K$367*$Y$367</f>
        <v>0</v>
      </c>
      <c r="AF367" s="6">
        <f ca="1">$M$367*$Z$367</f>
        <v>4037.3405144093099</v>
      </c>
      <c r="AG367" s="6">
        <f>$O$367*$AA$367</f>
        <v>1054.7300134809936</v>
      </c>
    </row>
    <row r="368" spans="1:33" ht="11.25" customHeight="1" x14ac:dyDescent="0.3">
      <c r="A368" s="4" t="s">
        <v>21</v>
      </c>
      <c r="B368" s="4" t="s">
        <v>39</v>
      </c>
      <c r="C368" s="4" t="s">
        <v>40</v>
      </c>
      <c r="D368" s="4" t="s">
        <v>46</v>
      </c>
      <c r="E368" s="4" t="s">
        <v>25</v>
      </c>
      <c r="F368" s="4" t="s">
        <v>25</v>
      </c>
      <c r="G368" s="4" t="s">
        <v>25</v>
      </c>
      <c r="H368" s="4" t="s">
        <v>34</v>
      </c>
      <c r="I368" s="5">
        <v>44621</v>
      </c>
      <c r="J368" s="6">
        <v>0</v>
      </c>
      <c r="K368" s="6">
        <v>0</v>
      </c>
      <c r="L368" s="6">
        <v>3.7040000000000002</v>
      </c>
      <c r="M368" s="6">
        <v>3.7040000000000002</v>
      </c>
      <c r="N368" s="6">
        <v>3.7040000000000002</v>
      </c>
      <c r="O368" s="6">
        <v>3.7040000000000002</v>
      </c>
      <c r="P368" s="6">
        <v>0</v>
      </c>
      <c r="Q368" s="4" t="s">
        <v>26</v>
      </c>
      <c r="R368" s="4">
        <v>0</v>
      </c>
      <c r="S368" s="6">
        <v>0</v>
      </c>
      <c r="T368" s="6">
        <v>15</v>
      </c>
      <c r="U368" s="6">
        <v>65</v>
      </c>
      <c r="V368" s="6">
        <f>IF(ISERROR(VLOOKUP($S$368,'TAR FIN'!$A$1:$O$103,15,0)),0,VLOOKUP($S$368,'TAR FIN'!$A$1:$O$103,15,0))</f>
        <v>0</v>
      </c>
      <c r="W368" s="6">
        <f>IF(ISERROR(VLOOKUP($T$368,'TAR FIN'!$A$1:$O$103,15,0)),0,VLOOKUP($T$368,'TAR FIN'!$A$1:$O$103,15,0))</f>
        <v>1195.82</v>
      </c>
      <c r="X368" s="6">
        <f>IF(ISERROR(VLOOKUP($U$368,'TAR FIN'!$A$1:$O$103,15,0)),0,VLOOKUP($U$368,'TAR FIN'!$A$1:$O$103,15,0))</f>
        <v>391.54</v>
      </c>
      <c r="Y368" s="6"/>
      <c r="Z368" s="6">
        <f ca="1">('TUSD BE'!$AM$23+'TUSD BF'!$AM$23+'TUSD CVA'!$AM$23)*1</f>
        <v>1385.4977743340116</v>
      </c>
      <c r="AA368" s="6">
        <f>('TE BE'!$AB$8+'TE BF'!$AB$8+'TE CVA'!$AB$8)*1</f>
        <v>361.95264704220779</v>
      </c>
      <c r="AB368" s="6">
        <f>$K$368*$V$368</f>
        <v>0</v>
      </c>
      <c r="AC368" s="6">
        <f>$M$368*$W$368</f>
        <v>4429.3172800000002</v>
      </c>
      <c r="AD368" s="6">
        <f>$O$368*$X$368</f>
        <v>1450.2641600000002</v>
      </c>
      <c r="AE368" s="6">
        <f>$K$368*$Y$368</f>
        <v>0</v>
      </c>
      <c r="AF368" s="6">
        <f ca="1">$M$368*$Z$368</f>
        <v>5131.8837561331793</v>
      </c>
      <c r="AG368" s="6">
        <f>$O$368*$AA$368</f>
        <v>1340.6726046443378</v>
      </c>
    </row>
    <row r="369" spans="1:33" ht="11.25" customHeight="1" x14ac:dyDescent="0.3">
      <c r="A369" s="4" t="s">
        <v>28</v>
      </c>
      <c r="B369" s="4" t="s">
        <v>39</v>
      </c>
      <c r="C369" s="4" t="s">
        <v>40</v>
      </c>
      <c r="D369" s="4" t="s">
        <v>46</v>
      </c>
      <c r="E369" s="4" t="s">
        <v>25</v>
      </c>
      <c r="F369" s="4" t="s">
        <v>25</v>
      </c>
      <c r="G369" s="4" t="s">
        <v>25</v>
      </c>
      <c r="H369" s="4" t="s">
        <v>34</v>
      </c>
      <c r="I369" s="5">
        <v>44621</v>
      </c>
      <c r="J369" s="6">
        <v>0</v>
      </c>
      <c r="K369" s="6">
        <v>0</v>
      </c>
      <c r="L369" s="6">
        <v>6.8840000000000003</v>
      </c>
      <c r="M369" s="6">
        <v>6.8840000000000003</v>
      </c>
      <c r="N369" s="6">
        <v>6.8840000000000003</v>
      </c>
      <c r="O369" s="6">
        <v>6.8840000000000003</v>
      </c>
      <c r="P369" s="6">
        <v>0</v>
      </c>
      <c r="Q369" s="4" t="s">
        <v>26</v>
      </c>
      <c r="R369" s="4">
        <v>0</v>
      </c>
      <c r="S369" s="6">
        <v>0</v>
      </c>
      <c r="T369" s="6">
        <v>15</v>
      </c>
      <c r="U369" s="6">
        <v>65</v>
      </c>
      <c r="V369" s="6">
        <f>IF(ISERROR(VLOOKUP($S$369,'TAR FIN'!$A$1:$O$103,15,0)),0,VLOOKUP($S$369,'TAR FIN'!$A$1:$O$103,15,0))</f>
        <v>0</v>
      </c>
      <c r="W369" s="6">
        <f>IF(ISERROR(VLOOKUP($T$369,'TAR FIN'!$A$1:$O$103,15,0)),0,VLOOKUP($T$369,'TAR FIN'!$A$1:$O$103,15,0))</f>
        <v>1195.82</v>
      </c>
      <c r="X369" s="6">
        <f>IF(ISERROR(VLOOKUP($U$369,'TAR FIN'!$A$1:$O$103,15,0)),0,VLOOKUP($U$369,'TAR FIN'!$A$1:$O$103,15,0))</f>
        <v>391.54</v>
      </c>
      <c r="Y369" s="6"/>
      <c r="Z369" s="6">
        <f ca="1">('TUSD BE'!$AM$23+'TUSD BF'!$AM$23+'TUSD CVA'!$AM$23)*1</f>
        <v>1385.4977743340116</v>
      </c>
      <c r="AA369" s="6">
        <f>('TE BE'!$AB$8+'TE BF'!$AB$8+'TE CVA'!$AB$8)*1</f>
        <v>361.95264704220779</v>
      </c>
      <c r="AB369" s="6">
        <f>$K$369*$V$369</f>
        <v>0</v>
      </c>
      <c r="AC369" s="6">
        <f>$M$369*$W$369</f>
        <v>8232.0248800000008</v>
      </c>
      <c r="AD369" s="6">
        <f>$O$369*$X$369</f>
        <v>2695.3613600000003</v>
      </c>
      <c r="AE369" s="6">
        <f>$K$369*$Y$369</f>
        <v>0</v>
      </c>
      <c r="AF369" s="6">
        <f ca="1">$M$369*$Z$369</f>
        <v>9537.766678515336</v>
      </c>
      <c r="AG369" s="6">
        <f>$O$369*$AA$369</f>
        <v>2491.6820222385586</v>
      </c>
    </row>
    <row r="370" spans="1:33" ht="11.25" customHeight="1" x14ac:dyDescent="0.3">
      <c r="A370" s="4" t="s">
        <v>21</v>
      </c>
      <c r="B370" s="4" t="s">
        <v>39</v>
      </c>
      <c r="C370" s="4" t="s">
        <v>40</v>
      </c>
      <c r="D370" s="4" t="s">
        <v>46</v>
      </c>
      <c r="E370" s="4" t="s">
        <v>25</v>
      </c>
      <c r="F370" s="4" t="s">
        <v>25</v>
      </c>
      <c r="G370" s="4" t="s">
        <v>25</v>
      </c>
      <c r="H370" s="4" t="s">
        <v>34</v>
      </c>
      <c r="I370" s="5">
        <v>44652</v>
      </c>
      <c r="J370" s="6">
        <v>0</v>
      </c>
      <c r="K370" s="6">
        <v>0</v>
      </c>
      <c r="L370" s="6">
        <v>3.448</v>
      </c>
      <c r="M370" s="6">
        <v>3.448</v>
      </c>
      <c r="N370" s="6">
        <v>3.448</v>
      </c>
      <c r="O370" s="6">
        <v>3.448</v>
      </c>
      <c r="P370" s="6">
        <v>0</v>
      </c>
      <c r="Q370" s="4" t="s">
        <v>26</v>
      </c>
      <c r="R370" s="4">
        <v>0</v>
      </c>
      <c r="S370" s="6">
        <v>0</v>
      </c>
      <c r="T370" s="6">
        <v>15</v>
      </c>
      <c r="U370" s="6">
        <v>65</v>
      </c>
      <c r="V370" s="6">
        <f>IF(ISERROR(VLOOKUP($S$370,'TAR FIN'!$A$1:$O$103,15,0)),0,VLOOKUP($S$370,'TAR FIN'!$A$1:$O$103,15,0))</f>
        <v>0</v>
      </c>
      <c r="W370" s="6">
        <f>IF(ISERROR(VLOOKUP($T$370,'TAR FIN'!$A$1:$O$103,15,0)),0,VLOOKUP($T$370,'TAR FIN'!$A$1:$O$103,15,0))</f>
        <v>1195.82</v>
      </c>
      <c r="X370" s="6">
        <f>IF(ISERROR(VLOOKUP($U$370,'TAR FIN'!$A$1:$O$103,15,0)),0,VLOOKUP($U$370,'TAR FIN'!$A$1:$O$103,15,0))</f>
        <v>391.54</v>
      </c>
      <c r="Y370" s="6"/>
      <c r="Z370" s="6">
        <f ca="1">('TUSD BE'!$AM$23+'TUSD BF'!$AM$23+'TUSD CVA'!$AM$23)*1</f>
        <v>1385.4977743340116</v>
      </c>
      <c r="AA370" s="6">
        <f>('TE BE'!$AB$8+'TE BF'!$AB$8+'TE CVA'!$AB$8)*1</f>
        <v>361.95264704220779</v>
      </c>
      <c r="AB370" s="6">
        <f>$K$370*$V$370</f>
        <v>0</v>
      </c>
      <c r="AC370" s="6">
        <f>$M$370*$W$370</f>
        <v>4123.1873599999999</v>
      </c>
      <c r="AD370" s="6">
        <f>$O$370*$X$370</f>
        <v>1350.0299199999999</v>
      </c>
      <c r="AE370" s="6">
        <f>$K$370*$Y$370</f>
        <v>0</v>
      </c>
      <c r="AF370" s="6">
        <f ca="1">$M$370*$Z$370</f>
        <v>4777.196325903672</v>
      </c>
      <c r="AG370" s="6">
        <f>$O$370*$AA$370</f>
        <v>1248.0127270015325</v>
      </c>
    </row>
    <row r="371" spans="1:33" ht="11.25" customHeight="1" x14ac:dyDescent="0.3">
      <c r="A371" s="4" t="s">
        <v>28</v>
      </c>
      <c r="B371" s="4" t="s">
        <v>39</v>
      </c>
      <c r="C371" s="4" t="s">
        <v>40</v>
      </c>
      <c r="D371" s="4" t="s">
        <v>46</v>
      </c>
      <c r="E371" s="4" t="s">
        <v>25</v>
      </c>
      <c r="F371" s="4" t="s">
        <v>25</v>
      </c>
      <c r="G371" s="4" t="s">
        <v>25</v>
      </c>
      <c r="H371" s="4" t="s">
        <v>34</v>
      </c>
      <c r="I371" s="5">
        <v>44652</v>
      </c>
      <c r="J371" s="6">
        <v>0</v>
      </c>
      <c r="K371" s="6">
        <v>0</v>
      </c>
      <c r="L371" s="6">
        <v>6.7949999999999999</v>
      </c>
      <c r="M371" s="6">
        <v>6.7949999999999999</v>
      </c>
      <c r="N371" s="6">
        <v>6.7949999999999999</v>
      </c>
      <c r="O371" s="6">
        <v>6.7949999999999999</v>
      </c>
      <c r="P371" s="6">
        <v>0</v>
      </c>
      <c r="Q371" s="4" t="s">
        <v>26</v>
      </c>
      <c r="R371" s="4">
        <v>0</v>
      </c>
      <c r="S371" s="6">
        <v>0</v>
      </c>
      <c r="T371" s="6">
        <v>15</v>
      </c>
      <c r="U371" s="6">
        <v>65</v>
      </c>
      <c r="V371" s="6">
        <f>IF(ISERROR(VLOOKUP($S$371,'TAR FIN'!$A$1:$O$103,15,0)),0,VLOOKUP($S$371,'TAR FIN'!$A$1:$O$103,15,0))</f>
        <v>0</v>
      </c>
      <c r="W371" s="6">
        <f>IF(ISERROR(VLOOKUP($T$371,'TAR FIN'!$A$1:$O$103,15,0)),0,VLOOKUP($T$371,'TAR FIN'!$A$1:$O$103,15,0))</f>
        <v>1195.82</v>
      </c>
      <c r="X371" s="6">
        <f>IF(ISERROR(VLOOKUP($U$371,'TAR FIN'!$A$1:$O$103,15,0)),0,VLOOKUP($U$371,'TAR FIN'!$A$1:$O$103,15,0))</f>
        <v>391.54</v>
      </c>
      <c r="Y371" s="6"/>
      <c r="Z371" s="6">
        <f ca="1">('TUSD BE'!$AM$23+'TUSD BF'!$AM$23+'TUSD CVA'!$AM$23)*1</f>
        <v>1385.4977743340116</v>
      </c>
      <c r="AA371" s="6">
        <f>('TE BE'!$AB$8+'TE BF'!$AB$8+'TE CVA'!$AB$8)*1</f>
        <v>361.95264704220779</v>
      </c>
      <c r="AB371" s="6">
        <f>$K$371*$V$371</f>
        <v>0</v>
      </c>
      <c r="AC371" s="6">
        <f>$M$371*$W$371</f>
        <v>8125.5968999999996</v>
      </c>
      <c r="AD371" s="6">
        <f>$O$371*$X$371</f>
        <v>2660.5143000000003</v>
      </c>
      <c r="AE371" s="6">
        <f>$K$371*$Y$371</f>
        <v>0</v>
      </c>
      <c r="AF371" s="6">
        <f ca="1">$M$371*$Z$371</f>
        <v>9414.4573765996083</v>
      </c>
      <c r="AG371" s="6">
        <f>$O$371*$AA$371</f>
        <v>2459.4682366518018</v>
      </c>
    </row>
    <row r="372" spans="1:33" ht="11.25" customHeight="1" x14ac:dyDescent="0.3">
      <c r="A372" s="4" t="s">
        <v>21</v>
      </c>
      <c r="B372" s="4" t="s">
        <v>39</v>
      </c>
      <c r="C372" s="4" t="s">
        <v>40</v>
      </c>
      <c r="D372" s="4" t="s">
        <v>46</v>
      </c>
      <c r="E372" s="4" t="s">
        <v>25</v>
      </c>
      <c r="F372" s="4" t="s">
        <v>25</v>
      </c>
      <c r="G372" s="4" t="s">
        <v>25</v>
      </c>
      <c r="H372" s="4" t="s">
        <v>34</v>
      </c>
      <c r="I372" s="5">
        <v>44682</v>
      </c>
      <c r="J372" s="6">
        <v>0</v>
      </c>
      <c r="K372" s="6">
        <v>0</v>
      </c>
      <c r="L372" s="6">
        <v>3.4220000000000002</v>
      </c>
      <c r="M372" s="6">
        <v>3.4220000000000002</v>
      </c>
      <c r="N372" s="6">
        <v>3.4220000000000002</v>
      </c>
      <c r="O372" s="6">
        <v>3.4220000000000002</v>
      </c>
      <c r="P372" s="6">
        <v>0</v>
      </c>
      <c r="Q372" s="4" t="s">
        <v>26</v>
      </c>
      <c r="R372" s="4">
        <v>0</v>
      </c>
      <c r="S372" s="6">
        <v>0</v>
      </c>
      <c r="T372" s="6">
        <v>15</v>
      </c>
      <c r="U372" s="6">
        <v>65</v>
      </c>
      <c r="V372" s="6">
        <f>IF(ISERROR(VLOOKUP($S$372,'TAR FIN'!$A$1:$O$103,15,0)),0,VLOOKUP($S$372,'TAR FIN'!$A$1:$O$103,15,0))</f>
        <v>0</v>
      </c>
      <c r="W372" s="6">
        <f>IF(ISERROR(VLOOKUP($T$372,'TAR FIN'!$A$1:$O$103,15,0)),0,VLOOKUP($T$372,'TAR FIN'!$A$1:$O$103,15,0))</f>
        <v>1195.82</v>
      </c>
      <c r="X372" s="6">
        <f>IF(ISERROR(VLOOKUP($U$372,'TAR FIN'!$A$1:$O$103,15,0)),0,VLOOKUP($U$372,'TAR FIN'!$A$1:$O$103,15,0))</f>
        <v>391.54</v>
      </c>
      <c r="Y372" s="6"/>
      <c r="Z372" s="6">
        <f ca="1">('TUSD BE'!$AM$23+'TUSD BF'!$AM$23+'TUSD CVA'!$AM$23)*1</f>
        <v>1385.4977743340116</v>
      </c>
      <c r="AA372" s="6">
        <f>('TE BE'!$AB$8+'TE BF'!$AB$8+'TE CVA'!$AB$8)*1</f>
        <v>361.95264704220779</v>
      </c>
      <c r="AB372" s="6">
        <f>$K$372*$V$372</f>
        <v>0</v>
      </c>
      <c r="AC372" s="6">
        <f>$M$372*$W$372</f>
        <v>4092.0960399999999</v>
      </c>
      <c r="AD372" s="6">
        <f>$O$372*$X$372</f>
        <v>1339.8498800000002</v>
      </c>
      <c r="AE372" s="6">
        <f>$K$372*$Y$372</f>
        <v>0</v>
      </c>
      <c r="AF372" s="6">
        <f ca="1">$M$372*$Z$372</f>
        <v>4741.173383770988</v>
      </c>
      <c r="AG372" s="6">
        <f>$O$372*$AA$372</f>
        <v>1238.6019581784351</v>
      </c>
    </row>
    <row r="373" spans="1:33" ht="11.25" customHeight="1" x14ac:dyDescent="0.3">
      <c r="A373" s="4" t="s">
        <v>28</v>
      </c>
      <c r="B373" s="4" t="s">
        <v>39</v>
      </c>
      <c r="C373" s="4" t="s">
        <v>40</v>
      </c>
      <c r="D373" s="4" t="s">
        <v>46</v>
      </c>
      <c r="E373" s="4" t="s">
        <v>25</v>
      </c>
      <c r="F373" s="4" t="s">
        <v>25</v>
      </c>
      <c r="G373" s="4" t="s">
        <v>25</v>
      </c>
      <c r="H373" s="4" t="s">
        <v>34</v>
      </c>
      <c r="I373" s="5">
        <v>44682</v>
      </c>
      <c r="J373" s="6">
        <v>0</v>
      </c>
      <c r="K373" s="6">
        <v>0</v>
      </c>
      <c r="L373" s="6">
        <v>7.2409999999999997</v>
      </c>
      <c r="M373" s="6">
        <v>7.2409999999999997</v>
      </c>
      <c r="N373" s="6">
        <v>7.2409999999999997</v>
      </c>
      <c r="O373" s="6">
        <v>7.2409999999999997</v>
      </c>
      <c r="P373" s="6">
        <v>0</v>
      </c>
      <c r="Q373" s="4" t="s">
        <v>26</v>
      </c>
      <c r="R373" s="4">
        <v>0</v>
      </c>
      <c r="S373" s="6">
        <v>0</v>
      </c>
      <c r="T373" s="6">
        <v>15</v>
      </c>
      <c r="U373" s="6">
        <v>65</v>
      </c>
      <c r="V373" s="6">
        <f>IF(ISERROR(VLOOKUP($S$373,'TAR FIN'!$A$1:$O$103,15,0)),0,VLOOKUP($S$373,'TAR FIN'!$A$1:$O$103,15,0))</f>
        <v>0</v>
      </c>
      <c r="W373" s="6">
        <f>IF(ISERROR(VLOOKUP($T$373,'TAR FIN'!$A$1:$O$103,15,0)),0,VLOOKUP($T$373,'TAR FIN'!$A$1:$O$103,15,0))</f>
        <v>1195.82</v>
      </c>
      <c r="X373" s="6">
        <f>IF(ISERROR(VLOOKUP($U$373,'TAR FIN'!$A$1:$O$103,15,0)),0,VLOOKUP($U$373,'TAR FIN'!$A$1:$O$103,15,0))</f>
        <v>391.54</v>
      </c>
      <c r="Y373" s="6"/>
      <c r="Z373" s="6">
        <f ca="1">('TUSD BE'!$AM$23+'TUSD BF'!$AM$23+'TUSD CVA'!$AM$23)*1</f>
        <v>1385.4977743340116</v>
      </c>
      <c r="AA373" s="6">
        <f>('TE BE'!$AB$8+'TE BF'!$AB$8+'TE CVA'!$AB$8)*1</f>
        <v>361.95264704220779</v>
      </c>
      <c r="AB373" s="6">
        <f>$K$373*$V$373</f>
        <v>0</v>
      </c>
      <c r="AC373" s="6">
        <f>$M$373*$W$373</f>
        <v>8658.9326199999996</v>
      </c>
      <c r="AD373" s="6">
        <f>$O$373*$X$373</f>
        <v>2835.1411400000002</v>
      </c>
      <c r="AE373" s="6">
        <f>$K$373*$Y$373</f>
        <v>0</v>
      </c>
      <c r="AF373" s="6">
        <f ca="1">$M$373*$Z$373</f>
        <v>10032.389383952577</v>
      </c>
      <c r="AG373" s="6">
        <f>$O$373*$AA$373</f>
        <v>2620.8991172326264</v>
      </c>
    </row>
    <row r="374" spans="1:33" ht="11.25" customHeight="1" x14ac:dyDescent="0.3">
      <c r="A374" s="4" t="s">
        <v>21</v>
      </c>
      <c r="B374" s="4" t="s">
        <v>39</v>
      </c>
      <c r="C374" s="4" t="s">
        <v>40</v>
      </c>
      <c r="D374" s="4" t="s">
        <v>46</v>
      </c>
      <c r="E374" s="4" t="s">
        <v>25</v>
      </c>
      <c r="F374" s="4" t="s">
        <v>25</v>
      </c>
      <c r="G374" s="4" t="s">
        <v>25</v>
      </c>
      <c r="H374" s="4" t="s">
        <v>34</v>
      </c>
      <c r="I374" s="5">
        <v>44713</v>
      </c>
      <c r="J374" s="6">
        <v>0</v>
      </c>
      <c r="K374" s="6">
        <v>0</v>
      </c>
      <c r="L374" s="6">
        <v>3.3050000000000002</v>
      </c>
      <c r="M374" s="6">
        <v>3.3050000000000002</v>
      </c>
      <c r="N374" s="6">
        <v>3.3050000000000002</v>
      </c>
      <c r="O374" s="6">
        <v>3.3050000000000002</v>
      </c>
      <c r="P374" s="6">
        <v>0</v>
      </c>
      <c r="Q374" s="4" t="s">
        <v>26</v>
      </c>
      <c r="R374" s="4">
        <v>0</v>
      </c>
      <c r="S374" s="6">
        <v>0</v>
      </c>
      <c r="T374" s="6">
        <v>15</v>
      </c>
      <c r="U374" s="6">
        <v>65</v>
      </c>
      <c r="V374" s="6">
        <f>IF(ISERROR(VLOOKUP($S$374,'TAR FIN'!$A$1:$O$103,15,0)),0,VLOOKUP($S$374,'TAR FIN'!$A$1:$O$103,15,0))</f>
        <v>0</v>
      </c>
      <c r="W374" s="6">
        <f>IF(ISERROR(VLOOKUP($T$374,'TAR FIN'!$A$1:$O$103,15,0)),0,VLOOKUP($T$374,'TAR FIN'!$A$1:$O$103,15,0))</f>
        <v>1195.82</v>
      </c>
      <c r="X374" s="6">
        <f>IF(ISERROR(VLOOKUP($U$374,'TAR FIN'!$A$1:$O$103,15,0)),0,VLOOKUP($U$374,'TAR FIN'!$A$1:$O$103,15,0))</f>
        <v>391.54</v>
      </c>
      <c r="Y374" s="6"/>
      <c r="Z374" s="6">
        <f ca="1">('TUSD BE'!$AM$23+'TUSD BF'!$AM$23+'TUSD CVA'!$AM$23)*1</f>
        <v>1385.4977743340116</v>
      </c>
      <c r="AA374" s="6">
        <f>('TE BE'!$AB$8+'TE BF'!$AB$8+'TE CVA'!$AB$8)*1</f>
        <v>361.95264704220779</v>
      </c>
      <c r="AB374" s="6">
        <f>$K$374*$V$374</f>
        <v>0</v>
      </c>
      <c r="AC374" s="6">
        <f>$M$374*$W$374</f>
        <v>3952.1851000000001</v>
      </c>
      <c r="AD374" s="6">
        <f>$O$374*$X$374</f>
        <v>1294.0397</v>
      </c>
      <c r="AE374" s="6">
        <f>$K$374*$Y$374</f>
        <v>0</v>
      </c>
      <c r="AF374" s="6">
        <f ca="1">$M$374*$Z$374</f>
        <v>4579.0701441739084</v>
      </c>
      <c r="AG374" s="6">
        <f>$O$374*$AA$374</f>
        <v>1196.2534984744968</v>
      </c>
    </row>
    <row r="375" spans="1:33" ht="11.25" customHeight="1" x14ac:dyDescent="0.3">
      <c r="A375" s="4" t="s">
        <v>28</v>
      </c>
      <c r="B375" s="4" t="s">
        <v>39</v>
      </c>
      <c r="C375" s="4" t="s">
        <v>40</v>
      </c>
      <c r="D375" s="4" t="s">
        <v>46</v>
      </c>
      <c r="E375" s="4" t="s">
        <v>25</v>
      </c>
      <c r="F375" s="4" t="s">
        <v>25</v>
      </c>
      <c r="G375" s="4" t="s">
        <v>25</v>
      </c>
      <c r="H375" s="4" t="s">
        <v>34</v>
      </c>
      <c r="I375" s="5">
        <v>44713</v>
      </c>
      <c r="J375" s="6">
        <v>0</v>
      </c>
      <c r="K375" s="6">
        <v>0</v>
      </c>
      <c r="L375" s="6">
        <v>6.1420000000000003</v>
      </c>
      <c r="M375" s="6">
        <v>6.1420000000000003</v>
      </c>
      <c r="N375" s="6">
        <v>6.1420000000000003</v>
      </c>
      <c r="O375" s="6">
        <v>6.1420000000000003</v>
      </c>
      <c r="P375" s="6">
        <v>0</v>
      </c>
      <c r="Q375" s="4" t="s">
        <v>26</v>
      </c>
      <c r="R375" s="4">
        <v>0</v>
      </c>
      <c r="S375" s="6">
        <v>0</v>
      </c>
      <c r="T375" s="6">
        <v>15</v>
      </c>
      <c r="U375" s="6">
        <v>65</v>
      </c>
      <c r="V375" s="6">
        <f>IF(ISERROR(VLOOKUP($S$375,'TAR FIN'!$A$1:$O$103,15,0)),0,VLOOKUP($S$375,'TAR FIN'!$A$1:$O$103,15,0))</f>
        <v>0</v>
      </c>
      <c r="W375" s="6">
        <f>IF(ISERROR(VLOOKUP($T$375,'TAR FIN'!$A$1:$O$103,15,0)),0,VLOOKUP($T$375,'TAR FIN'!$A$1:$O$103,15,0))</f>
        <v>1195.82</v>
      </c>
      <c r="X375" s="6">
        <f>IF(ISERROR(VLOOKUP($U$375,'TAR FIN'!$A$1:$O$103,15,0)),0,VLOOKUP($U$375,'TAR FIN'!$A$1:$O$103,15,0))</f>
        <v>391.54</v>
      </c>
      <c r="Y375" s="6"/>
      <c r="Z375" s="6">
        <f ca="1">('TUSD BE'!$AM$23+'TUSD BF'!$AM$23+'TUSD CVA'!$AM$23)*1</f>
        <v>1385.4977743340116</v>
      </c>
      <c r="AA375" s="6">
        <f>('TE BE'!$AB$8+'TE BF'!$AB$8+'TE CVA'!$AB$8)*1</f>
        <v>361.95264704220779</v>
      </c>
      <c r="AB375" s="6">
        <f>$K$375*$V$375</f>
        <v>0</v>
      </c>
      <c r="AC375" s="6">
        <f>$M$375*$W$375</f>
        <v>7344.7264400000004</v>
      </c>
      <c r="AD375" s="6">
        <f>$O$375*$X$375</f>
        <v>2404.8386800000003</v>
      </c>
      <c r="AE375" s="6">
        <f>$K$375*$Y$375</f>
        <v>0</v>
      </c>
      <c r="AF375" s="6">
        <f ca="1">$M$375*$Z$375</f>
        <v>8509.7273299594999</v>
      </c>
      <c r="AG375" s="6">
        <f>$O$375*$AA$375</f>
        <v>2223.1131581332402</v>
      </c>
    </row>
    <row r="376" spans="1:33" ht="11.25" customHeight="1" x14ac:dyDescent="0.3">
      <c r="A376" s="4" t="s">
        <v>21</v>
      </c>
      <c r="B376" s="4" t="s">
        <v>39</v>
      </c>
      <c r="C376" s="4" t="s">
        <v>40</v>
      </c>
      <c r="D376" s="4" t="s">
        <v>46</v>
      </c>
      <c r="E376" s="4" t="s">
        <v>25</v>
      </c>
      <c r="F376" s="4" t="s">
        <v>25</v>
      </c>
      <c r="G376" s="4" t="s">
        <v>25</v>
      </c>
      <c r="H376" s="4" t="s">
        <v>34</v>
      </c>
      <c r="I376" s="5">
        <v>44743</v>
      </c>
      <c r="J376" s="6">
        <v>0</v>
      </c>
      <c r="K376" s="6">
        <v>0</v>
      </c>
      <c r="L376" s="6">
        <v>2.6240000000000001</v>
      </c>
      <c r="M376" s="6">
        <v>2.6240000000000001</v>
      </c>
      <c r="N376" s="6">
        <v>2.6240000000000001</v>
      </c>
      <c r="O376" s="6">
        <v>2.6240000000000001</v>
      </c>
      <c r="P376" s="6">
        <v>0</v>
      </c>
      <c r="Q376" s="4" t="s">
        <v>26</v>
      </c>
      <c r="R376" s="4">
        <v>0</v>
      </c>
      <c r="S376" s="6">
        <v>0</v>
      </c>
      <c r="T376" s="6">
        <v>15</v>
      </c>
      <c r="U376" s="6">
        <v>65</v>
      </c>
      <c r="V376" s="6">
        <f>IF(ISERROR(VLOOKUP($S$376,'TAR FIN'!$A$1:$O$103,15,0)),0,VLOOKUP($S$376,'TAR FIN'!$A$1:$O$103,15,0))</f>
        <v>0</v>
      </c>
      <c r="W376" s="6">
        <f>IF(ISERROR(VLOOKUP($T$376,'TAR FIN'!$A$1:$O$103,15,0)),0,VLOOKUP($T$376,'TAR FIN'!$A$1:$O$103,15,0))</f>
        <v>1195.82</v>
      </c>
      <c r="X376" s="6">
        <f>IF(ISERROR(VLOOKUP($U$376,'TAR FIN'!$A$1:$O$103,15,0)),0,VLOOKUP($U$376,'TAR FIN'!$A$1:$O$103,15,0))</f>
        <v>391.54</v>
      </c>
      <c r="Y376" s="6"/>
      <c r="Z376" s="6">
        <f ca="1">('TUSD BE'!$AM$23+'TUSD BF'!$AM$23+'TUSD CVA'!$AM$23)*1</f>
        <v>1385.4977743340116</v>
      </c>
      <c r="AA376" s="6">
        <f>('TE BE'!$AB$8+'TE BF'!$AB$8+'TE CVA'!$AB$8)*1</f>
        <v>361.95264704220779</v>
      </c>
      <c r="AB376" s="6">
        <f>$K$376*$V$376</f>
        <v>0</v>
      </c>
      <c r="AC376" s="6">
        <f>$M$376*$W$376</f>
        <v>3137.8316799999998</v>
      </c>
      <c r="AD376" s="6">
        <f>$O$376*$X$376</f>
        <v>1027.4009600000002</v>
      </c>
      <c r="AE376" s="6">
        <f>$K$376*$Y$376</f>
        <v>0</v>
      </c>
      <c r="AF376" s="6">
        <f ca="1">$M$376*$Z$376</f>
        <v>3635.5461598524466</v>
      </c>
      <c r="AG376" s="6">
        <f>$O$376*$AA$376</f>
        <v>949.76374583875327</v>
      </c>
    </row>
    <row r="377" spans="1:33" ht="11.25" customHeight="1" x14ac:dyDescent="0.3">
      <c r="A377" s="4" t="s">
        <v>28</v>
      </c>
      <c r="B377" s="4" t="s">
        <v>39</v>
      </c>
      <c r="C377" s="4" t="s">
        <v>40</v>
      </c>
      <c r="D377" s="4" t="s">
        <v>46</v>
      </c>
      <c r="E377" s="4" t="s">
        <v>25</v>
      </c>
      <c r="F377" s="4" t="s">
        <v>25</v>
      </c>
      <c r="G377" s="4" t="s">
        <v>25</v>
      </c>
      <c r="H377" s="4" t="s">
        <v>34</v>
      </c>
      <c r="I377" s="5">
        <v>44743</v>
      </c>
      <c r="J377" s="6">
        <v>0</v>
      </c>
      <c r="K377" s="6">
        <v>0</v>
      </c>
      <c r="L377" s="6">
        <v>3.996</v>
      </c>
      <c r="M377" s="6">
        <v>3.996</v>
      </c>
      <c r="N377" s="6">
        <v>3.996</v>
      </c>
      <c r="O377" s="6">
        <v>3.996</v>
      </c>
      <c r="P377" s="6">
        <v>0</v>
      </c>
      <c r="Q377" s="4" t="s">
        <v>26</v>
      </c>
      <c r="R377" s="4">
        <v>0</v>
      </c>
      <c r="S377" s="6">
        <v>0</v>
      </c>
      <c r="T377" s="6">
        <v>15</v>
      </c>
      <c r="U377" s="6">
        <v>65</v>
      </c>
      <c r="V377" s="6">
        <f>IF(ISERROR(VLOOKUP($S$377,'TAR FIN'!$A$1:$O$103,15,0)),0,VLOOKUP($S$377,'TAR FIN'!$A$1:$O$103,15,0))</f>
        <v>0</v>
      </c>
      <c r="W377" s="6">
        <f>IF(ISERROR(VLOOKUP($T$377,'TAR FIN'!$A$1:$O$103,15,0)),0,VLOOKUP($T$377,'TAR FIN'!$A$1:$O$103,15,0))</f>
        <v>1195.82</v>
      </c>
      <c r="X377" s="6">
        <f>IF(ISERROR(VLOOKUP($U$377,'TAR FIN'!$A$1:$O$103,15,0)),0,VLOOKUP($U$377,'TAR FIN'!$A$1:$O$103,15,0))</f>
        <v>391.54</v>
      </c>
      <c r="Y377" s="6"/>
      <c r="Z377" s="6">
        <f ca="1">('TUSD BE'!$AM$23+'TUSD BF'!$AM$23+'TUSD CVA'!$AM$23)*1</f>
        <v>1385.4977743340116</v>
      </c>
      <c r="AA377" s="6">
        <f>('TE BE'!$AB$8+'TE BF'!$AB$8+'TE CVA'!$AB$8)*1</f>
        <v>361.95264704220779</v>
      </c>
      <c r="AB377" s="6">
        <f>$K$377*$V$377</f>
        <v>0</v>
      </c>
      <c r="AC377" s="6">
        <f>$M$377*$W$377</f>
        <v>4778.4967200000001</v>
      </c>
      <c r="AD377" s="6">
        <f>$O$377*$X$377</f>
        <v>1564.59384</v>
      </c>
      <c r="AE377" s="6">
        <f>$K$377*$Y$377</f>
        <v>0</v>
      </c>
      <c r="AF377" s="6">
        <f ca="1">$M$377*$Z$377</f>
        <v>5536.4491062387106</v>
      </c>
      <c r="AG377" s="6">
        <f>$O$377*$AA$377</f>
        <v>1446.3627775806624</v>
      </c>
    </row>
    <row r="378" spans="1:33" ht="11.25" customHeight="1" x14ac:dyDescent="0.3">
      <c r="A378" s="4" t="s">
        <v>21</v>
      </c>
      <c r="B378" s="4" t="s">
        <v>39</v>
      </c>
      <c r="C378" s="4" t="s">
        <v>40</v>
      </c>
      <c r="D378" s="4" t="s">
        <v>46</v>
      </c>
      <c r="E378" s="4" t="s">
        <v>25</v>
      </c>
      <c r="F378" s="4" t="s">
        <v>25</v>
      </c>
      <c r="G378" s="4" t="s">
        <v>25</v>
      </c>
      <c r="H378" s="4" t="s">
        <v>34</v>
      </c>
      <c r="I378" s="5">
        <v>44774</v>
      </c>
      <c r="J378" s="6">
        <v>0</v>
      </c>
      <c r="K378" s="6">
        <v>0</v>
      </c>
      <c r="L378" s="6">
        <v>4.0730000000000004</v>
      </c>
      <c r="M378" s="6">
        <v>4.0730000000000004</v>
      </c>
      <c r="N378" s="6">
        <v>4.0730000000000004</v>
      </c>
      <c r="O378" s="6">
        <v>4.0730000000000004</v>
      </c>
      <c r="P378" s="6">
        <v>0</v>
      </c>
      <c r="Q378" s="4" t="s">
        <v>26</v>
      </c>
      <c r="R378" s="4">
        <v>0</v>
      </c>
      <c r="S378" s="6">
        <v>0</v>
      </c>
      <c r="T378" s="6">
        <v>15</v>
      </c>
      <c r="U378" s="6">
        <v>65</v>
      </c>
      <c r="V378" s="6">
        <f>IF(ISERROR(VLOOKUP($S$378,'TAR FIN'!$A$1:$O$103,15,0)),0,VLOOKUP($S$378,'TAR FIN'!$A$1:$O$103,15,0))</f>
        <v>0</v>
      </c>
      <c r="W378" s="6">
        <f>IF(ISERROR(VLOOKUP($T$378,'TAR FIN'!$A$1:$O$103,15,0)),0,VLOOKUP($T$378,'TAR FIN'!$A$1:$O$103,15,0))</f>
        <v>1195.82</v>
      </c>
      <c r="X378" s="6">
        <f>IF(ISERROR(VLOOKUP($U$378,'TAR FIN'!$A$1:$O$103,15,0)),0,VLOOKUP($U$378,'TAR FIN'!$A$1:$O$103,15,0))</f>
        <v>391.54</v>
      </c>
      <c r="Y378" s="6"/>
      <c r="Z378" s="6">
        <f ca="1">('TUSD BE'!$AM$23+'TUSD BF'!$AM$23+'TUSD CVA'!$AM$23)*1</f>
        <v>1385.4977743340116</v>
      </c>
      <c r="AA378" s="6">
        <f>('TE BE'!$AB$8+'TE BF'!$AB$8+'TE CVA'!$AB$8)*1</f>
        <v>361.95264704220779</v>
      </c>
      <c r="AB378" s="6">
        <f>$K$378*$V$378</f>
        <v>0</v>
      </c>
      <c r="AC378" s="6">
        <f>$M$378*$W$378</f>
        <v>4870.5748600000006</v>
      </c>
      <c r="AD378" s="6">
        <f>$O$378*$X$378</f>
        <v>1594.7424200000003</v>
      </c>
      <c r="AE378" s="6">
        <f>$K$378*$Y$378</f>
        <v>0</v>
      </c>
      <c r="AF378" s="6">
        <f ca="1">$M$378*$Z$378</f>
        <v>5643.1324348624303</v>
      </c>
      <c r="AG378" s="6">
        <f>$O$378*$AA$378</f>
        <v>1474.2331314029125</v>
      </c>
    </row>
    <row r="379" spans="1:33" ht="11.25" customHeight="1" x14ac:dyDescent="0.3">
      <c r="A379" s="4" t="s">
        <v>28</v>
      </c>
      <c r="B379" s="4" t="s">
        <v>39</v>
      </c>
      <c r="C379" s="4" t="s">
        <v>40</v>
      </c>
      <c r="D379" s="4" t="s">
        <v>46</v>
      </c>
      <c r="E379" s="4" t="s">
        <v>25</v>
      </c>
      <c r="F379" s="4" t="s">
        <v>25</v>
      </c>
      <c r="G379" s="4" t="s">
        <v>25</v>
      </c>
      <c r="H379" s="4" t="s">
        <v>34</v>
      </c>
      <c r="I379" s="5">
        <v>44774</v>
      </c>
      <c r="J379" s="6">
        <v>0</v>
      </c>
      <c r="K379" s="6">
        <v>0</v>
      </c>
      <c r="L379" s="6">
        <v>6.8949999999999996</v>
      </c>
      <c r="M379" s="6">
        <v>6.8949999999999996</v>
      </c>
      <c r="N379" s="6">
        <v>6.8949999999999996</v>
      </c>
      <c r="O379" s="6">
        <v>6.8949999999999996</v>
      </c>
      <c r="P379" s="6">
        <v>0</v>
      </c>
      <c r="Q379" s="4" t="s">
        <v>26</v>
      </c>
      <c r="R379" s="4">
        <v>0</v>
      </c>
      <c r="S379" s="6">
        <v>0</v>
      </c>
      <c r="T379" s="6">
        <v>15</v>
      </c>
      <c r="U379" s="6">
        <v>65</v>
      </c>
      <c r="V379" s="6">
        <f>IF(ISERROR(VLOOKUP($S$379,'TAR FIN'!$A$1:$O$103,15,0)),0,VLOOKUP($S$379,'TAR FIN'!$A$1:$O$103,15,0))</f>
        <v>0</v>
      </c>
      <c r="W379" s="6">
        <f>IF(ISERROR(VLOOKUP($T$379,'TAR FIN'!$A$1:$O$103,15,0)),0,VLOOKUP($T$379,'TAR FIN'!$A$1:$O$103,15,0))</f>
        <v>1195.82</v>
      </c>
      <c r="X379" s="6">
        <f>IF(ISERROR(VLOOKUP($U$379,'TAR FIN'!$A$1:$O$103,15,0)),0,VLOOKUP($U$379,'TAR FIN'!$A$1:$O$103,15,0))</f>
        <v>391.54</v>
      </c>
      <c r="Y379" s="6"/>
      <c r="Z379" s="6">
        <f ca="1">('TUSD BE'!$AM$23+'TUSD BF'!$AM$23+'TUSD CVA'!$AM$23)*1</f>
        <v>1385.4977743340116</v>
      </c>
      <c r="AA379" s="6">
        <f>('TE BE'!$AB$8+'TE BF'!$AB$8+'TE CVA'!$AB$8)*1</f>
        <v>361.95264704220779</v>
      </c>
      <c r="AB379" s="6">
        <f>$K$379*$V$379</f>
        <v>0</v>
      </c>
      <c r="AC379" s="6">
        <f>$M$379*$W$379</f>
        <v>8245.178899999999</v>
      </c>
      <c r="AD379" s="6">
        <f>$O$379*$X$379</f>
        <v>2699.6682999999998</v>
      </c>
      <c r="AE379" s="6">
        <f>$K$379*$Y$379</f>
        <v>0</v>
      </c>
      <c r="AF379" s="6">
        <f ca="1">$M$379*$Z$379</f>
        <v>9553.00715403301</v>
      </c>
      <c r="AG379" s="6">
        <f>$O$379*$AA$379</f>
        <v>2495.6635013560226</v>
      </c>
    </row>
    <row r="380" spans="1:33" ht="11.25" customHeight="1" x14ac:dyDescent="0.3">
      <c r="A380" s="4" t="s">
        <v>21</v>
      </c>
      <c r="B380" s="4" t="s">
        <v>39</v>
      </c>
      <c r="C380" s="4" t="s">
        <v>40</v>
      </c>
      <c r="D380" s="4" t="s">
        <v>46</v>
      </c>
      <c r="E380" s="4" t="s">
        <v>25</v>
      </c>
      <c r="F380" s="4" t="s">
        <v>25</v>
      </c>
      <c r="G380" s="4" t="s">
        <v>25</v>
      </c>
      <c r="H380" s="4" t="s">
        <v>34</v>
      </c>
      <c r="I380" s="5">
        <v>44805</v>
      </c>
      <c r="J380" s="6">
        <v>0</v>
      </c>
      <c r="K380" s="6">
        <v>0</v>
      </c>
      <c r="L380" s="6">
        <v>4.0110000000000001</v>
      </c>
      <c r="M380" s="6">
        <v>4.0110000000000001</v>
      </c>
      <c r="N380" s="6">
        <v>4.0110000000000001</v>
      </c>
      <c r="O380" s="6">
        <v>4.0110000000000001</v>
      </c>
      <c r="P380" s="6">
        <v>0</v>
      </c>
      <c r="Q380" s="4" t="s">
        <v>26</v>
      </c>
      <c r="R380" s="4">
        <v>0</v>
      </c>
      <c r="S380" s="6">
        <v>0</v>
      </c>
      <c r="T380" s="6">
        <v>15</v>
      </c>
      <c r="U380" s="6">
        <v>65</v>
      </c>
      <c r="V380" s="6">
        <f>IF(ISERROR(VLOOKUP($S$380,'TAR FIN'!$A$1:$O$103,15,0)),0,VLOOKUP($S$380,'TAR FIN'!$A$1:$O$103,15,0))</f>
        <v>0</v>
      </c>
      <c r="W380" s="6">
        <f>IF(ISERROR(VLOOKUP($T$380,'TAR FIN'!$A$1:$O$103,15,0)),0,VLOOKUP($T$380,'TAR FIN'!$A$1:$O$103,15,0))</f>
        <v>1195.82</v>
      </c>
      <c r="X380" s="6">
        <f>IF(ISERROR(VLOOKUP($U$380,'TAR FIN'!$A$1:$O$103,15,0)),0,VLOOKUP($U$380,'TAR FIN'!$A$1:$O$103,15,0))</f>
        <v>391.54</v>
      </c>
      <c r="Y380" s="6"/>
      <c r="Z380" s="6">
        <f ca="1">('TUSD BE'!$AM$23+'TUSD BF'!$AM$23+'TUSD CVA'!$AM$23)*1</f>
        <v>1385.4977743340116</v>
      </c>
      <c r="AA380" s="6">
        <f>('TE BE'!$AB$8+'TE BF'!$AB$8+'TE CVA'!$AB$8)*1</f>
        <v>361.95264704220779</v>
      </c>
      <c r="AB380" s="6">
        <f>$K$380*$V$380</f>
        <v>0</v>
      </c>
      <c r="AC380" s="6">
        <f>$M$380*$W$380</f>
        <v>4796.4340199999997</v>
      </c>
      <c r="AD380" s="6">
        <f>$O$380*$X$380</f>
        <v>1570.46694</v>
      </c>
      <c r="AE380" s="6">
        <f>$K$380*$Y$380</f>
        <v>0</v>
      </c>
      <c r="AF380" s="6">
        <f ca="1">$M$380*$Z$380</f>
        <v>5557.2315728537205</v>
      </c>
      <c r="AG380" s="6">
        <f>$O$380*$AA$380</f>
        <v>1451.7920672862954</v>
      </c>
    </row>
    <row r="381" spans="1:33" ht="11.25" customHeight="1" x14ac:dyDescent="0.3">
      <c r="A381" s="4" t="s">
        <v>28</v>
      </c>
      <c r="B381" s="4" t="s">
        <v>39</v>
      </c>
      <c r="C381" s="4" t="s">
        <v>40</v>
      </c>
      <c r="D381" s="4" t="s">
        <v>46</v>
      </c>
      <c r="E381" s="4" t="s">
        <v>25</v>
      </c>
      <c r="F381" s="4" t="s">
        <v>25</v>
      </c>
      <c r="G381" s="4" t="s">
        <v>25</v>
      </c>
      <c r="H381" s="4" t="s">
        <v>34</v>
      </c>
      <c r="I381" s="5">
        <v>44805</v>
      </c>
      <c r="J381" s="6">
        <v>0</v>
      </c>
      <c r="K381" s="6">
        <v>0</v>
      </c>
      <c r="L381" s="6">
        <v>8.4139999999999997</v>
      </c>
      <c r="M381" s="6">
        <v>8.4139999999999997</v>
      </c>
      <c r="N381" s="6">
        <v>8.4139999999999997</v>
      </c>
      <c r="O381" s="6">
        <v>8.4139999999999997</v>
      </c>
      <c r="P381" s="6">
        <v>0</v>
      </c>
      <c r="Q381" s="4" t="s">
        <v>26</v>
      </c>
      <c r="R381" s="4">
        <v>0</v>
      </c>
      <c r="S381" s="6">
        <v>0</v>
      </c>
      <c r="T381" s="6">
        <v>15</v>
      </c>
      <c r="U381" s="6">
        <v>65</v>
      </c>
      <c r="V381" s="6">
        <f>IF(ISERROR(VLOOKUP($S$381,'TAR FIN'!$A$1:$O$103,15,0)),0,VLOOKUP($S$381,'TAR FIN'!$A$1:$O$103,15,0))</f>
        <v>0</v>
      </c>
      <c r="W381" s="6">
        <f>IF(ISERROR(VLOOKUP($T$381,'TAR FIN'!$A$1:$O$103,15,0)),0,VLOOKUP($T$381,'TAR FIN'!$A$1:$O$103,15,0))</f>
        <v>1195.82</v>
      </c>
      <c r="X381" s="6">
        <f>IF(ISERROR(VLOOKUP($U$381,'TAR FIN'!$A$1:$O$103,15,0)),0,VLOOKUP($U$381,'TAR FIN'!$A$1:$O$103,15,0))</f>
        <v>391.54</v>
      </c>
      <c r="Y381" s="6"/>
      <c r="Z381" s="6">
        <f ca="1">('TUSD BE'!$AM$23+'TUSD BF'!$AM$23+'TUSD CVA'!$AM$23)*1</f>
        <v>1385.4977743340116</v>
      </c>
      <c r="AA381" s="6">
        <f>('TE BE'!$AB$8+'TE BF'!$AB$8+'TE CVA'!$AB$8)*1</f>
        <v>361.95264704220779</v>
      </c>
      <c r="AB381" s="6">
        <f>$K$381*$V$381</f>
        <v>0</v>
      </c>
      <c r="AC381" s="6">
        <f>$M$381*$W$381</f>
        <v>10061.62948</v>
      </c>
      <c r="AD381" s="6">
        <f>$O$381*$X$381</f>
        <v>3294.4175599999999</v>
      </c>
      <c r="AE381" s="6">
        <f>$K$381*$Y$381</f>
        <v>0</v>
      </c>
      <c r="AF381" s="6">
        <f ca="1">$M$381*$Z$381</f>
        <v>11657.578273246374</v>
      </c>
      <c r="AG381" s="6">
        <f>$O$381*$AA$381</f>
        <v>3045.4695722131364</v>
      </c>
    </row>
    <row r="382" spans="1:33" ht="11.25" customHeight="1" x14ac:dyDescent="0.3">
      <c r="A382" s="4" t="s">
        <v>57</v>
      </c>
      <c r="B382" s="4" t="s">
        <v>39</v>
      </c>
      <c r="C382" s="4" t="s">
        <v>40</v>
      </c>
      <c r="D382" s="4" t="s">
        <v>46</v>
      </c>
      <c r="E382" s="4" t="s">
        <v>25</v>
      </c>
      <c r="F382" s="4" t="s">
        <v>25</v>
      </c>
      <c r="G382" s="4" t="s">
        <v>25</v>
      </c>
      <c r="H382" s="4" t="s">
        <v>34</v>
      </c>
      <c r="I382" s="5">
        <v>44835</v>
      </c>
      <c r="J382" s="6">
        <v>0</v>
      </c>
      <c r="K382" s="6">
        <v>0</v>
      </c>
      <c r="L382" s="6">
        <v>4.0110000000000001</v>
      </c>
      <c r="M382" s="6">
        <v>4.0110000000000001</v>
      </c>
      <c r="N382" s="6">
        <v>4.0110000000000001</v>
      </c>
      <c r="O382" s="6">
        <v>4.0110000000000001</v>
      </c>
      <c r="P382" s="6">
        <v>0</v>
      </c>
      <c r="Q382" s="4" t="s">
        <v>26</v>
      </c>
      <c r="R382" s="4">
        <v>0</v>
      </c>
      <c r="S382" s="6">
        <v>0</v>
      </c>
      <c r="T382" s="6">
        <v>15</v>
      </c>
      <c r="U382" s="6">
        <v>65</v>
      </c>
      <c r="V382" s="6">
        <f>IF(ISERROR(VLOOKUP($S$382,'TAR FIN'!$A$1:$O$103,15,0)),0,VLOOKUP($S$382,'TAR FIN'!$A$1:$O$103,15,0))</f>
        <v>0</v>
      </c>
      <c r="W382" s="6">
        <f>IF(ISERROR(VLOOKUP($T$382,'TAR FIN'!$A$1:$O$103,15,0)),0,VLOOKUP($T$382,'TAR FIN'!$A$1:$O$103,15,0))</f>
        <v>1195.82</v>
      </c>
      <c r="X382" s="6">
        <f>IF(ISERROR(VLOOKUP($U$382,'TAR FIN'!$A$1:$O$103,15,0)),0,VLOOKUP($U$382,'TAR FIN'!$A$1:$O$103,15,0))</f>
        <v>391.54</v>
      </c>
      <c r="Y382" s="6"/>
      <c r="Z382" s="6">
        <f ca="1">('TUSD BE'!$AM$23+'TUSD BF'!$AM$23+'TUSD CVA'!$AM$23)*1</f>
        <v>1385.4977743340116</v>
      </c>
      <c r="AA382" s="6">
        <f>('TE BE'!$AB$8+'TE BF'!$AB$8+'TE CVA'!$AB$8)*1</f>
        <v>361.95264704220779</v>
      </c>
      <c r="AB382" s="6">
        <f>$K$382*$V$382</f>
        <v>0</v>
      </c>
      <c r="AC382" s="6">
        <f>$M$382*$W$382</f>
        <v>4796.4340199999997</v>
      </c>
      <c r="AD382" s="6">
        <f>$O$382*$X$382</f>
        <v>1570.46694</v>
      </c>
      <c r="AE382" s="6">
        <f>$K$382*$Y$382</f>
        <v>0</v>
      </c>
      <c r="AF382" s="6">
        <f ca="1">$M$382*$Z$382</f>
        <v>5557.2315728537205</v>
      </c>
      <c r="AG382" s="6">
        <f>$O$382*$AA$382</f>
        <v>1451.7920672862954</v>
      </c>
    </row>
    <row r="383" spans="1:33" ht="11.25" customHeight="1" x14ac:dyDescent="0.3">
      <c r="A383" s="4" t="s">
        <v>57</v>
      </c>
      <c r="B383" s="4" t="s">
        <v>39</v>
      </c>
      <c r="C383" s="4" t="s">
        <v>40</v>
      </c>
      <c r="D383" s="4" t="s">
        <v>46</v>
      </c>
      <c r="E383" s="4" t="s">
        <v>25</v>
      </c>
      <c r="F383" s="4" t="s">
        <v>25</v>
      </c>
      <c r="G383" s="4" t="s">
        <v>25</v>
      </c>
      <c r="H383" s="4" t="s">
        <v>34</v>
      </c>
      <c r="I383" s="5">
        <v>44835</v>
      </c>
      <c r="J383" s="6">
        <v>0</v>
      </c>
      <c r="K383" s="6">
        <v>0</v>
      </c>
      <c r="L383" s="6">
        <v>8.4139999999999997</v>
      </c>
      <c r="M383" s="6">
        <v>8.4139999999999997</v>
      </c>
      <c r="N383" s="6">
        <v>8.4139999999999997</v>
      </c>
      <c r="O383" s="6">
        <v>8.4139999999999997</v>
      </c>
      <c r="P383" s="6">
        <v>0</v>
      </c>
      <c r="Q383" s="4" t="s">
        <v>26</v>
      </c>
      <c r="R383" s="4">
        <v>0</v>
      </c>
      <c r="S383" s="6">
        <v>0</v>
      </c>
      <c r="T383" s="6">
        <v>15</v>
      </c>
      <c r="U383" s="6">
        <v>65</v>
      </c>
      <c r="V383" s="6">
        <f>IF(ISERROR(VLOOKUP($S$383,'TAR FIN'!$A$1:$O$103,15,0)),0,VLOOKUP($S$383,'TAR FIN'!$A$1:$O$103,15,0))</f>
        <v>0</v>
      </c>
      <c r="W383" s="6">
        <f>IF(ISERROR(VLOOKUP($T$383,'TAR FIN'!$A$1:$O$103,15,0)),0,VLOOKUP($T$383,'TAR FIN'!$A$1:$O$103,15,0))</f>
        <v>1195.82</v>
      </c>
      <c r="X383" s="6">
        <f>IF(ISERROR(VLOOKUP($U$383,'TAR FIN'!$A$1:$O$103,15,0)),0,VLOOKUP($U$383,'TAR FIN'!$A$1:$O$103,15,0))</f>
        <v>391.54</v>
      </c>
      <c r="Y383" s="6"/>
      <c r="Z383" s="6">
        <f ca="1">('TUSD BE'!$AM$23+'TUSD BF'!$AM$23+'TUSD CVA'!$AM$23)*1</f>
        <v>1385.4977743340116</v>
      </c>
      <c r="AA383" s="6">
        <f>('TE BE'!$AB$8+'TE BF'!$AB$8+'TE CVA'!$AB$8)*1</f>
        <v>361.95264704220779</v>
      </c>
      <c r="AB383" s="6">
        <f>$K$383*$V$383</f>
        <v>0</v>
      </c>
      <c r="AC383" s="6">
        <f>$M$383*$W$383</f>
        <v>10061.62948</v>
      </c>
      <c r="AD383" s="6">
        <f>$O$383*$X$383</f>
        <v>3294.4175599999999</v>
      </c>
      <c r="AE383" s="6">
        <f>$K$383*$Y$383</f>
        <v>0</v>
      </c>
      <c r="AF383" s="6">
        <f ca="1">$M$383*$Z$383</f>
        <v>11657.578273246374</v>
      </c>
      <c r="AG383" s="6">
        <f>$O$383*$AA$383</f>
        <v>3045.4695722131364</v>
      </c>
    </row>
    <row r="384" spans="1:33" ht="11.25" customHeight="1" x14ac:dyDescent="0.3">
      <c r="A384" s="4" t="s">
        <v>21</v>
      </c>
      <c r="B384" s="4" t="s">
        <v>39</v>
      </c>
      <c r="C384" s="4" t="s">
        <v>40</v>
      </c>
      <c r="D384" s="4" t="s">
        <v>44</v>
      </c>
      <c r="E384" s="4" t="s">
        <v>53</v>
      </c>
      <c r="F384" s="4" t="s">
        <v>55</v>
      </c>
      <c r="G384" s="4" t="s">
        <v>25</v>
      </c>
      <c r="H384" s="4" t="s">
        <v>35</v>
      </c>
      <c r="I384" s="5">
        <v>44501</v>
      </c>
      <c r="J384" s="6">
        <v>0</v>
      </c>
      <c r="K384" s="6">
        <v>0</v>
      </c>
      <c r="L384" s="6">
        <v>10.618</v>
      </c>
      <c r="M384" s="6">
        <v>2.1236000000000002</v>
      </c>
      <c r="N384" s="6">
        <v>10.618</v>
      </c>
      <c r="O384" s="6">
        <v>2.1236000000000002</v>
      </c>
      <c r="P384" s="6">
        <v>0</v>
      </c>
      <c r="Q384" s="4" t="s">
        <v>26</v>
      </c>
      <c r="R384" s="4">
        <v>0</v>
      </c>
      <c r="S384" s="6">
        <v>0</v>
      </c>
      <c r="T384" s="6">
        <v>17</v>
      </c>
      <c r="U384" s="6">
        <v>66</v>
      </c>
      <c r="V384" s="6">
        <f>IF(ISERROR(VLOOKUP($S$384,'TAR FIN'!$A$1:$O$103,15,0)),0,VLOOKUP($S$384,'TAR FIN'!$A$1:$O$103,15,0))</f>
        <v>0</v>
      </c>
      <c r="W384" s="6">
        <f>IF(ISERROR(VLOOKUP($T$384,'TAR FIN'!$A$1:$O$103,15,0)),0,VLOOKUP($T$384,'TAR FIN'!$A$1:$O$103,15,0))</f>
        <v>84.99</v>
      </c>
      <c r="X384" s="6">
        <f>IF(ISERROR(VLOOKUP($U$384,'TAR FIN'!$A$1:$O$103,15,0)),0,VLOOKUP($U$384,'TAR FIN'!$A$1:$O$103,15,0))</f>
        <v>242.77</v>
      </c>
      <c r="Y384" s="6"/>
      <c r="Z384" s="6">
        <f ca="1">('TUSD BE'!$AM$24+'TUSD BF'!$AM$24+'TUSD CVA'!$AM$24)*1</f>
        <v>145.72237393634796</v>
      </c>
      <c r="AA384" s="6">
        <f>('TE BE'!$AB$9+'TE BF'!$AB$9+'TE CVA'!$AB$9)*1</f>
        <v>222.39386487986414</v>
      </c>
      <c r="AB384" s="6">
        <f>$K$384*$V$384</f>
        <v>0</v>
      </c>
      <c r="AC384" s="6">
        <f>$M$384*$W$384</f>
        <v>180.48476400000001</v>
      </c>
      <c r="AD384" s="6">
        <f>$O$384*$X$384</f>
        <v>515.54637200000002</v>
      </c>
      <c r="AE384" s="6">
        <f>$K$384*$Y$384</f>
        <v>0</v>
      </c>
      <c r="AF384" s="6">
        <f ca="1">$M$384*$Z$384</f>
        <v>309.45603329122855</v>
      </c>
      <c r="AG384" s="6">
        <f>$O$384*$AA$384</f>
        <v>472.2756114588795</v>
      </c>
    </row>
    <row r="385" spans="1:33" ht="11.25" customHeight="1" x14ac:dyDescent="0.3">
      <c r="A385" s="4" t="s">
        <v>21</v>
      </c>
      <c r="B385" s="4" t="s">
        <v>39</v>
      </c>
      <c r="C385" s="4" t="s">
        <v>40</v>
      </c>
      <c r="D385" s="4" t="s">
        <v>44</v>
      </c>
      <c r="E385" s="4" t="s">
        <v>53</v>
      </c>
      <c r="F385" s="4" t="s">
        <v>55</v>
      </c>
      <c r="G385" s="4" t="s">
        <v>25</v>
      </c>
      <c r="H385" s="4" t="s">
        <v>35</v>
      </c>
      <c r="I385" s="5">
        <v>44531</v>
      </c>
      <c r="J385" s="6">
        <v>0</v>
      </c>
      <c r="K385" s="6">
        <v>0</v>
      </c>
      <c r="L385" s="6">
        <v>1.8220000000000001</v>
      </c>
      <c r="M385" s="6">
        <v>0.3644</v>
      </c>
      <c r="N385" s="6">
        <v>1.8220000000000001</v>
      </c>
      <c r="O385" s="6">
        <v>0.3644</v>
      </c>
      <c r="P385" s="6">
        <v>0</v>
      </c>
      <c r="Q385" s="4" t="s">
        <v>26</v>
      </c>
      <c r="R385" s="4">
        <v>0</v>
      </c>
      <c r="S385" s="6">
        <v>0</v>
      </c>
      <c r="T385" s="6">
        <v>17</v>
      </c>
      <c r="U385" s="6">
        <v>66</v>
      </c>
      <c r="V385" s="6">
        <f>IF(ISERROR(VLOOKUP($S$385,'TAR FIN'!$A$1:$O$103,15,0)),0,VLOOKUP($S$385,'TAR FIN'!$A$1:$O$103,15,0))</f>
        <v>0</v>
      </c>
      <c r="W385" s="6">
        <f>IF(ISERROR(VLOOKUP($T$385,'TAR FIN'!$A$1:$O$103,15,0)),0,VLOOKUP($T$385,'TAR FIN'!$A$1:$O$103,15,0))</f>
        <v>84.99</v>
      </c>
      <c r="X385" s="6">
        <f>IF(ISERROR(VLOOKUP($U$385,'TAR FIN'!$A$1:$O$103,15,0)),0,VLOOKUP($U$385,'TAR FIN'!$A$1:$O$103,15,0))</f>
        <v>242.77</v>
      </c>
      <c r="Y385" s="6"/>
      <c r="Z385" s="6">
        <f ca="1">('TUSD BE'!$AM$24+'TUSD BF'!$AM$24+'TUSD CVA'!$AM$24)*1</f>
        <v>145.72237393634796</v>
      </c>
      <c r="AA385" s="6">
        <f>('TE BE'!$AB$9+'TE BF'!$AB$9+'TE CVA'!$AB$9)*1</f>
        <v>222.39386487986414</v>
      </c>
      <c r="AB385" s="6">
        <f>$K$385*$V$385</f>
        <v>0</v>
      </c>
      <c r="AC385" s="6">
        <f>$M$385*$W$385</f>
        <v>30.970355999999999</v>
      </c>
      <c r="AD385" s="6">
        <f>$O$385*$X$385</f>
        <v>88.465388000000004</v>
      </c>
      <c r="AE385" s="6">
        <f>$K$385*$Y$385</f>
        <v>0</v>
      </c>
      <c r="AF385" s="6">
        <f ca="1">$M$385*$Z$385</f>
        <v>53.1012330624052</v>
      </c>
      <c r="AG385" s="6">
        <f>$O$385*$AA$385</f>
        <v>81.040324362222492</v>
      </c>
    </row>
    <row r="386" spans="1:33" ht="11.25" customHeight="1" x14ac:dyDescent="0.3">
      <c r="A386" s="4" t="s">
        <v>21</v>
      </c>
      <c r="B386" s="4" t="s">
        <v>39</v>
      </c>
      <c r="C386" s="4" t="s">
        <v>40</v>
      </c>
      <c r="D386" s="4" t="s">
        <v>44</v>
      </c>
      <c r="E386" s="4" t="s">
        <v>53</v>
      </c>
      <c r="F386" s="4" t="s">
        <v>55</v>
      </c>
      <c r="G386" s="4" t="s">
        <v>25</v>
      </c>
      <c r="H386" s="4" t="s">
        <v>35</v>
      </c>
      <c r="I386" s="5">
        <v>44562</v>
      </c>
      <c r="J386" s="6">
        <v>0</v>
      </c>
      <c r="K386" s="6">
        <v>0</v>
      </c>
      <c r="L386" s="6">
        <v>10.122999999999999</v>
      </c>
      <c r="M386" s="6">
        <v>2.0246</v>
      </c>
      <c r="N386" s="6">
        <v>10.122999999999999</v>
      </c>
      <c r="O386" s="6">
        <v>2.0246</v>
      </c>
      <c r="P386" s="6">
        <v>0</v>
      </c>
      <c r="Q386" s="4" t="s">
        <v>26</v>
      </c>
      <c r="R386" s="4">
        <v>0</v>
      </c>
      <c r="S386" s="6">
        <v>0</v>
      </c>
      <c r="T386" s="6">
        <v>17</v>
      </c>
      <c r="U386" s="6">
        <v>66</v>
      </c>
      <c r="V386" s="6">
        <f>IF(ISERROR(VLOOKUP($S$386,'TAR FIN'!$A$1:$O$103,15,0)),0,VLOOKUP($S$386,'TAR FIN'!$A$1:$O$103,15,0))</f>
        <v>0</v>
      </c>
      <c r="W386" s="6">
        <f>IF(ISERROR(VLOOKUP($T$386,'TAR FIN'!$A$1:$O$103,15,0)),0,VLOOKUP($T$386,'TAR FIN'!$A$1:$O$103,15,0))</f>
        <v>84.99</v>
      </c>
      <c r="X386" s="6">
        <f>IF(ISERROR(VLOOKUP($U$386,'TAR FIN'!$A$1:$O$103,15,0)),0,VLOOKUP($U$386,'TAR FIN'!$A$1:$O$103,15,0))</f>
        <v>242.77</v>
      </c>
      <c r="Y386" s="6"/>
      <c r="Z386" s="6">
        <f ca="1">('TUSD BE'!$AM$24+'TUSD BF'!$AM$24+'TUSD CVA'!$AM$24)*1</f>
        <v>145.72237393634796</v>
      </c>
      <c r="AA386" s="6">
        <f>('TE BE'!$AB$9+'TE BF'!$AB$9+'TE CVA'!$AB$9)*1</f>
        <v>222.39386487986414</v>
      </c>
      <c r="AB386" s="6">
        <f>$K$386*$V$386</f>
        <v>0</v>
      </c>
      <c r="AC386" s="6">
        <f>$M$386*$W$386</f>
        <v>172.07075399999999</v>
      </c>
      <c r="AD386" s="6">
        <f>$O$386*$X$386</f>
        <v>491.51214199999998</v>
      </c>
      <c r="AE386" s="6">
        <f>$K$386*$Y$386</f>
        <v>0</v>
      </c>
      <c r="AF386" s="6">
        <f ca="1">$M$386*$Z$386</f>
        <v>295.02951827153009</v>
      </c>
      <c r="AG386" s="6">
        <f>$O$386*$AA$386</f>
        <v>450.25861883577295</v>
      </c>
    </row>
    <row r="387" spans="1:33" ht="11.25" customHeight="1" x14ac:dyDescent="0.3">
      <c r="A387" s="4" t="s">
        <v>21</v>
      </c>
      <c r="B387" s="4" t="s">
        <v>39</v>
      </c>
      <c r="C387" s="4" t="s">
        <v>40</v>
      </c>
      <c r="D387" s="4" t="s">
        <v>44</v>
      </c>
      <c r="E387" s="4" t="s">
        <v>53</v>
      </c>
      <c r="F387" s="4" t="s">
        <v>55</v>
      </c>
      <c r="G387" s="4" t="s">
        <v>25</v>
      </c>
      <c r="H387" s="4" t="s">
        <v>35</v>
      </c>
      <c r="I387" s="5">
        <v>44593</v>
      </c>
      <c r="J387" s="6">
        <v>0</v>
      </c>
      <c r="K387" s="6">
        <v>0</v>
      </c>
      <c r="L387" s="6">
        <v>2.15</v>
      </c>
      <c r="M387" s="6">
        <v>0.43</v>
      </c>
      <c r="N387" s="6">
        <v>2.15</v>
      </c>
      <c r="O387" s="6">
        <v>0.43</v>
      </c>
      <c r="P387" s="6">
        <v>0</v>
      </c>
      <c r="Q387" s="4" t="s">
        <v>26</v>
      </c>
      <c r="R387" s="4">
        <v>0</v>
      </c>
      <c r="S387" s="6">
        <v>0</v>
      </c>
      <c r="T387" s="6">
        <v>17</v>
      </c>
      <c r="U387" s="6">
        <v>66</v>
      </c>
      <c r="V387" s="6">
        <f>IF(ISERROR(VLOOKUP($S$387,'TAR FIN'!$A$1:$O$103,15,0)),0,VLOOKUP($S$387,'TAR FIN'!$A$1:$O$103,15,0))</f>
        <v>0</v>
      </c>
      <c r="W387" s="6">
        <f>IF(ISERROR(VLOOKUP($T$387,'TAR FIN'!$A$1:$O$103,15,0)),0,VLOOKUP($T$387,'TAR FIN'!$A$1:$O$103,15,0))</f>
        <v>84.99</v>
      </c>
      <c r="X387" s="6">
        <f>IF(ISERROR(VLOOKUP($U$387,'TAR FIN'!$A$1:$O$103,15,0)),0,VLOOKUP($U$387,'TAR FIN'!$A$1:$O$103,15,0))</f>
        <v>242.77</v>
      </c>
      <c r="Y387" s="6"/>
      <c r="Z387" s="6">
        <f ca="1">('TUSD BE'!$AM$24+'TUSD BF'!$AM$24+'TUSD CVA'!$AM$24)*1</f>
        <v>145.72237393634796</v>
      </c>
      <c r="AA387" s="6">
        <f>('TE BE'!$AB$9+'TE BF'!$AB$9+'TE CVA'!$AB$9)*1</f>
        <v>222.39386487986414</v>
      </c>
      <c r="AB387" s="6">
        <f>$K$387*$V$387</f>
        <v>0</v>
      </c>
      <c r="AC387" s="6">
        <f>$M$387*$W$387</f>
        <v>36.545699999999997</v>
      </c>
      <c r="AD387" s="6">
        <f>$O$387*$X$387</f>
        <v>104.39110000000001</v>
      </c>
      <c r="AE387" s="6">
        <f>$K$387*$Y$387</f>
        <v>0</v>
      </c>
      <c r="AF387" s="6">
        <f ca="1">$M$387*$Z$387</f>
        <v>62.660620792629622</v>
      </c>
      <c r="AG387" s="6">
        <f>$O$387*$AA$387</f>
        <v>95.629361898341585</v>
      </c>
    </row>
    <row r="388" spans="1:33" ht="11.25" customHeight="1" x14ac:dyDescent="0.3">
      <c r="A388" s="4" t="s">
        <v>21</v>
      </c>
      <c r="B388" s="4" t="s">
        <v>39</v>
      </c>
      <c r="C388" s="4" t="s">
        <v>40</v>
      </c>
      <c r="D388" s="4" t="s">
        <v>44</v>
      </c>
      <c r="E388" s="4" t="s">
        <v>53</v>
      </c>
      <c r="F388" s="4" t="s">
        <v>55</v>
      </c>
      <c r="G388" s="4" t="s">
        <v>25</v>
      </c>
      <c r="H388" s="4" t="s">
        <v>35</v>
      </c>
      <c r="I388" s="5">
        <v>44621</v>
      </c>
      <c r="J388" s="6">
        <v>0</v>
      </c>
      <c r="K388" s="6">
        <v>0</v>
      </c>
      <c r="L388" s="6">
        <v>31.052</v>
      </c>
      <c r="M388" s="6">
        <v>6.2103999999999999</v>
      </c>
      <c r="N388" s="6">
        <v>31.052</v>
      </c>
      <c r="O388" s="6">
        <v>6.2103999999999999</v>
      </c>
      <c r="P388" s="6">
        <v>0</v>
      </c>
      <c r="Q388" s="4" t="s">
        <v>26</v>
      </c>
      <c r="R388" s="4">
        <v>0</v>
      </c>
      <c r="S388" s="6">
        <v>0</v>
      </c>
      <c r="T388" s="6">
        <v>17</v>
      </c>
      <c r="U388" s="6">
        <v>66</v>
      </c>
      <c r="V388" s="6">
        <f>IF(ISERROR(VLOOKUP($S$388,'TAR FIN'!$A$1:$O$103,15,0)),0,VLOOKUP($S$388,'TAR FIN'!$A$1:$O$103,15,0))</f>
        <v>0</v>
      </c>
      <c r="W388" s="6">
        <f>IF(ISERROR(VLOOKUP($T$388,'TAR FIN'!$A$1:$O$103,15,0)),0,VLOOKUP($T$388,'TAR FIN'!$A$1:$O$103,15,0))</f>
        <v>84.99</v>
      </c>
      <c r="X388" s="6">
        <f>IF(ISERROR(VLOOKUP($U$388,'TAR FIN'!$A$1:$O$103,15,0)),0,VLOOKUP($U$388,'TAR FIN'!$A$1:$O$103,15,0))</f>
        <v>242.77</v>
      </c>
      <c r="Y388" s="6"/>
      <c r="Z388" s="6">
        <f ca="1">('TUSD BE'!$AM$24+'TUSD BF'!$AM$24+'TUSD CVA'!$AM$24)*1</f>
        <v>145.72237393634796</v>
      </c>
      <c r="AA388" s="6">
        <f>('TE BE'!$AB$9+'TE BF'!$AB$9+'TE CVA'!$AB$9)*1</f>
        <v>222.39386487986414</v>
      </c>
      <c r="AB388" s="6">
        <f>$K$388*$V$388</f>
        <v>0</v>
      </c>
      <c r="AC388" s="6">
        <f>$M$388*$W$388</f>
        <v>527.82189599999992</v>
      </c>
      <c r="AD388" s="6">
        <f>$O$388*$X$388</f>
        <v>1507.6988080000001</v>
      </c>
      <c r="AE388" s="6">
        <f>$K$388*$Y$388</f>
        <v>0</v>
      </c>
      <c r="AF388" s="6">
        <f ca="1">$M$388*$Z$388</f>
        <v>904.9942310942954</v>
      </c>
      <c r="AG388" s="6">
        <f>$O$388*$AA$388</f>
        <v>1381.1548584499083</v>
      </c>
    </row>
    <row r="389" spans="1:33" ht="11.25" customHeight="1" x14ac:dyDescent="0.3">
      <c r="A389" s="4" t="s">
        <v>21</v>
      </c>
      <c r="B389" s="4" t="s">
        <v>39</v>
      </c>
      <c r="C389" s="4" t="s">
        <v>40</v>
      </c>
      <c r="D389" s="4" t="s">
        <v>44</v>
      </c>
      <c r="E389" s="4" t="s">
        <v>53</v>
      </c>
      <c r="F389" s="4" t="s">
        <v>55</v>
      </c>
      <c r="G389" s="4" t="s">
        <v>25</v>
      </c>
      <c r="H389" s="4" t="s">
        <v>35</v>
      </c>
      <c r="I389" s="5">
        <v>44652</v>
      </c>
      <c r="J389" s="6">
        <v>0</v>
      </c>
      <c r="K389" s="6">
        <v>0</v>
      </c>
      <c r="L389" s="6">
        <v>147.99100000000001</v>
      </c>
      <c r="M389" s="6">
        <v>29.598199999999999</v>
      </c>
      <c r="N389" s="6">
        <v>147.99100000000001</v>
      </c>
      <c r="O389" s="6">
        <v>29.598199999999999</v>
      </c>
      <c r="P389" s="6">
        <v>0</v>
      </c>
      <c r="Q389" s="4" t="s">
        <v>26</v>
      </c>
      <c r="R389" s="4">
        <v>0</v>
      </c>
      <c r="S389" s="6">
        <v>0</v>
      </c>
      <c r="T389" s="6">
        <v>17</v>
      </c>
      <c r="U389" s="6">
        <v>66</v>
      </c>
      <c r="V389" s="6">
        <f>IF(ISERROR(VLOOKUP($S$389,'TAR FIN'!$A$1:$O$103,15,0)),0,VLOOKUP($S$389,'TAR FIN'!$A$1:$O$103,15,0))</f>
        <v>0</v>
      </c>
      <c r="W389" s="6">
        <f>IF(ISERROR(VLOOKUP($T$389,'TAR FIN'!$A$1:$O$103,15,0)),0,VLOOKUP($T$389,'TAR FIN'!$A$1:$O$103,15,0))</f>
        <v>84.99</v>
      </c>
      <c r="X389" s="6">
        <f>IF(ISERROR(VLOOKUP($U$389,'TAR FIN'!$A$1:$O$103,15,0)),0,VLOOKUP($U$389,'TAR FIN'!$A$1:$O$103,15,0))</f>
        <v>242.77</v>
      </c>
      <c r="Y389" s="6"/>
      <c r="Z389" s="6">
        <f ca="1">('TUSD BE'!$AM$24+'TUSD BF'!$AM$24+'TUSD CVA'!$AM$24)*1</f>
        <v>145.72237393634796</v>
      </c>
      <c r="AA389" s="6">
        <f>('TE BE'!$AB$9+'TE BF'!$AB$9+'TE CVA'!$AB$9)*1</f>
        <v>222.39386487986414</v>
      </c>
      <c r="AB389" s="6">
        <f>$K$389*$V$389</f>
        <v>0</v>
      </c>
      <c r="AC389" s="6">
        <f>$M$389*$W$389</f>
        <v>2515.5510179999997</v>
      </c>
      <c r="AD389" s="6">
        <f>$O$389*$X$389</f>
        <v>7185.5550139999996</v>
      </c>
      <c r="AE389" s="6">
        <f>$K$389*$Y$389</f>
        <v>0</v>
      </c>
      <c r="AF389" s="6">
        <f ca="1">$M$389*$Z$389</f>
        <v>4313.1199682428141</v>
      </c>
      <c r="AG389" s="6">
        <f>$O$389*$AA$389</f>
        <v>6582.458091487194</v>
      </c>
    </row>
    <row r="390" spans="1:33" ht="11.25" customHeight="1" x14ac:dyDescent="0.3">
      <c r="A390" s="4" t="s">
        <v>21</v>
      </c>
      <c r="B390" s="4" t="s">
        <v>39</v>
      </c>
      <c r="C390" s="4" t="s">
        <v>40</v>
      </c>
      <c r="D390" s="4" t="s">
        <v>44</v>
      </c>
      <c r="E390" s="4" t="s">
        <v>53</v>
      </c>
      <c r="F390" s="4" t="s">
        <v>55</v>
      </c>
      <c r="G390" s="4" t="s">
        <v>25</v>
      </c>
      <c r="H390" s="4" t="s">
        <v>35</v>
      </c>
      <c r="I390" s="5">
        <v>44682</v>
      </c>
      <c r="J390" s="6">
        <v>0</v>
      </c>
      <c r="K390" s="6">
        <v>0</v>
      </c>
      <c r="L390" s="6">
        <v>181.78399999999999</v>
      </c>
      <c r="M390" s="6">
        <v>36.3568</v>
      </c>
      <c r="N390" s="6">
        <v>181.78399999999999</v>
      </c>
      <c r="O390" s="6">
        <v>36.3568</v>
      </c>
      <c r="P390" s="6">
        <v>0</v>
      </c>
      <c r="Q390" s="4" t="s">
        <v>26</v>
      </c>
      <c r="R390" s="4">
        <v>0</v>
      </c>
      <c r="S390" s="6">
        <v>0</v>
      </c>
      <c r="T390" s="6">
        <v>17</v>
      </c>
      <c r="U390" s="6">
        <v>66</v>
      </c>
      <c r="V390" s="6">
        <f>IF(ISERROR(VLOOKUP($S$390,'TAR FIN'!$A$1:$O$103,15,0)),0,VLOOKUP($S$390,'TAR FIN'!$A$1:$O$103,15,0))</f>
        <v>0</v>
      </c>
      <c r="W390" s="6">
        <f>IF(ISERROR(VLOOKUP($T$390,'TAR FIN'!$A$1:$O$103,15,0)),0,VLOOKUP($T$390,'TAR FIN'!$A$1:$O$103,15,0))</f>
        <v>84.99</v>
      </c>
      <c r="X390" s="6">
        <f>IF(ISERROR(VLOOKUP($U$390,'TAR FIN'!$A$1:$O$103,15,0)),0,VLOOKUP($U$390,'TAR FIN'!$A$1:$O$103,15,0))</f>
        <v>242.77</v>
      </c>
      <c r="Y390" s="6"/>
      <c r="Z390" s="6">
        <f ca="1">('TUSD BE'!$AM$24+'TUSD BF'!$AM$24+'TUSD CVA'!$AM$24)*1</f>
        <v>145.72237393634796</v>
      </c>
      <c r="AA390" s="6">
        <f>('TE BE'!$AB$9+'TE BF'!$AB$9+'TE CVA'!$AB$9)*1</f>
        <v>222.39386487986414</v>
      </c>
      <c r="AB390" s="6">
        <f>$K$390*$V$390</f>
        <v>0</v>
      </c>
      <c r="AC390" s="6">
        <f>$M$390*$W$390</f>
        <v>3089.9644319999998</v>
      </c>
      <c r="AD390" s="6">
        <f>$O$390*$X$390</f>
        <v>8826.3403360000011</v>
      </c>
      <c r="AE390" s="6">
        <f>$K$390*$Y$390</f>
        <v>0</v>
      </c>
      <c r="AF390" s="6">
        <f ca="1">$M$390*$Z$390</f>
        <v>5297.9992047290152</v>
      </c>
      <c r="AG390" s="6">
        <f>$O$390*$AA$390</f>
        <v>8085.5292666642445</v>
      </c>
    </row>
    <row r="391" spans="1:33" ht="11.25" customHeight="1" x14ac:dyDescent="0.3">
      <c r="A391" s="4" t="s">
        <v>21</v>
      </c>
      <c r="B391" s="4" t="s">
        <v>39</v>
      </c>
      <c r="C391" s="4" t="s">
        <v>40</v>
      </c>
      <c r="D391" s="4" t="s">
        <v>44</v>
      </c>
      <c r="E391" s="4" t="s">
        <v>53</v>
      </c>
      <c r="F391" s="4" t="s">
        <v>55</v>
      </c>
      <c r="G391" s="4" t="s">
        <v>25</v>
      </c>
      <c r="H391" s="4" t="s">
        <v>35</v>
      </c>
      <c r="I391" s="5">
        <v>44713</v>
      </c>
      <c r="J391" s="6">
        <v>0</v>
      </c>
      <c r="K391" s="6">
        <v>0</v>
      </c>
      <c r="L391" s="6">
        <v>131.59800000000001</v>
      </c>
      <c r="M391" s="6">
        <v>26.319600000000001</v>
      </c>
      <c r="N391" s="6">
        <v>131.59800000000001</v>
      </c>
      <c r="O391" s="6">
        <v>26.319600000000001</v>
      </c>
      <c r="P391" s="6">
        <v>0</v>
      </c>
      <c r="Q391" s="4" t="s">
        <v>26</v>
      </c>
      <c r="R391" s="4">
        <v>0</v>
      </c>
      <c r="S391" s="6">
        <v>0</v>
      </c>
      <c r="T391" s="6">
        <v>17</v>
      </c>
      <c r="U391" s="6">
        <v>66</v>
      </c>
      <c r="V391" s="6">
        <f>IF(ISERROR(VLOOKUP($S$391,'TAR FIN'!$A$1:$O$103,15,0)),0,VLOOKUP($S$391,'TAR FIN'!$A$1:$O$103,15,0))</f>
        <v>0</v>
      </c>
      <c r="W391" s="6">
        <f>IF(ISERROR(VLOOKUP($T$391,'TAR FIN'!$A$1:$O$103,15,0)),0,VLOOKUP($T$391,'TAR FIN'!$A$1:$O$103,15,0))</f>
        <v>84.99</v>
      </c>
      <c r="X391" s="6">
        <f>IF(ISERROR(VLOOKUP($U$391,'TAR FIN'!$A$1:$O$103,15,0)),0,VLOOKUP($U$391,'TAR FIN'!$A$1:$O$103,15,0))</f>
        <v>242.77</v>
      </c>
      <c r="Y391" s="6"/>
      <c r="Z391" s="6">
        <f ca="1">('TUSD BE'!$AM$24+'TUSD BF'!$AM$24+'TUSD CVA'!$AM$24)*1</f>
        <v>145.72237393634796</v>
      </c>
      <c r="AA391" s="6">
        <f>('TE BE'!$AB$9+'TE BF'!$AB$9+'TE CVA'!$AB$9)*1</f>
        <v>222.39386487986414</v>
      </c>
      <c r="AB391" s="6">
        <f>$K$391*$V$391</f>
        <v>0</v>
      </c>
      <c r="AC391" s="6">
        <f>$M$391*$W$391</f>
        <v>2236.9028039999998</v>
      </c>
      <c r="AD391" s="6">
        <f>$O$391*$X$391</f>
        <v>6389.609292000001</v>
      </c>
      <c r="AE391" s="6">
        <f>$K$391*$Y$391</f>
        <v>0</v>
      </c>
      <c r="AF391" s="6">
        <f ca="1">$M$391*$Z$391</f>
        <v>3835.354593055104</v>
      </c>
      <c r="AG391" s="6">
        <f>$O$391*$AA$391</f>
        <v>5853.3175660920724</v>
      </c>
    </row>
    <row r="392" spans="1:33" ht="11.25" customHeight="1" x14ac:dyDescent="0.3">
      <c r="A392" s="4" t="s">
        <v>21</v>
      </c>
      <c r="B392" s="4" t="s">
        <v>39</v>
      </c>
      <c r="C392" s="4" t="s">
        <v>40</v>
      </c>
      <c r="D392" s="4" t="s">
        <v>44</v>
      </c>
      <c r="E392" s="4" t="s">
        <v>53</v>
      </c>
      <c r="F392" s="4" t="s">
        <v>55</v>
      </c>
      <c r="G392" s="4" t="s">
        <v>25</v>
      </c>
      <c r="H392" s="4" t="s">
        <v>35</v>
      </c>
      <c r="I392" s="5">
        <v>44743</v>
      </c>
      <c r="J392" s="6">
        <v>0</v>
      </c>
      <c r="K392" s="6">
        <v>0</v>
      </c>
      <c r="L392" s="6">
        <v>146.72200000000001</v>
      </c>
      <c r="M392" s="6">
        <v>29.3444</v>
      </c>
      <c r="N392" s="6">
        <v>146.72200000000001</v>
      </c>
      <c r="O392" s="6">
        <v>29.3444</v>
      </c>
      <c r="P392" s="6">
        <v>0</v>
      </c>
      <c r="Q392" s="4" t="s">
        <v>26</v>
      </c>
      <c r="R392" s="4">
        <v>0</v>
      </c>
      <c r="S392" s="6">
        <v>0</v>
      </c>
      <c r="T392" s="6">
        <v>17</v>
      </c>
      <c r="U392" s="6">
        <v>66</v>
      </c>
      <c r="V392" s="6">
        <f>IF(ISERROR(VLOOKUP($S$392,'TAR FIN'!$A$1:$O$103,15,0)),0,VLOOKUP($S$392,'TAR FIN'!$A$1:$O$103,15,0))</f>
        <v>0</v>
      </c>
      <c r="W392" s="6">
        <f>IF(ISERROR(VLOOKUP($T$392,'TAR FIN'!$A$1:$O$103,15,0)),0,VLOOKUP($T$392,'TAR FIN'!$A$1:$O$103,15,0))</f>
        <v>84.99</v>
      </c>
      <c r="X392" s="6">
        <f>IF(ISERROR(VLOOKUP($U$392,'TAR FIN'!$A$1:$O$103,15,0)),0,VLOOKUP($U$392,'TAR FIN'!$A$1:$O$103,15,0))</f>
        <v>242.77</v>
      </c>
      <c r="Y392" s="6"/>
      <c r="Z392" s="6">
        <f ca="1">('TUSD BE'!$AM$24+'TUSD BF'!$AM$24+'TUSD CVA'!$AM$24)*1</f>
        <v>145.72237393634796</v>
      </c>
      <c r="AA392" s="6">
        <f>('TE BE'!$AB$9+'TE BF'!$AB$9+'TE CVA'!$AB$9)*1</f>
        <v>222.39386487986414</v>
      </c>
      <c r="AB392" s="6">
        <f>$K$392*$V$392</f>
        <v>0</v>
      </c>
      <c r="AC392" s="6">
        <f>$M$392*$W$392</f>
        <v>2493.980556</v>
      </c>
      <c r="AD392" s="6">
        <f>$O$392*$X$392</f>
        <v>7123.9399880000001</v>
      </c>
      <c r="AE392" s="6">
        <f>$K$392*$Y$392</f>
        <v>0</v>
      </c>
      <c r="AF392" s="6">
        <f ca="1">$M$392*$Z$392</f>
        <v>4276.1356297377688</v>
      </c>
      <c r="AG392" s="6">
        <f>$O$392*$AA$392</f>
        <v>6526.0145285806857</v>
      </c>
    </row>
    <row r="393" spans="1:33" ht="11.25" customHeight="1" x14ac:dyDescent="0.3">
      <c r="A393" s="4" t="s">
        <v>21</v>
      </c>
      <c r="B393" s="4" t="s">
        <v>39</v>
      </c>
      <c r="C393" s="4" t="s">
        <v>40</v>
      </c>
      <c r="D393" s="4" t="s">
        <v>44</v>
      </c>
      <c r="E393" s="4" t="s">
        <v>53</v>
      </c>
      <c r="F393" s="4" t="s">
        <v>55</v>
      </c>
      <c r="G393" s="4" t="s">
        <v>25</v>
      </c>
      <c r="H393" s="4" t="s">
        <v>35</v>
      </c>
      <c r="I393" s="5">
        <v>44774</v>
      </c>
      <c r="J393" s="6">
        <v>0</v>
      </c>
      <c r="K393" s="6">
        <v>0</v>
      </c>
      <c r="L393" s="6">
        <v>147.726</v>
      </c>
      <c r="M393" s="6">
        <v>29.545200000000001</v>
      </c>
      <c r="N393" s="6">
        <v>147.726</v>
      </c>
      <c r="O393" s="6">
        <v>29.545200000000001</v>
      </c>
      <c r="P393" s="6">
        <v>0</v>
      </c>
      <c r="Q393" s="4" t="s">
        <v>26</v>
      </c>
      <c r="R393" s="4">
        <v>0</v>
      </c>
      <c r="S393" s="6">
        <v>0</v>
      </c>
      <c r="T393" s="6">
        <v>17</v>
      </c>
      <c r="U393" s="6">
        <v>66</v>
      </c>
      <c r="V393" s="6">
        <f>IF(ISERROR(VLOOKUP($S$393,'TAR FIN'!$A$1:$O$103,15,0)),0,VLOOKUP($S$393,'TAR FIN'!$A$1:$O$103,15,0))</f>
        <v>0</v>
      </c>
      <c r="W393" s="6">
        <f>IF(ISERROR(VLOOKUP($T$393,'TAR FIN'!$A$1:$O$103,15,0)),0,VLOOKUP($T$393,'TAR FIN'!$A$1:$O$103,15,0))</f>
        <v>84.99</v>
      </c>
      <c r="X393" s="6">
        <f>IF(ISERROR(VLOOKUP($U$393,'TAR FIN'!$A$1:$O$103,15,0)),0,VLOOKUP($U$393,'TAR FIN'!$A$1:$O$103,15,0))</f>
        <v>242.77</v>
      </c>
      <c r="Y393" s="6"/>
      <c r="Z393" s="6">
        <f ca="1">('TUSD BE'!$AM$24+'TUSD BF'!$AM$24+'TUSD CVA'!$AM$24)*1</f>
        <v>145.72237393634796</v>
      </c>
      <c r="AA393" s="6">
        <f>('TE BE'!$AB$9+'TE BF'!$AB$9+'TE CVA'!$AB$9)*1</f>
        <v>222.39386487986414</v>
      </c>
      <c r="AB393" s="6">
        <f>$K$393*$V$393</f>
        <v>0</v>
      </c>
      <c r="AC393" s="6">
        <f>$M$393*$W$393</f>
        <v>2511.0465479999998</v>
      </c>
      <c r="AD393" s="6">
        <f>$O$393*$X$393</f>
        <v>7172.688204000001</v>
      </c>
      <c r="AE393" s="6">
        <f>$K$393*$Y$393</f>
        <v>0</v>
      </c>
      <c r="AF393" s="6">
        <f ca="1">$M$393*$Z$393</f>
        <v>4305.3966824241879</v>
      </c>
      <c r="AG393" s="6">
        <f>$O$393*$AA$393</f>
        <v>6570.6712166485622</v>
      </c>
    </row>
    <row r="394" spans="1:33" ht="11.25" customHeight="1" x14ac:dyDescent="0.3">
      <c r="A394" s="4" t="s">
        <v>21</v>
      </c>
      <c r="B394" s="4" t="s">
        <v>39</v>
      </c>
      <c r="C394" s="4" t="s">
        <v>40</v>
      </c>
      <c r="D394" s="4" t="s">
        <v>44</v>
      </c>
      <c r="E394" s="4" t="s">
        <v>53</v>
      </c>
      <c r="F394" s="4" t="s">
        <v>55</v>
      </c>
      <c r="G394" s="4" t="s">
        <v>25</v>
      </c>
      <c r="H394" s="4" t="s">
        <v>35</v>
      </c>
      <c r="I394" s="5">
        <v>44805</v>
      </c>
      <c r="J394" s="6">
        <v>0</v>
      </c>
      <c r="K394" s="6">
        <v>0</v>
      </c>
      <c r="L394" s="6">
        <v>132.041</v>
      </c>
      <c r="M394" s="6">
        <v>26.408200000000001</v>
      </c>
      <c r="N394" s="6">
        <v>132.041</v>
      </c>
      <c r="O394" s="6">
        <v>26.408200000000001</v>
      </c>
      <c r="P394" s="6">
        <v>0</v>
      </c>
      <c r="Q394" s="4" t="s">
        <v>26</v>
      </c>
      <c r="R394" s="4">
        <v>0</v>
      </c>
      <c r="S394" s="6">
        <v>0</v>
      </c>
      <c r="T394" s="6">
        <v>17</v>
      </c>
      <c r="U394" s="6">
        <v>66</v>
      </c>
      <c r="V394" s="6">
        <f>IF(ISERROR(VLOOKUP($S$394,'TAR FIN'!$A$1:$O$103,15,0)),0,VLOOKUP($S$394,'TAR FIN'!$A$1:$O$103,15,0))</f>
        <v>0</v>
      </c>
      <c r="W394" s="6">
        <f>IF(ISERROR(VLOOKUP($T$394,'TAR FIN'!$A$1:$O$103,15,0)),0,VLOOKUP($T$394,'TAR FIN'!$A$1:$O$103,15,0))</f>
        <v>84.99</v>
      </c>
      <c r="X394" s="6">
        <f>IF(ISERROR(VLOOKUP($U$394,'TAR FIN'!$A$1:$O$103,15,0)),0,VLOOKUP($U$394,'TAR FIN'!$A$1:$O$103,15,0))</f>
        <v>242.77</v>
      </c>
      <c r="Y394" s="6"/>
      <c r="Z394" s="6">
        <f ca="1">('TUSD BE'!$AM$24+'TUSD BF'!$AM$24+'TUSD CVA'!$AM$24)*1</f>
        <v>145.72237393634796</v>
      </c>
      <c r="AA394" s="6">
        <f>('TE BE'!$AB$9+'TE BF'!$AB$9+'TE CVA'!$AB$9)*1</f>
        <v>222.39386487986414</v>
      </c>
      <c r="AB394" s="6">
        <f>$K$394*$V$394</f>
        <v>0</v>
      </c>
      <c r="AC394" s="6">
        <f>$M$394*$W$394</f>
        <v>2244.432918</v>
      </c>
      <c r="AD394" s="6">
        <f>$O$394*$X$394</f>
        <v>6411.1187140000002</v>
      </c>
      <c r="AE394" s="6">
        <f>$K$394*$Y$394</f>
        <v>0</v>
      </c>
      <c r="AF394" s="6">
        <f ca="1">$M$394*$Z$394</f>
        <v>3848.2655953858643</v>
      </c>
      <c r="AG394" s="6">
        <f>$O$394*$AA$394</f>
        <v>5873.0216625204284</v>
      </c>
    </row>
    <row r="395" spans="1:33" ht="11.25" customHeight="1" x14ac:dyDescent="0.3">
      <c r="A395" s="4" t="s">
        <v>57</v>
      </c>
      <c r="B395" s="4" t="s">
        <v>39</v>
      </c>
      <c r="C395" s="4" t="s">
        <v>40</v>
      </c>
      <c r="D395" s="4" t="s">
        <v>44</v>
      </c>
      <c r="E395" s="4" t="s">
        <v>53</v>
      </c>
      <c r="F395" s="4" t="s">
        <v>55</v>
      </c>
      <c r="G395" s="4" t="s">
        <v>25</v>
      </c>
      <c r="H395" s="4" t="s">
        <v>35</v>
      </c>
      <c r="I395" s="5">
        <v>44835</v>
      </c>
      <c r="J395" s="6">
        <v>0</v>
      </c>
      <c r="K395" s="6">
        <v>0</v>
      </c>
      <c r="L395" s="6">
        <v>132.041</v>
      </c>
      <c r="M395" s="6">
        <v>26.408200000000001</v>
      </c>
      <c r="N395" s="6">
        <v>132.041</v>
      </c>
      <c r="O395" s="6">
        <v>26.408200000000001</v>
      </c>
      <c r="P395" s="6">
        <v>0</v>
      </c>
      <c r="Q395" s="4" t="s">
        <v>26</v>
      </c>
      <c r="R395" s="4">
        <v>0</v>
      </c>
      <c r="S395" s="6">
        <v>0</v>
      </c>
      <c r="T395" s="6">
        <v>17</v>
      </c>
      <c r="U395" s="6">
        <v>66</v>
      </c>
      <c r="V395" s="6">
        <f>IF(ISERROR(VLOOKUP($S$395,'TAR FIN'!$A$1:$O$103,15,0)),0,VLOOKUP($S$395,'TAR FIN'!$A$1:$O$103,15,0))</f>
        <v>0</v>
      </c>
      <c r="W395" s="6">
        <f>IF(ISERROR(VLOOKUP($T$395,'TAR FIN'!$A$1:$O$103,15,0)),0,VLOOKUP($T$395,'TAR FIN'!$A$1:$O$103,15,0))</f>
        <v>84.99</v>
      </c>
      <c r="X395" s="6">
        <f>IF(ISERROR(VLOOKUP($U$395,'TAR FIN'!$A$1:$O$103,15,0)),0,VLOOKUP($U$395,'TAR FIN'!$A$1:$O$103,15,0))</f>
        <v>242.77</v>
      </c>
      <c r="Y395" s="6"/>
      <c r="Z395" s="6">
        <f ca="1">('TUSD BE'!$AM$24+'TUSD BF'!$AM$24+'TUSD CVA'!$AM$24)*1</f>
        <v>145.72237393634796</v>
      </c>
      <c r="AA395" s="6">
        <f>('TE BE'!$AB$9+'TE BF'!$AB$9+'TE CVA'!$AB$9)*1</f>
        <v>222.39386487986414</v>
      </c>
      <c r="AB395" s="6">
        <f>$K$395*$V$395</f>
        <v>0</v>
      </c>
      <c r="AC395" s="6">
        <f>$M$395*$W$395</f>
        <v>2244.432918</v>
      </c>
      <c r="AD395" s="6">
        <f>$O$395*$X$395</f>
        <v>6411.1187140000002</v>
      </c>
      <c r="AE395" s="6">
        <f>$K$395*$Y$395</f>
        <v>0</v>
      </c>
      <c r="AF395" s="6">
        <f ca="1">$M$395*$Z$395</f>
        <v>3848.2655953858643</v>
      </c>
      <c r="AG395" s="6">
        <f>$O$395*$AA$395</f>
        <v>5873.0216625204284</v>
      </c>
    </row>
    <row r="396" spans="1:33" ht="11.25" customHeight="1" x14ac:dyDescent="0.3">
      <c r="A396" s="4" t="s">
        <v>21</v>
      </c>
      <c r="B396" s="4" t="s">
        <v>39</v>
      </c>
      <c r="C396" s="4" t="s">
        <v>40</v>
      </c>
      <c r="D396" s="4" t="s">
        <v>44</v>
      </c>
      <c r="E396" s="4" t="s">
        <v>53</v>
      </c>
      <c r="F396" s="4" t="s">
        <v>25</v>
      </c>
      <c r="G396" s="4" t="s">
        <v>25</v>
      </c>
      <c r="H396" s="4" t="s">
        <v>35</v>
      </c>
      <c r="I396" s="5">
        <v>44501</v>
      </c>
      <c r="J396" s="6">
        <v>0</v>
      </c>
      <c r="K396" s="52">
        <v>0</v>
      </c>
      <c r="L396" s="6">
        <v>4.008</v>
      </c>
      <c r="M396" s="52">
        <v>4.008</v>
      </c>
      <c r="N396" s="6">
        <v>4.008</v>
      </c>
      <c r="O396" s="52">
        <v>4.008</v>
      </c>
      <c r="P396" s="6">
        <v>0</v>
      </c>
      <c r="Q396" s="4" t="s">
        <v>26</v>
      </c>
      <c r="R396" s="4">
        <v>0</v>
      </c>
      <c r="S396" s="6">
        <v>0</v>
      </c>
      <c r="T396" s="6">
        <v>17</v>
      </c>
      <c r="U396" s="6">
        <v>66</v>
      </c>
      <c r="V396" s="52">
        <f>IF(ISERROR(VLOOKUP($S$396,'TAR FIN'!$A$1:$O$103,15,0)),0,VLOOKUP($S$396,'TAR FIN'!$A$1:$O$103,15,0))</f>
        <v>0</v>
      </c>
      <c r="W396" s="52">
        <f>IF(ISERROR(VLOOKUP($T$396,'TAR FIN'!$A$1:$O$103,15,0)),0,VLOOKUP($T$396,'TAR FIN'!$A$1:$O$103,15,0))*(1-0.04)</f>
        <v>81.590399999999988</v>
      </c>
      <c r="X396" s="52">
        <f>IF(ISERROR(VLOOKUP($U$396,'TAR FIN'!$A$1:$O$103,15,0)),0,VLOOKUP($U$396,'TAR FIN'!$A$1:$O$103,15,0))*(1-0.04)</f>
        <v>233.0592</v>
      </c>
      <c r="Y396" s="52"/>
      <c r="Z396" s="52">
        <f ca="1">('TUSD BE'!$AM$24+'TUSD BF'!$AM$24+'TUSD CVA'!$AM$24)*1*(1-0.02)</f>
        <v>142.80792645762099</v>
      </c>
      <c r="AA396" s="52">
        <f>('TE BE'!$AB$9+'TE BF'!$AB$9+'TE CVA'!$AB$9)*1*(1-0.02)</f>
        <v>217.94598758226687</v>
      </c>
      <c r="AB396" s="6">
        <f>$K$396*$V$396</f>
        <v>0</v>
      </c>
      <c r="AC396" s="6">
        <f>$M$396*$W$396</f>
        <v>327.01432319999998</v>
      </c>
      <c r="AD396" s="6">
        <f>$O$396*$X$396</f>
        <v>934.10127360000001</v>
      </c>
      <c r="AE396" s="6">
        <f>$K$396*$Y$396</f>
        <v>0</v>
      </c>
      <c r="AF396" s="6">
        <f ca="1">$M$396*$Z$396</f>
        <v>572.37416924214494</v>
      </c>
      <c r="AG396" s="6">
        <f>$O$396*$AA$396</f>
        <v>873.52751822972562</v>
      </c>
    </row>
    <row r="397" spans="1:33" ht="11.25" customHeight="1" x14ac:dyDescent="0.3">
      <c r="A397" s="4" t="s">
        <v>21</v>
      </c>
      <c r="B397" s="4" t="s">
        <v>39</v>
      </c>
      <c r="C397" s="4" t="s">
        <v>40</v>
      </c>
      <c r="D397" s="4" t="s">
        <v>44</v>
      </c>
      <c r="E397" s="4" t="s">
        <v>53</v>
      </c>
      <c r="F397" s="4" t="s">
        <v>25</v>
      </c>
      <c r="G397" s="4" t="s">
        <v>25</v>
      </c>
      <c r="H397" s="4" t="s">
        <v>35</v>
      </c>
      <c r="I397" s="5">
        <v>44531</v>
      </c>
      <c r="J397" s="6">
        <v>0</v>
      </c>
      <c r="K397" s="52">
        <v>0</v>
      </c>
      <c r="L397" s="6">
        <v>3.5409999999999999</v>
      </c>
      <c r="M397" s="52">
        <v>3.5409999999999999</v>
      </c>
      <c r="N397" s="6">
        <v>3.5409999999999999</v>
      </c>
      <c r="O397" s="52">
        <v>3.5409999999999999</v>
      </c>
      <c r="P397" s="6">
        <v>0</v>
      </c>
      <c r="Q397" s="4" t="s">
        <v>26</v>
      </c>
      <c r="R397" s="4">
        <v>0</v>
      </c>
      <c r="S397" s="6">
        <v>0</v>
      </c>
      <c r="T397" s="6">
        <v>17</v>
      </c>
      <c r="U397" s="6">
        <v>66</v>
      </c>
      <c r="V397" s="52">
        <f>IF(ISERROR(VLOOKUP($S$397,'TAR FIN'!$A$1:$O$103,15,0)),0,VLOOKUP($S$397,'TAR FIN'!$A$1:$O$103,15,0))</f>
        <v>0</v>
      </c>
      <c r="W397" s="52">
        <f>IF(ISERROR(VLOOKUP($T$397,'TAR FIN'!$A$1:$O$103,15,0)),0,VLOOKUP($T$397,'TAR FIN'!$A$1:$O$103,15,0))*(1-0.04)</f>
        <v>81.590399999999988</v>
      </c>
      <c r="X397" s="52">
        <f>IF(ISERROR(VLOOKUP($U$397,'TAR FIN'!$A$1:$O$103,15,0)),0,VLOOKUP($U$397,'TAR FIN'!$A$1:$O$103,15,0))*(1-0.04)</f>
        <v>233.0592</v>
      </c>
      <c r="Y397" s="52"/>
      <c r="Z397" s="52">
        <f ca="1">('TUSD BE'!$AM$24+'TUSD BF'!$AM$24+'TUSD CVA'!$AM$24)*1*(1-0.02)</f>
        <v>142.80792645762099</v>
      </c>
      <c r="AA397" s="52">
        <f>('TE BE'!$AB$9+'TE BF'!$AB$9+'TE CVA'!$AB$9)*1*(1-0.02)</f>
        <v>217.94598758226687</v>
      </c>
      <c r="AB397" s="6">
        <f>$K$397*$V$397</f>
        <v>0</v>
      </c>
      <c r="AC397" s="6">
        <f>$M$397*$W$397</f>
        <v>288.91160639999993</v>
      </c>
      <c r="AD397" s="6">
        <f>$O$397*$X$397</f>
        <v>825.2626272</v>
      </c>
      <c r="AE397" s="6">
        <f>$K$397*$Y$397</f>
        <v>0</v>
      </c>
      <c r="AF397" s="6">
        <f ca="1">$M$397*$Z$397</f>
        <v>505.68286758643592</v>
      </c>
      <c r="AG397" s="6">
        <f>$O$397*$AA$397</f>
        <v>771.74674202880692</v>
      </c>
    </row>
    <row r="398" spans="1:33" ht="11.25" customHeight="1" x14ac:dyDescent="0.3">
      <c r="A398" s="4" t="s">
        <v>21</v>
      </c>
      <c r="B398" s="4" t="s">
        <v>39</v>
      </c>
      <c r="C398" s="4" t="s">
        <v>40</v>
      </c>
      <c r="D398" s="4" t="s">
        <v>44</v>
      </c>
      <c r="E398" s="4" t="s">
        <v>53</v>
      </c>
      <c r="F398" s="4" t="s">
        <v>25</v>
      </c>
      <c r="G398" s="4" t="s">
        <v>25</v>
      </c>
      <c r="H398" s="4" t="s">
        <v>35</v>
      </c>
      <c r="I398" s="5">
        <v>44562</v>
      </c>
      <c r="J398" s="6">
        <v>0</v>
      </c>
      <c r="K398" s="52">
        <v>0</v>
      </c>
      <c r="L398" s="6">
        <v>5.49</v>
      </c>
      <c r="M398" s="52">
        <v>5.49</v>
      </c>
      <c r="N398" s="6">
        <v>5.49</v>
      </c>
      <c r="O398" s="52">
        <v>5.49</v>
      </c>
      <c r="P398" s="6">
        <v>0</v>
      </c>
      <c r="Q398" s="4" t="s">
        <v>26</v>
      </c>
      <c r="R398" s="4">
        <v>0</v>
      </c>
      <c r="S398" s="6">
        <v>0</v>
      </c>
      <c r="T398" s="6">
        <v>17</v>
      </c>
      <c r="U398" s="6">
        <v>66</v>
      </c>
      <c r="V398" s="52">
        <f>IF(ISERROR(VLOOKUP($S$398,'TAR FIN'!$A$1:$O$103,15,0)),0,VLOOKUP($S$398,'TAR FIN'!$A$1:$O$103,15,0))</f>
        <v>0</v>
      </c>
      <c r="W398" s="52">
        <f>IF(ISERROR(VLOOKUP($T$398,'TAR FIN'!$A$1:$O$103,15,0)),0,VLOOKUP($T$398,'TAR FIN'!$A$1:$O$103,15,0))*(1-0.04)</f>
        <v>81.590399999999988</v>
      </c>
      <c r="X398" s="52">
        <f>IF(ISERROR(VLOOKUP($U$398,'TAR FIN'!$A$1:$O$103,15,0)),0,VLOOKUP($U$398,'TAR FIN'!$A$1:$O$103,15,0))*(1-0.04)</f>
        <v>233.0592</v>
      </c>
      <c r="Y398" s="52"/>
      <c r="Z398" s="52">
        <f ca="1">('TUSD BE'!$AM$24+'TUSD BF'!$AM$24+'TUSD CVA'!$AM$24)*1*(1-0.02)</f>
        <v>142.80792645762099</v>
      </c>
      <c r="AA398" s="52">
        <f>('TE BE'!$AB$9+'TE BF'!$AB$9+'TE CVA'!$AB$9)*1*(1-0.02)</f>
        <v>217.94598758226687</v>
      </c>
      <c r="AB398" s="6">
        <f>$K$398*$V$398</f>
        <v>0</v>
      </c>
      <c r="AC398" s="6">
        <f>$M$398*$W$398</f>
        <v>447.93129599999997</v>
      </c>
      <c r="AD398" s="6">
        <f>$O$398*$X$398</f>
        <v>1279.4950080000001</v>
      </c>
      <c r="AE398" s="6">
        <f>$K$398*$Y$398</f>
        <v>0</v>
      </c>
      <c r="AF398" s="6">
        <f ca="1">$M$398*$Z$398</f>
        <v>784.01551625233924</v>
      </c>
      <c r="AG398" s="6">
        <f>$O$398*$AA$398</f>
        <v>1196.5234718266452</v>
      </c>
    </row>
    <row r="399" spans="1:33" ht="11.25" customHeight="1" x14ac:dyDescent="0.3">
      <c r="A399" s="4" t="s">
        <v>21</v>
      </c>
      <c r="B399" s="4" t="s">
        <v>39</v>
      </c>
      <c r="C399" s="4" t="s">
        <v>40</v>
      </c>
      <c r="D399" s="4" t="s">
        <v>44</v>
      </c>
      <c r="E399" s="4" t="s">
        <v>53</v>
      </c>
      <c r="F399" s="4" t="s">
        <v>25</v>
      </c>
      <c r="G399" s="4" t="s">
        <v>25</v>
      </c>
      <c r="H399" s="4" t="s">
        <v>35</v>
      </c>
      <c r="I399" s="5">
        <v>44593</v>
      </c>
      <c r="J399" s="6">
        <v>0</v>
      </c>
      <c r="K399" s="52">
        <v>0</v>
      </c>
      <c r="L399" s="6">
        <v>2.6269999999999998</v>
      </c>
      <c r="M399" s="52">
        <v>2.6269999999999998</v>
      </c>
      <c r="N399" s="6">
        <v>2.6269999999999998</v>
      </c>
      <c r="O399" s="52">
        <v>2.6269999999999998</v>
      </c>
      <c r="P399" s="6">
        <v>0</v>
      </c>
      <c r="Q399" s="4" t="s">
        <v>26</v>
      </c>
      <c r="R399" s="4">
        <v>0</v>
      </c>
      <c r="S399" s="6">
        <v>0</v>
      </c>
      <c r="T399" s="6">
        <v>17</v>
      </c>
      <c r="U399" s="6">
        <v>66</v>
      </c>
      <c r="V399" s="52">
        <f>IF(ISERROR(VLOOKUP($S$399,'TAR FIN'!$A$1:$O$103,15,0)),0,VLOOKUP($S$399,'TAR FIN'!$A$1:$O$103,15,0))</f>
        <v>0</v>
      </c>
      <c r="W399" s="52">
        <f>IF(ISERROR(VLOOKUP($T$399,'TAR FIN'!$A$1:$O$103,15,0)),0,VLOOKUP($T$399,'TAR FIN'!$A$1:$O$103,15,0))*(1-0.04)</f>
        <v>81.590399999999988</v>
      </c>
      <c r="X399" s="52">
        <f>IF(ISERROR(VLOOKUP($U$399,'TAR FIN'!$A$1:$O$103,15,0)),0,VLOOKUP($U$399,'TAR FIN'!$A$1:$O$103,15,0))*(1-0.04)</f>
        <v>233.0592</v>
      </c>
      <c r="Y399" s="52"/>
      <c r="Z399" s="52">
        <f ca="1">('TUSD BE'!$AM$24+'TUSD BF'!$AM$24+'TUSD CVA'!$AM$24)*1*(1-0.02)</f>
        <v>142.80792645762099</v>
      </c>
      <c r="AA399" s="52">
        <f>('TE BE'!$AB$9+'TE BF'!$AB$9+'TE CVA'!$AB$9)*1*(1-0.02)</f>
        <v>217.94598758226687</v>
      </c>
      <c r="AB399" s="6">
        <f>$K$399*$V$399</f>
        <v>0</v>
      </c>
      <c r="AC399" s="6">
        <f>$M$399*$W$399</f>
        <v>214.33798079999994</v>
      </c>
      <c r="AD399" s="6">
        <f>$O$399*$X$399</f>
        <v>612.24651840000001</v>
      </c>
      <c r="AE399" s="6">
        <f>$K$399*$Y$399</f>
        <v>0</v>
      </c>
      <c r="AF399" s="6">
        <f ca="1">$M$399*$Z$399</f>
        <v>375.15642280417035</v>
      </c>
      <c r="AG399" s="6">
        <f>$O$399*$AA$399</f>
        <v>572.54410937861496</v>
      </c>
    </row>
    <row r="400" spans="1:33" ht="11.25" customHeight="1" x14ac:dyDescent="0.3">
      <c r="A400" s="4" t="s">
        <v>21</v>
      </c>
      <c r="B400" s="4" t="s">
        <v>39</v>
      </c>
      <c r="C400" s="4" t="s">
        <v>40</v>
      </c>
      <c r="D400" s="4" t="s">
        <v>44</v>
      </c>
      <c r="E400" s="4" t="s">
        <v>53</v>
      </c>
      <c r="F400" s="4" t="s">
        <v>25</v>
      </c>
      <c r="G400" s="4" t="s">
        <v>25</v>
      </c>
      <c r="H400" s="4" t="s">
        <v>35</v>
      </c>
      <c r="I400" s="5">
        <v>44621</v>
      </c>
      <c r="J400" s="6">
        <v>0</v>
      </c>
      <c r="K400" s="52">
        <v>0</v>
      </c>
      <c r="L400" s="6">
        <v>8.43</v>
      </c>
      <c r="M400" s="52">
        <v>8.43</v>
      </c>
      <c r="N400" s="6">
        <v>8.43</v>
      </c>
      <c r="O400" s="52">
        <v>8.43</v>
      </c>
      <c r="P400" s="6">
        <v>0</v>
      </c>
      <c r="Q400" s="4" t="s">
        <v>26</v>
      </c>
      <c r="R400" s="4">
        <v>0</v>
      </c>
      <c r="S400" s="6">
        <v>0</v>
      </c>
      <c r="T400" s="6">
        <v>17</v>
      </c>
      <c r="U400" s="6">
        <v>66</v>
      </c>
      <c r="V400" s="52">
        <f>IF(ISERROR(VLOOKUP($S$400,'TAR FIN'!$A$1:$O$103,15,0)),0,VLOOKUP($S$400,'TAR FIN'!$A$1:$O$103,15,0))</f>
        <v>0</v>
      </c>
      <c r="W400" s="52">
        <f>IF(ISERROR(VLOOKUP($T$400,'TAR FIN'!$A$1:$O$103,15,0)),0,VLOOKUP($T$400,'TAR FIN'!$A$1:$O$103,15,0))*(1-0.04)</f>
        <v>81.590399999999988</v>
      </c>
      <c r="X400" s="52">
        <f>IF(ISERROR(VLOOKUP($U$400,'TAR FIN'!$A$1:$O$103,15,0)),0,VLOOKUP($U$400,'TAR FIN'!$A$1:$O$103,15,0))*(1-0.04)</f>
        <v>233.0592</v>
      </c>
      <c r="Y400" s="52"/>
      <c r="Z400" s="52">
        <f ca="1">('TUSD BE'!$AM$24+'TUSD BF'!$AM$24+'TUSD CVA'!$AM$24)*1*(1-0.02)</f>
        <v>142.80792645762099</v>
      </c>
      <c r="AA400" s="52">
        <f>('TE BE'!$AB$9+'TE BF'!$AB$9+'TE CVA'!$AB$9)*1*(1-0.02)</f>
        <v>217.94598758226687</v>
      </c>
      <c r="AB400" s="6">
        <f>$K$400*$V$400</f>
        <v>0</v>
      </c>
      <c r="AC400" s="6">
        <f>$M$400*$W$400</f>
        <v>687.80707199999983</v>
      </c>
      <c r="AD400" s="6">
        <f>$O$400*$X$400</f>
        <v>1964.6890559999999</v>
      </c>
      <c r="AE400" s="6">
        <f>$K$400*$Y$400</f>
        <v>0</v>
      </c>
      <c r="AF400" s="6">
        <f ca="1">$M$400*$Z$400</f>
        <v>1203.870820037745</v>
      </c>
      <c r="AG400" s="6">
        <f>$O$400*$AA$400</f>
        <v>1837.2846753185097</v>
      </c>
    </row>
    <row r="401" spans="1:33" ht="11.25" customHeight="1" x14ac:dyDescent="0.3">
      <c r="A401" s="4" t="s">
        <v>21</v>
      </c>
      <c r="B401" s="4" t="s">
        <v>39</v>
      </c>
      <c r="C401" s="4" t="s">
        <v>40</v>
      </c>
      <c r="D401" s="4" t="s">
        <v>44</v>
      </c>
      <c r="E401" s="4" t="s">
        <v>53</v>
      </c>
      <c r="F401" s="4" t="s">
        <v>25</v>
      </c>
      <c r="G401" s="4" t="s">
        <v>25</v>
      </c>
      <c r="H401" s="4" t="s">
        <v>35</v>
      </c>
      <c r="I401" s="5">
        <v>44652</v>
      </c>
      <c r="J401" s="6">
        <v>0</v>
      </c>
      <c r="K401" s="52">
        <v>0</v>
      </c>
      <c r="L401" s="6">
        <v>96.036000000000001</v>
      </c>
      <c r="M401" s="52">
        <v>96.036000000000001</v>
      </c>
      <c r="N401" s="6">
        <v>96.036000000000001</v>
      </c>
      <c r="O401" s="52">
        <v>96.036000000000001</v>
      </c>
      <c r="P401" s="6">
        <v>0</v>
      </c>
      <c r="Q401" s="4" t="s">
        <v>26</v>
      </c>
      <c r="R401" s="4">
        <v>0</v>
      </c>
      <c r="S401" s="6">
        <v>0</v>
      </c>
      <c r="T401" s="6">
        <v>17</v>
      </c>
      <c r="U401" s="6">
        <v>66</v>
      </c>
      <c r="V401" s="52">
        <f>IF(ISERROR(VLOOKUP($S$401,'TAR FIN'!$A$1:$O$103,15,0)),0,VLOOKUP($S$401,'TAR FIN'!$A$1:$O$103,15,0))</f>
        <v>0</v>
      </c>
      <c r="W401" s="52">
        <f>IF(ISERROR(VLOOKUP($T$401,'TAR FIN'!$A$1:$O$103,15,0)),0,VLOOKUP($T$401,'TAR FIN'!$A$1:$O$103,15,0))*(1-0.04)</f>
        <v>81.590399999999988</v>
      </c>
      <c r="X401" s="52">
        <f>IF(ISERROR(VLOOKUP($U$401,'TAR FIN'!$A$1:$O$103,15,0)),0,VLOOKUP($U$401,'TAR FIN'!$A$1:$O$103,15,0))*(1-0.04)</f>
        <v>233.0592</v>
      </c>
      <c r="Y401" s="52"/>
      <c r="Z401" s="52">
        <f ca="1">('TUSD BE'!$AM$24+'TUSD BF'!$AM$24+'TUSD CVA'!$AM$24)*1*(1-0.02)</f>
        <v>142.80792645762099</v>
      </c>
      <c r="AA401" s="52">
        <f>('TE BE'!$AB$9+'TE BF'!$AB$9+'TE CVA'!$AB$9)*1*(1-0.02)</f>
        <v>217.94598758226687</v>
      </c>
      <c r="AB401" s="6">
        <f>$K$401*$V$401</f>
        <v>0</v>
      </c>
      <c r="AC401" s="6">
        <f>$M$401*$W$401</f>
        <v>7835.6156543999987</v>
      </c>
      <c r="AD401" s="6">
        <f>$O$401*$X$401</f>
        <v>22382.073331200001</v>
      </c>
      <c r="AE401" s="6">
        <f>$K$401*$Y$401</f>
        <v>0</v>
      </c>
      <c r="AF401" s="6">
        <f ca="1">$M$401*$Z$401</f>
        <v>13714.70202528409</v>
      </c>
      <c r="AG401" s="6">
        <f>$O$401*$AA$401</f>
        <v>20930.660863450583</v>
      </c>
    </row>
    <row r="402" spans="1:33" ht="11.25" customHeight="1" x14ac:dyDescent="0.3">
      <c r="A402" s="4" t="s">
        <v>21</v>
      </c>
      <c r="B402" s="4" t="s">
        <v>39</v>
      </c>
      <c r="C402" s="4" t="s">
        <v>40</v>
      </c>
      <c r="D402" s="4" t="s">
        <v>44</v>
      </c>
      <c r="E402" s="4" t="s">
        <v>53</v>
      </c>
      <c r="F402" s="4" t="s">
        <v>25</v>
      </c>
      <c r="G402" s="4" t="s">
        <v>25</v>
      </c>
      <c r="H402" s="4" t="s">
        <v>35</v>
      </c>
      <c r="I402" s="5">
        <v>44682</v>
      </c>
      <c r="J402" s="6">
        <v>0</v>
      </c>
      <c r="K402" s="52">
        <v>0</v>
      </c>
      <c r="L402" s="6">
        <v>114.723</v>
      </c>
      <c r="M402" s="52">
        <v>114.723</v>
      </c>
      <c r="N402" s="6">
        <v>114.723</v>
      </c>
      <c r="O402" s="52">
        <v>114.723</v>
      </c>
      <c r="P402" s="6">
        <v>0</v>
      </c>
      <c r="Q402" s="4" t="s">
        <v>26</v>
      </c>
      <c r="R402" s="4">
        <v>0</v>
      </c>
      <c r="S402" s="6">
        <v>0</v>
      </c>
      <c r="T402" s="6">
        <v>17</v>
      </c>
      <c r="U402" s="6">
        <v>66</v>
      </c>
      <c r="V402" s="52">
        <f>IF(ISERROR(VLOOKUP($S$402,'TAR FIN'!$A$1:$O$103,15,0)),0,VLOOKUP($S$402,'TAR FIN'!$A$1:$O$103,15,0))</f>
        <v>0</v>
      </c>
      <c r="W402" s="52">
        <f>IF(ISERROR(VLOOKUP($T$402,'TAR FIN'!$A$1:$O$103,15,0)),0,VLOOKUP($T$402,'TAR FIN'!$A$1:$O$103,15,0))*(1-0.04)</f>
        <v>81.590399999999988</v>
      </c>
      <c r="X402" s="52">
        <f>IF(ISERROR(VLOOKUP($U$402,'TAR FIN'!$A$1:$O$103,15,0)),0,VLOOKUP($U$402,'TAR FIN'!$A$1:$O$103,15,0))*(1-0.04)</f>
        <v>233.0592</v>
      </c>
      <c r="Y402" s="52"/>
      <c r="Z402" s="52">
        <f ca="1">('TUSD BE'!$AM$24+'TUSD BF'!$AM$24+'TUSD CVA'!$AM$24)*1*(1-0.02)</f>
        <v>142.80792645762099</v>
      </c>
      <c r="AA402" s="52">
        <f>('TE BE'!$AB$9+'TE BF'!$AB$9+'TE CVA'!$AB$9)*1*(1-0.02)</f>
        <v>217.94598758226687</v>
      </c>
      <c r="AB402" s="6">
        <f>$K$402*$V$402</f>
        <v>0</v>
      </c>
      <c r="AC402" s="6">
        <f>$M$402*$W$402</f>
        <v>9360.2954591999987</v>
      </c>
      <c r="AD402" s="6">
        <f>$O$402*$X$402</f>
        <v>26737.250601600001</v>
      </c>
      <c r="AE402" s="6">
        <f>$K$402*$Y$402</f>
        <v>0</v>
      </c>
      <c r="AF402" s="6">
        <f ca="1">$M$402*$Z$402</f>
        <v>16383.353746997653</v>
      </c>
      <c r="AG402" s="6">
        <f>$O$402*$AA$402</f>
        <v>25003.417533400403</v>
      </c>
    </row>
    <row r="403" spans="1:33" ht="11.25" customHeight="1" x14ac:dyDescent="0.3">
      <c r="A403" s="4" t="s">
        <v>21</v>
      </c>
      <c r="B403" s="4" t="s">
        <v>39</v>
      </c>
      <c r="C403" s="4" t="s">
        <v>40</v>
      </c>
      <c r="D403" s="4" t="s">
        <v>44</v>
      </c>
      <c r="E403" s="4" t="s">
        <v>53</v>
      </c>
      <c r="F403" s="4" t="s">
        <v>25</v>
      </c>
      <c r="G403" s="4" t="s">
        <v>25</v>
      </c>
      <c r="H403" s="4" t="s">
        <v>35</v>
      </c>
      <c r="I403" s="5">
        <v>44713</v>
      </c>
      <c r="J403" s="6">
        <v>0</v>
      </c>
      <c r="K403" s="52">
        <v>0</v>
      </c>
      <c r="L403" s="6">
        <v>99.3</v>
      </c>
      <c r="M403" s="52">
        <v>99.3</v>
      </c>
      <c r="N403" s="6">
        <v>99.3</v>
      </c>
      <c r="O403" s="52">
        <v>99.3</v>
      </c>
      <c r="P403" s="6">
        <v>0</v>
      </c>
      <c r="Q403" s="4" t="s">
        <v>26</v>
      </c>
      <c r="R403" s="4">
        <v>0</v>
      </c>
      <c r="S403" s="6">
        <v>0</v>
      </c>
      <c r="T403" s="6">
        <v>17</v>
      </c>
      <c r="U403" s="6">
        <v>66</v>
      </c>
      <c r="V403" s="52">
        <f>IF(ISERROR(VLOOKUP($S$403,'TAR FIN'!$A$1:$O$103,15,0)),0,VLOOKUP($S$403,'TAR FIN'!$A$1:$O$103,15,0))</f>
        <v>0</v>
      </c>
      <c r="W403" s="52">
        <f>IF(ISERROR(VLOOKUP($T$403,'TAR FIN'!$A$1:$O$103,15,0)),0,VLOOKUP($T$403,'TAR FIN'!$A$1:$O$103,15,0))*(1-0.04)</f>
        <v>81.590399999999988</v>
      </c>
      <c r="X403" s="52">
        <f>IF(ISERROR(VLOOKUP($U$403,'TAR FIN'!$A$1:$O$103,15,0)),0,VLOOKUP($U$403,'TAR FIN'!$A$1:$O$103,15,0))*(1-0.04)</f>
        <v>233.0592</v>
      </c>
      <c r="Y403" s="52"/>
      <c r="Z403" s="52">
        <f ca="1">('TUSD BE'!$AM$24+'TUSD BF'!$AM$24+'TUSD CVA'!$AM$24)*1*(1-0.02)</f>
        <v>142.80792645762099</v>
      </c>
      <c r="AA403" s="52">
        <f>('TE BE'!$AB$9+'TE BF'!$AB$9+'TE CVA'!$AB$9)*1*(1-0.02)</f>
        <v>217.94598758226687</v>
      </c>
      <c r="AB403" s="6">
        <f>$K$403*$V$403</f>
        <v>0</v>
      </c>
      <c r="AC403" s="6">
        <f>$M$403*$W$403</f>
        <v>8101.9267199999986</v>
      </c>
      <c r="AD403" s="6">
        <f>$O$403*$X$403</f>
        <v>23142.778559999999</v>
      </c>
      <c r="AE403" s="6">
        <f>$K$403*$Y$403</f>
        <v>0</v>
      </c>
      <c r="AF403" s="6">
        <f ca="1">$M$403*$Z$403</f>
        <v>14180.827097241765</v>
      </c>
      <c r="AG403" s="6">
        <f>$O$403*$AA$403</f>
        <v>21642.036566919098</v>
      </c>
    </row>
    <row r="404" spans="1:33" ht="11.25" customHeight="1" x14ac:dyDescent="0.3">
      <c r="A404" s="4" t="s">
        <v>21</v>
      </c>
      <c r="B404" s="4" t="s">
        <v>39</v>
      </c>
      <c r="C404" s="4" t="s">
        <v>40</v>
      </c>
      <c r="D404" s="4" t="s">
        <v>44</v>
      </c>
      <c r="E404" s="4" t="s">
        <v>53</v>
      </c>
      <c r="F404" s="4" t="s">
        <v>25</v>
      </c>
      <c r="G404" s="4" t="s">
        <v>25</v>
      </c>
      <c r="H404" s="4" t="s">
        <v>35</v>
      </c>
      <c r="I404" s="5">
        <v>44743</v>
      </c>
      <c r="J404" s="6">
        <v>0</v>
      </c>
      <c r="K404" s="52">
        <v>0</v>
      </c>
      <c r="L404" s="6">
        <v>126.755</v>
      </c>
      <c r="M404" s="52">
        <v>126.755</v>
      </c>
      <c r="N404" s="6">
        <v>126.755</v>
      </c>
      <c r="O404" s="52">
        <v>126.755</v>
      </c>
      <c r="P404" s="6">
        <v>0</v>
      </c>
      <c r="Q404" s="4" t="s">
        <v>26</v>
      </c>
      <c r="R404" s="4">
        <v>0</v>
      </c>
      <c r="S404" s="6">
        <v>0</v>
      </c>
      <c r="T404" s="6">
        <v>17</v>
      </c>
      <c r="U404" s="6">
        <v>66</v>
      </c>
      <c r="V404" s="52">
        <f>IF(ISERROR(VLOOKUP($S$404,'TAR FIN'!$A$1:$O$103,15,0)),0,VLOOKUP($S$404,'TAR FIN'!$A$1:$O$103,15,0))</f>
        <v>0</v>
      </c>
      <c r="W404" s="52">
        <f>IF(ISERROR(VLOOKUP($T$404,'TAR FIN'!$A$1:$O$103,15,0)),0,VLOOKUP($T$404,'TAR FIN'!$A$1:$O$103,15,0))*(1-0.04)</f>
        <v>81.590399999999988</v>
      </c>
      <c r="X404" s="52">
        <f>IF(ISERROR(VLOOKUP($U$404,'TAR FIN'!$A$1:$O$103,15,0)),0,VLOOKUP($U$404,'TAR FIN'!$A$1:$O$103,15,0))*(1-0.04)</f>
        <v>233.0592</v>
      </c>
      <c r="Y404" s="52"/>
      <c r="Z404" s="52">
        <f ca="1">('TUSD BE'!$AM$24+'TUSD BF'!$AM$24+'TUSD CVA'!$AM$24)*1*(1-0.02)</f>
        <v>142.80792645762099</v>
      </c>
      <c r="AA404" s="52">
        <f>('TE BE'!$AB$9+'TE BF'!$AB$9+'TE CVA'!$AB$9)*1*(1-0.02)</f>
        <v>217.94598758226687</v>
      </c>
      <c r="AB404" s="6">
        <f>$K$404*$V$404</f>
        <v>0</v>
      </c>
      <c r="AC404" s="6">
        <f>$M$404*$W$404</f>
        <v>10341.991151999999</v>
      </c>
      <c r="AD404" s="6">
        <f>$O$404*$X$404</f>
        <v>29541.418895999999</v>
      </c>
      <c r="AE404" s="6">
        <f>$K$404*$Y$404</f>
        <v>0</v>
      </c>
      <c r="AF404" s="6">
        <f ca="1">$M$404*$Z$404</f>
        <v>18101.618718135749</v>
      </c>
      <c r="AG404" s="6">
        <f>$O$404*$AA$404</f>
        <v>27625.743655990234</v>
      </c>
    </row>
    <row r="405" spans="1:33" ht="11.25" customHeight="1" x14ac:dyDescent="0.3">
      <c r="A405" s="4" t="s">
        <v>21</v>
      </c>
      <c r="B405" s="4" t="s">
        <v>39</v>
      </c>
      <c r="C405" s="4" t="s">
        <v>40</v>
      </c>
      <c r="D405" s="4" t="s">
        <v>44</v>
      </c>
      <c r="E405" s="4" t="s">
        <v>53</v>
      </c>
      <c r="F405" s="4" t="s">
        <v>25</v>
      </c>
      <c r="G405" s="4" t="s">
        <v>25</v>
      </c>
      <c r="H405" s="4" t="s">
        <v>35</v>
      </c>
      <c r="I405" s="5">
        <v>44774</v>
      </c>
      <c r="J405" s="6">
        <v>0</v>
      </c>
      <c r="K405" s="52">
        <v>0</v>
      </c>
      <c r="L405" s="6">
        <v>106.91200000000001</v>
      </c>
      <c r="M405" s="52">
        <v>106.91200000000001</v>
      </c>
      <c r="N405" s="6">
        <v>106.91200000000001</v>
      </c>
      <c r="O405" s="52">
        <v>106.91200000000001</v>
      </c>
      <c r="P405" s="6">
        <v>0</v>
      </c>
      <c r="Q405" s="4" t="s">
        <v>26</v>
      </c>
      <c r="R405" s="4">
        <v>0</v>
      </c>
      <c r="S405" s="6">
        <v>0</v>
      </c>
      <c r="T405" s="6">
        <v>17</v>
      </c>
      <c r="U405" s="6">
        <v>66</v>
      </c>
      <c r="V405" s="52">
        <f>IF(ISERROR(VLOOKUP($S$405,'TAR FIN'!$A$1:$O$103,15,0)),0,VLOOKUP($S$405,'TAR FIN'!$A$1:$O$103,15,0))</f>
        <v>0</v>
      </c>
      <c r="W405" s="52">
        <f>IF(ISERROR(VLOOKUP($T$405,'TAR FIN'!$A$1:$O$103,15,0)),0,VLOOKUP($T$405,'TAR FIN'!$A$1:$O$103,15,0))*(1-0.04)</f>
        <v>81.590399999999988</v>
      </c>
      <c r="X405" s="52">
        <f>IF(ISERROR(VLOOKUP($U$405,'TAR FIN'!$A$1:$O$103,15,0)),0,VLOOKUP($U$405,'TAR FIN'!$A$1:$O$103,15,0))*(1-0.04)</f>
        <v>233.0592</v>
      </c>
      <c r="Y405" s="52"/>
      <c r="Z405" s="52">
        <f ca="1">('TUSD BE'!$AM$24+'TUSD BF'!$AM$24+'TUSD CVA'!$AM$24)*1*(1-0.02)</f>
        <v>142.80792645762099</v>
      </c>
      <c r="AA405" s="52">
        <f>('TE BE'!$AB$9+'TE BF'!$AB$9+'TE CVA'!$AB$9)*1*(1-0.02)</f>
        <v>217.94598758226687</v>
      </c>
      <c r="AB405" s="6">
        <f>$K$405*$V$405</f>
        <v>0</v>
      </c>
      <c r="AC405" s="6">
        <f>$M$405*$W$405</f>
        <v>8722.9928447999991</v>
      </c>
      <c r="AD405" s="6">
        <f>$O$405*$X$405</f>
        <v>24916.825190400003</v>
      </c>
      <c r="AE405" s="6">
        <f>$K$405*$Y$405</f>
        <v>0</v>
      </c>
      <c r="AF405" s="6">
        <f ca="1">$M$405*$Z$405</f>
        <v>15267.881033437177</v>
      </c>
      <c r="AG405" s="6">
        <f>$O$405*$AA$405</f>
        <v>23301.041424395316</v>
      </c>
    </row>
    <row r="406" spans="1:33" ht="11.25" customHeight="1" x14ac:dyDescent="0.3">
      <c r="A406" s="4" t="s">
        <v>21</v>
      </c>
      <c r="B406" s="4" t="s">
        <v>39</v>
      </c>
      <c r="C406" s="4" t="s">
        <v>40</v>
      </c>
      <c r="D406" s="4" t="s">
        <v>44</v>
      </c>
      <c r="E406" s="4" t="s">
        <v>53</v>
      </c>
      <c r="F406" s="4" t="s">
        <v>25</v>
      </c>
      <c r="G406" s="4" t="s">
        <v>25</v>
      </c>
      <c r="H406" s="4" t="s">
        <v>35</v>
      </c>
      <c r="I406" s="5">
        <v>44805</v>
      </c>
      <c r="J406" s="6">
        <v>0</v>
      </c>
      <c r="K406" s="52">
        <v>0</v>
      </c>
      <c r="L406" s="6">
        <v>116.173</v>
      </c>
      <c r="M406" s="52">
        <v>116.173</v>
      </c>
      <c r="N406" s="6">
        <v>116.173</v>
      </c>
      <c r="O406" s="52">
        <v>116.173</v>
      </c>
      <c r="P406" s="6">
        <v>0</v>
      </c>
      <c r="Q406" s="4" t="s">
        <v>26</v>
      </c>
      <c r="R406" s="4">
        <v>0</v>
      </c>
      <c r="S406" s="6">
        <v>0</v>
      </c>
      <c r="T406" s="6">
        <v>17</v>
      </c>
      <c r="U406" s="6">
        <v>66</v>
      </c>
      <c r="V406" s="52">
        <f>IF(ISERROR(VLOOKUP($S$406,'TAR FIN'!$A$1:$O$103,15,0)),0,VLOOKUP($S$406,'TAR FIN'!$A$1:$O$103,15,0))</f>
        <v>0</v>
      </c>
      <c r="W406" s="52">
        <f>IF(ISERROR(VLOOKUP($T$406,'TAR FIN'!$A$1:$O$103,15,0)),0,VLOOKUP($T$406,'TAR FIN'!$A$1:$O$103,15,0))*(1-0.04)</f>
        <v>81.590399999999988</v>
      </c>
      <c r="X406" s="52">
        <f>IF(ISERROR(VLOOKUP($U$406,'TAR FIN'!$A$1:$O$103,15,0)),0,VLOOKUP($U$406,'TAR FIN'!$A$1:$O$103,15,0))*(1-0.04)</f>
        <v>233.0592</v>
      </c>
      <c r="Y406" s="52"/>
      <c r="Z406" s="52">
        <f ca="1">('TUSD BE'!$AM$24+'TUSD BF'!$AM$24+'TUSD CVA'!$AM$24)*1*(1-0.02)</f>
        <v>142.80792645762099</v>
      </c>
      <c r="AA406" s="52">
        <f>('TE BE'!$AB$9+'TE BF'!$AB$9+'TE CVA'!$AB$9)*1*(1-0.02)</f>
        <v>217.94598758226687</v>
      </c>
      <c r="AB406" s="6">
        <f>$K$406*$V$406</f>
        <v>0</v>
      </c>
      <c r="AC406" s="6">
        <f>$M$406*$W$406</f>
        <v>9478.601539199999</v>
      </c>
      <c r="AD406" s="6">
        <f>$O$406*$X$406</f>
        <v>27075.186441600003</v>
      </c>
      <c r="AE406" s="6">
        <f>$K$406*$Y$406</f>
        <v>0</v>
      </c>
      <c r="AF406" s="6">
        <f ca="1">$M$406*$Z$406</f>
        <v>16590.425240361204</v>
      </c>
      <c r="AG406" s="6">
        <f>$O$406*$AA$406</f>
        <v>25319.43921539469</v>
      </c>
    </row>
    <row r="407" spans="1:33" ht="11.25" customHeight="1" x14ac:dyDescent="0.3">
      <c r="A407" s="4" t="s">
        <v>57</v>
      </c>
      <c r="B407" s="4" t="s">
        <v>39</v>
      </c>
      <c r="C407" s="4" t="s">
        <v>40</v>
      </c>
      <c r="D407" s="4" t="s">
        <v>44</v>
      </c>
      <c r="E407" s="4" t="s">
        <v>53</v>
      </c>
      <c r="F407" s="4" t="s">
        <v>25</v>
      </c>
      <c r="G407" s="4" t="s">
        <v>25</v>
      </c>
      <c r="H407" s="4" t="s">
        <v>35</v>
      </c>
      <c r="I407" s="5">
        <v>44835</v>
      </c>
      <c r="J407" s="6">
        <v>0</v>
      </c>
      <c r="K407" s="52">
        <v>0</v>
      </c>
      <c r="L407" s="6">
        <v>116.173</v>
      </c>
      <c r="M407" s="52">
        <v>116.173</v>
      </c>
      <c r="N407" s="6">
        <v>116.173</v>
      </c>
      <c r="O407" s="52">
        <v>116.173</v>
      </c>
      <c r="P407" s="6">
        <v>0</v>
      </c>
      <c r="Q407" s="4" t="s">
        <v>26</v>
      </c>
      <c r="R407" s="4">
        <v>0</v>
      </c>
      <c r="S407" s="6">
        <v>0</v>
      </c>
      <c r="T407" s="6">
        <v>17</v>
      </c>
      <c r="U407" s="6">
        <v>66</v>
      </c>
      <c r="V407" s="52">
        <f>IF(ISERROR(VLOOKUP($S$407,'TAR FIN'!$A$1:$O$103,15,0)),0,VLOOKUP($S$407,'TAR FIN'!$A$1:$O$103,15,0))</f>
        <v>0</v>
      </c>
      <c r="W407" s="52">
        <f>IF(ISERROR(VLOOKUP($T$407,'TAR FIN'!$A$1:$O$103,15,0)),0,VLOOKUP($T$407,'TAR FIN'!$A$1:$O$103,15,0))*(1-0.04)</f>
        <v>81.590399999999988</v>
      </c>
      <c r="X407" s="52">
        <f>IF(ISERROR(VLOOKUP($U$407,'TAR FIN'!$A$1:$O$103,15,0)),0,VLOOKUP($U$407,'TAR FIN'!$A$1:$O$103,15,0))*(1-0.04)</f>
        <v>233.0592</v>
      </c>
      <c r="Y407" s="52"/>
      <c r="Z407" s="52">
        <f ca="1">('TUSD BE'!$AM$24+'TUSD BF'!$AM$24+'TUSD CVA'!$AM$24)*1*(1-0.02)</f>
        <v>142.80792645762099</v>
      </c>
      <c r="AA407" s="52">
        <f>('TE BE'!$AB$9+'TE BF'!$AB$9+'TE CVA'!$AB$9)*1*(1-0.02)</f>
        <v>217.94598758226687</v>
      </c>
      <c r="AB407" s="6">
        <f>$K$407*$V$407</f>
        <v>0</v>
      </c>
      <c r="AC407" s="6">
        <f>$M$407*$W$407</f>
        <v>9478.601539199999</v>
      </c>
      <c r="AD407" s="6">
        <f>$O$407*$X$407</f>
        <v>27075.186441600003</v>
      </c>
      <c r="AE407" s="6">
        <f>$K$407*$Y$407</f>
        <v>0</v>
      </c>
      <c r="AF407" s="6">
        <f ca="1">$M$407*$Z$407</f>
        <v>16590.425240361204</v>
      </c>
      <c r="AG407" s="6">
        <f>$O$407*$AA$407</f>
        <v>25319.43921539469</v>
      </c>
    </row>
    <row r="408" spans="1:33" ht="11.25" customHeight="1" x14ac:dyDescent="0.3">
      <c r="A408" s="4" t="s">
        <v>21</v>
      </c>
      <c r="B408" s="4" t="s">
        <v>39</v>
      </c>
      <c r="C408" s="4" t="s">
        <v>40</v>
      </c>
      <c r="D408" s="4" t="s">
        <v>44</v>
      </c>
      <c r="E408" s="4" t="s">
        <v>53</v>
      </c>
      <c r="F408" s="4" t="s">
        <v>25</v>
      </c>
      <c r="G408" s="4" t="s">
        <v>25</v>
      </c>
      <c r="H408" s="4" t="s">
        <v>25</v>
      </c>
      <c r="I408" s="5">
        <v>44501</v>
      </c>
      <c r="J408" s="6">
        <v>508</v>
      </c>
      <c r="K408" s="52">
        <v>508</v>
      </c>
      <c r="L408" s="6">
        <v>0</v>
      </c>
      <c r="M408" s="52">
        <v>0</v>
      </c>
      <c r="N408" s="6">
        <v>0</v>
      </c>
      <c r="O408" s="52">
        <v>0</v>
      </c>
      <c r="P408" s="6">
        <v>14</v>
      </c>
      <c r="Q408" s="4" t="s">
        <v>26</v>
      </c>
      <c r="R408" s="4">
        <v>0</v>
      </c>
      <c r="S408" s="6">
        <v>13</v>
      </c>
      <c r="T408" s="6">
        <v>0</v>
      </c>
      <c r="U408" s="6">
        <v>0</v>
      </c>
      <c r="V408" s="52">
        <f>IF(ISERROR(VLOOKUP($S$408,'TAR FIN'!$A$1:$O$103,15,0)),0,VLOOKUP($S$408,'TAR FIN'!$A$1:$O$103,15,0))*(1-0.04)</f>
        <v>18.1632</v>
      </c>
      <c r="W408" s="52">
        <f>IF(ISERROR(VLOOKUP($T$408,'TAR FIN'!$A$1:$O$103,15,0)),0,VLOOKUP($T$408,'TAR FIN'!$A$1:$O$103,15,0))</f>
        <v>0</v>
      </c>
      <c r="X408" s="52">
        <f>IF(ISERROR(VLOOKUP($U$408,'TAR FIN'!$A$1:$O$103,15,0)),0,VLOOKUP($U$408,'TAR FIN'!$A$1:$O$103,15,0))</f>
        <v>0</v>
      </c>
      <c r="Y408" s="52">
        <f ca="1">('TUSD BE'!$AM$22+'TUSD BF'!$AM$22+'TUSD CVA'!$AM$22)*1*(1-0.02)</f>
        <v>20.941951853111981</v>
      </c>
      <c r="Z408" s="52"/>
      <c r="AA408" s="52"/>
      <c r="AB408" s="6">
        <f>$K$408*$V$408</f>
        <v>9226.9056</v>
      </c>
      <c r="AC408" s="6">
        <f>$M$408*$W$408</f>
        <v>0</v>
      </c>
      <c r="AD408" s="6">
        <f>$O$408*$X$408</f>
        <v>0</v>
      </c>
      <c r="AE408" s="6">
        <f ca="1">$K$408*$Y$408</f>
        <v>10638.511541380885</v>
      </c>
      <c r="AF408" s="6">
        <f>$M$408*$Z$408</f>
        <v>0</v>
      </c>
      <c r="AG408" s="6">
        <f>$O$408*$AA$408</f>
        <v>0</v>
      </c>
    </row>
    <row r="409" spans="1:33" ht="11.25" customHeight="1" x14ac:dyDescent="0.3">
      <c r="A409" s="4" t="s">
        <v>21</v>
      </c>
      <c r="B409" s="4" t="s">
        <v>39</v>
      </c>
      <c r="C409" s="4" t="s">
        <v>40</v>
      </c>
      <c r="D409" s="4" t="s">
        <v>44</v>
      </c>
      <c r="E409" s="4" t="s">
        <v>53</v>
      </c>
      <c r="F409" s="4" t="s">
        <v>25</v>
      </c>
      <c r="G409" s="4" t="s">
        <v>25</v>
      </c>
      <c r="H409" s="4" t="s">
        <v>25</v>
      </c>
      <c r="I409" s="5">
        <v>44531</v>
      </c>
      <c r="J409" s="6">
        <v>337</v>
      </c>
      <c r="K409" s="52">
        <v>337</v>
      </c>
      <c r="L409" s="6">
        <v>0</v>
      </c>
      <c r="M409" s="52">
        <v>0</v>
      </c>
      <c r="N409" s="6">
        <v>0</v>
      </c>
      <c r="O409" s="52">
        <v>0</v>
      </c>
      <c r="P409" s="6">
        <v>14</v>
      </c>
      <c r="Q409" s="4" t="s">
        <v>26</v>
      </c>
      <c r="R409" s="4">
        <v>0</v>
      </c>
      <c r="S409" s="6">
        <v>13</v>
      </c>
      <c r="T409" s="6">
        <v>0</v>
      </c>
      <c r="U409" s="6">
        <v>0</v>
      </c>
      <c r="V409" s="52">
        <f>IF(ISERROR(VLOOKUP($S$409,'TAR FIN'!$A$1:$O$103,15,0)),0,VLOOKUP($S$409,'TAR FIN'!$A$1:$O$103,15,0))*(1-0.04)</f>
        <v>18.1632</v>
      </c>
      <c r="W409" s="52">
        <f>IF(ISERROR(VLOOKUP($T$409,'TAR FIN'!$A$1:$O$103,15,0)),0,VLOOKUP($T$409,'TAR FIN'!$A$1:$O$103,15,0))</f>
        <v>0</v>
      </c>
      <c r="X409" s="52">
        <f>IF(ISERROR(VLOOKUP($U$409,'TAR FIN'!$A$1:$O$103,15,0)),0,VLOOKUP($U$409,'TAR FIN'!$A$1:$O$103,15,0))</f>
        <v>0</v>
      </c>
      <c r="Y409" s="52">
        <f ca="1">('TUSD BE'!$AM$22+'TUSD BF'!$AM$22+'TUSD CVA'!$AM$22)*1*(1-0.02)</f>
        <v>20.941951853111981</v>
      </c>
      <c r="Z409" s="52"/>
      <c r="AA409" s="52"/>
      <c r="AB409" s="6">
        <f>$K$409*$V$409</f>
        <v>6120.9983999999995</v>
      </c>
      <c r="AC409" s="6">
        <f>$M$409*$W$409</f>
        <v>0</v>
      </c>
      <c r="AD409" s="6">
        <f>$O$409*$X$409</f>
        <v>0</v>
      </c>
      <c r="AE409" s="6">
        <f ca="1">$K$409*$Y$409</f>
        <v>7057.4377744987378</v>
      </c>
      <c r="AF409" s="6">
        <f>$M$409*$Z$409</f>
        <v>0</v>
      </c>
      <c r="AG409" s="6">
        <f>$O$409*$AA$409</f>
        <v>0</v>
      </c>
    </row>
    <row r="410" spans="1:33" ht="11.25" customHeight="1" x14ac:dyDescent="0.3">
      <c r="A410" s="4" t="s">
        <v>21</v>
      </c>
      <c r="B410" s="4" t="s">
        <v>39</v>
      </c>
      <c r="C410" s="4" t="s">
        <v>40</v>
      </c>
      <c r="D410" s="4" t="s">
        <v>44</v>
      </c>
      <c r="E410" s="4" t="s">
        <v>53</v>
      </c>
      <c r="F410" s="4" t="s">
        <v>25</v>
      </c>
      <c r="G410" s="4" t="s">
        <v>25</v>
      </c>
      <c r="H410" s="4" t="s">
        <v>25</v>
      </c>
      <c r="I410" s="5">
        <v>44562</v>
      </c>
      <c r="J410" s="6">
        <v>440</v>
      </c>
      <c r="K410" s="52">
        <v>440</v>
      </c>
      <c r="L410" s="6">
        <v>0</v>
      </c>
      <c r="M410" s="52">
        <v>0</v>
      </c>
      <c r="N410" s="6">
        <v>0</v>
      </c>
      <c r="O410" s="52">
        <v>0</v>
      </c>
      <c r="P410" s="6">
        <v>8</v>
      </c>
      <c r="Q410" s="4" t="s">
        <v>26</v>
      </c>
      <c r="R410" s="4">
        <v>0</v>
      </c>
      <c r="S410" s="6">
        <v>13</v>
      </c>
      <c r="T410" s="6">
        <v>0</v>
      </c>
      <c r="U410" s="6">
        <v>0</v>
      </c>
      <c r="V410" s="52">
        <f>IF(ISERROR(VLOOKUP($S$410,'TAR FIN'!$A$1:$O$103,15,0)),0,VLOOKUP($S$410,'TAR FIN'!$A$1:$O$103,15,0))*(1-0.04)</f>
        <v>18.1632</v>
      </c>
      <c r="W410" s="52">
        <f>IF(ISERROR(VLOOKUP($T$410,'TAR FIN'!$A$1:$O$103,15,0)),0,VLOOKUP($T$410,'TAR FIN'!$A$1:$O$103,15,0))</f>
        <v>0</v>
      </c>
      <c r="X410" s="52">
        <f>IF(ISERROR(VLOOKUP($U$410,'TAR FIN'!$A$1:$O$103,15,0)),0,VLOOKUP($U$410,'TAR FIN'!$A$1:$O$103,15,0))</f>
        <v>0</v>
      </c>
      <c r="Y410" s="52">
        <f ca="1">('TUSD BE'!$AM$22+'TUSD BF'!$AM$22+'TUSD CVA'!$AM$22)*1*(1-0.02)</f>
        <v>20.941951853111981</v>
      </c>
      <c r="Z410" s="52"/>
      <c r="AA410" s="52"/>
      <c r="AB410" s="6">
        <f>$K$410*$V$410</f>
        <v>7991.808</v>
      </c>
      <c r="AC410" s="6">
        <f>$M$410*$W$410</f>
        <v>0</v>
      </c>
      <c r="AD410" s="6">
        <f>$O$410*$X$410</f>
        <v>0</v>
      </c>
      <c r="AE410" s="6">
        <f ca="1">$K$410*$Y$410</f>
        <v>9214.4588153692712</v>
      </c>
      <c r="AF410" s="6">
        <f>$M$410*$Z$410</f>
        <v>0</v>
      </c>
      <c r="AG410" s="6">
        <f>$O$410*$AA$410</f>
        <v>0</v>
      </c>
    </row>
    <row r="411" spans="1:33" ht="11.25" customHeight="1" x14ac:dyDescent="0.3">
      <c r="A411" s="4" t="s">
        <v>21</v>
      </c>
      <c r="B411" s="4" t="s">
        <v>39</v>
      </c>
      <c r="C411" s="4" t="s">
        <v>40</v>
      </c>
      <c r="D411" s="4" t="s">
        <v>44</v>
      </c>
      <c r="E411" s="4" t="s">
        <v>53</v>
      </c>
      <c r="F411" s="4" t="s">
        <v>25</v>
      </c>
      <c r="G411" s="4" t="s">
        <v>25</v>
      </c>
      <c r="H411" s="4" t="s">
        <v>25</v>
      </c>
      <c r="I411" s="5">
        <v>44593</v>
      </c>
      <c r="J411" s="6">
        <v>386</v>
      </c>
      <c r="K411" s="52">
        <v>386</v>
      </c>
      <c r="L411" s="6">
        <v>0</v>
      </c>
      <c r="M411" s="52">
        <v>0</v>
      </c>
      <c r="N411" s="6">
        <v>0</v>
      </c>
      <c r="O411" s="52">
        <v>0</v>
      </c>
      <c r="P411" s="6">
        <v>12</v>
      </c>
      <c r="Q411" s="4" t="s">
        <v>26</v>
      </c>
      <c r="R411" s="4">
        <v>0</v>
      </c>
      <c r="S411" s="6">
        <v>13</v>
      </c>
      <c r="T411" s="6">
        <v>0</v>
      </c>
      <c r="U411" s="6">
        <v>0</v>
      </c>
      <c r="V411" s="52">
        <f>IF(ISERROR(VLOOKUP($S$411,'TAR FIN'!$A$1:$O$103,15,0)),0,VLOOKUP($S$411,'TAR FIN'!$A$1:$O$103,15,0))*(1-0.04)</f>
        <v>18.1632</v>
      </c>
      <c r="W411" s="52">
        <f>IF(ISERROR(VLOOKUP($T$411,'TAR FIN'!$A$1:$O$103,15,0)),0,VLOOKUP($T$411,'TAR FIN'!$A$1:$O$103,15,0))</f>
        <v>0</v>
      </c>
      <c r="X411" s="52">
        <f>IF(ISERROR(VLOOKUP($U$411,'TAR FIN'!$A$1:$O$103,15,0)),0,VLOOKUP($U$411,'TAR FIN'!$A$1:$O$103,15,0))</f>
        <v>0</v>
      </c>
      <c r="Y411" s="52">
        <f ca="1">('TUSD BE'!$AM$22+'TUSD BF'!$AM$22+'TUSD CVA'!$AM$22)*1*(1-0.02)</f>
        <v>20.941951853111981</v>
      </c>
      <c r="Z411" s="52"/>
      <c r="AA411" s="52"/>
      <c r="AB411" s="6">
        <f>$K$411*$V$411</f>
        <v>7010.9952000000003</v>
      </c>
      <c r="AC411" s="6">
        <f>$M$411*$W$411</f>
        <v>0</v>
      </c>
      <c r="AD411" s="6">
        <f>$O$411*$X$411</f>
        <v>0</v>
      </c>
      <c r="AE411" s="6">
        <f ca="1">$K$411*$Y$411</f>
        <v>8083.5934153012249</v>
      </c>
      <c r="AF411" s="6">
        <f>$M$411*$Z$411</f>
        <v>0</v>
      </c>
      <c r="AG411" s="6">
        <f>$O$411*$AA$411</f>
        <v>0</v>
      </c>
    </row>
    <row r="412" spans="1:33" ht="11.25" customHeight="1" x14ac:dyDescent="0.3">
      <c r="A412" s="4" t="s">
        <v>21</v>
      </c>
      <c r="B412" s="4" t="s">
        <v>39</v>
      </c>
      <c r="C412" s="4" t="s">
        <v>40</v>
      </c>
      <c r="D412" s="4" t="s">
        <v>44</v>
      </c>
      <c r="E412" s="4" t="s">
        <v>53</v>
      </c>
      <c r="F412" s="4" t="s">
        <v>25</v>
      </c>
      <c r="G412" s="4" t="s">
        <v>25</v>
      </c>
      <c r="H412" s="4" t="s">
        <v>25</v>
      </c>
      <c r="I412" s="5">
        <v>44621</v>
      </c>
      <c r="J412" s="6">
        <v>1604</v>
      </c>
      <c r="K412" s="52">
        <v>1604</v>
      </c>
      <c r="L412" s="6">
        <v>0</v>
      </c>
      <c r="M412" s="52">
        <v>0</v>
      </c>
      <c r="N412" s="6">
        <v>0</v>
      </c>
      <c r="O412" s="52">
        <v>0</v>
      </c>
      <c r="P412" s="6">
        <v>12</v>
      </c>
      <c r="Q412" s="4" t="s">
        <v>26</v>
      </c>
      <c r="R412" s="4">
        <v>0</v>
      </c>
      <c r="S412" s="6">
        <v>13</v>
      </c>
      <c r="T412" s="6">
        <v>0</v>
      </c>
      <c r="U412" s="6">
        <v>0</v>
      </c>
      <c r="V412" s="52">
        <f>IF(ISERROR(VLOOKUP($S$412,'TAR FIN'!$A$1:$O$103,15,0)),0,VLOOKUP($S$412,'TAR FIN'!$A$1:$O$103,15,0))*(1-0.04)</f>
        <v>18.1632</v>
      </c>
      <c r="W412" s="52">
        <f>IF(ISERROR(VLOOKUP($T$412,'TAR FIN'!$A$1:$O$103,15,0)),0,VLOOKUP($T$412,'TAR FIN'!$A$1:$O$103,15,0))</f>
        <v>0</v>
      </c>
      <c r="X412" s="52">
        <f>IF(ISERROR(VLOOKUP($U$412,'TAR FIN'!$A$1:$O$103,15,0)),0,VLOOKUP($U$412,'TAR FIN'!$A$1:$O$103,15,0))</f>
        <v>0</v>
      </c>
      <c r="Y412" s="52">
        <f ca="1">('TUSD BE'!$AM$22+'TUSD BF'!$AM$22+'TUSD CVA'!$AM$22)*1*(1-0.02)</f>
        <v>20.941951853111981</v>
      </c>
      <c r="Z412" s="52"/>
      <c r="AA412" s="52"/>
      <c r="AB412" s="6">
        <f>$K$412*$V$412</f>
        <v>29133.772799999999</v>
      </c>
      <c r="AC412" s="6">
        <f>$M$412*$W$412</f>
        <v>0</v>
      </c>
      <c r="AD412" s="6">
        <f>$O$412*$X$412</f>
        <v>0</v>
      </c>
      <c r="AE412" s="6">
        <f ca="1">$K$412*$Y$412</f>
        <v>33590.89077239162</v>
      </c>
      <c r="AF412" s="6">
        <f>$M$412*$Z$412</f>
        <v>0</v>
      </c>
      <c r="AG412" s="6">
        <f>$O$412*$AA$412</f>
        <v>0</v>
      </c>
    </row>
    <row r="413" spans="1:33" ht="11.25" customHeight="1" x14ac:dyDescent="0.3">
      <c r="A413" s="4" t="s">
        <v>21</v>
      </c>
      <c r="B413" s="4" t="s">
        <v>39</v>
      </c>
      <c r="C413" s="4" t="s">
        <v>40</v>
      </c>
      <c r="D413" s="4" t="s">
        <v>44</v>
      </c>
      <c r="E413" s="4" t="s">
        <v>53</v>
      </c>
      <c r="F413" s="4" t="s">
        <v>25</v>
      </c>
      <c r="G413" s="4" t="s">
        <v>25</v>
      </c>
      <c r="H413" s="4" t="s">
        <v>25</v>
      </c>
      <c r="I413" s="5">
        <v>44652</v>
      </c>
      <c r="J413" s="6">
        <v>1482</v>
      </c>
      <c r="K413" s="52">
        <v>1482</v>
      </c>
      <c r="L413" s="6">
        <v>0</v>
      </c>
      <c r="M413" s="52">
        <v>0</v>
      </c>
      <c r="N413" s="6">
        <v>0</v>
      </c>
      <c r="O413" s="52">
        <v>0</v>
      </c>
      <c r="P413" s="6">
        <v>11</v>
      </c>
      <c r="Q413" s="4" t="s">
        <v>26</v>
      </c>
      <c r="R413" s="4">
        <v>0</v>
      </c>
      <c r="S413" s="6">
        <v>13</v>
      </c>
      <c r="T413" s="6">
        <v>0</v>
      </c>
      <c r="U413" s="6">
        <v>0</v>
      </c>
      <c r="V413" s="52">
        <f>IF(ISERROR(VLOOKUP($S$413,'TAR FIN'!$A$1:$O$103,15,0)),0,VLOOKUP($S$413,'TAR FIN'!$A$1:$O$103,15,0))*(1-0.04)</f>
        <v>18.1632</v>
      </c>
      <c r="W413" s="52">
        <f>IF(ISERROR(VLOOKUP($T$413,'TAR FIN'!$A$1:$O$103,15,0)),0,VLOOKUP($T$413,'TAR FIN'!$A$1:$O$103,15,0))</f>
        <v>0</v>
      </c>
      <c r="X413" s="52">
        <f>IF(ISERROR(VLOOKUP($U$413,'TAR FIN'!$A$1:$O$103,15,0)),0,VLOOKUP($U$413,'TAR FIN'!$A$1:$O$103,15,0))</f>
        <v>0</v>
      </c>
      <c r="Y413" s="52">
        <f ca="1">('TUSD BE'!$AM$22+'TUSD BF'!$AM$22+'TUSD CVA'!$AM$22)*1*(1-0.02)</f>
        <v>20.941951853111981</v>
      </c>
      <c r="Z413" s="52"/>
      <c r="AA413" s="52"/>
      <c r="AB413" s="6">
        <f>$K$413*$V$413</f>
        <v>26917.862399999998</v>
      </c>
      <c r="AC413" s="6">
        <f>$M$413*$W$413</f>
        <v>0</v>
      </c>
      <c r="AD413" s="6">
        <f>$O$413*$X$413</f>
        <v>0</v>
      </c>
      <c r="AE413" s="6">
        <f ca="1">$K$413*$Y$413</f>
        <v>31035.972646311955</v>
      </c>
      <c r="AF413" s="6">
        <f>$M$413*$Z$413</f>
        <v>0</v>
      </c>
      <c r="AG413" s="6">
        <f>$O$413*$AA$413</f>
        <v>0</v>
      </c>
    </row>
    <row r="414" spans="1:33" ht="11.25" customHeight="1" x14ac:dyDescent="0.3">
      <c r="A414" s="4" t="s">
        <v>21</v>
      </c>
      <c r="B414" s="4" t="s">
        <v>39</v>
      </c>
      <c r="C414" s="4" t="s">
        <v>40</v>
      </c>
      <c r="D414" s="4" t="s">
        <v>44</v>
      </c>
      <c r="E414" s="4" t="s">
        <v>53</v>
      </c>
      <c r="F414" s="4" t="s">
        <v>25</v>
      </c>
      <c r="G414" s="4" t="s">
        <v>25</v>
      </c>
      <c r="H414" s="4" t="s">
        <v>25</v>
      </c>
      <c r="I414" s="5">
        <v>44682</v>
      </c>
      <c r="J414" s="6">
        <v>1468</v>
      </c>
      <c r="K414" s="52">
        <v>1468</v>
      </c>
      <c r="L414" s="6">
        <v>0</v>
      </c>
      <c r="M414" s="52">
        <v>0</v>
      </c>
      <c r="N414" s="6">
        <v>0</v>
      </c>
      <c r="O414" s="52">
        <v>0</v>
      </c>
      <c r="P414" s="6">
        <v>11</v>
      </c>
      <c r="Q414" s="4" t="s">
        <v>26</v>
      </c>
      <c r="R414" s="4">
        <v>0</v>
      </c>
      <c r="S414" s="6">
        <v>13</v>
      </c>
      <c r="T414" s="6">
        <v>0</v>
      </c>
      <c r="U414" s="6">
        <v>0</v>
      </c>
      <c r="V414" s="52">
        <f>IF(ISERROR(VLOOKUP($S$414,'TAR FIN'!$A$1:$O$103,15,0)),0,VLOOKUP($S$414,'TAR FIN'!$A$1:$O$103,15,0))*(1-0.04)</f>
        <v>18.1632</v>
      </c>
      <c r="W414" s="52">
        <f>IF(ISERROR(VLOOKUP($T$414,'TAR FIN'!$A$1:$O$103,15,0)),0,VLOOKUP($T$414,'TAR FIN'!$A$1:$O$103,15,0))</f>
        <v>0</v>
      </c>
      <c r="X414" s="52">
        <f>IF(ISERROR(VLOOKUP($U$414,'TAR FIN'!$A$1:$O$103,15,0)),0,VLOOKUP($U$414,'TAR FIN'!$A$1:$O$103,15,0))</f>
        <v>0</v>
      </c>
      <c r="Y414" s="52">
        <f ca="1">('TUSD BE'!$AM$22+'TUSD BF'!$AM$22+'TUSD CVA'!$AM$22)*1*(1-0.02)</f>
        <v>20.941951853111981</v>
      </c>
      <c r="Z414" s="52"/>
      <c r="AA414" s="52"/>
      <c r="AB414" s="6">
        <f>$K$414*$V$414</f>
        <v>26663.577600000001</v>
      </c>
      <c r="AC414" s="6">
        <f>$M$414*$W$414</f>
        <v>0</v>
      </c>
      <c r="AD414" s="6">
        <f>$O$414*$X$414</f>
        <v>0</v>
      </c>
      <c r="AE414" s="6">
        <f ca="1">$K$414*$Y$414</f>
        <v>30742.785320368388</v>
      </c>
      <c r="AF414" s="6">
        <f>$M$414*$Z$414</f>
        <v>0</v>
      </c>
      <c r="AG414" s="6">
        <f>$O$414*$AA$414</f>
        <v>0</v>
      </c>
    </row>
    <row r="415" spans="1:33" ht="11.25" customHeight="1" x14ac:dyDescent="0.3">
      <c r="A415" s="4" t="s">
        <v>21</v>
      </c>
      <c r="B415" s="4" t="s">
        <v>39</v>
      </c>
      <c r="C415" s="4" t="s">
        <v>40</v>
      </c>
      <c r="D415" s="4" t="s">
        <v>44</v>
      </c>
      <c r="E415" s="4" t="s">
        <v>53</v>
      </c>
      <c r="F415" s="4" t="s">
        <v>25</v>
      </c>
      <c r="G415" s="4" t="s">
        <v>25</v>
      </c>
      <c r="H415" s="4" t="s">
        <v>25</v>
      </c>
      <c r="I415" s="5">
        <v>44713</v>
      </c>
      <c r="J415" s="6">
        <v>1577</v>
      </c>
      <c r="K415" s="52">
        <v>1577</v>
      </c>
      <c r="L415" s="6">
        <v>0</v>
      </c>
      <c r="M415" s="52">
        <v>0</v>
      </c>
      <c r="N415" s="6">
        <v>0</v>
      </c>
      <c r="O415" s="52">
        <v>0</v>
      </c>
      <c r="P415" s="6">
        <v>11</v>
      </c>
      <c r="Q415" s="4" t="s">
        <v>26</v>
      </c>
      <c r="R415" s="4">
        <v>0</v>
      </c>
      <c r="S415" s="6">
        <v>13</v>
      </c>
      <c r="T415" s="6">
        <v>0</v>
      </c>
      <c r="U415" s="6">
        <v>0</v>
      </c>
      <c r="V415" s="52">
        <f>IF(ISERROR(VLOOKUP($S$415,'TAR FIN'!$A$1:$O$103,15,0)),0,VLOOKUP($S$415,'TAR FIN'!$A$1:$O$103,15,0))*(1-0.04)</f>
        <v>18.1632</v>
      </c>
      <c r="W415" s="52">
        <f>IF(ISERROR(VLOOKUP($T$415,'TAR FIN'!$A$1:$O$103,15,0)),0,VLOOKUP($T$415,'TAR FIN'!$A$1:$O$103,15,0))</f>
        <v>0</v>
      </c>
      <c r="X415" s="52">
        <f>IF(ISERROR(VLOOKUP($U$415,'TAR FIN'!$A$1:$O$103,15,0)),0,VLOOKUP($U$415,'TAR FIN'!$A$1:$O$103,15,0))</f>
        <v>0</v>
      </c>
      <c r="Y415" s="52">
        <f ca="1">('TUSD BE'!$AM$22+'TUSD BF'!$AM$22+'TUSD CVA'!$AM$22)*1*(1-0.02)</f>
        <v>20.941951853111981</v>
      </c>
      <c r="Z415" s="52"/>
      <c r="AA415" s="52"/>
      <c r="AB415" s="6">
        <f>$K$415*$V$415</f>
        <v>28643.366399999999</v>
      </c>
      <c r="AC415" s="6">
        <f>$M$415*$W$415</f>
        <v>0</v>
      </c>
      <c r="AD415" s="6">
        <f>$O$415*$X$415</f>
        <v>0</v>
      </c>
      <c r="AE415" s="6">
        <f ca="1">$K$415*$Y$415</f>
        <v>33025.458072357593</v>
      </c>
      <c r="AF415" s="6">
        <f>$M$415*$Z$415</f>
        <v>0</v>
      </c>
      <c r="AG415" s="6">
        <f>$O$415*$AA$415</f>
        <v>0</v>
      </c>
    </row>
    <row r="416" spans="1:33" ht="11.25" customHeight="1" x14ac:dyDescent="0.3">
      <c r="A416" s="4" t="s">
        <v>21</v>
      </c>
      <c r="B416" s="4" t="s">
        <v>39</v>
      </c>
      <c r="C416" s="4" t="s">
        <v>40</v>
      </c>
      <c r="D416" s="4" t="s">
        <v>44</v>
      </c>
      <c r="E416" s="4" t="s">
        <v>53</v>
      </c>
      <c r="F416" s="4" t="s">
        <v>25</v>
      </c>
      <c r="G416" s="4" t="s">
        <v>25</v>
      </c>
      <c r="H416" s="4" t="s">
        <v>25</v>
      </c>
      <c r="I416" s="5">
        <v>44743</v>
      </c>
      <c r="J416" s="6">
        <v>1374</v>
      </c>
      <c r="K416" s="52">
        <v>1374</v>
      </c>
      <c r="L416" s="6">
        <v>0</v>
      </c>
      <c r="M416" s="52">
        <v>0</v>
      </c>
      <c r="N416" s="6">
        <v>0</v>
      </c>
      <c r="O416" s="52">
        <v>0</v>
      </c>
      <c r="P416" s="6">
        <v>10</v>
      </c>
      <c r="Q416" s="4" t="s">
        <v>26</v>
      </c>
      <c r="R416" s="4">
        <v>0</v>
      </c>
      <c r="S416" s="6">
        <v>13</v>
      </c>
      <c r="T416" s="6">
        <v>0</v>
      </c>
      <c r="U416" s="6">
        <v>0</v>
      </c>
      <c r="V416" s="52">
        <f>IF(ISERROR(VLOOKUP($S$416,'TAR FIN'!$A$1:$O$103,15,0)),0,VLOOKUP($S$416,'TAR FIN'!$A$1:$O$103,15,0))*(1-0.04)</f>
        <v>18.1632</v>
      </c>
      <c r="W416" s="52">
        <f>IF(ISERROR(VLOOKUP($T$416,'TAR FIN'!$A$1:$O$103,15,0)),0,VLOOKUP($T$416,'TAR FIN'!$A$1:$O$103,15,0))</f>
        <v>0</v>
      </c>
      <c r="X416" s="52">
        <f>IF(ISERROR(VLOOKUP($U$416,'TAR FIN'!$A$1:$O$103,15,0)),0,VLOOKUP($U$416,'TAR FIN'!$A$1:$O$103,15,0))</f>
        <v>0</v>
      </c>
      <c r="Y416" s="52">
        <f ca="1">('TUSD BE'!$AM$22+'TUSD BF'!$AM$22+'TUSD CVA'!$AM$22)*1*(1-0.02)</f>
        <v>20.941951853111981</v>
      </c>
      <c r="Z416" s="52"/>
      <c r="AA416" s="52"/>
      <c r="AB416" s="6">
        <f>$K$416*$V$416</f>
        <v>24956.236799999999</v>
      </c>
      <c r="AC416" s="6">
        <f>$M$416*$W$416</f>
        <v>0</v>
      </c>
      <c r="AD416" s="6">
        <f>$O$416*$X$416</f>
        <v>0</v>
      </c>
      <c r="AE416" s="6">
        <f ca="1">$K$416*$Y$416</f>
        <v>28774.241846175861</v>
      </c>
      <c r="AF416" s="6">
        <f>$M$416*$Z$416</f>
        <v>0</v>
      </c>
      <c r="AG416" s="6">
        <f>$O$416*$AA$416</f>
        <v>0</v>
      </c>
    </row>
    <row r="417" spans="1:33" ht="11.25" customHeight="1" x14ac:dyDescent="0.3">
      <c r="A417" s="4" t="s">
        <v>21</v>
      </c>
      <c r="B417" s="4" t="s">
        <v>39</v>
      </c>
      <c r="C417" s="4" t="s">
        <v>40</v>
      </c>
      <c r="D417" s="4" t="s">
        <v>44</v>
      </c>
      <c r="E417" s="4" t="s">
        <v>53</v>
      </c>
      <c r="F417" s="4" t="s">
        <v>25</v>
      </c>
      <c r="G417" s="4" t="s">
        <v>25</v>
      </c>
      <c r="H417" s="4" t="s">
        <v>25</v>
      </c>
      <c r="I417" s="5">
        <v>44774</v>
      </c>
      <c r="J417" s="6">
        <v>1789</v>
      </c>
      <c r="K417" s="52">
        <v>1789</v>
      </c>
      <c r="L417" s="6">
        <v>0</v>
      </c>
      <c r="M417" s="52">
        <v>0</v>
      </c>
      <c r="N417" s="6">
        <v>0</v>
      </c>
      <c r="O417" s="52">
        <v>0</v>
      </c>
      <c r="P417" s="6">
        <v>10</v>
      </c>
      <c r="Q417" s="4" t="s">
        <v>26</v>
      </c>
      <c r="R417" s="4">
        <v>0</v>
      </c>
      <c r="S417" s="6">
        <v>13</v>
      </c>
      <c r="T417" s="6">
        <v>0</v>
      </c>
      <c r="U417" s="6">
        <v>0</v>
      </c>
      <c r="V417" s="52">
        <f>IF(ISERROR(VLOOKUP($S$417,'TAR FIN'!$A$1:$O$103,15,0)),0,VLOOKUP($S$417,'TAR FIN'!$A$1:$O$103,15,0))*(1-0.04)</f>
        <v>18.1632</v>
      </c>
      <c r="W417" s="52">
        <f>IF(ISERROR(VLOOKUP($T$417,'TAR FIN'!$A$1:$O$103,15,0)),0,VLOOKUP($T$417,'TAR FIN'!$A$1:$O$103,15,0))</f>
        <v>0</v>
      </c>
      <c r="X417" s="52">
        <f>IF(ISERROR(VLOOKUP($U$417,'TAR FIN'!$A$1:$O$103,15,0)),0,VLOOKUP($U$417,'TAR FIN'!$A$1:$O$103,15,0))</f>
        <v>0</v>
      </c>
      <c r="Y417" s="52">
        <f ca="1">('TUSD BE'!$AM$22+'TUSD BF'!$AM$22+'TUSD CVA'!$AM$22)*1*(1-0.02)</f>
        <v>20.941951853111981</v>
      </c>
      <c r="Z417" s="52"/>
      <c r="AA417" s="52"/>
      <c r="AB417" s="6">
        <f>$K$417*$V$417</f>
        <v>32493.964799999998</v>
      </c>
      <c r="AC417" s="6">
        <f>$M$417*$W$417</f>
        <v>0</v>
      </c>
      <c r="AD417" s="6">
        <f>$O$417*$X$417</f>
        <v>0</v>
      </c>
      <c r="AE417" s="6">
        <f ca="1">$K$417*$Y$417</f>
        <v>37465.151865217333</v>
      </c>
      <c r="AF417" s="6">
        <f>$M$417*$Z$417</f>
        <v>0</v>
      </c>
      <c r="AG417" s="6">
        <f>$O$417*$AA$417</f>
        <v>0</v>
      </c>
    </row>
    <row r="418" spans="1:33" ht="11.25" customHeight="1" x14ac:dyDescent="0.3">
      <c r="A418" s="4" t="s">
        <v>21</v>
      </c>
      <c r="B418" s="4" t="s">
        <v>39</v>
      </c>
      <c r="C418" s="4" t="s">
        <v>40</v>
      </c>
      <c r="D418" s="4" t="s">
        <v>44</v>
      </c>
      <c r="E418" s="4" t="s">
        <v>53</v>
      </c>
      <c r="F418" s="4" t="s">
        <v>25</v>
      </c>
      <c r="G418" s="4" t="s">
        <v>25</v>
      </c>
      <c r="H418" s="4" t="s">
        <v>25</v>
      </c>
      <c r="I418" s="5">
        <v>44805</v>
      </c>
      <c r="J418" s="6">
        <v>969</v>
      </c>
      <c r="K418" s="52">
        <v>969</v>
      </c>
      <c r="L418" s="6">
        <v>0</v>
      </c>
      <c r="M418" s="52">
        <v>0</v>
      </c>
      <c r="N418" s="6">
        <v>0</v>
      </c>
      <c r="O418" s="52">
        <v>0</v>
      </c>
      <c r="P418" s="6">
        <v>10</v>
      </c>
      <c r="Q418" s="4" t="s">
        <v>26</v>
      </c>
      <c r="R418" s="4">
        <v>0</v>
      </c>
      <c r="S418" s="6">
        <v>13</v>
      </c>
      <c r="T418" s="6">
        <v>0</v>
      </c>
      <c r="U418" s="6">
        <v>0</v>
      </c>
      <c r="V418" s="52">
        <f>IF(ISERROR(VLOOKUP($S$418,'TAR FIN'!$A$1:$O$103,15,0)),0,VLOOKUP($S$418,'TAR FIN'!$A$1:$O$103,15,0))*(1-0.04)</f>
        <v>18.1632</v>
      </c>
      <c r="W418" s="52">
        <f>IF(ISERROR(VLOOKUP($T$418,'TAR FIN'!$A$1:$O$103,15,0)),0,VLOOKUP($T$418,'TAR FIN'!$A$1:$O$103,15,0))</f>
        <v>0</v>
      </c>
      <c r="X418" s="52">
        <f>IF(ISERROR(VLOOKUP($U$418,'TAR FIN'!$A$1:$O$103,15,0)),0,VLOOKUP($U$418,'TAR FIN'!$A$1:$O$103,15,0))</f>
        <v>0</v>
      </c>
      <c r="Y418" s="52">
        <f ca="1">('TUSD BE'!$AM$22+'TUSD BF'!$AM$22+'TUSD CVA'!$AM$22)*1*(1-0.02)</f>
        <v>20.941951853111981</v>
      </c>
      <c r="Z418" s="52"/>
      <c r="AA418" s="52"/>
      <c r="AB418" s="6">
        <f>$K$418*$V$418</f>
        <v>17600.140800000001</v>
      </c>
      <c r="AC418" s="6">
        <f>$M$418*$W$418</f>
        <v>0</v>
      </c>
      <c r="AD418" s="6">
        <f>$O$418*$X$418</f>
        <v>0</v>
      </c>
      <c r="AE418" s="6">
        <f ca="1">$K$418*$Y$418</f>
        <v>20292.751345665511</v>
      </c>
      <c r="AF418" s="6">
        <f>$M$418*$Z$418</f>
        <v>0</v>
      </c>
      <c r="AG418" s="6">
        <f>$O$418*$AA$418</f>
        <v>0</v>
      </c>
    </row>
    <row r="419" spans="1:33" ht="11.25" customHeight="1" x14ac:dyDescent="0.3">
      <c r="A419" s="4" t="s">
        <v>57</v>
      </c>
      <c r="B419" s="4" t="s">
        <v>39</v>
      </c>
      <c r="C419" s="4" t="s">
        <v>40</v>
      </c>
      <c r="D419" s="4" t="s">
        <v>44</v>
      </c>
      <c r="E419" s="4" t="s">
        <v>53</v>
      </c>
      <c r="F419" s="4" t="s">
        <v>25</v>
      </c>
      <c r="G419" s="4" t="s">
        <v>25</v>
      </c>
      <c r="H419" s="4" t="s">
        <v>25</v>
      </c>
      <c r="I419" s="5">
        <v>44835</v>
      </c>
      <c r="J419" s="6">
        <v>969</v>
      </c>
      <c r="K419" s="52">
        <v>969</v>
      </c>
      <c r="L419" s="6">
        <v>0</v>
      </c>
      <c r="M419" s="52">
        <v>0</v>
      </c>
      <c r="N419" s="6">
        <v>0</v>
      </c>
      <c r="O419" s="52">
        <v>0</v>
      </c>
      <c r="P419" s="6">
        <v>10</v>
      </c>
      <c r="Q419" s="4" t="s">
        <v>26</v>
      </c>
      <c r="R419" s="4">
        <v>0</v>
      </c>
      <c r="S419" s="6">
        <v>13</v>
      </c>
      <c r="T419" s="6">
        <v>0</v>
      </c>
      <c r="U419" s="6">
        <v>0</v>
      </c>
      <c r="V419" s="52">
        <f>IF(ISERROR(VLOOKUP($S$419,'TAR FIN'!$A$1:$O$103,15,0)),0,VLOOKUP($S$419,'TAR FIN'!$A$1:$O$103,15,0))*(1-0.04)</f>
        <v>18.1632</v>
      </c>
      <c r="W419" s="52">
        <f>IF(ISERROR(VLOOKUP($T$419,'TAR FIN'!$A$1:$O$103,15,0)),0,VLOOKUP($T$419,'TAR FIN'!$A$1:$O$103,15,0))</f>
        <v>0</v>
      </c>
      <c r="X419" s="52">
        <f>IF(ISERROR(VLOOKUP($U$419,'TAR FIN'!$A$1:$O$103,15,0)),0,VLOOKUP($U$419,'TAR FIN'!$A$1:$O$103,15,0))</f>
        <v>0</v>
      </c>
      <c r="Y419" s="52">
        <f ca="1">('TUSD BE'!$AM$22+'TUSD BF'!$AM$22+'TUSD CVA'!$AM$22)*1*(1-0.02)</f>
        <v>20.941951853111981</v>
      </c>
      <c r="Z419" s="52"/>
      <c r="AA419" s="52"/>
      <c r="AB419" s="6">
        <f>$K$419*$V$419</f>
        <v>17600.140800000001</v>
      </c>
      <c r="AC419" s="6">
        <f>$M$419*$W$419</f>
        <v>0</v>
      </c>
      <c r="AD419" s="6">
        <f>$O$419*$X$419</f>
        <v>0</v>
      </c>
      <c r="AE419" s="6">
        <f ca="1">$K$419*$Y$419</f>
        <v>20292.751345665511</v>
      </c>
      <c r="AF419" s="6">
        <f>$M$419*$Z$419</f>
        <v>0</v>
      </c>
      <c r="AG419" s="6">
        <f>$O$419*$AA$419</f>
        <v>0</v>
      </c>
    </row>
    <row r="420" spans="1:33" ht="11.25" customHeight="1" x14ac:dyDescent="0.3">
      <c r="A420" s="4" t="s">
        <v>21</v>
      </c>
      <c r="B420" s="4" t="s">
        <v>39</v>
      </c>
      <c r="C420" s="4" t="s">
        <v>40</v>
      </c>
      <c r="D420" s="4" t="s">
        <v>44</v>
      </c>
      <c r="E420" s="4" t="s">
        <v>53</v>
      </c>
      <c r="F420" s="4" t="s">
        <v>25</v>
      </c>
      <c r="G420" s="4" t="s">
        <v>25</v>
      </c>
      <c r="H420" s="4" t="s">
        <v>34</v>
      </c>
      <c r="I420" s="5">
        <v>44501</v>
      </c>
      <c r="J420" s="6">
        <v>0</v>
      </c>
      <c r="K420" s="52">
        <v>0</v>
      </c>
      <c r="L420" s="6">
        <v>0.48599999999999999</v>
      </c>
      <c r="M420" s="52">
        <v>0.48599999999999999</v>
      </c>
      <c r="N420" s="6">
        <v>0.48599999999999999</v>
      </c>
      <c r="O420" s="52">
        <v>0.48599999999999999</v>
      </c>
      <c r="P420" s="6">
        <v>0</v>
      </c>
      <c r="Q420" s="4" t="s">
        <v>26</v>
      </c>
      <c r="R420" s="4">
        <v>0</v>
      </c>
      <c r="S420" s="6">
        <v>0</v>
      </c>
      <c r="T420" s="6">
        <v>15</v>
      </c>
      <c r="U420" s="6">
        <v>65</v>
      </c>
      <c r="V420" s="52">
        <f>IF(ISERROR(VLOOKUP($S$420,'TAR FIN'!$A$1:$O$103,15,0)),0,VLOOKUP($S$420,'TAR FIN'!$A$1:$O$103,15,0))</f>
        <v>0</v>
      </c>
      <c r="W420" s="52">
        <f>IF(ISERROR(VLOOKUP($T$420,'TAR FIN'!$A$1:$O$103,15,0)),0,VLOOKUP($T$420,'TAR FIN'!$A$1:$O$103,15,0))*(1-0.04)</f>
        <v>1147.9871999999998</v>
      </c>
      <c r="X420" s="52">
        <f>IF(ISERROR(VLOOKUP($U$420,'TAR FIN'!$A$1:$O$103,15,0)),0,VLOOKUP($U$420,'TAR FIN'!$A$1:$O$103,15,0))*(1-0.04)</f>
        <v>375.8784</v>
      </c>
      <c r="Y420" s="52"/>
      <c r="Z420" s="52">
        <f ca="1">('TUSD BE'!$AM$23+'TUSD BF'!$AM$23+'TUSD CVA'!$AM$23)*1*(1-0.02)</f>
        <v>1357.7878188473314</v>
      </c>
      <c r="AA420" s="52">
        <f>('TE BE'!$AB$8+'TE BF'!$AB$8+'TE CVA'!$AB$8)*1*(1-0.02)</f>
        <v>354.71359410136364</v>
      </c>
      <c r="AB420" s="6">
        <f>$K$420*$V$420</f>
        <v>0</v>
      </c>
      <c r="AC420" s="6">
        <f>$M$420*$W$420</f>
        <v>557.92177919999995</v>
      </c>
      <c r="AD420" s="6">
        <f>$O$420*$X$420</f>
        <v>182.67690239999999</v>
      </c>
      <c r="AE420" s="6">
        <f>$K$420*$Y$420</f>
        <v>0</v>
      </c>
      <c r="AF420" s="6">
        <f ca="1">$M$420*$Z$420</f>
        <v>659.88487995980302</v>
      </c>
      <c r="AG420" s="6">
        <f>$O$420*$AA$420</f>
        <v>172.39080673326274</v>
      </c>
    </row>
    <row r="421" spans="1:33" ht="11.25" customHeight="1" x14ac:dyDescent="0.3">
      <c r="A421" s="4" t="s">
        <v>21</v>
      </c>
      <c r="B421" s="4" t="s">
        <v>39</v>
      </c>
      <c r="C421" s="4" t="s">
        <v>40</v>
      </c>
      <c r="D421" s="4" t="s">
        <v>44</v>
      </c>
      <c r="E421" s="4" t="s">
        <v>53</v>
      </c>
      <c r="F421" s="4" t="s">
        <v>25</v>
      </c>
      <c r="G421" s="4" t="s">
        <v>25</v>
      </c>
      <c r="H421" s="4" t="s">
        <v>34</v>
      </c>
      <c r="I421" s="5">
        <v>44531</v>
      </c>
      <c r="J421" s="6">
        <v>0</v>
      </c>
      <c r="K421" s="52">
        <v>0</v>
      </c>
      <c r="L421" s="6">
        <v>0.51900000000000002</v>
      </c>
      <c r="M421" s="52">
        <v>0.51900000000000002</v>
      </c>
      <c r="N421" s="6">
        <v>0.51900000000000002</v>
      </c>
      <c r="O421" s="52">
        <v>0.51900000000000002</v>
      </c>
      <c r="P421" s="6">
        <v>0</v>
      </c>
      <c r="Q421" s="4" t="s">
        <v>26</v>
      </c>
      <c r="R421" s="4">
        <v>0</v>
      </c>
      <c r="S421" s="6">
        <v>0</v>
      </c>
      <c r="T421" s="6">
        <v>15</v>
      </c>
      <c r="U421" s="6">
        <v>65</v>
      </c>
      <c r="V421" s="52">
        <f>IF(ISERROR(VLOOKUP($S$421,'TAR FIN'!$A$1:$O$103,15,0)),0,VLOOKUP($S$421,'TAR FIN'!$A$1:$O$103,15,0))</f>
        <v>0</v>
      </c>
      <c r="W421" s="52">
        <f>IF(ISERROR(VLOOKUP($T$421,'TAR FIN'!$A$1:$O$103,15,0)),0,VLOOKUP($T$421,'TAR FIN'!$A$1:$O$103,15,0))*(1-0.04)</f>
        <v>1147.9871999999998</v>
      </c>
      <c r="X421" s="52">
        <f>IF(ISERROR(VLOOKUP($U$421,'TAR FIN'!$A$1:$O$103,15,0)),0,VLOOKUP($U$421,'TAR FIN'!$A$1:$O$103,15,0))*(1-0.04)</f>
        <v>375.8784</v>
      </c>
      <c r="Y421" s="52"/>
      <c r="Z421" s="52">
        <f ca="1">('TUSD BE'!$AM$23+'TUSD BF'!$AM$23+'TUSD CVA'!$AM$23)*1*(1-0.02)</f>
        <v>1357.7878188473314</v>
      </c>
      <c r="AA421" s="52">
        <f>('TE BE'!$AB$8+'TE BF'!$AB$8+'TE CVA'!$AB$8)*1*(1-0.02)</f>
        <v>354.71359410136364</v>
      </c>
      <c r="AB421" s="6">
        <f>$K$421*$V$421</f>
        <v>0</v>
      </c>
      <c r="AC421" s="6">
        <f>$M$421*$W$421</f>
        <v>595.80535679999991</v>
      </c>
      <c r="AD421" s="6">
        <f>$O$421*$X$421</f>
        <v>195.08088960000001</v>
      </c>
      <c r="AE421" s="6">
        <f>$K$421*$Y$421</f>
        <v>0</v>
      </c>
      <c r="AF421" s="6">
        <f ca="1">$M$421*$Z$421</f>
        <v>704.69187798176506</v>
      </c>
      <c r="AG421" s="6">
        <f>$O$421*$AA$421</f>
        <v>184.09635533860774</v>
      </c>
    </row>
    <row r="422" spans="1:33" ht="11.25" customHeight="1" x14ac:dyDescent="0.3">
      <c r="A422" s="4" t="s">
        <v>21</v>
      </c>
      <c r="B422" s="4" t="s">
        <v>39</v>
      </c>
      <c r="C422" s="4" t="s">
        <v>40</v>
      </c>
      <c r="D422" s="4" t="s">
        <v>44</v>
      </c>
      <c r="E422" s="4" t="s">
        <v>53</v>
      </c>
      <c r="F422" s="4" t="s">
        <v>25</v>
      </c>
      <c r="G422" s="4" t="s">
        <v>25</v>
      </c>
      <c r="H422" s="4" t="s">
        <v>34</v>
      </c>
      <c r="I422" s="5">
        <v>44562</v>
      </c>
      <c r="J422" s="6">
        <v>0</v>
      </c>
      <c r="K422" s="52">
        <v>0</v>
      </c>
      <c r="L422" s="6">
        <v>0.33400000000000002</v>
      </c>
      <c r="M422" s="52">
        <v>0.33400000000000002</v>
      </c>
      <c r="N422" s="6">
        <v>0.33400000000000002</v>
      </c>
      <c r="O422" s="52">
        <v>0.33400000000000002</v>
      </c>
      <c r="P422" s="6">
        <v>0</v>
      </c>
      <c r="Q422" s="4" t="s">
        <v>26</v>
      </c>
      <c r="R422" s="4">
        <v>0</v>
      </c>
      <c r="S422" s="6">
        <v>0</v>
      </c>
      <c r="T422" s="6">
        <v>15</v>
      </c>
      <c r="U422" s="6">
        <v>65</v>
      </c>
      <c r="V422" s="52">
        <f>IF(ISERROR(VLOOKUP($S$422,'TAR FIN'!$A$1:$O$103,15,0)),0,VLOOKUP($S$422,'TAR FIN'!$A$1:$O$103,15,0))</f>
        <v>0</v>
      </c>
      <c r="W422" s="52">
        <f>IF(ISERROR(VLOOKUP($T$422,'TAR FIN'!$A$1:$O$103,15,0)),0,VLOOKUP($T$422,'TAR FIN'!$A$1:$O$103,15,0))*(1-0.04)</f>
        <v>1147.9871999999998</v>
      </c>
      <c r="X422" s="52">
        <f>IF(ISERROR(VLOOKUP($U$422,'TAR FIN'!$A$1:$O$103,15,0)),0,VLOOKUP($U$422,'TAR FIN'!$A$1:$O$103,15,0))*(1-0.04)</f>
        <v>375.8784</v>
      </c>
      <c r="Y422" s="52"/>
      <c r="Z422" s="52">
        <f ca="1">('TUSD BE'!$AM$23+'TUSD BF'!$AM$23+'TUSD CVA'!$AM$23)*1*(1-0.02)</f>
        <v>1357.7878188473314</v>
      </c>
      <c r="AA422" s="52">
        <f>('TE BE'!$AB$8+'TE BF'!$AB$8+'TE CVA'!$AB$8)*1*(1-0.02)</f>
        <v>354.71359410136364</v>
      </c>
      <c r="AB422" s="6">
        <f>$K$422*$V$422</f>
        <v>0</v>
      </c>
      <c r="AC422" s="6">
        <f>$M$422*$W$422</f>
        <v>383.42772479999996</v>
      </c>
      <c r="AD422" s="6">
        <f>$O$422*$X$422</f>
        <v>125.54338560000001</v>
      </c>
      <c r="AE422" s="6">
        <f>$K$422*$Y$422</f>
        <v>0</v>
      </c>
      <c r="AF422" s="6">
        <f ca="1">$M$422*$Z$422</f>
        <v>453.50113149500874</v>
      </c>
      <c r="AG422" s="6">
        <f>$O$422*$AA$422</f>
        <v>118.47434042985546</v>
      </c>
    </row>
    <row r="423" spans="1:33" ht="11.25" customHeight="1" x14ac:dyDescent="0.3">
      <c r="A423" s="4" t="s">
        <v>21</v>
      </c>
      <c r="B423" s="4" t="s">
        <v>39</v>
      </c>
      <c r="C423" s="4" t="s">
        <v>40</v>
      </c>
      <c r="D423" s="4" t="s">
        <v>44</v>
      </c>
      <c r="E423" s="4" t="s">
        <v>53</v>
      </c>
      <c r="F423" s="4" t="s">
        <v>25</v>
      </c>
      <c r="G423" s="4" t="s">
        <v>25</v>
      </c>
      <c r="H423" s="4" t="s">
        <v>34</v>
      </c>
      <c r="I423" s="5">
        <v>44593</v>
      </c>
      <c r="J423" s="6">
        <v>0</v>
      </c>
      <c r="K423" s="52">
        <v>0</v>
      </c>
      <c r="L423" s="6">
        <v>0.372</v>
      </c>
      <c r="M423" s="52">
        <v>0.372</v>
      </c>
      <c r="N423" s="6">
        <v>0.372</v>
      </c>
      <c r="O423" s="52">
        <v>0.372</v>
      </c>
      <c r="P423" s="6">
        <v>0</v>
      </c>
      <c r="Q423" s="4" t="s">
        <v>26</v>
      </c>
      <c r="R423" s="4">
        <v>0</v>
      </c>
      <c r="S423" s="6">
        <v>0</v>
      </c>
      <c r="T423" s="6">
        <v>15</v>
      </c>
      <c r="U423" s="6">
        <v>65</v>
      </c>
      <c r="V423" s="52">
        <f>IF(ISERROR(VLOOKUP($S$423,'TAR FIN'!$A$1:$O$103,15,0)),0,VLOOKUP($S$423,'TAR FIN'!$A$1:$O$103,15,0))</f>
        <v>0</v>
      </c>
      <c r="W423" s="52">
        <f>IF(ISERROR(VLOOKUP($T$423,'TAR FIN'!$A$1:$O$103,15,0)),0,VLOOKUP($T$423,'TAR FIN'!$A$1:$O$103,15,0))*(1-0.04)</f>
        <v>1147.9871999999998</v>
      </c>
      <c r="X423" s="52">
        <f>IF(ISERROR(VLOOKUP($U$423,'TAR FIN'!$A$1:$O$103,15,0)),0,VLOOKUP($U$423,'TAR FIN'!$A$1:$O$103,15,0))*(1-0.04)</f>
        <v>375.8784</v>
      </c>
      <c r="Y423" s="52"/>
      <c r="Z423" s="52">
        <f ca="1">('TUSD BE'!$AM$23+'TUSD BF'!$AM$23+'TUSD CVA'!$AM$23)*1*(1-0.02)</f>
        <v>1357.7878188473314</v>
      </c>
      <c r="AA423" s="52">
        <f>('TE BE'!$AB$8+'TE BF'!$AB$8+'TE CVA'!$AB$8)*1*(1-0.02)</f>
        <v>354.71359410136364</v>
      </c>
      <c r="AB423" s="6">
        <f>$K$423*$V$423</f>
        <v>0</v>
      </c>
      <c r="AC423" s="6">
        <f>$M$423*$W$423</f>
        <v>427.05123839999993</v>
      </c>
      <c r="AD423" s="6">
        <f>$O$423*$X$423</f>
        <v>139.82676480000001</v>
      </c>
      <c r="AE423" s="6">
        <f>$K$423*$Y$423</f>
        <v>0</v>
      </c>
      <c r="AF423" s="6">
        <f ca="1">$M$423*$Z$423</f>
        <v>505.09706861120731</v>
      </c>
      <c r="AG423" s="6">
        <f>$O$423*$AA$423</f>
        <v>131.95345700570726</v>
      </c>
    </row>
    <row r="424" spans="1:33" ht="11.25" customHeight="1" x14ac:dyDescent="0.3">
      <c r="A424" s="4" t="s">
        <v>21</v>
      </c>
      <c r="B424" s="4" t="s">
        <v>39</v>
      </c>
      <c r="C424" s="4" t="s">
        <v>40</v>
      </c>
      <c r="D424" s="4" t="s">
        <v>44</v>
      </c>
      <c r="E424" s="4" t="s">
        <v>53</v>
      </c>
      <c r="F424" s="4" t="s">
        <v>25</v>
      </c>
      <c r="G424" s="4" t="s">
        <v>25</v>
      </c>
      <c r="H424" s="4" t="s">
        <v>34</v>
      </c>
      <c r="I424" s="5">
        <v>44621</v>
      </c>
      <c r="J424" s="6">
        <v>0</v>
      </c>
      <c r="K424" s="52">
        <v>0</v>
      </c>
      <c r="L424" s="6">
        <v>0.71499999999999997</v>
      </c>
      <c r="M424" s="52">
        <v>0.71499999999999997</v>
      </c>
      <c r="N424" s="6">
        <v>0.71499999999999997</v>
      </c>
      <c r="O424" s="52">
        <v>0.71499999999999997</v>
      </c>
      <c r="P424" s="6">
        <v>0</v>
      </c>
      <c r="Q424" s="4" t="s">
        <v>26</v>
      </c>
      <c r="R424" s="4">
        <v>0</v>
      </c>
      <c r="S424" s="6">
        <v>0</v>
      </c>
      <c r="T424" s="6">
        <v>15</v>
      </c>
      <c r="U424" s="6">
        <v>65</v>
      </c>
      <c r="V424" s="52">
        <f>IF(ISERROR(VLOOKUP($S$424,'TAR FIN'!$A$1:$O$103,15,0)),0,VLOOKUP($S$424,'TAR FIN'!$A$1:$O$103,15,0))</f>
        <v>0</v>
      </c>
      <c r="W424" s="52">
        <f>IF(ISERROR(VLOOKUP($T$424,'TAR FIN'!$A$1:$O$103,15,0)),0,VLOOKUP($T$424,'TAR FIN'!$A$1:$O$103,15,0))*(1-0.04)</f>
        <v>1147.9871999999998</v>
      </c>
      <c r="X424" s="52">
        <f>IF(ISERROR(VLOOKUP($U$424,'TAR FIN'!$A$1:$O$103,15,0)),0,VLOOKUP($U$424,'TAR FIN'!$A$1:$O$103,15,0))*(1-0.04)</f>
        <v>375.8784</v>
      </c>
      <c r="Y424" s="52"/>
      <c r="Z424" s="52">
        <f ca="1">('TUSD BE'!$AM$23+'TUSD BF'!$AM$23+'TUSD CVA'!$AM$23)*1*(1-0.02)</f>
        <v>1357.7878188473314</v>
      </c>
      <c r="AA424" s="52">
        <f>('TE BE'!$AB$8+'TE BF'!$AB$8+'TE CVA'!$AB$8)*1*(1-0.02)</f>
        <v>354.71359410136364</v>
      </c>
      <c r="AB424" s="6">
        <f>$K$424*$V$424</f>
        <v>0</v>
      </c>
      <c r="AC424" s="6">
        <f>$M$424*$W$424</f>
        <v>820.81084799999985</v>
      </c>
      <c r="AD424" s="6">
        <f>$O$424*$X$424</f>
        <v>268.75305600000002</v>
      </c>
      <c r="AE424" s="6">
        <f>$K$424*$Y$424</f>
        <v>0</v>
      </c>
      <c r="AF424" s="6">
        <f ca="1">$M$424*$Z$424</f>
        <v>970.81829047584199</v>
      </c>
      <c r="AG424" s="6">
        <f>$O$424*$AA$424</f>
        <v>253.620219782475</v>
      </c>
    </row>
    <row r="425" spans="1:33" ht="11.25" customHeight="1" x14ac:dyDescent="0.3">
      <c r="A425" s="4" t="s">
        <v>21</v>
      </c>
      <c r="B425" s="4" t="s">
        <v>39</v>
      </c>
      <c r="C425" s="4" t="s">
        <v>40</v>
      </c>
      <c r="D425" s="4" t="s">
        <v>44</v>
      </c>
      <c r="E425" s="4" t="s">
        <v>53</v>
      </c>
      <c r="F425" s="4" t="s">
        <v>25</v>
      </c>
      <c r="G425" s="4" t="s">
        <v>25</v>
      </c>
      <c r="H425" s="4" t="s">
        <v>34</v>
      </c>
      <c r="I425" s="5">
        <v>44652</v>
      </c>
      <c r="J425" s="6">
        <v>0</v>
      </c>
      <c r="K425" s="52">
        <v>0</v>
      </c>
      <c r="L425" s="6">
        <v>0.79900000000000004</v>
      </c>
      <c r="M425" s="52">
        <v>0.79900000000000004</v>
      </c>
      <c r="N425" s="6">
        <v>0.79900000000000004</v>
      </c>
      <c r="O425" s="52">
        <v>0.79900000000000004</v>
      </c>
      <c r="P425" s="6">
        <v>0</v>
      </c>
      <c r="Q425" s="4" t="s">
        <v>26</v>
      </c>
      <c r="R425" s="4">
        <v>0</v>
      </c>
      <c r="S425" s="6">
        <v>0</v>
      </c>
      <c r="T425" s="6">
        <v>15</v>
      </c>
      <c r="U425" s="6">
        <v>65</v>
      </c>
      <c r="V425" s="52">
        <f>IF(ISERROR(VLOOKUP($S$425,'TAR FIN'!$A$1:$O$103,15,0)),0,VLOOKUP($S$425,'TAR FIN'!$A$1:$O$103,15,0))</f>
        <v>0</v>
      </c>
      <c r="W425" s="52">
        <f>IF(ISERROR(VLOOKUP($T$425,'TAR FIN'!$A$1:$O$103,15,0)),0,VLOOKUP($T$425,'TAR FIN'!$A$1:$O$103,15,0))*(1-0.04)</f>
        <v>1147.9871999999998</v>
      </c>
      <c r="X425" s="52">
        <f>IF(ISERROR(VLOOKUP($U$425,'TAR FIN'!$A$1:$O$103,15,0)),0,VLOOKUP($U$425,'TAR FIN'!$A$1:$O$103,15,0))*(1-0.04)</f>
        <v>375.8784</v>
      </c>
      <c r="Y425" s="52"/>
      <c r="Z425" s="52">
        <f ca="1">('TUSD BE'!$AM$23+'TUSD BF'!$AM$23+'TUSD CVA'!$AM$23)*1*(1-0.02)</f>
        <v>1357.7878188473314</v>
      </c>
      <c r="AA425" s="52">
        <f>('TE BE'!$AB$8+'TE BF'!$AB$8+'TE CVA'!$AB$8)*1*(1-0.02)</f>
        <v>354.71359410136364</v>
      </c>
      <c r="AB425" s="6">
        <f>$K$425*$V$425</f>
        <v>0</v>
      </c>
      <c r="AC425" s="6">
        <f>$M$425*$W$425</f>
        <v>917.24177279999992</v>
      </c>
      <c r="AD425" s="6">
        <f>$O$425*$X$425</f>
        <v>300.32684160000002</v>
      </c>
      <c r="AE425" s="6">
        <f>$K$425*$Y$425</f>
        <v>0</v>
      </c>
      <c r="AF425" s="6">
        <f ca="1">$M$425*$Z$425</f>
        <v>1084.8724672590179</v>
      </c>
      <c r="AG425" s="6">
        <f>$O$425*$AA$425</f>
        <v>283.41616168698954</v>
      </c>
    </row>
    <row r="426" spans="1:33" ht="11.25" customHeight="1" x14ac:dyDescent="0.3">
      <c r="A426" s="4" t="s">
        <v>21</v>
      </c>
      <c r="B426" s="4" t="s">
        <v>39</v>
      </c>
      <c r="C426" s="4" t="s">
        <v>40</v>
      </c>
      <c r="D426" s="4" t="s">
        <v>44</v>
      </c>
      <c r="E426" s="4" t="s">
        <v>53</v>
      </c>
      <c r="F426" s="4" t="s">
        <v>25</v>
      </c>
      <c r="G426" s="4" t="s">
        <v>25</v>
      </c>
      <c r="H426" s="4" t="s">
        <v>34</v>
      </c>
      <c r="I426" s="5">
        <v>44682</v>
      </c>
      <c r="J426" s="6">
        <v>0</v>
      </c>
      <c r="K426" s="52">
        <v>0</v>
      </c>
      <c r="L426" s="6">
        <v>0.68500000000000005</v>
      </c>
      <c r="M426" s="52">
        <v>0.68500000000000005</v>
      </c>
      <c r="N426" s="6">
        <v>0.68500000000000005</v>
      </c>
      <c r="O426" s="52">
        <v>0.68500000000000005</v>
      </c>
      <c r="P426" s="6">
        <v>0</v>
      </c>
      <c r="Q426" s="4" t="s">
        <v>26</v>
      </c>
      <c r="R426" s="4">
        <v>0</v>
      </c>
      <c r="S426" s="6">
        <v>0</v>
      </c>
      <c r="T426" s="6">
        <v>15</v>
      </c>
      <c r="U426" s="6">
        <v>65</v>
      </c>
      <c r="V426" s="52">
        <f>IF(ISERROR(VLOOKUP($S$426,'TAR FIN'!$A$1:$O$103,15,0)),0,VLOOKUP($S$426,'TAR FIN'!$A$1:$O$103,15,0))</f>
        <v>0</v>
      </c>
      <c r="W426" s="52">
        <f>IF(ISERROR(VLOOKUP($T$426,'TAR FIN'!$A$1:$O$103,15,0)),0,VLOOKUP($T$426,'TAR FIN'!$A$1:$O$103,15,0))*(1-0.04)</f>
        <v>1147.9871999999998</v>
      </c>
      <c r="X426" s="52">
        <f>IF(ISERROR(VLOOKUP($U$426,'TAR FIN'!$A$1:$O$103,15,0)),0,VLOOKUP($U$426,'TAR FIN'!$A$1:$O$103,15,0))*(1-0.04)</f>
        <v>375.8784</v>
      </c>
      <c r="Y426" s="52"/>
      <c r="Z426" s="52">
        <f ca="1">('TUSD BE'!$AM$23+'TUSD BF'!$AM$23+'TUSD CVA'!$AM$23)*1*(1-0.02)</f>
        <v>1357.7878188473314</v>
      </c>
      <c r="AA426" s="52">
        <f>('TE BE'!$AB$8+'TE BF'!$AB$8+'TE CVA'!$AB$8)*1*(1-0.02)</f>
        <v>354.71359410136364</v>
      </c>
      <c r="AB426" s="6">
        <f>$K$426*$V$426</f>
        <v>0</v>
      </c>
      <c r="AC426" s="6">
        <f>$M$426*$W$426</f>
        <v>786.37123199999996</v>
      </c>
      <c r="AD426" s="6">
        <f>$O$426*$X$426</f>
        <v>257.47670400000004</v>
      </c>
      <c r="AE426" s="6">
        <f>$K$426*$Y$426</f>
        <v>0</v>
      </c>
      <c r="AF426" s="6">
        <f ca="1">$M$426*$Z$426</f>
        <v>930.08465591042216</v>
      </c>
      <c r="AG426" s="6">
        <f>$O$426*$AA$426</f>
        <v>242.97881195943413</v>
      </c>
    </row>
    <row r="427" spans="1:33" ht="11.25" customHeight="1" x14ac:dyDescent="0.3">
      <c r="A427" s="4" t="s">
        <v>21</v>
      </c>
      <c r="B427" s="4" t="s">
        <v>39</v>
      </c>
      <c r="C427" s="4" t="s">
        <v>40</v>
      </c>
      <c r="D427" s="4" t="s">
        <v>44</v>
      </c>
      <c r="E427" s="4" t="s">
        <v>53</v>
      </c>
      <c r="F427" s="4" t="s">
        <v>25</v>
      </c>
      <c r="G427" s="4" t="s">
        <v>25</v>
      </c>
      <c r="H427" s="4" t="s">
        <v>34</v>
      </c>
      <c r="I427" s="5">
        <v>44713</v>
      </c>
      <c r="J427" s="6">
        <v>0</v>
      </c>
      <c r="K427" s="52">
        <v>0</v>
      </c>
      <c r="L427" s="6">
        <v>1.2609999999999999</v>
      </c>
      <c r="M427" s="52">
        <v>1.2609999999999999</v>
      </c>
      <c r="N427" s="6">
        <v>1.2609999999999999</v>
      </c>
      <c r="O427" s="52">
        <v>1.2609999999999999</v>
      </c>
      <c r="P427" s="6">
        <v>0</v>
      </c>
      <c r="Q427" s="4" t="s">
        <v>26</v>
      </c>
      <c r="R427" s="4">
        <v>0</v>
      </c>
      <c r="S427" s="6">
        <v>0</v>
      </c>
      <c r="T427" s="6">
        <v>15</v>
      </c>
      <c r="U427" s="6">
        <v>65</v>
      </c>
      <c r="V427" s="52">
        <f>IF(ISERROR(VLOOKUP($S$427,'TAR FIN'!$A$1:$O$103,15,0)),0,VLOOKUP($S$427,'TAR FIN'!$A$1:$O$103,15,0))</f>
        <v>0</v>
      </c>
      <c r="W427" s="52">
        <f>IF(ISERROR(VLOOKUP($T$427,'TAR FIN'!$A$1:$O$103,15,0)),0,VLOOKUP($T$427,'TAR FIN'!$A$1:$O$103,15,0))*(1-0.04)</f>
        <v>1147.9871999999998</v>
      </c>
      <c r="X427" s="52">
        <f>IF(ISERROR(VLOOKUP($U$427,'TAR FIN'!$A$1:$O$103,15,0)),0,VLOOKUP($U$427,'TAR FIN'!$A$1:$O$103,15,0))*(1-0.04)</f>
        <v>375.8784</v>
      </c>
      <c r="Y427" s="52"/>
      <c r="Z427" s="52">
        <f ca="1">('TUSD BE'!$AM$23+'TUSD BF'!$AM$23+'TUSD CVA'!$AM$23)*1*(1-0.02)</f>
        <v>1357.7878188473314</v>
      </c>
      <c r="AA427" s="52">
        <f>('TE BE'!$AB$8+'TE BF'!$AB$8+'TE CVA'!$AB$8)*1*(1-0.02)</f>
        <v>354.71359410136364</v>
      </c>
      <c r="AB427" s="6">
        <f>$K$427*$V$427</f>
        <v>0</v>
      </c>
      <c r="AC427" s="6">
        <f>$M$427*$W$427</f>
        <v>1447.6118591999996</v>
      </c>
      <c r="AD427" s="6">
        <f>$O$427*$X$427</f>
        <v>473.98266239999998</v>
      </c>
      <c r="AE427" s="6">
        <f>$K$427*$Y$427</f>
        <v>0</v>
      </c>
      <c r="AF427" s="6">
        <f ca="1">$M$427*$Z$427</f>
        <v>1712.1704395664849</v>
      </c>
      <c r="AG427" s="6">
        <f>$O$427*$AA$427</f>
        <v>447.2938421618195</v>
      </c>
    </row>
    <row r="428" spans="1:33" ht="11.25" customHeight="1" x14ac:dyDescent="0.3">
      <c r="A428" s="4" t="s">
        <v>21</v>
      </c>
      <c r="B428" s="4" t="s">
        <v>39</v>
      </c>
      <c r="C428" s="4" t="s">
        <v>40</v>
      </c>
      <c r="D428" s="4" t="s">
        <v>44</v>
      </c>
      <c r="E428" s="4" t="s">
        <v>53</v>
      </c>
      <c r="F428" s="4" t="s">
        <v>25</v>
      </c>
      <c r="G428" s="4" t="s">
        <v>25</v>
      </c>
      <c r="H428" s="4" t="s">
        <v>34</v>
      </c>
      <c r="I428" s="5">
        <v>44743</v>
      </c>
      <c r="J428" s="6">
        <v>0</v>
      </c>
      <c r="K428" s="52">
        <v>0</v>
      </c>
      <c r="L428" s="6">
        <v>1.0620000000000001</v>
      </c>
      <c r="M428" s="52">
        <v>1.0620000000000001</v>
      </c>
      <c r="N428" s="6">
        <v>1.0620000000000001</v>
      </c>
      <c r="O428" s="52">
        <v>1.0620000000000001</v>
      </c>
      <c r="P428" s="6">
        <v>0</v>
      </c>
      <c r="Q428" s="4" t="s">
        <v>26</v>
      </c>
      <c r="R428" s="4">
        <v>0</v>
      </c>
      <c r="S428" s="6">
        <v>0</v>
      </c>
      <c r="T428" s="6">
        <v>15</v>
      </c>
      <c r="U428" s="6">
        <v>65</v>
      </c>
      <c r="V428" s="52">
        <f>IF(ISERROR(VLOOKUP($S$428,'TAR FIN'!$A$1:$O$103,15,0)),0,VLOOKUP($S$428,'TAR FIN'!$A$1:$O$103,15,0))</f>
        <v>0</v>
      </c>
      <c r="W428" s="52">
        <f>IF(ISERROR(VLOOKUP($T$428,'TAR FIN'!$A$1:$O$103,15,0)),0,VLOOKUP($T$428,'TAR FIN'!$A$1:$O$103,15,0))*(1-0.04)</f>
        <v>1147.9871999999998</v>
      </c>
      <c r="X428" s="52">
        <f>IF(ISERROR(VLOOKUP($U$428,'TAR FIN'!$A$1:$O$103,15,0)),0,VLOOKUP($U$428,'TAR FIN'!$A$1:$O$103,15,0))*(1-0.04)</f>
        <v>375.8784</v>
      </c>
      <c r="Y428" s="52"/>
      <c r="Z428" s="52">
        <f ca="1">('TUSD BE'!$AM$23+'TUSD BF'!$AM$23+'TUSD CVA'!$AM$23)*1*(1-0.02)</f>
        <v>1357.7878188473314</v>
      </c>
      <c r="AA428" s="52">
        <f>('TE BE'!$AB$8+'TE BF'!$AB$8+'TE CVA'!$AB$8)*1*(1-0.02)</f>
        <v>354.71359410136364</v>
      </c>
      <c r="AB428" s="6">
        <f>$K$428*$V$428</f>
        <v>0</v>
      </c>
      <c r="AC428" s="6">
        <f>$M$428*$W$428</f>
        <v>1219.1624063999998</v>
      </c>
      <c r="AD428" s="6">
        <f>$O$428*$X$428</f>
        <v>399.18286080000001</v>
      </c>
      <c r="AE428" s="6">
        <f>$K$428*$Y$428</f>
        <v>0</v>
      </c>
      <c r="AF428" s="6">
        <f ca="1">$M$428*$Z$428</f>
        <v>1441.970663615866</v>
      </c>
      <c r="AG428" s="6">
        <f>$O$428*$AA$428</f>
        <v>376.70583693564822</v>
      </c>
    </row>
    <row r="429" spans="1:33" ht="11.25" customHeight="1" x14ac:dyDescent="0.3">
      <c r="A429" s="4" t="s">
        <v>21</v>
      </c>
      <c r="B429" s="4" t="s">
        <v>39</v>
      </c>
      <c r="C429" s="4" t="s">
        <v>40</v>
      </c>
      <c r="D429" s="4" t="s">
        <v>44</v>
      </c>
      <c r="E429" s="4" t="s">
        <v>53</v>
      </c>
      <c r="F429" s="4" t="s">
        <v>25</v>
      </c>
      <c r="G429" s="4" t="s">
        <v>25</v>
      </c>
      <c r="H429" s="4" t="s">
        <v>34</v>
      </c>
      <c r="I429" s="5">
        <v>44774</v>
      </c>
      <c r="J429" s="6">
        <v>0</v>
      </c>
      <c r="K429" s="52">
        <v>0</v>
      </c>
      <c r="L429" s="6">
        <v>0.80800000000000005</v>
      </c>
      <c r="M429" s="52">
        <v>0.80800000000000005</v>
      </c>
      <c r="N429" s="6">
        <v>0.80800000000000005</v>
      </c>
      <c r="O429" s="52">
        <v>0.80800000000000005</v>
      </c>
      <c r="P429" s="6">
        <v>0</v>
      </c>
      <c r="Q429" s="4" t="s">
        <v>26</v>
      </c>
      <c r="R429" s="4">
        <v>0</v>
      </c>
      <c r="S429" s="6">
        <v>0</v>
      </c>
      <c r="T429" s="6">
        <v>15</v>
      </c>
      <c r="U429" s="6">
        <v>65</v>
      </c>
      <c r="V429" s="52">
        <f>IF(ISERROR(VLOOKUP($S$429,'TAR FIN'!$A$1:$O$103,15,0)),0,VLOOKUP($S$429,'TAR FIN'!$A$1:$O$103,15,0))</f>
        <v>0</v>
      </c>
      <c r="W429" s="52">
        <f>IF(ISERROR(VLOOKUP($T$429,'TAR FIN'!$A$1:$O$103,15,0)),0,VLOOKUP($T$429,'TAR FIN'!$A$1:$O$103,15,0))*(1-0.04)</f>
        <v>1147.9871999999998</v>
      </c>
      <c r="X429" s="52">
        <f>IF(ISERROR(VLOOKUP($U$429,'TAR FIN'!$A$1:$O$103,15,0)),0,VLOOKUP($U$429,'TAR FIN'!$A$1:$O$103,15,0))*(1-0.04)</f>
        <v>375.8784</v>
      </c>
      <c r="Y429" s="52"/>
      <c r="Z429" s="52">
        <f ca="1">('TUSD BE'!$AM$23+'TUSD BF'!$AM$23+'TUSD CVA'!$AM$23)*1*(1-0.02)</f>
        <v>1357.7878188473314</v>
      </c>
      <c r="AA429" s="52">
        <f>('TE BE'!$AB$8+'TE BF'!$AB$8+'TE CVA'!$AB$8)*1*(1-0.02)</f>
        <v>354.71359410136364</v>
      </c>
      <c r="AB429" s="6">
        <f>$K$429*$V$429</f>
        <v>0</v>
      </c>
      <c r="AC429" s="6">
        <f>$M$429*$W$429</f>
        <v>927.57365759999993</v>
      </c>
      <c r="AD429" s="6">
        <f>$O$429*$X$429</f>
        <v>303.70974720000004</v>
      </c>
      <c r="AE429" s="6">
        <f>$K$429*$Y$429</f>
        <v>0</v>
      </c>
      <c r="AF429" s="6">
        <f ca="1">$M$429*$Z$429</f>
        <v>1097.0925576286438</v>
      </c>
      <c r="AG429" s="6">
        <f>$O$429*$AA$429</f>
        <v>286.60858403390182</v>
      </c>
    </row>
    <row r="430" spans="1:33" ht="11.25" customHeight="1" x14ac:dyDescent="0.3">
      <c r="A430" s="4" t="s">
        <v>21</v>
      </c>
      <c r="B430" s="4" t="s">
        <v>39</v>
      </c>
      <c r="C430" s="4" t="s">
        <v>40</v>
      </c>
      <c r="D430" s="4" t="s">
        <v>44</v>
      </c>
      <c r="E430" s="4" t="s">
        <v>53</v>
      </c>
      <c r="F430" s="4" t="s">
        <v>25</v>
      </c>
      <c r="G430" s="4" t="s">
        <v>25</v>
      </c>
      <c r="H430" s="4" t="s">
        <v>34</v>
      </c>
      <c r="I430" s="5">
        <v>44805</v>
      </c>
      <c r="J430" s="6">
        <v>0</v>
      </c>
      <c r="K430" s="52">
        <v>0</v>
      </c>
      <c r="L430" s="6">
        <v>0.72499999999999998</v>
      </c>
      <c r="M430" s="52">
        <v>0.72499999999999998</v>
      </c>
      <c r="N430" s="6">
        <v>0.72499999999999998</v>
      </c>
      <c r="O430" s="52">
        <v>0.72499999999999998</v>
      </c>
      <c r="P430" s="6">
        <v>0</v>
      </c>
      <c r="Q430" s="4" t="s">
        <v>26</v>
      </c>
      <c r="R430" s="4">
        <v>0</v>
      </c>
      <c r="S430" s="6">
        <v>0</v>
      </c>
      <c r="T430" s="6">
        <v>15</v>
      </c>
      <c r="U430" s="6">
        <v>65</v>
      </c>
      <c r="V430" s="52">
        <f>IF(ISERROR(VLOOKUP($S$430,'TAR FIN'!$A$1:$O$103,15,0)),0,VLOOKUP($S$430,'TAR FIN'!$A$1:$O$103,15,0))</f>
        <v>0</v>
      </c>
      <c r="W430" s="52">
        <f>IF(ISERROR(VLOOKUP($T$430,'TAR FIN'!$A$1:$O$103,15,0)),0,VLOOKUP($T$430,'TAR FIN'!$A$1:$O$103,15,0))*(1-0.04)</f>
        <v>1147.9871999999998</v>
      </c>
      <c r="X430" s="52">
        <f>IF(ISERROR(VLOOKUP($U$430,'TAR FIN'!$A$1:$O$103,15,0)),0,VLOOKUP($U$430,'TAR FIN'!$A$1:$O$103,15,0))*(1-0.04)</f>
        <v>375.8784</v>
      </c>
      <c r="Y430" s="52"/>
      <c r="Z430" s="52">
        <f ca="1">('TUSD BE'!$AM$23+'TUSD BF'!$AM$23+'TUSD CVA'!$AM$23)*1*(1-0.02)</f>
        <v>1357.7878188473314</v>
      </c>
      <c r="AA430" s="52">
        <f>('TE BE'!$AB$8+'TE BF'!$AB$8+'TE CVA'!$AB$8)*1*(1-0.02)</f>
        <v>354.71359410136364</v>
      </c>
      <c r="AB430" s="6">
        <f>$K$430*$V$430</f>
        <v>0</v>
      </c>
      <c r="AC430" s="6">
        <f>$M$430*$W$430</f>
        <v>832.29071999999985</v>
      </c>
      <c r="AD430" s="6">
        <f>$O$430*$X$430</f>
        <v>272.51184000000001</v>
      </c>
      <c r="AE430" s="6">
        <f>$K$430*$Y$430</f>
        <v>0</v>
      </c>
      <c r="AF430" s="6">
        <f ca="1">$M$430*$Z$430</f>
        <v>984.39616866431527</v>
      </c>
      <c r="AG430" s="6">
        <f>$O$430*$AA$430</f>
        <v>257.16735572348864</v>
      </c>
    </row>
    <row r="431" spans="1:33" ht="11.25" customHeight="1" x14ac:dyDescent="0.3">
      <c r="A431" s="4" t="s">
        <v>57</v>
      </c>
      <c r="B431" s="4" t="s">
        <v>39</v>
      </c>
      <c r="C431" s="4" t="s">
        <v>40</v>
      </c>
      <c r="D431" s="4" t="s">
        <v>44</v>
      </c>
      <c r="E431" s="4" t="s">
        <v>53</v>
      </c>
      <c r="F431" s="4" t="s">
        <v>25</v>
      </c>
      <c r="G431" s="4" t="s">
        <v>25</v>
      </c>
      <c r="H431" s="4" t="s">
        <v>34</v>
      </c>
      <c r="I431" s="5">
        <v>44835</v>
      </c>
      <c r="J431" s="6">
        <v>0</v>
      </c>
      <c r="K431" s="52">
        <v>0</v>
      </c>
      <c r="L431" s="6">
        <v>0.72499999999999998</v>
      </c>
      <c r="M431" s="52">
        <v>0.72499999999999998</v>
      </c>
      <c r="N431" s="6">
        <v>0.72499999999999998</v>
      </c>
      <c r="O431" s="52">
        <v>0.72499999999999998</v>
      </c>
      <c r="P431" s="6">
        <v>0</v>
      </c>
      <c r="Q431" s="4" t="s">
        <v>26</v>
      </c>
      <c r="R431" s="4">
        <v>0</v>
      </c>
      <c r="S431" s="6">
        <v>0</v>
      </c>
      <c r="T431" s="6">
        <v>15</v>
      </c>
      <c r="U431" s="6">
        <v>65</v>
      </c>
      <c r="V431" s="52">
        <f>IF(ISERROR(VLOOKUP($S$431,'TAR FIN'!$A$1:$O$103,15,0)),0,VLOOKUP($S$431,'TAR FIN'!$A$1:$O$103,15,0))</f>
        <v>0</v>
      </c>
      <c r="W431" s="52">
        <f>IF(ISERROR(VLOOKUP($T$431,'TAR FIN'!$A$1:$O$103,15,0)),0,VLOOKUP($T$431,'TAR FIN'!$A$1:$O$103,15,0))*(1-0.04)</f>
        <v>1147.9871999999998</v>
      </c>
      <c r="X431" s="52">
        <f>IF(ISERROR(VLOOKUP($U$431,'TAR FIN'!$A$1:$O$103,15,0)),0,VLOOKUP($U$431,'TAR FIN'!$A$1:$O$103,15,0))*(1-0.04)</f>
        <v>375.8784</v>
      </c>
      <c r="Y431" s="52"/>
      <c r="Z431" s="52">
        <f ca="1">('TUSD BE'!$AM$23+'TUSD BF'!$AM$23+'TUSD CVA'!$AM$23)*1*(1-0.02)</f>
        <v>1357.7878188473314</v>
      </c>
      <c r="AA431" s="52">
        <f>('TE BE'!$AB$8+'TE BF'!$AB$8+'TE CVA'!$AB$8)*1*(1-0.02)</f>
        <v>354.71359410136364</v>
      </c>
      <c r="AB431" s="6">
        <f>$K$431*$V$431</f>
        <v>0</v>
      </c>
      <c r="AC431" s="6">
        <f>$M$431*$W$431</f>
        <v>832.29071999999985</v>
      </c>
      <c r="AD431" s="6">
        <f>$O$431*$X$431</f>
        <v>272.51184000000001</v>
      </c>
      <c r="AE431" s="6">
        <f>$K$431*$Y$431</f>
        <v>0</v>
      </c>
      <c r="AF431" s="6">
        <f ca="1">$M$431*$Z$431</f>
        <v>984.39616866431527</v>
      </c>
      <c r="AG431" s="6">
        <f>$O$431*$AA$431</f>
        <v>257.16735572348864</v>
      </c>
    </row>
    <row r="432" spans="1:33" ht="11.25" customHeight="1" x14ac:dyDescent="0.3">
      <c r="A432" s="4" t="s">
        <v>21</v>
      </c>
      <c r="B432" s="4" t="s">
        <v>39</v>
      </c>
      <c r="C432" s="4" t="s">
        <v>40</v>
      </c>
      <c r="D432" s="4" t="s">
        <v>44</v>
      </c>
      <c r="E432" s="4" t="s">
        <v>56</v>
      </c>
      <c r="F432" s="4" t="s">
        <v>25</v>
      </c>
      <c r="G432" s="4" t="s">
        <v>25</v>
      </c>
      <c r="H432" s="4" t="s">
        <v>35</v>
      </c>
      <c r="I432" s="5">
        <v>44501</v>
      </c>
      <c r="J432" s="6">
        <v>0</v>
      </c>
      <c r="K432" s="52">
        <v>0</v>
      </c>
      <c r="L432" s="6">
        <v>0.39800000000000002</v>
      </c>
      <c r="M432" s="52">
        <v>0.39800000000000002</v>
      </c>
      <c r="N432" s="6">
        <v>0.39800000000000002</v>
      </c>
      <c r="O432" s="52">
        <v>0.39800000000000002</v>
      </c>
      <c r="P432" s="6">
        <v>0</v>
      </c>
      <c r="Q432" s="4" t="s">
        <v>26</v>
      </c>
      <c r="R432" s="4">
        <v>0</v>
      </c>
      <c r="S432" s="6">
        <v>0</v>
      </c>
      <c r="T432" s="6">
        <v>17</v>
      </c>
      <c r="U432" s="6">
        <v>66</v>
      </c>
      <c r="V432" s="52">
        <f>IF(ISERROR(VLOOKUP($S$432,'TAR FIN'!$A$1:$O$103,15,0)),0,VLOOKUP($S$432,'TAR FIN'!$A$1:$O$103,15,0))</f>
        <v>0</v>
      </c>
      <c r="W432" s="52">
        <f>IF(ISERROR(VLOOKUP($T$432,'TAR FIN'!$A$1:$O$103,15,0)),0,VLOOKUP($T$432,'TAR FIN'!$A$1:$O$103,15,0))*(1-0.04)</f>
        <v>81.590399999999988</v>
      </c>
      <c r="X432" s="52">
        <f>IF(ISERROR(VLOOKUP($U$432,'TAR FIN'!$A$1:$O$103,15,0)),0,VLOOKUP($U$432,'TAR FIN'!$A$1:$O$103,15,0))*(1-0.04)</f>
        <v>233.0592</v>
      </c>
      <c r="Y432" s="52"/>
      <c r="Z432" s="52">
        <f ca="1">('TUSD BE'!$AM$24+'TUSD BF'!$AM$24+'TUSD CVA'!$AM$24)*1*(1-0.02)</f>
        <v>142.80792645762099</v>
      </c>
      <c r="AA432" s="52">
        <f>('TE BE'!$AB$9+'TE BF'!$AB$9+'TE CVA'!$AB$9)*1*(1-0.02)</f>
        <v>217.94598758226687</v>
      </c>
      <c r="AB432" s="6">
        <f>$K$432*$V$432</f>
        <v>0</v>
      </c>
      <c r="AC432" s="6">
        <f>$M$432*$W$432</f>
        <v>32.472979199999997</v>
      </c>
      <c r="AD432" s="6">
        <f>$O$432*$X$432</f>
        <v>92.757561600000002</v>
      </c>
      <c r="AE432" s="6">
        <f>$K$432*$Y$432</f>
        <v>0</v>
      </c>
      <c r="AF432" s="6">
        <f ca="1">$M$432*$Z$432</f>
        <v>56.837554730133157</v>
      </c>
      <c r="AG432" s="6">
        <f>$O$432*$AA$432</f>
        <v>86.742503057742212</v>
      </c>
    </row>
    <row r="433" spans="1:33" ht="11.25" customHeight="1" x14ac:dyDescent="0.3">
      <c r="A433" s="4" t="s">
        <v>21</v>
      </c>
      <c r="B433" s="4" t="s">
        <v>39</v>
      </c>
      <c r="C433" s="4" t="s">
        <v>40</v>
      </c>
      <c r="D433" s="4" t="s">
        <v>44</v>
      </c>
      <c r="E433" s="4" t="s">
        <v>56</v>
      </c>
      <c r="F433" s="4" t="s">
        <v>25</v>
      </c>
      <c r="G433" s="4" t="s">
        <v>25</v>
      </c>
      <c r="H433" s="4" t="s">
        <v>35</v>
      </c>
      <c r="I433" s="5">
        <v>44531</v>
      </c>
      <c r="J433" s="6">
        <v>0</v>
      </c>
      <c r="K433" s="52">
        <v>0</v>
      </c>
      <c r="L433" s="6">
        <v>0.41799999999999998</v>
      </c>
      <c r="M433" s="52">
        <v>0.41799999999999998</v>
      </c>
      <c r="N433" s="6">
        <v>0.41799999999999998</v>
      </c>
      <c r="O433" s="52">
        <v>0.41799999999999998</v>
      </c>
      <c r="P433" s="6">
        <v>0</v>
      </c>
      <c r="Q433" s="4" t="s">
        <v>26</v>
      </c>
      <c r="R433" s="4">
        <v>0</v>
      </c>
      <c r="S433" s="6">
        <v>0</v>
      </c>
      <c r="T433" s="6">
        <v>17</v>
      </c>
      <c r="U433" s="6">
        <v>66</v>
      </c>
      <c r="V433" s="52">
        <f>IF(ISERROR(VLOOKUP($S$433,'TAR FIN'!$A$1:$O$103,15,0)),0,VLOOKUP($S$433,'TAR FIN'!$A$1:$O$103,15,0))</f>
        <v>0</v>
      </c>
      <c r="W433" s="52">
        <f>IF(ISERROR(VLOOKUP($T$433,'TAR FIN'!$A$1:$O$103,15,0)),0,VLOOKUP($T$433,'TAR FIN'!$A$1:$O$103,15,0))*(1-0.04)</f>
        <v>81.590399999999988</v>
      </c>
      <c r="X433" s="52">
        <f>IF(ISERROR(VLOOKUP($U$433,'TAR FIN'!$A$1:$O$103,15,0)),0,VLOOKUP($U$433,'TAR FIN'!$A$1:$O$103,15,0))*(1-0.04)</f>
        <v>233.0592</v>
      </c>
      <c r="Y433" s="52"/>
      <c r="Z433" s="52">
        <f ca="1">('TUSD BE'!$AM$24+'TUSD BF'!$AM$24+'TUSD CVA'!$AM$24)*1*(1-0.02)</f>
        <v>142.80792645762099</v>
      </c>
      <c r="AA433" s="52">
        <f>('TE BE'!$AB$9+'TE BF'!$AB$9+'TE CVA'!$AB$9)*1*(1-0.02)</f>
        <v>217.94598758226687</v>
      </c>
      <c r="AB433" s="6">
        <f>$K$433*$V$433</f>
        <v>0</v>
      </c>
      <c r="AC433" s="6">
        <f>$M$433*$W$433</f>
        <v>34.104787199999997</v>
      </c>
      <c r="AD433" s="6">
        <f>$O$433*$X$433</f>
        <v>97.418745599999994</v>
      </c>
      <c r="AE433" s="6">
        <f>$K$433*$Y$433</f>
        <v>0</v>
      </c>
      <c r="AF433" s="6">
        <f ca="1">$M$433*$Z$433</f>
        <v>59.693713259285573</v>
      </c>
      <c r="AG433" s="6">
        <f>$O$433*$AA$433</f>
        <v>91.101422809387543</v>
      </c>
    </row>
    <row r="434" spans="1:33" ht="11.25" customHeight="1" x14ac:dyDescent="0.3">
      <c r="A434" s="4" t="s">
        <v>21</v>
      </c>
      <c r="B434" s="4" t="s">
        <v>39</v>
      </c>
      <c r="C434" s="4" t="s">
        <v>40</v>
      </c>
      <c r="D434" s="4" t="s">
        <v>44</v>
      </c>
      <c r="E434" s="4" t="s">
        <v>56</v>
      </c>
      <c r="F434" s="4" t="s">
        <v>25</v>
      </c>
      <c r="G434" s="4" t="s">
        <v>25</v>
      </c>
      <c r="H434" s="4" t="s">
        <v>35</v>
      </c>
      <c r="I434" s="5">
        <v>44562</v>
      </c>
      <c r="J434" s="6">
        <v>0</v>
      </c>
      <c r="K434" s="52">
        <v>0</v>
      </c>
      <c r="L434" s="6">
        <v>0.42899999999999999</v>
      </c>
      <c r="M434" s="52">
        <v>0.42899999999999999</v>
      </c>
      <c r="N434" s="6">
        <v>0.42899999999999999</v>
      </c>
      <c r="O434" s="52">
        <v>0.42899999999999999</v>
      </c>
      <c r="P434" s="6">
        <v>0</v>
      </c>
      <c r="Q434" s="4" t="s">
        <v>26</v>
      </c>
      <c r="R434" s="4">
        <v>0</v>
      </c>
      <c r="S434" s="6">
        <v>0</v>
      </c>
      <c r="T434" s="6">
        <v>17</v>
      </c>
      <c r="U434" s="6">
        <v>66</v>
      </c>
      <c r="V434" s="52">
        <f>IF(ISERROR(VLOOKUP($S$434,'TAR FIN'!$A$1:$O$103,15,0)),0,VLOOKUP($S$434,'TAR FIN'!$A$1:$O$103,15,0))</f>
        <v>0</v>
      </c>
      <c r="W434" s="52">
        <f>IF(ISERROR(VLOOKUP($T$434,'TAR FIN'!$A$1:$O$103,15,0)),0,VLOOKUP($T$434,'TAR FIN'!$A$1:$O$103,15,0))*(1-0.04)</f>
        <v>81.590399999999988</v>
      </c>
      <c r="X434" s="52">
        <f>IF(ISERROR(VLOOKUP($U$434,'TAR FIN'!$A$1:$O$103,15,0)),0,VLOOKUP($U$434,'TAR FIN'!$A$1:$O$103,15,0))*(1-0.04)</f>
        <v>233.0592</v>
      </c>
      <c r="Y434" s="52"/>
      <c r="Z434" s="52">
        <f ca="1">('TUSD BE'!$AM$24+'TUSD BF'!$AM$24+'TUSD CVA'!$AM$24)*1*(1-0.02)</f>
        <v>142.80792645762099</v>
      </c>
      <c r="AA434" s="52">
        <f>('TE BE'!$AB$9+'TE BF'!$AB$9+'TE CVA'!$AB$9)*1*(1-0.02)</f>
        <v>217.94598758226687</v>
      </c>
      <c r="AB434" s="6">
        <f>$K$434*$V$434</f>
        <v>0</v>
      </c>
      <c r="AC434" s="6">
        <f>$M$434*$W$434</f>
        <v>35.002281599999996</v>
      </c>
      <c r="AD434" s="6">
        <f>$O$434*$X$434</f>
        <v>99.982396800000004</v>
      </c>
      <c r="AE434" s="6">
        <f>$K$434*$Y$434</f>
        <v>0</v>
      </c>
      <c r="AF434" s="6">
        <f ca="1">$M$434*$Z$434</f>
        <v>61.264600450319406</v>
      </c>
      <c r="AG434" s="6">
        <f>$O$434*$AA$434</f>
        <v>93.498828672792484</v>
      </c>
    </row>
    <row r="435" spans="1:33" ht="11.25" customHeight="1" x14ac:dyDescent="0.3">
      <c r="A435" s="4" t="s">
        <v>21</v>
      </c>
      <c r="B435" s="4" t="s">
        <v>39</v>
      </c>
      <c r="C435" s="4" t="s">
        <v>40</v>
      </c>
      <c r="D435" s="4" t="s">
        <v>44</v>
      </c>
      <c r="E435" s="4" t="s">
        <v>56</v>
      </c>
      <c r="F435" s="4" t="s">
        <v>25</v>
      </c>
      <c r="G435" s="4" t="s">
        <v>25</v>
      </c>
      <c r="H435" s="4" t="s">
        <v>25</v>
      </c>
      <c r="I435" s="5">
        <v>44501</v>
      </c>
      <c r="J435" s="6">
        <v>1</v>
      </c>
      <c r="K435" s="52">
        <v>1</v>
      </c>
      <c r="L435" s="6">
        <v>0</v>
      </c>
      <c r="M435" s="52">
        <v>0</v>
      </c>
      <c r="N435" s="6">
        <v>0</v>
      </c>
      <c r="O435" s="52">
        <v>0</v>
      </c>
      <c r="P435" s="6">
        <v>2</v>
      </c>
      <c r="Q435" s="4" t="s">
        <v>26</v>
      </c>
      <c r="R435" s="4">
        <v>0</v>
      </c>
      <c r="S435" s="6">
        <v>13</v>
      </c>
      <c r="T435" s="6">
        <v>0</v>
      </c>
      <c r="U435" s="6">
        <v>0</v>
      </c>
      <c r="V435" s="52">
        <f>IF(ISERROR(VLOOKUP($S$435,'TAR FIN'!$A$1:$O$103,15,0)),0,VLOOKUP($S$435,'TAR FIN'!$A$1:$O$103,15,0))*(1-0.04)</f>
        <v>18.1632</v>
      </c>
      <c r="W435" s="52">
        <f>IF(ISERROR(VLOOKUP($T$435,'TAR FIN'!$A$1:$O$103,15,0)),0,VLOOKUP($T$435,'TAR FIN'!$A$1:$O$103,15,0))</f>
        <v>0</v>
      </c>
      <c r="X435" s="52">
        <f>IF(ISERROR(VLOOKUP($U$435,'TAR FIN'!$A$1:$O$103,15,0)),0,VLOOKUP($U$435,'TAR FIN'!$A$1:$O$103,15,0))</f>
        <v>0</v>
      </c>
      <c r="Y435" s="52">
        <f ca="1">('TUSD BE'!$AM$22+'TUSD BF'!$AM$22+'TUSD CVA'!$AM$22)*1*(1-0.02)</f>
        <v>20.941951853111981</v>
      </c>
      <c r="Z435" s="52"/>
      <c r="AA435" s="52"/>
      <c r="AB435" s="6">
        <f>$K$435*$V$435</f>
        <v>18.1632</v>
      </c>
      <c r="AC435" s="6">
        <f>$M$435*$W$435</f>
        <v>0</v>
      </c>
      <c r="AD435" s="6">
        <f>$O$435*$X$435</f>
        <v>0</v>
      </c>
      <c r="AE435" s="6">
        <f ca="1">$K$435*$Y$435</f>
        <v>20.941951853111981</v>
      </c>
      <c r="AF435" s="6">
        <f>$M$435*$Z$435</f>
        <v>0</v>
      </c>
      <c r="AG435" s="6">
        <f>$O$435*$AA$435</f>
        <v>0</v>
      </c>
    </row>
    <row r="436" spans="1:33" ht="11.25" customHeight="1" x14ac:dyDescent="0.3">
      <c r="A436" s="4" t="s">
        <v>21</v>
      </c>
      <c r="B436" s="4" t="s">
        <v>39</v>
      </c>
      <c r="C436" s="4" t="s">
        <v>40</v>
      </c>
      <c r="D436" s="4" t="s">
        <v>44</v>
      </c>
      <c r="E436" s="4" t="s">
        <v>56</v>
      </c>
      <c r="F436" s="4" t="s">
        <v>25</v>
      </c>
      <c r="G436" s="4" t="s">
        <v>25</v>
      </c>
      <c r="H436" s="4" t="s">
        <v>25</v>
      </c>
      <c r="I436" s="5">
        <v>44531</v>
      </c>
      <c r="J436" s="6">
        <v>1</v>
      </c>
      <c r="K436" s="52">
        <v>1</v>
      </c>
      <c r="L436" s="6">
        <v>0</v>
      </c>
      <c r="M436" s="52">
        <v>0</v>
      </c>
      <c r="N436" s="6">
        <v>0</v>
      </c>
      <c r="O436" s="52">
        <v>0</v>
      </c>
      <c r="P436" s="6">
        <v>2</v>
      </c>
      <c r="Q436" s="4" t="s">
        <v>26</v>
      </c>
      <c r="R436" s="4">
        <v>0</v>
      </c>
      <c r="S436" s="6">
        <v>13</v>
      </c>
      <c r="T436" s="6">
        <v>0</v>
      </c>
      <c r="U436" s="6">
        <v>0</v>
      </c>
      <c r="V436" s="52">
        <f>IF(ISERROR(VLOOKUP($S$436,'TAR FIN'!$A$1:$O$103,15,0)),0,VLOOKUP($S$436,'TAR FIN'!$A$1:$O$103,15,0))*(1-0.04)</f>
        <v>18.1632</v>
      </c>
      <c r="W436" s="52">
        <f>IF(ISERROR(VLOOKUP($T$436,'TAR FIN'!$A$1:$O$103,15,0)),0,VLOOKUP($T$436,'TAR FIN'!$A$1:$O$103,15,0))</f>
        <v>0</v>
      </c>
      <c r="X436" s="52">
        <f>IF(ISERROR(VLOOKUP($U$436,'TAR FIN'!$A$1:$O$103,15,0)),0,VLOOKUP($U$436,'TAR FIN'!$A$1:$O$103,15,0))</f>
        <v>0</v>
      </c>
      <c r="Y436" s="52">
        <f ca="1">('TUSD BE'!$AM$22+'TUSD BF'!$AM$22+'TUSD CVA'!$AM$22)*1*(1-0.02)</f>
        <v>20.941951853111981</v>
      </c>
      <c r="Z436" s="52"/>
      <c r="AA436" s="52"/>
      <c r="AB436" s="6">
        <f>$K$436*$V$436</f>
        <v>18.1632</v>
      </c>
      <c r="AC436" s="6">
        <f>$M$436*$W$436</f>
        <v>0</v>
      </c>
      <c r="AD436" s="6">
        <f>$O$436*$X$436</f>
        <v>0</v>
      </c>
      <c r="AE436" s="6">
        <f ca="1">$K$436*$Y$436</f>
        <v>20.941951853111981</v>
      </c>
      <c r="AF436" s="6">
        <f>$M$436*$Z$436</f>
        <v>0</v>
      </c>
      <c r="AG436" s="6">
        <f>$O$436*$AA$436</f>
        <v>0</v>
      </c>
    </row>
    <row r="437" spans="1:33" ht="11.25" customHeight="1" x14ac:dyDescent="0.3">
      <c r="A437" s="4" t="s">
        <v>21</v>
      </c>
      <c r="B437" s="4" t="s">
        <v>39</v>
      </c>
      <c r="C437" s="4" t="s">
        <v>40</v>
      </c>
      <c r="D437" s="4" t="s">
        <v>44</v>
      </c>
      <c r="E437" s="4" t="s">
        <v>56</v>
      </c>
      <c r="F437" s="4" t="s">
        <v>25</v>
      </c>
      <c r="G437" s="4" t="s">
        <v>25</v>
      </c>
      <c r="H437" s="4" t="s">
        <v>25</v>
      </c>
      <c r="I437" s="5">
        <v>44562</v>
      </c>
      <c r="J437" s="6">
        <v>1</v>
      </c>
      <c r="K437" s="52">
        <v>1</v>
      </c>
      <c r="L437" s="6">
        <v>0</v>
      </c>
      <c r="M437" s="52">
        <v>0</v>
      </c>
      <c r="N437" s="6">
        <v>0</v>
      </c>
      <c r="O437" s="52">
        <v>0</v>
      </c>
      <c r="P437" s="6">
        <v>2</v>
      </c>
      <c r="Q437" s="4" t="s">
        <v>26</v>
      </c>
      <c r="R437" s="4">
        <v>0</v>
      </c>
      <c r="S437" s="6">
        <v>13</v>
      </c>
      <c r="T437" s="6">
        <v>0</v>
      </c>
      <c r="U437" s="6">
        <v>0</v>
      </c>
      <c r="V437" s="52">
        <f>IF(ISERROR(VLOOKUP($S$437,'TAR FIN'!$A$1:$O$103,15,0)),0,VLOOKUP($S$437,'TAR FIN'!$A$1:$O$103,15,0))*(1-0.04)</f>
        <v>18.1632</v>
      </c>
      <c r="W437" s="52">
        <f>IF(ISERROR(VLOOKUP($T$437,'TAR FIN'!$A$1:$O$103,15,0)),0,VLOOKUP($T$437,'TAR FIN'!$A$1:$O$103,15,0))</f>
        <v>0</v>
      </c>
      <c r="X437" s="52">
        <f>IF(ISERROR(VLOOKUP($U$437,'TAR FIN'!$A$1:$O$103,15,0)),0,VLOOKUP($U$437,'TAR FIN'!$A$1:$O$103,15,0))</f>
        <v>0</v>
      </c>
      <c r="Y437" s="52">
        <f ca="1">('TUSD BE'!$AM$22+'TUSD BF'!$AM$22+'TUSD CVA'!$AM$22)*1*(1-0.02)</f>
        <v>20.941951853111981</v>
      </c>
      <c r="Z437" s="52"/>
      <c r="AA437" s="52"/>
      <c r="AB437" s="6">
        <f>$K$437*$V$437</f>
        <v>18.1632</v>
      </c>
      <c r="AC437" s="6">
        <f>$M$437*$W$437</f>
        <v>0</v>
      </c>
      <c r="AD437" s="6">
        <f>$O$437*$X$437</f>
        <v>0</v>
      </c>
      <c r="AE437" s="6">
        <f ca="1">$K$437*$Y$437</f>
        <v>20.941951853111981</v>
      </c>
      <c r="AF437" s="6">
        <f>$M$437*$Z$437</f>
        <v>0</v>
      </c>
      <c r="AG437" s="6">
        <f>$O$437*$AA$437</f>
        <v>0</v>
      </c>
    </row>
    <row r="438" spans="1:33" ht="11.25" customHeight="1" x14ac:dyDescent="0.3">
      <c r="A438" s="4" t="s">
        <v>21</v>
      </c>
      <c r="B438" s="4" t="s">
        <v>39</v>
      </c>
      <c r="C438" s="4" t="s">
        <v>40</v>
      </c>
      <c r="D438" s="4" t="s">
        <v>44</v>
      </c>
      <c r="E438" s="4" t="s">
        <v>56</v>
      </c>
      <c r="F438" s="4" t="s">
        <v>25</v>
      </c>
      <c r="G438" s="4" t="s">
        <v>25</v>
      </c>
      <c r="H438" s="4" t="s">
        <v>34</v>
      </c>
      <c r="I438" s="5">
        <v>44501</v>
      </c>
      <c r="J438" s="6">
        <v>0</v>
      </c>
      <c r="K438" s="52">
        <v>0</v>
      </c>
      <c r="L438" s="6">
        <v>0.06</v>
      </c>
      <c r="M438" s="52">
        <v>0.06</v>
      </c>
      <c r="N438" s="6">
        <v>0.06</v>
      </c>
      <c r="O438" s="52">
        <v>0.06</v>
      </c>
      <c r="P438" s="6">
        <v>0</v>
      </c>
      <c r="Q438" s="4" t="s">
        <v>26</v>
      </c>
      <c r="R438" s="4">
        <v>0</v>
      </c>
      <c r="S438" s="6">
        <v>0</v>
      </c>
      <c r="T438" s="6">
        <v>15</v>
      </c>
      <c r="U438" s="6">
        <v>65</v>
      </c>
      <c r="V438" s="52">
        <f>IF(ISERROR(VLOOKUP($S$438,'TAR FIN'!$A$1:$O$103,15,0)),0,VLOOKUP($S$438,'TAR FIN'!$A$1:$O$103,15,0))</f>
        <v>0</v>
      </c>
      <c r="W438" s="52">
        <f>IF(ISERROR(VLOOKUP($T$438,'TAR FIN'!$A$1:$O$103,15,0)),0,VLOOKUP($T$438,'TAR FIN'!$A$1:$O$103,15,0))*(1-0.04)</f>
        <v>1147.9871999999998</v>
      </c>
      <c r="X438" s="52">
        <f>IF(ISERROR(VLOOKUP($U$438,'TAR FIN'!$A$1:$O$103,15,0)),0,VLOOKUP($U$438,'TAR FIN'!$A$1:$O$103,15,0))*(1-0.04)</f>
        <v>375.8784</v>
      </c>
      <c r="Y438" s="52"/>
      <c r="Z438" s="52">
        <f ca="1">('TUSD BE'!$AM$23+'TUSD BF'!$AM$23+'TUSD CVA'!$AM$23)*1*(1-0.02)</f>
        <v>1357.7878188473314</v>
      </c>
      <c r="AA438" s="52">
        <f>('TE BE'!$AB$8+'TE BF'!$AB$8+'TE CVA'!$AB$8)*1*(1-0.02)</f>
        <v>354.71359410136364</v>
      </c>
      <c r="AB438" s="6">
        <f>$K$438*$V$438</f>
        <v>0</v>
      </c>
      <c r="AC438" s="6">
        <f>$M$438*$W$438</f>
        <v>68.879231999999988</v>
      </c>
      <c r="AD438" s="6">
        <f>$O$438*$X$438</f>
        <v>22.552703999999999</v>
      </c>
      <c r="AE438" s="6">
        <f>$K$438*$Y$438</f>
        <v>0</v>
      </c>
      <c r="AF438" s="6">
        <f ca="1">$M$438*$Z$438</f>
        <v>81.467269130839881</v>
      </c>
      <c r="AG438" s="6">
        <f>$O$438*$AA$438</f>
        <v>21.282815646081819</v>
      </c>
    </row>
    <row r="439" spans="1:33" ht="11.25" customHeight="1" x14ac:dyDescent="0.3">
      <c r="A439" s="4" t="s">
        <v>21</v>
      </c>
      <c r="B439" s="4" t="s">
        <v>39</v>
      </c>
      <c r="C439" s="4" t="s">
        <v>40</v>
      </c>
      <c r="D439" s="4" t="s">
        <v>44</v>
      </c>
      <c r="E439" s="4" t="s">
        <v>56</v>
      </c>
      <c r="F439" s="4" t="s">
        <v>25</v>
      </c>
      <c r="G439" s="4" t="s">
        <v>25</v>
      </c>
      <c r="H439" s="4" t="s">
        <v>34</v>
      </c>
      <c r="I439" s="5">
        <v>44531</v>
      </c>
      <c r="J439" s="6">
        <v>0</v>
      </c>
      <c r="K439" s="52">
        <v>0</v>
      </c>
      <c r="L439" s="6">
        <v>6.5000000000000002E-2</v>
      </c>
      <c r="M439" s="52">
        <v>6.5000000000000002E-2</v>
      </c>
      <c r="N439" s="6">
        <v>6.5000000000000002E-2</v>
      </c>
      <c r="O439" s="52">
        <v>6.5000000000000002E-2</v>
      </c>
      <c r="P439" s="6">
        <v>0</v>
      </c>
      <c r="Q439" s="4" t="s">
        <v>26</v>
      </c>
      <c r="R439" s="4">
        <v>0</v>
      </c>
      <c r="S439" s="6">
        <v>0</v>
      </c>
      <c r="T439" s="6">
        <v>15</v>
      </c>
      <c r="U439" s="6">
        <v>65</v>
      </c>
      <c r="V439" s="52">
        <f>IF(ISERROR(VLOOKUP($S$439,'TAR FIN'!$A$1:$O$103,15,0)),0,VLOOKUP($S$439,'TAR FIN'!$A$1:$O$103,15,0))</f>
        <v>0</v>
      </c>
      <c r="W439" s="52">
        <f>IF(ISERROR(VLOOKUP($T$439,'TAR FIN'!$A$1:$O$103,15,0)),0,VLOOKUP($T$439,'TAR FIN'!$A$1:$O$103,15,0))*(1-0.04)</f>
        <v>1147.9871999999998</v>
      </c>
      <c r="X439" s="52">
        <f>IF(ISERROR(VLOOKUP($U$439,'TAR FIN'!$A$1:$O$103,15,0)),0,VLOOKUP($U$439,'TAR FIN'!$A$1:$O$103,15,0))*(1-0.04)</f>
        <v>375.8784</v>
      </c>
      <c r="Y439" s="52"/>
      <c r="Z439" s="52">
        <f ca="1">('TUSD BE'!$AM$23+'TUSD BF'!$AM$23+'TUSD CVA'!$AM$23)*1*(1-0.02)</f>
        <v>1357.7878188473314</v>
      </c>
      <c r="AA439" s="52">
        <f>('TE BE'!$AB$8+'TE BF'!$AB$8+'TE CVA'!$AB$8)*1*(1-0.02)</f>
        <v>354.71359410136364</v>
      </c>
      <c r="AB439" s="6">
        <f>$K$439*$V$439</f>
        <v>0</v>
      </c>
      <c r="AC439" s="6">
        <f>$M$439*$W$439</f>
        <v>74.619167999999988</v>
      </c>
      <c r="AD439" s="6">
        <f>$O$439*$X$439</f>
        <v>24.432096000000001</v>
      </c>
      <c r="AE439" s="6">
        <f>$K$439*$Y$439</f>
        <v>0</v>
      </c>
      <c r="AF439" s="6">
        <f ca="1">$M$439*$Z$439</f>
        <v>88.256208225076549</v>
      </c>
      <c r="AG439" s="6">
        <f>$O$439*$AA$439</f>
        <v>23.056383616588636</v>
      </c>
    </row>
    <row r="440" spans="1:33" ht="11.25" customHeight="1" x14ac:dyDescent="0.3">
      <c r="A440" s="4" t="s">
        <v>21</v>
      </c>
      <c r="B440" s="4" t="s">
        <v>39</v>
      </c>
      <c r="C440" s="4" t="s">
        <v>40</v>
      </c>
      <c r="D440" s="4" t="s">
        <v>44</v>
      </c>
      <c r="E440" s="4" t="s">
        <v>56</v>
      </c>
      <c r="F440" s="4" t="s">
        <v>25</v>
      </c>
      <c r="G440" s="4" t="s">
        <v>25</v>
      </c>
      <c r="H440" s="4" t="s">
        <v>34</v>
      </c>
      <c r="I440" s="5">
        <v>44562</v>
      </c>
      <c r="J440" s="6">
        <v>0</v>
      </c>
      <c r="K440" s="52">
        <v>0</v>
      </c>
      <c r="L440" s="6">
        <v>5.3999999999999999E-2</v>
      </c>
      <c r="M440" s="52">
        <v>5.3999999999999999E-2</v>
      </c>
      <c r="N440" s="6">
        <v>5.3999999999999999E-2</v>
      </c>
      <c r="O440" s="52">
        <v>5.3999999999999999E-2</v>
      </c>
      <c r="P440" s="6">
        <v>0</v>
      </c>
      <c r="Q440" s="4" t="s">
        <v>26</v>
      </c>
      <c r="R440" s="4">
        <v>0</v>
      </c>
      <c r="S440" s="6">
        <v>0</v>
      </c>
      <c r="T440" s="6">
        <v>15</v>
      </c>
      <c r="U440" s="6">
        <v>65</v>
      </c>
      <c r="V440" s="52">
        <f>IF(ISERROR(VLOOKUP($S$440,'TAR FIN'!$A$1:$O$103,15,0)),0,VLOOKUP($S$440,'TAR FIN'!$A$1:$O$103,15,0))</f>
        <v>0</v>
      </c>
      <c r="W440" s="52">
        <f>IF(ISERROR(VLOOKUP($T$440,'TAR FIN'!$A$1:$O$103,15,0)),0,VLOOKUP($T$440,'TAR FIN'!$A$1:$O$103,15,0))*(1-0.04)</f>
        <v>1147.9871999999998</v>
      </c>
      <c r="X440" s="52">
        <f>IF(ISERROR(VLOOKUP($U$440,'TAR FIN'!$A$1:$O$103,15,0)),0,VLOOKUP($U$440,'TAR FIN'!$A$1:$O$103,15,0))*(1-0.04)</f>
        <v>375.8784</v>
      </c>
      <c r="Y440" s="52"/>
      <c r="Z440" s="52">
        <f ca="1">('TUSD BE'!$AM$23+'TUSD BF'!$AM$23+'TUSD CVA'!$AM$23)*1*(1-0.02)</f>
        <v>1357.7878188473314</v>
      </c>
      <c r="AA440" s="52">
        <f>('TE BE'!$AB$8+'TE BF'!$AB$8+'TE CVA'!$AB$8)*1*(1-0.02)</f>
        <v>354.71359410136364</v>
      </c>
      <c r="AB440" s="6">
        <f>$K$440*$V$440</f>
        <v>0</v>
      </c>
      <c r="AC440" s="6">
        <f>$M$440*$W$440</f>
        <v>61.991308799999992</v>
      </c>
      <c r="AD440" s="6">
        <f>$O$440*$X$440</f>
        <v>20.297433599999998</v>
      </c>
      <c r="AE440" s="6">
        <f>$K$440*$Y$440</f>
        <v>0</v>
      </c>
      <c r="AF440" s="6">
        <f ca="1">$M$440*$Z$440</f>
        <v>73.3205422177559</v>
      </c>
      <c r="AG440" s="6">
        <f>$O$440*$AA$440</f>
        <v>19.154534081473635</v>
      </c>
    </row>
    <row r="441" spans="1:33" ht="11.25" customHeight="1" x14ac:dyDescent="0.3">
      <c r="A441" s="4" t="s">
        <v>21</v>
      </c>
      <c r="B441" s="4" t="s">
        <v>39</v>
      </c>
      <c r="C441" s="4" t="s">
        <v>40</v>
      </c>
      <c r="D441" s="4" t="s">
        <v>44</v>
      </c>
      <c r="E441" s="4" t="s">
        <v>25</v>
      </c>
      <c r="F441" s="4" t="s">
        <v>25</v>
      </c>
      <c r="G441" s="4" t="s">
        <v>25</v>
      </c>
      <c r="H441" s="4" t="s">
        <v>35</v>
      </c>
      <c r="I441" s="5">
        <v>44743</v>
      </c>
      <c r="J441" s="6">
        <v>0</v>
      </c>
      <c r="K441" s="52">
        <v>0</v>
      </c>
      <c r="L441" s="6">
        <v>42.765999999999998</v>
      </c>
      <c r="M441" s="52">
        <v>42.765999999999998</v>
      </c>
      <c r="N441" s="6">
        <v>42.765999999999998</v>
      </c>
      <c r="O441" s="52">
        <v>42.765999999999998</v>
      </c>
      <c r="P441" s="6">
        <v>0</v>
      </c>
      <c r="Q441" s="4" t="s">
        <v>26</v>
      </c>
      <c r="R441" s="4">
        <v>0</v>
      </c>
      <c r="S441" s="6">
        <v>0</v>
      </c>
      <c r="T441" s="6">
        <v>17</v>
      </c>
      <c r="U441" s="6">
        <v>66</v>
      </c>
      <c r="V441" s="52">
        <f>IF(ISERROR(VLOOKUP($S$441,'TAR FIN'!$A$1:$O$103,15,0)),0,VLOOKUP($S$441,'TAR FIN'!$A$1:$O$103,15,0))</f>
        <v>0</v>
      </c>
      <c r="W441" s="52">
        <f>IF(ISERROR(VLOOKUP($T$441,'TAR FIN'!$A$1:$O$103,15,0)),0,VLOOKUP($T$441,'TAR FIN'!$A$1:$O$103,15,0))*(1-0.04)</f>
        <v>81.590399999999988</v>
      </c>
      <c r="X441" s="52">
        <f>IF(ISERROR(VLOOKUP($U$441,'TAR FIN'!$A$1:$O$103,15,0)),0,VLOOKUP($U$441,'TAR FIN'!$A$1:$O$103,15,0))*(1-0.04)</f>
        <v>233.0592</v>
      </c>
      <c r="Y441" s="52"/>
      <c r="Z441" s="52">
        <f ca="1">('TUSD BE'!$AM$24+'TUSD BF'!$AM$24+'TUSD CVA'!$AM$24)*1*(1-0.02)</f>
        <v>142.80792645762099</v>
      </c>
      <c r="AA441" s="52">
        <f>('TE BE'!$AB$9+'TE BF'!$AB$9+'TE CVA'!$AB$9)*1*(1-0.02)</f>
        <v>217.94598758226687</v>
      </c>
      <c r="AB441" s="6">
        <f>$K$441*$V$441</f>
        <v>0</v>
      </c>
      <c r="AC441" s="6">
        <f>$M$441*$W$441</f>
        <v>3489.2950463999991</v>
      </c>
      <c r="AD441" s="6">
        <f>$O$441*$X$441</f>
        <v>9967.0097471999998</v>
      </c>
      <c r="AE441" s="6">
        <f>$K$441*$Y$441</f>
        <v>0</v>
      </c>
      <c r="AF441" s="6">
        <f ca="1">$M$441*$Z$441</f>
        <v>6107.3237828866195</v>
      </c>
      <c r="AG441" s="6">
        <f>$O$441*$AA$441</f>
        <v>9320.6781049432248</v>
      </c>
    </row>
    <row r="442" spans="1:33" ht="11.25" customHeight="1" x14ac:dyDescent="0.3">
      <c r="A442" s="4" t="s">
        <v>21</v>
      </c>
      <c r="B442" s="4" t="s">
        <v>39</v>
      </c>
      <c r="C442" s="4" t="s">
        <v>40</v>
      </c>
      <c r="D442" s="4" t="s">
        <v>44</v>
      </c>
      <c r="E442" s="4" t="s">
        <v>25</v>
      </c>
      <c r="F442" s="4" t="s">
        <v>25</v>
      </c>
      <c r="G442" s="4" t="s">
        <v>25</v>
      </c>
      <c r="H442" s="4" t="s">
        <v>35</v>
      </c>
      <c r="I442" s="5">
        <v>44774</v>
      </c>
      <c r="J442" s="6">
        <v>0</v>
      </c>
      <c r="K442" s="52">
        <v>0</v>
      </c>
      <c r="L442" s="6">
        <v>37.598999999999997</v>
      </c>
      <c r="M442" s="52">
        <v>37.598999999999997</v>
      </c>
      <c r="N442" s="6">
        <v>37.598999999999997</v>
      </c>
      <c r="O442" s="52">
        <v>37.598999999999997</v>
      </c>
      <c r="P442" s="6">
        <v>0</v>
      </c>
      <c r="Q442" s="4" t="s">
        <v>26</v>
      </c>
      <c r="R442" s="4">
        <v>0</v>
      </c>
      <c r="S442" s="6">
        <v>0</v>
      </c>
      <c r="T442" s="6">
        <v>17</v>
      </c>
      <c r="U442" s="6">
        <v>66</v>
      </c>
      <c r="V442" s="52">
        <f>IF(ISERROR(VLOOKUP($S$442,'TAR FIN'!$A$1:$O$103,15,0)),0,VLOOKUP($S$442,'TAR FIN'!$A$1:$O$103,15,0))</f>
        <v>0</v>
      </c>
      <c r="W442" s="52">
        <f>IF(ISERROR(VLOOKUP($T$442,'TAR FIN'!$A$1:$O$103,15,0)),0,VLOOKUP($T$442,'TAR FIN'!$A$1:$O$103,15,0))*(1-0.04)</f>
        <v>81.590399999999988</v>
      </c>
      <c r="X442" s="52">
        <f>IF(ISERROR(VLOOKUP($U$442,'TAR FIN'!$A$1:$O$103,15,0)),0,VLOOKUP($U$442,'TAR FIN'!$A$1:$O$103,15,0))*(1-0.04)</f>
        <v>233.0592</v>
      </c>
      <c r="Y442" s="52"/>
      <c r="Z442" s="52">
        <f ca="1">('TUSD BE'!$AM$24+'TUSD BF'!$AM$24+'TUSD CVA'!$AM$24)*1*(1-0.02)</f>
        <v>142.80792645762099</v>
      </c>
      <c r="AA442" s="52">
        <f>('TE BE'!$AB$9+'TE BF'!$AB$9+'TE CVA'!$AB$9)*1*(1-0.02)</f>
        <v>217.94598758226687</v>
      </c>
      <c r="AB442" s="6">
        <f>$K$442*$V$442</f>
        <v>0</v>
      </c>
      <c r="AC442" s="6">
        <f>$M$442*$W$442</f>
        <v>3067.7174495999993</v>
      </c>
      <c r="AD442" s="6">
        <f>$O$442*$X$442</f>
        <v>8762.7928608000002</v>
      </c>
      <c r="AE442" s="6">
        <f>$K$442*$Y$442</f>
        <v>0</v>
      </c>
      <c r="AF442" s="6">
        <f ca="1">$M$442*$Z$442</f>
        <v>5369.4352268800912</v>
      </c>
      <c r="AG442" s="6">
        <f>$O$442*$AA$442</f>
        <v>8194.5511871056515</v>
      </c>
    </row>
    <row r="443" spans="1:33" ht="11.25" customHeight="1" x14ac:dyDescent="0.3">
      <c r="A443" s="4" t="s">
        <v>21</v>
      </c>
      <c r="B443" s="4" t="s">
        <v>39</v>
      </c>
      <c r="C443" s="4" t="s">
        <v>40</v>
      </c>
      <c r="D443" s="4" t="s">
        <v>44</v>
      </c>
      <c r="E443" s="4" t="s">
        <v>25</v>
      </c>
      <c r="F443" s="4" t="s">
        <v>25</v>
      </c>
      <c r="G443" s="4" t="s">
        <v>25</v>
      </c>
      <c r="H443" s="4" t="s">
        <v>35</v>
      </c>
      <c r="I443" s="5">
        <v>44805</v>
      </c>
      <c r="J443" s="6">
        <v>0</v>
      </c>
      <c r="K443" s="52">
        <v>0</v>
      </c>
      <c r="L443" s="6">
        <v>35.881999999999998</v>
      </c>
      <c r="M443" s="52">
        <v>35.881999999999998</v>
      </c>
      <c r="N443" s="6">
        <v>35.881999999999998</v>
      </c>
      <c r="O443" s="52">
        <v>35.881999999999998</v>
      </c>
      <c r="P443" s="6">
        <v>0</v>
      </c>
      <c r="Q443" s="4" t="s">
        <v>26</v>
      </c>
      <c r="R443" s="4">
        <v>0</v>
      </c>
      <c r="S443" s="6">
        <v>0</v>
      </c>
      <c r="T443" s="6">
        <v>17</v>
      </c>
      <c r="U443" s="6">
        <v>66</v>
      </c>
      <c r="V443" s="52">
        <f>IF(ISERROR(VLOOKUP($S$443,'TAR FIN'!$A$1:$O$103,15,0)),0,VLOOKUP($S$443,'TAR FIN'!$A$1:$O$103,15,0))</f>
        <v>0</v>
      </c>
      <c r="W443" s="52">
        <f>IF(ISERROR(VLOOKUP($T$443,'TAR FIN'!$A$1:$O$103,15,0)),0,VLOOKUP($T$443,'TAR FIN'!$A$1:$O$103,15,0))*(1-0.04)</f>
        <v>81.590399999999988</v>
      </c>
      <c r="X443" s="52">
        <f>IF(ISERROR(VLOOKUP($U$443,'TAR FIN'!$A$1:$O$103,15,0)),0,VLOOKUP($U$443,'TAR FIN'!$A$1:$O$103,15,0))*(1-0.04)</f>
        <v>233.0592</v>
      </c>
      <c r="Y443" s="52"/>
      <c r="Z443" s="52">
        <f ca="1">('TUSD BE'!$AM$24+'TUSD BF'!$AM$24+'TUSD CVA'!$AM$24)*1*(1-0.02)</f>
        <v>142.80792645762099</v>
      </c>
      <c r="AA443" s="52">
        <f>('TE BE'!$AB$9+'TE BF'!$AB$9+'TE CVA'!$AB$9)*1*(1-0.02)</f>
        <v>217.94598758226687</v>
      </c>
      <c r="AB443" s="6">
        <f>$K$443*$V$443</f>
        <v>0</v>
      </c>
      <c r="AC443" s="6">
        <f>$M$443*$W$443</f>
        <v>2927.6267327999994</v>
      </c>
      <c r="AD443" s="6">
        <f>$O$443*$X$443</f>
        <v>8362.6302144000001</v>
      </c>
      <c r="AE443" s="6">
        <f>$K$443*$Y$443</f>
        <v>0</v>
      </c>
      <c r="AF443" s="6">
        <f ca="1">$M$443*$Z$443</f>
        <v>5124.2340171523565</v>
      </c>
      <c r="AG443" s="6">
        <f>$O$443*$AA$443</f>
        <v>7820.3379264268997</v>
      </c>
    </row>
    <row r="444" spans="1:33" ht="11.25" customHeight="1" x14ac:dyDescent="0.3">
      <c r="A444" s="4" t="s">
        <v>57</v>
      </c>
      <c r="B444" s="4" t="s">
        <v>39</v>
      </c>
      <c r="C444" s="4" t="s">
        <v>40</v>
      </c>
      <c r="D444" s="4" t="s">
        <v>44</v>
      </c>
      <c r="E444" s="4" t="s">
        <v>25</v>
      </c>
      <c r="F444" s="4" t="s">
        <v>25</v>
      </c>
      <c r="G444" s="4" t="s">
        <v>25</v>
      </c>
      <c r="H444" s="4" t="s">
        <v>35</v>
      </c>
      <c r="I444" s="5">
        <v>44835</v>
      </c>
      <c r="J444" s="6">
        <v>0</v>
      </c>
      <c r="K444" s="52">
        <v>0</v>
      </c>
      <c r="L444" s="6">
        <v>35.881999999999998</v>
      </c>
      <c r="M444" s="52">
        <v>35.881999999999998</v>
      </c>
      <c r="N444" s="6">
        <v>35.881999999999998</v>
      </c>
      <c r="O444" s="52">
        <v>35.881999999999998</v>
      </c>
      <c r="P444" s="6">
        <v>0</v>
      </c>
      <c r="Q444" s="4" t="s">
        <v>26</v>
      </c>
      <c r="R444" s="4">
        <v>0</v>
      </c>
      <c r="S444" s="6">
        <v>0</v>
      </c>
      <c r="T444" s="6">
        <v>17</v>
      </c>
      <c r="U444" s="6">
        <v>66</v>
      </c>
      <c r="V444" s="52">
        <f>IF(ISERROR(VLOOKUP($S$444,'TAR FIN'!$A$1:$O$103,15,0)),0,VLOOKUP($S$444,'TAR FIN'!$A$1:$O$103,15,0))</f>
        <v>0</v>
      </c>
      <c r="W444" s="52">
        <f>IF(ISERROR(VLOOKUP($T$444,'TAR FIN'!$A$1:$O$103,15,0)),0,VLOOKUP($T$444,'TAR FIN'!$A$1:$O$103,15,0))*(1-0.04)</f>
        <v>81.590399999999988</v>
      </c>
      <c r="X444" s="52">
        <f>IF(ISERROR(VLOOKUP($U$444,'TAR FIN'!$A$1:$O$103,15,0)),0,VLOOKUP($U$444,'TAR FIN'!$A$1:$O$103,15,0))*(1-0.04)</f>
        <v>233.0592</v>
      </c>
      <c r="Y444" s="52"/>
      <c r="Z444" s="52">
        <f ca="1">('TUSD BE'!$AM$24+'TUSD BF'!$AM$24+'TUSD CVA'!$AM$24)*1*(1-0.02)</f>
        <v>142.80792645762099</v>
      </c>
      <c r="AA444" s="52">
        <f>('TE BE'!$AB$9+'TE BF'!$AB$9+'TE CVA'!$AB$9)*1*(1-0.02)</f>
        <v>217.94598758226687</v>
      </c>
      <c r="AB444" s="6">
        <f>$K$444*$V$444</f>
        <v>0</v>
      </c>
      <c r="AC444" s="6">
        <f>$M$444*$W$444</f>
        <v>2927.6267327999994</v>
      </c>
      <c r="AD444" s="6">
        <f>$O$444*$X$444</f>
        <v>8362.6302144000001</v>
      </c>
      <c r="AE444" s="6">
        <f>$K$444*$Y$444</f>
        <v>0</v>
      </c>
      <c r="AF444" s="6">
        <f ca="1">$M$444*$Z$444</f>
        <v>5124.2340171523565</v>
      </c>
      <c r="AG444" s="6">
        <f>$O$444*$AA$444</f>
        <v>7820.3379264268997</v>
      </c>
    </row>
    <row r="445" spans="1:33" ht="11.25" customHeight="1" x14ac:dyDescent="0.3">
      <c r="A445" s="4" t="s">
        <v>21</v>
      </c>
      <c r="B445" s="4" t="s">
        <v>39</v>
      </c>
      <c r="C445" s="4" t="s">
        <v>40</v>
      </c>
      <c r="D445" s="4" t="s">
        <v>44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44743</v>
      </c>
      <c r="J445" s="6">
        <v>149</v>
      </c>
      <c r="K445" s="52">
        <v>149</v>
      </c>
      <c r="L445" s="6">
        <v>0</v>
      </c>
      <c r="M445" s="52">
        <v>0</v>
      </c>
      <c r="N445" s="6">
        <v>0</v>
      </c>
      <c r="O445" s="52">
        <v>0</v>
      </c>
      <c r="P445" s="6">
        <v>1</v>
      </c>
      <c r="Q445" s="4" t="s">
        <v>26</v>
      </c>
      <c r="R445" s="4">
        <v>0</v>
      </c>
      <c r="S445" s="6">
        <v>13</v>
      </c>
      <c r="T445" s="6">
        <v>0</v>
      </c>
      <c r="U445" s="6">
        <v>0</v>
      </c>
      <c r="V445" s="52">
        <f>IF(ISERROR(VLOOKUP($S$445,'TAR FIN'!$A$1:$O$103,15,0)),0,VLOOKUP($S$445,'TAR FIN'!$A$1:$O$103,15,0))*(1-0.04)</f>
        <v>18.1632</v>
      </c>
      <c r="W445" s="52">
        <f>IF(ISERROR(VLOOKUP($T$445,'TAR FIN'!$A$1:$O$103,15,0)),0,VLOOKUP($T$445,'TAR FIN'!$A$1:$O$103,15,0))</f>
        <v>0</v>
      </c>
      <c r="X445" s="52">
        <f>IF(ISERROR(VLOOKUP($U$445,'TAR FIN'!$A$1:$O$103,15,0)),0,VLOOKUP($U$445,'TAR FIN'!$A$1:$O$103,15,0))</f>
        <v>0</v>
      </c>
      <c r="Y445" s="52">
        <f ca="1">('TUSD BE'!$AM$22+'TUSD BF'!$AM$22+'TUSD CVA'!$AM$22)*1*(1-0.02)</f>
        <v>20.941951853111981</v>
      </c>
      <c r="Z445" s="52"/>
      <c r="AA445" s="52"/>
      <c r="AB445" s="6">
        <f>$K$445*$V$445</f>
        <v>2706.3168000000001</v>
      </c>
      <c r="AC445" s="6">
        <f>$M$445*$W$445</f>
        <v>0</v>
      </c>
      <c r="AD445" s="6">
        <f>$O$445*$X$445</f>
        <v>0</v>
      </c>
      <c r="AE445" s="6">
        <f ca="1">$K$445*$Y$445</f>
        <v>3120.3508261136849</v>
      </c>
      <c r="AF445" s="6">
        <f>$M$445*$Z$445</f>
        <v>0</v>
      </c>
      <c r="AG445" s="6">
        <f>$O$445*$AA$445</f>
        <v>0</v>
      </c>
    </row>
    <row r="446" spans="1:33" ht="11.25" customHeight="1" x14ac:dyDescent="0.3">
      <c r="A446" s="4" t="s">
        <v>21</v>
      </c>
      <c r="B446" s="4" t="s">
        <v>39</v>
      </c>
      <c r="C446" s="4" t="s">
        <v>40</v>
      </c>
      <c r="D446" s="4" t="s">
        <v>44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44774</v>
      </c>
      <c r="J446" s="6">
        <v>149</v>
      </c>
      <c r="K446" s="52">
        <v>149</v>
      </c>
      <c r="L446" s="6">
        <v>0</v>
      </c>
      <c r="M446" s="52">
        <v>0</v>
      </c>
      <c r="N446" s="6">
        <v>0</v>
      </c>
      <c r="O446" s="52">
        <v>0</v>
      </c>
      <c r="P446" s="6">
        <v>1</v>
      </c>
      <c r="Q446" s="4" t="s">
        <v>26</v>
      </c>
      <c r="R446" s="4">
        <v>0</v>
      </c>
      <c r="S446" s="6">
        <v>13</v>
      </c>
      <c r="T446" s="6">
        <v>0</v>
      </c>
      <c r="U446" s="6">
        <v>0</v>
      </c>
      <c r="V446" s="52">
        <f>IF(ISERROR(VLOOKUP($S$446,'TAR FIN'!$A$1:$O$103,15,0)),0,VLOOKUP($S$446,'TAR FIN'!$A$1:$O$103,15,0))*(1-0.04)</f>
        <v>18.1632</v>
      </c>
      <c r="W446" s="52">
        <f>IF(ISERROR(VLOOKUP($T$446,'TAR FIN'!$A$1:$O$103,15,0)),0,VLOOKUP($T$446,'TAR FIN'!$A$1:$O$103,15,0))</f>
        <v>0</v>
      </c>
      <c r="X446" s="52">
        <f>IF(ISERROR(VLOOKUP($U$446,'TAR FIN'!$A$1:$O$103,15,0)),0,VLOOKUP($U$446,'TAR FIN'!$A$1:$O$103,15,0))</f>
        <v>0</v>
      </c>
      <c r="Y446" s="52">
        <f ca="1">('TUSD BE'!$AM$22+'TUSD BF'!$AM$22+'TUSD CVA'!$AM$22)*1*(1-0.02)</f>
        <v>20.941951853111981</v>
      </c>
      <c r="Z446" s="52"/>
      <c r="AA446" s="52"/>
      <c r="AB446" s="6">
        <f>$K$446*$V$446</f>
        <v>2706.3168000000001</v>
      </c>
      <c r="AC446" s="6">
        <f>$M$446*$W$446</f>
        <v>0</v>
      </c>
      <c r="AD446" s="6">
        <f>$O$446*$X$446</f>
        <v>0</v>
      </c>
      <c r="AE446" s="6">
        <f ca="1">$K$446*$Y$446</f>
        <v>3120.3508261136849</v>
      </c>
      <c r="AF446" s="6">
        <f>$M$446*$Z$446</f>
        <v>0</v>
      </c>
      <c r="AG446" s="6">
        <f>$O$446*$AA$446</f>
        <v>0</v>
      </c>
    </row>
    <row r="447" spans="1:33" ht="11.25" customHeight="1" x14ac:dyDescent="0.3">
      <c r="A447" s="4" t="s">
        <v>21</v>
      </c>
      <c r="B447" s="4" t="s">
        <v>39</v>
      </c>
      <c r="C447" s="4" t="s">
        <v>40</v>
      </c>
      <c r="D447" s="4" t="s">
        <v>44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44805</v>
      </c>
      <c r="J447" s="6">
        <v>149</v>
      </c>
      <c r="K447" s="52">
        <v>149</v>
      </c>
      <c r="L447" s="6">
        <v>0</v>
      </c>
      <c r="M447" s="52">
        <v>0</v>
      </c>
      <c r="N447" s="6">
        <v>0</v>
      </c>
      <c r="O447" s="52">
        <v>0</v>
      </c>
      <c r="P447" s="6">
        <v>1</v>
      </c>
      <c r="Q447" s="4" t="s">
        <v>26</v>
      </c>
      <c r="R447" s="4">
        <v>0</v>
      </c>
      <c r="S447" s="6">
        <v>13</v>
      </c>
      <c r="T447" s="6">
        <v>0</v>
      </c>
      <c r="U447" s="6">
        <v>0</v>
      </c>
      <c r="V447" s="52">
        <f>IF(ISERROR(VLOOKUP($S$447,'TAR FIN'!$A$1:$O$103,15,0)),0,VLOOKUP($S$447,'TAR FIN'!$A$1:$O$103,15,0))*(1-0.04)</f>
        <v>18.1632</v>
      </c>
      <c r="W447" s="52">
        <f>IF(ISERROR(VLOOKUP($T$447,'TAR FIN'!$A$1:$O$103,15,0)),0,VLOOKUP($T$447,'TAR FIN'!$A$1:$O$103,15,0))</f>
        <v>0</v>
      </c>
      <c r="X447" s="52">
        <f>IF(ISERROR(VLOOKUP($U$447,'TAR FIN'!$A$1:$O$103,15,0)),0,VLOOKUP($U$447,'TAR FIN'!$A$1:$O$103,15,0))</f>
        <v>0</v>
      </c>
      <c r="Y447" s="52">
        <f ca="1">('TUSD BE'!$AM$22+'TUSD BF'!$AM$22+'TUSD CVA'!$AM$22)*1*(1-0.02)</f>
        <v>20.941951853111981</v>
      </c>
      <c r="Z447" s="52"/>
      <c r="AA447" s="52"/>
      <c r="AB447" s="6">
        <f>$K$447*$V$447</f>
        <v>2706.3168000000001</v>
      </c>
      <c r="AC447" s="6">
        <f>$M$447*$W$447</f>
        <v>0</v>
      </c>
      <c r="AD447" s="6">
        <f>$O$447*$X$447</f>
        <v>0</v>
      </c>
      <c r="AE447" s="6">
        <f ca="1">$K$447*$Y$447</f>
        <v>3120.3508261136849</v>
      </c>
      <c r="AF447" s="6">
        <f>$M$447*$Z$447</f>
        <v>0</v>
      </c>
      <c r="AG447" s="6">
        <f>$O$447*$AA$447</f>
        <v>0</v>
      </c>
    </row>
    <row r="448" spans="1:33" ht="11.25" customHeight="1" x14ac:dyDescent="0.3">
      <c r="A448" s="4" t="s">
        <v>57</v>
      </c>
      <c r="B448" s="4" t="s">
        <v>39</v>
      </c>
      <c r="C448" s="4" t="s">
        <v>40</v>
      </c>
      <c r="D448" s="4" t="s">
        <v>44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44835</v>
      </c>
      <c r="J448" s="6">
        <v>149</v>
      </c>
      <c r="K448" s="52">
        <v>149</v>
      </c>
      <c r="L448" s="6">
        <v>0</v>
      </c>
      <c r="M448" s="52">
        <v>0</v>
      </c>
      <c r="N448" s="6">
        <v>0</v>
      </c>
      <c r="O448" s="52">
        <v>0</v>
      </c>
      <c r="P448" s="6">
        <v>1</v>
      </c>
      <c r="Q448" s="4" t="s">
        <v>26</v>
      </c>
      <c r="R448" s="4">
        <v>0</v>
      </c>
      <c r="S448" s="6">
        <v>13</v>
      </c>
      <c r="T448" s="6">
        <v>0</v>
      </c>
      <c r="U448" s="6">
        <v>0</v>
      </c>
      <c r="V448" s="52">
        <f>IF(ISERROR(VLOOKUP($S$448,'TAR FIN'!$A$1:$O$103,15,0)),0,VLOOKUP($S$448,'TAR FIN'!$A$1:$O$103,15,0))*(1-0.04)</f>
        <v>18.1632</v>
      </c>
      <c r="W448" s="52">
        <f>IF(ISERROR(VLOOKUP($T$448,'TAR FIN'!$A$1:$O$103,15,0)),0,VLOOKUP($T$448,'TAR FIN'!$A$1:$O$103,15,0))</f>
        <v>0</v>
      </c>
      <c r="X448" s="52">
        <f>IF(ISERROR(VLOOKUP($U$448,'TAR FIN'!$A$1:$O$103,15,0)),0,VLOOKUP($U$448,'TAR FIN'!$A$1:$O$103,15,0))</f>
        <v>0</v>
      </c>
      <c r="Y448" s="52">
        <f ca="1">('TUSD BE'!$AM$22+'TUSD BF'!$AM$22+'TUSD CVA'!$AM$22)*1*(1-0.02)</f>
        <v>20.941951853111981</v>
      </c>
      <c r="Z448" s="52"/>
      <c r="AA448" s="52"/>
      <c r="AB448" s="6">
        <f>$K$448*$V$448</f>
        <v>2706.3168000000001</v>
      </c>
      <c r="AC448" s="6">
        <f>$M$448*$W$448</f>
        <v>0</v>
      </c>
      <c r="AD448" s="6">
        <f>$O$448*$X$448</f>
        <v>0</v>
      </c>
      <c r="AE448" s="6">
        <f ca="1">$K$448*$Y$448</f>
        <v>3120.3508261136849</v>
      </c>
      <c r="AF448" s="6">
        <f>$M$448*$Z$448</f>
        <v>0</v>
      </c>
      <c r="AG448" s="6">
        <f>$O$448*$AA$448</f>
        <v>0</v>
      </c>
    </row>
    <row r="449" spans="1:33" ht="11.25" customHeight="1" x14ac:dyDescent="0.3">
      <c r="A449" s="4" t="s">
        <v>21</v>
      </c>
      <c r="B449" s="4" t="s">
        <v>39</v>
      </c>
      <c r="C449" s="4" t="s">
        <v>40</v>
      </c>
      <c r="D449" s="4" t="s">
        <v>44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44743</v>
      </c>
      <c r="J449" s="6">
        <v>0</v>
      </c>
      <c r="K449" s="52">
        <v>0</v>
      </c>
      <c r="L449" s="6">
        <v>4.8419999999999996</v>
      </c>
      <c r="M449" s="52">
        <v>4.8419999999999996</v>
      </c>
      <c r="N449" s="6">
        <v>4.8419999999999996</v>
      </c>
      <c r="O449" s="52">
        <v>4.8419999999999996</v>
      </c>
      <c r="P449" s="6">
        <v>0</v>
      </c>
      <c r="Q449" s="4" t="s">
        <v>26</v>
      </c>
      <c r="R449" s="4">
        <v>0</v>
      </c>
      <c r="S449" s="6">
        <v>0</v>
      </c>
      <c r="T449" s="6">
        <v>15</v>
      </c>
      <c r="U449" s="6">
        <v>65</v>
      </c>
      <c r="V449" s="52">
        <f>IF(ISERROR(VLOOKUP($S$449,'TAR FIN'!$A$1:$O$103,15,0)),0,VLOOKUP($S$449,'TAR FIN'!$A$1:$O$103,15,0))</f>
        <v>0</v>
      </c>
      <c r="W449" s="52">
        <f>IF(ISERROR(VLOOKUP($T$449,'TAR FIN'!$A$1:$O$103,15,0)),0,VLOOKUP($T$449,'TAR FIN'!$A$1:$O$103,15,0))*(1-0.04)</f>
        <v>1147.9871999999998</v>
      </c>
      <c r="X449" s="52">
        <f>IF(ISERROR(VLOOKUP($U$449,'TAR FIN'!$A$1:$O$103,15,0)),0,VLOOKUP($U$449,'TAR FIN'!$A$1:$O$103,15,0))*(1-0.04)</f>
        <v>375.8784</v>
      </c>
      <c r="Y449" s="52"/>
      <c r="Z449" s="52">
        <f ca="1">('TUSD BE'!$AM$23+'TUSD BF'!$AM$23+'TUSD CVA'!$AM$23)*1*(1-0.02)</f>
        <v>1357.7878188473314</v>
      </c>
      <c r="AA449" s="52">
        <f>('TE BE'!$AB$8+'TE BF'!$AB$8+'TE CVA'!$AB$8)*1*(1-0.02)</f>
        <v>354.71359410136364</v>
      </c>
      <c r="AB449" s="6">
        <f>$K$449*$V$449</f>
        <v>0</v>
      </c>
      <c r="AC449" s="6">
        <f>$M$449*$W$449</f>
        <v>5558.5540223999988</v>
      </c>
      <c r="AD449" s="6">
        <f>$O$449*$X$449</f>
        <v>1820.0032127999998</v>
      </c>
      <c r="AE449" s="6">
        <f>$K$449*$Y$449</f>
        <v>0</v>
      </c>
      <c r="AF449" s="6">
        <f ca="1">$M$449*$Z$449</f>
        <v>6574.408618858778</v>
      </c>
      <c r="AG449" s="6">
        <f>$O$449*$AA$449</f>
        <v>1717.5232226388025</v>
      </c>
    </row>
    <row r="450" spans="1:33" ht="11.25" customHeight="1" x14ac:dyDescent="0.3">
      <c r="A450" s="4" t="s">
        <v>21</v>
      </c>
      <c r="B450" s="4" t="s">
        <v>39</v>
      </c>
      <c r="C450" s="4" t="s">
        <v>40</v>
      </c>
      <c r="D450" s="4" t="s">
        <v>44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44774</v>
      </c>
      <c r="J450" s="6">
        <v>0</v>
      </c>
      <c r="K450" s="52">
        <v>0</v>
      </c>
      <c r="L450" s="6">
        <v>4.8959999999999999</v>
      </c>
      <c r="M450" s="52">
        <v>4.8959999999999999</v>
      </c>
      <c r="N450" s="6">
        <v>4.8959999999999999</v>
      </c>
      <c r="O450" s="52">
        <v>4.8959999999999999</v>
      </c>
      <c r="P450" s="6">
        <v>0</v>
      </c>
      <c r="Q450" s="4" t="s">
        <v>26</v>
      </c>
      <c r="R450" s="4">
        <v>0</v>
      </c>
      <c r="S450" s="6">
        <v>0</v>
      </c>
      <c r="T450" s="6">
        <v>15</v>
      </c>
      <c r="U450" s="6">
        <v>65</v>
      </c>
      <c r="V450" s="52">
        <f>IF(ISERROR(VLOOKUP($S$450,'TAR FIN'!$A$1:$O$103,15,0)),0,VLOOKUP($S$450,'TAR FIN'!$A$1:$O$103,15,0))</f>
        <v>0</v>
      </c>
      <c r="W450" s="52">
        <f>IF(ISERROR(VLOOKUP($T$450,'TAR FIN'!$A$1:$O$103,15,0)),0,VLOOKUP($T$450,'TAR FIN'!$A$1:$O$103,15,0))*(1-0.04)</f>
        <v>1147.9871999999998</v>
      </c>
      <c r="X450" s="52">
        <f>IF(ISERROR(VLOOKUP($U$450,'TAR FIN'!$A$1:$O$103,15,0)),0,VLOOKUP($U$450,'TAR FIN'!$A$1:$O$103,15,0))*(1-0.04)</f>
        <v>375.8784</v>
      </c>
      <c r="Y450" s="52"/>
      <c r="Z450" s="52">
        <f ca="1">('TUSD BE'!$AM$23+'TUSD BF'!$AM$23+'TUSD CVA'!$AM$23)*1*(1-0.02)</f>
        <v>1357.7878188473314</v>
      </c>
      <c r="AA450" s="52">
        <f>('TE BE'!$AB$8+'TE BF'!$AB$8+'TE CVA'!$AB$8)*1*(1-0.02)</f>
        <v>354.71359410136364</v>
      </c>
      <c r="AB450" s="6">
        <f>$K$450*$V$450</f>
        <v>0</v>
      </c>
      <c r="AC450" s="6">
        <f>$M$450*$W$450</f>
        <v>5620.5453311999991</v>
      </c>
      <c r="AD450" s="6">
        <f>$O$450*$X$450</f>
        <v>1840.3006464</v>
      </c>
      <c r="AE450" s="6">
        <f>$K$450*$Y$450</f>
        <v>0</v>
      </c>
      <c r="AF450" s="6">
        <f ca="1">$M$450*$Z$450</f>
        <v>6647.7291610765342</v>
      </c>
      <c r="AG450" s="6">
        <f>$O$450*$AA$450</f>
        <v>1736.6777567202764</v>
      </c>
    </row>
    <row r="451" spans="1:33" ht="11.25" customHeight="1" x14ac:dyDescent="0.3">
      <c r="A451" s="4" t="s">
        <v>21</v>
      </c>
      <c r="B451" s="4" t="s">
        <v>39</v>
      </c>
      <c r="C451" s="4" t="s">
        <v>40</v>
      </c>
      <c r="D451" s="4" t="s">
        <v>44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44805</v>
      </c>
      <c r="J451" s="6">
        <v>0</v>
      </c>
      <c r="K451" s="52">
        <v>0</v>
      </c>
      <c r="L451" s="6">
        <v>4.335</v>
      </c>
      <c r="M451" s="52">
        <v>4.335</v>
      </c>
      <c r="N451" s="6">
        <v>4.335</v>
      </c>
      <c r="O451" s="52">
        <v>4.335</v>
      </c>
      <c r="P451" s="6">
        <v>0</v>
      </c>
      <c r="Q451" s="4" t="s">
        <v>26</v>
      </c>
      <c r="R451" s="4">
        <v>0</v>
      </c>
      <c r="S451" s="6">
        <v>0</v>
      </c>
      <c r="T451" s="6">
        <v>15</v>
      </c>
      <c r="U451" s="6">
        <v>65</v>
      </c>
      <c r="V451" s="52">
        <f>IF(ISERROR(VLOOKUP($S$451,'TAR FIN'!$A$1:$O$103,15,0)),0,VLOOKUP($S$451,'TAR FIN'!$A$1:$O$103,15,0))</f>
        <v>0</v>
      </c>
      <c r="W451" s="52">
        <f>IF(ISERROR(VLOOKUP($T$451,'TAR FIN'!$A$1:$O$103,15,0)),0,VLOOKUP($T$451,'TAR FIN'!$A$1:$O$103,15,0))*(1-0.04)</f>
        <v>1147.9871999999998</v>
      </c>
      <c r="X451" s="52">
        <f>IF(ISERROR(VLOOKUP($U$451,'TAR FIN'!$A$1:$O$103,15,0)),0,VLOOKUP($U$451,'TAR FIN'!$A$1:$O$103,15,0))*(1-0.04)</f>
        <v>375.8784</v>
      </c>
      <c r="Y451" s="52"/>
      <c r="Z451" s="52">
        <f ca="1">('TUSD BE'!$AM$23+'TUSD BF'!$AM$23+'TUSD CVA'!$AM$23)*1*(1-0.02)</f>
        <v>1357.7878188473314</v>
      </c>
      <c r="AA451" s="52">
        <f>('TE BE'!$AB$8+'TE BF'!$AB$8+'TE CVA'!$AB$8)*1*(1-0.02)</f>
        <v>354.71359410136364</v>
      </c>
      <c r="AB451" s="6">
        <f>$K$451*$V$451</f>
        <v>0</v>
      </c>
      <c r="AC451" s="6">
        <f>$M$451*$W$451</f>
        <v>4976.524511999999</v>
      </c>
      <c r="AD451" s="6">
        <f>$O$451*$X$451</f>
        <v>1629.4328639999999</v>
      </c>
      <c r="AE451" s="6">
        <f>$K$451*$Y$451</f>
        <v>0</v>
      </c>
      <c r="AF451" s="6">
        <f ca="1">$M$451*$Z$451</f>
        <v>5886.0101947031817</v>
      </c>
      <c r="AG451" s="6">
        <f>$O$451*$AA$451</f>
        <v>1537.6834304294114</v>
      </c>
    </row>
    <row r="452" spans="1:33" ht="11.25" customHeight="1" x14ac:dyDescent="0.3">
      <c r="A452" s="4" t="s">
        <v>57</v>
      </c>
      <c r="B452" s="4" t="s">
        <v>39</v>
      </c>
      <c r="C452" s="4" t="s">
        <v>40</v>
      </c>
      <c r="D452" s="4" t="s">
        <v>44</v>
      </c>
      <c r="E452" s="4" t="s">
        <v>25</v>
      </c>
      <c r="F452" s="4" t="s">
        <v>25</v>
      </c>
      <c r="G452" s="4" t="s">
        <v>25</v>
      </c>
      <c r="H452" s="4" t="s">
        <v>34</v>
      </c>
      <c r="I452" s="5">
        <v>44835</v>
      </c>
      <c r="J452" s="6">
        <v>0</v>
      </c>
      <c r="K452" s="52">
        <v>0</v>
      </c>
      <c r="L452" s="6">
        <v>4.335</v>
      </c>
      <c r="M452" s="52">
        <v>4.335</v>
      </c>
      <c r="N452" s="6">
        <v>4.335</v>
      </c>
      <c r="O452" s="52">
        <v>4.335</v>
      </c>
      <c r="P452" s="6">
        <v>0</v>
      </c>
      <c r="Q452" s="4" t="s">
        <v>26</v>
      </c>
      <c r="R452" s="4">
        <v>0</v>
      </c>
      <c r="S452" s="6">
        <v>0</v>
      </c>
      <c r="T452" s="6">
        <v>15</v>
      </c>
      <c r="U452" s="6">
        <v>65</v>
      </c>
      <c r="V452" s="52">
        <f>IF(ISERROR(VLOOKUP($S$452,'TAR FIN'!$A$1:$O$103,15,0)),0,VLOOKUP($S$452,'TAR FIN'!$A$1:$O$103,15,0))</f>
        <v>0</v>
      </c>
      <c r="W452" s="52">
        <f>IF(ISERROR(VLOOKUP($T$452,'TAR FIN'!$A$1:$O$103,15,0)),0,VLOOKUP($T$452,'TAR FIN'!$A$1:$O$103,15,0))*(1-0.04)</f>
        <v>1147.9871999999998</v>
      </c>
      <c r="X452" s="52">
        <f>IF(ISERROR(VLOOKUP($U$452,'TAR FIN'!$A$1:$O$103,15,0)),0,VLOOKUP($U$452,'TAR FIN'!$A$1:$O$103,15,0))*(1-0.04)</f>
        <v>375.8784</v>
      </c>
      <c r="Y452" s="52"/>
      <c r="Z452" s="52">
        <f ca="1">('TUSD BE'!$AM$23+'TUSD BF'!$AM$23+'TUSD CVA'!$AM$23)*1*(1-0.02)</f>
        <v>1357.7878188473314</v>
      </c>
      <c r="AA452" s="52">
        <f>('TE BE'!$AB$8+'TE BF'!$AB$8+'TE CVA'!$AB$8)*1*(1-0.02)</f>
        <v>354.71359410136364</v>
      </c>
      <c r="AB452" s="6">
        <f>$K$452*$V$452</f>
        <v>0</v>
      </c>
      <c r="AC452" s="6">
        <f>$M$452*$W$452</f>
        <v>4976.524511999999</v>
      </c>
      <c r="AD452" s="6">
        <f>$O$452*$X$452</f>
        <v>1629.4328639999999</v>
      </c>
      <c r="AE452" s="6">
        <f>$K$452*$Y$452</f>
        <v>0</v>
      </c>
      <c r="AF452" s="6">
        <f ca="1">$M$452*$Z$452</f>
        <v>5886.0101947031817</v>
      </c>
      <c r="AG452" s="6">
        <f>$O$452*$AA$452</f>
        <v>1537.6834304294114</v>
      </c>
    </row>
    <row r="453" spans="1:33" ht="11.25" customHeight="1" x14ac:dyDescent="0.3">
      <c r="A453" s="4" t="s">
        <v>21</v>
      </c>
      <c r="B453" s="4" t="s">
        <v>39</v>
      </c>
      <c r="C453" s="4" t="s">
        <v>40</v>
      </c>
      <c r="D453" s="4" t="s">
        <v>50</v>
      </c>
      <c r="E453" s="4" t="s">
        <v>51</v>
      </c>
      <c r="F453" s="4" t="s">
        <v>25</v>
      </c>
      <c r="G453" s="4" t="s">
        <v>25</v>
      </c>
      <c r="H453" s="4" t="s">
        <v>35</v>
      </c>
      <c r="I453" s="5">
        <v>44501</v>
      </c>
      <c r="J453" s="6">
        <v>0</v>
      </c>
      <c r="K453" s="52">
        <v>0</v>
      </c>
      <c r="L453" s="6">
        <v>4.2469999999999999</v>
      </c>
      <c r="M453" s="52">
        <v>4.2469999999999999</v>
      </c>
      <c r="N453" s="6">
        <v>4.2469999999999999</v>
      </c>
      <c r="O453" s="52">
        <v>4.2469999999999999</v>
      </c>
      <c r="P453" s="6">
        <v>0</v>
      </c>
      <c r="Q453" s="4" t="s">
        <v>26</v>
      </c>
      <c r="R453" s="4">
        <v>0</v>
      </c>
      <c r="S453" s="6">
        <v>0</v>
      </c>
      <c r="T453" s="6">
        <v>17</v>
      </c>
      <c r="U453" s="6">
        <v>66</v>
      </c>
      <c r="V453" s="52">
        <f>IF(ISERROR(VLOOKUP($S$453,'TAR FIN'!$A$1:$O$103,15,0)),0,VLOOKUP($S$453,'TAR FIN'!$A$1:$O$103,15,0))</f>
        <v>0</v>
      </c>
      <c r="W453" s="52">
        <f>IF(ISERROR(VLOOKUP($T$453,'TAR FIN'!$A$1:$O$103,15,0)),0,VLOOKUP($T$453,'TAR FIN'!$A$1:$O$103,15,0))*(1-0.06)</f>
        <v>79.890599999999992</v>
      </c>
      <c r="X453" s="52">
        <f>IF(ISERROR(VLOOKUP($U$453,'TAR FIN'!$A$1:$O$103,15,0)),0,VLOOKUP($U$453,'TAR FIN'!$A$1:$O$103,15,0))*(1-0.06)</f>
        <v>228.2038</v>
      </c>
      <c r="Y453" s="52"/>
      <c r="Z453" s="52">
        <f ca="1">('TUSD BE'!$AM$24+'TUSD BF'!$AM$24+'TUSD CVA'!$AM$24)*1*(1-0.03)</f>
        <v>141.35070271825751</v>
      </c>
      <c r="AA453" s="52">
        <f>('TE BE'!$AB$9+'TE BF'!$AB$9+'TE CVA'!$AB$9)*1*(1-0.03)</f>
        <v>215.72204893346822</v>
      </c>
      <c r="AB453" s="6">
        <f>$K$453*$V$453</f>
        <v>0</v>
      </c>
      <c r="AC453" s="6">
        <f>$M$453*$W$453</f>
        <v>339.29537819999996</v>
      </c>
      <c r="AD453" s="6">
        <f>$O$453*$X$453</f>
        <v>969.18153859999995</v>
      </c>
      <c r="AE453" s="6">
        <f>$K$453*$Y$453</f>
        <v>0</v>
      </c>
      <c r="AF453" s="6">
        <f ca="1">$M$453*$Z$453</f>
        <v>600.31643444443966</v>
      </c>
      <c r="AG453" s="6">
        <f>$O$453*$AA$453</f>
        <v>916.17154182043953</v>
      </c>
    </row>
    <row r="454" spans="1:33" ht="11.25" customHeight="1" x14ac:dyDescent="0.3">
      <c r="A454" s="4" t="s">
        <v>21</v>
      </c>
      <c r="B454" s="4" t="s">
        <v>39</v>
      </c>
      <c r="C454" s="4" t="s">
        <v>40</v>
      </c>
      <c r="D454" s="4" t="s">
        <v>50</v>
      </c>
      <c r="E454" s="4" t="s">
        <v>51</v>
      </c>
      <c r="F454" s="4" t="s">
        <v>25</v>
      </c>
      <c r="G454" s="4" t="s">
        <v>25</v>
      </c>
      <c r="H454" s="4" t="s">
        <v>35</v>
      </c>
      <c r="I454" s="5">
        <v>44531</v>
      </c>
      <c r="J454" s="6">
        <v>0</v>
      </c>
      <c r="K454" s="52">
        <v>0</v>
      </c>
      <c r="L454" s="6">
        <v>4.4820000000000002</v>
      </c>
      <c r="M454" s="52">
        <v>4.4820000000000002</v>
      </c>
      <c r="N454" s="6">
        <v>4.4820000000000002</v>
      </c>
      <c r="O454" s="52">
        <v>4.4820000000000002</v>
      </c>
      <c r="P454" s="6">
        <v>0</v>
      </c>
      <c r="Q454" s="4" t="s">
        <v>26</v>
      </c>
      <c r="R454" s="4">
        <v>0</v>
      </c>
      <c r="S454" s="6">
        <v>0</v>
      </c>
      <c r="T454" s="6">
        <v>17</v>
      </c>
      <c r="U454" s="6">
        <v>66</v>
      </c>
      <c r="V454" s="52">
        <f>IF(ISERROR(VLOOKUP($S$454,'TAR FIN'!$A$1:$O$103,15,0)),0,VLOOKUP($S$454,'TAR FIN'!$A$1:$O$103,15,0))</f>
        <v>0</v>
      </c>
      <c r="W454" s="52">
        <f>IF(ISERROR(VLOOKUP($T$454,'TAR FIN'!$A$1:$O$103,15,0)),0,VLOOKUP($T$454,'TAR FIN'!$A$1:$O$103,15,0))*(1-0.06)</f>
        <v>79.890599999999992</v>
      </c>
      <c r="X454" s="52">
        <f>IF(ISERROR(VLOOKUP($U$454,'TAR FIN'!$A$1:$O$103,15,0)),0,VLOOKUP($U$454,'TAR FIN'!$A$1:$O$103,15,0))*(1-0.06)</f>
        <v>228.2038</v>
      </c>
      <c r="Y454" s="52"/>
      <c r="Z454" s="52">
        <f ca="1">('TUSD BE'!$AM$24+'TUSD BF'!$AM$24+'TUSD CVA'!$AM$24)*1*(1-0.03)</f>
        <v>141.35070271825751</v>
      </c>
      <c r="AA454" s="52">
        <f>('TE BE'!$AB$9+'TE BF'!$AB$9+'TE CVA'!$AB$9)*1*(1-0.03)</f>
        <v>215.72204893346822</v>
      </c>
      <c r="AB454" s="6">
        <f>$K$454*$V$454</f>
        <v>0</v>
      </c>
      <c r="AC454" s="6">
        <f>$M$454*$W$454</f>
        <v>358.06966919999996</v>
      </c>
      <c r="AD454" s="6">
        <f>$O$454*$X$454</f>
        <v>1022.8094316</v>
      </c>
      <c r="AE454" s="6">
        <f>$K$454*$Y$454</f>
        <v>0</v>
      </c>
      <c r="AF454" s="6">
        <f ca="1">$M$454*$Z$454</f>
        <v>633.53384958323022</v>
      </c>
      <c r="AG454" s="6">
        <f>$O$454*$AA$454</f>
        <v>966.86622331980459</v>
      </c>
    </row>
    <row r="455" spans="1:33" ht="11.25" customHeight="1" x14ac:dyDescent="0.3">
      <c r="A455" s="4" t="s">
        <v>21</v>
      </c>
      <c r="B455" s="4" t="s">
        <v>39</v>
      </c>
      <c r="C455" s="4" t="s">
        <v>40</v>
      </c>
      <c r="D455" s="4" t="s">
        <v>50</v>
      </c>
      <c r="E455" s="4" t="s">
        <v>51</v>
      </c>
      <c r="F455" s="4" t="s">
        <v>25</v>
      </c>
      <c r="G455" s="4" t="s">
        <v>25</v>
      </c>
      <c r="H455" s="4" t="s">
        <v>35</v>
      </c>
      <c r="I455" s="5">
        <v>44562</v>
      </c>
      <c r="J455" s="6">
        <v>0</v>
      </c>
      <c r="K455" s="52">
        <v>0</v>
      </c>
      <c r="L455" s="6">
        <v>4.8070000000000004</v>
      </c>
      <c r="M455" s="52">
        <v>4.8070000000000004</v>
      </c>
      <c r="N455" s="6">
        <v>4.8070000000000004</v>
      </c>
      <c r="O455" s="52">
        <v>4.8070000000000004</v>
      </c>
      <c r="P455" s="6">
        <v>0</v>
      </c>
      <c r="Q455" s="4" t="s">
        <v>26</v>
      </c>
      <c r="R455" s="4">
        <v>0</v>
      </c>
      <c r="S455" s="6">
        <v>0</v>
      </c>
      <c r="T455" s="6">
        <v>17</v>
      </c>
      <c r="U455" s="6">
        <v>66</v>
      </c>
      <c r="V455" s="52">
        <f>IF(ISERROR(VLOOKUP($S$455,'TAR FIN'!$A$1:$O$103,15,0)),0,VLOOKUP($S$455,'TAR FIN'!$A$1:$O$103,15,0))</f>
        <v>0</v>
      </c>
      <c r="W455" s="52">
        <f>IF(ISERROR(VLOOKUP($T$455,'TAR FIN'!$A$1:$O$103,15,0)),0,VLOOKUP($T$455,'TAR FIN'!$A$1:$O$103,15,0))*(1-0.06)</f>
        <v>79.890599999999992</v>
      </c>
      <c r="X455" s="52">
        <f>IF(ISERROR(VLOOKUP($U$455,'TAR FIN'!$A$1:$O$103,15,0)),0,VLOOKUP($U$455,'TAR FIN'!$A$1:$O$103,15,0))*(1-0.06)</f>
        <v>228.2038</v>
      </c>
      <c r="Y455" s="52"/>
      <c r="Z455" s="52">
        <f ca="1">('TUSD BE'!$AM$24+'TUSD BF'!$AM$24+'TUSD CVA'!$AM$24)*1*(1-0.03)</f>
        <v>141.35070271825751</v>
      </c>
      <c r="AA455" s="52">
        <f>('TE BE'!$AB$9+'TE BF'!$AB$9+'TE CVA'!$AB$9)*1*(1-0.03)</f>
        <v>215.72204893346822</v>
      </c>
      <c r="AB455" s="6">
        <f>$K$455*$V$455</f>
        <v>0</v>
      </c>
      <c r="AC455" s="6">
        <f>$M$455*$W$455</f>
        <v>384.03411419999998</v>
      </c>
      <c r="AD455" s="6">
        <f>$O$455*$X$455</f>
        <v>1096.9756666000001</v>
      </c>
      <c r="AE455" s="6">
        <f>$K$455*$Y$455</f>
        <v>0</v>
      </c>
      <c r="AF455" s="6">
        <f ca="1">$M$455*$Z$455</f>
        <v>679.47282796666389</v>
      </c>
      <c r="AG455" s="6">
        <f>$O$455*$AA$455</f>
        <v>1036.9758892231819</v>
      </c>
    </row>
    <row r="456" spans="1:33" ht="11.25" customHeight="1" x14ac:dyDescent="0.3">
      <c r="A456" s="4" t="s">
        <v>21</v>
      </c>
      <c r="B456" s="4" t="s">
        <v>39</v>
      </c>
      <c r="C456" s="4" t="s">
        <v>40</v>
      </c>
      <c r="D456" s="4" t="s">
        <v>50</v>
      </c>
      <c r="E456" s="4" t="s">
        <v>51</v>
      </c>
      <c r="F456" s="4" t="s">
        <v>25</v>
      </c>
      <c r="G456" s="4" t="s">
        <v>25</v>
      </c>
      <c r="H456" s="4" t="s">
        <v>35</v>
      </c>
      <c r="I456" s="5">
        <v>44593</v>
      </c>
      <c r="J456" s="6">
        <v>0</v>
      </c>
      <c r="K456" s="52">
        <v>0</v>
      </c>
      <c r="L456" s="6">
        <v>4.109</v>
      </c>
      <c r="M456" s="52">
        <v>4.109</v>
      </c>
      <c r="N456" s="6">
        <v>4.109</v>
      </c>
      <c r="O456" s="52">
        <v>4.109</v>
      </c>
      <c r="P456" s="6">
        <v>0</v>
      </c>
      <c r="Q456" s="4" t="s">
        <v>26</v>
      </c>
      <c r="R456" s="4">
        <v>0</v>
      </c>
      <c r="S456" s="6">
        <v>0</v>
      </c>
      <c r="T456" s="6">
        <v>17</v>
      </c>
      <c r="U456" s="6">
        <v>66</v>
      </c>
      <c r="V456" s="52">
        <f>IF(ISERROR(VLOOKUP($S$456,'TAR FIN'!$A$1:$O$103,15,0)),0,VLOOKUP($S$456,'TAR FIN'!$A$1:$O$103,15,0))</f>
        <v>0</v>
      </c>
      <c r="W456" s="52">
        <f>IF(ISERROR(VLOOKUP($T$456,'TAR FIN'!$A$1:$O$103,15,0)),0,VLOOKUP($T$456,'TAR FIN'!$A$1:$O$103,15,0))*(1-0.06)</f>
        <v>79.890599999999992</v>
      </c>
      <c r="X456" s="52">
        <f>IF(ISERROR(VLOOKUP($U$456,'TAR FIN'!$A$1:$O$103,15,0)),0,VLOOKUP($U$456,'TAR FIN'!$A$1:$O$103,15,0))*(1-0.06)</f>
        <v>228.2038</v>
      </c>
      <c r="Y456" s="52"/>
      <c r="Z456" s="52">
        <f ca="1">('TUSD BE'!$AM$24+'TUSD BF'!$AM$24+'TUSD CVA'!$AM$24)*1*(1-0.03)</f>
        <v>141.35070271825751</v>
      </c>
      <c r="AA456" s="52">
        <f>('TE BE'!$AB$9+'TE BF'!$AB$9+'TE CVA'!$AB$9)*1*(1-0.03)</f>
        <v>215.72204893346822</v>
      </c>
      <c r="AB456" s="6">
        <f>$K$456*$V$456</f>
        <v>0</v>
      </c>
      <c r="AC456" s="6">
        <f>$M$456*$W$456</f>
        <v>328.27047539999995</v>
      </c>
      <c r="AD456" s="6">
        <f>$O$456*$X$456</f>
        <v>937.68941419999999</v>
      </c>
      <c r="AE456" s="6">
        <f>$K$456*$Y$456</f>
        <v>0</v>
      </c>
      <c r="AF456" s="6">
        <f ca="1">$M$456*$Z$456</f>
        <v>580.81003746932015</v>
      </c>
      <c r="AG456" s="6">
        <f>$O$456*$AA$456</f>
        <v>886.40189906762089</v>
      </c>
    </row>
    <row r="457" spans="1:33" ht="11.25" customHeight="1" x14ac:dyDescent="0.3">
      <c r="A457" s="4" t="s">
        <v>21</v>
      </c>
      <c r="B457" s="4" t="s">
        <v>39</v>
      </c>
      <c r="C457" s="4" t="s">
        <v>40</v>
      </c>
      <c r="D457" s="4" t="s">
        <v>50</v>
      </c>
      <c r="E457" s="4" t="s">
        <v>51</v>
      </c>
      <c r="F457" s="4" t="s">
        <v>25</v>
      </c>
      <c r="G457" s="4" t="s">
        <v>25</v>
      </c>
      <c r="H457" s="4" t="s">
        <v>35</v>
      </c>
      <c r="I457" s="5">
        <v>44621</v>
      </c>
      <c r="J457" s="6">
        <v>0</v>
      </c>
      <c r="K457" s="52">
        <v>0</v>
      </c>
      <c r="L457" s="6">
        <v>4.4290000000000003</v>
      </c>
      <c r="M457" s="52">
        <v>4.4290000000000003</v>
      </c>
      <c r="N457" s="6">
        <v>4.4290000000000003</v>
      </c>
      <c r="O457" s="52">
        <v>4.4290000000000003</v>
      </c>
      <c r="P457" s="6">
        <v>0</v>
      </c>
      <c r="Q457" s="4" t="s">
        <v>26</v>
      </c>
      <c r="R457" s="4">
        <v>0</v>
      </c>
      <c r="S457" s="6">
        <v>0</v>
      </c>
      <c r="T457" s="6">
        <v>17</v>
      </c>
      <c r="U457" s="6">
        <v>66</v>
      </c>
      <c r="V457" s="52">
        <f>IF(ISERROR(VLOOKUP($S$457,'TAR FIN'!$A$1:$O$103,15,0)),0,VLOOKUP($S$457,'TAR FIN'!$A$1:$O$103,15,0))</f>
        <v>0</v>
      </c>
      <c r="W457" s="52">
        <f>IF(ISERROR(VLOOKUP($T$457,'TAR FIN'!$A$1:$O$103,15,0)),0,VLOOKUP($T$457,'TAR FIN'!$A$1:$O$103,15,0))*(1-0.06)</f>
        <v>79.890599999999992</v>
      </c>
      <c r="X457" s="52">
        <f>IF(ISERROR(VLOOKUP($U$457,'TAR FIN'!$A$1:$O$103,15,0)),0,VLOOKUP($U$457,'TAR FIN'!$A$1:$O$103,15,0))*(1-0.06)</f>
        <v>228.2038</v>
      </c>
      <c r="Y457" s="52"/>
      <c r="Z457" s="52">
        <f ca="1">('TUSD BE'!$AM$24+'TUSD BF'!$AM$24+'TUSD CVA'!$AM$24)*1*(1-0.03)</f>
        <v>141.35070271825751</v>
      </c>
      <c r="AA457" s="52">
        <f>('TE BE'!$AB$9+'TE BF'!$AB$9+'TE CVA'!$AB$9)*1*(1-0.03)</f>
        <v>215.72204893346822</v>
      </c>
      <c r="AB457" s="6">
        <f>$K$457*$V$457</f>
        <v>0</v>
      </c>
      <c r="AC457" s="6">
        <f>$M$457*$W$457</f>
        <v>353.83546739999997</v>
      </c>
      <c r="AD457" s="6">
        <f>$O$457*$X$457</f>
        <v>1010.7146302000001</v>
      </c>
      <c r="AE457" s="6">
        <f>$K$457*$Y$457</f>
        <v>0</v>
      </c>
      <c r="AF457" s="6">
        <f ca="1">$M$457*$Z$457</f>
        <v>626.04226233916256</v>
      </c>
      <c r="AG457" s="6">
        <f>$O$457*$AA$457</f>
        <v>955.43295472633076</v>
      </c>
    </row>
    <row r="458" spans="1:33" ht="11.25" customHeight="1" x14ac:dyDescent="0.3">
      <c r="A458" s="4" t="s">
        <v>21</v>
      </c>
      <c r="B458" s="4" t="s">
        <v>39</v>
      </c>
      <c r="C458" s="4" t="s">
        <v>40</v>
      </c>
      <c r="D458" s="4" t="s">
        <v>50</v>
      </c>
      <c r="E458" s="4" t="s">
        <v>51</v>
      </c>
      <c r="F458" s="4" t="s">
        <v>25</v>
      </c>
      <c r="G458" s="4" t="s">
        <v>25</v>
      </c>
      <c r="H458" s="4" t="s">
        <v>35</v>
      </c>
      <c r="I458" s="5">
        <v>44652</v>
      </c>
      <c r="J458" s="6">
        <v>0</v>
      </c>
      <c r="K458" s="52">
        <v>0</v>
      </c>
      <c r="L458" s="6">
        <v>4.5819999999999999</v>
      </c>
      <c r="M458" s="52">
        <v>4.5819999999999999</v>
      </c>
      <c r="N458" s="6">
        <v>4.5819999999999999</v>
      </c>
      <c r="O458" s="52">
        <v>4.5819999999999999</v>
      </c>
      <c r="P458" s="6">
        <v>0</v>
      </c>
      <c r="Q458" s="4" t="s">
        <v>26</v>
      </c>
      <c r="R458" s="4">
        <v>0</v>
      </c>
      <c r="S458" s="6">
        <v>0</v>
      </c>
      <c r="T458" s="6">
        <v>17</v>
      </c>
      <c r="U458" s="6">
        <v>66</v>
      </c>
      <c r="V458" s="52">
        <f>IF(ISERROR(VLOOKUP($S$458,'TAR FIN'!$A$1:$O$103,15,0)),0,VLOOKUP($S$458,'TAR FIN'!$A$1:$O$103,15,0))</f>
        <v>0</v>
      </c>
      <c r="W458" s="52">
        <f>IF(ISERROR(VLOOKUP($T$458,'TAR FIN'!$A$1:$O$103,15,0)),0,VLOOKUP($T$458,'TAR FIN'!$A$1:$O$103,15,0))*(1-0.06)</f>
        <v>79.890599999999992</v>
      </c>
      <c r="X458" s="52">
        <f>IF(ISERROR(VLOOKUP($U$458,'TAR FIN'!$A$1:$O$103,15,0)),0,VLOOKUP($U$458,'TAR FIN'!$A$1:$O$103,15,0))*(1-0.06)</f>
        <v>228.2038</v>
      </c>
      <c r="Y458" s="52"/>
      <c r="Z458" s="52">
        <f ca="1">('TUSD BE'!$AM$24+'TUSD BF'!$AM$24+'TUSD CVA'!$AM$24)*1*(1-0.03)</f>
        <v>141.35070271825751</v>
      </c>
      <c r="AA458" s="52">
        <f>('TE BE'!$AB$9+'TE BF'!$AB$9+'TE CVA'!$AB$9)*1*(1-0.03)</f>
        <v>215.72204893346822</v>
      </c>
      <c r="AB458" s="6">
        <f>$K$458*$V$458</f>
        <v>0</v>
      </c>
      <c r="AC458" s="6">
        <f>$M$458*$W$458</f>
        <v>366.05872919999996</v>
      </c>
      <c r="AD458" s="6">
        <f>$O$458*$X$458</f>
        <v>1045.6298116</v>
      </c>
      <c r="AE458" s="6">
        <f>$K$458*$Y$458</f>
        <v>0</v>
      </c>
      <c r="AF458" s="6">
        <f ca="1">$M$458*$Z$458</f>
        <v>647.66891985505583</v>
      </c>
      <c r="AG458" s="6">
        <f>$O$458*$AA$458</f>
        <v>988.43842821315138</v>
      </c>
    </row>
    <row r="459" spans="1:33" ht="11.25" customHeight="1" x14ac:dyDescent="0.3">
      <c r="A459" s="4" t="s">
        <v>21</v>
      </c>
      <c r="B459" s="4" t="s">
        <v>39</v>
      </c>
      <c r="C459" s="4" t="s">
        <v>40</v>
      </c>
      <c r="D459" s="4" t="s">
        <v>50</v>
      </c>
      <c r="E459" s="4" t="s">
        <v>51</v>
      </c>
      <c r="F459" s="4" t="s">
        <v>25</v>
      </c>
      <c r="G459" s="4" t="s">
        <v>25</v>
      </c>
      <c r="H459" s="4" t="s">
        <v>35</v>
      </c>
      <c r="I459" s="5">
        <v>44682</v>
      </c>
      <c r="J459" s="6">
        <v>0</v>
      </c>
      <c r="K459" s="52">
        <v>0</v>
      </c>
      <c r="L459" s="6">
        <v>4.84</v>
      </c>
      <c r="M459" s="52">
        <v>4.84</v>
      </c>
      <c r="N459" s="6">
        <v>4.84</v>
      </c>
      <c r="O459" s="52">
        <v>4.84</v>
      </c>
      <c r="P459" s="6">
        <v>0</v>
      </c>
      <c r="Q459" s="4" t="s">
        <v>26</v>
      </c>
      <c r="R459" s="4">
        <v>0</v>
      </c>
      <c r="S459" s="6">
        <v>0</v>
      </c>
      <c r="T459" s="6">
        <v>17</v>
      </c>
      <c r="U459" s="6">
        <v>66</v>
      </c>
      <c r="V459" s="52">
        <f>IF(ISERROR(VLOOKUP($S$459,'TAR FIN'!$A$1:$O$103,15,0)),0,VLOOKUP($S$459,'TAR FIN'!$A$1:$O$103,15,0))</f>
        <v>0</v>
      </c>
      <c r="W459" s="52">
        <f>IF(ISERROR(VLOOKUP($T$459,'TAR FIN'!$A$1:$O$103,15,0)),0,VLOOKUP($T$459,'TAR FIN'!$A$1:$O$103,15,0))*(1-0.06)</f>
        <v>79.890599999999992</v>
      </c>
      <c r="X459" s="52">
        <f>IF(ISERROR(VLOOKUP($U$459,'TAR FIN'!$A$1:$O$103,15,0)),0,VLOOKUP($U$459,'TAR FIN'!$A$1:$O$103,15,0))*(1-0.06)</f>
        <v>228.2038</v>
      </c>
      <c r="Y459" s="52"/>
      <c r="Z459" s="52">
        <f ca="1">('TUSD BE'!$AM$24+'TUSD BF'!$AM$24+'TUSD CVA'!$AM$24)*1*(1-0.03)</f>
        <v>141.35070271825751</v>
      </c>
      <c r="AA459" s="52">
        <f>('TE BE'!$AB$9+'TE BF'!$AB$9+'TE CVA'!$AB$9)*1*(1-0.03)</f>
        <v>215.72204893346822</v>
      </c>
      <c r="AB459" s="6">
        <f>$K$459*$V$459</f>
        <v>0</v>
      </c>
      <c r="AC459" s="6">
        <f>$M$459*$W$459</f>
        <v>386.67050399999994</v>
      </c>
      <c r="AD459" s="6">
        <f>$O$459*$X$459</f>
        <v>1104.506392</v>
      </c>
      <c r="AE459" s="6">
        <f>$K$459*$Y$459</f>
        <v>0</v>
      </c>
      <c r="AF459" s="6">
        <f ca="1">$M$459*$Z$459</f>
        <v>684.13740115636631</v>
      </c>
      <c r="AG459" s="6">
        <f>$O$459*$AA$459</f>
        <v>1044.0947168379862</v>
      </c>
    </row>
    <row r="460" spans="1:33" ht="11.25" customHeight="1" x14ac:dyDescent="0.3">
      <c r="A460" s="4" t="s">
        <v>21</v>
      </c>
      <c r="B460" s="4" t="s">
        <v>39</v>
      </c>
      <c r="C460" s="4" t="s">
        <v>40</v>
      </c>
      <c r="D460" s="4" t="s">
        <v>50</v>
      </c>
      <c r="E460" s="4" t="s">
        <v>51</v>
      </c>
      <c r="F460" s="4" t="s">
        <v>25</v>
      </c>
      <c r="G460" s="4" t="s">
        <v>25</v>
      </c>
      <c r="H460" s="4" t="s">
        <v>35</v>
      </c>
      <c r="I460" s="5">
        <v>44713</v>
      </c>
      <c r="J460" s="6">
        <v>0</v>
      </c>
      <c r="K460" s="52">
        <v>0</v>
      </c>
      <c r="L460" s="6">
        <v>4.8019999999999996</v>
      </c>
      <c r="M460" s="52">
        <v>4.8019999999999996</v>
      </c>
      <c r="N460" s="6">
        <v>4.8019999999999996</v>
      </c>
      <c r="O460" s="52">
        <v>4.8019999999999996</v>
      </c>
      <c r="P460" s="6">
        <v>0</v>
      </c>
      <c r="Q460" s="4" t="s">
        <v>26</v>
      </c>
      <c r="R460" s="4">
        <v>0</v>
      </c>
      <c r="S460" s="6">
        <v>0</v>
      </c>
      <c r="T460" s="6">
        <v>17</v>
      </c>
      <c r="U460" s="6">
        <v>66</v>
      </c>
      <c r="V460" s="52">
        <f>IF(ISERROR(VLOOKUP($S$460,'TAR FIN'!$A$1:$O$103,15,0)),0,VLOOKUP($S$460,'TAR FIN'!$A$1:$O$103,15,0))</f>
        <v>0</v>
      </c>
      <c r="W460" s="52">
        <f>IF(ISERROR(VLOOKUP($T$460,'TAR FIN'!$A$1:$O$103,15,0)),0,VLOOKUP($T$460,'TAR FIN'!$A$1:$O$103,15,0))*(1-0.06)</f>
        <v>79.890599999999992</v>
      </c>
      <c r="X460" s="52">
        <f>IF(ISERROR(VLOOKUP($U$460,'TAR FIN'!$A$1:$O$103,15,0)),0,VLOOKUP($U$460,'TAR FIN'!$A$1:$O$103,15,0))*(1-0.06)</f>
        <v>228.2038</v>
      </c>
      <c r="Y460" s="52"/>
      <c r="Z460" s="52">
        <f ca="1">('TUSD BE'!$AM$24+'TUSD BF'!$AM$24+'TUSD CVA'!$AM$24)*1*(1-0.03)</f>
        <v>141.35070271825751</v>
      </c>
      <c r="AA460" s="52">
        <f>('TE BE'!$AB$9+'TE BF'!$AB$9+'TE CVA'!$AB$9)*1*(1-0.03)</f>
        <v>215.72204893346822</v>
      </c>
      <c r="AB460" s="6">
        <f>$K$460*$V$460</f>
        <v>0</v>
      </c>
      <c r="AC460" s="6">
        <f>$M$460*$W$460</f>
        <v>383.63466119999993</v>
      </c>
      <c r="AD460" s="6">
        <f>$O$460*$X$460</f>
        <v>1095.8346475999999</v>
      </c>
      <c r="AE460" s="6">
        <f>$K$460*$Y$460</f>
        <v>0</v>
      </c>
      <c r="AF460" s="6">
        <f ca="1">$M$460*$Z$460</f>
        <v>678.76607445307252</v>
      </c>
      <c r="AG460" s="6">
        <f>$O$460*$AA$460</f>
        <v>1035.8972789785144</v>
      </c>
    </row>
    <row r="461" spans="1:33" ht="11.25" customHeight="1" x14ac:dyDescent="0.3">
      <c r="A461" s="4" t="s">
        <v>21</v>
      </c>
      <c r="B461" s="4" t="s">
        <v>39</v>
      </c>
      <c r="C461" s="4" t="s">
        <v>40</v>
      </c>
      <c r="D461" s="4" t="s">
        <v>50</v>
      </c>
      <c r="E461" s="4" t="s">
        <v>51</v>
      </c>
      <c r="F461" s="4" t="s">
        <v>25</v>
      </c>
      <c r="G461" s="4" t="s">
        <v>25</v>
      </c>
      <c r="H461" s="4" t="s">
        <v>35</v>
      </c>
      <c r="I461" s="5">
        <v>44743</v>
      </c>
      <c r="J461" s="6">
        <v>0</v>
      </c>
      <c r="K461" s="52">
        <v>0</v>
      </c>
      <c r="L461" s="6">
        <v>5.4009999999999998</v>
      </c>
      <c r="M461" s="52">
        <v>5.4009999999999998</v>
      </c>
      <c r="N461" s="6">
        <v>5.4009999999999998</v>
      </c>
      <c r="O461" s="52">
        <v>5.4009999999999998</v>
      </c>
      <c r="P461" s="6">
        <v>0</v>
      </c>
      <c r="Q461" s="4" t="s">
        <v>26</v>
      </c>
      <c r="R461" s="4">
        <v>0</v>
      </c>
      <c r="S461" s="6">
        <v>0</v>
      </c>
      <c r="T461" s="6">
        <v>17</v>
      </c>
      <c r="U461" s="6">
        <v>66</v>
      </c>
      <c r="V461" s="52">
        <f>IF(ISERROR(VLOOKUP($S$461,'TAR FIN'!$A$1:$O$103,15,0)),0,VLOOKUP($S$461,'TAR FIN'!$A$1:$O$103,15,0))</f>
        <v>0</v>
      </c>
      <c r="W461" s="52">
        <f>IF(ISERROR(VLOOKUP($T$461,'TAR FIN'!$A$1:$O$103,15,0)),0,VLOOKUP($T$461,'TAR FIN'!$A$1:$O$103,15,0))*(1-0.06)</f>
        <v>79.890599999999992</v>
      </c>
      <c r="X461" s="52">
        <f>IF(ISERROR(VLOOKUP($U$461,'TAR FIN'!$A$1:$O$103,15,0)),0,VLOOKUP($U$461,'TAR FIN'!$A$1:$O$103,15,0))*(1-0.06)</f>
        <v>228.2038</v>
      </c>
      <c r="Y461" s="52"/>
      <c r="Z461" s="52">
        <f ca="1">('TUSD BE'!$AM$24+'TUSD BF'!$AM$24+'TUSD CVA'!$AM$24)*1*(1-0.03)</f>
        <v>141.35070271825751</v>
      </c>
      <c r="AA461" s="52">
        <f>('TE BE'!$AB$9+'TE BF'!$AB$9+'TE CVA'!$AB$9)*1*(1-0.03)</f>
        <v>215.72204893346822</v>
      </c>
      <c r="AB461" s="6">
        <f>$K$461*$V$461</f>
        <v>0</v>
      </c>
      <c r="AC461" s="6">
        <f>$M$461*$W$461</f>
        <v>431.48913059999995</v>
      </c>
      <c r="AD461" s="6">
        <f>$O$461*$X$461</f>
        <v>1232.5287237999999</v>
      </c>
      <c r="AE461" s="6">
        <f>$K$461*$Y$461</f>
        <v>0</v>
      </c>
      <c r="AF461" s="6">
        <f ca="1">$M$461*$Z$461</f>
        <v>763.43514538130876</v>
      </c>
      <c r="AG461" s="6">
        <f>$O$461*$AA$461</f>
        <v>1165.1147862896619</v>
      </c>
    </row>
    <row r="462" spans="1:33" ht="11.25" customHeight="1" x14ac:dyDescent="0.3">
      <c r="A462" s="4" t="s">
        <v>21</v>
      </c>
      <c r="B462" s="4" t="s">
        <v>39</v>
      </c>
      <c r="C462" s="4" t="s">
        <v>40</v>
      </c>
      <c r="D462" s="4" t="s">
        <v>50</v>
      </c>
      <c r="E462" s="4" t="s">
        <v>51</v>
      </c>
      <c r="F462" s="4" t="s">
        <v>25</v>
      </c>
      <c r="G462" s="4" t="s">
        <v>25</v>
      </c>
      <c r="H462" s="4" t="s">
        <v>35</v>
      </c>
      <c r="I462" s="5">
        <v>44774</v>
      </c>
      <c r="J462" s="6">
        <v>0</v>
      </c>
      <c r="K462" s="52">
        <v>0</v>
      </c>
      <c r="L462" s="6">
        <v>5.5839999999999996</v>
      </c>
      <c r="M462" s="52">
        <v>5.5839999999999996</v>
      </c>
      <c r="N462" s="6">
        <v>5.5839999999999996</v>
      </c>
      <c r="O462" s="52">
        <v>5.5839999999999996</v>
      </c>
      <c r="P462" s="6">
        <v>0</v>
      </c>
      <c r="Q462" s="4" t="s">
        <v>26</v>
      </c>
      <c r="R462" s="4">
        <v>0</v>
      </c>
      <c r="S462" s="6">
        <v>0</v>
      </c>
      <c r="T462" s="6">
        <v>17</v>
      </c>
      <c r="U462" s="6">
        <v>66</v>
      </c>
      <c r="V462" s="52">
        <f>IF(ISERROR(VLOOKUP($S$462,'TAR FIN'!$A$1:$O$103,15,0)),0,VLOOKUP($S$462,'TAR FIN'!$A$1:$O$103,15,0))</f>
        <v>0</v>
      </c>
      <c r="W462" s="52">
        <f>IF(ISERROR(VLOOKUP($T$462,'TAR FIN'!$A$1:$O$103,15,0)),0,VLOOKUP($T$462,'TAR FIN'!$A$1:$O$103,15,0))*(1-0.06)</f>
        <v>79.890599999999992</v>
      </c>
      <c r="X462" s="52">
        <f>IF(ISERROR(VLOOKUP($U$462,'TAR FIN'!$A$1:$O$103,15,0)),0,VLOOKUP($U$462,'TAR FIN'!$A$1:$O$103,15,0))*(1-0.06)</f>
        <v>228.2038</v>
      </c>
      <c r="Y462" s="52"/>
      <c r="Z462" s="52">
        <f ca="1">('TUSD BE'!$AM$24+'TUSD BF'!$AM$24+'TUSD CVA'!$AM$24)*1*(1-0.03)</f>
        <v>141.35070271825751</v>
      </c>
      <c r="AA462" s="52">
        <f>('TE BE'!$AB$9+'TE BF'!$AB$9+'TE CVA'!$AB$9)*1*(1-0.03)</f>
        <v>215.72204893346822</v>
      </c>
      <c r="AB462" s="6">
        <f>$K$462*$V$462</f>
        <v>0</v>
      </c>
      <c r="AC462" s="6">
        <f>$M$462*$W$462</f>
        <v>446.10911039999991</v>
      </c>
      <c r="AD462" s="6">
        <f>$O$462*$X$462</f>
        <v>1274.2900192</v>
      </c>
      <c r="AE462" s="6">
        <f>$K$462*$Y$462</f>
        <v>0</v>
      </c>
      <c r="AF462" s="6">
        <f ca="1">$M$462*$Z$462</f>
        <v>789.30232397874988</v>
      </c>
      <c r="AG462" s="6">
        <f>$O$462*$AA$462</f>
        <v>1204.5919212444865</v>
      </c>
    </row>
    <row r="463" spans="1:33" ht="11.25" customHeight="1" x14ac:dyDescent="0.3">
      <c r="A463" s="4" t="s">
        <v>21</v>
      </c>
      <c r="B463" s="4" t="s">
        <v>39</v>
      </c>
      <c r="C463" s="4" t="s">
        <v>40</v>
      </c>
      <c r="D463" s="4" t="s">
        <v>50</v>
      </c>
      <c r="E463" s="4" t="s">
        <v>51</v>
      </c>
      <c r="F463" s="4" t="s">
        <v>25</v>
      </c>
      <c r="G463" s="4" t="s">
        <v>25</v>
      </c>
      <c r="H463" s="4" t="s">
        <v>35</v>
      </c>
      <c r="I463" s="5">
        <v>44805</v>
      </c>
      <c r="J463" s="6">
        <v>0</v>
      </c>
      <c r="K463" s="52">
        <v>0</v>
      </c>
      <c r="L463" s="6">
        <v>5.4020000000000001</v>
      </c>
      <c r="M463" s="52">
        <v>5.4020000000000001</v>
      </c>
      <c r="N463" s="6">
        <v>5.4020000000000001</v>
      </c>
      <c r="O463" s="52">
        <v>5.4020000000000001</v>
      </c>
      <c r="P463" s="6">
        <v>0</v>
      </c>
      <c r="Q463" s="4" t="s">
        <v>26</v>
      </c>
      <c r="R463" s="4">
        <v>0</v>
      </c>
      <c r="S463" s="6">
        <v>0</v>
      </c>
      <c r="T463" s="6">
        <v>17</v>
      </c>
      <c r="U463" s="6">
        <v>66</v>
      </c>
      <c r="V463" s="52">
        <f>IF(ISERROR(VLOOKUP($S$463,'TAR FIN'!$A$1:$O$103,15,0)),0,VLOOKUP($S$463,'TAR FIN'!$A$1:$O$103,15,0))</f>
        <v>0</v>
      </c>
      <c r="W463" s="52">
        <f>IF(ISERROR(VLOOKUP($T$463,'TAR FIN'!$A$1:$O$103,15,0)),0,VLOOKUP($T$463,'TAR FIN'!$A$1:$O$103,15,0))*(1-0.06)</f>
        <v>79.890599999999992</v>
      </c>
      <c r="X463" s="52">
        <f>IF(ISERROR(VLOOKUP($U$463,'TAR FIN'!$A$1:$O$103,15,0)),0,VLOOKUP($U$463,'TAR FIN'!$A$1:$O$103,15,0))*(1-0.06)</f>
        <v>228.2038</v>
      </c>
      <c r="Y463" s="52"/>
      <c r="Z463" s="52">
        <f ca="1">('TUSD BE'!$AM$24+'TUSD BF'!$AM$24+'TUSD CVA'!$AM$24)*1*(1-0.03)</f>
        <v>141.35070271825751</v>
      </c>
      <c r="AA463" s="52">
        <f>('TE BE'!$AB$9+'TE BF'!$AB$9+'TE CVA'!$AB$9)*1*(1-0.03)</f>
        <v>215.72204893346822</v>
      </c>
      <c r="AB463" s="6">
        <f>$K$463*$V$463</f>
        <v>0</v>
      </c>
      <c r="AC463" s="6">
        <f>$M$463*$W$463</f>
        <v>431.56902119999995</v>
      </c>
      <c r="AD463" s="6">
        <f>$O$463*$X$463</f>
        <v>1232.7569275999999</v>
      </c>
      <c r="AE463" s="6">
        <f>$K$463*$Y$463</f>
        <v>0</v>
      </c>
      <c r="AF463" s="6">
        <f ca="1">$M$463*$Z$463</f>
        <v>763.5764960840271</v>
      </c>
      <c r="AG463" s="6">
        <f>$O$463*$AA$463</f>
        <v>1165.3305083385953</v>
      </c>
    </row>
    <row r="464" spans="1:33" ht="11.25" customHeight="1" x14ac:dyDescent="0.3">
      <c r="A464" s="4" t="s">
        <v>57</v>
      </c>
      <c r="B464" s="4" t="s">
        <v>39</v>
      </c>
      <c r="C464" s="4" t="s">
        <v>40</v>
      </c>
      <c r="D464" s="4" t="s">
        <v>50</v>
      </c>
      <c r="E464" s="4" t="s">
        <v>51</v>
      </c>
      <c r="F464" s="4" t="s">
        <v>25</v>
      </c>
      <c r="G464" s="4" t="s">
        <v>25</v>
      </c>
      <c r="H464" s="4" t="s">
        <v>35</v>
      </c>
      <c r="I464" s="5">
        <v>44835</v>
      </c>
      <c r="J464" s="6">
        <v>0</v>
      </c>
      <c r="K464" s="52">
        <v>0</v>
      </c>
      <c r="L464" s="6">
        <v>5.4020000000000001</v>
      </c>
      <c r="M464" s="52">
        <v>5.4020000000000001</v>
      </c>
      <c r="N464" s="6">
        <v>5.4020000000000001</v>
      </c>
      <c r="O464" s="52">
        <v>5.4020000000000001</v>
      </c>
      <c r="P464" s="6">
        <v>0</v>
      </c>
      <c r="Q464" s="4" t="s">
        <v>26</v>
      </c>
      <c r="R464" s="4">
        <v>0</v>
      </c>
      <c r="S464" s="6">
        <v>0</v>
      </c>
      <c r="T464" s="6">
        <v>17</v>
      </c>
      <c r="U464" s="6">
        <v>66</v>
      </c>
      <c r="V464" s="52">
        <f>IF(ISERROR(VLOOKUP($S$464,'TAR FIN'!$A$1:$O$103,15,0)),0,VLOOKUP($S$464,'TAR FIN'!$A$1:$O$103,15,0))</f>
        <v>0</v>
      </c>
      <c r="W464" s="52">
        <f>IF(ISERROR(VLOOKUP($T$464,'TAR FIN'!$A$1:$O$103,15,0)),0,VLOOKUP($T$464,'TAR FIN'!$A$1:$O$103,15,0))*(1-0.06)</f>
        <v>79.890599999999992</v>
      </c>
      <c r="X464" s="52">
        <f>IF(ISERROR(VLOOKUP($U$464,'TAR FIN'!$A$1:$O$103,15,0)),0,VLOOKUP($U$464,'TAR FIN'!$A$1:$O$103,15,0))*(1-0.06)</f>
        <v>228.2038</v>
      </c>
      <c r="Y464" s="52"/>
      <c r="Z464" s="52">
        <f ca="1">('TUSD BE'!$AM$24+'TUSD BF'!$AM$24+'TUSD CVA'!$AM$24)*1*(1-0.03)</f>
        <v>141.35070271825751</v>
      </c>
      <c r="AA464" s="52">
        <f>('TE BE'!$AB$9+'TE BF'!$AB$9+'TE CVA'!$AB$9)*1*(1-0.03)</f>
        <v>215.72204893346822</v>
      </c>
      <c r="AB464" s="6">
        <f>$K$464*$V$464</f>
        <v>0</v>
      </c>
      <c r="AC464" s="6">
        <f>$M$464*$W$464</f>
        <v>431.56902119999995</v>
      </c>
      <c r="AD464" s="6">
        <f>$O$464*$X$464</f>
        <v>1232.7569275999999</v>
      </c>
      <c r="AE464" s="6">
        <f>$K$464*$Y$464</f>
        <v>0</v>
      </c>
      <c r="AF464" s="6">
        <f ca="1">$M$464*$Z$464</f>
        <v>763.5764960840271</v>
      </c>
      <c r="AG464" s="6">
        <f>$O$464*$AA$464</f>
        <v>1165.3305083385953</v>
      </c>
    </row>
    <row r="465" spans="1:33" ht="11.25" customHeight="1" x14ac:dyDescent="0.3">
      <c r="A465" s="4" t="s">
        <v>21</v>
      </c>
      <c r="B465" s="4" t="s">
        <v>39</v>
      </c>
      <c r="C465" s="4" t="s">
        <v>40</v>
      </c>
      <c r="D465" s="4" t="s">
        <v>50</v>
      </c>
      <c r="E465" s="4" t="s">
        <v>51</v>
      </c>
      <c r="F465" s="4" t="s">
        <v>25</v>
      </c>
      <c r="G465" s="4" t="s">
        <v>25</v>
      </c>
      <c r="H465" s="4" t="s">
        <v>25</v>
      </c>
      <c r="I465" s="5">
        <v>44501</v>
      </c>
      <c r="J465" s="6">
        <v>30</v>
      </c>
      <c r="K465" s="53">
        <v>30</v>
      </c>
      <c r="L465" s="6">
        <v>0</v>
      </c>
      <c r="M465" s="52">
        <v>0</v>
      </c>
      <c r="N465" s="6">
        <v>0</v>
      </c>
      <c r="O465" s="52">
        <v>0</v>
      </c>
      <c r="P465" s="6">
        <v>1</v>
      </c>
      <c r="Q465" s="4" t="s">
        <v>26</v>
      </c>
      <c r="R465" s="4">
        <v>0</v>
      </c>
      <c r="S465" s="6">
        <v>13</v>
      </c>
      <c r="T465" s="6">
        <v>0</v>
      </c>
      <c r="U465" s="6">
        <v>0</v>
      </c>
      <c r="V465" s="52">
        <f>IF(ISERROR(VLOOKUP($S$465,'TAR FIN'!$A$1:$O$103,15,0)),0,VLOOKUP($S$465,'TAR FIN'!$A$1:$O$103,15,0))*(1-0.06)</f>
        <v>17.784800000000001</v>
      </c>
      <c r="W465" s="52">
        <f>IF(ISERROR(VLOOKUP($T$465,'TAR FIN'!$A$1:$O$103,15,0)),0,VLOOKUP($T$465,'TAR FIN'!$A$1:$O$103,15,0))</f>
        <v>0</v>
      </c>
      <c r="X465" s="52">
        <f>IF(ISERROR(VLOOKUP($U$465,'TAR FIN'!$A$1:$O$103,15,0)),0,VLOOKUP($U$465,'TAR FIN'!$A$1:$O$103,15,0))</f>
        <v>0</v>
      </c>
      <c r="Y465" s="52">
        <f ca="1">('TUSD BE'!$AM$22+'TUSD BF'!$AM$22+'TUSD CVA'!$AM$22)*1*(1-0.03)</f>
        <v>20.728258466855738</v>
      </c>
      <c r="Z465" s="52"/>
      <c r="AA465" s="52"/>
      <c r="AB465" s="6">
        <f>$K$465*$V$465</f>
        <v>533.54399999999998</v>
      </c>
      <c r="AC465" s="6">
        <f>$M$465*$W$465</f>
        <v>0</v>
      </c>
      <c r="AD465" s="6">
        <f>$O$465*$X$465</f>
        <v>0</v>
      </c>
      <c r="AE465" s="6">
        <f ca="1">$K$465*$Y$465</f>
        <v>621.84775400567219</v>
      </c>
      <c r="AF465" s="6">
        <f>$M$465*$Z$465</f>
        <v>0</v>
      </c>
      <c r="AG465" s="6">
        <f>$O$465*$AA$465</f>
        <v>0</v>
      </c>
    </row>
    <row r="466" spans="1:33" ht="11.25" customHeight="1" x14ac:dyDescent="0.3">
      <c r="A466" s="4" t="s">
        <v>21</v>
      </c>
      <c r="B466" s="4" t="s">
        <v>39</v>
      </c>
      <c r="C466" s="4" t="s">
        <v>40</v>
      </c>
      <c r="D466" s="4" t="s">
        <v>50</v>
      </c>
      <c r="E466" s="4" t="s">
        <v>51</v>
      </c>
      <c r="F466" s="4" t="s">
        <v>25</v>
      </c>
      <c r="G466" s="4" t="s">
        <v>25</v>
      </c>
      <c r="H466" s="4" t="s">
        <v>25</v>
      </c>
      <c r="I466" s="5">
        <v>44531</v>
      </c>
      <c r="J466" s="6">
        <v>30</v>
      </c>
      <c r="K466" s="53">
        <v>30</v>
      </c>
      <c r="L466" s="6">
        <v>0</v>
      </c>
      <c r="M466" s="52">
        <v>0</v>
      </c>
      <c r="N466" s="6">
        <v>0</v>
      </c>
      <c r="O466" s="52">
        <v>0</v>
      </c>
      <c r="P466" s="6">
        <v>1</v>
      </c>
      <c r="Q466" s="4" t="s">
        <v>26</v>
      </c>
      <c r="R466" s="4">
        <v>0</v>
      </c>
      <c r="S466" s="6">
        <v>13</v>
      </c>
      <c r="T466" s="6">
        <v>0</v>
      </c>
      <c r="U466" s="6">
        <v>0</v>
      </c>
      <c r="V466" s="52">
        <f>IF(ISERROR(VLOOKUP($S$466,'TAR FIN'!$A$1:$O$103,15,0)),0,VLOOKUP($S$466,'TAR FIN'!$A$1:$O$103,15,0))*(1-0.06)</f>
        <v>17.784800000000001</v>
      </c>
      <c r="W466" s="52">
        <f>IF(ISERROR(VLOOKUP($T$466,'TAR FIN'!$A$1:$O$103,15,0)),0,VLOOKUP($T$466,'TAR FIN'!$A$1:$O$103,15,0))</f>
        <v>0</v>
      </c>
      <c r="X466" s="52">
        <f>IF(ISERROR(VLOOKUP($U$466,'TAR FIN'!$A$1:$O$103,15,0)),0,VLOOKUP($U$466,'TAR FIN'!$A$1:$O$103,15,0))</f>
        <v>0</v>
      </c>
      <c r="Y466" s="52">
        <f ca="1">('TUSD BE'!$AM$22+'TUSD BF'!$AM$22+'TUSD CVA'!$AM$22)*1*(1-0.03)</f>
        <v>20.728258466855738</v>
      </c>
      <c r="Z466" s="52"/>
      <c r="AA466" s="52"/>
      <c r="AB466" s="6">
        <f>$K$466*$V$466</f>
        <v>533.54399999999998</v>
      </c>
      <c r="AC466" s="6">
        <f>$M$466*$W$466</f>
        <v>0</v>
      </c>
      <c r="AD466" s="6">
        <f>$O$466*$X$466</f>
        <v>0</v>
      </c>
      <c r="AE466" s="6">
        <f ca="1">$K$466*$Y$466</f>
        <v>621.84775400567219</v>
      </c>
      <c r="AF466" s="6">
        <f>$M$466*$Z$466</f>
        <v>0</v>
      </c>
      <c r="AG466" s="6">
        <f>$O$466*$AA$466</f>
        <v>0</v>
      </c>
    </row>
    <row r="467" spans="1:33" ht="11.25" customHeight="1" x14ac:dyDescent="0.3">
      <c r="A467" s="4" t="s">
        <v>21</v>
      </c>
      <c r="B467" s="4" t="s">
        <v>39</v>
      </c>
      <c r="C467" s="4" t="s">
        <v>40</v>
      </c>
      <c r="D467" s="4" t="s">
        <v>50</v>
      </c>
      <c r="E467" s="4" t="s">
        <v>51</v>
      </c>
      <c r="F467" s="4" t="s">
        <v>25</v>
      </c>
      <c r="G467" s="4" t="s">
        <v>25</v>
      </c>
      <c r="H467" s="4" t="s">
        <v>25</v>
      </c>
      <c r="I467" s="5">
        <v>44562</v>
      </c>
      <c r="J467" s="6">
        <v>30</v>
      </c>
      <c r="K467" s="53">
        <v>30</v>
      </c>
      <c r="L467" s="6">
        <v>0</v>
      </c>
      <c r="M467" s="52">
        <v>0</v>
      </c>
      <c r="N467" s="6">
        <v>0</v>
      </c>
      <c r="O467" s="52">
        <v>0</v>
      </c>
      <c r="P467" s="6">
        <v>1</v>
      </c>
      <c r="Q467" s="4" t="s">
        <v>26</v>
      </c>
      <c r="R467" s="4">
        <v>0</v>
      </c>
      <c r="S467" s="6">
        <v>13</v>
      </c>
      <c r="T467" s="6">
        <v>0</v>
      </c>
      <c r="U467" s="6">
        <v>0</v>
      </c>
      <c r="V467" s="52">
        <f>IF(ISERROR(VLOOKUP($S$467,'TAR FIN'!$A$1:$O$103,15,0)),0,VLOOKUP($S$467,'TAR FIN'!$A$1:$O$103,15,0))*(1-0.06)</f>
        <v>17.784800000000001</v>
      </c>
      <c r="W467" s="52">
        <f>IF(ISERROR(VLOOKUP($T$467,'TAR FIN'!$A$1:$O$103,15,0)),0,VLOOKUP($T$467,'TAR FIN'!$A$1:$O$103,15,0))</f>
        <v>0</v>
      </c>
      <c r="X467" s="52">
        <f>IF(ISERROR(VLOOKUP($U$467,'TAR FIN'!$A$1:$O$103,15,0)),0,VLOOKUP($U$467,'TAR FIN'!$A$1:$O$103,15,0))</f>
        <v>0</v>
      </c>
      <c r="Y467" s="52">
        <f ca="1">('TUSD BE'!$AM$22+'TUSD BF'!$AM$22+'TUSD CVA'!$AM$22)*1*(1-0.03)</f>
        <v>20.728258466855738</v>
      </c>
      <c r="Z467" s="52"/>
      <c r="AA467" s="52"/>
      <c r="AB467" s="6">
        <f>$K$467*$V$467</f>
        <v>533.54399999999998</v>
      </c>
      <c r="AC467" s="6">
        <f>$M$467*$W$467</f>
        <v>0</v>
      </c>
      <c r="AD467" s="6">
        <f>$O$467*$X$467</f>
        <v>0</v>
      </c>
      <c r="AE467" s="6">
        <f ca="1">$K$467*$Y$467</f>
        <v>621.84775400567219</v>
      </c>
      <c r="AF467" s="6">
        <f>$M$467*$Z$467</f>
        <v>0</v>
      </c>
      <c r="AG467" s="6">
        <f>$O$467*$AA$467</f>
        <v>0</v>
      </c>
    </row>
    <row r="468" spans="1:33" ht="11.25" customHeight="1" x14ac:dyDescent="0.3">
      <c r="A468" s="4" t="s">
        <v>21</v>
      </c>
      <c r="B468" s="4" t="s">
        <v>39</v>
      </c>
      <c r="C468" s="4" t="s">
        <v>40</v>
      </c>
      <c r="D468" s="4" t="s">
        <v>50</v>
      </c>
      <c r="E468" s="4" t="s">
        <v>51</v>
      </c>
      <c r="F468" s="4" t="s">
        <v>25</v>
      </c>
      <c r="G468" s="4" t="s">
        <v>25</v>
      </c>
      <c r="H468" s="4" t="s">
        <v>25</v>
      </c>
      <c r="I468" s="5">
        <v>44593</v>
      </c>
      <c r="J468" s="6">
        <v>30</v>
      </c>
      <c r="K468" s="53">
        <v>30</v>
      </c>
      <c r="L468" s="6">
        <v>0</v>
      </c>
      <c r="M468" s="52">
        <v>0</v>
      </c>
      <c r="N468" s="6">
        <v>0</v>
      </c>
      <c r="O468" s="52">
        <v>0</v>
      </c>
      <c r="P468" s="6">
        <v>1</v>
      </c>
      <c r="Q468" s="4" t="s">
        <v>26</v>
      </c>
      <c r="R468" s="4">
        <v>0</v>
      </c>
      <c r="S468" s="6">
        <v>13</v>
      </c>
      <c r="T468" s="6">
        <v>0</v>
      </c>
      <c r="U468" s="6">
        <v>0</v>
      </c>
      <c r="V468" s="52">
        <f>IF(ISERROR(VLOOKUP($S$468,'TAR FIN'!$A$1:$O$103,15,0)),0,VLOOKUP($S$468,'TAR FIN'!$A$1:$O$103,15,0))*(1-0.06)</f>
        <v>17.784800000000001</v>
      </c>
      <c r="W468" s="52">
        <f>IF(ISERROR(VLOOKUP($T$468,'TAR FIN'!$A$1:$O$103,15,0)),0,VLOOKUP($T$468,'TAR FIN'!$A$1:$O$103,15,0))</f>
        <v>0</v>
      </c>
      <c r="X468" s="52">
        <f>IF(ISERROR(VLOOKUP($U$468,'TAR FIN'!$A$1:$O$103,15,0)),0,VLOOKUP($U$468,'TAR FIN'!$A$1:$O$103,15,0))</f>
        <v>0</v>
      </c>
      <c r="Y468" s="52">
        <f ca="1">('TUSD BE'!$AM$22+'TUSD BF'!$AM$22+'TUSD CVA'!$AM$22)*1*(1-0.03)</f>
        <v>20.728258466855738</v>
      </c>
      <c r="Z468" s="52"/>
      <c r="AA468" s="52"/>
      <c r="AB468" s="6">
        <f>$K$468*$V$468</f>
        <v>533.54399999999998</v>
      </c>
      <c r="AC468" s="6">
        <f>$M$468*$W$468</f>
        <v>0</v>
      </c>
      <c r="AD468" s="6">
        <f>$O$468*$X$468</f>
        <v>0</v>
      </c>
      <c r="AE468" s="6">
        <f ca="1">$K$468*$Y$468</f>
        <v>621.84775400567219</v>
      </c>
      <c r="AF468" s="6">
        <f>$M$468*$Z$468</f>
        <v>0</v>
      </c>
      <c r="AG468" s="6">
        <f>$O$468*$AA$468</f>
        <v>0</v>
      </c>
    </row>
    <row r="469" spans="1:33" ht="11.25" customHeight="1" x14ac:dyDescent="0.3">
      <c r="A469" s="4" t="s">
        <v>21</v>
      </c>
      <c r="B469" s="4" t="s">
        <v>39</v>
      </c>
      <c r="C469" s="4" t="s">
        <v>40</v>
      </c>
      <c r="D469" s="4" t="s">
        <v>50</v>
      </c>
      <c r="E469" s="4" t="s">
        <v>51</v>
      </c>
      <c r="F469" s="4" t="s">
        <v>25</v>
      </c>
      <c r="G469" s="4" t="s">
        <v>25</v>
      </c>
      <c r="H469" s="4" t="s">
        <v>25</v>
      </c>
      <c r="I469" s="5">
        <v>44621</v>
      </c>
      <c r="J469" s="6">
        <v>30</v>
      </c>
      <c r="K469" s="53">
        <v>30</v>
      </c>
      <c r="L469" s="6">
        <v>0</v>
      </c>
      <c r="M469" s="52">
        <v>0</v>
      </c>
      <c r="N469" s="6">
        <v>0</v>
      </c>
      <c r="O469" s="52">
        <v>0</v>
      </c>
      <c r="P469" s="6">
        <v>1</v>
      </c>
      <c r="Q469" s="4" t="s">
        <v>26</v>
      </c>
      <c r="R469" s="4">
        <v>0</v>
      </c>
      <c r="S469" s="6">
        <v>13</v>
      </c>
      <c r="T469" s="6">
        <v>0</v>
      </c>
      <c r="U469" s="6">
        <v>0</v>
      </c>
      <c r="V469" s="52">
        <f>IF(ISERROR(VLOOKUP($S$469,'TAR FIN'!$A$1:$O$103,15,0)),0,VLOOKUP($S$469,'TAR FIN'!$A$1:$O$103,15,0))*(1-0.06)</f>
        <v>17.784800000000001</v>
      </c>
      <c r="W469" s="52">
        <f>IF(ISERROR(VLOOKUP($T$469,'TAR FIN'!$A$1:$O$103,15,0)),0,VLOOKUP($T$469,'TAR FIN'!$A$1:$O$103,15,0))</f>
        <v>0</v>
      </c>
      <c r="X469" s="52">
        <f>IF(ISERROR(VLOOKUP($U$469,'TAR FIN'!$A$1:$O$103,15,0)),0,VLOOKUP($U$469,'TAR FIN'!$A$1:$O$103,15,0))</f>
        <v>0</v>
      </c>
      <c r="Y469" s="52">
        <f ca="1">('TUSD BE'!$AM$22+'TUSD BF'!$AM$22+'TUSD CVA'!$AM$22)*1*(1-0.03)</f>
        <v>20.728258466855738</v>
      </c>
      <c r="Z469" s="52"/>
      <c r="AA469" s="52"/>
      <c r="AB469" s="6">
        <f>$K$469*$V$469</f>
        <v>533.54399999999998</v>
      </c>
      <c r="AC469" s="6">
        <f>$M$469*$W$469</f>
        <v>0</v>
      </c>
      <c r="AD469" s="6">
        <f>$O$469*$X$469</f>
        <v>0</v>
      </c>
      <c r="AE469" s="6">
        <f ca="1">$K$469*$Y$469</f>
        <v>621.84775400567219</v>
      </c>
      <c r="AF469" s="6">
        <f>$M$469*$Z$469</f>
        <v>0</v>
      </c>
      <c r="AG469" s="6">
        <f>$O$469*$AA$469</f>
        <v>0</v>
      </c>
    </row>
    <row r="470" spans="1:33" ht="11.25" customHeight="1" x14ac:dyDescent="0.3">
      <c r="A470" s="4" t="s">
        <v>21</v>
      </c>
      <c r="B470" s="4" t="s">
        <v>39</v>
      </c>
      <c r="C470" s="4" t="s">
        <v>40</v>
      </c>
      <c r="D470" s="4" t="s">
        <v>50</v>
      </c>
      <c r="E470" s="4" t="s">
        <v>51</v>
      </c>
      <c r="F470" s="4" t="s">
        <v>25</v>
      </c>
      <c r="G470" s="4" t="s">
        <v>25</v>
      </c>
      <c r="H470" s="4" t="s">
        <v>25</v>
      </c>
      <c r="I470" s="5">
        <v>44652</v>
      </c>
      <c r="J470" s="6">
        <v>30</v>
      </c>
      <c r="K470" s="53">
        <v>30</v>
      </c>
      <c r="L470" s="6">
        <v>0</v>
      </c>
      <c r="M470" s="52">
        <v>0</v>
      </c>
      <c r="N470" s="6">
        <v>0</v>
      </c>
      <c r="O470" s="52">
        <v>0</v>
      </c>
      <c r="P470" s="6">
        <v>1</v>
      </c>
      <c r="Q470" s="4" t="s">
        <v>26</v>
      </c>
      <c r="R470" s="4">
        <v>0</v>
      </c>
      <c r="S470" s="6">
        <v>13</v>
      </c>
      <c r="T470" s="6">
        <v>0</v>
      </c>
      <c r="U470" s="6">
        <v>0</v>
      </c>
      <c r="V470" s="52">
        <f>IF(ISERROR(VLOOKUP($S$470,'TAR FIN'!$A$1:$O$103,15,0)),0,VLOOKUP($S$470,'TAR FIN'!$A$1:$O$103,15,0))*(1-0.06)</f>
        <v>17.784800000000001</v>
      </c>
      <c r="W470" s="52">
        <f>IF(ISERROR(VLOOKUP($T$470,'TAR FIN'!$A$1:$O$103,15,0)),0,VLOOKUP($T$470,'TAR FIN'!$A$1:$O$103,15,0))</f>
        <v>0</v>
      </c>
      <c r="X470" s="52">
        <f>IF(ISERROR(VLOOKUP($U$470,'TAR FIN'!$A$1:$O$103,15,0)),0,VLOOKUP($U$470,'TAR FIN'!$A$1:$O$103,15,0))</f>
        <v>0</v>
      </c>
      <c r="Y470" s="52">
        <f ca="1">('TUSD BE'!$AM$22+'TUSD BF'!$AM$22+'TUSD CVA'!$AM$22)*1*(1-0.03)</f>
        <v>20.728258466855738</v>
      </c>
      <c r="Z470" s="52"/>
      <c r="AA470" s="52"/>
      <c r="AB470" s="6">
        <f>$K$470*$V$470</f>
        <v>533.54399999999998</v>
      </c>
      <c r="AC470" s="6">
        <f>$M$470*$W$470</f>
        <v>0</v>
      </c>
      <c r="AD470" s="6">
        <f>$O$470*$X$470</f>
        <v>0</v>
      </c>
      <c r="AE470" s="6">
        <f ca="1">$K$470*$Y$470</f>
        <v>621.84775400567219</v>
      </c>
      <c r="AF470" s="6">
        <f>$M$470*$Z$470</f>
        <v>0</v>
      </c>
      <c r="AG470" s="6">
        <f>$O$470*$AA$470</f>
        <v>0</v>
      </c>
    </row>
    <row r="471" spans="1:33" ht="11.25" customHeight="1" x14ac:dyDescent="0.3">
      <c r="A471" s="4" t="s">
        <v>21</v>
      </c>
      <c r="B471" s="4" t="s">
        <v>39</v>
      </c>
      <c r="C471" s="4" t="s">
        <v>40</v>
      </c>
      <c r="D471" s="4" t="s">
        <v>50</v>
      </c>
      <c r="E471" s="4" t="s">
        <v>51</v>
      </c>
      <c r="F471" s="4" t="s">
        <v>25</v>
      </c>
      <c r="G471" s="4" t="s">
        <v>25</v>
      </c>
      <c r="H471" s="4" t="s">
        <v>25</v>
      </c>
      <c r="I471" s="5">
        <v>44682</v>
      </c>
      <c r="J471" s="6">
        <v>30</v>
      </c>
      <c r="K471" s="53">
        <v>30</v>
      </c>
      <c r="L471" s="6">
        <v>0</v>
      </c>
      <c r="M471" s="52">
        <v>0</v>
      </c>
      <c r="N471" s="6">
        <v>0</v>
      </c>
      <c r="O471" s="52">
        <v>0</v>
      </c>
      <c r="P471" s="6">
        <v>1</v>
      </c>
      <c r="Q471" s="4" t="s">
        <v>26</v>
      </c>
      <c r="R471" s="4">
        <v>0</v>
      </c>
      <c r="S471" s="6">
        <v>13</v>
      </c>
      <c r="T471" s="6">
        <v>0</v>
      </c>
      <c r="U471" s="6">
        <v>0</v>
      </c>
      <c r="V471" s="52">
        <f>IF(ISERROR(VLOOKUP($S$471,'TAR FIN'!$A$1:$O$103,15,0)),0,VLOOKUP($S$471,'TAR FIN'!$A$1:$O$103,15,0))*(1-0.06)</f>
        <v>17.784800000000001</v>
      </c>
      <c r="W471" s="52">
        <f>IF(ISERROR(VLOOKUP($T$471,'TAR FIN'!$A$1:$O$103,15,0)),0,VLOOKUP($T$471,'TAR FIN'!$A$1:$O$103,15,0))</f>
        <v>0</v>
      </c>
      <c r="X471" s="52">
        <f>IF(ISERROR(VLOOKUP($U$471,'TAR FIN'!$A$1:$O$103,15,0)),0,VLOOKUP($U$471,'TAR FIN'!$A$1:$O$103,15,0))</f>
        <v>0</v>
      </c>
      <c r="Y471" s="52">
        <f ca="1">('TUSD BE'!$AM$22+'TUSD BF'!$AM$22+'TUSD CVA'!$AM$22)*1*(1-0.03)</f>
        <v>20.728258466855738</v>
      </c>
      <c r="Z471" s="52"/>
      <c r="AA471" s="52"/>
      <c r="AB471" s="6">
        <f>$K$471*$V$471</f>
        <v>533.54399999999998</v>
      </c>
      <c r="AC471" s="6">
        <f>$M$471*$W$471</f>
        <v>0</v>
      </c>
      <c r="AD471" s="6">
        <f>$O$471*$X$471</f>
        <v>0</v>
      </c>
      <c r="AE471" s="6">
        <f ca="1">$K$471*$Y$471</f>
        <v>621.84775400567219</v>
      </c>
      <c r="AF471" s="6">
        <f>$M$471*$Z$471</f>
        <v>0</v>
      </c>
      <c r="AG471" s="6">
        <f>$O$471*$AA$471</f>
        <v>0</v>
      </c>
    </row>
    <row r="472" spans="1:33" ht="11.25" customHeight="1" x14ac:dyDescent="0.3">
      <c r="A472" s="4" t="s">
        <v>21</v>
      </c>
      <c r="B472" s="4" t="s">
        <v>39</v>
      </c>
      <c r="C472" s="4" t="s">
        <v>40</v>
      </c>
      <c r="D472" s="4" t="s">
        <v>50</v>
      </c>
      <c r="E472" s="4" t="s">
        <v>51</v>
      </c>
      <c r="F472" s="4" t="s">
        <v>25</v>
      </c>
      <c r="G472" s="4" t="s">
        <v>25</v>
      </c>
      <c r="H472" s="4" t="s">
        <v>25</v>
      </c>
      <c r="I472" s="5">
        <v>44713</v>
      </c>
      <c r="J472" s="6">
        <v>30</v>
      </c>
      <c r="K472" s="53">
        <v>30</v>
      </c>
      <c r="L472" s="6">
        <v>0</v>
      </c>
      <c r="M472" s="52">
        <v>0</v>
      </c>
      <c r="N472" s="6">
        <v>0</v>
      </c>
      <c r="O472" s="52">
        <v>0</v>
      </c>
      <c r="P472" s="6">
        <v>1</v>
      </c>
      <c r="Q472" s="4" t="s">
        <v>26</v>
      </c>
      <c r="R472" s="4">
        <v>0</v>
      </c>
      <c r="S472" s="6">
        <v>13</v>
      </c>
      <c r="T472" s="6">
        <v>0</v>
      </c>
      <c r="U472" s="6">
        <v>0</v>
      </c>
      <c r="V472" s="52">
        <f>IF(ISERROR(VLOOKUP($S$472,'TAR FIN'!$A$1:$O$103,15,0)),0,VLOOKUP($S$472,'TAR FIN'!$A$1:$O$103,15,0))*(1-0.06)</f>
        <v>17.784800000000001</v>
      </c>
      <c r="W472" s="52">
        <f>IF(ISERROR(VLOOKUP($T$472,'TAR FIN'!$A$1:$O$103,15,0)),0,VLOOKUP($T$472,'TAR FIN'!$A$1:$O$103,15,0))</f>
        <v>0</v>
      </c>
      <c r="X472" s="52">
        <f>IF(ISERROR(VLOOKUP($U$472,'TAR FIN'!$A$1:$O$103,15,0)),0,VLOOKUP($U$472,'TAR FIN'!$A$1:$O$103,15,0))</f>
        <v>0</v>
      </c>
      <c r="Y472" s="52">
        <f ca="1">('TUSD BE'!$AM$22+'TUSD BF'!$AM$22+'TUSD CVA'!$AM$22)*1*(1-0.03)</f>
        <v>20.728258466855738</v>
      </c>
      <c r="Z472" s="52"/>
      <c r="AA472" s="52"/>
      <c r="AB472" s="6">
        <f>$K$472*$V$472</f>
        <v>533.54399999999998</v>
      </c>
      <c r="AC472" s="6">
        <f>$M$472*$W$472</f>
        <v>0</v>
      </c>
      <c r="AD472" s="6">
        <f>$O$472*$X$472</f>
        <v>0</v>
      </c>
      <c r="AE472" s="6">
        <f ca="1">$K$472*$Y$472</f>
        <v>621.84775400567219</v>
      </c>
      <c r="AF472" s="6">
        <f>$M$472*$Z$472</f>
        <v>0</v>
      </c>
      <c r="AG472" s="6">
        <f>$O$472*$AA$472</f>
        <v>0</v>
      </c>
    </row>
    <row r="473" spans="1:33" ht="11.25" customHeight="1" x14ac:dyDescent="0.3">
      <c r="A473" s="4" t="s">
        <v>21</v>
      </c>
      <c r="B473" s="4" t="s">
        <v>39</v>
      </c>
      <c r="C473" s="4" t="s">
        <v>40</v>
      </c>
      <c r="D473" s="4" t="s">
        <v>50</v>
      </c>
      <c r="E473" s="4" t="s">
        <v>51</v>
      </c>
      <c r="F473" s="4" t="s">
        <v>25</v>
      </c>
      <c r="G473" s="4" t="s">
        <v>25</v>
      </c>
      <c r="H473" s="4" t="s">
        <v>25</v>
      </c>
      <c r="I473" s="5">
        <v>44743</v>
      </c>
      <c r="J473" s="6">
        <v>30</v>
      </c>
      <c r="K473" s="53">
        <v>30</v>
      </c>
      <c r="L473" s="6">
        <v>0</v>
      </c>
      <c r="M473" s="52">
        <v>0</v>
      </c>
      <c r="N473" s="6">
        <v>0</v>
      </c>
      <c r="O473" s="52">
        <v>0</v>
      </c>
      <c r="P473" s="6">
        <v>1</v>
      </c>
      <c r="Q473" s="4" t="s">
        <v>26</v>
      </c>
      <c r="R473" s="4">
        <v>0</v>
      </c>
      <c r="S473" s="6">
        <v>13</v>
      </c>
      <c r="T473" s="6">
        <v>0</v>
      </c>
      <c r="U473" s="6">
        <v>0</v>
      </c>
      <c r="V473" s="52">
        <f>IF(ISERROR(VLOOKUP($S$473,'TAR FIN'!$A$1:$O$103,15,0)),0,VLOOKUP($S$473,'TAR FIN'!$A$1:$O$103,15,0))*(1-0.06)</f>
        <v>17.784800000000001</v>
      </c>
      <c r="W473" s="52">
        <f>IF(ISERROR(VLOOKUP($T$473,'TAR FIN'!$A$1:$O$103,15,0)),0,VLOOKUP($T$473,'TAR FIN'!$A$1:$O$103,15,0))</f>
        <v>0</v>
      </c>
      <c r="X473" s="52">
        <f>IF(ISERROR(VLOOKUP($U$473,'TAR FIN'!$A$1:$O$103,15,0)),0,VLOOKUP($U$473,'TAR FIN'!$A$1:$O$103,15,0))</f>
        <v>0</v>
      </c>
      <c r="Y473" s="52">
        <f ca="1">('TUSD BE'!$AM$22+'TUSD BF'!$AM$22+'TUSD CVA'!$AM$22)*1*(1-0.03)</f>
        <v>20.728258466855738</v>
      </c>
      <c r="Z473" s="52"/>
      <c r="AA473" s="52"/>
      <c r="AB473" s="6">
        <f>$K$473*$V$473</f>
        <v>533.54399999999998</v>
      </c>
      <c r="AC473" s="6">
        <f>$M$473*$W$473</f>
        <v>0</v>
      </c>
      <c r="AD473" s="6">
        <f>$O$473*$X$473</f>
        <v>0</v>
      </c>
      <c r="AE473" s="6">
        <f ca="1">$K$473*$Y$473</f>
        <v>621.84775400567219</v>
      </c>
      <c r="AF473" s="6">
        <f>$M$473*$Z$473</f>
        <v>0</v>
      </c>
      <c r="AG473" s="6">
        <f>$O$473*$AA$473</f>
        <v>0</v>
      </c>
    </row>
    <row r="474" spans="1:33" ht="11.25" customHeight="1" x14ac:dyDescent="0.3">
      <c r="A474" s="4" t="s">
        <v>21</v>
      </c>
      <c r="B474" s="4" t="s">
        <v>39</v>
      </c>
      <c r="C474" s="4" t="s">
        <v>40</v>
      </c>
      <c r="D474" s="4" t="s">
        <v>50</v>
      </c>
      <c r="E474" s="4" t="s">
        <v>51</v>
      </c>
      <c r="F474" s="4" t="s">
        <v>25</v>
      </c>
      <c r="G474" s="4" t="s">
        <v>25</v>
      </c>
      <c r="H474" s="4" t="s">
        <v>25</v>
      </c>
      <c r="I474" s="5">
        <v>44774</v>
      </c>
      <c r="J474" s="6">
        <v>30</v>
      </c>
      <c r="K474" s="53">
        <v>30</v>
      </c>
      <c r="L474" s="6">
        <v>0</v>
      </c>
      <c r="M474" s="52">
        <v>0</v>
      </c>
      <c r="N474" s="6">
        <v>0</v>
      </c>
      <c r="O474" s="52">
        <v>0</v>
      </c>
      <c r="P474" s="6">
        <v>1</v>
      </c>
      <c r="Q474" s="4" t="s">
        <v>26</v>
      </c>
      <c r="R474" s="4">
        <v>0</v>
      </c>
      <c r="S474" s="6">
        <v>13</v>
      </c>
      <c r="T474" s="6">
        <v>0</v>
      </c>
      <c r="U474" s="6">
        <v>0</v>
      </c>
      <c r="V474" s="52">
        <f>IF(ISERROR(VLOOKUP($S$474,'TAR FIN'!$A$1:$O$103,15,0)),0,VLOOKUP($S$474,'TAR FIN'!$A$1:$O$103,15,0))*(1-0.06)</f>
        <v>17.784800000000001</v>
      </c>
      <c r="W474" s="52">
        <f>IF(ISERROR(VLOOKUP($T$474,'TAR FIN'!$A$1:$O$103,15,0)),0,VLOOKUP($T$474,'TAR FIN'!$A$1:$O$103,15,0))</f>
        <v>0</v>
      </c>
      <c r="X474" s="52">
        <f>IF(ISERROR(VLOOKUP($U$474,'TAR FIN'!$A$1:$O$103,15,0)),0,VLOOKUP($U$474,'TAR FIN'!$A$1:$O$103,15,0))</f>
        <v>0</v>
      </c>
      <c r="Y474" s="52">
        <f ca="1">('TUSD BE'!$AM$22+'TUSD BF'!$AM$22+'TUSD CVA'!$AM$22)*1*(1-0.03)</f>
        <v>20.728258466855738</v>
      </c>
      <c r="Z474" s="52"/>
      <c r="AA474" s="52"/>
      <c r="AB474" s="6">
        <f>$K$474*$V$474</f>
        <v>533.54399999999998</v>
      </c>
      <c r="AC474" s="6">
        <f>$M$474*$W$474</f>
        <v>0</v>
      </c>
      <c r="AD474" s="6">
        <f>$O$474*$X$474</f>
        <v>0</v>
      </c>
      <c r="AE474" s="6">
        <f ca="1">$K$474*$Y$474</f>
        <v>621.84775400567219</v>
      </c>
      <c r="AF474" s="6">
        <f>$M$474*$Z$474</f>
        <v>0</v>
      </c>
      <c r="AG474" s="6">
        <f>$O$474*$AA$474</f>
        <v>0</v>
      </c>
    </row>
    <row r="475" spans="1:33" ht="11.25" customHeight="1" x14ac:dyDescent="0.3">
      <c r="A475" s="4" t="s">
        <v>21</v>
      </c>
      <c r="B475" s="4" t="s">
        <v>39</v>
      </c>
      <c r="C475" s="4" t="s">
        <v>40</v>
      </c>
      <c r="D475" s="4" t="s">
        <v>50</v>
      </c>
      <c r="E475" s="4" t="s">
        <v>51</v>
      </c>
      <c r="F475" s="4" t="s">
        <v>25</v>
      </c>
      <c r="G475" s="4" t="s">
        <v>25</v>
      </c>
      <c r="H475" s="4" t="s">
        <v>25</v>
      </c>
      <c r="I475" s="5">
        <v>44805</v>
      </c>
      <c r="J475" s="6">
        <v>30</v>
      </c>
      <c r="K475" s="53">
        <v>30</v>
      </c>
      <c r="L475" s="6">
        <v>0</v>
      </c>
      <c r="M475" s="52">
        <v>0</v>
      </c>
      <c r="N475" s="6">
        <v>0</v>
      </c>
      <c r="O475" s="52">
        <v>0</v>
      </c>
      <c r="P475" s="6">
        <v>1</v>
      </c>
      <c r="Q475" s="4" t="s">
        <v>26</v>
      </c>
      <c r="R475" s="4">
        <v>0</v>
      </c>
      <c r="S475" s="6">
        <v>13</v>
      </c>
      <c r="T475" s="6">
        <v>0</v>
      </c>
      <c r="U475" s="6">
        <v>0</v>
      </c>
      <c r="V475" s="52">
        <f>IF(ISERROR(VLOOKUP($S$475,'TAR FIN'!$A$1:$O$103,15,0)),0,VLOOKUP($S$475,'TAR FIN'!$A$1:$O$103,15,0))*(1-0.06)</f>
        <v>17.784800000000001</v>
      </c>
      <c r="W475" s="52">
        <f>IF(ISERROR(VLOOKUP($T$475,'TAR FIN'!$A$1:$O$103,15,0)),0,VLOOKUP($T$475,'TAR FIN'!$A$1:$O$103,15,0))</f>
        <v>0</v>
      </c>
      <c r="X475" s="52">
        <f>IF(ISERROR(VLOOKUP($U$475,'TAR FIN'!$A$1:$O$103,15,0)),0,VLOOKUP($U$475,'TAR FIN'!$A$1:$O$103,15,0))</f>
        <v>0</v>
      </c>
      <c r="Y475" s="52">
        <f ca="1">('TUSD BE'!$AM$22+'TUSD BF'!$AM$22+'TUSD CVA'!$AM$22)*1*(1-0.03)</f>
        <v>20.728258466855738</v>
      </c>
      <c r="Z475" s="52"/>
      <c r="AA475" s="52"/>
      <c r="AB475" s="6">
        <f>$K$475*$V$475</f>
        <v>533.54399999999998</v>
      </c>
      <c r="AC475" s="6">
        <f>$M$475*$W$475</f>
        <v>0</v>
      </c>
      <c r="AD475" s="6">
        <f>$O$475*$X$475</f>
        <v>0</v>
      </c>
      <c r="AE475" s="6">
        <f ca="1">$K$475*$Y$475</f>
        <v>621.84775400567219</v>
      </c>
      <c r="AF475" s="6">
        <f>$M$475*$Z$475</f>
        <v>0</v>
      </c>
      <c r="AG475" s="6">
        <f>$O$475*$AA$475</f>
        <v>0</v>
      </c>
    </row>
    <row r="476" spans="1:33" ht="11.25" customHeight="1" x14ac:dyDescent="0.3">
      <c r="A476" s="4" t="s">
        <v>57</v>
      </c>
      <c r="B476" s="4" t="s">
        <v>39</v>
      </c>
      <c r="C476" s="4" t="s">
        <v>40</v>
      </c>
      <c r="D476" s="4" t="s">
        <v>50</v>
      </c>
      <c r="E476" s="4" t="s">
        <v>51</v>
      </c>
      <c r="F476" s="4" t="s">
        <v>25</v>
      </c>
      <c r="G476" s="4" t="s">
        <v>25</v>
      </c>
      <c r="H476" s="4" t="s">
        <v>25</v>
      </c>
      <c r="I476" s="5">
        <v>44835</v>
      </c>
      <c r="J476" s="6">
        <v>30</v>
      </c>
      <c r="K476" s="53">
        <v>30</v>
      </c>
      <c r="L476" s="6">
        <v>0</v>
      </c>
      <c r="M476" s="52">
        <v>0</v>
      </c>
      <c r="N476" s="6">
        <v>0</v>
      </c>
      <c r="O476" s="52">
        <v>0</v>
      </c>
      <c r="P476" s="6">
        <v>1</v>
      </c>
      <c r="Q476" s="4" t="s">
        <v>26</v>
      </c>
      <c r="R476" s="4">
        <v>0</v>
      </c>
      <c r="S476" s="6">
        <v>13</v>
      </c>
      <c r="T476" s="6">
        <v>0</v>
      </c>
      <c r="U476" s="6">
        <v>0</v>
      </c>
      <c r="V476" s="52">
        <f>IF(ISERROR(VLOOKUP($S$476,'TAR FIN'!$A$1:$O$103,15,0)),0,VLOOKUP($S$476,'TAR FIN'!$A$1:$O$103,15,0))*(1-0.06)</f>
        <v>17.784800000000001</v>
      </c>
      <c r="W476" s="52">
        <f>IF(ISERROR(VLOOKUP($T$476,'TAR FIN'!$A$1:$O$103,15,0)),0,VLOOKUP($T$476,'TAR FIN'!$A$1:$O$103,15,0))</f>
        <v>0</v>
      </c>
      <c r="X476" s="52">
        <f>IF(ISERROR(VLOOKUP($U$476,'TAR FIN'!$A$1:$O$103,15,0)),0,VLOOKUP($U$476,'TAR FIN'!$A$1:$O$103,15,0))</f>
        <v>0</v>
      </c>
      <c r="Y476" s="52">
        <f ca="1">('TUSD BE'!$AM$22+'TUSD BF'!$AM$22+'TUSD CVA'!$AM$22)*1*(1-0.03)</f>
        <v>20.728258466855738</v>
      </c>
      <c r="Z476" s="52"/>
      <c r="AA476" s="52"/>
      <c r="AB476" s="6">
        <f>$K$476*$V$476</f>
        <v>533.54399999999998</v>
      </c>
      <c r="AC476" s="6">
        <f>$M$476*$W$476</f>
        <v>0</v>
      </c>
      <c r="AD476" s="6">
        <f>$O$476*$X$476</f>
        <v>0</v>
      </c>
      <c r="AE476" s="6">
        <f ca="1">$K$476*$Y$476</f>
        <v>621.84775400567219</v>
      </c>
      <c r="AF476" s="6">
        <f>$M$476*$Z$476</f>
        <v>0</v>
      </c>
      <c r="AG476" s="6">
        <f>$O$476*$AA$476</f>
        <v>0</v>
      </c>
    </row>
    <row r="477" spans="1:33" ht="11.25" customHeight="1" x14ac:dyDescent="0.3">
      <c r="A477" s="4" t="s">
        <v>21</v>
      </c>
      <c r="B477" s="4" t="s">
        <v>39</v>
      </c>
      <c r="C477" s="4" t="s">
        <v>40</v>
      </c>
      <c r="D477" s="4" t="s">
        <v>50</v>
      </c>
      <c r="E477" s="4" t="s">
        <v>51</v>
      </c>
      <c r="F477" s="4" t="s">
        <v>25</v>
      </c>
      <c r="G477" s="4" t="s">
        <v>25</v>
      </c>
      <c r="H477" s="4" t="s">
        <v>34</v>
      </c>
      <c r="I477" s="5">
        <v>44501</v>
      </c>
      <c r="J477" s="6">
        <v>0</v>
      </c>
      <c r="K477" s="52">
        <v>0</v>
      </c>
      <c r="L477" s="6">
        <v>0.53900000000000003</v>
      </c>
      <c r="M477" s="52">
        <v>0.53900000000000003</v>
      </c>
      <c r="N477" s="6">
        <v>0.53900000000000003</v>
      </c>
      <c r="O477" s="52">
        <v>0.53900000000000003</v>
      </c>
      <c r="P477" s="6">
        <v>0</v>
      </c>
      <c r="Q477" s="4" t="s">
        <v>26</v>
      </c>
      <c r="R477" s="4">
        <v>0</v>
      </c>
      <c r="S477" s="6">
        <v>0</v>
      </c>
      <c r="T477" s="6">
        <v>15</v>
      </c>
      <c r="U477" s="6">
        <v>65</v>
      </c>
      <c r="V477" s="52">
        <f>IF(ISERROR(VLOOKUP($S$477,'TAR FIN'!$A$1:$O$103,15,0)),0,VLOOKUP($S$477,'TAR FIN'!$A$1:$O$103,15,0))</f>
        <v>0</v>
      </c>
      <c r="W477" s="52">
        <f>IF(ISERROR(VLOOKUP($T$477,'TAR FIN'!$A$1:$O$103,15,0)),0,VLOOKUP($T$477,'TAR FIN'!$A$1:$O$103,15,0))*(1-0.06)</f>
        <v>1124.0708</v>
      </c>
      <c r="X477" s="52">
        <f>IF(ISERROR(VLOOKUP($U$477,'TAR FIN'!$A$1:$O$103,15,0)),0,VLOOKUP($U$477,'TAR FIN'!$A$1:$O$103,15,0))*(1-0.06)</f>
        <v>368.04759999999999</v>
      </c>
      <c r="Y477" s="52"/>
      <c r="Z477" s="52">
        <f ca="1">('TUSD BE'!$AM$23+'TUSD BF'!$AM$23+'TUSD CVA'!$AM$23)*1*(1-0.03)</f>
        <v>1343.9328411039912</v>
      </c>
      <c r="AA477" s="52">
        <f>('TE BE'!$AB$8+'TE BF'!$AB$8+'TE CVA'!$AB$8)*1*(1-0.03)</f>
        <v>351.09406763094154</v>
      </c>
      <c r="AB477" s="6">
        <f>$K$477*$V$477</f>
        <v>0</v>
      </c>
      <c r="AC477" s="6">
        <f>$M$477*$W$477</f>
        <v>605.8741612</v>
      </c>
      <c r="AD477" s="6">
        <f>$O$477*$X$477</f>
        <v>198.37765640000001</v>
      </c>
      <c r="AE477" s="6">
        <f>$K$477*$Y$477</f>
        <v>0</v>
      </c>
      <c r="AF477" s="6">
        <f ca="1">$M$477*$Z$477</f>
        <v>724.37980135505131</v>
      </c>
      <c r="AG477" s="6">
        <f>$O$477*$AA$477</f>
        <v>189.23970245307751</v>
      </c>
    </row>
    <row r="478" spans="1:33" ht="11.25" customHeight="1" x14ac:dyDescent="0.3">
      <c r="A478" s="4" t="s">
        <v>21</v>
      </c>
      <c r="B478" s="4" t="s">
        <v>39</v>
      </c>
      <c r="C478" s="4" t="s">
        <v>40</v>
      </c>
      <c r="D478" s="4" t="s">
        <v>50</v>
      </c>
      <c r="E478" s="4" t="s">
        <v>51</v>
      </c>
      <c r="F478" s="4" t="s">
        <v>25</v>
      </c>
      <c r="G478" s="4" t="s">
        <v>25</v>
      </c>
      <c r="H478" s="4" t="s">
        <v>34</v>
      </c>
      <c r="I478" s="5">
        <v>44531</v>
      </c>
      <c r="J478" s="6">
        <v>0</v>
      </c>
      <c r="K478" s="52">
        <v>0</v>
      </c>
      <c r="L478" s="6">
        <v>0.64700000000000002</v>
      </c>
      <c r="M478" s="52">
        <v>0.64700000000000002</v>
      </c>
      <c r="N478" s="6">
        <v>0.64700000000000002</v>
      </c>
      <c r="O478" s="52">
        <v>0.64700000000000002</v>
      </c>
      <c r="P478" s="6">
        <v>0</v>
      </c>
      <c r="Q478" s="4" t="s">
        <v>26</v>
      </c>
      <c r="R478" s="4">
        <v>0</v>
      </c>
      <c r="S478" s="6">
        <v>0</v>
      </c>
      <c r="T478" s="6">
        <v>15</v>
      </c>
      <c r="U478" s="6">
        <v>65</v>
      </c>
      <c r="V478" s="52">
        <f>IF(ISERROR(VLOOKUP($S$478,'TAR FIN'!$A$1:$O$103,15,0)),0,VLOOKUP($S$478,'TAR FIN'!$A$1:$O$103,15,0))</f>
        <v>0</v>
      </c>
      <c r="W478" s="52">
        <f>IF(ISERROR(VLOOKUP($T$478,'TAR FIN'!$A$1:$O$103,15,0)),0,VLOOKUP($T$478,'TAR FIN'!$A$1:$O$103,15,0))*(1-0.06)</f>
        <v>1124.0708</v>
      </c>
      <c r="X478" s="52">
        <f>IF(ISERROR(VLOOKUP($U$478,'TAR FIN'!$A$1:$O$103,15,0)),0,VLOOKUP($U$478,'TAR FIN'!$A$1:$O$103,15,0))*(1-0.06)</f>
        <v>368.04759999999999</v>
      </c>
      <c r="Y478" s="52"/>
      <c r="Z478" s="52">
        <f ca="1">('TUSD BE'!$AM$23+'TUSD BF'!$AM$23+'TUSD CVA'!$AM$23)*1*(1-0.03)</f>
        <v>1343.9328411039912</v>
      </c>
      <c r="AA478" s="52">
        <f>('TE BE'!$AB$8+'TE BF'!$AB$8+'TE CVA'!$AB$8)*1*(1-0.03)</f>
        <v>351.09406763094154</v>
      </c>
      <c r="AB478" s="6">
        <f>$K$478*$V$478</f>
        <v>0</v>
      </c>
      <c r="AC478" s="6">
        <f>$M$478*$W$478</f>
        <v>727.27380760000005</v>
      </c>
      <c r="AD478" s="6">
        <f>$O$478*$X$478</f>
        <v>238.1267972</v>
      </c>
      <c r="AE478" s="6">
        <f>$K$478*$Y$478</f>
        <v>0</v>
      </c>
      <c r="AF478" s="6">
        <f ca="1">$M$478*$Z$478</f>
        <v>869.52454819428237</v>
      </c>
      <c r="AG478" s="6">
        <f>$O$478*$AA$478</f>
        <v>227.15786175721919</v>
      </c>
    </row>
    <row r="479" spans="1:33" ht="11.25" customHeight="1" x14ac:dyDescent="0.3">
      <c r="A479" s="4" t="s">
        <v>21</v>
      </c>
      <c r="B479" s="4" t="s">
        <v>39</v>
      </c>
      <c r="C479" s="4" t="s">
        <v>40</v>
      </c>
      <c r="D479" s="4" t="s">
        <v>50</v>
      </c>
      <c r="E479" s="4" t="s">
        <v>51</v>
      </c>
      <c r="F479" s="4" t="s">
        <v>25</v>
      </c>
      <c r="G479" s="4" t="s">
        <v>25</v>
      </c>
      <c r="H479" s="4" t="s">
        <v>34</v>
      </c>
      <c r="I479" s="5">
        <v>44562</v>
      </c>
      <c r="J479" s="6">
        <v>0</v>
      </c>
      <c r="K479" s="52">
        <v>0</v>
      </c>
      <c r="L479" s="6">
        <v>0.64900000000000002</v>
      </c>
      <c r="M479" s="52">
        <v>0.64900000000000002</v>
      </c>
      <c r="N479" s="6">
        <v>0.64900000000000002</v>
      </c>
      <c r="O479" s="52">
        <v>0.64900000000000002</v>
      </c>
      <c r="P479" s="6">
        <v>0</v>
      </c>
      <c r="Q479" s="4" t="s">
        <v>26</v>
      </c>
      <c r="R479" s="4">
        <v>0</v>
      </c>
      <c r="S479" s="6">
        <v>0</v>
      </c>
      <c r="T479" s="6">
        <v>15</v>
      </c>
      <c r="U479" s="6">
        <v>65</v>
      </c>
      <c r="V479" s="52">
        <f>IF(ISERROR(VLOOKUP($S$479,'TAR FIN'!$A$1:$O$103,15,0)),0,VLOOKUP($S$479,'TAR FIN'!$A$1:$O$103,15,0))</f>
        <v>0</v>
      </c>
      <c r="W479" s="52">
        <f>IF(ISERROR(VLOOKUP($T$479,'TAR FIN'!$A$1:$O$103,15,0)),0,VLOOKUP($T$479,'TAR FIN'!$A$1:$O$103,15,0))*(1-0.06)</f>
        <v>1124.0708</v>
      </c>
      <c r="X479" s="52">
        <f>IF(ISERROR(VLOOKUP($U$479,'TAR FIN'!$A$1:$O$103,15,0)),0,VLOOKUP($U$479,'TAR FIN'!$A$1:$O$103,15,0))*(1-0.06)</f>
        <v>368.04759999999999</v>
      </c>
      <c r="Y479" s="52"/>
      <c r="Z479" s="52">
        <f ca="1">('TUSD BE'!$AM$23+'TUSD BF'!$AM$23+'TUSD CVA'!$AM$23)*1*(1-0.03)</f>
        <v>1343.9328411039912</v>
      </c>
      <c r="AA479" s="52">
        <f>('TE BE'!$AB$8+'TE BF'!$AB$8+'TE CVA'!$AB$8)*1*(1-0.03)</f>
        <v>351.09406763094154</v>
      </c>
      <c r="AB479" s="6">
        <f>$K$479*$V$479</f>
        <v>0</v>
      </c>
      <c r="AC479" s="6">
        <f>$M$479*$W$479</f>
        <v>729.52194919999999</v>
      </c>
      <c r="AD479" s="6">
        <f>$O$479*$X$479</f>
        <v>238.86289239999999</v>
      </c>
      <c r="AE479" s="6">
        <f>$K$479*$Y$479</f>
        <v>0</v>
      </c>
      <c r="AF479" s="6">
        <f ca="1">$M$479*$Z$479</f>
        <v>872.21241387649036</v>
      </c>
      <c r="AG479" s="6">
        <f>$O$479*$AA$479</f>
        <v>227.86004989248107</v>
      </c>
    </row>
    <row r="480" spans="1:33" ht="11.25" customHeight="1" x14ac:dyDescent="0.3">
      <c r="A480" s="4" t="s">
        <v>21</v>
      </c>
      <c r="B480" s="4" t="s">
        <v>39</v>
      </c>
      <c r="C480" s="4" t="s">
        <v>40</v>
      </c>
      <c r="D480" s="4" t="s">
        <v>50</v>
      </c>
      <c r="E480" s="4" t="s">
        <v>51</v>
      </c>
      <c r="F480" s="4" t="s">
        <v>25</v>
      </c>
      <c r="G480" s="4" t="s">
        <v>25</v>
      </c>
      <c r="H480" s="4" t="s">
        <v>34</v>
      </c>
      <c r="I480" s="5">
        <v>44593</v>
      </c>
      <c r="J480" s="6">
        <v>0</v>
      </c>
      <c r="K480" s="52">
        <v>0</v>
      </c>
      <c r="L480" s="6">
        <v>0.57499999999999996</v>
      </c>
      <c r="M480" s="52">
        <v>0.57499999999999996</v>
      </c>
      <c r="N480" s="6">
        <v>0.57499999999999996</v>
      </c>
      <c r="O480" s="52">
        <v>0.57499999999999996</v>
      </c>
      <c r="P480" s="6">
        <v>0</v>
      </c>
      <c r="Q480" s="4" t="s">
        <v>26</v>
      </c>
      <c r="R480" s="4">
        <v>0</v>
      </c>
      <c r="S480" s="6">
        <v>0</v>
      </c>
      <c r="T480" s="6">
        <v>15</v>
      </c>
      <c r="U480" s="6">
        <v>65</v>
      </c>
      <c r="V480" s="52">
        <f>IF(ISERROR(VLOOKUP($S$480,'TAR FIN'!$A$1:$O$103,15,0)),0,VLOOKUP($S$480,'TAR FIN'!$A$1:$O$103,15,0))</f>
        <v>0</v>
      </c>
      <c r="W480" s="52">
        <f>IF(ISERROR(VLOOKUP($T$480,'TAR FIN'!$A$1:$O$103,15,0)),0,VLOOKUP($T$480,'TAR FIN'!$A$1:$O$103,15,0))*(1-0.06)</f>
        <v>1124.0708</v>
      </c>
      <c r="X480" s="52">
        <f>IF(ISERROR(VLOOKUP($U$480,'TAR FIN'!$A$1:$O$103,15,0)),0,VLOOKUP($U$480,'TAR FIN'!$A$1:$O$103,15,0))*(1-0.06)</f>
        <v>368.04759999999999</v>
      </c>
      <c r="Y480" s="52"/>
      <c r="Z480" s="52">
        <f ca="1">('TUSD BE'!$AM$23+'TUSD BF'!$AM$23+'TUSD CVA'!$AM$23)*1*(1-0.03)</f>
        <v>1343.9328411039912</v>
      </c>
      <c r="AA480" s="52">
        <f>('TE BE'!$AB$8+'TE BF'!$AB$8+'TE CVA'!$AB$8)*1*(1-0.03)</f>
        <v>351.09406763094154</v>
      </c>
      <c r="AB480" s="6">
        <f>$K$480*$V$480</f>
        <v>0</v>
      </c>
      <c r="AC480" s="6">
        <f>$M$480*$W$480</f>
        <v>646.34070999999994</v>
      </c>
      <c r="AD480" s="6">
        <f>$O$480*$X$480</f>
        <v>211.62736999999998</v>
      </c>
      <c r="AE480" s="6">
        <f>$K$480*$Y$480</f>
        <v>0</v>
      </c>
      <c r="AF480" s="6">
        <f ca="1">$M$480*$Z$480</f>
        <v>772.76138363479492</v>
      </c>
      <c r="AG480" s="6">
        <f>$O$480*$AA$480</f>
        <v>201.87908888779137</v>
      </c>
    </row>
    <row r="481" spans="1:33" ht="11.25" customHeight="1" x14ac:dyDescent="0.3">
      <c r="A481" s="4" t="s">
        <v>21</v>
      </c>
      <c r="B481" s="4" t="s">
        <v>39</v>
      </c>
      <c r="C481" s="4" t="s">
        <v>40</v>
      </c>
      <c r="D481" s="4" t="s">
        <v>50</v>
      </c>
      <c r="E481" s="4" t="s">
        <v>51</v>
      </c>
      <c r="F481" s="4" t="s">
        <v>25</v>
      </c>
      <c r="G481" s="4" t="s">
        <v>25</v>
      </c>
      <c r="H481" s="4" t="s">
        <v>34</v>
      </c>
      <c r="I481" s="5">
        <v>44621</v>
      </c>
      <c r="J481" s="6">
        <v>0</v>
      </c>
      <c r="K481" s="52">
        <v>0</v>
      </c>
      <c r="L481" s="6">
        <v>0.61099999999999999</v>
      </c>
      <c r="M481" s="52">
        <v>0.61099999999999999</v>
      </c>
      <c r="N481" s="6">
        <v>0.61099999999999999</v>
      </c>
      <c r="O481" s="52">
        <v>0.61099999999999999</v>
      </c>
      <c r="P481" s="6">
        <v>0</v>
      </c>
      <c r="Q481" s="4" t="s">
        <v>26</v>
      </c>
      <c r="R481" s="4">
        <v>0</v>
      </c>
      <c r="S481" s="6">
        <v>0</v>
      </c>
      <c r="T481" s="6">
        <v>15</v>
      </c>
      <c r="U481" s="6">
        <v>65</v>
      </c>
      <c r="V481" s="52">
        <f>IF(ISERROR(VLOOKUP($S$481,'TAR FIN'!$A$1:$O$103,15,0)),0,VLOOKUP($S$481,'TAR FIN'!$A$1:$O$103,15,0))</f>
        <v>0</v>
      </c>
      <c r="W481" s="52">
        <f>IF(ISERROR(VLOOKUP($T$481,'TAR FIN'!$A$1:$O$103,15,0)),0,VLOOKUP($T$481,'TAR FIN'!$A$1:$O$103,15,0))*(1-0.06)</f>
        <v>1124.0708</v>
      </c>
      <c r="X481" s="52">
        <f>IF(ISERROR(VLOOKUP($U$481,'TAR FIN'!$A$1:$O$103,15,0)),0,VLOOKUP($U$481,'TAR FIN'!$A$1:$O$103,15,0))*(1-0.06)</f>
        <v>368.04759999999999</v>
      </c>
      <c r="Y481" s="52"/>
      <c r="Z481" s="52">
        <f ca="1">('TUSD BE'!$AM$23+'TUSD BF'!$AM$23+'TUSD CVA'!$AM$23)*1*(1-0.03)</f>
        <v>1343.9328411039912</v>
      </c>
      <c r="AA481" s="52">
        <f>('TE BE'!$AB$8+'TE BF'!$AB$8+'TE CVA'!$AB$8)*1*(1-0.03)</f>
        <v>351.09406763094154</v>
      </c>
      <c r="AB481" s="6">
        <f>$K$481*$V$481</f>
        <v>0</v>
      </c>
      <c r="AC481" s="6">
        <f>$M$481*$W$481</f>
        <v>686.8072588</v>
      </c>
      <c r="AD481" s="6">
        <f>$O$481*$X$481</f>
        <v>224.87708359999999</v>
      </c>
      <c r="AE481" s="6">
        <f>$K$481*$Y$481</f>
        <v>0</v>
      </c>
      <c r="AF481" s="6">
        <f ca="1">$M$481*$Z$481</f>
        <v>821.14296591453865</v>
      </c>
      <c r="AG481" s="6">
        <f>$O$481*$AA$481</f>
        <v>214.51847532250528</v>
      </c>
    </row>
    <row r="482" spans="1:33" ht="11.25" customHeight="1" x14ac:dyDescent="0.3">
      <c r="A482" s="4" t="s">
        <v>21</v>
      </c>
      <c r="B482" s="4" t="s">
        <v>39</v>
      </c>
      <c r="C482" s="4" t="s">
        <v>40</v>
      </c>
      <c r="D482" s="4" t="s">
        <v>50</v>
      </c>
      <c r="E482" s="4" t="s">
        <v>51</v>
      </c>
      <c r="F482" s="4" t="s">
        <v>25</v>
      </c>
      <c r="G482" s="4" t="s">
        <v>25</v>
      </c>
      <c r="H482" s="4" t="s">
        <v>34</v>
      </c>
      <c r="I482" s="5">
        <v>44652</v>
      </c>
      <c r="J482" s="6">
        <v>0</v>
      </c>
      <c r="K482" s="52">
        <v>0</v>
      </c>
      <c r="L482" s="6">
        <v>0.56000000000000005</v>
      </c>
      <c r="M482" s="52">
        <v>0.56000000000000005</v>
      </c>
      <c r="N482" s="6">
        <v>0.56000000000000005</v>
      </c>
      <c r="O482" s="52">
        <v>0.56000000000000005</v>
      </c>
      <c r="P482" s="6">
        <v>0</v>
      </c>
      <c r="Q482" s="4" t="s">
        <v>26</v>
      </c>
      <c r="R482" s="4">
        <v>0</v>
      </c>
      <c r="S482" s="6">
        <v>0</v>
      </c>
      <c r="T482" s="6">
        <v>15</v>
      </c>
      <c r="U482" s="6">
        <v>65</v>
      </c>
      <c r="V482" s="52">
        <f>IF(ISERROR(VLOOKUP($S$482,'TAR FIN'!$A$1:$O$103,15,0)),0,VLOOKUP($S$482,'TAR FIN'!$A$1:$O$103,15,0))</f>
        <v>0</v>
      </c>
      <c r="W482" s="52">
        <f>IF(ISERROR(VLOOKUP($T$482,'TAR FIN'!$A$1:$O$103,15,0)),0,VLOOKUP($T$482,'TAR FIN'!$A$1:$O$103,15,0))*(1-0.06)</f>
        <v>1124.0708</v>
      </c>
      <c r="X482" s="52">
        <f>IF(ISERROR(VLOOKUP($U$482,'TAR FIN'!$A$1:$O$103,15,0)),0,VLOOKUP($U$482,'TAR FIN'!$A$1:$O$103,15,0))*(1-0.06)</f>
        <v>368.04759999999999</v>
      </c>
      <c r="Y482" s="52"/>
      <c r="Z482" s="52">
        <f ca="1">('TUSD BE'!$AM$23+'TUSD BF'!$AM$23+'TUSD CVA'!$AM$23)*1*(1-0.03)</f>
        <v>1343.9328411039912</v>
      </c>
      <c r="AA482" s="52">
        <f>('TE BE'!$AB$8+'TE BF'!$AB$8+'TE CVA'!$AB$8)*1*(1-0.03)</f>
        <v>351.09406763094154</v>
      </c>
      <c r="AB482" s="6">
        <f>$K$482*$V$482</f>
        <v>0</v>
      </c>
      <c r="AC482" s="6">
        <f>$M$482*$W$482</f>
        <v>629.479648</v>
      </c>
      <c r="AD482" s="6">
        <f>$O$482*$X$482</f>
        <v>206.10665600000002</v>
      </c>
      <c r="AE482" s="6">
        <f>$K$482*$Y$482</f>
        <v>0</v>
      </c>
      <c r="AF482" s="6">
        <f ca="1">$M$482*$Z$482</f>
        <v>752.60239101823515</v>
      </c>
      <c r="AG482" s="6">
        <f>$O$482*$AA$482</f>
        <v>196.61267787332727</v>
      </c>
    </row>
    <row r="483" spans="1:33" ht="11.25" customHeight="1" x14ac:dyDescent="0.3">
      <c r="A483" s="4" t="s">
        <v>21</v>
      </c>
      <c r="B483" s="4" t="s">
        <v>39</v>
      </c>
      <c r="C483" s="4" t="s">
        <v>40</v>
      </c>
      <c r="D483" s="4" t="s">
        <v>50</v>
      </c>
      <c r="E483" s="4" t="s">
        <v>51</v>
      </c>
      <c r="F483" s="4" t="s">
        <v>25</v>
      </c>
      <c r="G483" s="4" t="s">
        <v>25</v>
      </c>
      <c r="H483" s="4" t="s">
        <v>34</v>
      </c>
      <c r="I483" s="5">
        <v>44682</v>
      </c>
      <c r="J483" s="6">
        <v>0</v>
      </c>
      <c r="K483" s="52">
        <v>0</v>
      </c>
      <c r="L483" s="6">
        <v>0.69699999999999995</v>
      </c>
      <c r="M483" s="52">
        <v>0.69699999999999995</v>
      </c>
      <c r="N483" s="6">
        <v>0.69699999999999995</v>
      </c>
      <c r="O483" s="52">
        <v>0.69699999999999995</v>
      </c>
      <c r="P483" s="6">
        <v>0</v>
      </c>
      <c r="Q483" s="4" t="s">
        <v>26</v>
      </c>
      <c r="R483" s="4">
        <v>0</v>
      </c>
      <c r="S483" s="6">
        <v>0</v>
      </c>
      <c r="T483" s="6">
        <v>15</v>
      </c>
      <c r="U483" s="6">
        <v>65</v>
      </c>
      <c r="V483" s="52">
        <f>IF(ISERROR(VLOOKUP($S$483,'TAR FIN'!$A$1:$O$103,15,0)),0,VLOOKUP($S$483,'TAR FIN'!$A$1:$O$103,15,0))</f>
        <v>0</v>
      </c>
      <c r="W483" s="52">
        <f>IF(ISERROR(VLOOKUP($T$483,'TAR FIN'!$A$1:$O$103,15,0)),0,VLOOKUP($T$483,'TAR FIN'!$A$1:$O$103,15,0))*(1-0.06)</f>
        <v>1124.0708</v>
      </c>
      <c r="X483" s="52">
        <f>IF(ISERROR(VLOOKUP($U$483,'TAR FIN'!$A$1:$O$103,15,0)),0,VLOOKUP($U$483,'TAR FIN'!$A$1:$O$103,15,0))*(1-0.06)</f>
        <v>368.04759999999999</v>
      </c>
      <c r="Y483" s="52"/>
      <c r="Z483" s="52">
        <f ca="1">('TUSD BE'!$AM$23+'TUSD BF'!$AM$23+'TUSD CVA'!$AM$23)*1*(1-0.03)</f>
        <v>1343.9328411039912</v>
      </c>
      <c r="AA483" s="52">
        <f>('TE BE'!$AB$8+'TE BF'!$AB$8+'TE CVA'!$AB$8)*1*(1-0.03)</f>
        <v>351.09406763094154</v>
      </c>
      <c r="AB483" s="6">
        <f>$K$483*$V$483</f>
        <v>0</v>
      </c>
      <c r="AC483" s="6">
        <f>$M$483*$W$483</f>
        <v>783.47734759999992</v>
      </c>
      <c r="AD483" s="6">
        <f>$O$483*$X$483</f>
        <v>256.52917719999999</v>
      </c>
      <c r="AE483" s="6">
        <f>$K$483*$Y$483</f>
        <v>0</v>
      </c>
      <c r="AF483" s="6">
        <f ca="1">$M$483*$Z$483</f>
        <v>936.72119024948177</v>
      </c>
      <c r="AG483" s="6">
        <f>$O$483*$AA$483</f>
        <v>244.71256513876622</v>
      </c>
    </row>
    <row r="484" spans="1:33" ht="11.25" customHeight="1" x14ac:dyDescent="0.3">
      <c r="A484" s="4" t="s">
        <v>21</v>
      </c>
      <c r="B484" s="4" t="s">
        <v>39</v>
      </c>
      <c r="C484" s="4" t="s">
        <v>40</v>
      </c>
      <c r="D484" s="4" t="s">
        <v>50</v>
      </c>
      <c r="E484" s="4" t="s">
        <v>51</v>
      </c>
      <c r="F484" s="4" t="s">
        <v>25</v>
      </c>
      <c r="G484" s="4" t="s">
        <v>25</v>
      </c>
      <c r="H484" s="4" t="s">
        <v>34</v>
      </c>
      <c r="I484" s="5">
        <v>44713</v>
      </c>
      <c r="J484" s="6">
        <v>0</v>
      </c>
      <c r="K484" s="52">
        <v>0</v>
      </c>
      <c r="L484" s="6">
        <v>0.65500000000000003</v>
      </c>
      <c r="M484" s="52">
        <v>0.65500000000000003</v>
      </c>
      <c r="N484" s="6">
        <v>0.65500000000000003</v>
      </c>
      <c r="O484" s="52">
        <v>0.65500000000000003</v>
      </c>
      <c r="P484" s="6">
        <v>0</v>
      </c>
      <c r="Q484" s="4" t="s">
        <v>26</v>
      </c>
      <c r="R484" s="4">
        <v>0</v>
      </c>
      <c r="S484" s="6">
        <v>0</v>
      </c>
      <c r="T484" s="6">
        <v>15</v>
      </c>
      <c r="U484" s="6">
        <v>65</v>
      </c>
      <c r="V484" s="52">
        <f>IF(ISERROR(VLOOKUP($S$484,'TAR FIN'!$A$1:$O$103,15,0)),0,VLOOKUP($S$484,'TAR FIN'!$A$1:$O$103,15,0))</f>
        <v>0</v>
      </c>
      <c r="W484" s="52">
        <f>IF(ISERROR(VLOOKUP($T$484,'TAR FIN'!$A$1:$O$103,15,0)),0,VLOOKUP($T$484,'TAR FIN'!$A$1:$O$103,15,0))*(1-0.06)</f>
        <v>1124.0708</v>
      </c>
      <c r="X484" s="52">
        <f>IF(ISERROR(VLOOKUP($U$484,'TAR FIN'!$A$1:$O$103,15,0)),0,VLOOKUP($U$484,'TAR FIN'!$A$1:$O$103,15,0))*(1-0.06)</f>
        <v>368.04759999999999</v>
      </c>
      <c r="Y484" s="52"/>
      <c r="Z484" s="52">
        <f ca="1">('TUSD BE'!$AM$23+'TUSD BF'!$AM$23+'TUSD CVA'!$AM$23)*1*(1-0.03)</f>
        <v>1343.9328411039912</v>
      </c>
      <c r="AA484" s="52">
        <f>('TE BE'!$AB$8+'TE BF'!$AB$8+'TE CVA'!$AB$8)*1*(1-0.03)</f>
        <v>351.09406763094154</v>
      </c>
      <c r="AB484" s="6">
        <f>$K$484*$V$484</f>
        <v>0</v>
      </c>
      <c r="AC484" s="6">
        <f>$M$484*$W$484</f>
        <v>736.26637400000004</v>
      </c>
      <c r="AD484" s="6">
        <f>$O$484*$X$484</f>
        <v>241.071178</v>
      </c>
      <c r="AE484" s="6">
        <f>$K$484*$Y$484</f>
        <v>0</v>
      </c>
      <c r="AF484" s="6">
        <f ca="1">$M$484*$Z$484</f>
        <v>880.27601092311431</v>
      </c>
      <c r="AG484" s="6">
        <f>$O$484*$AA$484</f>
        <v>229.96661429826671</v>
      </c>
    </row>
    <row r="485" spans="1:33" ht="11.25" customHeight="1" x14ac:dyDescent="0.3">
      <c r="A485" s="4" t="s">
        <v>21</v>
      </c>
      <c r="B485" s="4" t="s">
        <v>39</v>
      </c>
      <c r="C485" s="4" t="s">
        <v>40</v>
      </c>
      <c r="D485" s="4" t="s">
        <v>50</v>
      </c>
      <c r="E485" s="4" t="s">
        <v>51</v>
      </c>
      <c r="F485" s="4" t="s">
        <v>25</v>
      </c>
      <c r="G485" s="4" t="s">
        <v>25</v>
      </c>
      <c r="H485" s="4" t="s">
        <v>34</v>
      </c>
      <c r="I485" s="5">
        <v>44743</v>
      </c>
      <c r="J485" s="6">
        <v>0</v>
      </c>
      <c r="K485" s="52">
        <v>0</v>
      </c>
      <c r="L485" s="6">
        <v>0.76300000000000001</v>
      </c>
      <c r="M485" s="52">
        <v>0.76300000000000001</v>
      </c>
      <c r="N485" s="6">
        <v>0.76300000000000001</v>
      </c>
      <c r="O485" s="52">
        <v>0.76300000000000001</v>
      </c>
      <c r="P485" s="6">
        <v>0</v>
      </c>
      <c r="Q485" s="4" t="s">
        <v>26</v>
      </c>
      <c r="R485" s="4">
        <v>0</v>
      </c>
      <c r="S485" s="6">
        <v>0</v>
      </c>
      <c r="T485" s="6">
        <v>15</v>
      </c>
      <c r="U485" s="6">
        <v>65</v>
      </c>
      <c r="V485" s="52">
        <f>IF(ISERROR(VLOOKUP($S$485,'TAR FIN'!$A$1:$O$103,15,0)),0,VLOOKUP($S$485,'TAR FIN'!$A$1:$O$103,15,0))</f>
        <v>0</v>
      </c>
      <c r="W485" s="52">
        <f>IF(ISERROR(VLOOKUP($T$485,'TAR FIN'!$A$1:$O$103,15,0)),0,VLOOKUP($T$485,'TAR FIN'!$A$1:$O$103,15,0))*(1-0.06)</f>
        <v>1124.0708</v>
      </c>
      <c r="X485" s="52">
        <f>IF(ISERROR(VLOOKUP($U$485,'TAR FIN'!$A$1:$O$103,15,0)),0,VLOOKUP($U$485,'TAR FIN'!$A$1:$O$103,15,0))*(1-0.06)</f>
        <v>368.04759999999999</v>
      </c>
      <c r="Y485" s="52"/>
      <c r="Z485" s="52">
        <f ca="1">('TUSD BE'!$AM$23+'TUSD BF'!$AM$23+'TUSD CVA'!$AM$23)*1*(1-0.03)</f>
        <v>1343.9328411039912</v>
      </c>
      <c r="AA485" s="52">
        <f>('TE BE'!$AB$8+'TE BF'!$AB$8+'TE CVA'!$AB$8)*1*(1-0.03)</f>
        <v>351.09406763094154</v>
      </c>
      <c r="AB485" s="6">
        <f>$K$485*$V$485</f>
        <v>0</v>
      </c>
      <c r="AC485" s="6">
        <f>$M$485*$W$485</f>
        <v>857.66602039999998</v>
      </c>
      <c r="AD485" s="6">
        <f>$O$485*$X$485</f>
        <v>280.8203188</v>
      </c>
      <c r="AE485" s="6">
        <f>$K$485*$Y$485</f>
        <v>0</v>
      </c>
      <c r="AF485" s="6">
        <f ca="1">$M$485*$Z$485</f>
        <v>1025.4207577623454</v>
      </c>
      <c r="AG485" s="6">
        <f>$O$485*$AA$485</f>
        <v>267.88477360240842</v>
      </c>
    </row>
    <row r="486" spans="1:33" ht="11.25" customHeight="1" x14ac:dyDescent="0.3">
      <c r="A486" s="4" t="s">
        <v>21</v>
      </c>
      <c r="B486" s="4" t="s">
        <v>39</v>
      </c>
      <c r="C486" s="4" t="s">
        <v>40</v>
      </c>
      <c r="D486" s="4" t="s">
        <v>50</v>
      </c>
      <c r="E486" s="4" t="s">
        <v>51</v>
      </c>
      <c r="F486" s="4" t="s">
        <v>25</v>
      </c>
      <c r="G486" s="4" t="s">
        <v>25</v>
      </c>
      <c r="H486" s="4" t="s">
        <v>34</v>
      </c>
      <c r="I486" s="5">
        <v>44774</v>
      </c>
      <c r="J486" s="6">
        <v>0</v>
      </c>
      <c r="K486" s="52">
        <v>0</v>
      </c>
      <c r="L486" s="6">
        <v>0.83099999999999996</v>
      </c>
      <c r="M486" s="52">
        <v>0.83099999999999996</v>
      </c>
      <c r="N486" s="6">
        <v>0.83099999999999996</v>
      </c>
      <c r="O486" s="52">
        <v>0.83099999999999996</v>
      </c>
      <c r="P486" s="6">
        <v>0</v>
      </c>
      <c r="Q486" s="4" t="s">
        <v>26</v>
      </c>
      <c r="R486" s="4">
        <v>0</v>
      </c>
      <c r="S486" s="6">
        <v>0</v>
      </c>
      <c r="T486" s="6">
        <v>15</v>
      </c>
      <c r="U486" s="6">
        <v>65</v>
      </c>
      <c r="V486" s="52">
        <f>IF(ISERROR(VLOOKUP($S$486,'TAR FIN'!$A$1:$O$103,15,0)),0,VLOOKUP($S$486,'TAR FIN'!$A$1:$O$103,15,0))</f>
        <v>0</v>
      </c>
      <c r="W486" s="52">
        <f>IF(ISERROR(VLOOKUP($T$486,'TAR FIN'!$A$1:$O$103,15,0)),0,VLOOKUP($T$486,'TAR FIN'!$A$1:$O$103,15,0))*(1-0.06)</f>
        <v>1124.0708</v>
      </c>
      <c r="X486" s="52">
        <f>IF(ISERROR(VLOOKUP($U$486,'TAR FIN'!$A$1:$O$103,15,0)),0,VLOOKUP($U$486,'TAR FIN'!$A$1:$O$103,15,0))*(1-0.06)</f>
        <v>368.04759999999999</v>
      </c>
      <c r="Y486" s="52"/>
      <c r="Z486" s="52">
        <f ca="1">('TUSD BE'!$AM$23+'TUSD BF'!$AM$23+'TUSD CVA'!$AM$23)*1*(1-0.03)</f>
        <v>1343.9328411039912</v>
      </c>
      <c r="AA486" s="52">
        <f>('TE BE'!$AB$8+'TE BF'!$AB$8+'TE CVA'!$AB$8)*1*(1-0.03)</f>
        <v>351.09406763094154</v>
      </c>
      <c r="AB486" s="6">
        <f>$K$486*$V$486</f>
        <v>0</v>
      </c>
      <c r="AC486" s="6">
        <f>$M$486*$W$486</f>
        <v>934.10283479999987</v>
      </c>
      <c r="AD486" s="6">
        <f>$O$486*$X$486</f>
        <v>305.84755559999996</v>
      </c>
      <c r="AE486" s="6">
        <f>$K$486*$Y$486</f>
        <v>0</v>
      </c>
      <c r="AF486" s="6">
        <f ca="1">$M$486*$Z$486</f>
        <v>1116.8081909574166</v>
      </c>
      <c r="AG486" s="6">
        <f>$O$486*$AA$486</f>
        <v>291.75917020131243</v>
      </c>
    </row>
    <row r="487" spans="1:33" ht="11.25" customHeight="1" x14ac:dyDescent="0.3">
      <c r="A487" s="4" t="s">
        <v>21</v>
      </c>
      <c r="B487" s="4" t="s">
        <v>39</v>
      </c>
      <c r="C487" s="4" t="s">
        <v>40</v>
      </c>
      <c r="D487" s="4" t="s">
        <v>50</v>
      </c>
      <c r="E487" s="4" t="s">
        <v>51</v>
      </c>
      <c r="F487" s="4" t="s">
        <v>25</v>
      </c>
      <c r="G487" s="4" t="s">
        <v>25</v>
      </c>
      <c r="H487" s="4" t="s">
        <v>34</v>
      </c>
      <c r="I487" s="5">
        <v>44805</v>
      </c>
      <c r="J487" s="6">
        <v>0</v>
      </c>
      <c r="K487" s="52">
        <v>0</v>
      </c>
      <c r="L487" s="6">
        <v>0.748</v>
      </c>
      <c r="M487" s="52">
        <v>0.748</v>
      </c>
      <c r="N487" s="6">
        <v>0.748</v>
      </c>
      <c r="O487" s="52">
        <v>0.748</v>
      </c>
      <c r="P487" s="6">
        <v>0</v>
      </c>
      <c r="Q487" s="4" t="s">
        <v>26</v>
      </c>
      <c r="R487" s="4">
        <v>0</v>
      </c>
      <c r="S487" s="6">
        <v>0</v>
      </c>
      <c r="T487" s="6">
        <v>15</v>
      </c>
      <c r="U487" s="6">
        <v>65</v>
      </c>
      <c r="V487" s="52">
        <f>IF(ISERROR(VLOOKUP($S$487,'TAR FIN'!$A$1:$O$103,15,0)),0,VLOOKUP($S$487,'TAR FIN'!$A$1:$O$103,15,0))</f>
        <v>0</v>
      </c>
      <c r="W487" s="52">
        <f>IF(ISERROR(VLOOKUP($T$487,'TAR FIN'!$A$1:$O$103,15,0)),0,VLOOKUP($T$487,'TAR FIN'!$A$1:$O$103,15,0))*(1-0.06)</f>
        <v>1124.0708</v>
      </c>
      <c r="X487" s="52">
        <f>IF(ISERROR(VLOOKUP($U$487,'TAR FIN'!$A$1:$O$103,15,0)),0,VLOOKUP($U$487,'TAR FIN'!$A$1:$O$103,15,0))*(1-0.06)</f>
        <v>368.04759999999999</v>
      </c>
      <c r="Y487" s="52"/>
      <c r="Z487" s="52">
        <f ca="1">('TUSD BE'!$AM$23+'TUSD BF'!$AM$23+'TUSD CVA'!$AM$23)*1*(1-0.03)</f>
        <v>1343.9328411039912</v>
      </c>
      <c r="AA487" s="52">
        <f>('TE BE'!$AB$8+'TE BF'!$AB$8+'TE CVA'!$AB$8)*1*(1-0.03)</f>
        <v>351.09406763094154</v>
      </c>
      <c r="AB487" s="6">
        <f>$K$487*$V$487</f>
        <v>0</v>
      </c>
      <c r="AC487" s="6">
        <f>$M$487*$W$487</f>
        <v>840.80495839999992</v>
      </c>
      <c r="AD487" s="6">
        <f>$O$487*$X$487</f>
        <v>275.2996048</v>
      </c>
      <c r="AE487" s="6">
        <f>$K$487*$Y$487</f>
        <v>0</v>
      </c>
      <c r="AF487" s="6">
        <f ca="1">$M$487*$Z$487</f>
        <v>1005.2617651457854</v>
      </c>
      <c r="AG487" s="6">
        <f>$O$487*$AA$487</f>
        <v>262.61836258794426</v>
      </c>
    </row>
    <row r="488" spans="1:33" ht="11.25" customHeight="1" x14ac:dyDescent="0.3">
      <c r="A488" s="4" t="s">
        <v>57</v>
      </c>
      <c r="B488" s="4" t="s">
        <v>39</v>
      </c>
      <c r="C488" s="4" t="s">
        <v>40</v>
      </c>
      <c r="D488" s="4" t="s">
        <v>50</v>
      </c>
      <c r="E488" s="4" t="s">
        <v>51</v>
      </c>
      <c r="F488" s="4" t="s">
        <v>25</v>
      </c>
      <c r="G488" s="4" t="s">
        <v>25</v>
      </c>
      <c r="H488" s="4" t="s">
        <v>34</v>
      </c>
      <c r="I488" s="5">
        <v>44835</v>
      </c>
      <c r="J488" s="6">
        <v>0</v>
      </c>
      <c r="K488" s="52">
        <v>0</v>
      </c>
      <c r="L488" s="6">
        <v>0.748</v>
      </c>
      <c r="M488" s="52">
        <v>0.748</v>
      </c>
      <c r="N488" s="6">
        <v>0.748</v>
      </c>
      <c r="O488" s="52">
        <v>0.748</v>
      </c>
      <c r="P488" s="6">
        <v>0</v>
      </c>
      <c r="Q488" s="4" t="s">
        <v>26</v>
      </c>
      <c r="R488" s="4">
        <v>0</v>
      </c>
      <c r="S488" s="6">
        <v>0</v>
      </c>
      <c r="T488" s="6">
        <v>15</v>
      </c>
      <c r="U488" s="6">
        <v>65</v>
      </c>
      <c r="V488" s="52">
        <f>IF(ISERROR(VLOOKUP($S$488,'TAR FIN'!$A$1:$O$103,15,0)),0,VLOOKUP($S$488,'TAR FIN'!$A$1:$O$103,15,0))</f>
        <v>0</v>
      </c>
      <c r="W488" s="52">
        <f>IF(ISERROR(VLOOKUP($T$488,'TAR FIN'!$A$1:$O$103,15,0)),0,VLOOKUP($T$488,'TAR FIN'!$A$1:$O$103,15,0))*(1-0.06)</f>
        <v>1124.0708</v>
      </c>
      <c r="X488" s="52">
        <f>IF(ISERROR(VLOOKUP($U$488,'TAR FIN'!$A$1:$O$103,15,0)),0,VLOOKUP($U$488,'TAR FIN'!$A$1:$O$103,15,0))*(1-0.06)</f>
        <v>368.04759999999999</v>
      </c>
      <c r="Y488" s="52"/>
      <c r="Z488" s="52">
        <f ca="1">('TUSD BE'!$AM$23+'TUSD BF'!$AM$23+'TUSD CVA'!$AM$23)*1*(1-0.03)</f>
        <v>1343.9328411039912</v>
      </c>
      <c r="AA488" s="52">
        <f>('TE BE'!$AB$8+'TE BF'!$AB$8+'TE CVA'!$AB$8)*1*(1-0.03)</f>
        <v>351.09406763094154</v>
      </c>
      <c r="AB488" s="6">
        <f>$K$488*$V$488</f>
        <v>0</v>
      </c>
      <c r="AC488" s="6">
        <f>$M$488*$W$488</f>
        <v>840.80495839999992</v>
      </c>
      <c r="AD488" s="6">
        <f>$O$488*$X$488</f>
        <v>275.2996048</v>
      </c>
      <c r="AE488" s="6">
        <f>$K$488*$Y$488</f>
        <v>0</v>
      </c>
      <c r="AF488" s="6">
        <f ca="1">$M$488*$Z$488</f>
        <v>1005.2617651457854</v>
      </c>
      <c r="AG488" s="6">
        <f>$O$488*$AA$488</f>
        <v>262.61836258794426</v>
      </c>
    </row>
    <row r="489" spans="1:33" ht="11.25" customHeight="1" x14ac:dyDescent="0.3">
      <c r="A489" s="4" t="s">
        <v>21</v>
      </c>
      <c r="B489" s="4" t="s">
        <v>22</v>
      </c>
      <c r="C489" s="4" t="s">
        <v>33</v>
      </c>
      <c r="D489" s="4" t="s">
        <v>24</v>
      </c>
      <c r="E489" s="4" t="s">
        <v>24</v>
      </c>
      <c r="F489" s="4" t="s">
        <v>25</v>
      </c>
      <c r="G489" s="4" t="s">
        <v>25</v>
      </c>
      <c r="H489" s="4" t="s">
        <v>35</v>
      </c>
      <c r="I489" s="5">
        <v>44501</v>
      </c>
      <c r="J489" s="6">
        <v>0</v>
      </c>
      <c r="K489" s="6">
        <v>0</v>
      </c>
      <c r="L489" s="6">
        <v>5.0039999999999996</v>
      </c>
      <c r="M489" s="6">
        <v>5.0039999999999996</v>
      </c>
      <c r="N489" s="6">
        <v>5.0039999999999996</v>
      </c>
      <c r="O489" s="6">
        <v>5.0039999999999996</v>
      </c>
      <c r="P489" s="6">
        <v>0</v>
      </c>
      <c r="Q489" s="4" t="s">
        <v>26</v>
      </c>
      <c r="R489" s="4">
        <v>0</v>
      </c>
      <c r="S489" s="6">
        <v>0</v>
      </c>
      <c r="T489" s="6">
        <v>29</v>
      </c>
      <c r="U489" s="6">
        <v>70</v>
      </c>
      <c r="V489" s="6">
        <f>IF(ISERROR(VLOOKUP($S$489,'TAR FIN'!$A$1:$O$103,15,0)),0,VLOOKUP($S$489,'TAR FIN'!$A$1:$O$103,15,0))</f>
        <v>0</v>
      </c>
      <c r="W489" s="6">
        <f>IF(ISERROR(VLOOKUP($T$489,'TAR FIN'!$A$1:$O$103,15,0)),0,VLOOKUP($T$489,'TAR FIN'!$A$1:$O$103,15,0))</f>
        <v>284.77</v>
      </c>
      <c r="X489" s="6">
        <f>IF(ISERROR(VLOOKUP($U$489,'TAR FIN'!$A$1:$O$103,15,0)),0,VLOOKUP($U$489,'TAR FIN'!$A$1:$O$103,15,0))</f>
        <v>242.77</v>
      </c>
      <c r="Y489" s="6"/>
      <c r="Z489" s="6">
        <f ca="1">('TUSD BE'!$AM$31+'TUSD BF'!$AM$31+'TUSD CVA'!$AM$31)*1</f>
        <v>376.66815287743037</v>
      </c>
      <c r="AA489" s="6">
        <f>('TE BE'!$AB$12+'TE BF'!$AB$12+'TE CVA'!$AB$12)*1</f>
        <v>222.39386487986414</v>
      </c>
      <c r="AB489" s="6">
        <f>$K$489*$V$489</f>
        <v>0</v>
      </c>
      <c r="AC489" s="6">
        <f>$M$489*$W$489</f>
        <v>1424.9890799999998</v>
      </c>
      <c r="AD489" s="6">
        <f>$O$489*$X$489</f>
        <v>1214.8210799999999</v>
      </c>
      <c r="AE489" s="6">
        <f>$K$489*$Y$489</f>
        <v>0</v>
      </c>
      <c r="AF489" s="6">
        <f ca="1">$M$489*$Z$489</f>
        <v>1884.8474369986614</v>
      </c>
      <c r="AG489" s="6">
        <f>$O$489*$AA$489</f>
        <v>1112.85889985884</v>
      </c>
    </row>
    <row r="490" spans="1:33" ht="11.25" customHeight="1" x14ac:dyDescent="0.3">
      <c r="A490" s="4" t="s">
        <v>21</v>
      </c>
      <c r="B490" s="4" t="s">
        <v>22</v>
      </c>
      <c r="C490" s="4" t="s">
        <v>33</v>
      </c>
      <c r="D490" s="4" t="s">
        <v>24</v>
      </c>
      <c r="E490" s="4" t="s">
        <v>24</v>
      </c>
      <c r="F490" s="4" t="s">
        <v>25</v>
      </c>
      <c r="G490" s="4" t="s">
        <v>25</v>
      </c>
      <c r="H490" s="4" t="s">
        <v>35</v>
      </c>
      <c r="I490" s="5">
        <v>44531</v>
      </c>
      <c r="J490" s="6">
        <v>0</v>
      </c>
      <c r="K490" s="6">
        <v>0</v>
      </c>
      <c r="L490" s="6">
        <v>5.3209999999999997</v>
      </c>
      <c r="M490" s="6">
        <v>5.3209999999999997</v>
      </c>
      <c r="N490" s="6">
        <v>5.3209999999999997</v>
      </c>
      <c r="O490" s="6">
        <v>5.3209999999999997</v>
      </c>
      <c r="P490" s="6">
        <v>0</v>
      </c>
      <c r="Q490" s="4" t="s">
        <v>26</v>
      </c>
      <c r="R490" s="4">
        <v>0</v>
      </c>
      <c r="S490" s="6">
        <v>0</v>
      </c>
      <c r="T490" s="6">
        <v>29</v>
      </c>
      <c r="U490" s="6">
        <v>70</v>
      </c>
      <c r="V490" s="6">
        <f>IF(ISERROR(VLOOKUP($S$490,'TAR FIN'!$A$1:$O$103,15,0)),0,VLOOKUP($S$490,'TAR FIN'!$A$1:$O$103,15,0))</f>
        <v>0</v>
      </c>
      <c r="W490" s="6">
        <f>IF(ISERROR(VLOOKUP($T$490,'TAR FIN'!$A$1:$O$103,15,0)),0,VLOOKUP($T$490,'TAR FIN'!$A$1:$O$103,15,0))</f>
        <v>284.77</v>
      </c>
      <c r="X490" s="6">
        <f>IF(ISERROR(VLOOKUP($U$490,'TAR FIN'!$A$1:$O$103,15,0)),0,VLOOKUP($U$490,'TAR FIN'!$A$1:$O$103,15,0))</f>
        <v>242.77</v>
      </c>
      <c r="Y490" s="6"/>
      <c r="Z490" s="6">
        <f ca="1">('TUSD BE'!$AM$31+'TUSD BF'!$AM$31+'TUSD CVA'!$AM$31)*1</f>
        <v>376.66815287743037</v>
      </c>
      <c r="AA490" s="6">
        <f>('TE BE'!$AB$12+'TE BF'!$AB$12+'TE CVA'!$AB$12)*1</f>
        <v>222.39386487986414</v>
      </c>
      <c r="AB490" s="6">
        <f>$K$490*$V$490</f>
        <v>0</v>
      </c>
      <c r="AC490" s="6">
        <f>$M$490*$W$490</f>
        <v>1515.2611699999998</v>
      </c>
      <c r="AD490" s="6">
        <f>$O$490*$X$490</f>
        <v>1291.77917</v>
      </c>
      <c r="AE490" s="6">
        <f>$K$490*$Y$490</f>
        <v>0</v>
      </c>
      <c r="AF490" s="6">
        <f ca="1">$M$490*$Z$490</f>
        <v>2004.251241460807</v>
      </c>
      <c r="AG490" s="6">
        <f>$O$490*$AA$490</f>
        <v>1183.3577550257571</v>
      </c>
    </row>
    <row r="491" spans="1:33" ht="11.25" customHeight="1" x14ac:dyDescent="0.3">
      <c r="A491" s="4" t="s">
        <v>21</v>
      </c>
      <c r="B491" s="4" t="s">
        <v>22</v>
      </c>
      <c r="C491" s="4" t="s">
        <v>33</v>
      </c>
      <c r="D491" s="4" t="s">
        <v>24</v>
      </c>
      <c r="E491" s="4" t="s">
        <v>24</v>
      </c>
      <c r="F491" s="4" t="s">
        <v>25</v>
      </c>
      <c r="G491" s="4" t="s">
        <v>25</v>
      </c>
      <c r="H491" s="4" t="s">
        <v>35</v>
      </c>
      <c r="I491" s="5">
        <v>44562</v>
      </c>
      <c r="J491" s="6">
        <v>0</v>
      </c>
      <c r="K491" s="6">
        <v>0</v>
      </c>
      <c r="L491" s="6">
        <v>5.5810000000000004</v>
      </c>
      <c r="M491" s="6">
        <v>5.5810000000000004</v>
      </c>
      <c r="N491" s="6">
        <v>5.5810000000000004</v>
      </c>
      <c r="O491" s="6">
        <v>5.5810000000000004</v>
      </c>
      <c r="P491" s="6">
        <v>0</v>
      </c>
      <c r="Q491" s="4" t="s">
        <v>26</v>
      </c>
      <c r="R491" s="4">
        <v>0</v>
      </c>
      <c r="S491" s="6">
        <v>0</v>
      </c>
      <c r="T491" s="6">
        <v>29</v>
      </c>
      <c r="U491" s="6">
        <v>70</v>
      </c>
      <c r="V491" s="6">
        <f>IF(ISERROR(VLOOKUP($S$491,'TAR FIN'!$A$1:$O$103,15,0)),0,VLOOKUP($S$491,'TAR FIN'!$A$1:$O$103,15,0))</f>
        <v>0</v>
      </c>
      <c r="W491" s="6">
        <f>IF(ISERROR(VLOOKUP($T$491,'TAR FIN'!$A$1:$O$103,15,0)),0,VLOOKUP($T$491,'TAR FIN'!$A$1:$O$103,15,0))</f>
        <v>284.77</v>
      </c>
      <c r="X491" s="6">
        <f>IF(ISERROR(VLOOKUP($U$491,'TAR FIN'!$A$1:$O$103,15,0)),0,VLOOKUP($U$491,'TAR FIN'!$A$1:$O$103,15,0))</f>
        <v>242.77</v>
      </c>
      <c r="Y491" s="6"/>
      <c r="Z491" s="6">
        <f ca="1">('TUSD BE'!$AM$31+'TUSD BF'!$AM$31+'TUSD CVA'!$AM$31)*1</f>
        <v>376.66815287743037</v>
      </c>
      <c r="AA491" s="6">
        <f>('TE BE'!$AB$12+'TE BF'!$AB$12+'TE CVA'!$AB$12)*1</f>
        <v>222.39386487986414</v>
      </c>
      <c r="AB491" s="6">
        <f>$K$491*$V$491</f>
        <v>0</v>
      </c>
      <c r="AC491" s="6">
        <f>$M$491*$W$491</f>
        <v>1589.3013699999999</v>
      </c>
      <c r="AD491" s="6">
        <f>$O$491*$X$491</f>
        <v>1354.8993700000001</v>
      </c>
      <c r="AE491" s="6">
        <f>$K$491*$Y$491</f>
        <v>0</v>
      </c>
      <c r="AF491" s="6">
        <f ca="1">$M$491*$Z$491</f>
        <v>2102.1849612089391</v>
      </c>
      <c r="AG491" s="6">
        <f>$O$491*$AA$491</f>
        <v>1241.1801598945219</v>
      </c>
    </row>
    <row r="492" spans="1:33" ht="11.25" customHeight="1" x14ac:dyDescent="0.3">
      <c r="A492" s="4" t="s">
        <v>21</v>
      </c>
      <c r="B492" s="4" t="s">
        <v>22</v>
      </c>
      <c r="C492" s="4" t="s">
        <v>33</v>
      </c>
      <c r="D492" s="4" t="s">
        <v>24</v>
      </c>
      <c r="E492" s="4" t="s">
        <v>24</v>
      </c>
      <c r="F492" s="4" t="s">
        <v>25</v>
      </c>
      <c r="G492" s="4" t="s">
        <v>25</v>
      </c>
      <c r="H492" s="4" t="s">
        <v>35</v>
      </c>
      <c r="I492" s="5">
        <v>44593</v>
      </c>
      <c r="J492" s="6">
        <v>0</v>
      </c>
      <c r="K492" s="6">
        <v>0</v>
      </c>
      <c r="L492" s="6">
        <v>5.8360000000000003</v>
      </c>
      <c r="M492" s="6">
        <v>5.8360000000000003</v>
      </c>
      <c r="N492" s="6">
        <v>5.8360000000000003</v>
      </c>
      <c r="O492" s="6">
        <v>5.8360000000000003</v>
      </c>
      <c r="P492" s="6">
        <v>0</v>
      </c>
      <c r="Q492" s="4" t="s">
        <v>26</v>
      </c>
      <c r="R492" s="4">
        <v>0</v>
      </c>
      <c r="S492" s="6">
        <v>0</v>
      </c>
      <c r="T492" s="6">
        <v>29</v>
      </c>
      <c r="U492" s="6">
        <v>70</v>
      </c>
      <c r="V492" s="6">
        <f>IF(ISERROR(VLOOKUP($S$492,'TAR FIN'!$A$1:$O$103,15,0)),0,VLOOKUP($S$492,'TAR FIN'!$A$1:$O$103,15,0))</f>
        <v>0</v>
      </c>
      <c r="W492" s="6">
        <f>IF(ISERROR(VLOOKUP($T$492,'TAR FIN'!$A$1:$O$103,15,0)),0,VLOOKUP($T$492,'TAR FIN'!$A$1:$O$103,15,0))</f>
        <v>284.77</v>
      </c>
      <c r="X492" s="6">
        <f>IF(ISERROR(VLOOKUP($U$492,'TAR FIN'!$A$1:$O$103,15,0)),0,VLOOKUP($U$492,'TAR FIN'!$A$1:$O$103,15,0))</f>
        <v>242.77</v>
      </c>
      <c r="Y492" s="6"/>
      <c r="Z492" s="6">
        <f ca="1">('TUSD BE'!$AM$31+'TUSD BF'!$AM$31+'TUSD CVA'!$AM$31)*1</f>
        <v>376.66815287743037</v>
      </c>
      <c r="AA492" s="6">
        <f>('TE BE'!$AB$12+'TE BF'!$AB$12+'TE CVA'!$AB$12)*1</f>
        <v>222.39386487986414</v>
      </c>
      <c r="AB492" s="6">
        <f>$K$492*$V$492</f>
        <v>0</v>
      </c>
      <c r="AC492" s="6">
        <f>$M$492*$W$492</f>
        <v>1661.9177199999999</v>
      </c>
      <c r="AD492" s="6">
        <f>$O$492*$X$492</f>
        <v>1416.8057200000001</v>
      </c>
      <c r="AE492" s="6">
        <f>$K$492*$Y$492</f>
        <v>0</v>
      </c>
      <c r="AF492" s="6">
        <f ca="1">$M$492*$Z$492</f>
        <v>2198.2353401926839</v>
      </c>
      <c r="AG492" s="6">
        <f>$O$492*$AA$492</f>
        <v>1297.8905954388872</v>
      </c>
    </row>
    <row r="493" spans="1:33" ht="11.25" customHeight="1" x14ac:dyDescent="0.3">
      <c r="A493" s="4" t="s">
        <v>21</v>
      </c>
      <c r="B493" s="4" t="s">
        <v>22</v>
      </c>
      <c r="C493" s="4" t="s">
        <v>33</v>
      </c>
      <c r="D493" s="4" t="s">
        <v>24</v>
      </c>
      <c r="E493" s="4" t="s">
        <v>24</v>
      </c>
      <c r="F493" s="4" t="s">
        <v>25</v>
      </c>
      <c r="G493" s="4" t="s">
        <v>25</v>
      </c>
      <c r="H493" s="4" t="s">
        <v>35</v>
      </c>
      <c r="I493" s="5">
        <v>44621</v>
      </c>
      <c r="J493" s="6">
        <v>0</v>
      </c>
      <c r="K493" s="6">
        <v>0</v>
      </c>
      <c r="L493" s="6">
        <v>4.88</v>
      </c>
      <c r="M493" s="6">
        <v>4.88</v>
      </c>
      <c r="N493" s="6">
        <v>4.88</v>
      </c>
      <c r="O493" s="6">
        <v>4.88</v>
      </c>
      <c r="P493" s="6">
        <v>0</v>
      </c>
      <c r="Q493" s="4" t="s">
        <v>26</v>
      </c>
      <c r="R493" s="4">
        <v>0</v>
      </c>
      <c r="S493" s="6">
        <v>0</v>
      </c>
      <c r="T493" s="6">
        <v>29</v>
      </c>
      <c r="U493" s="6">
        <v>70</v>
      </c>
      <c r="V493" s="6">
        <f>IF(ISERROR(VLOOKUP($S$493,'TAR FIN'!$A$1:$O$103,15,0)),0,VLOOKUP($S$493,'TAR FIN'!$A$1:$O$103,15,0))</f>
        <v>0</v>
      </c>
      <c r="W493" s="6">
        <f>IF(ISERROR(VLOOKUP($T$493,'TAR FIN'!$A$1:$O$103,15,0)),0,VLOOKUP($T$493,'TAR FIN'!$A$1:$O$103,15,0))</f>
        <v>284.77</v>
      </c>
      <c r="X493" s="6">
        <f>IF(ISERROR(VLOOKUP($U$493,'TAR FIN'!$A$1:$O$103,15,0)),0,VLOOKUP($U$493,'TAR FIN'!$A$1:$O$103,15,0))</f>
        <v>242.77</v>
      </c>
      <c r="Y493" s="6"/>
      <c r="Z493" s="6">
        <f ca="1">('TUSD BE'!$AM$31+'TUSD BF'!$AM$31+'TUSD CVA'!$AM$31)*1</f>
        <v>376.66815287743037</v>
      </c>
      <c r="AA493" s="6">
        <f>('TE BE'!$AB$12+'TE BF'!$AB$12+'TE CVA'!$AB$12)*1</f>
        <v>222.39386487986414</v>
      </c>
      <c r="AB493" s="6">
        <f>$K$493*$V$493</f>
        <v>0</v>
      </c>
      <c r="AC493" s="6">
        <f>$M$493*$W$493</f>
        <v>1389.6776</v>
      </c>
      <c r="AD493" s="6">
        <f>$O$493*$X$493</f>
        <v>1184.7175999999999</v>
      </c>
      <c r="AE493" s="6">
        <f>$K$493*$Y$493</f>
        <v>0</v>
      </c>
      <c r="AF493" s="6">
        <f ca="1">$M$493*$Z$493</f>
        <v>1838.1405860418602</v>
      </c>
      <c r="AG493" s="6">
        <f>$O$493*$AA$493</f>
        <v>1085.282060613737</v>
      </c>
    </row>
    <row r="494" spans="1:33" ht="11.25" customHeight="1" x14ac:dyDescent="0.3">
      <c r="A494" s="4" t="s">
        <v>21</v>
      </c>
      <c r="B494" s="4" t="s">
        <v>22</v>
      </c>
      <c r="C494" s="4" t="s">
        <v>33</v>
      </c>
      <c r="D494" s="4" t="s">
        <v>24</v>
      </c>
      <c r="E494" s="4" t="s">
        <v>24</v>
      </c>
      <c r="F494" s="4" t="s">
        <v>25</v>
      </c>
      <c r="G494" s="4" t="s">
        <v>25</v>
      </c>
      <c r="H494" s="4" t="s">
        <v>35</v>
      </c>
      <c r="I494" s="5">
        <v>44652</v>
      </c>
      <c r="J494" s="6">
        <v>0</v>
      </c>
      <c r="K494" s="6">
        <v>0</v>
      </c>
      <c r="L494" s="6">
        <v>5.3840000000000003</v>
      </c>
      <c r="M494" s="6">
        <v>5.3840000000000003</v>
      </c>
      <c r="N494" s="6">
        <v>5.3840000000000003</v>
      </c>
      <c r="O494" s="6">
        <v>5.3840000000000003</v>
      </c>
      <c r="P494" s="6">
        <v>0</v>
      </c>
      <c r="Q494" s="4" t="s">
        <v>26</v>
      </c>
      <c r="R494" s="4">
        <v>0</v>
      </c>
      <c r="S494" s="6">
        <v>0</v>
      </c>
      <c r="T494" s="6">
        <v>29</v>
      </c>
      <c r="U494" s="6">
        <v>70</v>
      </c>
      <c r="V494" s="6">
        <f>IF(ISERROR(VLOOKUP($S$494,'TAR FIN'!$A$1:$O$103,15,0)),0,VLOOKUP($S$494,'TAR FIN'!$A$1:$O$103,15,0))</f>
        <v>0</v>
      </c>
      <c r="W494" s="6">
        <f>IF(ISERROR(VLOOKUP($T$494,'TAR FIN'!$A$1:$O$103,15,0)),0,VLOOKUP($T$494,'TAR FIN'!$A$1:$O$103,15,0))</f>
        <v>284.77</v>
      </c>
      <c r="X494" s="6">
        <f>IF(ISERROR(VLOOKUP($U$494,'TAR FIN'!$A$1:$O$103,15,0)),0,VLOOKUP($U$494,'TAR FIN'!$A$1:$O$103,15,0))</f>
        <v>242.77</v>
      </c>
      <c r="Y494" s="6"/>
      <c r="Z494" s="6">
        <f ca="1">('TUSD BE'!$AM$31+'TUSD BF'!$AM$31+'TUSD CVA'!$AM$31)*1</f>
        <v>376.66815287743037</v>
      </c>
      <c r="AA494" s="6">
        <f>('TE BE'!$AB$12+'TE BF'!$AB$12+'TE CVA'!$AB$12)*1</f>
        <v>222.39386487986414</v>
      </c>
      <c r="AB494" s="6">
        <f>$K$494*$V$494</f>
        <v>0</v>
      </c>
      <c r="AC494" s="6">
        <f>$M$494*$W$494</f>
        <v>1533.2016799999999</v>
      </c>
      <c r="AD494" s="6">
        <f>$O$494*$X$494</f>
        <v>1307.0736800000002</v>
      </c>
      <c r="AE494" s="6">
        <f>$K$494*$Y$494</f>
        <v>0</v>
      </c>
      <c r="AF494" s="6">
        <f ca="1">$M$494*$Z$494</f>
        <v>2027.9813350920851</v>
      </c>
      <c r="AG494" s="6">
        <f>$O$494*$AA$494</f>
        <v>1197.3685685131886</v>
      </c>
    </row>
    <row r="495" spans="1:33" ht="11.25" customHeight="1" x14ac:dyDescent="0.3">
      <c r="A495" s="4" t="s">
        <v>21</v>
      </c>
      <c r="B495" s="4" t="s">
        <v>22</v>
      </c>
      <c r="C495" s="4" t="s">
        <v>33</v>
      </c>
      <c r="D495" s="4" t="s">
        <v>24</v>
      </c>
      <c r="E495" s="4" t="s">
        <v>24</v>
      </c>
      <c r="F495" s="4" t="s">
        <v>25</v>
      </c>
      <c r="G495" s="4" t="s">
        <v>25</v>
      </c>
      <c r="H495" s="4" t="s">
        <v>35</v>
      </c>
      <c r="I495" s="5">
        <v>44682</v>
      </c>
      <c r="J495" s="6">
        <v>0</v>
      </c>
      <c r="K495" s="6">
        <v>0</v>
      </c>
      <c r="L495" s="6">
        <v>3.298</v>
      </c>
      <c r="M495" s="6">
        <v>3.298</v>
      </c>
      <c r="N495" s="6">
        <v>3.298</v>
      </c>
      <c r="O495" s="6">
        <v>3.298</v>
      </c>
      <c r="P495" s="6">
        <v>0</v>
      </c>
      <c r="Q495" s="4" t="s">
        <v>26</v>
      </c>
      <c r="R495" s="4">
        <v>0</v>
      </c>
      <c r="S495" s="6">
        <v>0</v>
      </c>
      <c r="T495" s="6">
        <v>29</v>
      </c>
      <c r="U495" s="6">
        <v>70</v>
      </c>
      <c r="V495" s="6">
        <f>IF(ISERROR(VLOOKUP($S$495,'TAR FIN'!$A$1:$O$103,15,0)),0,VLOOKUP($S$495,'TAR FIN'!$A$1:$O$103,15,0))</f>
        <v>0</v>
      </c>
      <c r="W495" s="6">
        <f>IF(ISERROR(VLOOKUP($T$495,'TAR FIN'!$A$1:$O$103,15,0)),0,VLOOKUP($T$495,'TAR FIN'!$A$1:$O$103,15,0))</f>
        <v>284.77</v>
      </c>
      <c r="X495" s="6">
        <f>IF(ISERROR(VLOOKUP($U$495,'TAR FIN'!$A$1:$O$103,15,0)),0,VLOOKUP($U$495,'TAR FIN'!$A$1:$O$103,15,0))</f>
        <v>242.77</v>
      </c>
      <c r="Y495" s="6"/>
      <c r="Z495" s="6">
        <f ca="1">('TUSD BE'!$AM$31+'TUSD BF'!$AM$31+'TUSD CVA'!$AM$31)*1</f>
        <v>376.66815287743037</v>
      </c>
      <c r="AA495" s="6">
        <f>('TE BE'!$AB$12+'TE BF'!$AB$12+'TE CVA'!$AB$12)*1</f>
        <v>222.39386487986414</v>
      </c>
      <c r="AB495" s="6">
        <f>$K$495*$V$495</f>
        <v>0</v>
      </c>
      <c r="AC495" s="6">
        <f>$M$495*$W$495</f>
        <v>939.17145999999991</v>
      </c>
      <c r="AD495" s="6">
        <f>$O$495*$X$495</f>
        <v>800.65546000000006</v>
      </c>
      <c r="AE495" s="6">
        <f>$K$495*$Y$495</f>
        <v>0</v>
      </c>
      <c r="AF495" s="6">
        <f ca="1">$M$495*$Z$495</f>
        <v>1242.2515681897653</v>
      </c>
      <c r="AG495" s="6">
        <f>$O$495*$AA$495</f>
        <v>733.45496637379199</v>
      </c>
    </row>
    <row r="496" spans="1:33" ht="11.25" customHeight="1" x14ac:dyDescent="0.3">
      <c r="A496" s="4" t="s">
        <v>21</v>
      </c>
      <c r="B496" s="4" t="s">
        <v>22</v>
      </c>
      <c r="C496" s="4" t="s">
        <v>33</v>
      </c>
      <c r="D496" s="4" t="s">
        <v>24</v>
      </c>
      <c r="E496" s="4" t="s">
        <v>24</v>
      </c>
      <c r="F496" s="4" t="s">
        <v>25</v>
      </c>
      <c r="G496" s="4" t="s">
        <v>25</v>
      </c>
      <c r="H496" s="4" t="s">
        <v>35</v>
      </c>
      <c r="I496" s="5">
        <v>44713</v>
      </c>
      <c r="J496" s="6">
        <v>0</v>
      </c>
      <c r="K496" s="6">
        <v>0</v>
      </c>
      <c r="L496" s="6">
        <v>2.508</v>
      </c>
      <c r="M496" s="6">
        <v>2.508</v>
      </c>
      <c r="N496" s="6">
        <v>2.508</v>
      </c>
      <c r="O496" s="6">
        <v>2.508</v>
      </c>
      <c r="P496" s="6">
        <v>0</v>
      </c>
      <c r="Q496" s="4" t="s">
        <v>26</v>
      </c>
      <c r="R496" s="4">
        <v>0</v>
      </c>
      <c r="S496" s="6">
        <v>0</v>
      </c>
      <c r="T496" s="6">
        <v>29</v>
      </c>
      <c r="U496" s="6">
        <v>70</v>
      </c>
      <c r="V496" s="6">
        <f>IF(ISERROR(VLOOKUP($S$496,'TAR FIN'!$A$1:$O$103,15,0)),0,VLOOKUP($S$496,'TAR FIN'!$A$1:$O$103,15,0))</f>
        <v>0</v>
      </c>
      <c r="W496" s="6">
        <f>IF(ISERROR(VLOOKUP($T$496,'TAR FIN'!$A$1:$O$103,15,0)),0,VLOOKUP($T$496,'TAR FIN'!$A$1:$O$103,15,0))</f>
        <v>284.77</v>
      </c>
      <c r="X496" s="6">
        <f>IF(ISERROR(VLOOKUP($U$496,'TAR FIN'!$A$1:$O$103,15,0)),0,VLOOKUP($U$496,'TAR FIN'!$A$1:$O$103,15,0))</f>
        <v>242.77</v>
      </c>
      <c r="Y496" s="6"/>
      <c r="Z496" s="6">
        <f ca="1">('TUSD BE'!$AM$31+'TUSD BF'!$AM$31+'TUSD CVA'!$AM$31)*1</f>
        <v>376.66815287743037</v>
      </c>
      <c r="AA496" s="6">
        <f>('TE BE'!$AB$12+'TE BF'!$AB$12+'TE CVA'!$AB$12)*1</f>
        <v>222.39386487986414</v>
      </c>
      <c r="AB496" s="6">
        <f>$K$496*$V$496</f>
        <v>0</v>
      </c>
      <c r="AC496" s="6">
        <f>$M$496*$W$496</f>
        <v>714.20315999999991</v>
      </c>
      <c r="AD496" s="6">
        <f>$O$496*$X$496</f>
        <v>608.86716000000001</v>
      </c>
      <c r="AE496" s="6">
        <f>$K$496*$Y$496</f>
        <v>0</v>
      </c>
      <c r="AF496" s="6">
        <f ca="1">$M$496*$Z$496</f>
        <v>944.68372741659539</v>
      </c>
      <c r="AG496" s="6">
        <f>$O$496*$AA$496</f>
        <v>557.76381311869932</v>
      </c>
    </row>
    <row r="497" spans="1:33" ht="11.25" customHeight="1" x14ac:dyDescent="0.3">
      <c r="A497" s="4" t="s">
        <v>21</v>
      </c>
      <c r="B497" s="4" t="s">
        <v>22</v>
      </c>
      <c r="C497" s="4" t="s">
        <v>33</v>
      </c>
      <c r="D497" s="4" t="s">
        <v>24</v>
      </c>
      <c r="E497" s="4" t="s">
        <v>24</v>
      </c>
      <c r="F497" s="4" t="s">
        <v>25</v>
      </c>
      <c r="G497" s="4" t="s">
        <v>25</v>
      </c>
      <c r="H497" s="4" t="s">
        <v>35</v>
      </c>
      <c r="I497" s="5">
        <v>44743</v>
      </c>
      <c r="J497" s="6">
        <v>0</v>
      </c>
      <c r="K497" s="6">
        <v>0</v>
      </c>
      <c r="L497" s="6">
        <v>2.6120000000000001</v>
      </c>
      <c r="M497" s="6">
        <v>2.6120000000000001</v>
      </c>
      <c r="N497" s="6">
        <v>2.6120000000000001</v>
      </c>
      <c r="O497" s="6">
        <v>2.6120000000000001</v>
      </c>
      <c r="P497" s="6">
        <v>0</v>
      </c>
      <c r="Q497" s="4" t="s">
        <v>26</v>
      </c>
      <c r="R497" s="4">
        <v>0</v>
      </c>
      <c r="S497" s="6">
        <v>0</v>
      </c>
      <c r="T497" s="6">
        <v>29</v>
      </c>
      <c r="U497" s="6">
        <v>70</v>
      </c>
      <c r="V497" s="6">
        <f>IF(ISERROR(VLOOKUP($S$497,'TAR FIN'!$A$1:$O$103,15,0)),0,VLOOKUP($S$497,'TAR FIN'!$A$1:$O$103,15,0))</f>
        <v>0</v>
      </c>
      <c r="W497" s="6">
        <f>IF(ISERROR(VLOOKUP($T$497,'TAR FIN'!$A$1:$O$103,15,0)),0,VLOOKUP($T$497,'TAR FIN'!$A$1:$O$103,15,0))</f>
        <v>284.77</v>
      </c>
      <c r="X497" s="6">
        <f>IF(ISERROR(VLOOKUP($U$497,'TAR FIN'!$A$1:$O$103,15,0)),0,VLOOKUP($U$497,'TAR FIN'!$A$1:$O$103,15,0))</f>
        <v>242.77</v>
      </c>
      <c r="Y497" s="6"/>
      <c r="Z497" s="6">
        <f ca="1">('TUSD BE'!$AM$31+'TUSD BF'!$AM$31+'TUSD CVA'!$AM$31)*1</f>
        <v>376.66815287743037</v>
      </c>
      <c r="AA497" s="6">
        <f>('TE BE'!$AB$12+'TE BF'!$AB$12+'TE CVA'!$AB$12)*1</f>
        <v>222.39386487986414</v>
      </c>
      <c r="AB497" s="6">
        <f>$K$497*$V$497</f>
        <v>0</v>
      </c>
      <c r="AC497" s="6">
        <f>$M$497*$W$497</f>
        <v>743.81924000000004</v>
      </c>
      <c r="AD497" s="6">
        <f>$O$497*$X$497</f>
        <v>634.11524000000009</v>
      </c>
      <c r="AE497" s="6">
        <f>$K$497*$Y$497</f>
        <v>0</v>
      </c>
      <c r="AF497" s="6">
        <f ca="1">$M$497*$Z$497</f>
        <v>983.85721531584818</v>
      </c>
      <c r="AG497" s="6">
        <f>$O$497*$AA$497</f>
        <v>580.8927750662051</v>
      </c>
    </row>
    <row r="498" spans="1:33" ht="11.25" customHeight="1" x14ac:dyDescent="0.3">
      <c r="A498" s="4" t="s">
        <v>21</v>
      </c>
      <c r="B498" s="4" t="s">
        <v>22</v>
      </c>
      <c r="C498" s="4" t="s">
        <v>33</v>
      </c>
      <c r="D498" s="4" t="s">
        <v>24</v>
      </c>
      <c r="E498" s="4" t="s">
        <v>24</v>
      </c>
      <c r="F498" s="4" t="s">
        <v>25</v>
      </c>
      <c r="G498" s="4" t="s">
        <v>25</v>
      </c>
      <c r="H498" s="4" t="s">
        <v>35</v>
      </c>
      <c r="I498" s="5">
        <v>44774</v>
      </c>
      <c r="J498" s="6">
        <v>0</v>
      </c>
      <c r="K498" s="6">
        <v>0</v>
      </c>
      <c r="L498" s="6">
        <v>2.7879999999999998</v>
      </c>
      <c r="M498" s="6">
        <v>2.7879999999999998</v>
      </c>
      <c r="N498" s="6">
        <v>2.7879999999999998</v>
      </c>
      <c r="O498" s="6">
        <v>2.7879999999999998</v>
      </c>
      <c r="P498" s="6">
        <v>0</v>
      </c>
      <c r="Q498" s="4" t="s">
        <v>26</v>
      </c>
      <c r="R498" s="4">
        <v>0</v>
      </c>
      <c r="S498" s="6">
        <v>0</v>
      </c>
      <c r="T498" s="6">
        <v>29</v>
      </c>
      <c r="U498" s="6">
        <v>70</v>
      </c>
      <c r="V498" s="6">
        <f>IF(ISERROR(VLOOKUP($S$498,'TAR FIN'!$A$1:$O$103,15,0)),0,VLOOKUP($S$498,'TAR FIN'!$A$1:$O$103,15,0))</f>
        <v>0</v>
      </c>
      <c r="W498" s="6">
        <f>IF(ISERROR(VLOOKUP($T$498,'TAR FIN'!$A$1:$O$103,15,0)),0,VLOOKUP($T$498,'TAR FIN'!$A$1:$O$103,15,0))</f>
        <v>284.77</v>
      </c>
      <c r="X498" s="6">
        <f>IF(ISERROR(VLOOKUP($U$498,'TAR FIN'!$A$1:$O$103,15,0)),0,VLOOKUP($U$498,'TAR FIN'!$A$1:$O$103,15,0))</f>
        <v>242.77</v>
      </c>
      <c r="Y498" s="6"/>
      <c r="Z498" s="6">
        <f ca="1">('TUSD BE'!$AM$31+'TUSD BF'!$AM$31+'TUSD CVA'!$AM$31)*1</f>
        <v>376.66815287743037</v>
      </c>
      <c r="AA498" s="6">
        <f>('TE BE'!$AB$12+'TE BF'!$AB$12+'TE CVA'!$AB$12)*1</f>
        <v>222.39386487986414</v>
      </c>
      <c r="AB498" s="6">
        <f>$K$498*$V$498</f>
        <v>0</v>
      </c>
      <c r="AC498" s="6">
        <f>$M$498*$W$498</f>
        <v>793.93875999999989</v>
      </c>
      <c r="AD498" s="6">
        <f>$O$498*$X$498</f>
        <v>676.84276</v>
      </c>
      <c r="AE498" s="6">
        <f>$K$498*$Y$498</f>
        <v>0</v>
      </c>
      <c r="AF498" s="6">
        <f ca="1">$M$498*$Z$498</f>
        <v>1050.1508102222758</v>
      </c>
      <c r="AG498" s="6">
        <f>$O$498*$AA$498</f>
        <v>620.0340952850612</v>
      </c>
    </row>
    <row r="499" spans="1:33" ht="11.25" customHeight="1" x14ac:dyDescent="0.3">
      <c r="A499" s="4" t="s">
        <v>21</v>
      </c>
      <c r="B499" s="4" t="s">
        <v>22</v>
      </c>
      <c r="C499" s="4" t="s">
        <v>33</v>
      </c>
      <c r="D499" s="4" t="s">
        <v>24</v>
      </c>
      <c r="E499" s="4" t="s">
        <v>24</v>
      </c>
      <c r="F499" s="4" t="s">
        <v>25</v>
      </c>
      <c r="G499" s="4" t="s">
        <v>25</v>
      </c>
      <c r="H499" s="4" t="s">
        <v>35</v>
      </c>
      <c r="I499" s="5">
        <v>44805</v>
      </c>
      <c r="J499" s="6">
        <v>0</v>
      </c>
      <c r="K499" s="6">
        <v>0</v>
      </c>
      <c r="L499" s="6">
        <v>2.456</v>
      </c>
      <c r="M499" s="6">
        <v>2.456</v>
      </c>
      <c r="N499" s="6">
        <v>2.456</v>
      </c>
      <c r="O499" s="6">
        <v>2.456</v>
      </c>
      <c r="P499" s="6">
        <v>0</v>
      </c>
      <c r="Q499" s="4" t="s">
        <v>26</v>
      </c>
      <c r="R499" s="4">
        <v>0</v>
      </c>
      <c r="S499" s="6">
        <v>0</v>
      </c>
      <c r="T499" s="6">
        <v>29</v>
      </c>
      <c r="U499" s="6">
        <v>70</v>
      </c>
      <c r="V499" s="6">
        <f>IF(ISERROR(VLOOKUP($S$499,'TAR FIN'!$A$1:$O$103,15,0)),0,VLOOKUP($S$499,'TAR FIN'!$A$1:$O$103,15,0))</f>
        <v>0</v>
      </c>
      <c r="W499" s="6">
        <f>IF(ISERROR(VLOOKUP($T$499,'TAR FIN'!$A$1:$O$103,15,0)),0,VLOOKUP($T$499,'TAR FIN'!$A$1:$O$103,15,0))</f>
        <v>284.77</v>
      </c>
      <c r="X499" s="6">
        <f>IF(ISERROR(VLOOKUP($U$499,'TAR FIN'!$A$1:$O$103,15,0)),0,VLOOKUP($U$499,'TAR FIN'!$A$1:$O$103,15,0))</f>
        <v>242.77</v>
      </c>
      <c r="Y499" s="6"/>
      <c r="Z499" s="6">
        <f ca="1">('TUSD BE'!$AM$31+'TUSD BF'!$AM$31+'TUSD CVA'!$AM$31)*1</f>
        <v>376.66815287743037</v>
      </c>
      <c r="AA499" s="6">
        <f>('TE BE'!$AB$12+'TE BF'!$AB$12+'TE CVA'!$AB$12)*1</f>
        <v>222.39386487986414</v>
      </c>
      <c r="AB499" s="6">
        <f>$K$499*$V$499</f>
        <v>0</v>
      </c>
      <c r="AC499" s="6">
        <f>$M$499*$W$499</f>
        <v>699.39511999999991</v>
      </c>
      <c r="AD499" s="6">
        <f>$O$499*$X$499</f>
        <v>596.24311999999998</v>
      </c>
      <c r="AE499" s="6">
        <f>$K$499*$Y$499</f>
        <v>0</v>
      </c>
      <c r="AF499" s="6">
        <f ca="1">$M$499*$Z$499</f>
        <v>925.09698346696894</v>
      </c>
      <c r="AG499" s="6">
        <f>$O$499*$AA$499</f>
        <v>546.19933214494631</v>
      </c>
    </row>
    <row r="500" spans="1:33" ht="11.25" customHeight="1" x14ac:dyDescent="0.3">
      <c r="A500" s="4" t="s">
        <v>57</v>
      </c>
      <c r="B500" s="4" t="s">
        <v>22</v>
      </c>
      <c r="C500" s="4" t="s">
        <v>33</v>
      </c>
      <c r="D500" s="4" t="s">
        <v>24</v>
      </c>
      <c r="E500" s="4" t="s">
        <v>24</v>
      </c>
      <c r="F500" s="4" t="s">
        <v>25</v>
      </c>
      <c r="G500" s="4" t="s">
        <v>25</v>
      </c>
      <c r="H500" s="4" t="s">
        <v>35</v>
      </c>
      <c r="I500" s="5">
        <v>44835</v>
      </c>
      <c r="J500" s="6">
        <v>0</v>
      </c>
      <c r="K500" s="6">
        <v>0</v>
      </c>
      <c r="L500" s="6">
        <v>2.456</v>
      </c>
      <c r="M500" s="6">
        <v>2.456</v>
      </c>
      <c r="N500" s="6">
        <v>2.456</v>
      </c>
      <c r="O500" s="6">
        <v>2.456</v>
      </c>
      <c r="P500" s="6">
        <v>0</v>
      </c>
      <c r="Q500" s="4" t="s">
        <v>26</v>
      </c>
      <c r="R500" s="4">
        <v>0</v>
      </c>
      <c r="S500" s="6">
        <v>0</v>
      </c>
      <c r="T500" s="6">
        <v>29</v>
      </c>
      <c r="U500" s="6">
        <v>70</v>
      </c>
      <c r="V500" s="6">
        <f>IF(ISERROR(VLOOKUP($S$500,'TAR FIN'!$A$1:$O$103,15,0)),0,VLOOKUP($S$500,'TAR FIN'!$A$1:$O$103,15,0))</f>
        <v>0</v>
      </c>
      <c r="W500" s="6">
        <f>IF(ISERROR(VLOOKUP($T$500,'TAR FIN'!$A$1:$O$103,15,0)),0,VLOOKUP($T$500,'TAR FIN'!$A$1:$O$103,15,0))</f>
        <v>284.77</v>
      </c>
      <c r="X500" s="6">
        <f>IF(ISERROR(VLOOKUP($U$500,'TAR FIN'!$A$1:$O$103,15,0)),0,VLOOKUP($U$500,'TAR FIN'!$A$1:$O$103,15,0))</f>
        <v>242.77</v>
      </c>
      <c r="Y500" s="6"/>
      <c r="Z500" s="6">
        <f ca="1">('TUSD BE'!$AM$31+'TUSD BF'!$AM$31+'TUSD CVA'!$AM$31)*1</f>
        <v>376.66815287743037</v>
      </c>
      <c r="AA500" s="6">
        <f>('TE BE'!$AB$12+'TE BF'!$AB$12+'TE CVA'!$AB$12)*1</f>
        <v>222.39386487986414</v>
      </c>
      <c r="AB500" s="6">
        <f>$K$500*$V$500</f>
        <v>0</v>
      </c>
      <c r="AC500" s="6">
        <f>$M$500*$W$500</f>
        <v>699.39511999999991</v>
      </c>
      <c r="AD500" s="6">
        <f>$O$500*$X$500</f>
        <v>596.24311999999998</v>
      </c>
      <c r="AE500" s="6">
        <f>$K$500*$Y$500</f>
        <v>0</v>
      </c>
      <c r="AF500" s="6">
        <f ca="1">$M$500*$Z$500</f>
        <v>925.09698346696894</v>
      </c>
      <c r="AG500" s="6">
        <f>$O$500*$AA$500</f>
        <v>546.19933214494631</v>
      </c>
    </row>
    <row r="501" spans="1:33" ht="11.25" customHeight="1" x14ac:dyDescent="0.3">
      <c r="A501" s="4" t="s">
        <v>21</v>
      </c>
      <c r="B501" s="4" t="s">
        <v>22</v>
      </c>
      <c r="C501" s="4" t="s">
        <v>33</v>
      </c>
      <c r="D501" s="4" t="s">
        <v>24</v>
      </c>
      <c r="E501" s="4" t="s">
        <v>24</v>
      </c>
      <c r="F501" s="4" t="s">
        <v>25</v>
      </c>
      <c r="G501" s="4" t="s">
        <v>25</v>
      </c>
      <c r="H501" s="4" t="s">
        <v>36</v>
      </c>
      <c r="I501" s="5">
        <v>44501</v>
      </c>
      <c r="J501" s="6">
        <v>0</v>
      </c>
      <c r="K501" s="6">
        <v>0</v>
      </c>
      <c r="L501" s="6">
        <v>0.34100000000000003</v>
      </c>
      <c r="M501" s="6">
        <v>0.34100000000000003</v>
      </c>
      <c r="N501" s="6">
        <v>0.34100000000000003</v>
      </c>
      <c r="O501" s="6">
        <v>0.34100000000000003</v>
      </c>
      <c r="P501" s="6">
        <v>0</v>
      </c>
      <c r="Q501" s="4" t="s">
        <v>26</v>
      </c>
      <c r="R501" s="4">
        <v>0</v>
      </c>
      <c r="S501" s="6">
        <v>0</v>
      </c>
      <c r="T501" s="6">
        <v>28</v>
      </c>
      <c r="U501" s="6">
        <v>69</v>
      </c>
      <c r="V501" s="6">
        <f>IF(ISERROR(VLOOKUP($S$501,'TAR FIN'!$A$1:$O$103,15,0)),0,VLOOKUP($S$501,'TAR FIN'!$A$1:$O$103,15,0))</f>
        <v>0</v>
      </c>
      <c r="W501" s="6">
        <f>IF(ISERROR(VLOOKUP($T$501,'TAR FIN'!$A$1:$O$103,15,0)),0,VLOOKUP($T$501,'TAR FIN'!$A$1:$O$103,15,0))</f>
        <v>637.07000000000005</v>
      </c>
      <c r="X501" s="6">
        <f>IF(ISERROR(VLOOKUP($U$501,'TAR FIN'!$A$1:$O$103,15,0)),0,VLOOKUP($U$501,'TAR FIN'!$A$1:$O$103,15,0))</f>
        <v>242.77</v>
      </c>
      <c r="Y501" s="6"/>
      <c r="Z501" s="6">
        <f ca="1">('TUSD BE'!$AM$30+'TUSD BF'!$AM$30+'TUSD CVA'!$AM$30)*1</f>
        <v>768.15079035142571</v>
      </c>
      <c r="AA501" s="6">
        <f>('TE BE'!$AB$11+'TE BF'!$AB$11+'TE CVA'!$AB$11)*1</f>
        <v>222.39386487986414</v>
      </c>
      <c r="AB501" s="6">
        <f>$K$501*$V$501</f>
        <v>0</v>
      </c>
      <c r="AC501" s="6">
        <f>$M$501*$W$501</f>
        <v>217.24087000000003</v>
      </c>
      <c r="AD501" s="6">
        <f>$O$501*$X$501</f>
        <v>82.784570000000016</v>
      </c>
      <c r="AE501" s="6">
        <f>$K$501*$Y$501</f>
        <v>0</v>
      </c>
      <c r="AF501" s="6">
        <f ca="1">$M$501*$Z$501</f>
        <v>261.93941950983617</v>
      </c>
      <c r="AG501" s="6">
        <f>$O$501*$AA$501</f>
        <v>75.836307924033676</v>
      </c>
    </row>
    <row r="502" spans="1:33" ht="11.25" customHeight="1" x14ac:dyDescent="0.3">
      <c r="A502" s="4" t="s">
        <v>21</v>
      </c>
      <c r="B502" s="4" t="s">
        <v>22</v>
      </c>
      <c r="C502" s="4" t="s">
        <v>33</v>
      </c>
      <c r="D502" s="4" t="s">
        <v>24</v>
      </c>
      <c r="E502" s="4" t="s">
        <v>24</v>
      </c>
      <c r="F502" s="4" t="s">
        <v>25</v>
      </c>
      <c r="G502" s="4" t="s">
        <v>25</v>
      </c>
      <c r="H502" s="4" t="s">
        <v>36</v>
      </c>
      <c r="I502" s="5">
        <v>44531</v>
      </c>
      <c r="J502" s="6">
        <v>0</v>
      </c>
      <c r="K502" s="6">
        <v>0</v>
      </c>
      <c r="L502" s="6">
        <v>0.36499999999999999</v>
      </c>
      <c r="M502" s="6">
        <v>0.36499999999999999</v>
      </c>
      <c r="N502" s="6">
        <v>0.36499999999999999</v>
      </c>
      <c r="O502" s="6">
        <v>0.36499999999999999</v>
      </c>
      <c r="P502" s="6">
        <v>0</v>
      </c>
      <c r="Q502" s="4" t="s">
        <v>26</v>
      </c>
      <c r="R502" s="4">
        <v>0</v>
      </c>
      <c r="S502" s="6">
        <v>0</v>
      </c>
      <c r="T502" s="6">
        <v>28</v>
      </c>
      <c r="U502" s="6">
        <v>69</v>
      </c>
      <c r="V502" s="6">
        <f>IF(ISERROR(VLOOKUP($S$502,'TAR FIN'!$A$1:$O$103,15,0)),0,VLOOKUP($S$502,'TAR FIN'!$A$1:$O$103,15,0))</f>
        <v>0</v>
      </c>
      <c r="W502" s="6">
        <f>IF(ISERROR(VLOOKUP($T$502,'TAR FIN'!$A$1:$O$103,15,0)),0,VLOOKUP($T$502,'TAR FIN'!$A$1:$O$103,15,0))</f>
        <v>637.07000000000005</v>
      </c>
      <c r="X502" s="6">
        <f>IF(ISERROR(VLOOKUP($U$502,'TAR FIN'!$A$1:$O$103,15,0)),0,VLOOKUP($U$502,'TAR FIN'!$A$1:$O$103,15,0))</f>
        <v>242.77</v>
      </c>
      <c r="Y502" s="6"/>
      <c r="Z502" s="6">
        <f ca="1">('TUSD BE'!$AM$30+'TUSD BF'!$AM$30+'TUSD CVA'!$AM$30)*1</f>
        <v>768.15079035142571</v>
      </c>
      <c r="AA502" s="6">
        <f>('TE BE'!$AB$11+'TE BF'!$AB$11+'TE CVA'!$AB$11)*1</f>
        <v>222.39386487986414</v>
      </c>
      <c r="AB502" s="6">
        <f>$K$502*$V$502</f>
        <v>0</v>
      </c>
      <c r="AC502" s="6">
        <f>$M$502*$W$502</f>
        <v>232.53055000000001</v>
      </c>
      <c r="AD502" s="6">
        <f>$O$502*$X$502</f>
        <v>88.611050000000006</v>
      </c>
      <c r="AE502" s="6">
        <f>$K$502*$Y$502</f>
        <v>0</v>
      </c>
      <c r="AF502" s="6">
        <f ca="1">$M$502*$Z$502</f>
        <v>280.37503847827037</v>
      </c>
      <c r="AG502" s="6">
        <f>$O$502*$AA$502</f>
        <v>81.173760681150412</v>
      </c>
    </row>
    <row r="503" spans="1:33" ht="11.25" customHeight="1" x14ac:dyDescent="0.3">
      <c r="A503" s="4" t="s">
        <v>21</v>
      </c>
      <c r="B503" s="4" t="s">
        <v>22</v>
      </c>
      <c r="C503" s="4" t="s">
        <v>33</v>
      </c>
      <c r="D503" s="4" t="s">
        <v>24</v>
      </c>
      <c r="E503" s="4" t="s">
        <v>24</v>
      </c>
      <c r="F503" s="4" t="s">
        <v>25</v>
      </c>
      <c r="G503" s="4" t="s">
        <v>25</v>
      </c>
      <c r="H503" s="4" t="s">
        <v>36</v>
      </c>
      <c r="I503" s="5">
        <v>44562</v>
      </c>
      <c r="J503" s="6">
        <v>0</v>
      </c>
      <c r="K503" s="6">
        <v>0</v>
      </c>
      <c r="L503" s="6">
        <v>0.373</v>
      </c>
      <c r="M503" s="6">
        <v>0.373</v>
      </c>
      <c r="N503" s="6">
        <v>0.373</v>
      </c>
      <c r="O503" s="6">
        <v>0.373</v>
      </c>
      <c r="P503" s="6">
        <v>0</v>
      </c>
      <c r="Q503" s="4" t="s">
        <v>26</v>
      </c>
      <c r="R503" s="4">
        <v>0</v>
      </c>
      <c r="S503" s="6">
        <v>0</v>
      </c>
      <c r="T503" s="6">
        <v>28</v>
      </c>
      <c r="U503" s="6">
        <v>69</v>
      </c>
      <c r="V503" s="6">
        <f>IF(ISERROR(VLOOKUP($S$503,'TAR FIN'!$A$1:$O$103,15,0)),0,VLOOKUP($S$503,'TAR FIN'!$A$1:$O$103,15,0))</f>
        <v>0</v>
      </c>
      <c r="W503" s="6">
        <f>IF(ISERROR(VLOOKUP($T$503,'TAR FIN'!$A$1:$O$103,15,0)),0,VLOOKUP($T$503,'TAR FIN'!$A$1:$O$103,15,0))</f>
        <v>637.07000000000005</v>
      </c>
      <c r="X503" s="6">
        <f>IF(ISERROR(VLOOKUP($U$503,'TAR FIN'!$A$1:$O$103,15,0)),0,VLOOKUP($U$503,'TAR FIN'!$A$1:$O$103,15,0))</f>
        <v>242.77</v>
      </c>
      <c r="Y503" s="6"/>
      <c r="Z503" s="6">
        <f ca="1">('TUSD BE'!$AM$30+'TUSD BF'!$AM$30+'TUSD CVA'!$AM$30)*1</f>
        <v>768.15079035142571</v>
      </c>
      <c r="AA503" s="6">
        <f>('TE BE'!$AB$11+'TE BF'!$AB$11+'TE CVA'!$AB$11)*1</f>
        <v>222.39386487986414</v>
      </c>
      <c r="AB503" s="6">
        <f>$K$503*$V$503</f>
        <v>0</v>
      </c>
      <c r="AC503" s="6">
        <f>$M$503*$W$503</f>
        <v>237.62711000000002</v>
      </c>
      <c r="AD503" s="6">
        <f>$O$503*$X$503</f>
        <v>90.553210000000007</v>
      </c>
      <c r="AE503" s="6">
        <f>$K$503*$Y$503</f>
        <v>0</v>
      </c>
      <c r="AF503" s="6">
        <f ca="1">$M$503*$Z$503</f>
        <v>286.52024480108179</v>
      </c>
      <c r="AG503" s="6">
        <f>$O$503*$AA$503</f>
        <v>82.952911600189324</v>
      </c>
    </row>
    <row r="504" spans="1:33" ht="11.25" customHeight="1" x14ac:dyDescent="0.3">
      <c r="A504" s="4" t="s">
        <v>21</v>
      </c>
      <c r="B504" s="4" t="s">
        <v>22</v>
      </c>
      <c r="C504" s="4" t="s">
        <v>33</v>
      </c>
      <c r="D504" s="4" t="s">
        <v>24</v>
      </c>
      <c r="E504" s="4" t="s">
        <v>24</v>
      </c>
      <c r="F504" s="4" t="s">
        <v>25</v>
      </c>
      <c r="G504" s="4" t="s">
        <v>25</v>
      </c>
      <c r="H504" s="4" t="s">
        <v>36</v>
      </c>
      <c r="I504" s="5">
        <v>44593</v>
      </c>
      <c r="J504" s="6">
        <v>0</v>
      </c>
      <c r="K504" s="6">
        <v>0</v>
      </c>
      <c r="L504" s="6">
        <v>0.38600000000000001</v>
      </c>
      <c r="M504" s="6">
        <v>0.38600000000000001</v>
      </c>
      <c r="N504" s="6">
        <v>0.38600000000000001</v>
      </c>
      <c r="O504" s="6">
        <v>0.38600000000000001</v>
      </c>
      <c r="P504" s="6">
        <v>0</v>
      </c>
      <c r="Q504" s="4" t="s">
        <v>26</v>
      </c>
      <c r="R504" s="4">
        <v>0</v>
      </c>
      <c r="S504" s="6">
        <v>0</v>
      </c>
      <c r="T504" s="6">
        <v>28</v>
      </c>
      <c r="U504" s="6">
        <v>69</v>
      </c>
      <c r="V504" s="6">
        <f>IF(ISERROR(VLOOKUP($S$504,'TAR FIN'!$A$1:$O$103,15,0)),0,VLOOKUP($S$504,'TAR FIN'!$A$1:$O$103,15,0))</f>
        <v>0</v>
      </c>
      <c r="W504" s="6">
        <f>IF(ISERROR(VLOOKUP($T$504,'TAR FIN'!$A$1:$O$103,15,0)),0,VLOOKUP($T$504,'TAR FIN'!$A$1:$O$103,15,0))</f>
        <v>637.07000000000005</v>
      </c>
      <c r="X504" s="6">
        <f>IF(ISERROR(VLOOKUP($U$504,'TAR FIN'!$A$1:$O$103,15,0)),0,VLOOKUP($U$504,'TAR FIN'!$A$1:$O$103,15,0))</f>
        <v>242.77</v>
      </c>
      <c r="Y504" s="6"/>
      <c r="Z504" s="6">
        <f ca="1">('TUSD BE'!$AM$30+'TUSD BF'!$AM$30+'TUSD CVA'!$AM$30)*1</f>
        <v>768.15079035142571</v>
      </c>
      <c r="AA504" s="6">
        <f>('TE BE'!$AB$11+'TE BF'!$AB$11+'TE CVA'!$AB$11)*1</f>
        <v>222.39386487986414</v>
      </c>
      <c r="AB504" s="6">
        <f>$K$504*$V$504</f>
        <v>0</v>
      </c>
      <c r="AC504" s="6">
        <f>$M$504*$W$504</f>
        <v>245.90902000000003</v>
      </c>
      <c r="AD504" s="6">
        <f>$O$504*$X$504</f>
        <v>93.709220000000002</v>
      </c>
      <c r="AE504" s="6">
        <f>$K$504*$Y$504</f>
        <v>0</v>
      </c>
      <c r="AF504" s="6">
        <f ca="1">$M$504*$Z$504</f>
        <v>296.50620507565031</v>
      </c>
      <c r="AG504" s="6">
        <f>$O$504*$AA$504</f>
        <v>85.844031843627562</v>
      </c>
    </row>
    <row r="505" spans="1:33" ht="11.25" customHeight="1" x14ac:dyDescent="0.3">
      <c r="A505" s="4" t="s">
        <v>21</v>
      </c>
      <c r="B505" s="4" t="s">
        <v>22</v>
      </c>
      <c r="C505" s="4" t="s">
        <v>33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36</v>
      </c>
      <c r="I505" s="5">
        <v>44621</v>
      </c>
      <c r="J505" s="6">
        <v>0</v>
      </c>
      <c r="K505" s="6">
        <v>0</v>
      </c>
      <c r="L505" s="6">
        <v>0.32900000000000001</v>
      </c>
      <c r="M505" s="6">
        <v>0.32900000000000001</v>
      </c>
      <c r="N505" s="6">
        <v>0.32900000000000001</v>
      </c>
      <c r="O505" s="6">
        <v>0.32900000000000001</v>
      </c>
      <c r="P505" s="6">
        <v>0</v>
      </c>
      <c r="Q505" s="4" t="s">
        <v>26</v>
      </c>
      <c r="R505" s="4">
        <v>0</v>
      </c>
      <c r="S505" s="6">
        <v>0</v>
      </c>
      <c r="T505" s="6">
        <v>28</v>
      </c>
      <c r="U505" s="6">
        <v>69</v>
      </c>
      <c r="V505" s="6">
        <f>IF(ISERROR(VLOOKUP($S$505,'TAR FIN'!$A$1:$O$103,15,0)),0,VLOOKUP($S$505,'TAR FIN'!$A$1:$O$103,15,0))</f>
        <v>0</v>
      </c>
      <c r="W505" s="6">
        <f>IF(ISERROR(VLOOKUP($T$505,'TAR FIN'!$A$1:$O$103,15,0)),0,VLOOKUP($T$505,'TAR FIN'!$A$1:$O$103,15,0))</f>
        <v>637.07000000000005</v>
      </c>
      <c r="X505" s="6">
        <f>IF(ISERROR(VLOOKUP($U$505,'TAR FIN'!$A$1:$O$103,15,0)),0,VLOOKUP($U$505,'TAR FIN'!$A$1:$O$103,15,0))</f>
        <v>242.77</v>
      </c>
      <c r="Y505" s="6"/>
      <c r="Z505" s="6">
        <f ca="1">('TUSD BE'!$AM$30+'TUSD BF'!$AM$30+'TUSD CVA'!$AM$30)*1</f>
        <v>768.15079035142571</v>
      </c>
      <c r="AA505" s="6">
        <f>('TE BE'!$AB$11+'TE BF'!$AB$11+'TE CVA'!$AB$11)*1</f>
        <v>222.39386487986414</v>
      </c>
      <c r="AB505" s="6">
        <f>$K$505*$V$505</f>
        <v>0</v>
      </c>
      <c r="AC505" s="6">
        <f>$M$505*$W$505</f>
        <v>209.59603000000001</v>
      </c>
      <c r="AD505" s="6">
        <f>$O$505*$X$505</f>
        <v>79.87133</v>
      </c>
      <c r="AE505" s="6">
        <f>$K$505*$Y$505</f>
        <v>0</v>
      </c>
      <c r="AF505" s="6">
        <f ca="1">$M$505*$Z$505</f>
        <v>252.72161002561907</v>
      </c>
      <c r="AG505" s="6">
        <f>$O$505*$AA$505</f>
        <v>73.167581545475301</v>
      </c>
    </row>
    <row r="506" spans="1:33" ht="11.25" customHeight="1" x14ac:dyDescent="0.3">
      <c r="A506" s="4" t="s">
        <v>21</v>
      </c>
      <c r="B506" s="4" t="s">
        <v>22</v>
      </c>
      <c r="C506" s="4" t="s">
        <v>33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36</v>
      </c>
      <c r="I506" s="5">
        <v>44652</v>
      </c>
      <c r="J506" s="6">
        <v>0</v>
      </c>
      <c r="K506" s="6">
        <v>0</v>
      </c>
      <c r="L506" s="6">
        <v>0.38300000000000001</v>
      </c>
      <c r="M506" s="6">
        <v>0.38300000000000001</v>
      </c>
      <c r="N506" s="6">
        <v>0.38300000000000001</v>
      </c>
      <c r="O506" s="6">
        <v>0.38300000000000001</v>
      </c>
      <c r="P506" s="6">
        <v>0</v>
      </c>
      <c r="Q506" s="4" t="s">
        <v>26</v>
      </c>
      <c r="R506" s="4">
        <v>0</v>
      </c>
      <c r="S506" s="6">
        <v>0</v>
      </c>
      <c r="T506" s="6">
        <v>28</v>
      </c>
      <c r="U506" s="6">
        <v>69</v>
      </c>
      <c r="V506" s="6">
        <f>IF(ISERROR(VLOOKUP($S$506,'TAR FIN'!$A$1:$O$103,15,0)),0,VLOOKUP($S$506,'TAR FIN'!$A$1:$O$103,15,0))</f>
        <v>0</v>
      </c>
      <c r="W506" s="6">
        <f>IF(ISERROR(VLOOKUP($T$506,'TAR FIN'!$A$1:$O$103,15,0)),0,VLOOKUP($T$506,'TAR FIN'!$A$1:$O$103,15,0))</f>
        <v>637.07000000000005</v>
      </c>
      <c r="X506" s="6">
        <f>IF(ISERROR(VLOOKUP($U$506,'TAR FIN'!$A$1:$O$103,15,0)),0,VLOOKUP($U$506,'TAR FIN'!$A$1:$O$103,15,0))</f>
        <v>242.77</v>
      </c>
      <c r="Y506" s="6"/>
      <c r="Z506" s="6">
        <f ca="1">('TUSD BE'!$AM$30+'TUSD BF'!$AM$30+'TUSD CVA'!$AM$30)*1</f>
        <v>768.15079035142571</v>
      </c>
      <c r="AA506" s="6">
        <f>('TE BE'!$AB$11+'TE BF'!$AB$11+'TE CVA'!$AB$11)*1</f>
        <v>222.39386487986414</v>
      </c>
      <c r="AB506" s="6">
        <f>$K$506*$V$506</f>
        <v>0</v>
      </c>
      <c r="AC506" s="6">
        <f>$M$506*$W$506</f>
        <v>243.99781000000002</v>
      </c>
      <c r="AD506" s="6">
        <f>$O$506*$X$506</f>
        <v>92.980910000000009</v>
      </c>
      <c r="AE506" s="6">
        <f>$K$506*$Y$506</f>
        <v>0</v>
      </c>
      <c r="AF506" s="6">
        <f ca="1">$M$506*$Z$506</f>
        <v>294.20175270459606</v>
      </c>
      <c r="AG506" s="6">
        <f>$O$506*$AA$506</f>
        <v>85.176850248987961</v>
      </c>
    </row>
    <row r="507" spans="1:33" ht="11.25" customHeight="1" x14ac:dyDescent="0.3">
      <c r="A507" s="4" t="s">
        <v>21</v>
      </c>
      <c r="B507" s="4" t="s">
        <v>22</v>
      </c>
      <c r="C507" s="4" t="s">
        <v>33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36</v>
      </c>
      <c r="I507" s="5">
        <v>44682</v>
      </c>
      <c r="J507" s="6">
        <v>0</v>
      </c>
      <c r="K507" s="6">
        <v>0</v>
      </c>
      <c r="L507" s="6">
        <v>0.23699999999999999</v>
      </c>
      <c r="M507" s="6">
        <v>0.23699999999999999</v>
      </c>
      <c r="N507" s="6">
        <v>0.23699999999999999</v>
      </c>
      <c r="O507" s="6">
        <v>0.23699999999999999</v>
      </c>
      <c r="P507" s="6">
        <v>0</v>
      </c>
      <c r="Q507" s="4" t="s">
        <v>26</v>
      </c>
      <c r="R507" s="4">
        <v>0</v>
      </c>
      <c r="S507" s="6">
        <v>0</v>
      </c>
      <c r="T507" s="6">
        <v>28</v>
      </c>
      <c r="U507" s="6">
        <v>69</v>
      </c>
      <c r="V507" s="6">
        <f>IF(ISERROR(VLOOKUP($S$507,'TAR FIN'!$A$1:$O$103,15,0)),0,VLOOKUP($S$507,'TAR FIN'!$A$1:$O$103,15,0))</f>
        <v>0</v>
      </c>
      <c r="W507" s="6">
        <f>IF(ISERROR(VLOOKUP($T$507,'TAR FIN'!$A$1:$O$103,15,0)),0,VLOOKUP($T$507,'TAR FIN'!$A$1:$O$103,15,0))</f>
        <v>637.07000000000005</v>
      </c>
      <c r="X507" s="6">
        <f>IF(ISERROR(VLOOKUP($U$507,'TAR FIN'!$A$1:$O$103,15,0)),0,VLOOKUP($U$507,'TAR FIN'!$A$1:$O$103,15,0))</f>
        <v>242.77</v>
      </c>
      <c r="Y507" s="6"/>
      <c r="Z507" s="6">
        <f ca="1">('TUSD BE'!$AM$30+'TUSD BF'!$AM$30+'TUSD CVA'!$AM$30)*1</f>
        <v>768.15079035142571</v>
      </c>
      <c r="AA507" s="6">
        <f>('TE BE'!$AB$11+'TE BF'!$AB$11+'TE CVA'!$AB$11)*1</f>
        <v>222.39386487986414</v>
      </c>
      <c r="AB507" s="6">
        <f>$K$507*$V$507</f>
        <v>0</v>
      </c>
      <c r="AC507" s="6">
        <f>$M$507*$W$507</f>
        <v>150.98559</v>
      </c>
      <c r="AD507" s="6">
        <f>$O$507*$X$507</f>
        <v>57.536490000000001</v>
      </c>
      <c r="AE507" s="6">
        <f>$K$507*$Y$507</f>
        <v>0</v>
      </c>
      <c r="AF507" s="6">
        <f ca="1">$M$507*$Z$507</f>
        <v>182.05173731328787</v>
      </c>
      <c r="AG507" s="6">
        <f>$O$507*$AA$507</f>
        <v>52.707345976527797</v>
      </c>
    </row>
    <row r="508" spans="1:33" ht="11.25" customHeight="1" x14ac:dyDescent="0.3">
      <c r="A508" s="4" t="s">
        <v>21</v>
      </c>
      <c r="B508" s="4" t="s">
        <v>22</v>
      </c>
      <c r="C508" s="4" t="s">
        <v>33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36</v>
      </c>
      <c r="I508" s="5">
        <v>44713</v>
      </c>
      <c r="J508" s="6">
        <v>0</v>
      </c>
      <c r="K508" s="6">
        <v>0</v>
      </c>
      <c r="L508" s="6">
        <v>0.216</v>
      </c>
      <c r="M508" s="6">
        <v>0.216</v>
      </c>
      <c r="N508" s="6">
        <v>0.216</v>
      </c>
      <c r="O508" s="6">
        <v>0.216</v>
      </c>
      <c r="P508" s="6">
        <v>0</v>
      </c>
      <c r="Q508" s="4" t="s">
        <v>26</v>
      </c>
      <c r="R508" s="4">
        <v>0</v>
      </c>
      <c r="S508" s="6">
        <v>0</v>
      </c>
      <c r="T508" s="6">
        <v>28</v>
      </c>
      <c r="U508" s="6">
        <v>69</v>
      </c>
      <c r="V508" s="6">
        <f>IF(ISERROR(VLOOKUP($S$508,'TAR FIN'!$A$1:$O$103,15,0)),0,VLOOKUP($S$508,'TAR FIN'!$A$1:$O$103,15,0))</f>
        <v>0</v>
      </c>
      <c r="W508" s="6">
        <f>IF(ISERROR(VLOOKUP($T$508,'TAR FIN'!$A$1:$O$103,15,0)),0,VLOOKUP($T$508,'TAR FIN'!$A$1:$O$103,15,0))</f>
        <v>637.07000000000005</v>
      </c>
      <c r="X508" s="6">
        <f>IF(ISERROR(VLOOKUP($U$508,'TAR FIN'!$A$1:$O$103,15,0)),0,VLOOKUP($U$508,'TAR FIN'!$A$1:$O$103,15,0))</f>
        <v>242.77</v>
      </c>
      <c r="Y508" s="6"/>
      <c r="Z508" s="6">
        <f ca="1">('TUSD BE'!$AM$30+'TUSD BF'!$AM$30+'TUSD CVA'!$AM$30)*1</f>
        <v>768.15079035142571</v>
      </c>
      <c r="AA508" s="6">
        <f>('TE BE'!$AB$11+'TE BF'!$AB$11+'TE CVA'!$AB$11)*1</f>
        <v>222.39386487986414</v>
      </c>
      <c r="AB508" s="6">
        <f>$K$508*$V$508</f>
        <v>0</v>
      </c>
      <c r="AC508" s="6">
        <f>$M$508*$W$508</f>
        <v>137.60712000000001</v>
      </c>
      <c r="AD508" s="6">
        <f>$O$508*$X$508</f>
        <v>52.438320000000004</v>
      </c>
      <c r="AE508" s="6">
        <f>$K$508*$Y$508</f>
        <v>0</v>
      </c>
      <c r="AF508" s="6">
        <f ca="1">$M$508*$Z$508</f>
        <v>165.92057071590796</v>
      </c>
      <c r="AG508" s="6">
        <f>$O$508*$AA$508</f>
        <v>48.037074814050655</v>
      </c>
    </row>
    <row r="509" spans="1:33" ht="11.25" customHeight="1" x14ac:dyDescent="0.3">
      <c r="A509" s="4" t="s">
        <v>21</v>
      </c>
      <c r="B509" s="4" t="s">
        <v>22</v>
      </c>
      <c r="C509" s="4" t="s">
        <v>33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36</v>
      </c>
      <c r="I509" s="5">
        <v>44743</v>
      </c>
      <c r="J509" s="6">
        <v>0</v>
      </c>
      <c r="K509" s="6">
        <v>0</v>
      </c>
      <c r="L509" s="6">
        <v>0.2</v>
      </c>
      <c r="M509" s="6">
        <v>0.2</v>
      </c>
      <c r="N509" s="6">
        <v>0.2</v>
      </c>
      <c r="O509" s="6">
        <v>0.2</v>
      </c>
      <c r="P509" s="6">
        <v>0</v>
      </c>
      <c r="Q509" s="4" t="s">
        <v>26</v>
      </c>
      <c r="R509" s="4">
        <v>0</v>
      </c>
      <c r="S509" s="6">
        <v>0</v>
      </c>
      <c r="T509" s="6">
        <v>28</v>
      </c>
      <c r="U509" s="6">
        <v>69</v>
      </c>
      <c r="V509" s="6">
        <f>IF(ISERROR(VLOOKUP($S$509,'TAR FIN'!$A$1:$O$103,15,0)),0,VLOOKUP($S$509,'TAR FIN'!$A$1:$O$103,15,0))</f>
        <v>0</v>
      </c>
      <c r="W509" s="6">
        <f>IF(ISERROR(VLOOKUP($T$509,'TAR FIN'!$A$1:$O$103,15,0)),0,VLOOKUP($T$509,'TAR FIN'!$A$1:$O$103,15,0))</f>
        <v>637.07000000000005</v>
      </c>
      <c r="X509" s="6">
        <f>IF(ISERROR(VLOOKUP($U$509,'TAR FIN'!$A$1:$O$103,15,0)),0,VLOOKUP($U$509,'TAR FIN'!$A$1:$O$103,15,0))</f>
        <v>242.77</v>
      </c>
      <c r="Y509" s="6"/>
      <c r="Z509" s="6">
        <f ca="1">('TUSD BE'!$AM$30+'TUSD BF'!$AM$30+'TUSD CVA'!$AM$30)*1</f>
        <v>768.15079035142571</v>
      </c>
      <c r="AA509" s="6">
        <f>('TE BE'!$AB$11+'TE BF'!$AB$11+'TE CVA'!$AB$11)*1</f>
        <v>222.39386487986414</v>
      </c>
      <c r="AB509" s="6">
        <f>$K$509*$V$509</f>
        <v>0</v>
      </c>
      <c r="AC509" s="6">
        <f>$M$509*$W$509</f>
        <v>127.41400000000002</v>
      </c>
      <c r="AD509" s="6">
        <f>$O$509*$X$509</f>
        <v>48.554000000000002</v>
      </c>
      <c r="AE509" s="6">
        <f>$K$509*$Y$509</f>
        <v>0</v>
      </c>
      <c r="AF509" s="6">
        <f ca="1">$M$509*$Z$509</f>
        <v>153.63015807028515</v>
      </c>
      <c r="AG509" s="6">
        <f>$O$509*$AA$509</f>
        <v>44.478772975972831</v>
      </c>
    </row>
    <row r="510" spans="1:33" ht="11.25" customHeight="1" x14ac:dyDescent="0.3">
      <c r="A510" s="4" t="s">
        <v>21</v>
      </c>
      <c r="B510" s="4" t="s">
        <v>22</v>
      </c>
      <c r="C510" s="4" t="s">
        <v>33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36</v>
      </c>
      <c r="I510" s="5">
        <v>44774</v>
      </c>
      <c r="J510" s="6">
        <v>0</v>
      </c>
      <c r="K510" s="6">
        <v>0</v>
      </c>
      <c r="L510" s="6">
        <v>0.21299999999999999</v>
      </c>
      <c r="M510" s="6">
        <v>0.21299999999999999</v>
      </c>
      <c r="N510" s="6">
        <v>0.21299999999999999</v>
      </c>
      <c r="O510" s="6">
        <v>0.21299999999999999</v>
      </c>
      <c r="P510" s="6">
        <v>0</v>
      </c>
      <c r="Q510" s="4" t="s">
        <v>26</v>
      </c>
      <c r="R510" s="4">
        <v>0</v>
      </c>
      <c r="S510" s="6">
        <v>0</v>
      </c>
      <c r="T510" s="6">
        <v>28</v>
      </c>
      <c r="U510" s="6">
        <v>69</v>
      </c>
      <c r="V510" s="6">
        <f>IF(ISERROR(VLOOKUP($S$510,'TAR FIN'!$A$1:$O$103,15,0)),0,VLOOKUP($S$510,'TAR FIN'!$A$1:$O$103,15,0))</f>
        <v>0</v>
      </c>
      <c r="W510" s="6">
        <f>IF(ISERROR(VLOOKUP($T$510,'TAR FIN'!$A$1:$O$103,15,0)),0,VLOOKUP($T$510,'TAR FIN'!$A$1:$O$103,15,0))</f>
        <v>637.07000000000005</v>
      </c>
      <c r="X510" s="6">
        <f>IF(ISERROR(VLOOKUP($U$510,'TAR FIN'!$A$1:$O$103,15,0)),0,VLOOKUP($U$510,'TAR FIN'!$A$1:$O$103,15,0))</f>
        <v>242.77</v>
      </c>
      <c r="Y510" s="6"/>
      <c r="Z510" s="6">
        <f ca="1">('TUSD BE'!$AM$30+'TUSD BF'!$AM$30+'TUSD CVA'!$AM$30)*1</f>
        <v>768.15079035142571</v>
      </c>
      <c r="AA510" s="6">
        <f>('TE BE'!$AB$11+'TE BF'!$AB$11+'TE CVA'!$AB$11)*1</f>
        <v>222.39386487986414</v>
      </c>
      <c r="AB510" s="6">
        <f>$K$510*$V$510</f>
        <v>0</v>
      </c>
      <c r="AC510" s="6">
        <f>$M$510*$W$510</f>
        <v>135.69591</v>
      </c>
      <c r="AD510" s="6">
        <f>$O$510*$X$510</f>
        <v>51.710010000000004</v>
      </c>
      <c r="AE510" s="6">
        <f>$K$510*$Y$510</f>
        <v>0</v>
      </c>
      <c r="AF510" s="6">
        <f ca="1">$M$510*$Z$510</f>
        <v>163.61611834485367</v>
      </c>
      <c r="AG510" s="6">
        <f>$O$510*$AA$510</f>
        <v>47.369893219411061</v>
      </c>
    </row>
    <row r="511" spans="1:33" ht="11.25" customHeight="1" x14ac:dyDescent="0.3">
      <c r="A511" s="4" t="s">
        <v>21</v>
      </c>
      <c r="B511" s="4" t="s">
        <v>22</v>
      </c>
      <c r="C511" s="4" t="s">
        <v>33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36</v>
      </c>
      <c r="I511" s="5">
        <v>44805</v>
      </c>
      <c r="J511" s="6">
        <v>0</v>
      </c>
      <c r="K511" s="6">
        <v>0</v>
      </c>
      <c r="L511" s="6">
        <v>0.17599999999999999</v>
      </c>
      <c r="M511" s="6">
        <v>0.17599999999999999</v>
      </c>
      <c r="N511" s="6">
        <v>0.17599999999999999</v>
      </c>
      <c r="O511" s="6">
        <v>0.17599999999999999</v>
      </c>
      <c r="P511" s="6">
        <v>0</v>
      </c>
      <c r="Q511" s="4" t="s">
        <v>26</v>
      </c>
      <c r="R511" s="4">
        <v>0</v>
      </c>
      <c r="S511" s="6">
        <v>0</v>
      </c>
      <c r="T511" s="6">
        <v>28</v>
      </c>
      <c r="U511" s="6">
        <v>69</v>
      </c>
      <c r="V511" s="6">
        <f>IF(ISERROR(VLOOKUP($S$511,'TAR FIN'!$A$1:$O$103,15,0)),0,VLOOKUP($S$511,'TAR FIN'!$A$1:$O$103,15,0))</f>
        <v>0</v>
      </c>
      <c r="W511" s="6">
        <f>IF(ISERROR(VLOOKUP($T$511,'TAR FIN'!$A$1:$O$103,15,0)),0,VLOOKUP($T$511,'TAR FIN'!$A$1:$O$103,15,0))</f>
        <v>637.07000000000005</v>
      </c>
      <c r="X511" s="6">
        <f>IF(ISERROR(VLOOKUP($U$511,'TAR FIN'!$A$1:$O$103,15,0)),0,VLOOKUP($U$511,'TAR FIN'!$A$1:$O$103,15,0))</f>
        <v>242.77</v>
      </c>
      <c r="Y511" s="6"/>
      <c r="Z511" s="6">
        <f ca="1">('TUSD BE'!$AM$30+'TUSD BF'!$AM$30+'TUSD CVA'!$AM$30)*1</f>
        <v>768.15079035142571</v>
      </c>
      <c r="AA511" s="6">
        <f>('TE BE'!$AB$11+'TE BF'!$AB$11+'TE CVA'!$AB$11)*1</f>
        <v>222.39386487986414</v>
      </c>
      <c r="AB511" s="6">
        <f>$K$511*$V$511</f>
        <v>0</v>
      </c>
      <c r="AC511" s="6">
        <f>$M$511*$W$511</f>
        <v>112.12432</v>
      </c>
      <c r="AD511" s="6">
        <f>$O$511*$X$511</f>
        <v>42.727519999999998</v>
      </c>
      <c r="AE511" s="6">
        <f>$K$511*$Y$511</f>
        <v>0</v>
      </c>
      <c r="AF511" s="6">
        <f ca="1">$M$511*$Z$511</f>
        <v>135.19453910185092</v>
      </c>
      <c r="AG511" s="6">
        <f>$O$511*$AA$511</f>
        <v>39.141320218856087</v>
      </c>
    </row>
    <row r="512" spans="1:33" ht="11.25" customHeight="1" x14ac:dyDescent="0.3">
      <c r="A512" s="4" t="s">
        <v>57</v>
      </c>
      <c r="B512" s="4" t="s">
        <v>22</v>
      </c>
      <c r="C512" s="4" t="s">
        <v>33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36</v>
      </c>
      <c r="I512" s="5">
        <v>44835</v>
      </c>
      <c r="J512" s="6">
        <v>0</v>
      </c>
      <c r="K512" s="6">
        <v>0</v>
      </c>
      <c r="L512" s="6">
        <v>0.17599999999999999</v>
      </c>
      <c r="M512" s="6">
        <v>0.17599999999999999</v>
      </c>
      <c r="N512" s="6">
        <v>0.17599999999999999</v>
      </c>
      <c r="O512" s="6">
        <v>0.17599999999999999</v>
      </c>
      <c r="P512" s="6">
        <v>0</v>
      </c>
      <c r="Q512" s="4" t="s">
        <v>26</v>
      </c>
      <c r="R512" s="4">
        <v>0</v>
      </c>
      <c r="S512" s="6">
        <v>0</v>
      </c>
      <c r="T512" s="6">
        <v>28</v>
      </c>
      <c r="U512" s="6">
        <v>69</v>
      </c>
      <c r="V512" s="6">
        <f>IF(ISERROR(VLOOKUP($S$512,'TAR FIN'!$A$1:$O$103,15,0)),0,VLOOKUP($S$512,'TAR FIN'!$A$1:$O$103,15,0))</f>
        <v>0</v>
      </c>
      <c r="W512" s="6">
        <f>IF(ISERROR(VLOOKUP($T$512,'TAR FIN'!$A$1:$O$103,15,0)),0,VLOOKUP($T$512,'TAR FIN'!$A$1:$O$103,15,0))</f>
        <v>637.07000000000005</v>
      </c>
      <c r="X512" s="6">
        <f>IF(ISERROR(VLOOKUP($U$512,'TAR FIN'!$A$1:$O$103,15,0)),0,VLOOKUP($U$512,'TAR FIN'!$A$1:$O$103,15,0))</f>
        <v>242.77</v>
      </c>
      <c r="Y512" s="6"/>
      <c r="Z512" s="6">
        <f ca="1">('TUSD BE'!$AM$30+'TUSD BF'!$AM$30+'TUSD CVA'!$AM$30)*1</f>
        <v>768.15079035142571</v>
      </c>
      <c r="AA512" s="6">
        <f>('TE BE'!$AB$11+'TE BF'!$AB$11+'TE CVA'!$AB$11)*1</f>
        <v>222.39386487986414</v>
      </c>
      <c r="AB512" s="6">
        <f>$K$512*$V$512</f>
        <v>0</v>
      </c>
      <c r="AC512" s="6">
        <f>$M$512*$W$512</f>
        <v>112.12432</v>
      </c>
      <c r="AD512" s="6">
        <f>$O$512*$X$512</f>
        <v>42.727519999999998</v>
      </c>
      <c r="AE512" s="6">
        <f>$K$512*$Y$512</f>
        <v>0</v>
      </c>
      <c r="AF512" s="6">
        <f ca="1">$M$512*$Z$512</f>
        <v>135.19453910185092</v>
      </c>
      <c r="AG512" s="6">
        <f>$O$512*$AA$512</f>
        <v>39.141320218856087</v>
      </c>
    </row>
    <row r="513" spans="1:33" ht="11.25" customHeight="1" x14ac:dyDescent="0.3">
      <c r="A513" s="4" t="s">
        <v>21</v>
      </c>
      <c r="B513" s="4" t="s">
        <v>22</v>
      </c>
      <c r="C513" s="4" t="s">
        <v>33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34</v>
      </c>
      <c r="I513" s="5">
        <v>44501</v>
      </c>
      <c r="J513" s="6">
        <v>0</v>
      </c>
      <c r="K513" s="6">
        <v>0</v>
      </c>
      <c r="L513" s="6">
        <v>0.53500000000000003</v>
      </c>
      <c r="M513" s="6">
        <v>0.53500000000000003</v>
      </c>
      <c r="N513" s="6">
        <v>0.53500000000000003</v>
      </c>
      <c r="O513" s="6">
        <v>0.53500000000000003</v>
      </c>
      <c r="P513" s="6">
        <v>0</v>
      </c>
      <c r="Q513" s="4" t="s">
        <v>26</v>
      </c>
      <c r="R513" s="4">
        <v>0</v>
      </c>
      <c r="S513" s="6">
        <v>0</v>
      </c>
      <c r="T513" s="6">
        <v>27</v>
      </c>
      <c r="U513" s="6">
        <v>68</v>
      </c>
      <c r="V513" s="6">
        <f>IF(ISERROR(VLOOKUP($S$513,'TAR FIN'!$A$1:$O$103,15,0)),0,VLOOKUP($S$513,'TAR FIN'!$A$1:$O$103,15,0))</f>
        <v>0</v>
      </c>
      <c r="W513" s="6">
        <f>IF(ISERROR(VLOOKUP($T$513,'TAR FIN'!$A$1:$O$103,15,0)),0,VLOOKUP($T$513,'TAR FIN'!$A$1:$O$103,15,0))</f>
        <v>989.37</v>
      </c>
      <c r="X513" s="6">
        <f>IF(ISERROR(VLOOKUP($U$513,'TAR FIN'!$A$1:$O$103,15,0)),0,VLOOKUP($U$513,'TAR FIN'!$A$1:$O$103,15,0))</f>
        <v>391.54</v>
      </c>
      <c r="Y513" s="6"/>
      <c r="Z513" s="6">
        <f ca="1">('TUSD BE'!$AM$29+'TUSD BF'!$AM$29+'TUSD CVA'!$AM$29)*1</f>
        <v>1159.6333187646212</v>
      </c>
      <c r="AA513" s="6">
        <f>('TE BE'!$AB$10+'TE BF'!$AB$10+'TE CVA'!$AB$10)*1</f>
        <v>361.95264704220779</v>
      </c>
      <c r="AB513" s="6">
        <f>$K$513*$V$513</f>
        <v>0</v>
      </c>
      <c r="AC513" s="6">
        <f>$M$513*$W$513</f>
        <v>529.31295</v>
      </c>
      <c r="AD513" s="6">
        <f>$O$513*$X$513</f>
        <v>209.47390000000001</v>
      </c>
      <c r="AE513" s="6">
        <f>$K$513*$Y$513</f>
        <v>0</v>
      </c>
      <c r="AF513" s="6">
        <f ca="1">$M$513*$Z$513</f>
        <v>620.40382553907239</v>
      </c>
      <c r="AG513" s="6">
        <f>$O$513*$AA$513</f>
        <v>193.64466616758116</v>
      </c>
    </row>
    <row r="514" spans="1:33" ht="11.25" customHeight="1" x14ac:dyDescent="0.3">
      <c r="A514" s="4" t="s">
        <v>21</v>
      </c>
      <c r="B514" s="4" t="s">
        <v>22</v>
      </c>
      <c r="C514" s="4" t="s">
        <v>33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34</v>
      </c>
      <c r="I514" s="5">
        <v>44531</v>
      </c>
      <c r="J514" s="6">
        <v>0</v>
      </c>
      <c r="K514" s="6">
        <v>0</v>
      </c>
      <c r="L514" s="6">
        <v>0.55100000000000005</v>
      </c>
      <c r="M514" s="6">
        <v>0.55100000000000005</v>
      </c>
      <c r="N514" s="6">
        <v>0.55100000000000005</v>
      </c>
      <c r="O514" s="6">
        <v>0.55100000000000005</v>
      </c>
      <c r="P514" s="6">
        <v>0</v>
      </c>
      <c r="Q514" s="4" t="s">
        <v>26</v>
      </c>
      <c r="R514" s="4">
        <v>0</v>
      </c>
      <c r="S514" s="6">
        <v>0</v>
      </c>
      <c r="T514" s="6">
        <v>27</v>
      </c>
      <c r="U514" s="6">
        <v>68</v>
      </c>
      <c r="V514" s="6">
        <f>IF(ISERROR(VLOOKUP($S$514,'TAR FIN'!$A$1:$O$103,15,0)),0,VLOOKUP($S$514,'TAR FIN'!$A$1:$O$103,15,0))</f>
        <v>0</v>
      </c>
      <c r="W514" s="6">
        <f>IF(ISERROR(VLOOKUP($T$514,'TAR FIN'!$A$1:$O$103,15,0)),0,VLOOKUP($T$514,'TAR FIN'!$A$1:$O$103,15,0))</f>
        <v>989.37</v>
      </c>
      <c r="X514" s="6">
        <f>IF(ISERROR(VLOOKUP($U$514,'TAR FIN'!$A$1:$O$103,15,0)),0,VLOOKUP($U$514,'TAR FIN'!$A$1:$O$103,15,0))</f>
        <v>391.54</v>
      </c>
      <c r="Y514" s="6"/>
      <c r="Z514" s="6">
        <f ca="1">('TUSD BE'!$AM$29+'TUSD BF'!$AM$29+'TUSD CVA'!$AM$29)*1</f>
        <v>1159.6333187646212</v>
      </c>
      <c r="AA514" s="6">
        <f>('TE BE'!$AB$10+'TE BF'!$AB$10+'TE CVA'!$AB$10)*1</f>
        <v>361.95264704220779</v>
      </c>
      <c r="AB514" s="6">
        <f>$K$514*$V$514</f>
        <v>0</v>
      </c>
      <c r="AC514" s="6">
        <f>$M$514*$W$514</f>
        <v>545.14287000000002</v>
      </c>
      <c r="AD514" s="6">
        <f>$O$514*$X$514</f>
        <v>215.73854000000003</v>
      </c>
      <c r="AE514" s="6">
        <f>$K$514*$Y$514</f>
        <v>0</v>
      </c>
      <c r="AF514" s="6">
        <f ca="1">$M$514*$Z$514</f>
        <v>638.9579586393063</v>
      </c>
      <c r="AG514" s="6">
        <f>$O$514*$AA$514</f>
        <v>199.4359085202565</v>
      </c>
    </row>
    <row r="515" spans="1:33" ht="11.25" customHeight="1" x14ac:dyDescent="0.3">
      <c r="A515" s="4" t="s">
        <v>21</v>
      </c>
      <c r="B515" s="4" t="s">
        <v>22</v>
      </c>
      <c r="C515" s="4" t="s">
        <v>33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34</v>
      </c>
      <c r="I515" s="5">
        <v>44562</v>
      </c>
      <c r="J515" s="6">
        <v>0</v>
      </c>
      <c r="K515" s="6">
        <v>0</v>
      </c>
      <c r="L515" s="6">
        <v>0.56399999999999995</v>
      </c>
      <c r="M515" s="6">
        <v>0.56399999999999995</v>
      </c>
      <c r="N515" s="6">
        <v>0.56399999999999995</v>
      </c>
      <c r="O515" s="6">
        <v>0.56399999999999995</v>
      </c>
      <c r="P515" s="6">
        <v>0</v>
      </c>
      <c r="Q515" s="4" t="s">
        <v>26</v>
      </c>
      <c r="R515" s="4">
        <v>0</v>
      </c>
      <c r="S515" s="6">
        <v>0</v>
      </c>
      <c r="T515" s="6">
        <v>27</v>
      </c>
      <c r="U515" s="6">
        <v>68</v>
      </c>
      <c r="V515" s="6">
        <f>IF(ISERROR(VLOOKUP($S$515,'TAR FIN'!$A$1:$O$103,15,0)),0,VLOOKUP($S$515,'TAR FIN'!$A$1:$O$103,15,0))</f>
        <v>0</v>
      </c>
      <c r="W515" s="6">
        <f>IF(ISERROR(VLOOKUP($T$515,'TAR FIN'!$A$1:$O$103,15,0)),0,VLOOKUP($T$515,'TAR FIN'!$A$1:$O$103,15,0))</f>
        <v>989.37</v>
      </c>
      <c r="X515" s="6">
        <f>IF(ISERROR(VLOOKUP($U$515,'TAR FIN'!$A$1:$O$103,15,0)),0,VLOOKUP($U$515,'TAR FIN'!$A$1:$O$103,15,0))</f>
        <v>391.54</v>
      </c>
      <c r="Y515" s="6"/>
      <c r="Z515" s="6">
        <f ca="1">('TUSD BE'!$AM$29+'TUSD BF'!$AM$29+'TUSD CVA'!$AM$29)*1</f>
        <v>1159.6333187646212</v>
      </c>
      <c r="AA515" s="6">
        <f>('TE BE'!$AB$10+'TE BF'!$AB$10+'TE CVA'!$AB$10)*1</f>
        <v>361.95264704220779</v>
      </c>
      <c r="AB515" s="6">
        <f>$K$515*$V$515</f>
        <v>0</v>
      </c>
      <c r="AC515" s="6">
        <f>$M$515*$W$515</f>
        <v>558.00467999999989</v>
      </c>
      <c r="AD515" s="6">
        <f>$O$515*$X$515</f>
        <v>220.82855999999998</v>
      </c>
      <c r="AE515" s="6">
        <f>$K$515*$Y$515</f>
        <v>0</v>
      </c>
      <c r="AF515" s="6">
        <f ca="1">$M$515*$Z$515</f>
        <v>654.03319178324625</v>
      </c>
      <c r="AG515" s="6">
        <f>$O$515*$AA$515</f>
        <v>204.14129293180517</v>
      </c>
    </row>
    <row r="516" spans="1:33" ht="11.25" customHeight="1" x14ac:dyDescent="0.3">
      <c r="A516" s="4" t="s">
        <v>21</v>
      </c>
      <c r="B516" s="4" t="s">
        <v>22</v>
      </c>
      <c r="C516" s="4" t="s">
        <v>33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34</v>
      </c>
      <c r="I516" s="5">
        <v>44593</v>
      </c>
      <c r="J516" s="6">
        <v>0</v>
      </c>
      <c r="K516" s="6">
        <v>0</v>
      </c>
      <c r="L516" s="6">
        <v>0.57899999999999996</v>
      </c>
      <c r="M516" s="6">
        <v>0.57899999999999996</v>
      </c>
      <c r="N516" s="6">
        <v>0.57899999999999996</v>
      </c>
      <c r="O516" s="6">
        <v>0.57899999999999996</v>
      </c>
      <c r="P516" s="6">
        <v>0</v>
      </c>
      <c r="Q516" s="4" t="s">
        <v>26</v>
      </c>
      <c r="R516" s="4">
        <v>0</v>
      </c>
      <c r="S516" s="6">
        <v>0</v>
      </c>
      <c r="T516" s="6">
        <v>27</v>
      </c>
      <c r="U516" s="6">
        <v>68</v>
      </c>
      <c r="V516" s="6">
        <f>IF(ISERROR(VLOOKUP($S$516,'TAR FIN'!$A$1:$O$103,15,0)),0,VLOOKUP($S$516,'TAR FIN'!$A$1:$O$103,15,0))</f>
        <v>0</v>
      </c>
      <c r="W516" s="6">
        <f>IF(ISERROR(VLOOKUP($T$516,'TAR FIN'!$A$1:$O$103,15,0)),0,VLOOKUP($T$516,'TAR FIN'!$A$1:$O$103,15,0))</f>
        <v>989.37</v>
      </c>
      <c r="X516" s="6">
        <f>IF(ISERROR(VLOOKUP($U$516,'TAR FIN'!$A$1:$O$103,15,0)),0,VLOOKUP($U$516,'TAR FIN'!$A$1:$O$103,15,0))</f>
        <v>391.54</v>
      </c>
      <c r="Y516" s="6"/>
      <c r="Z516" s="6">
        <f ca="1">('TUSD BE'!$AM$29+'TUSD BF'!$AM$29+'TUSD CVA'!$AM$29)*1</f>
        <v>1159.6333187646212</v>
      </c>
      <c r="AA516" s="6">
        <f>('TE BE'!$AB$10+'TE BF'!$AB$10+'TE CVA'!$AB$10)*1</f>
        <v>361.95264704220779</v>
      </c>
      <c r="AB516" s="6">
        <f>$K$516*$V$516</f>
        <v>0</v>
      </c>
      <c r="AC516" s="6">
        <f>$M$516*$W$516</f>
        <v>572.84523000000002</v>
      </c>
      <c r="AD516" s="6">
        <f>$O$516*$X$516</f>
        <v>226.70166</v>
      </c>
      <c r="AE516" s="6">
        <f>$K$516*$Y$516</f>
        <v>0</v>
      </c>
      <c r="AF516" s="6">
        <f ca="1">$M$516*$Z$516</f>
        <v>671.42769156471559</v>
      </c>
      <c r="AG516" s="6">
        <f>$O$516*$AA$516</f>
        <v>209.57058263743829</v>
      </c>
    </row>
    <row r="517" spans="1:33" ht="11.25" customHeight="1" x14ac:dyDescent="0.3">
      <c r="A517" s="4" t="s">
        <v>21</v>
      </c>
      <c r="B517" s="4" t="s">
        <v>22</v>
      </c>
      <c r="C517" s="4" t="s">
        <v>33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34</v>
      </c>
      <c r="I517" s="5">
        <v>44621</v>
      </c>
      <c r="J517" s="6">
        <v>0</v>
      </c>
      <c r="K517" s="6">
        <v>0</v>
      </c>
      <c r="L517" s="6">
        <v>0.49299999999999999</v>
      </c>
      <c r="M517" s="6">
        <v>0.49299999999999999</v>
      </c>
      <c r="N517" s="6">
        <v>0.49299999999999999</v>
      </c>
      <c r="O517" s="6">
        <v>0.49299999999999999</v>
      </c>
      <c r="P517" s="6">
        <v>0</v>
      </c>
      <c r="Q517" s="4" t="s">
        <v>26</v>
      </c>
      <c r="R517" s="4">
        <v>0</v>
      </c>
      <c r="S517" s="6">
        <v>0</v>
      </c>
      <c r="T517" s="6">
        <v>27</v>
      </c>
      <c r="U517" s="6">
        <v>68</v>
      </c>
      <c r="V517" s="6">
        <f>IF(ISERROR(VLOOKUP($S$517,'TAR FIN'!$A$1:$O$103,15,0)),0,VLOOKUP($S$517,'TAR FIN'!$A$1:$O$103,15,0))</f>
        <v>0</v>
      </c>
      <c r="W517" s="6">
        <f>IF(ISERROR(VLOOKUP($T$517,'TAR FIN'!$A$1:$O$103,15,0)),0,VLOOKUP($T$517,'TAR FIN'!$A$1:$O$103,15,0))</f>
        <v>989.37</v>
      </c>
      <c r="X517" s="6">
        <f>IF(ISERROR(VLOOKUP($U$517,'TAR FIN'!$A$1:$O$103,15,0)),0,VLOOKUP($U$517,'TAR FIN'!$A$1:$O$103,15,0))</f>
        <v>391.54</v>
      </c>
      <c r="Y517" s="6"/>
      <c r="Z517" s="6">
        <f ca="1">('TUSD BE'!$AM$29+'TUSD BF'!$AM$29+'TUSD CVA'!$AM$29)*1</f>
        <v>1159.6333187646212</v>
      </c>
      <c r="AA517" s="6">
        <f>('TE BE'!$AB$10+'TE BF'!$AB$10+'TE CVA'!$AB$10)*1</f>
        <v>361.95264704220779</v>
      </c>
      <c r="AB517" s="6">
        <f>$K$517*$V$517</f>
        <v>0</v>
      </c>
      <c r="AC517" s="6">
        <f>$M$517*$W$517</f>
        <v>487.75941</v>
      </c>
      <c r="AD517" s="6">
        <f>$O$517*$X$517</f>
        <v>193.02922000000001</v>
      </c>
      <c r="AE517" s="6">
        <f>$K$517*$Y$517</f>
        <v>0</v>
      </c>
      <c r="AF517" s="6">
        <f ca="1">$M$517*$Z$517</f>
        <v>571.69922615095822</v>
      </c>
      <c r="AG517" s="6">
        <f>$O$517*$AA$517</f>
        <v>178.44265499180844</v>
      </c>
    </row>
    <row r="518" spans="1:33" ht="11.25" customHeight="1" x14ac:dyDescent="0.3">
      <c r="A518" s="4" t="s">
        <v>21</v>
      </c>
      <c r="B518" s="4" t="s">
        <v>22</v>
      </c>
      <c r="C518" s="4" t="s">
        <v>33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34</v>
      </c>
      <c r="I518" s="5">
        <v>44652</v>
      </c>
      <c r="J518" s="6">
        <v>0</v>
      </c>
      <c r="K518" s="6">
        <v>0</v>
      </c>
      <c r="L518" s="6">
        <v>0.57999999999999996</v>
      </c>
      <c r="M518" s="6">
        <v>0.57999999999999996</v>
      </c>
      <c r="N518" s="6">
        <v>0.57999999999999996</v>
      </c>
      <c r="O518" s="6">
        <v>0.57999999999999996</v>
      </c>
      <c r="P518" s="6">
        <v>0</v>
      </c>
      <c r="Q518" s="4" t="s">
        <v>26</v>
      </c>
      <c r="R518" s="4">
        <v>0</v>
      </c>
      <c r="S518" s="6">
        <v>0</v>
      </c>
      <c r="T518" s="6">
        <v>27</v>
      </c>
      <c r="U518" s="6">
        <v>68</v>
      </c>
      <c r="V518" s="6">
        <f>IF(ISERROR(VLOOKUP($S$518,'TAR FIN'!$A$1:$O$103,15,0)),0,VLOOKUP($S$518,'TAR FIN'!$A$1:$O$103,15,0))</f>
        <v>0</v>
      </c>
      <c r="W518" s="6">
        <f>IF(ISERROR(VLOOKUP($T$518,'TAR FIN'!$A$1:$O$103,15,0)),0,VLOOKUP($T$518,'TAR FIN'!$A$1:$O$103,15,0))</f>
        <v>989.37</v>
      </c>
      <c r="X518" s="6">
        <f>IF(ISERROR(VLOOKUP($U$518,'TAR FIN'!$A$1:$O$103,15,0)),0,VLOOKUP($U$518,'TAR FIN'!$A$1:$O$103,15,0))</f>
        <v>391.54</v>
      </c>
      <c r="Y518" s="6"/>
      <c r="Z518" s="6">
        <f ca="1">('TUSD BE'!$AM$29+'TUSD BF'!$AM$29+'TUSD CVA'!$AM$29)*1</f>
        <v>1159.6333187646212</v>
      </c>
      <c r="AA518" s="6">
        <f>('TE BE'!$AB$10+'TE BF'!$AB$10+'TE CVA'!$AB$10)*1</f>
        <v>361.95264704220779</v>
      </c>
      <c r="AB518" s="6">
        <f>$K$518*$V$518</f>
        <v>0</v>
      </c>
      <c r="AC518" s="6">
        <f>$M$518*$W$518</f>
        <v>573.83459999999991</v>
      </c>
      <c r="AD518" s="6">
        <f>$O$518*$X$518</f>
        <v>227.0932</v>
      </c>
      <c r="AE518" s="6">
        <f>$K$518*$Y$518</f>
        <v>0</v>
      </c>
      <c r="AF518" s="6">
        <f ca="1">$M$518*$Z$518</f>
        <v>672.58732488348028</v>
      </c>
      <c r="AG518" s="6">
        <f>$O$518*$AA$518</f>
        <v>209.93253528448051</v>
      </c>
    </row>
    <row r="519" spans="1:33" ht="11.25" customHeight="1" x14ac:dyDescent="0.3">
      <c r="A519" s="4" t="s">
        <v>21</v>
      </c>
      <c r="B519" s="4" t="s">
        <v>22</v>
      </c>
      <c r="C519" s="4" t="s">
        <v>33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34</v>
      </c>
      <c r="I519" s="5">
        <v>44682</v>
      </c>
      <c r="J519" s="6">
        <v>0</v>
      </c>
      <c r="K519" s="6">
        <v>0</v>
      </c>
      <c r="L519" s="6">
        <v>0.36099999999999999</v>
      </c>
      <c r="M519" s="6">
        <v>0.36099999999999999</v>
      </c>
      <c r="N519" s="6">
        <v>0.36099999999999999</v>
      </c>
      <c r="O519" s="6">
        <v>0.36099999999999999</v>
      </c>
      <c r="P519" s="6">
        <v>0</v>
      </c>
      <c r="Q519" s="4" t="s">
        <v>26</v>
      </c>
      <c r="R519" s="4">
        <v>0</v>
      </c>
      <c r="S519" s="6">
        <v>0</v>
      </c>
      <c r="T519" s="6">
        <v>27</v>
      </c>
      <c r="U519" s="6">
        <v>68</v>
      </c>
      <c r="V519" s="6">
        <f>IF(ISERROR(VLOOKUP($S$519,'TAR FIN'!$A$1:$O$103,15,0)),0,VLOOKUP($S$519,'TAR FIN'!$A$1:$O$103,15,0))</f>
        <v>0</v>
      </c>
      <c r="W519" s="6">
        <f>IF(ISERROR(VLOOKUP($T$519,'TAR FIN'!$A$1:$O$103,15,0)),0,VLOOKUP($T$519,'TAR FIN'!$A$1:$O$103,15,0))</f>
        <v>989.37</v>
      </c>
      <c r="X519" s="6">
        <f>IF(ISERROR(VLOOKUP($U$519,'TAR FIN'!$A$1:$O$103,15,0)),0,VLOOKUP($U$519,'TAR FIN'!$A$1:$O$103,15,0))</f>
        <v>391.54</v>
      </c>
      <c r="Y519" s="6"/>
      <c r="Z519" s="6">
        <f ca="1">('TUSD BE'!$AM$29+'TUSD BF'!$AM$29+'TUSD CVA'!$AM$29)*1</f>
        <v>1159.6333187646212</v>
      </c>
      <c r="AA519" s="6">
        <f>('TE BE'!$AB$10+'TE BF'!$AB$10+'TE CVA'!$AB$10)*1</f>
        <v>361.95264704220779</v>
      </c>
      <c r="AB519" s="6">
        <f>$K$519*$V$519</f>
        <v>0</v>
      </c>
      <c r="AC519" s="6">
        <f>$M$519*$W$519</f>
        <v>357.16257000000002</v>
      </c>
      <c r="AD519" s="6">
        <f>$O$519*$X$519</f>
        <v>141.34594000000001</v>
      </c>
      <c r="AE519" s="6">
        <f>$K$519*$Y$519</f>
        <v>0</v>
      </c>
      <c r="AF519" s="6">
        <f ca="1">$M$519*$Z$519</f>
        <v>418.62762807402822</v>
      </c>
      <c r="AG519" s="6">
        <f>$O$519*$AA$519</f>
        <v>130.664905582237</v>
      </c>
    </row>
    <row r="520" spans="1:33" ht="11.25" customHeight="1" x14ac:dyDescent="0.3">
      <c r="A520" s="4" t="s">
        <v>21</v>
      </c>
      <c r="B520" s="4" t="s">
        <v>22</v>
      </c>
      <c r="C520" s="4" t="s">
        <v>33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34</v>
      </c>
      <c r="I520" s="5">
        <v>44713</v>
      </c>
      <c r="J520" s="6">
        <v>0</v>
      </c>
      <c r="K520" s="6">
        <v>0</v>
      </c>
      <c r="L520" s="6">
        <v>0.32800000000000001</v>
      </c>
      <c r="M520" s="6">
        <v>0.32800000000000001</v>
      </c>
      <c r="N520" s="6">
        <v>0.32800000000000001</v>
      </c>
      <c r="O520" s="6">
        <v>0.32800000000000001</v>
      </c>
      <c r="P520" s="6">
        <v>0</v>
      </c>
      <c r="Q520" s="4" t="s">
        <v>26</v>
      </c>
      <c r="R520" s="4">
        <v>0</v>
      </c>
      <c r="S520" s="6">
        <v>0</v>
      </c>
      <c r="T520" s="6">
        <v>27</v>
      </c>
      <c r="U520" s="6">
        <v>68</v>
      </c>
      <c r="V520" s="6">
        <f>IF(ISERROR(VLOOKUP($S$520,'TAR FIN'!$A$1:$O$103,15,0)),0,VLOOKUP($S$520,'TAR FIN'!$A$1:$O$103,15,0))</f>
        <v>0</v>
      </c>
      <c r="W520" s="6">
        <f>IF(ISERROR(VLOOKUP($T$520,'TAR FIN'!$A$1:$O$103,15,0)),0,VLOOKUP($T$520,'TAR FIN'!$A$1:$O$103,15,0))</f>
        <v>989.37</v>
      </c>
      <c r="X520" s="6">
        <f>IF(ISERROR(VLOOKUP($U$520,'TAR FIN'!$A$1:$O$103,15,0)),0,VLOOKUP($U$520,'TAR FIN'!$A$1:$O$103,15,0))</f>
        <v>391.54</v>
      </c>
      <c r="Y520" s="6"/>
      <c r="Z520" s="6">
        <f ca="1">('TUSD BE'!$AM$29+'TUSD BF'!$AM$29+'TUSD CVA'!$AM$29)*1</f>
        <v>1159.6333187646212</v>
      </c>
      <c r="AA520" s="6">
        <f>('TE BE'!$AB$10+'TE BF'!$AB$10+'TE CVA'!$AB$10)*1</f>
        <v>361.95264704220779</v>
      </c>
      <c r="AB520" s="6">
        <f>$K$520*$V$520</f>
        <v>0</v>
      </c>
      <c r="AC520" s="6">
        <f>$M$520*$W$520</f>
        <v>324.51336000000003</v>
      </c>
      <c r="AD520" s="6">
        <f>$O$520*$X$520</f>
        <v>128.42512000000002</v>
      </c>
      <c r="AE520" s="6">
        <f>$K$520*$Y$520</f>
        <v>0</v>
      </c>
      <c r="AF520" s="6">
        <f ca="1">$M$520*$Z$520</f>
        <v>380.35972855479577</v>
      </c>
      <c r="AG520" s="6">
        <f>$O$520*$AA$520</f>
        <v>118.72046822984416</v>
      </c>
    </row>
    <row r="521" spans="1:33" ht="11.25" customHeight="1" x14ac:dyDescent="0.3">
      <c r="A521" s="4" t="s">
        <v>21</v>
      </c>
      <c r="B521" s="4" t="s">
        <v>22</v>
      </c>
      <c r="C521" s="4" t="s">
        <v>33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34</v>
      </c>
      <c r="I521" s="5">
        <v>44743</v>
      </c>
      <c r="J521" s="6">
        <v>0</v>
      </c>
      <c r="K521" s="6">
        <v>0</v>
      </c>
      <c r="L521" s="6">
        <v>0.32200000000000001</v>
      </c>
      <c r="M521" s="6">
        <v>0.32200000000000001</v>
      </c>
      <c r="N521" s="6">
        <v>0.32200000000000001</v>
      </c>
      <c r="O521" s="6">
        <v>0.32200000000000001</v>
      </c>
      <c r="P521" s="6">
        <v>0</v>
      </c>
      <c r="Q521" s="4" t="s">
        <v>26</v>
      </c>
      <c r="R521" s="4">
        <v>0</v>
      </c>
      <c r="S521" s="6">
        <v>0</v>
      </c>
      <c r="T521" s="6">
        <v>27</v>
      </c>
      <c r="U521" s="6">
        <v>68</v>
      </c>
      <c r="V521" s="6">
        <f>IF(ISERROR(VLOOKUP($S$521,'TAR FIN'!$A$1:$O$103,15,0)),0,VLOOKUP($S$521,'TAR FIN'!$A$1:$O$103,15,0))</f>
        <v>0</v>
      </c>
      <c r="W521" s="6">
        <f>IF(ISERROR(VLOOKUP($T$521,'TAR FIN'!$A$1:$O$103,15,0)),0,VLOOKUP($T$521,'TAR FIN'!$A$1:$O$103,15,0))</f>
        <v>989.37</v>
      </c>
      <c r="X521" s="6">
        <f>IF(ISERROR(VLOOKUP($U$521,'TAR FIN'!$A$1:$O$103,15,0)),0,VLOOKUP($U$521,'TAR FIN'!$A$1:$O$103,15,0))</f>
        <v>391.54</v>
      </c>
      <c r="Y521" s="6"/>
      <c r="Z521" s="6">
        <f ca="1">('TUSD BE'!$AM$29+'TUSD BF'!$AM$29+'TUSD CVA'!$AM$29)*1</f>
        <v>1159.6333187646212</v>
      </c>
      <c r="AA521" s="6">
        <f>('TE BE'!$AB$10+'TE BF'!$AB$10+'TE CVA'!$AB$10)*1</f>
        <v>361.95264704220779</v>
      </c>
      <c r="AB521" s="6">
        <f>$K$521*$V$521</f>
        <v>0</v>
      </c>
      <c r="AC521" s="6">
        <f>$M$521*$W$521</f>
        <v>318.57713999999999</v>
      </c>
      <c r="AD521" s="6">
        <f>$O$521*$X$521</f>
        <v>126.07588000000001</v>
      </c>
      <c r="AE521" s="6">
        <f>$K$521*$Y$521</f>
        <v>0</v>
      </c>
      <c r="AF521" s="6">
        <f ca="1">$M$521*$Z$521</f>
        <v>373.40192864220802</v>
      </c>
      <c r="AG521" s="6">
        <f>$O$521*$AA$521</f>
        <v>116.54875234759091</v>
      </c>
    </row>
    <row r="522" spans="1:33" ht="11.25" customHeight="1" x14ac:dyDescent="0.3">
      <c r="A522" s="4" t="s">
        <v>21</v>
      </c>
      <c r="B522" s="4" t="s">
        <v>22</v>
      </c>
      <c r="C522" s="4" t="s">
        <v>33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34</v>
      </c>
      <c r="I522" s="5">
        <v>44774</v>
      </c>
      <c r="J522" s="6">
        <v>0</v>
      </c>
      <c r="K522" s="6">
        <v>0</v>
      </c>
      <c r="L522" s="6">
        <v>0.33700000000000002</v>
      </c>
      <c r="M522" s="6">
        <v>0.33700000000000002</v>
      </c>
      <c r="N522" s="6">
        <v>0.33700000000000002</v>
      </c>
      <c r="O522" s="6">
        <v>0.33700000000000002</v>
      </c>
      <c r="P522" s="6">
        <v>0</v>
      </c>
      <c r="Q522" s="4" t="s">
        <v>26</v>
      </c>
      <c r="R522" s="4">
        <v>0</v>
      </c>
      <c r="S522" s="6">
        <v>0</v>
      </c>
      <c r="T522" s="6">
        <v>27</v>
      </c>
      <c r="U522" s="6">
        <v>68</v>
      </c>
      <c r="V522" s="6">
        <f>IF(ISERROR(VLOOKUP($S$522,'TAR FIN'!$A$1:$O$103,15,0)),0,VLOOKUP($S$522,'TAR FIN'!$A$1:$O$103,15,0))</f>
        <v>0</v>
      </c>
      <c r="W522" s="6">
        <f>IF(ISERROR(VLOOKUP($T$522,'TAR FIN'!$A$1:$O$103,15,0)),0,VLOOKUP($T$522,'TAR FIN'!$A$1:$O$103,15,0))</f>
        <v>989.37</v>
      </c>
      <c r="X522" s="6">
        <f>IF(ISERROR(VLOOKUP($U$522,'TAR FIN'!$A$1:$O$103,15,0)),0,VLOOKUP($U$522,'TAR FIN'!$A$1:$O$103,15,0))</f>
        <v>391.54</v>
      </c>
      <c r="Y522" s="6"/>
      <c r="Z522" s="6">
        <f ca="1">('TUSD BE'!$AM$29+'TUSD BF'!$AM$29+'TUSD CVA'!$AM$29)*1</f>
        <v>1159.6333187646212</v>
      </c>
      <c r="AA522" s="6">
        <f>('TE BE'!$AB$10+'TE BF'!$AB$10+'TE CVA'!$AB$10)*1</f>
        <v>361.95264704220779</v>
      </c>
      <c r="AB522" s="6">
        <f>$K$522*$V$522</f>
        <v>0</v>
      </c>
      <c r="AC522" s="6">
        <f>$M$522*$W$522</f>
        <v>333.41769000000005</v>
      </c>
      <c r="AD522" s="6">
        <f>$O$522*$X$522</f>
        <v>131.94898000000001</v>
      </c>
      <c r="AE522" s="6">
        <f>$K$522*$Y$522</f>
        <v>0</v>
      </c>
      <c r="AF522" s="6">
        <f ca="1">$M$522*$Z$522</f>
        <v>390.79642842367736</v>
      </c>
      <c r="AG522" s="6">
        <f>$O$522*$AA$522</f>
        <v>121.97804205322403</v>
      </c>
    </row>
    <row r="523" spans="1:33" ht="11.25" customHeight="1" x14ac:dyDescent="0.3">
      <c r="A523" s="4" t="s">
        <v>21</v>
      </c>
      <c r="B523" s="4" t="s">
        <v>22</v>
      </c>
      <c r="C523" s="4" t="s">
        <v>33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34</v>
      </c>
      <c r="I523" s="5">
        <v>44805</v>
      </c>
      <c r="J523" s="6">
        <v>0</v>
      </c>
      <c r="K523" s="6">
        <v>0</v>
      </c>
      <c r="L523" s="6">
        <v>0.27500000000000002</v>
      </c>
      <c r="M523" s="6">
        <v>0.27500000000000002</v>
      </c>
      <c r="N523" s="6">
        <v>0.27500000000000002</v>
      </c>
      <c r="O523" s="6">
        <v>0.27500000000000002</v>
      </c>
      <c r="P523" s="6">
        <v>0</v>
      </c>
      <c r="Q523" s="4" t="s">
        <v>26</v>
      </c>
      <c r="R523" s="4">
        <v>0</v>
      </c>
      <c r="S523" s="6">
        <v>0</v>
      </c>
      <c r="T523" s="6">
        <v>27</v>
      </c>
      <c r="U523" s="6">
        <v>68</v>
      </c>
      <c r="V523" s="6">
        <f>IF(ISERROR(VLOOKUP($S$523,'TAR FIN'!$A$1:$O$103,15,0)),0,VLOOKUP($S$523,'TAR FIN'!$A$1:$O$103,15,0))</f>
        <v>0</v>
      </c>
      <c r="W523" s="6">
        <f>IF(ISERROR(VLOOKUP($T$523,'TAR FIN'!$A$1:$O$103,15,0)),0,VLOOKUP($T$523,'TAR FIN'!$A$1:$O$103,15,0))</f>
        <v>989.37</v>
      </c>
      <c r="X523" s="6">
        <f>IF(ISERROR(VLOOKUP($U$523,'TAR FIN'!$A$1:$O$103,15,0)),0,VLOOKUP($U$523,'TAR FIN'!$A$1:$O$103,15,0))</f>
        <v>391.54</v>
      </c>
      <c r="Y523" s="6"/>
      <c r="Z523" s="6">
        <f ca="1">('TUSD BE'!$AM$29+'TUSD BF'!$AM$29+'TUSD CVA'!$AM$29)*1</f>
        <v>1159.6333187646212</v>
      </c>
      <c r="AA523" s="6">
        <f>('TE BE'!$AB$10+'TE BF'!$AB$10+'TE CVA'!$AB$10)*1</f>
        <v>361.95264704220779</v>
      </c>
      <c r="AB523" s="6">
        <f>$K$523*$V$523</f>
        <v>0</v>
      </c>
      <c r="AC523" s="6">
        <f>$M$523*$W$523</f>
        <v>272.07675</v>
      </c>
      <c r="AD523" s="6">
        <f>$O$523*$X$523</f>
        <v>107.67350000000002</v>
      </c>
      <c r="AE523" s="6">
        <f>$K$523*$Y$523</f>
        <v>0</v>
      </c>
      <c r="AF523" s="6">
        <f ca="1">$M$523*$Z$523</f>
        <v>318.89916266027086</v>
      </c>
      <c r="AG523" s="6">
        <f>$O$523*$AA$523</f>
        <v>99.536977936607144</v>
      </c>
    </row>
    <row r="524" spans="1:33" ht="11.25" customHeight="1" x14ac:dyDescent="0.3">
      <c r="A524" s="4" t="s">
        <v>57</v>
      </c>
      <c r="B524" s="4" t="s">
        <v>22</v>
      </c>
      <c r="C524" s="4" t="s">
        <v>33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34</v>
      </c>
      <c r="I524" s="5">
        <v>44835</v>
      </c>
      <c r="J524" s="6">
        <v>0</v>
      </c>
      <c r="K524" s="6">
        <v>0</v>
      </c>
      <c r="L524" s="6">
        <v>0.27500000000000002</v>
      </c>
      <c r="M524" s="6">
        <v>0.27500000000000002</v>
      </c>
      <c r="N524" s="6">
        <v>0.27500000000000002</v>
      </c>
      <c r="O524" s="6">
        <v>0.27500000000000002</v>
      </c>
      <c r="P524" s="6">
        <v>0</v>
      </c>
      <c r="Q524" s="4" t="s">
        <v>26</v>
      </c>
      <c r="R524" s="4">
        <v>0</v>
      </c>
      <c r="S524" s="6">
        <v>0</v>
      </c>
      <c r="T524" s="6">
        <v>27</v>
      </c>
      <c r="U524" s="6">
        <v>68</v>
      </c>
      <c r="V524" s="6">
        <f>IF(ISERROR(VLOOKUP($S$524,'TAR FIN'!$A$1:$O$103,15,0)),0,VLOOKUP($S$524,'TAR FIN'!$A$1:$O$103,15,0))</f>
        <v>0</v>
      </c>
      <c r="W524" s="6">
        <f>IF(ISERROR(VLOOKUP($T$524,'TAR FIN'!$A$1:$O$103,15,0)),0,VLOOKUP($T$524,'TAR FIN'!$A$1:$O$103,15,0))</f>
        <v>989.37</v>
      </c>
      <c r="X524" s="6">
        <f>IF(ISERROR(VLOOKUP($U$524,'TAR FIN'!$A$1:$O$103,15,0)),0,VLOOKUP($U$524,'TAR FIN'!$A$1:$O$103,15,0))</f>
        <v>391.54</v>
      </c>
      <c r="Y524" s="6"/>
      <c r="Z524" s="6">
        <f ca="1">('TUSD BE'!$AM$29+'TUSD BF'!$AM$29+'TUSD CVA'!$AM$29)*1</f>
        <v>1159.6333187646212</v>
      </c>
      <c r="AA524" s="6">
        <f>('TE BE'!$AB$10+'TE BF'!$AB$10+'TE CVA'!$AB$10)*1</f>
        <v>361.95264704220779</v>
      </c>
      <c r="AB524" s="6">
        <f>$K$524*$V$524</f>
        <v>0</v>
      </c>
      <c r="AC524" s="6">
        <f>$M$524*$W$524</f>
        <v>272.07675</v>
      </c>
      <c r="AD524" s="6">
        <f>$O$524*$X$524</f>
        <v>107.67350000000002</v>
      </c>
      <c r="AE524" s="6">
        <f>$K$524*$Y$524</f>
        <v>0</v>
      </c>
      <c r="AF524" s="6">
        <f ca="1">$M$524*$Z$524</f>
        <v>318.89916266027086</v>
      </c>
      <c r="AG524" s="6">
        <f>$O$524*$AA$524</f>
        <v>99.536977936607144</v>
      </c>
    </row>
    <row r="525" spans="1:33" ht="11.25" customHeight="1" x14ac:dyDescent="0.3">
      <c r="A525" s="4" t="s">
        <v>21</v>
      </c>
      <c r="B525" s="4" t="s">
        <v>22</v>
      </c>
      <c r="C525" s="4" t="s">
        <v>23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25</v>
      </c>
      <c r="I525" s="5">
        <v>44501</v>
      </c>
      <c r="J525" s="6">
        <v>0</v>
      </c>
      <c r="K525" s="6">
        <v>0</v>
      </c>
      <c r="L525" s="6">
        <v>4079.2910000000002</v>
      </c>
      <c r="M525" s="6">
        <v>4079.2910000000002</v>
      </c>
      <c r="N525" s="6">
        <v>4079.2910000000002</v>
      </c>
      <c r="O525" s="6">
        <v>4079.2910000000002</v>
      </c>
      <c r="P525" s="6">
        <v>27228</v>
      </c>
      <c r="Q525" s="4" t="s">
        <v>26</v>
      </c>
      <c r="R525" s="4">
        <v>0</v>
      </c>
      <c r="S525" s="6">
        <v>0</v>
      </c>
      <c r="T525" s="6">
        <v>30</v>
      </c>
      <c r="U525" s="6">
        <v>71</v>
      </c>
      <c r="V525" s="6">
        <f>IF(ISERROR(VLOOKUP($S$525,'TAR FIN'!$A$1:$O$103,15,0)),0,VLOOKUP($S$525,'TAR FIN'!$A$1:$O$103,15,0))</f>
        <v>0</v>
      </c>
      <c r="W525" s="6">
        <f>IF(ISERROR(VLOOKUP($T$525,'TAR FIN'!$A$1:$O$103,15,0)),0,VLOOKUP($T$525,'TAR FIN'!$A$1:$O$103,15,0))</f>
        <v>379.62</v>
      </c>
      <c r="X525" s="6">
        <f>IF(ISERROR(VLOOKUP($U$525,'TAR FIN'!$A$1:$O$103,15,0)),0,VLOOKUP($U$525,'TAR FIN'!$A$1:$O$103,15,0))</f>
        <v>255.17</v>
      </c>
      <c r="Y525" s="6"/>
      <c r="Z525" s="6">
        <f ca="1">('TUSD BE'!$AM$32+'TUSD BF'!$AM$32+'TUSD CVA'!$AM$32)*1</f>
        <v>482.06736206829294</v>
      </c>
      <c r="AA525" s="6">
        <f>('TE BE'!$AB$13+'TE BF'!$AB$13+'TE CVA'!$AB$13)*1</f>
        <v>234.02376339339278</v>
      </c>
      <c r="AB525" s="6">
        <f>$K$525*$V$525</f>
        <v>0</v>
      </c>
      <c r="AC525" s="6">
        <f>$M$525*$W$525</f>
        <v>1548580.4494200002</v>
      </c>
      <c r="AD525" s="6">
        <f>$O$525*$X$525</f>
        <v>1040912.68447</v>
      </c>
      <c r="AE525" s="6">
        <f>$K$525*$Y$525</f>
        <v>0</v>
      </c>
      <c r="AF525" s="6">
        <f ca="1">$M$525*$Z$525</f>
        <v>1966493.0514789289</v>
      </c>
      <c r="AG525" s="6">
        <f>$O$525*$AA$525</f>
        <v>954651.03179679671</v>
      </c>
    </row>
    <row r="526" spans="1:33" ht="11.25" customHeight="1" x14ac:dyDescent="0.3">
      <c r="A526" s="4" t="s">
        <v>27</v>
      </c>
      <c r="B526" s="4" t="s">
        <v>22</v>
      </c>
      <c r="C526" s="4" t="s">
        <v>23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25</v>
      </c>
      <c r="I526" s="5">
        <v>44501</v>
      </c>
      <c r="J526" s="6">
        <v>0</v>
      </c>
      <c r="K526" s="6">
        <v>0</v>
      </c>
      <c r="L526" s="6">
        <v>-0.3</v>
      </c>
      <c r="M526" s="6">
        <v>-0.3</v>
      </c>
      <c r="N526" s="6">
        <v>-0.3</v>
      </c>
      <c r="O526" s="6">
        <v>-0.3</v>
      </c>
      <c r="P526" s="6">
        <v>0</v>
      </c>
      <c r="Q526" s="4" t="s">
        <v>26</v>
      </c>
      <c r="R526" s="4">
        <v>0</v>
      </c>
      <c r="S526" s="6">
        <v>0</v>
      </c>
      <c r="T526" s="6">
        <v>30</v>
      </c>
      <c r="U526" s="6">
        <v>71</v>
      </c>
      <c r="V526" s="6">
        <f>IF(ISERROR(VLOOKUP($S$526,'TAR FIN'!$A$1:$O$103,15,0)),0,VLOOKUP($S$526,'TAR FIN'!$A$1:$O$103,15,0))</f>
        <v>0</v>
      </c>
      <c r="W526" s="6">
        <f>IF(ISERROR(VLOOKUP($T$526,'TAR FIN'!$A$1:$O$103,15,0)),0,VLOOKUP($T$526,'TAR FIN'!$A$1:$O$103,15,0))</f>
        <v>379.62</v>
      </c>
      <c r="X526" s="6">
        <f>IF(ISERROR(VLOOKUP($U$526,'TAR FIN'!$A$1:$O$103,15,0)),0,VLOOKUP($U$526,'TAR FIN'!$A$1:$O$103,15,0))</f>
        <v>255.17</v>
      </c>
      <c r="Y526" s="6"/>
      <c r="Z526" s="6">
        <f ca="1">('TUSD BE'!$AM$32+'TUSD BF'!$AM$32+'TUSD CVA'!$AM$32)*1</f>
        <v>482.06736206829294</v>
      </c>
      <c r="AA526" s="6">
        <f>('TE BE'!$AB$13+'TE BF'!$AB$13+'TE CVA'!$AB$13)*1</f>
        <v>234.02376339339278</v>
      </c>
      <c r="AB526" s="6">
        <f>$K$526*$V$526</f>
        <v>0</v>
      </c>
      <c r="AC526" s="6">
        <f>$M$526*$W$526</f>
        <v>-113.886</v>
      </c>
      <c r="AD526" s="6">
        <f>$O$526*$X$526</f>
        <v>-76.550999999999988</v>
      </c>
      <c r="AE526" s="6">
        <f>$K$526*$Y$526</f>
        <v>0</v>
      </c>
      <c r="AF526" s="6">
        <f ca="1">$M$526*$Z$526</f>
        <v>-144.62020862048789</v>
      </c>
      <c r="AG526" s="6">
        <f>$O$526*$AA$526</f>
        <v>-70.207129018017838</v>
      </c>
    </row>
    <row r="527" spans="1:33" ht="11.25" customHeight="1" x14ac:dyDescent="0.3">
      <c r="A527" s="4" t="s">
        <v>28</v>
      </c>
      <c r="B527" s="4" t="s">
        <v>22</v>
      </c>
      <c r="C527" s="4" t="s">
        <v>23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25</v>
      </c>
      <c r="I527" s="5">
        <v>44501</v>
      </c>
      <c r="J527" s="6">
        <v>0</v>
      </c>
      <c r="K527" s="6">
        <v>0</v>
      </c>
      <c r="L527" s="6">
        <v>63.996000000000002</v>
      </c>
      <c r="M527" s="6">
        <v>63.996000000000002</v>
      </c>
      <c r="N527" s="6">
        <v>63.996000000000002</v>
      </c>
      <c r="O527" s="6">
        <v>63.996000000000002</v>
      </c>
      <c r="P527" s="6">
        <v>411</v>
      </c>
      <c r="Q527" s="4" t="s">
        <v>26</v>
      </c>
      <c r="R527" s="4">
        <v>0</v>
      </c>
      <c r="S527" s="6">
        <v>0</v>
      </c>
      <c r="T527" s="6">
        <v>30</v>
      </c>
      <c r="U527" s="6">
        <v>71</v>
      </c>
      <c r="V527" s="6">
        <f>IF(ISERROR(VLOOKUP($S$527,'TAR FIN'!$A$1:$O$103,15,0)),0,VLOOKUP($S$527,'TAR FIN'!$A$1:$O$103,15,0))</f>
        <v>0</v>
      </c>
      <c r="W527" s="6">
        <f>IF(ISERROR(VLOOKUP($T$527,'TAR FIN'!$A$1:$O$103,15,0)),0,VLOOKUP($T$527,'TAR FIN'!$A$1:$O$103,15,0))</f>
        <v>379.62</v>
      </c>
      <c r="X527" s="6">
        <f>IF(ISERROR(VLOOKUP($U$527,'TAR FIN'!$A$1:$O$103,15,0)),0,VLOOKUP($U$527,'TAR FIN'!$A$1:$O$103,15,0))</f>
        <v>255.17</v>
      </c>
      <c r="Y527" s="6"/>
      <c r="Z527" s="6">
        <f ca="1">('TUSD BE'!$AM$32+'TUSD BF'!$AM$32+'TUSD CVA'!$AM$32)*1</f>
        <v>482.06736206829294</v>
      </c>
      <c r="AA527" s="6">
        <f>('TE BE'!$AB$13+'TE BF'!$AB$13+'TE CVA'!$AB$13)*1</f>
        <v>234.02376339339278</v>
      </c>
      <c r="AB527" s="6">
        <f>$K$527*$V$527</f>
        <v>0</v>
      </c>
      <c r="AC527" s="6">
        <f>$M$527*$W$527</f>
        <v>24294.161520000001</v>
      </c>
      <c r="AD527" s="6">
        <f>$O$527*$X$527</f>
        <v>16329.85932</v>
      </c>
      <c r="AE527" s="6">
        <f>$K$527*$Y$527</f>
        <v>0</v>
      </c>
      <c r="AF527" s="6">
        <f ca="1">$M$527*$Z$527</f>
        <v>30850.382902922476</v>
      </c>
      <c r="AG527" s="6">
        <f>$O$527*$AA$527</f>
        <v>14976.584762123564</v>
      </c>
    </row>
    <row r="528" spans="1:33" ht="11.25" customHeight="1" x14ac:dyDescent="0.3">
      <c r="A528" s="4" t="s">
        <v>21</v>
      </c>
      <c r="B528" s="4" t="s">
        <v>22</v>
      </c>
      <c r="C528" s="4" t="s">
        <v>23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25</v>
      </c>
      <c r="I528" s="5">
        <v>44531</v>
      </c>
      <c r="J528" s="6">
        <v>0</v>
      </c>
      <c r="K528" s="6">
        <v>0</v>
      </c>
      <c r="L528" s="6">
        <v>3895.5329999999999</v>
      </c>
      <c r="M528" s="6">
        <v>3895.5329999999999</v>
      </c>
      <c r="N528" s="6">
        <v>3895.5329999999999</v>
      </c>
      <c r="O528" s="6">
        <v>3895.5329999999999</v>
      </c>
      <c r="P528" s="6">
        <v>27118</v>
      </c>
      <c r="Q528" s="4" t="s">
        <v>26</v>
      </c>
      <c r="R528" s="4">
        <v>0</v>
      </c>
      <c r="S528" s="6">
        <v>0</v>
      </c>
      <c r="T528" s="6">
        <v>30</v>
      </c>
      <c r="U528" s="6">
        <v>71</v>
      </c>
      <c r="V528" s="6">
        <f>IF(ISERROR(VLOOKUP($S$528,'TAR FIN'!$A$1:$O$103,15,0)),0,VLOOKUP($S$528,'TAR FIN'!$A$1:$O$103,15,0))</f>
        <v>0</v>
      </c>
      <c r="W528" s="6">
        <f>IF(ISERROR(VLOOKUP($T$528,'TAR FIN'!$A$1:$O$103,15,0)),0,VLOOKUP($T$528,'TAR FIN'!$A$1:$O$103,15,0))</f>
        <v>379.62</v>
      </c>
      <c r="X528" s="6">
        <f>IF(ISERROR(VLOOKUP($U$528,'TAR FIN'!$A$1:$O$103,15,0)),0,VLOOKUP($U$528,'TAR FIN'!$A$1:$O$103,15,0))</f>
        <v>255.17</v>
      </c>
      <c r="Y528" s="6"/>
      <c r="Z528" s="6">
        <f ca="1">('TUSD BE'!$AM$32+'TUSD BF'!$AM$32+'TUSD CVA'!$AM$32)*1</f>
        <v>482.06736206829294</v>
      </c>
      <c r="AA528" s="6">
        <f>('TE BE'!$AB$13+'TE BF'!$AB$13+'TE CVA'!$AB$13)*1</f>
        <v>234.02376339339278</v>
      </c>
      <c r="AB528" s="6">
        <f>$K$528*$V$528</f>
        <v>0</v>
      </c>
      <c r="AC528" s="6">
        <f>$M$528*$W$528</f>
        <v>1478822.23746</v>
      </c>
      <c r="AD528" s="6">
        <f>$O$528*$X$528</f>
        <v>994023.1556099999</v>
      </c>
      <c r="AE528" s="6">
        <f>$K$528*$Y$528</f>
        <v>0</v>
      </c>
      <c r="AF528" s="6">
        <f ca="1">$M$528*$Z$528</f>
        <v>1877909.3171599833</v>
      </c>
      <c r="AG528" s="6">
        <f>$O$528*$AA$528</f>
        <v>911647.29308315355</v>
      </c>
    </row>
    <row r="529" spans="1:33" ht="11.25" customHeight="1" x14ac:dyDescent="0.3">
      <c r="A529" s="4" t="s">
        <v>28</v>
      </c>
      <c r="B529" s="4" t="s">
        <v>22</v>
      </c>
      <c r="C529" s="4" t="s">
        <v>23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25</v>
      </c>
      <c r="I529" s="5">
        <v>44531</v>
      </c>
      <c r="J529" s="6">
        <v>0</v>
      </c>
      <c r="K529" s="6">
        <v>0</v>
      </c>
      <c r="L529" s="6">
        <v>50.265000000000001</v>
      </c>
      <c r="M529" s="6">
        <v>50.265000000000001</v>
      </c>
      <c r="N529" s="6">
        <v>50.265000000000001</v>
      </c>
      <c r="O529" s="6">
        <v>50.265000000000001</v>
      </c>
      <c r="P529" s="6">
        <v>440</v>
      </c>
      <c r="Q529" s="4" t="s">
        <v>26</v>
      </c>
      <c r="R529" s="4">
        <v>0</v>
      </c>
      <c r="S529" s="6">
        <v>0</v>
      </c>
      <c r="T529" s="6">
        <v>30</v>
      </c>
      <c r="U529" s="6">
        <v>71</v>
      </c>
      <c r="V529" s="6">
        <f>IF(ISERROR(VLOOKUP($S$529,'TAR FIN'!$A$1:$O$103,15,0)),0,VLOOKUP($S$529,'TAR FIN'!$A$1:$O$103,15,0))</f>
        <v>0</v>
      </c>
      <c r="W529" s="6">
        <f>IF(ISERROR(VLOOKUP($T$529,'TAR FIN'!$A$1:$O$103,15,0)),0,VLOOKUP($T$529,'TAR FIN'!$A$1:$O$103,15,0))</f>
        <v>379.62</v>
      </c>
      <c r="X529" s="6">
        <f>IF(ISERROR(VLOOKUP($U$529,'TAR FIN'!$A$1:$O$103,15,0)),0,VLOOKUP($U$529,'TAR FIN'!$A$1:$O$103,15,0))</f>
        <v>255.17</v>
      </c>
      <c r="Y529" s="6"/>
      <c r="Z529" s="6">
        <f ca="1">('TUSD BE'!$AM$32+'TUSD BF'!$AM$32+'TUSD CVA'!$AM$32)*1</f>
        <v>482.06736206829294</v>
      </c>
      <c r="AA529" s="6">
        <f>('TE BE'!$AB$13+'TE BF'!$AB$13+'TE CVA'!$AB$13)*1</f>
        <v>234.02376339339278</v>
      </c>
      <c r="AB529" s="6">
        <f>$K$529*$V$529</f>
        <v>0</v>
      </c>
      <c r="AC529" s="6">
        <f>$M$529*$W$529</f>
        <v>19081.599300000002</v>
      </c>
      <c r="AD529" s="6">
        <f>$O$529*$X$529</f>
        <v>12826.12005</v>
      </c>
      <c r="AE529" s="6">
        <f>$K$529*$Y$529</f>
        <v>0</v>
      </c>
      <c r="AF529" s="6">
        <f ca="1">$M$529*$Z$529</f>
        <v>24231.115954362744</v>
      </c>
      <c r="AG529" s="6">
        <f>$O$529*$AA$529</f>
        <v>11763.204466968888</v>
      </c>
    </row>
    <row r="530" spans="1:33" ht="11.25" customHeight="1" x14ac:dyDescent="0.3">
      <c r="A530" s="4" t="s">
        <v>21</v>
      </c>
      <c r="B530" s="4" t="s">
        <v>22</v>
      </c>
      <c r="C530" s="4" t="s">
        <v>23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25</v>
      </c>
      <c r="I530" s="5">
        <v>44562</v>
      </c>
      <c r="J530" s="6">
        <v>0</v>
      </c>
      <c r="K530" s="6">
        <v>0</v>
      </c>
      <c r="L530" s="6">
        <v>3972.6260000000002</v>
      </c>
      <c r="M530" s="6">
        <v>3972.6260000000002</v>
      </c>
      <c r="N530" s="6">
        <v>3972.6260000000002</v>
      </c>
      <c r="O530" s="6">
        <v>3972.6260000000002</v>
      </c>
      <c r="P530" s="6">
        <v>27010</v>
      </c>
      <c r="Q530" s="4" t="s">
        <v>26</v>
      </c>
      <c r="R530" s="4">
        <v>0</v>
      </c>
      <c r="S530" s="6">
        <v>0</v>
      </c>
      <c r="T530" s="6">
        <v>30</v>
      </c>
      <c r="U530" s="6">
        <v>71</v>
      </c>
      <c r="V530" s="6">
        <f>IF(ISERROR(VLOOKUP($S$530,'TAR FIN'!$A$1:$O$103,15,0)),0,VLOOKUP($S$530,'TAR FIN'!$A$1:$O$103,15,0))</f>
        <v>0</v>
      </c>
      <c r="W530" s="6">
        <f>IF(ISERROR(VLOOKUP($T$530,'TAR FIN'!$A$1:$O$103,15,0)),0,VLOOKUP($T$530,'TAR FIN'!$A$1:$O$103,15,0))</f>
        <v>379.62</v>
      </c>
      <c r="X530" s="6">
        <f>IF(ISERROR(VLOOKUP($U$530,'TAR FIN'!$A$1:$O$103,15,0)),0,VLOOKUP($U$530,'TAR FIN'!$A$1:$O$103,15,0))</f>
        <v>255.17</v>
      </c>
      <c r="Y530" s="6"/>
      <c r="Z530" s="6">
        <f ca="1">('TUSD BE'!$AM$32+'TUSD BF'!$AM$32+'TUSD CVA'!$AM$32)*1</f>
        <v>482.06736206829294</v>
      </c>
      <c r="AA530" s="6">
        <f>('TE BE'!$AB$13+'TE BF'!$AB$13+'TE CVA'!$AB$13)*1</f>
        <v>234.02376339339278</v>
      </c>
      <c r="AB530" s="6">
        <f>$K$530*$V$530</f>
        <v>0</v>
      </c>
      <c r="AC530" s="6">
        <f>$M$530*$W$530</f>
        <v>1508088.2821200001</v>
      </c>
      <c r="AD530" s="6">
        <f>$O$530*$X$530</f>
        <v>1013694.97642</v>
      </c>
      <c r="AE530" s="6">
        <f>$K$530*$Y$530</f>
        <v>0</v>
      </c>
      <c r="AF530" s="6">
        <f ca="1">$M$530*$Z$530</f>
        <v>1915073.3363039144</v>
      </c>
      <c r="AG530" s="6">
        <f>$O$530*$AA$530</f>
        <v>929688.88707444048</v>
      </c>
    </row>
    <row r="531" spans="1:33" ht="11.25" customHeight="1" x14ac:dyDescent="0.3">
      <c r="A531" s="4" t="s">
        <v>28</v>
      </c>
      <c r="B531" s="4" t="s">
        <v>22</v>
      </c>
      <c r="C531" s="4" t="s">
        <v>23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25</v>
      </c>
      <c r="I531" s="5">
        <v>44562</v>
      </c>
      <c r="J531" s="6">
        <v>0</v>
      </c>
      <c r="K531" s="6">
        <v>0</v>
      </c>
      <c r="L531" s="6">
        <v>56.207999999999998</v>
      </c>
      <c r="M531" s="6">
        <v>56.207999999999998</v>
      </c>
      <c r="N531" s="6">
        <v>56.207999999999998</v>
      </c>
      <c r="O531" s="6">
        <v>56.207999999999998</v>
      </c>
      <c r="P531" s="6">
        <v>466</v>
      </c>
      <c r="Q531" s="4" t="s">
        <v>26</v>
      </c>
      <c r="R531" s="4">
        <v>0</v>
      </c>
      <c r="S531" s="6">
        <v>0</v>
      </c>
      <c r="T531" s="6">
        <v>30</v>
      </c>
      <c r="U531" s="6">
        <v>71</v>
      </c>
      <c r="V531" s="6">
        <f>IF(ISERROR(VLOOKUP($S$531,'TAR FIN'!$A$1:$O$103,15,0)),0,VLOOKUP($S$531,'TAR FIN'!$A$1:$O$103,15,0))</f>
        <v>0</v>
      </c>
      <c r="W531" s="6">
        <f>IF(ISERROR(VLOOKUP($T$531,'TAR FIN'!$A$1:$O$103,15,0)),0,VLOOKUP($T$531,'TAR FIN'!$A$1:$O$103,15,0))</f>
        <v>379.62</v>
      </c>
      <c r="X531" s="6">
        <f>IF(ISERROR(VLOOKUP($U$531,'TAR FIN'!$A$1:$O$103,15,0)),0,VLOOKUP($U$531,'TAR FIN'!$A$1:$O$103,15,0))</f>
        <v>255.17</v>
      </c>
      <c r="Y531" s="6"/>
      <c r="Z531" s="6">
        <f ca="1">('TUSD BE'!$AM$32+'TUSD BF'!$AM$32+'TUSD CVA'!$AM$32)*1</f>
        <v>482.06736206829294</v>
      </c>
      <c r="AA531" s="6">
        <f>('TE BE'!$AB$13+'TE BF'!$AB$13+'TE CVA'!$AB$13)*1</f>
        <v>234.02376339339278</v>
      </c>
      <c r="AB531" s="6">
        <f>$K$531*$V$531</f>
        <v>0</v>
      </c>
      <c r="AC531" s="6">
        <f>$M$531*$W$531</f>
        <v>21337.680959999998</v>
      </c>
      <c r="AD531" s="6">
        <f>$O$531*$X$531</f>
        <v>14342.595359999999</v>
      </c>
      <c r="AE531" s="6">
        <f>$K$531*$Y$531</f>
        <v>0</v>
      </c>
      <c r="AF531" s="6">
        <f ca="1">$M$531*$Z$531</f>
        <v>27096.042287134609</v>
      </c>
      <c r="AG531" s="6">
        <f>$O$531*$AA$531</f>
        <v>13154.007692815821</v>
      </c>
    </row>
    <row r="532" spans="1:33" ht="11.25" customHeight="1" x14ac:dyDescent="0.3">
      <c r="A532" s="4" t="s">
        <v>21</v>
      </c>
      <c r="B532" s="4" t="s">
        <v>22</v>
      </c>
      <c r="C532" s="4" t="s">
        <v>23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25</v>
      </c>
      <c r="I532" s="5">
        <v>44593</v>
      </c>
      <c r="J532" s="6">
        <v>0</v>
      </c>
      <c r="K532" s="6">
        <v>0</v>
      </c>
      <c r="L532" s="6">
        <v>3941.299</v>
      </c>
      <c r="M532" s="6">
        <v>3941.299</v>
      </c>
      <c r="N532" s="6">
        <v>3941.299</v>
      </c>
      <c r="O532" s="6">
        <v>3941.299</v>
      </c>
      <c r="P532" s="6">
        <v>26925</v>
      </c>
      <c r="Q532" s="4" t="s">
        <v>26</v>
      </c>
      <c r="R532" s="4">
        <v>0</v>
      </c>
      <c r="S532" s="6">
        <v>0</v>
      </c>
      <c r="T532" s="6">
        <v>30</v>
      </c>
      <c r="U532" s="6">
        <v>71</v>
      </c>
      <c r="V532" s="6">
        <f>IF(ISERROR(VLOOKUP($S$532,'TAR FIN'!$A$1:$O$103,15,0)),0,VLOOKUP($S$532,'TAR FIN'!$A$1:$O$103,15,0))</f>
        <v>0</v>
      </c>
      <c r="W532" s="6">
        <f>IF(ISERROR(VLOOKUP($T$532,'TAR FIN'!$A$1:$O$103,15,0)),0,VLOOKUP($T$532,'TAR FIN'!$A$1:$O$103,15,0))</f>
        <v>379.62</v>
      </c>
      <c r="X532" s="6">
        <f>IF(ISERROR(VLOOKUP($U$532,'TAR FIN'!$A$1:$O$103,15,0)),0,VLOOKUP($U$532,'TAR FIN'!$A$1:$O$103,15,0))</f>
        <v>255.17</v>
      </c>
      <c r="Y532" s="6"/>
      <c r="Z532" s="6">
        <f ca="1">('TUSD BE'!$AM$32+'TUSD BF'!$AM$32+'TUSD CVA'!$AM$32)*1</f>
        <v>482.06736206829294</v>
      </c>
      <c r="AA532" s="6">
        <f>('TE BE'!$AB$13+'TE BF'!$AB$13+'TE CVA'!$AB$13)*1</f>
        <v>234.02376339339278</v>
      </c>
      <c r="AB532" s="6">
        <f>$K$532*$V$532</f>
        <v>0</v>
      </c>
      <c r="AC532" s="6">
        <f>$M$532*$W$532</f>
        <v>1496195.9263800001</v>
      </c>
      <c r="AD532" s="6">
        <f>$O$532*$X$532</f>
        <v>1005701.2658299999</v>
      </c>
      <c r="AE532" s="6">
        <f>$K$532*$Y$532</f>
        <v>0</v>
      </c>
      <c r="AF532" s="6">
        <f ca="1">$M$532*$Z$532</f>
        <v>1899971.6120524008</v>
      </c>
      <c r="AG532" s="6">
        <f>$O$532*$AA$532</f>
        <v>922357.62463861553</v>
      </c>
    </row>
    <row r="533" spans="1:33" ht="11.25" customHeight="1" x14ac:dyDescent="0.3">
      <c r="A533" s="4" t="s">
        <v>28</v>
      </c>
      <c r="B533" s="4" t="s">
        <v>22</v>
      </c>
      <c r="C533" s="4" t="s">
        <v>23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25</v>
      </c>
      <c r="I533" s="5">
        <v>44593</v>
      </c>
      <c r="J533" s="6">
        <v>0</v>
      </c>
      <c r="K533" s="6">
        <v>0</v>
      </c>
      <c r="L533" s="6">
        <v>48.512</v>
      </c>
      <c r="M533" s="6">
        <v>48.512</v>
      </c>
      <c r="N533" s="6">
        <v>48.512</v>
      </c>
      <c r="O533" s="6">
        <v>48.512</v>
      </c>
      <c r="P533" s="6">
        <v>498</v>
      </c>
      <c r="Q533" s="4" t="s">
        <v>26</v>
      </c>
      <c r="R533" s="4">
        <v>0</v>
      </c>
      <c r="S533" s="6">
        <v>0</v>
      </c>
      <c r="T533" s="6">
        <v>30</v>
      </c>
      <c r="U533" s="6">
        <v>71</v>
      </c>
      <c r="V533" s="6">
        <f>IF(ISERROR(VLOOKUP($S$533,'TAR FIN'!$A$1:$O$103,15,0)),0,VLOOKUP($S$533,'TAR FIN'!$A$1:$O$103,15,0))</f>
        <v>0</v>
      </c>
      <c r="W533" s="6">
        <f>IF(ISERROR(VLOOKUP($T$533,'TAR FIN'!$A$1:$O$103,15,0)),0,VLOOKUP($T$533,'TAR FIN'!$A$1:$O$103,15,0))</f>
        <v>379.62</v>
      </c>
      <c r="X533" s="6">
        <f>IF(ISERROR(VLOOKUP($U$533,'TAR FIN'!$A$1:$O$103,15,0)),0,VLOOKUP($U$533,'TAR FIN'!$A$1:$O$103,15,0))</f>
        <v>255.17</v>
      </c>
      <c r="Y533" s="6"/>
      <c r="Z533" s="6">
        <f ca="1">('TUSD BE'!$AM$32+'TUSD BF'!$AM$32+'TUSD CVA'!$AM$32)*1</f>
        <v>482.06736206829294</v>
      </c>
      <c r="AA533" s="6">
        <f>('TE BE'!$AB$13+'TE BF'!$AB$13+'TE CVA'!$AB$13)*1</f>
        <v>234.02376339339278</v>
      </c>
      <c r="AB533" s="6">
        <f>$K$533*$V$533</f>
        <v>0</v>
      </c>
      <c r="AC533" s="6">
        <f>$M$533*$W$533</f>
        <v>18416.12544</v>
      </c>
      <c r="AD533" s="6">
        <f>$O$533*$X$533</f>
        <v>12378.80704</v>
      </c>
      <c r="AE533" s="6">
        <f>$K$533*$Y$533</f>
        <v>0</v>
      </c>
      <c r="AF533" s="6">
        <f ca="1">$M$533*$Z$533</f>
        <v>23386.051868657029</v>
      </c>
      <c r="AG533" s="6">
        <f>$O$533*$AA$533</f>
        <v>11352.960809740271</v>
      </c>
    </row>
    <row r="534" spans="1:33" ht="11.25" customHeight="1" x14ac:dyDescent="0.3">
      <c r="A534" s="4" t="s">
        <v>21</v>
      </c>
      <c r="B534" s="4" t="s">
        <v>22</v>
      </c>
      <c r="C534" s="4" t="s">
        <v>23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25</v>
      </c>
      <c r="I534" s="5">
        <v>44621</v>
      </c>
      <c r="J534" s="6">
        <v>0</v>
      </c>
      <c r="K534" s="6">
        <v>0</v>
      </c>
      <c r="L534" s="6">
        <v>3635.4769999999999</v>
      </c>
      <c r="M534" s="6">
        <v>3635.4769999999999</v>
      </c>
      <c r="N534" s="6">
        <v>3635.4769999999999</v>
      </c>
      <c r="O534" s="6">
        <v>3635.4769999999999</v>
      </c>
      <c r="P534" s="6">
        <v>26796</v>
      </c>
      <c r="Q534" s="4" t="s">
        <v>26</v>
      </c>
      <c r="R534" s="4">
        <v>0</v>
      </c>
      <c r="S534" s="6">
        <v>0</v>
      </c>
      <c r="T534" s="6">
        <v>30</v>
      </c>
      <c r="U534" s="6">
        <v>71</v>
      </c>
      <c r="V534" s="6">
        <f>IF(ISERROR(VLOOKUP($S$534,'TAR FIN'!$A$1:$O$103,15,0)),0,VLOOKUP($S$534,'TAR FIN'!$A$1:$O$103,15,0))</f>
        <v>0</v>
      </c>
      <c r="W534" s="6">
        <f>IF(ISERROR(VLOOKUP($T$534,'TAR FIN'!$A$1:$O$103,15,0)),0,VLOOKUP($T$534,'TAR FIN'!$A$1:$O$103,15,0))</f>
        <v>379.62</v>
      </c>
      <c r="X534" s="6">
        <f>IF(ISERROR(VLOOKUP($U$534,'TAR FIN'!$A$1:$O$103,15,0)),0,VLOOKUP($U$534,'TAR FIN'!$A$1:$O$103,15,0))</f>
        <v>255.17</v>
      </c>
      <c r="Y534" s="6"/>
      <c r="Z534" s="6">
        <f ca="1">('TUSD BE'!$AM$32+'TUSD BF'!$AM$32+'TUSD CVA'!$AM$32)*1</f>
        <v>482.06736206829294</v>
      </c>
      <c r="AA534" s="6">
        <f>('TE BE'!$AB$13+'TE BF'!$AB$13+'TE CVA'!$AB$13)*1</f>
        <v>234.02376339339278</v>
      </c>
      <c r="AB534" s="6">
        <f>$K$534*$V$534</f>
        <v>0</v>
      </c>
      <c r="AC534" s="6">
        <f>$M$534*$W$534</f>
        <v>1380099.77874</v>
      </c>
      <c r="AD534" s="6">
        <f>$O$534*$X$534</f>
        <v>927664.66608999996</v>
      </c>
      <c r="AE534" s="6">
        <f>$K$534*$Y$534</f>
        <v>0</v>
      </c>
      <c r="AF534" s="6">
        <f ca="1">$M$534*$Z$534</f>
        <v>1752544.8072499514</v>
      </c>
      <c r="AG534" s="6">
        <f>$O$534*$AA$534</f>
        <v>850788.00927012134</v>
      </c>
    </row>
    <row r="535" spans="1:33" ht="11.25" customHeight="1" x14ac:dyDescent="0.3">
      <c r="A535" s="4" t="s">
        <v>28</v>
      </c>
      <c r="B535" s="4" t="s">
        <v>22</v>
      </c>
      <c r="C535" s="4" t="s">
        <v>23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25</v>
      </c>
      <c r="I535" s="5">
        <v>44621</v>
      </c>
      <c r="J535" s="6">
        <v>0</v>
      </c>
      <c r="K535" s="6">
        <v>0</v>
      </c>
      <c r="L535" s="6">
        <v>47.52</v>
      </c>
      <c r="M535" s="6">
        <v>47.52</v>
      </c>
      <c r="N535" s="6">
        <v>47.52</v>
      </c>
      <c r="O535" s="6">
        <v>47.52</v>
      </c>
      <c r="P535" s="6">
        <v>539</v>
      </c>
      <c r="Q535" s="4" t="s">
        <v>26</v>
      </c>
      <c r="R535" s="4">
        <v>0</v>
      </c>
      <c r="S535" s="6">
        <v>0</v>
      </c>
      <c r="T535" s="6">
        <v>30</v>
      </c>
      <c r="U535" s="6">
        <v>71</v>
      </c>
      <c r="V535" s="6">
        <f>IF(ISERROR(VLOOKUP($S$535,'TAR FIN'!$A$1:$O$103,15,0)),0,VLOOKUP($S$535,'TAR FIN'!$A$1:$O$103,15,0))</f>
        <v>0</v>
      </c>
      <c r="W535" s="6">
        <f>IF(ISERROR(VLOOKUP($T$535,'TAR FIN'!$A$1:$O$103,15,0)),0,VLOOKUP($T$535,'TAR FIN'!$A$1:$O$103,15,0))</f>
        <v>379.62</v>
      </c>
      <c r="X535" s="6">
        <f>IF(ISERROR(VLOOKUP($U$535,'TAR FIN'!$A$1:$O$103,15,0)),0,VLOOKUP($U$535,'TAR FIN'!$A$1:$O$103,15,0))</f>
        <v>255.17</v>
      </c>
      <c r="Y535" s="6"/>
      <c r="Z535" s="6">
        <f ca="1">('TUSD BE'!$AM$32+'TUSD BF'!$AM$32+'TUSD CVA'!$AM$32)*1</f>
        <v>482.06736206829294</v>
      </c>
      <c r="AA535" s="6">
        <f>('TE BE'!$AB$13+'TE BF'!$AB$13+'TE CVA'!$AB$13)*1</f>
        <v>234.02376339339278</v>
      </c>
      <c r="AB535" s="6">
        <f>$K$535*$V$535</f>
        <v>0</v>
      </c>
      <c r="AC535" s="6">
        <f>$M$535*$W$535</f>
        <v>18039.542400000002</v>
      </c>
      <c r="AD535" s="6">
        <f>$O$535*$X$535</f>
        <v>12125.678400000001</v>
      </c>
      <c r="AE535" s="6">
        <f>$K$535*$Y$535</f>
        <v>0</v>
      </c>
      <c r="AF535" s="6">
        <f ca="1">$M$535*$Z$535</f>
        <v>22907.841045485282</v>
      </c>
      <c r="AG535" s="6">
        <f>$O$535*$AA$535</f>
        <v>11120.809236454026</v>
      </c>
    </row>
    <row r="536" spans="1:33" ht="11.25" customHeight="1" x14ac:dyDescent="0.3">
      <c r="A536" s="4" t="s">
        <v>21</v>
      </c>
      <c r="B536" s="4" t="s">
        <v>22</v>
      </c>
      <c r="C536" s="4" t="s">
        <v>23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25</v>
      </c>
      <c r="I536" s="5">
        <v>44652</v>
      </c>
      <c r="J536" s="6">
        <v>0</v>
      </c>
      <c r="K536" s="6">
        <v>0</v>
      </c>
      <c r="L536" s="6">
        <v>4193.3450000000003</v>
      </c>
      <c r="M536" s="6">
        <v>4193.3450000000003</v>
      </c>
      <c r="N536" s="6">
        <v>4193.3450000000003</v>
      </c>
      <c r="O536" s="6">
        <v>4193.3450000000003</v>
      </c>
      <c r="P536" s="6">
        <v>26454</v>
      </c>
      <c r="Q536" s="4" t="s">
        <v>26</v>
      </c>
      <c r="R536" s="4">
        <v>0</v>
      </c>
      <c r="S536" s="6">
        <v>0</v>
      </c>
      <c r="T536" s="6">
        <v>30</v>
      </c>
      <c r="U536" s="6">
        <v>71</v>
      </c>
      <c r="V536" s="6">
        <f>IF(ISERROR(VLOOKUP($S$536,'TAR FIN'!$A$1:$O$103,15,0)),0,VLOOKUP($S$536,'TAR FIN'!$A$1:$O$103,15,0))</f>
        <v>0</v>
      </c>
      <c r="W536" s="6">
        <f>IF(ISERROR(VLOOKUP($T$536,'TAR FIN'!$A$1:$O$103,15,0)),0,VLOOKUP($T$536,'TAR FIN'!$A$1:$O$103,15,0))</f>
        <v>379.62</v>
      </c>
      <c r="X536" s="6">
        <f>IF(ISERROR(VLOOKUP($U$536,'TAR FIN'!$A$1:$O$103,15,0)),0,VLOOKUP($U$536,'TAR FIN'!$A$1:$O$103,15,0))</f>
        <v>255.17</v>
      </c>
      <c r="Y536" s="6"/>
      <c r="Z536" s="6">
        <f ca="1">('TUSD BE'!$AM$32+'TUSD BF'!$AM$32+'TUSD CVA'!$AM$32)*1</f>
        <v>482.06736206829294</v>
      </c>
      <c r="AA536" s="6">
        <f>('TE BE'!$AB$13+'TE BF'!$AB$13+'TE CVA'!$AB$13)*1</f>
        <v>234.02376339339278</v>
      </c>
      <c r="AB536" s="6">
        <f>$K$536*$V$536</f>
        <v>0</v>
      </c>
      <c r="AC536" s="6">
        <f>$M$536*$W$536</f>
        <v>1591877.6289000001</v>
      </c>
      <c r="AD536" s="6">
        <f>$O$536*$X$536</f>
        <v>1070015.8436499999</v>
      </c>
      <c r="AE536" s="6">
        <f>$K$536*$Y$536</f>
        <v>0</v>
      </c>
      <c r="AF536" s="6">
        <f ca="1">$M$536*$Z$536</f>
        <v>2021474.762392266</v>
      </c>
      <c r="AG536" s="6">
        <f>$O$536*$AA$536</f>
        <v>981342.37810686673</v>
      </c>
    </row>
    <row r="537" spans="1:33" ht="11.25" customHeight="1" x14ac:dyDescent="0.3">
      <c r="A537" s="4" t="s">
        <v>28</v>
      </c>
      <c r="B537" s="4" t="s">
        <v>22</v>
      </c>
      <c r="C537" s="4" t="s">
        <v>23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25</v>
      </c>
      <c r="I537" s="5">
        <v>44652</v>
      </c>
      <c r="J537" s="6">
        <v>0</v>
      </c>
      <c r="K537" s="6">
        <v>0</v>
      </c>
      <c r="L537" s="6">
        <v>55.765000000000001</v>
      </c>
      <c r="M537" s="6">
        <v>55.765000000000001</v>
      </c>
      <c r="N537" s="6">
        <v>55.765000000000001</v>
      </c>
      <c r="O537" s="6">
        <v>55.765000000000001</v>
      </c>
      <c r="P537" s="6">
        <v>562</v>
      </c>
      <c r="Q537" s="4" t="s">
        <v>26</v>
      </c>
      <c r="R537" s="4">
        <v>0</v>
      </c>
      <c r="S537" s="6">
        <v>0</v>
      </c>
      <c r="T537" s="6">
        <v>30</v>
      </c>
      <c r="U537" s="6">
        <v>71</v>
      </c>
      <c r="V537" s="6">
        <f>IF(ISERROR(VLOOKUP($S$537,'TAR FIN'!$A$1:$O$103,15,0)),0,VLOOKUP($S$537,'TAR FIN'!$A$1:$O$103,15,0))</f>
        <v>0</v>
      </c>
      <c r="W537" s="6">
        <f>IF(ISERROR(VLOOKUP($T$537,'TAR FIN'!$A$1:$O$103,15,0)),0,VLOOKUP($T$537,'TAR FIN'!$A$1:$O$103,15,0))</f>
        <v>379.62</v>
      </c>
      <c r="X537" s="6">
        <f>IF(ISERROR(VLOOKUP($U$537,'TAR FIN'!$A$1:$O$103,15,0)),0,VLOOKUP($U$537,'TAR FIN'!$A$1:$O$103,15,0))</f>
        <v>255.17</v>
      </c>
      <c r="Y537" s="6"/>
      <c r="Z537" s="6">
        <f ca="1">('TUSD BE'!$AM$32+'TUSD BF'!$AM$32+'TUSD CVA'!$AM$32)*1</f>
        <v>482.06736206829294</v>
      </c>
      <c r="AA537" s="6">
        <f>('TE BE'!$AB$13+'TE BF'!$AB$13+'TE CVA'!$AB$13)*1</f>
        <v>234.02376339339278</v>
      </c>
      <c r="AB537" s="6">
        <f>$K$537*$V$537</f>
        <v>0</v>
      </c>
      <c r="AC537" s="6">
        <f>$M$537*$W$537</f>
        <v>21169.509300000002</v>
      </c>
      <c r="AD537" s="6">
        <f>$O$537*$X$537</f>
        <v>14229.555049999999</v>
      </c>
      <c r="AE537" s="6">
        <f>$K$537*$Y$537</f>
        <v>0</v>
      </c>
      <c r="AF537" s="6">
        <f ca="1">$M$537*$Z$537</f>
        <v>26882.486445738356</v>
      </c>
      <c r="AG537" s="6">
        <f>$O$537*$AA$537</f>
        <v>13050.335165632549</v>
      </c>
    </row>
    <row r="538" spans="1:33" ht="11.25" customHeight="1" x14ac:dyDescent="0.3">
      <c r="A538" s="4" t="s">
        <v>21</v>
      </c>
      <c r="B538" s="4" t="s">
        <v>22</v>
      </c>
      <c r="C538" s="4" t="s">
        <v>23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25</v>
      </c>
      <c r="I538" s="5">
        <v>44682</v>
      </c>
      <c r="J538" s="6">
        <v>0</v>
      </c>
      <c r="K538" s="6">
        <v>0</v>
      </c>
      <c r="L538" s="6">
        <v>3836.12</v>
      </c>
      <c r="M538" s="6">
        <v>3836.12</v>
      </c>
      <c r="N538" s="6">
        <v>3836.12</v>
      </c>
      <c r="O538" s="6">
        <v>3836.12</v>
      </c>
      <c r="P538" s="6">
        <v>26230</v>
      </c>
      <c r="Q538" s="4" t="s">
        <v>26</v>
      </c>
      <c r="R538" s="4">
        <v>0</v>
      </c>
      <c r="S538" s="6">
        <v>0</v>
      </c>
      <c r="T538" s="6">
        <v>30</v>
      </c>
      <c r="U538" s="6">
        <v>71</v>
      </c>
      <c r="V538" s="6">
        <f>IF(ISERROR(VLOOKUP($S$538,'TAR FIN'!$A$1:$O$103,15,0)),0,VLOOKUP($S$538,'TAR FIN'!$A$1:$O$103,15,0))</f>
        <v>0</v>
      </c>
      <c r="W538" s="6">
        <f>IF(ISERROR(VLOOKUP($T$538,'TAR FIN'!$A$1:$O$103,15,0)),0,VLOOKUP($T$538,'TAR FIN'!$A$1:$O$103,15,0))</f>
        <v>379.62</v>
      </c>
      <c r="X538" s="6">
        <f>IF(ISERROR(VLOOKUP($U$538,'TAR FIN'!$A$1:$O$103,15,0)),0,VLOOKUP($U$538,'TAR FIN'!$A$1:$O$103,15,0))</f>
        <v>255.17</v>
      </c>
      <c r="Y538" s="6"/>
      <c r="Z538" s="6">
        <f ca="1">('TUSD BE'!$AM$32+'TUSD BF'!$AM$32+'TUSD CVA'!$AM$32)*1</f>
        <v>482.06736206829294</v>
      </c>
      <c r="AA538" s="6">
        <f>('TE BE'!$AB$13+'TE BF'!$AB$13+'TE CVA'!$AB$13)*1</f>
        <v>234.02376339339278</v>
      </c>
      <c r="AB538" s="6">
        <f>$K$538*$V$538</f>
        <v>0</v>
      </c>
      <c r="AC538" s="6">
        <f>$M$538*$W$538</f>
        <v>1456267.8744000001</v>
      </c>
      <c r="AD538" s="6">
        <f>$O$538*$X$538</f>
        <v>978862.74039999989</v>
      </c>
      <c r="AE538" s="6">
        <f>$K$538*$Y$538</f>
        <v>0</v>
      </c>
      <c r="AF538" s="6">
        <f ca="1">$M$538*$Z$538</f>
        <v>1849268.2489774199</v>
      </c>
      <c r="AG538" s="6">
        <f>$O$538*$AA$538</f>
        <v>897743.23922866187</v>
      </c>
    </row>
    <row r="539" spans="1:33" ht="11.25" customHeight="1" x14ac:dyDescent="0.3">
      <c r="A539" s="4" t="s">
        <v>28</v>
      </c>
      <c r="B539" s="4" t="s">
        <v>22</v>
      </c>
      <c r="C539" s="4" t="s">
        <v>23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25</v>
      </c>
      <c r="I539" s="5">
        <v>44682</v>
      </c>
      <c r="J539" s="6">
        <v>0</v>
      </c>
      <c r="K539" s="6">
        <v>0</v>
      </c>
      <c r="L539" s="6">
        <v>61.878999999999998</v>
      </c>
      <c r="M539" s="6">
        <v>61.878999999999998</v>
      </c>
      <c r="N539" s="6">
        <v>61.878999999999998</v>
      </c>
      <c r="O539" s="6">
        <v>61.878999999999998</v>
      </c>
      <c r="P539" s="6">
        <v>585</v>
      </c>
      <c r="Q539" s="4" t="s">
        <v>26</v>
      </c>
      <c r="R539" s="4">
        <v>0</v>
      </c>
      <c r="S539" s="6">
        <v>0</v>
      </c>
      <c r="T539" s="6">
        <v>30</v>
      </c>
      <c r="U539" s="6">
        <v>71</v>
      </c>
      <c r="V539" s="6">
        <f>IF(ISERROR(VLOOKUP($S$539,'TAR FIN'!$A$1:$O$103,15,0)),0,VLOOKUP($S$539,'TAR FIN'!$A$1:$O$103,15,0))</f>
        <v>0</v>
      </c>
      <c r="W539" s="6">
        <f>IF(ISERROR(VLOOKUP($T$539,'TAR FIN'!$A$1:$O$103,15,0)),0,VLOOKUP($T$539,'TAR FIN'!$A$1:$O$103,15,0))</f>
        <v>379.62</v>
      </c>
      <c r="X539" s="6">
        <f>IF(ISERROR(VLOOKUP($U$539,'TAR FIN'!$A$1:$O$103,15,0)),0,VLOOKUP($U$539,'TAR FIN'!$A$1:$O$103,15,0))</f>
        <v>255.17</v>
      </c>
      <c r="Y539" s="6"/>
      <c r="Z539" s="6">
        <f ca="1">('TUSD BE'!$AM$32+'TUSD BF'!$AM$32+'TUSD CVA'!$AM$32)*1</f>
        <v>482.06736206829294</v>
      </c>
      <c r="AA539" s="6">
        <f>('TE BE'!$AB$13+'TE BF'!$AB$13+'TE CVA'!$AB$13)*1</f>
        <v>234.02376339339278</v>
      </c>
      <c r="AB539" s="6">
        <f>$K$539*$V$539</f>
        <v>0</v>
      </c>
      <c r="AC539" s="6">
        <f>$M$539*$W$539</f>
        <v>23490.505979999998</v>
      </c>
      <c r="AD539" s="6">
        <f>$O$539*$X$539</f>
        <v>15789.664429999999</v>
      </c>
      <c r="AE539" s="6">
        <f>$K$539*$Y$539</f>
        <v>0</v>
      </c>
      <c r="AF539" s="6">
        <f ca="1">$M$539*$Z$539</f>
        <v>29829.846297423897</v>
      </c>
      <c r="AG539" s="6">
        <f>$O$539*$AA$539</f>
        <v>14481.156455019751</v>
      </c>
    </row>
    <row r="540" spans="1:33" ht="11.25" customHeight="1" x14ac:dyDescent="0.3">
      <c r="A540" s="4" t="s">
        <v>21</v>
      </c>
      <c r="B540" s="4" t="s">
        <v>22</v>
      </c>
      <c r="C540" s="4" t="s">
        <v>23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25</v>
      </c>
      <c r="I540" s="5">
        <v>44713</v>
      </c>
      <c r="J540" s="6">
        <v>0</v>
      </c>
      <c r="K540" s="6">
        <v>0</v>
      </c>
      <c r="L540" s="6">
        <v>3379.7689999999998</v>
      </c>
      <c r="M540" s="6">
        <v>3379.7689999999998</v>
      </c>
      <c r="N540" s="6">
        <v>3379.7689999999998</v>
      </c>
      <c r="O540" s="6">
        <v>3379.7689999999998</v>
      </c>
      <c r="P540" s="6">
        <v>26346</v>
      </c>
      <c r="Q540" s="4" t="s">
        <v>26</v>
      </c>
      <c r="R540" s="4">
        <v>0</v>
      </c>
      <c r="S540" s="6">
        <v>0</v>
      </c>
      <c r="T540" s="6">
        <v>30</v>
      </c>
      <c r="U540" s="6">
        <v>71</v>
      </c>
      <c r="V540" s="6">
        <f>IF(ISERROR(VLOOKUP($S$540,'TAR FIN'!$A$1:$O$103,15,0)),0,VLOOKUP($S$540,'TAR FIN'!$A$1:$O$103,15,0))</f>
        <v>0</v>
      </c>
      <c r="W540" s="6">
        <f>IF(ISERROR(VLOOKUP($T$540,'TAR FIN'!$A$1:$O$103,15,0)),0,VLOOKUP($T$540,'TAR FIN'!$A$1:$O$103,15,0))</f>
        <v>379.62</v>
      </c>
      <c r="X540" s="6">
        <f>IF(ISERROR(VLOOKUP($U$540,'TAR FIN'!$A$1:$O$103,15,0)),0,VLOOKUP($U$540,'TAR FIN'!$A$1:$O$103,15,0))</f>
        <v>255.17</v>
      </c>
      <c r="Y540" s="6"/>
      <c r="Z540" s="6">
        <f ca="1">('TUSD BE'!$AM$32+'TUSD BF'!$AM$32+'TUSD CVA'!$AM$32)*1</f>
        <v>482.06736206829294</v>
      </c>
      <c r="AA540" s="6">
        <f>('TE BE'!$AB$13+'TE BF'!$AB$13+'TE CVA'!$AB$13)*1</f>
        <v>234.02376339339278</v>
      </c>
      <c r="AB540" s="6">
        <f>$K$540*$V$540</f>
        <v>0</v>
      </c>
      <c r="AC540" s="6">
        <f>$M$540*$W$540</f>
        <v>1283027.90778</v>
      </c>
      <c r="AD540" s="6">
        <f>$O$540*$X$540</f>
        <v>862415.65572999988</v>
      </c>
      <c r="AE540" s="6">
        <f>$K$540*$Y$540</f>
        <v>0</v>
      </c>
      <c r="AF540" s="6">
        <f ca="1">$M$540*$Z$540</f>
        <v>1629276.3262301923</v>
      </c>
      <c r="AG540" s="6">
        <f>$O$540*$AA$540</f>
        <v>790946.26078032365</v>
      </c>
    </row>
    <row r="541" spans="1:33" ht="11.25" customHeight="1" x14ac:dyDescent="0.3">
      <c r="A541" s="4" t="s">
        <v>27</v>
      </c>
      <c r="B541" s="4" t="s">
        <v>22</v>
      </c>
      <c r="C541" s="4" t="s">
        <v>23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25</v>
      </c>
      <c r="I541" s="5">
        <v>44713</v>
      </c>
      <c r="J541" s="6">
        <v>0</v>
      </c>
      <c r="K541" s="6">
        <v>0</v>
      </c>
      <c r="L541" s="6">
        <v>-9.4E-2</v>
      </c>
      <c r="M541" s="6">
        <v>-9.4E-2</v>
      </c>
      <c r="N541" s="6">
        <v>-9.4E-2</v>
      </c>
      <c r="O541" s="6">
        <v>-9.4E-2</v>
      </c>
      <c r="P541" s="6">
        <v>0</v>
      </c>
      <c r="Q541" s="4" t="s">
        <v>26</v>
      </c>
      <c r="R541" s="4">
        <v>0</v>
      </c>
      <c r="S541" s="6">
        <v>0</v>
      </c>
      <c r="T541" s="6">
        <v>30</v>
      </c>
      <c r="U541" s="6">
        <v>71</v>
      </c>
      <c r="V541" s="6">
        <f>IF(ISERROR(VLOOKUP($S$541,'TAR FIN'!$A$1:$O$103,15,0)),0,VLOOKUP($S$541,'TAR FIN'!$A$1:$O$103,15,0))</f>
        <v>0</v>
      </c>
      <c r="W541" s="6">
        <f>IF(ISERROR(VLOOKUP($T$541,'TAR FIN'!$A$1:$O$103,15,0)),0,VLOOKUP($T$541,'TAR FIN'!$A$1:$O$103,15,0))</f>
        <v>379.62</v>
      </c>
      <c r="X541" s="6">
        <f>IF(ISERROR(VLOOKUP($U$541,'TAR FIN'!$A$1:$O$103,15,0)),0,VLOOKUP($U$541,'TAR FIN'!$A$1:$O$103,15,0))</f>
        <v>255.17</v>
      </c>
      <c r="Y541" s="6"/>
      <c r="Z541" s="6">
        <f ca="1">('TUSD BE'!$AM$32+'TUSD BF'!$AM$32+'TUSD CVA'!$AM$32)*1</f>
        <v>482.06736206829294</v>
      </c>
      <c r="AA541" s="6">
        <f>('TE BE'!$AB$13+'TE BF'!$AB$13+'TE CVA'!$AB$13)*1</f>
        <v>234.02376339339278</v>
      </c>
      <c r="AB541" s="6">
        <f>$K$541*$V$541</f>
        <v>0</v>
      </c>
      <c r="AC541" s="6">
        <f>$M$541*$W$541</f>
        <v>-35.684280000000001</v>
      </c>
      <c r="AD541" s="6">
        <f>$O$541*$X$541</f>
        <v>-23.985979999999998</v>
      </c>
      <c r="AE541" s="6">
        <f>$K$541*$Y$541</f>
        <v>0</v>
      </c>
      <c r="AF541" s="6">
        <f ca="1">$M$541*$Z$541</f>
        <v>-45.314332034419536</v>
      </c>
      <c r="AG541" s="6">
        <f>$O$541*$AA$541</f>
        <v>-21.998233758978923</v>
      </c>
    </row>
    <row r="542" spans="1:33" ht="11.25" customHeight="1" x14ac:dyDescent="0.3">
      <c r="A542" s="4" t="s">
        <v>28</v>
      </c>
      <c r="B542" s="4" t="s">
        <v>22</v>
      </c>
      <c r="C542" s="4" t="s">
        <v>23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25</v>
      </c>
      <c r="I542" s="5">
        <v>44713</v>
      </c>
      <c r="J542" s="6">
        <v>0</v>
      </c>
      <c r="K542" s="6">
        <v>0</v>
      </c>
      <c r="L542" s="6">
        <v>57.09</v>
      </c>
      <c r="M542" s="6">
        <v>57.09</v>
      </c>
      <c r="N542" s="6">
        <v>57.09</v>
      </c>
      <c r="O542" s="6">
        <v>57.09</v>
      </c>
      <c r="P542" s="6">
        <v>639</v>
      </c>
      <c r="Q542" s="4" t="s">
        <v>26</v>
      </c>
      <c r="R542" s="4">
        <v>0</v>
      </c>
      <c r="S542" s="6">
        <v>0</v>
      </c>
      <c r="T542" s="6">
        <v>30</v>
      </c>
      <c r="U542" s="6">
        <v>71</v>
      </c>
      <c r="V542" s="6">
        <f>IF(ISERROR(VLOOKUP($S$542,'TAR FIN'!$A$1:$O$103,15,0)),0,VLOOKUP($S$542,'TAR FIN'!$A$1:$O$103,15,0))</f>
        <v>0</v>
      </c>
      <c r="W542" s="6">
        <f>IF(ISERROR(VLOOKUP($T$542,'TAR FIN'!$A$1:$O$103,15,0)),0,VLOOKUP($T$542,'TAR FIN'!$A$1:$O$103,15,0))</f>
        <v>379.62</v>
      </c>
      <c r="X542" s="6">
        <f>IF(ISERROR(VLOOKUP($U$542,'TAR FIN'!$A$1:$O$103,15,0)),0,VLOOKUP($U$542,'TAR FIN'!$A$1:$O$103,15,0))</f>
        <v>255.17</v>
      </c>
      <c r="Y542" s="6"/>
      <c r="Z542" s="6">
        <f ca="1">('TUSD BE'!$AM$32+'TUSD BF'!$AM$32+'TUSD CVA'!$AM$32)*1</f>
        <v>482.06736206829294</v>
      </c>
      <c r="AA542" s="6">
        <f>('TE BE'!$AB$13+'TE BF'!$AB$13+'TE CVA'!$AB$13)*1</f>
        <v>234.02376339339278</v>
      </c>
      <c r="AB542" s="6">
        <f>$K$542*$V$542</f>
        <v>0</v>
      </c>
      <c r="AC542" s="6">
        <f>$M$542*$W$542</f>
        <v>21672.505800000003</v>
      </c>
      <c r="AD542" s="6">
        <f>$O$542*$X$542</f>
        <v>14567.6553</v>
      </c>
      <c r="AE542" s="6">
        <f>$K$542*$Y$542</f>
        <v>0</v>
      </c>
      <c r="AF542" s="6">
        <f ca="1">$M$542*$Z$542</f>
        <v>27521.225700478844</v>
      </c>
      <c r="AG542" s="6">
        <f>$O$542*$AA$542</f>
        <v>13360.416652128795</v>
      </c>
    </row>
    <row r="543" spans="1:33" ht="11.25" customHeight="1" x14ac:dyDescent="0.3">
      <c r="A543" s="4" t="s">
        <v>21</v>
      </c>
      <c r="B543" s="4" t="s">
        <v>22</v>
      </c>
      <c r="C543" s="4" t="s">
        <v>23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25</v>
      </c>
      <c r="I543" s="5">
        <v>44743</v>
      </c>
      <c r="J543" s="6">
        <v>0</v>
      </c>
      <c r="K543" s="6">
        <v>0</v>
      </c>
      <c r="L543" s="6">
        <v>3550.944</v>
      </c>
      <c r="M543" s="6">
        <v>3550.944</v>
      </c>
      <c r="N543" s="6">
        <v>3550.944</v>
      </c>
      <c r="O543" s="6">
        <v>3550.944</v>
      </c>
      <c r="P543" s="6">
        <v>26408</v>
      </c>
      <c r="Q543" s="4" t="s">
        <v>26</v>
      </c>
      <c r="R543" s="4">
        <v>0</v>
      </c>
      <c r="S543" s="6">
        <v>0</v>
      </c>
      <c r="T543" s="6">
        <v>30</v>
      </c>
      <c r="U543" s="6">
        <v>71</v>
      </c>
      <c r="V543" s="6">
        <f>IF(ISERROR(VLOOKUP($S$543,'TAR FIN'!$A$1:$O$103,15,0)),0,VLOOKUP($S$543,'TAR FIN'!$A$1:$O$103,15,0))</f>
        <v>0</v>
      </c>
      <c r="W543" s="6">
        <f>IF(ISERROR(VLOOKUP($T$543,'TAR FIN'!$A$1:$O$103,15,0)),0,VLOOKUP($T$543,'TAR FIN'!$A$1:$O$103,15,0))</f>
        <v>379.62</v>
      </c>
      <c r="X543" s="6">
        <f>IF(ISERROR(VLOOKUP($U$543,'TAR FIN'!$A$1:$O$103,15,0)),0,VLOOKUP($U$543,'TAR FIN'!$A$1:$O$103,15,0))</f>
        <v>255.17</v>
      </c>
      <c r="Y543" s="6"/>
      <c r="Z543" s="6">
        <f ca="1">('TUSD BE'!$AM$32+'TUSD BF'!$AM$32+'TUSD CVA'!$AM$32)*1</f>
        <v>482.06736206829294</v>
      </c>
      <c r="AA543" s="6">
        <f>('TE BE'!$AB$13+'TE BF'!$AB$13+'TE CVA'!$AB$13)*1</f>
        <v>234.02376339339278</v>
      </c>
      <c r="AB543" s="6">
        <f>$K$543*$V$543</f>
        <v>0</v>
      </c>
      <c r="AC543" s="6">
        <f>$M$543*$W$543</f>
        <v>1348009.3612800001</v>
      </c>
      <c r="AD543" s="6">
        <f>$O$543*$X$543</f>
        <v>906094.38047999993</v>
      </c>
      <c r="AE543" s="6">
        <f>$K$543*$Y$543</f>
        <v>0</v>
      </c>
      <c r="AF543" s="6">
        <f ca="1">$M$543*$Z$543</f>
        <v>1711794.2069322325</v>
      </c>
      <c r="AG543" s="6">
        <f>$O$543*$AA$543</f>
        <v>831005.27847918775</v>
      </c>
    </row>
    <row r="544" spans="1:33" ht="11.25" customHeight="1" x14ac:dyDescent="0.3">
      <c r="A544" s="4" t="s">
        <v>28</v>
      </c>
      <c r="B544" s="4" t="s">
        <v>22</v>
      </c>
      <c r="C544" s="4" t="s">
        <v>23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25</v>
      </c>
      <c r="I544" s="5">
        <v>44743</v>
      </c>
      <c r="J544" s="6">
        <v>0</v>
      </c>
      <c r="K544" s="6">
        <v>0</v>
      </c>
      <c r="L544" s="6">
        <v>63.228000000000002</v>
      </c>
      <c r="M544" s="6">
        <v>63.228000000000002</v>
      </c>
      <c r="N544" s="6">
        <v>63.228000000000002</v>
      </c>
      <c r="O544" s="6">
        <v>63.228000000000002</v>
      </c>
      <c r="P544" s="6">
        <v>652</v>
      </c>
      <c r="Q544" s="4" t="s">
        <v>26</v>
      </c>
      <c r="R544" s="4">
        <v>0</v>
      </c>
      <c r="S544" s="6">
        <v>0</v>
      </c>
      <c r="T544" s="6">
        <v>30</v>
      </c>
      <c r="U544" s="6">
        <v>71</v>
      </c>
      <c r="V544" s="6">
        <f>IF(ISERROR(VLOOKUP($S$544,'TAR FIN'!$A$1:$O$103,15,0)),0,VLOOKUP($S$544,'TAR FIN'!$A$1:$O$103,15,0))</f>
        <v>0</v>
      </c>
      <c r="W544" s="6">
        <f>IF(ISERROR(VLOOKUP($T$544,'TAR FIN'!$A$1:$O$103,15,0)),0,VLOOKUP($T$544,'TAR FIN'!$A$1:$O$103,15,0))</f>
        <v>379.62</v>
      </c>
      <c r="X544" s="6">
        <f>IF(ISERROR(VLOOKUP($U$544,'TAR FIN'!$A$1:$O$103,15,0)),0,VLOOKUP($U$544,'TAR FIN'!$A$1:$O$103,15,0))</f>
        <v>255.17</v>
      </c>
      <c r="Y544" s="6"/>
      <c r="Z544" s="6">
        <f ca="1">('TUSD BE'!$AM$32+'TUSD BF'!$AM$32+'TUSD CVA'!$AM$32)*1</f>
        <v>482.06736206829294</v>
      </c>
      <c r="AA544" s="6">
        <f>('TE BE'!$AB$13+'TE BF'!$AB$13+'TE CVA'!$AB$13)*1</f>
        <v>234.02376339339278</v>
      </c>
      <c r="AB544" s="6">
        <f>$K$544*$V$544</f>
        <v>0</v>
      </c>
      <c r="AC544" s="6">
        <f>$M$544*$W$544</f>
        <v>24002.613359999999</v>
      </c>
      <c r="AD544" s="6">
        <f>$O$544*$X$544</f>
        <v>16133.88876</v>
      </c>
      <c r="AE544" s="6">
        <f>$K$544*$Y$544</f>
        <v>0</v>
      </c>
      <c r="AF544" s="6">
        <f ca="1">$M$544*$Z$544</f>
        <v>30480.155168854028</v>
      </c>
      <c r="AG544" s="6">
        <f>$O$544*$AA$544</f>
        <v>14796.854511837439</v>
      </c>
    </row>
    <row r="545" spans="1:33" ht="11.25" customHeight="1" x14ac:dyDescent="0.3">
      <c r="A545" s="4" t="s">
        <v>21</v>
      </c>
      <c r="B545" s="4" t="s">
        <v>22</v>
      </c>
      <c r="C545" s="4" t="s">
        <v>23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25</v>
      </c>
      <c r="I545" s="5">
        <v>44774</v>
      </c>
      <c r="J545" s="6">
        <v>0</v>
      </c>
      <c r="K545" s="6">
        <v>0</v>
      </c>
      <c r="L545" s="6">
        <v>3414.7530000000002</v>
      </c>
      <c r="M545" s="6">
        <v>3414.7530000000002</v>
      </c>
      <c r="N545" s="6">
        <v>3414.7530000000002</v>
      </c>
      <c r="O545" s="6">
        <v>3414.7530000000002</v>
      </c>
      <c r="P545" s="6">
        <v>26417</v>
      </c>
      <c r="Q545" s="4" t="s">
        <v>26</v>
      </c>
      <c r="R545" s="4">
        <v>0</v>
      </c>
      <c r="S545" s="6">
        <v>0</v>
      </c>
      <c r="T545" s="6">
        <v>30</v>
      </c>
      <c r="U545" s="6">
        <v>71</v>
      </c>
      <c r="V545" s="6">
        <f>IF(ISERROR(VLOOKUP($S$545,'TAR FIN'!$A$1:$O$103,15,0)),0,VLOOKUP($S$545,'TAR FIN'!$A$1:$O$103,15,0))</f>
        <v>0</v>
      </c>
      <c r="W545" s="6">
        <f>IF(ISERROR(VLOOKUP($T$545,'TAR FIN'!$A$1:$O$103,15,0)),0,VLOOKUP($T$545,'TAR FIN'!$A$1:$O$103,15,0))</f>
        <v>379.62</v>
      </c>
      <c r="X545" s="6">
        <f>IF(ISERROR(VLOOKUP($U$545,'TAR FIN'!$A$1:$O$103,15,0)),0,VLOOKUP($U$545,'TAR FIN'!$A$1:$O$103,15,0))</f>
        <v>255.17</v>
      </c>
      <c r="Y545" s="6"/>
      <c r="Z545" s="6">
        <f ca="1">('TUSD BE'!$AM$32+'TUSD BF'!$AM$32+'TUSD CVA'!$AM$32)*1</f>
        <v>482.06736206829294</v>
      </c>
      <c r="AA545" s="6">
        <f>('TE BE'!$AB$13+'TE BF'!$AB$13+'TE CVA'!$AB$13)*1</f>
        <v>234.02376339339278</v>
      </c>
      <c r="AB545" s="6">
        <f>$K$545*$V$545</f>
        <v>0</v>
      </c>
      <c r="AC545" s="6">
        <f>$M$545*$W$545</f>
        <v>1296308.5338600001</v>
      </c>
      <c r="AD545" s="6">
        <f>$O$545*$X$545</f>
        <v>871342.52301</v>
      </c>
      <c r="AE545" s="6">
        <f>$K$545*$Y$545</f>
        <v>0</v>
      </c>
      <c r="AF545" s="6">
        <f ca="1">$M$545*$Z$545</f>
        <v>1646140.9708247895</v>
      </c>
      <c r="AG545" s="6">
        <f>$O$545*$AA$545</f>
        <v>799133.3481188782</v>
      </c>
    </row>
    <row r="546" spans="1:33" ht="11.25" customHeight="1" x14ac:dyDescent="0.3">
      <c r="A546" s="4" t="s">
        <v>28</v>
      </c>
      <c r="B546" s="4" t="s">
        <v>22</v>
      </c>
      <c r="C546" s="4" t="s">
        <v>23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25</v>
      </c>
      <c r="I546" s="5">
        <v>44774</v>
      </c>
      <c r="J546" s="6">
        <v>0</v>
      </c>
      <c r="K546" s="6">
        <v>0</v>
      </c>
      <c r="L546" s="6">
        <v>63.838999999999999</v>
      </c>
      <c r="M546" s="6">
        <v>63.838999999999999</v>
      </c>
      <c r="N546" s="6">
        <v>63.838999999999999</v>
      </c>
      <c r="O546" s="6">
        <v>63.838999999999999</v>
      </c>
      <c r="P546" s="6">
        <v>697</v>
      </c>
      <c r="Q546" s="4" t="s">
        <v>26</v>
      </c>
      <c r="R546" s="4">
        <v>0</v>
      </c>
      <c r="S546" s="6">
        <v>0</v>
      </c>
      <c r="T546" s="6">
        <v>30</v>
      </c>
      <c r="U546" s="6">
        <v>71</v>
      </c>
      <c r="V546" s="6">
        <f>IF(ISERROR(VLOOKUP($S$546,'TAR FIN'!$A$1:$O$103,15,0)),0,VLOOKUP($S$546,'TAR FIN'!$A$1:$O$103,15,0))</f>
        <v>0</v>
      </c>
      <c r="W546" s="6">
        <f>IF(ISERROR(VLOOKUP($T$546,'TAR FIN'!$A$1:$O$103,15,0)),0,VLOOKUP($T$546,'TAR FIN'!$A$1:$O$103,15,0))</f>
        <v>379.62</v>
      </c>
      <c r="X546" s="6">
        <f>IF(ISERROR(VLOOKUP($U$546,'TAR FIN'!$A$1:$O$103,15,0)),0,VLOOKUP($U$546,'TAR FIN'!$A$1:$O$103,15,0))</f>
        <v>255.17</v>
      </c>
      <c r="Y546" s="6"/>
      <c r="Z546" s="6">
        <f ca="1">('TUSD BE'!$AM$32+'TUSD BF'!$AM$32+'TUSD CVA'!$AM$32)*1</f>
        <v>482.06736206829294</v>
      </c>
      <c r="AA546" s="6">
        <f>('TE BE'!$AB$13+'TE BF'!$AB$13+'TE CVA'!$AB$13)*1</f>
        <v>234.02376339339278</v>
      </c>
      <c r="AB546" s="6">
        <f>$K$546*$V$546</f>
        <v>0</v>
      </c>
      <c r="AC546" s="6">
        <f>$M$546*$W$546</f>
        <v>24234.561180000001</v>
      </c>
      <c r="AD546" s="6">
        <f>$O$546*$X$546</f>
        <v>16289.797629999999</v>
      </c>
      <c r="AE546" s="6">
        <f>$K$546*$Y$546</f>
        <v>0</v>
      </c>
      <c r="AF546" s="6">
        <f ca="1">$M$546*$Z$546</f>
        <v>30774.698327077753</v>
      </c>
      <c r="AG546" s="6">
        <f>$O$546*$AA$546</f>
        <v>14939.843031270802</v>
      </c>
    </row>
    <row r="547" spans="1:33" ht="11.25" customHeight="1" x14ac:dyDescent="0.3">
      <c r="A547" s="4" t="s">
        <v>21</v>
      </c>
      <c r="B547" s="4" t="s">
        <v>22</v>
      </c>
      <c r="C547" s="4" t="s">
        <v>23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25</v>
      </c>
      <c r="I547" s="5">
        <v>44805</v>
      </c>
      <c r="J547" s="6">
        <v>0</v>
      </c>
      <c r="K547" s="6">
        <v>0</v>
      </c>
      <c r="L547" s="6">
        <v>4069.8310000000001</v>
      </c>
      <c r="M547" s="6">
        <v>4069.8310000000001</v>
      </c>
      <c r="N547" s="6">
        <v>4069.8310000000001</v>
      </c>
      <c r="O547" s="6">
        <v>4069.8310000000001</v>
      </c>
      <c r="P547" s="6">
        <v>26434</v>
      </c>
      <c r="Q547" s="4" t="s">
        <v>26</v>
      </c>
      <c r="R547" s="4">
        <v>0</v>
      </c>
      <c r="S547" s="6">
        <v>0</v>
      </c>
      <c r="T547" s="6">
        <v>30</v>
      </c>
      <c r="U547" s="6">
        <v>71</v>
      </c>
      <c r="V547" s="6">
        <f>IF(ISERROR(VLOOKUP($S$547,'TAR FIN'!$A$1:$O$103,15,0)),0,VLOOKUP($S$547,'TAR FIN'!$A$1:$O$103,15,0))</f>
        <v>0</v>
      </c>
      <c r="W547" s="6">
        <f>IF(ISERROR(VLOOKUP($T$547,'TAR FIN'!$A$1:$O$103,15,0)),0,VLOOKUP($T$547,'TAR FIN'!$A$1:$O$103,15,0))</f>
        <v>379.62</v>
      </c>
      <c r="X547" s="6">
        <f>IF(ISERROR(VLOOKUP($U$547,'TAR FIN'!$A$1:$O$103,15,0)),0,VLOOKUP($U$547,'TAR FIN'!$A$1:$O$103,15,0))</f>
        <v>255.17</v>
      </c>
      <c r="Y547" s="6"/>
      <c r="Z547" s="6">
        <f ca="1">('TUSD BE'!$AM$32+'TUSD BF'!$AM$32+'TUSD CVA'!$AM$32)*1</f>
        <v>482.06736206829294</v>
      </c>
      <c r="AA547" s="6">
        <f>('TE BE'!$AB$13+'TE BF'!$AB$13+'TE CVA'!$AB$13)*1</f>
        <v>234.02376339339278</v>
      </c>
      <c r="AB547" s="6">
        <f>$K$547*$V$547</f>
        <v>0</v>
      </c>
      <c r="AC547" s="6">
        <f>$M$547*$W$547</f>
        <v>1544989.24422</v>
      </c>
      <c r="AD547" s="6">
        <f>$O$547*$X$547</f>
        <v>1038498.77627</v>
      </c>
      <c r="AE547" s="6">
        <f>$K$547*$Y$547</f>
        <v>0</v>
      </c>
      <c r="AF547" s="6">
        <f ca="1">$M$547*$Z$547</f>
        <v>1961932.6942337628</v>
      </c>
      <c r="AG547" s="6">
        <f>$O$547*$AA$547</f>
        <v>952437.16699509521</v>
      </c>
    </row>
    <row r="548" spans="1:33" ht="11.25" customHeight="1" x14ac:dyDescent="0.3">
      <c r="A548" s="4" t="s">
        <v>28</v>
      </c>
      <c r="B548" s="4" t="s">
        <v>22</v>
      </c>
      <c r="C548" s="4" t="s">
        <v>23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25</v>
      </c>
      <c r="I548" s="5">
        <v>44805</v>
      </c>
      <c r="J548" s="6">
        <v>0</v>
      </c>
      <c r="K548" s="6">
        <v>0</v>
      </c>
      <c r="L548" s="6">
        <v>74.814999999999998</v>
      </c>
      <c r="M548" s="6">
        <v>74.814999999999998</v>
      </c>
      <c r="N548" s="6">
        <v>74.814999999999998</v>
      </c>
      <c r="O548" s="6">
        <v>74.814999999999998</v>
      </c>
      <c r="P548" s="6">
        <v>734</v>
      </c>
      <c r="Q548" s="4" t="s">
        <v>26</v>
      </c>
      <c r="R548" s="4">
        <v>0</v>
      </c>
      <c r="S548" s="6">
        <v>0</v>
      </c>
      <c r="T548" s="6">
        <v>30</v>
      </c>
      <c r="U548" s="6">
        <v>71</v>
      </c>
      <c r="V548" s="6">
        <f>IF(ISERROR(VLOOKUP($S$548,'TAR FIN'!$A$1:$O$103,15,0)),0,VLOOKUP($S$548,'TAR FIN'!$A$1:$O$103,15,0))</f>
        <v>0</v>
      </c>
      <c r="W548" s="6">
        <f>IF(ISERROR(VLOOKUP($T$548,'TAR FIN'!$A$1:$O$103,15,0)),0,VLOOKUP($T$548,'TAR FIN'!$A$1:$O$103,15,0))</f>
        <v>379.62</v>
      </c>
      <c r="X548" s="6">
        <f>IF(ISERROR(VLOOKUP($U$548,'TAR FIN'!$A$1:$O$103,15,0)),0,VLOOKUP($U$548,'TAR FIN'!$A$1:$O$103,15,0))</f>
        <v>255.17</v>
      </c>
      <c r="Y548" s="6"/>
      <c r="Z548" s="6">
        <f ca="1">('TUSD BE'!$AM$32+'TUSD BF'!$AM$32+'TUSD CVA'!$AM$32)*1</f>
        <v>482.06736206829294</v>
      </c>
      <c r="AA548" s="6">
        <f>('TE BE'!$AB$13+'TE BF'!$AB$13+'TE CVA'!$AB$13)*1</f>
        <v>234.02376339339278</v>
      </c>
      <c r="AB548" s="6">
        <f>$K$548*$V$548</f>
        <v>0</v>
      </c>
      <c r="AC548" s="6">
        <f>$M$548*$W$548</f>
        <v>28401.2703</v>
      </c>
      <c r="AD548" s="6">
        <f>$O$548*$X$548</f>
        <v>19090.543549999999</v>
      </c>
      <c r="AE548" s="6">
        <f>$K$548*$Y$548</f>
        <v>0</v>
      </c>
      <c r="AF548" s="6">
        <f ca="1">$M$548*$Z$548</f>
        <v>36065.869693139335</v>
      </c>
      <c r="AG548" s="6">
        <f>$O$548*$AA$548</f>
        <v>17508.48785827668</v>
      </c>
    </row>
    <row r="549" spans="1:33" ht="11.25" customHeight="1" x14ac:dyDescent="0.3">
      <c r="A549" s="4" t="s">
        <v>57</v>
      </c>
      <c r="B549" s="4" t="s">
        <v>22</v>
      </c>
      <c r="C549" s="4" t="s">
        <v>23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25</v>
      </c>
      <c r="I549" s="5">
        <v>44835</v>
      </c>
      <c r="J549" s="6">
        <v>0</v>
      </c>
      <c r="K549" s="6">
        <v>0</v>
      </c>
      <c r="L549" s="6">
        <v>4069.8310000000001</v>
      </c>
      <c r="M549" s="6">
        <v>4069.8310000000001</v>
      </c>
      <c r="N549" s="6">
        <v>4069.8310000000001</v>
      </c>
      <c r="O549" s="6">
        <v>4069.8310000000001</v>
      </c>
      <c r="P549" s="6">
        <v>26434</v>
      </c>
      <c r="Q549" s="4" t="s">
        <v>26</v>
      </c>
      <c r="R549" s="4">
        <v>0</v>
      </c>
      <c r="S549" s="6">
        <v>0</v>
      </c>
      <c r="T549" s="6">
        <v>30</v>
      </c>
      <c r="U549" s="6">
        <v>71</v>
      </c>
      <c r="V549" s="6">
        <f>IF(ISERROR(VLOOKUP($S$549,'TAR FIN'!$A$1:$O$103,15,0)),0,VLOOKUP($S$549,'TAR FIN'!$A$1:$O$103,15,0))</f>
        <v>0</v>
      </c>
      <c r="W549" s="6">
        <f>IF(ISERROR(VLOOKUP($T$549,'TAR FIN'!$A$1:$O$103,15,0)),0,VLOOKUP($T$549,'TAR FIN'!$A$1:$O$103,15,0))</f>
        <v>379.62</v>
      </c>
      <c r="X549" s="6">
        <f>IF(ISERROR(VLOOKUP($U$549,'TAR FIN'!$A$1:$O$103,15,0)),0,VLOOKUP($U$549,'TAR FIN'!$A$1:$O$103,15,0))</f>
        <v>255.17</v>
      </c>
      <c r="Y549" s="6"/>
      <c r="Z549" s="6">
        <f ca="1">('TUSD BE'!$AM$32+'TUSD BF'!$AM$32+'TUSD CVA'!$AM$32)*1</f>
        <v>482.06736206829294</v>
      </c>
      <c r="AA549" s="6">
        <f>('TE BE'!$AB$13+'TE BF'!$AB$13+'TE CVA'!$AB$13)*1</f>
        <v>234.02376339339278</v>
      </c>
      <c r="AB549" s="6">
        <f>$K$549*$V$549</f>
        <v>0</v>
      </c>
      <c r="AC549" s="6">
        <f>$M$549*$W$549</f>
        <v>1544989.24422</v>
      </c>
      <c r="AD549" s="6">
        <f>$O$549*$X$549</f>
        <v>1038498.77627</v>
      </c>
      <c r="AE549" s="6">
        <f>$K$549*$Y$549</f>
        <v>0</v>
      </c>
      <c r="AF549" s="6">
        <f ca="1">$M$549*$Z$549</f>
        <v>1961932.6942337628</v>
      </c>
      <c r="AG549" s="6">
        <f>$O$549*$AA$549</f>
        <v>952437.16699509521</v>
      </c>
    </row>
    <row r="550" spans="1:33" ht="11.25" customHeight="1" x14ac:dyDescent="0.3">
      <c r="A550" s="4" t="s">
        <v>57</v>
      </c>
      <c r="B550" s="4" t="s">
        <v>22</v>
      </c>
      <c r="C550" s="4" t="s">
        <v>23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25</v>
      </c>
      <c r="I550" s="5">
        <v>44835</v>
      </c>
      <c r="J550" s="6">
        <v>0</v>
      </c>
      <c r="K550" s="6">
        <v>0</v>
      </c>
      <c r="L550" s="6">
        <v>74.814999999999998</v>
      </c>
      <c r="M550" s="6">
        <v>74.814999999999998</v>
      </c>
      <c r="N550" s="6">
        <v>74.814999999999998</v>
      </c>
      <c r="O550" s="6">
        <v>74.814999999999998</v>
      </c>
      <c r="P550" s="6">
        <v>734</v>
      </c>
      <c r="Q550" s="4" t="s">
        <v>26</v>
      </c>
      <c r="R550" s="4">
        <v>0</v>
      </c>
      <c r="S550" s="6">
        <v>0</v>
      </c>
      <c r="T550" s="6">
        <v>30</v>
      </c>
      <c r="U550" s="6">
        <v>71</v>
      </c>
      <c r="V550" s="6">
        <f>IF(ISERROR(VLOOKUP($S$550,'TAR FIN'!$A$1:$O$103,15,0)),0,VLOOKUP($S$550,'TAR FIN'!$A$1:$O$103,15,0))</f>
        <v>0</v>
      </c>
      <c r="W550" s="6">
        <f>IF(ISERROR(VLOOKUP($T$550,'TAR FIN'!$A$1:$O$103,15,0)),0,VLOOKUP($T$550,'TAR FIN'!$A$1:$O$103,15,0))</f>
        <v>379.62</v>
      </c>
      <c r="X550" s="6">
        <f>IF(ISERROR(VLOOKUP($U$550,'TAR FIN'!$A$1:$O$103,15,0)),0,VLOOKUP($U$550,'TAR FIN'!$A$1:$O$103,15,0))</f>
        <v>255.17</v>
      </c>
      <c r="Y550" s="6"/>
      <c r="Z550" s="6">
        <f ca="1">('TUSD BE'!$AM$32+'TUSD BF'!$AM$32+'TUSD CVA'!$AM$32)*1</f>
        <v>482.06736206829294</v>
      </c>
      <c r="AA550" s="6">
        <f>('TE BE'!$AB$13+'TE BF'!$AB$13+'TE CVA'!$AB$13)*1</f>
        <v>234.02376339339278</v>
      </c>
      <c r="AB550" s="6">
        <f>$K$550*$V$550</f>
        <v>0</v>
      </c>
      <c r="AC550" s="6">
        <f>$M$550*$W$550</f>
        <v>28401.2703</v>
      </c>
      <c r="AD550" s="6">
        <f>$O$550*$X$550</f>
        <v>19090.543549999999</v>
      </c>
      <c r="AE550" s="6">
        <f>$K$550*$Y$550</f>
        <v>0</v>
      </c>
      <c r="AF550" s="6">
        <f ca="1">$M$550*$Z$550</f>
        <v>36065.869693139335</v>
      </c>
      <c r="AG550" s="6">
        <f>$O$550*$AA$550</f>
        <v>17508.48785827668</v>
      </c>
    </row>
    <row r="551" spans="1:33" ht="11.25" customHeight="1" x14ac:dyDescent="0.3">
      <c r="A551" s="4" t="s">
        <v>21</v>
      </c>
      <c r="B551" s="4" t="s">
        <v>22</v>
      </c>
      <c r="C551" s="4" t="s">
        <v>23</v>
      </c>
      <c r="D551" s="4" t="s">
        <v>24</v>
      </c>
      <c r="E551" s="4" t="s">
        <v>29</v>
      </c>
      <c r="F551" s="4" t="s">
        <v>25</v>
      </c>
      <c r="G551" s="4" t="s">
        <v>25</v>
      </c>
      <c r="H551" s="4" t="s">
        <v>25</v>
      </c>
      <c r="I551" s="5">
        <v>44501</v>
      </c>
      <c r="J551" s="6">
        <v>0</v>
      </c>
      <c r="K551" s="6">
        <v>0</v>
      </c>
      <c r="L551" s="6">
        <v>74.97</v>
      </c>
      <c r="M551" s="6">
        <v>74.97</v>
      </c>
      <c r="N551" s="6">
        <v>74.97</v>
      </c>
      <c r="O551" s="6">
        <v>74.97</v>
      </c>
      <c r="P551" s="6">
        <v>78</v>
      </c>
      <c r="Q551" s="4" t="s">
        <v>26</v>
      </c>
      <c r="R551" s="4">
        <v>0</v>
      </c>
      <c r="S551" s="6">
        <v>0</v>
      </c>
      <c r="T551" s="6">
        <v>31</v>
      </c>
      <c r="U551" s="6">
        <v>72</v>
      </c>
      <c r="V551" s="6">
        <f>IF(ISERROR(VLOOKUP($S$551,'TAR FIN'!$A$1:$O$103,15,0)),0,VLOOKUP($S$551,'TAR FIN'!$A$1:$O$103,15,0))</f>
        <v>0</v>
      </c>
      <c r="W551" s="6">
        <f>IF(ISERROR(VLOOKUP($T$551,'TAR FIN'!$A$1:$O$103,15,0)),0,VLOOKUP($T$551,'TAR FIN'!$A$1:$O$103,15,0))</f>
        <v>105.1</v>
      </c>
      <c r="X551" s="6">
        <f>IF(ISERROR(VLOOKUP($U$551,'TAR FIN'!$A$1:$O$103,15,0)),0,VLOOKUP($U$551,'TAR FIN'!$A$1:$O$103,15,0))</f>
        <v>89.31</v>
      </c>
      <c r="Y551" s="6"/>
      <c r="Z551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51" s="6">
        <f>('TE BE'!$AB$14+'TE BF'!$AB$14+'TE CVA'!$AB$14)*(1-CUSTOS!$M$34)</f>
        <v>81.908317187687473</v>
      </c>
      <c r="AB551" s="6">
        <f>$K$551*$V$551</f>
        <v>0</v>
      </c>
      <c r="AC551" s="6">
        <f>$M$551*$W$551</f>
        <v>7879.3469999999998</v>
      </c>
      <c r="AD551" s="6">
        <f>$O$551*$X$551</f>
        <v>6695.5707000000002</v>
      </c>
      <c r="AE551" s="6">
        <f>$K$551*$Y$551</f>
        <v>0</v>
      </c>
      <c r="AF551" s="6">
        <f ca="1">$M$551*$Z$551</f>
        <v>8621.5475971429405</v>
      </c>
      <c r="AG551" s="6">
        <f>$O$551*$AA$551</f>
        <v>6140.6665395609298</v>
      </c>
    </row>
    <row r="552" spans="1:33" ht="11.25" customHeight="1" x14ac:dyDescent="0.3">
      <c r="A552" s="4" t="s">
        <v>21</v>
      </c>
      <c r="B552" s="4" t="s">
        <v>22</v>
      </c>
      <c r="C552" s="4" t="s">
        <v>23</v>
      </c>
      <c r="D552" s="4" t="s">
        <v>24</v>
      </c>
      <c r="E552" s="4" t="s">
        <v>29</v>
      </c>
      <c r="F552" s="4" t="s">
        <v>25</v>
      </c>
      <c r="G552" s="4" t="s">
        <v>25</v>
      </c>
      <c r="H552" s="4" t="s">
        <v>25</v>
      </c>
      <c r="I552" s="5">
        <v>44531</v>
      </c>
      <c r="J552" s="6">
        <v>0</v>
      </c>
      <c r="K552" s="6">
        <v>0</v>
      </c>
      <c r="L552" s="6">
        <v>78.33</v>
      </c>
      <c r="M552" s="6">
        <v>78.33</v>
      </c>
      <c r="N552" s="6">
        <v>78.33</v>
      </c>
      <c r="O552" s="6">
        <v>78.33</v>
      </c>
      <c r="P552" s="6">
        <v>100</v>
      </c>
      <c r="Q552" s="4" t="s">
        <v>26</v>
      </c>
      <c r="R552" s="4">
        <v>0</v>
      </c>
      <c r="S552" s="6">
        <v>0</v>
      </c>
      <c r="T552" s="6">
        <v>31</v>
      </c>
      <c r="U552" s="6">
        <v>72</v>
      </c>
      <c r="V552" s="6">
        <f>IF(ISERROR(VLOOKUP($S$552,'TAR FIN'!$A$1:$O$103,15,0)),0,VLOOKUP($S$552,'TAR FIN'!$A$1:$O$103,15,0))</f>
        <v>0</v>
      </c>
      <c r="W552" s="6">
        <f>IF(ISERROR(VLOOKUP($T$552,'TAR FIN'!$A$1:$O$103,15,0)),0,VLOOKUP($T$552,'TAR FIN'!$A$1:$O$103,15,0))</f>
        <v>105.1</v>
      </c>
      <c r="X552" s="6">
        <f>IF(ISERROR(VLOOKUP($U$552,'TAR FIN'!$A$1:$O$103,15,0)),0,VLOOKUP($U$552,'TAR FIN'!$A$1:$O$103,15,0))</f>
        <v>89.31</v>
      </c>
      <c r="Y552" s="6"/>
      <c r="Z552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52" s="6">
        <f>('TE BE'!$AB$14+'TE BF'!$AB$14+'TE CVA'!$AB$14)*(1-CUSTOS!$M$34)</f>
        <v>81.908317187687473</v>
      </c>
      <c r="AB552" s="6">
        <f>$K$552*$V$552</f>
        <v>0</v>
      </c>
      <c r="AC552" s="6">
        <f>$M$552*$W$552</f>
        <v>8232.4830000000002</v>
      </c>
      <c r="AD552" s="6">
        <f>$O$552*$X$552</f>
        <v>6995.6522999999997</v>
      </c>
      <c r="AE552" s="6">
        <f>$K$552*$Y$552</f>
        <v>0</v>
      </c>
      <c r="AF552" s="6">
        <f ca="1">$M$552*$Z$552</f>
        <v>9007.947489451868</v>
      </c>
      <c r="AG552" s="6">
        <f>$O$552*$AA$552</f>
        <v>6415.8784853115594</v>
      </c>
    </row>
    <row r="553" spans="1:33" ht="11.25" customHeight="1" x14ac:dyDescent="0.3">
      <c r="A553" s="4" t="s">
        <v>21</v>
      </c>
      <c r="B553" s="4" t="s">
        <v>22</v>
      </c>
      <c r="C553" s="4" t="s">
        <v>23</v>
      </c>
      <c r="D553" s="4" t="s">
        <v>24</v>
      </c>
      <c r="E553" s="4" t="s">
        <v>29</v>
      </c>
      <c r="F553" s="4" t="s">
        <v>25</v>
      </c>
      <c r="G553" s="4" t="s">
        <v>25</v>
      </c>
      <c r="H553" s="4" t="s">
        <v>25</v>
      </c>
      <c r="I553" s="5">
        <v>44562</v>
      </c>
      <c r="J553" s="6">
        <v>0</v>
      </c>
      <c r="K553" s="6">
        <v>0</v>
      </c>
      <c r="L553" s="6">
        <v>80.010000000000005</v>
      </c>
      <c r="M553" s="6">
        <v>80.010000000000005</v>
      </c>
      <c r="N553" s="6">
        <v>80.010000000000005</v>
      </c>
      <c r="O553" s="6">
        <v>80.010000000000005</v>
      </c>
      <c r="P553" s="6">
        <v>88</v>
      </c>
      <c r="Q553" s="4" t="s">
        <v>26</v>
      </c>
      <c r="R553" s="4">
        <v>0</v>
      </c>
      <c r="S553" s="6">
        <v>0</v>
      </c>
      <c r="T553" s="6">
        <v>31</v>
      </c>
      <c r="U553" s="6">
        <v>72</v>
      </c>
      <c r="V553" s="6">
        <f>IF(ISERROR(VLOOKUP($S$553,'TAR FIN'!$A$1:$O$103,15,0)),0,VLOOKUP($S$553,'TAR FIN'!$A$1:$O$103,15,0))</f>
        <v>0</v>
      </c>
      <c r="W553" s="6">
        <f>IF(ISERROR(VLOOKUP($T$553,'TAR FIN'!$A$1:$O$103,15,0)),0,VLOOKUP($T$553,'TAR FIN'!$A$1:$O$103,15,0))</f>
        <v>105.1</v>
      </c>
      <c r="X553" s="6">
        <f>IF(ISERROR(VLOOKUP($U$553,'TAR FIN'!$A$1:$O$103,15,0)),0,VLOOKUP($U$553,'TAR FIN'!$A$1:$O$103,15,0))</f>
        <v>89.31</v>
      </c>
      <c r="Y553" s="6"/>
      <c r="Z553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53" s="6">
        <f>('TE BE'!$AB$14+'TE BF'!$AB$14+'TE CVA'!$AB$14)*(1-CUSTOS!$M$34)</f>
        <v>81.908317187687473</v>
      </c>
      <c r="AB553" s="6">
        <f>$K$553*$V$553</f>
        <v>0</v>
      </c>
      <c r="AC553" s="6">
        <f>$M$553*$W$553</f>
        <v>8409.0509999999995</v>
      </c>
      <c r="AD553" s="6">
        <f>$O$553*$X$553</f>
        <v>7145.6931000000004</v>
      </c>
      <c r="AE553" s="6">
        <f>$K$553*$Y$553</f>
        <v>0</v>
      </c>
      <c r="AF553" s="6">
        <f ca="1">$M$553*$Z$553</f>
        <v>9201.1474356063336</v>
      </c>
      <c r="AG553" s="6">
        <f>$O$553*$AA$553</f>
        <v>6553.4844581868747</v>
      </c>
    </row>
    <row r="554" spans="1:33" ht="11.25" customHeight="1" x14ac:dyDescent="0.3">
      <c r="A554" s="4" t="s">
        <v>21</v>
      </c>
      <c r="B554" s="4" t="s">
        <v>22</v>
      </c>
      <c r="C554" s="4" t="s">
        <v>23</v>
      </c>
      <c r="D554" s="4" t="s">
        <v>24</v>
      </c>
      <c r="E554" s="4" t="s">
        <v>29</v>
      </c>
      <c r="F554" s="4" t="s">
        <v>25</v>
      </c>
      <c r="G554" s="4" t="s">
        <v>25</v>
      </c>
      <c r="H554" s="4" t="s">
        <v>25</v>
      </c>
      <c r="I554" s="5">
        <v>44593</v>
      </c>
      <c r="J554" s="6">
        <v>0</v>
      </c>
      <c r="K554" s="6">
        <v>0</v>
      </c>
      <c r="L554" s="6">
        <v>82.56</v>
      </c>
      <c r="M554" s="6">
        <v>82.56</v>
      </c>
      <c r="N554" s="6">
        <v>82.56</v>
      </c>
      <c r="O554" s="6">
        <v>82.56</v>
      </c>
      <c r="P554" s="6">
        <v>88</v>
      </c>
      <c r="Q554" s="4" t="s">
        <v>26</v>
      </c>
      <c r="R554" s="4">
        <v>0</v>
      </c>
      <c r="S554" s="6">
        <v>0</v>
      </c>
      <c r="T554" s="6">
        <v>31</v>
      </c>
      <c r="U554" s="6">
        <v>72</v>
      </c>
      <c r="V554" s="6">
        <f>IF(ISERROR(VLOOKUP($S$554,'TAR FIN'!$A$1:$O$103,15,0)),0,VLOOKUP($S$554,'TAR FIN'!$A$1:$O$103,15,0))</f>
        <v>0</v>
      </c>
      <c r="W554" s="6">
        <f>IF(ISERROR(VLOOKUP($T$554,'TAR FIN'!$A$1:$O$103,15,0)),0,VLOOKUP($T$554,'TAR FIN'!$A$1:$O$103,15,0))</f>
        <v>105.1</v>
      </c>
      <c r="X554" s="6">
        <f>IF(ISERROR(VLOOKUP($U$554,'TAR FIN'!$A$1:$O$103,15,0)),0,VLOOKUP($U$554,'TAR FIN'!$A$1:$O$103,15,0))</f>
        <v>89.31</v>
      </c>
      <c r="Y554" s="6"/>
      <c r="Z554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54" s="6">
        <f>('TE BE'!$AB$14+'TE BF'!$AB$14+'TE CVA'!$AB$14)*(1-CUSTOS!$M$34)</f>
        <v>81.908317187687473</v>
      </c>
      <c r="AB554" s="6">
        <f>$K$554*$V$554</f>
        <v>0</v>
      </c>
      <c r="AC554" s="6">
        <f>$M$554*$W$554</f>
        <v>8677.0560000000005</v>
      </c>
      <c r="AD554" s="6">
        <f>$O$554*$X$554</f>
        <v>7373.4336000000003</v>
      </c>
      <c r="AE554" s="6">
        <f>$K$554*$Y$554</f>
        <v>0</v>
      </c>
      <c r="AF554" s="6">
        <f ca="1">$M$554*$Z$554</f>
        <v>9494.3973538765003</v>
      </c>
      <c r="AG554" s="6">
        <f>$O$554*$AA$554</f>
        <v>6762.3506670154784</v>
      </c>
    </row>
    <row r="555" spans="1:33" ht="11.25" customHeight="1" x14ac:dyDescent="0.3">
      <c r="A555" s="4" t="s">
        <v>21</v>
      </c>
      <c r="B555" s="4" t="s">
        <v>22</v>
      </c>
      <c r="C555" s="4" t="s">
        <v>23</v>
      </c>
      <c r="D555" s="4" t="s">
        <v>24</v>
      </c>
      <c r="E555" s="4" t="s">
        <v>29</v>
      </c>
      <c r="F555" s="4" t="s">
        <v>25</v>
      </c>
      <c r="G555" s="4" t="s">
        <v>25</v>
      </c>
      <c r="H555" s="4" t="s">
        <v>25</v>
      </c>
      <c r="I555" s="5">
        <v>44621</v>
      </c>
      <c r="J555" s="6">
        <v>0</v>
      </c>
      <c r="K555" s="6">
        <v>0</v>
      </c>
      <c r="L555" s="6">
        <v>86.88</v>
      </c>
      <c r="M555" s="6">
        <v>86.88</v>
      </c>
      <c r="N555" s="6">
        <v>86.88</v>
      </c>
      <c r="O555" s="6">
        <v>86.88</v>
      </c>
      <c r="P555" s="6">
        <v>95</v>
      </c>
      <c r="Q555" s="4" t="s">
        <v>26</v>
      </c>
      <c r="R555" s="4">
        <v>0</v>
      </c>
      <c r="S555" s="6">
        <v>0</v>
      </c>
      <c r="T555" s="6">
        <v>31</v>
      </c>
      <c r="U555" s="6">
        <v>72</v>
      </c>
      <c r="V555" s="6">
        <f>IF(ISERROR(VLOOKUP($S$555,'TAR FIN'!$A$1:$O$103,15,0)),0,VLOOKUP($S$555,'TAR FIN'!$A$1:$O$103,15,0))</f>
        <v>0</v>
      </c>
      <c r="W555" s="6">
        <f>IF(ISERROR(VLOOKUP($T$555,'TAR FIN'!$A$1:$O$103,15,0)),0,VLOOKUP($T$555,'TAR FIN'!$A$1:$O$103,15,0))</f>
        <v>105.1</v>
      </c>
      <c r="X555" s="6">
        <f>IF(ISERROR(VLOOKUP($U$555,'TAR FIN'!$A$1:$O$103,15,0)),0,VLOOKUP($U$555,'TAR FIN'!$A$1:$O$103,15,0))</f>
        <v>89.31</v>
      </c>
      <c r="Y555" s="6"/>
      <c r="Z555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55" s="6">
        <f>('TE BE'!$AB$14+'TE BF'!$AB$14+'TE CVA'!$AB$14)*(1-CUSTOS!$M$34)</f>
        <v>81.908317187687473</v>
      </c>
      <c r="AB555" s="6">
        <f>$K$555*$V$555</f>
        <v>0</v>
      </c>
      <c r="AC555" s="6">
        <f>$M$555*$W$555</f>
        <v>9131.0879999999997</v>
      </c>
      <c r="AD555" s="6">
        <f>$O$555*$X$555</f>
        <v>7759.2528000000002</v>
      </c>
      <c r="AE555" s="6">
        <f>$K$555*$Y$555</f>
        <v>0</v>
      </c>
      <c r="AF555" s="6">
        <f ca="1">$M$555*$Z$555</f>
        <v>9991.1972154165487</v>
      </c>
      <c r="AG555" s="6">
        <f>$O$555*$AA$555</f>
        <v>7116.194597266287</v>
      </c>
    </row>
    <row r="556" spans="1:33" ht="11.25" customHeight="1" x14ac:dyDescent="0.3">
      <c r="A556" s="4" t="s">
        <v>21</v>
      </c>
      <c r="B556" s="4" t="s">
        <v>22</v>
      </c>
      <c r="C556" s="4" t="s">
        <v>23</v>
      </c>
      <c r="D556" s="4" t="s">
        <v>24</v>
      </c>
      <c r="E556" s="4" t="s">
        <v>29</v>
      </c>
      <c r="F556" s="4" t="s">
        <v>25</v>
      </c>
      <c r="G556" s="4" t="s">
        <v>25</v>
      </c>
      <c r="H556" s="4" t="s">
        <v>25</v>
      </c>
      <c r="I556" s="5">
        <v>44652</v>
      </c>
      <c r="J556" s="6">
        <v>0</v>
      </c>
      <c r="K556" s="6">
        <v>0</v>
      </c>
      <c r="L556" s="6">
        <v>97.29</v>
      </c>
      <c r="M556" s="6">
        <v>97.29</v>
      </c>
      <c r="N556" s="6">
        <v>97.29</v>
      </c>
      <c r="O556" s="6">
        <v>97.29</v>
      </c>
      <c r="P556" s="6">
        <v>89</v>
      </c>
      <c r="Q556" s="4" t="s">
        <v>26</v>
      </c>
      <c r="R556" s="4">
        <v>0</v>
      </c>
      <c r="S556" s="6">
        <v>0</v>
      </c>
      <c r="T556" s="6">
        <v>31</v>
      </c>
      <c r="U556" s="6">
        <v>72</v>
      </c>
      <c r="V556" s="6">
        <f>IF(ISERROR(VLOOKUP($S$556,'TAR FIN'!$A$1:$O$103,15,0)),0,VLOOKUP($S$556,'TAR FIN'!$A$1:$O$103,15,0))</f>
        <v>0</v>
      </c>
      <c r="W556" s="6">
        <f>IF(ISERROR(VLOOKUP($T$556,'TAR FIN'!$A$1:$O$103,15,0)),0,VLOOKUP($T$556,'TAR FIN'!$A$1:$O$103,15,0))</f>
        <v>105.1</v>
      </c>
      <c r="X556" s="6">
        <f>IF(ISERROR(VLOOKUP($U$556,'TAR FIN'!$A$1:$O$103,15,0)),0,VLOOKUP($U$556,'TAR FIN'!$A$1:$O$103,15,0))</f>
        <v>89.31</v>
      </c>
      <c r="Y556" s="6"/>
      <c r="Z556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56" s="6">
        <f>('TE BE'!$AB$14+'TE BF'!$AB$14+'TE CVA'!$AB$14)*(1-CUSTOS!$M$34)</f>
        <v>81.908317187687473</v>
      </c>
      <c r="AB556" s="6">
        <f>$K$556*$V$556</f>
        <v>0</v>
      </c>
      <c r="AC556" s="6">
        <f>$M$556*$W$556</f>
        <v>10225.179</v>
      </c>
      <c r="AD556" s="6">
        <f>$O$556*$X$556</f>
        <v>8688.9699000000001</v>
      </c>
      <c r="AE556" s="6">
        <f>$K$556*$Y$556</f>
        <v>0</v>
      </c>
      <c r="AF556" s="6">
        <f ca="1">$M$556*$Z$556</f>
        <v>11188.346881766531</v>
      </c>
      <c r="AG556" s="6">
        <f>$O$556*$AA$556</f>
        <v>7968.8601791901146</v>
      </c>
    </row>
    <row r="557" spans="1:33" ht="11.25" customHeight="1" x14ac:dyDescent="0.3">
      <c r="A557" s="4" t="s">
        <v>21</v>
      </c>
      <c r="B557" s="4" t="s">
        <v>22</v>
      </c>
      <c r="C557" s="4" t="s">
        <v>23</v>
      </c>
      <c r="D557" s="4" t="s">
        <v>24</v>
      </c>
      <c r="E557" s="4" t="s">
        <v>29</v>
      </c>
      <c r="F557" s="4" t="s">
        <v>25</v>
      </c>
      <c r="G557" s="4" t="s">
        <v>25</v>
      </c>
      <c r="H557" s="4" t="s">
        <v>25</v>
      </c>
      <c r="I557" s="5">
        <v>44682</v>
      </c>
      <c r="J557" s="6">
        <v>0</v>
      </c>
      <c r="K557" s="6">
        <v>0</v>
      </c>
      <c r="L557" s="6">
        <v>105.64</v>
      </c>
      <c r="M557" s="6">
        <v>105.64</v>
      </c>
      <c r="N557" s="6">
        <v>105.64</v>
      </c>
      <c r="O557" s="6">
        <v>105.64</v>
      </c>
      <c r="P557" s="6">
        <v>104</v>
      </c>
      <c r="Q557" s="4" t="s">
        <v>26</v>
      </c>
      <c r="R557" s="4">
        <v>0</v>
      </c>
      <c r="S557" s="6">
        <v>0</v>
      </c>
      <c r="T557" s="6">
        <v>31</v>
      </c>
      <c r="U557" s="6">
        <v>72</v>
      </c>
      <c r="V557" s="6">
        <f>IF(ISERROR(VLOOKUP($S$557,'TAR FIN'!$A$1:$O$103,15,0)),0,VLOOKUP($S$557,'TAR FIN'!$A$1:$O$103,15,0))</f>
        <v>0</v>
      </c>
      <c r="W557" s="6">
        <f>IF(ISERROR(VLOOKUP($T$557,'TAR FIN'!$A$1:$O$103,15,0)),0,VLOOKUP($T$557,'TAR FIN'!$A$1:$O$103,15,0))</f>
        <v>105.1</v>
      </c>
      <c r="X557" s="6">
        <f>IF(ISERROR(VLOOKUP($U$557,'TAR FIN'!$A$1:$O$103,15,0)),0,VLOOKUP($U$557,'TAR FIN'!$A$1:$O$103,15,0))</f>
        <v>89.31</v>
      </c>
      <c r="Y557" s="6"/>
      <c r="Z557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57" s="6">
        <f>('TE BE'!$AB$14+'TE BF'!$AB$14+'TE CVA'!$AB$14)*(1-CUSTOS!$M$34)</f>
        <v>81.908317187687473</v>
      </c>
      <c r="AB557" s="6">
        <f>$K$557*$V$557</f>
        <v>0</v>
      </c>
      <c r="AC557" s="6">
        <f>$M$557*$W$557</f>
        <v>11102.763999999999</v>
      </c>
      <c r="AD557" s="6">
        <f>$O$557*$X$557</f>
        <v>9434.7083999999995</v>
      </c>
      <c r="AE557" s="6">
        <f>$K$557*$Y$557</f>
        <v>0</v>
      </c>
      <c r="AF557" s="6">
        <f ca="1">$M$557*$Z$557</f>
        <v>12148.596614141394</v>
      </c>
      <c r="AG557" s="6">
        <f>$O$557*$AA$557</f>
        <v>8652.7946277073042</v>
      </c>
    </row>
    <row r="558" spans="1:33" ht="11.25" customHeight="1" x14ac:dyDescent="0.3">
      <c r="A558" s="4" t="s">
        <v>21</v>
      </c>
      <c r="B558" s="4" t="s">
        <v>22</v>
      </c>
      <c r="C558" s="4" t="s">
        <v>23</v>
      </c>
      <c r="D558" s="4" t="s">
        <v>24</v>
      </c>
      <c r="E558" s="4" t="s">
        <v>29</v>
      </c>
      <c r="F558" s="4" t="s">
        <v>25</v>
      </c>
      <c r="G558" s="4" t="s">
        <v>25</v>
      </c>
      <c r="H558" s="4" t="s">
        <v>25</v>
      </c>
      <c r="I558" s="5">
        <v>44713</v>
      </c>
      <c r="J558" s="6">
        <v>0</v>
      </c>
      <c r="K558" s="6">
        <v>0</v>
      </c>
      <c r="L558" s="6">
        <v>101.1</v>
      </c>
      <c r="M558" s="6">
        <v>101.1</v>
      </c>
      <c r="N558" s="6">
        <v>101.1</v>
      </c>
      <c r="O558" s="6">
        <v>101.1</v>
      </c>
      <c r="P558" s="6">
        <v>100</v>
      </c>
      <c r="Q558" s="4" t="s">
        <v>26</v>
      </c>
      <c r="R558" s="4">
        <v>0</v>
      </c>
      <c r="S558" s="6">
        <v>0</v>
      </c>
      <c r="T558" s="6">
        <v>31</v>
      </c>
      <c r="U558" s="6">
        <v>72</v>
      </c>
      <c r="V558" s="6">
        <f>IF(ISERROR(VLOOKUP($S$558,'TAR FIN'!$A$1:$O$103,15,0)),0,VLOOKUP($S$558,'TAR FIN'!$A$1:$O$103,15,0))</f>
        <v>0</v>
      </c>
      <c r="W558" s="6">
        <f>IF(ISERROR(VLOOKUP($T$558,'TAR FIN'!$A$1:$O$103,15,0)),0,VLOOKUP($T$558,'TAR FIN'!$A$1:$O$103,15,0))</f>
        <v>105.1</v>
      </c>
      <c r="X558" s="6">
        <f>IF(ISERROR(VLOOKUP($U$558,'TAR FIN'!$A$1:$O$103,15,0)),0,VLOOKUP($U$558,'TAR FIN'!$A$1:$O$103,15,0))</f>
        <v>89.31</v>
      </c>
      <c r="Y558" s="6"/>
      <c r="Z558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58" s="6">
        <f>('TE BE'!$AB$14+'TE BF'!$AB$14+'TE CVA'!$AB$14)*(1-CUSTOS!$M$34)</f>
        <v>81.908317187687473</v>
      </c>
      <c r="AB558" s="6">
        <f>$K$558*$V$558</f>
        <v>0</v>
      </c>
      <c r="AC558" s="6">
        <f>$M$558*$W$558</f>
        <v>10625.609999999999</v>
      </c>
      <c r="AD558" s="6">
        <f>$O$558*$X$558</f>
        <v>9029.241</v>
      </c>
      <c r="AE558" s="6">
        <f>$K$558*$Y$558</f>
        <v>0</v>
      </c>
      <c r="AF558" s="6">
        <f ca="1">$M$558*$Z$558</f>
        <v>11626.496759652546</v>
      </c>
      <c r="AG558" s="6">
        <f>$O$558*$AA$558</f>
        <v>8280.9308676752025</v>
      </c>
    </row>
    <row r="559" spans="1:33" ht="11.25" customHeight="1" x14ac:dyDescent="0.3">
      <c r="A559" s="4" t="s">
        <v>21</v>
      </c>
      <c r="B559" s="4" t="s">
        <v>22</v>
      </c>
      <c r="C559" s="4" t="s">
        <v>23</v>
      </c>
      <c r="D559" s="4" t="s">
        <v>24</v>
      </c>
      <c r="E559" s="4" t="s">
        <v>29</v>
      </c>
      <c r="F559" s="4" t="s">
        <v>25</v>
      </c>
      <c r="G559" s="4" t="s">
        <v>25</v>
      </c>
      <c r="H559" s="4" t="s">
        <v>25</v>
      </c>
      <c r="I559" s="5">
        <v>44743</v>
      </c>
      <c r="J559" s="6">
        <v>0</v>
      </c>
      <c r="K559" s="6">
        <v>0</v>
      </c>
      <c r="L559" s="6">
        <v>101.28</v>
      </c>
      <c r="M559" s="6">
        <v>101.28</v>
      </c>
      <c r="N559" s="6">
        <v>101.28</v>
      </c>
      <c r="O559" s="6">
        <v>101.28</v>
      </c>
      <c r="P559" s="6">
        <v>97</v>
      </c>
      <c r="Q559" s="4" t="s">
        <v>26</v>
      </c>
      <c r="R559" s="4">
        <v>0</v>
      </c>
      <c r="S559" s="6">
        <v>0</v>
      </c>
      <c r="T559" s="6">
        <v>31</v>
      </c>
      <c r="U559" s="6">
        <v>72</v>
      </c>
      <c r="V559" s="6">
        <f>IF(ISERROR(VLOOKUP($S$559,'TAR FIN'!$A$1:$O$103,15,0)),0,VLOOKUP($S$559,'TAR FIN'!$A$1:$O$103,15,0))</f>
        <v>0</v>
      </c>
      <c r="W559" s="6">
        <f>IF(ISERROR(VLOOKUP($T$559,'TAR FIN'!$A$1:$O$103,15,0)),0,VLOOKUP($T$559,'TAR FIN'!$A$1:$O$103,15,0))</f>
        <v>105.1</v>
      </c>
      <c r="X559" s="6">
        <f>IF(ISERROR(VLOOKUP($U$559,'TAR FIN'!$A$1:$O$103,15,0)),0,VLOOKUP($U$559,'TAR FIN'!$A$1:$O$103,15,0))</f>
        <v>89.31</v>
      </c>
      <c r="Y559" s="6"/>
      <c r="Z559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59" s="6">
        <f>('TE BE'!$AB$14+'TE BF'!$AB$14+'TE CVA'!$AB$14)*(1-CUSTOS!$M$34)</f>
        <v>81.908317187687473</v>
      </c>
      <c r="AB559" s="6">
        <f>$K$559*$V$559</f>
        <v>0</v>
      </c>
      <c r="AC559" s="6">
        <f>$M$559*$W$559</f>
        <v>10644.528</v>
      </c>
      <c r="AD559" s="6">
        <f>$O$559*$X$559</f>
        <v>9045.3168000000005</v>
      </c>
      <c r="AE559" s="6">
        <f>$K$559*$Y$559</f>
        <v>0</v>
      </c>
      <c r="AF559" s="6">
        <f ca="1">$M$559*$Z$559</f>
        <v>11647.196753883381</v>
      </c>
      <c r="AG559" s="6">
        <f>$O$559*$AA$559</f>
        <v>8295.6743647689873</v>
      </c>
    </row>
    <row r="560" spans="1:33" ht="11.25" customHeight="1" x14ac:dyDescent="0.3">
      <c r="A560" s="4" t="s">
        <v>28</v>
      </c>
      <c r="B560" s="4" t="s">
        <v>22</v>
      </c>
      <c r="C560" s="4" t="s">
        <v>23</v>
      </c>
      <c r="D560" s="4" t="s">
        <v>24</v>
      </c>
      <c r="E560" s="4" t="s">
        <v>29</v>
      </c>
      <c r="F560" s="4" t="s">
        <v>25</v>
      </c>
      <c r="G560" s="4" t="s">
        <v>25</v>
      </c>
      <c r="H560" s="4" t="s">
        <v>25</v>
      </c>
      <c r="I560" s="5">
        <v>44743</v>
      </c>
      <c r="J560" s="6">
        <v>0</v>
      </c>
      <c r="K560" s="6">
        <v>0</v>
      </c>
      <c r="L560" s="6">
        <v>0.03</v>
      </c>
      <c r="M560" s="6">
        <v>-6.7500000000000004E-2</v>
      </c>
      <c r="N560" s="6">
        <v>0.03</v>
      </c>
      <c r="O560" s="6">
        <v>-6.7500000000000004E-2</v>
      </c>
      <c r="P560" s="6">
        <v>0</v>
      </c>
      <c r="Q560" s="4" t="s">
        <v>26</v>
      </c>
      <c r="R560" s="4">
        <v>0</v>
      </c>
      <c r="S560" s="6">
        <v>0</v>
      </c>
      <c r="T560" s="6">
        <v>31</v>
      </c>
      <c r="U560" s="6">
        <v>72</v>
      </c>
      <c r="V560" s="6">
        <f>IF(ISERROR(VLOOKUP($S$560,'TAR FIN'!$A$1:$O$103,15,0)),0,VLOOKUP($S$560,'TAR FIN'!$A$1:$O$103,15,0))</f>
        <v>0</v>
      </c>
      <c r="W560" s="6">
        <f>IF(ISERROR(VLOOKUP($T$560,'TAR FIN'!$A$1:$O$103,15,0)),0,VLOOKUP($T$560,'TAR FIN'!$A$1:$O$103,15,0))</f>
        <v>105.1</v>
      </c>
      <c r="X560" s="6">
        <f>IF(ISERROR(VLOOKUP($U$560,'TAR FIN'!$A$1:$O$103,15,0)),0,VLOOKUP($U$560,'TAR FIN'!$A$1:$O$103,15,0))</f>
        <v>89.31</v>
      </c>
      <c r="Y560" s="6"/>
      <c r="Z560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60" s="6">
        <f>('TE BE'!$AB$14+'TE BF'!$AB$14+'TE CVA'!$AB$14)*(1-CUSTOS!$M$34)</f>
        <v>81.908317187687473</v>
      </c>
      <c r="AB560" s="6">
        <f>$K$560*$V$560</f>
        <v>0</v>
      </c>
      <c r="AC560" s="6">
        <f>$M$560*$W$560</f>
        <v>-7.0942499999999997</v>
      </c>
      <c r="AD560" s="6">
        <f>$O$560*$X$560</f>
        <v>-6.0284250000000004</v>
      </c>
      <c r="AE560" s="6">
        <f>$K$560*$Y$560</f>
        <v>0</v>
      </c>
      <c r="AF560" s="6">
        <f ca="1">$M$560*$Z$560</f>
        <v>-7.7624978365632726</v>
      </c>
      <c r="AG560" s="6">
        <f>$O$560*$AA$560</f>
        <v>-5.5288114101689052</v>
      </c>
    </row>
    <row r="561" spans="1:33" ht="11.25" customHeight="1" x14ac:dyDescent="0.3">
      <c r="A561" s="4" t="s">
        <v>21</v>
      </c>
      <c r="B561" s="4" t="s">
        <v>22</v>
      </c>
      <c r="C561" s="4" t="s">
        <v>23</v>
      </c>
      <c r="D561" s="4" t="s">
        <v>24</v>
      </c>
      <c r="E561" s="4" t="s">
        <v>29</v>
      </c>
      <c r="F561" s="4" t="s">
        <v>25</v>
      </c>
      <c r="G561" s="4" t="s">
        <v>25</v>
      </c>
      <c r="H561" s="4" t="s">
        <v>25</v>
      </c>
      <c r="I561" s="5">
        <v>44774</v>
      </c>
      <c r="J561" s="6">
        <v>0</v>
      </c>
      <c r="K561" s="6">
        <v>0</v>
      </c>
      <c r="L561" s="6">
        <v>100.56</v>
      </c>
      <c r="M561" s="6">
        <v>100.56</v>
      </c>
      <c r="N561" s="6">
        <v>100.56</v>
      </c>
      <c r="O561" s="6">
        <v>100.56</v>
      </c>
      <c r="P561" s="6">
        <v>114</v>
      </c>
      <c r="Q561" s="4" t="s">
        <v>26</v>
      </c>
      <c r="R561" s="4">
        <v>0</v>
      </c>
      <c r="S561" s="6">
        <v>0</v>
      </c>
      <c r="T561" s="6">
        <v>31</v>
      </c>
      <c r="U561" s="6">
        <v>72</v>
      </c>
      <c r="V561" s="6">
        <f>IF(ISERROR(VLOOKUP($S$561,'TAR FIN'!$A$1:$O$103,15,0)),0,VLOOKUP($S$561,'TAR FIN'!$A$1:$O$103,15,0))</f>
        <v>0</v>
      </c>
      <c r="W561" s="6">
        <f>IF(ISERROR(VLOOKUP($T$561,'TAR FIN'!$A$1:$O$103,15,0)),0,VLOOKUP($T$561,'TAR FIN'!$A$1:$O$103,15,0))</f>
        <v>105.1</v>
      </c>
      <c r="X561" s="6">
        <f>IF(ISERROR(VLOOKUP($U$561,'TAR FIN'!$A$1:$O$103,15,0)),0,VLOOKUP($U$561,'TAR FIN'!$A$1:$O$103,15,0))</f>
        <v>89.31</v>
      </c>
      <c r="Y561" s="6"/>
      <c r="Z561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61" s="6">
        <f>('TE BE'!$AB$14+'TE BF'!$AB$14+'TE CVA'!$AB$14)*(1-CUSTOS!$M$34)</f>
        <v>81.908317187687473</v>
      </c>
      <c r="AB561" s="6">
        <f>$K$561*$V$561</f>
        <v>0</v>
      </c>
      <c r="AC561" s="6">
        <f>$M$561*$W$561</f>
        <v>10568.856</v>
      </c>
      <c r="AD561" s="6">
        <f>$O$561*$X$561</f>
        <v>8981.0136000000002</v>
      </c>
      <c r="AE561" s="6">
        <f>$K$561*$Y$561</f>
        <v>0</v>
      </c>
      <c r="AF561" s="6">
        <f ca="1">$M$561*$Z$561</f>
        <v>11564.39677696004</v>
      </c>
      <c r="AG561" s="6">
        <f>$O$561*$AA$561</f>
        <v>8236.7003763938519</v>
      </c>
    </row>
    <row r="562" spans="1:33" ht="11.25" customHeight="1" x14ac:dyDescent="0.3">
      <c r="A562" s="4" t="s">
        <v>21</v>
      </c>
      <c r="B562" s="4" t="s">
        <v>22</v>
      </c>
      <c r="C562" s="4" t="s">
        <v>23</v>
      </c>
      <c r="D562" s="4" t="s">
        <v>24</v>
      </c>
      <c r="E562" s="4" t="s">
        <v>29</v>
      </c>
      <c r="F562" s="4" t="s">
        <v>25</v>
      </c>
      <c r="G562" s="4" t="s">
        <v>25</v>
      </c>
      <c r="H562" s="4" t="s">
        <v>25</v>
      </c>
      <c r="I562" s="5">
        <v>44805</v>
      </c>
      <c r="J562" s="6">
        <v>0</v>
      </c>
      <c r="K562" s="6">
        <v>0</v>
      </c>
      <c r="L562" s="6">
        <v>100.8</v>
      </c>
      <c r="M562" s="6">
        <v>100.8</v>
      </c>
      <c r="N562" s="6">
        <v>100.8</v>
      </c>
      <c r="O562" s="6">
        <v>100.8</v>
      </c>
      <c r="P562" s="6">
        <v>89</v>
      </c>
      <c r="Q562" s="4" t="s">
        <v>26</v>
      </c>
      <c r="R562" s="4">
        <v>0</v>
      </c>
      <c r="S562" s="6">
        <v>0</v>
      </c>
      <c r="T562" s="6">
        <v>31</v>
      </c>
      <c r="U562" s="6">
        <v>72</v>
      </c>
      <c r="V562" s="6">
        <f>IF(ISERROR(VLOOKUP($S$562,'TAR FIN'!$A$1:$O$103,15,0)),0,VLOOKUP($S$562,'TAR FIN'!$A$1:$O$103,15,0))</f>
        <v>0</v>
      </c>
      <c r="W562" s="6">
        <f>IF(ISERROR(VLOOKUP($T$562,'TAR FIN'!$A$1:$O$103,15,0)),0,VLOOKUP($T$562,'TAR FIN'!$A$1:$O$103,15,0))</f>
        <v>105.1</v>
      </c>
      <c r="X562" s="6">
        <f>IF(ISERROR(VLOOKUP($U$562,'TAR FIN'!$A$1:$O$103,15,0)),0,VLOOKUP($U$562,'TAR FIN'!$A$1:$O$103,15,0))</f>
        <v>89.31</v>
      </c>
      <c r="Y562" s="6"/>
      <c r="Z562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62" s="6">
        <f>('TE BE'!$AB$14+'TE BF'!$AB$14+'TE CVA'!$AB$14)*(1-CUSTOS!$M$34)</f>
        <v>81.908317187687473</v>
      </c>
      <c r="AB562" s="6">
        <f>$K$562*$V$562</f>
        <v>0</v>
      </c>
      <c r="AC562" s="6">
        <f>$M$562*$W$562</f>
        <v>10594.08</v>
      </c>
      <c r="AD562" s="6">
        <f>$O$562*$X$562</f>
        <v>9002.4480000000003</v>
      </c>
      <c r="AE562" s="6">
        <f>$K$562*$Y$562</f>
        <v>0</v>
      </c>
      <c r="AF562" s="6">
        <f ca="1">$M$562*$Z$562</f>
        <v>11591.99676926782</v>
      </c>
      <c r="AG562" s="6">
        <f>$O$562*$AA$562</f>
        <v>8256.3583725188964</v>
      </c>
    </row>
    <row r="563" spans="1:33" ht="11.25" customHeight="1" x14ac:dyDescent="0.3">
      <c r="A563" s="4" t="s">
        <v>28</v>
      </c>
      <c r="B563" s="4" t="s">
        <v>22</v>
      </c>
      <c r="C563" s="4" t="s">
        <v>23</v>
      </c>
      <c r="D563" s="4" t="s">
        <v>24</v>
      </c>
      <c r="E563" s="4" t="s">
        <v>29</v>
      </c>
      <c r="F563" s="4" t="s">
        <v>25</v>
      </c>
      <c r="G563" s="4" t="s">
        <v>25</v>
      </c>
      <c r="H563" s="4" t="s">
        <v>25</v>
      </c>
      <c r="I563" s="5">
        <v>44805</v>
      </c>
      <c r="J563" s="6">
        <v>0</v>
      </c>
      <c r="K563" s="6">
        <v>0</v>
      </c>
      <c r="L563" s="6">
        <v>0.03</v>
      </c>
      <c r="M563" s="6">
        <v>0.03</v>
      </c>
      <c r="N563" s="6">
        <v>0.03</v>
      </c>
      <c r="O563" s="6">
        <v>0.03</v>
      </c>
      <c r="P563" s="6">
        <v>0</v>
      </c>
      <c r="Q563" s="4" t="s">
        <v>26</v>
      </c>
      <c r="R563" s="4">
        <v>0</v>
      </c>
      <c r="S563" s="6">
        <v>0</v>
      </c>
      <c r="T563" s="6">
        <v>31</v>
      </c>
      <c r="U563" s="6">
        <v>72</v>
      </c>
      <c r="V563" s="6">
        <f>IF(ISERROR(VLOOKUP($S$563,'TAR FIN'!$A$1:$O$103,15,0)),0,VLOOKUP($S$563,'TAR FIN'!$A$1:$O$103,15,0))</f>
        <v>0</v>
      </c>
      <c r="W563" s="6">
        <f>IF(ISERROR(VLOOKUP($T$563,'TAR FIN'!$A$1:$O$103,15,0)),0,VLOOKUP($T$563,'TAR FIN'!$A$1:$O$103,15,0))</f>
        <v>105.1</v>
      </c>
      <c r="X563" s="6">
        <f>IF(ISERROR(VLOOKUP($U$563,'TAR FIN'!$A$1:$O$103,15,0)),0,VLOOKUP($U$563,'TAR FIN'!$A$1:$O$103,15,0))</f>
        <v>89.31</v>
      </c>
      <c r="Y563" s="6"/>
      <c r="Z563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63" s="6">
        <f>('TE BE'!$AB$14+'TE BF'!$AB$14+'TE CVA'!$AB$14)*(1-CUSTOS!$M$34)</f>
        <v>81.908317187687473</v>
      </c>
      <c r="AB563" s="6">
        <f>$K$563*$V$563</f>
        <v>0</v>
      </c>
      <c r="AC563" s="6">
        <f>$M$563*$W$563</f>
        <v>3.1529999999999996</v>
      </c>
      <c r="AD563" s="6">
        <f>$O$563*$X$563</f>
        <v>2.6793</v>
      </c>
      <c r="AE563" s="6">
        <f>$K$563*$Y$563</f>
        <v>0</v>
      </c>
      <c r="AF563" s="6">
        <f ca="1">$M$563*$Z$563</f>
        <v>3.4499990384725652</v>
      </c>
      <c r="AG563" s="6">
        <f>$O$563*$AA$563</f>
        <v>2.457249515630624</v>
      </c>
    </row>
    <row r="564" spans="1:33" ht="11.25" customHeight="1" x14ac:dyDescent="0.3">
      <c r="A564" s="4" t="s">
        <v>57</v>
      </c>
      <c r="B564" s="4" t="s">
        <v>22</v>
      </c>
      <c r="C564" s="4" t="s">
        <v>23</v>
      </c>
      <c r="D564" s="4" t="s">
        <v>24</v>
      </c>
      <c r="E564" s="4" t="s">
        <v>29</v>
      </c>
      <c r="F564" s="4" t="s">
        <v>25</v>
      </c>
      <c r="G564" s="4" t="s">
        <v>25</v>
      </c>
      <c r="H564" s="4" t="s">
        <v>25</v>
      </c>
      <c r="I564" s="5">
        <v>44835</v>
      </c>
      <c r="J564" s="6">
        <v>0</v>
      </c>
      <c r="K564" s="6">
        <v>0</v>
      </c>
      <c r="L564" s="6">
        <v>100.8</v>
      </c>
      <c r="M564" s="6">
        <v>100.8</v>
      </c>
      <c r="N564" s="6">
        <v>100.8</v>
      </c>
      <c r="O564" s="6">
        <v>100.8</v>
      </c>
      <c r="P564" s="6">
        <v>89</v>
      </c>
      <c r="Q564" s="4" t="s">
        <v>26</v>
      </c>
      <c r="R564" s="4">
        <v>0</v>
      </c>
      <c r="S564" s="6">
        <v>0</v>
      </c>
      <c r="T564" s="6">
        <v>31</v>
      </c>
      <c r="U564" s="6">
        <v>72</v>
      </c>
      <c r="V564" s="6">
        <f>IF(ISERROR(VLOOKUP($S$564,'TAR FIN'!$A$1:$O$103,15,0)),0,VLOOKUP($S$564,'TAR FIN'!$A$1:$O$103,15,0))</f>
        <v>0</v>
      </c>
      <c r="W564" s="6">
        <f>IF(ISERROR(VLOOKUP($T$564,'TAR FIN'!$A$1:$O$103,15,0)),0,VLOOKUP($T$564,'TAR FIN'!$A$1:$O$103,15,0))</f>
        <v>105.1</v>
      </c>
      <c r="X564" s="6">
        <f>IF(ISERROR(VLOOKUP($U$564,'TAR FIN'!$A$1:$O$103,15,0)),0,VLOOKUP($U$564,'TAR FIN'!$A$1:$O$103,15,0))</f>
        <v>89.31</v>
      </c>
      <c r="Y564" s="6"/>
      <c r="Z564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64" s="6">
        <f>('TE BE'!$AB$14+'TE BF'!$AB$14+'TE CVA'!$AB$14)*(1-CUSTOS!$M$34)</f>
        <v>81.908317187687473</v>
      </c>
      <c r="AB564" s="6">
        <f>$K$564*$V$564</f>
        <v>0</v>
      </c>
      <c r="AC564" s="6">
        <f>$M$564*$W$564</f>
        <v>10594.08</v>
      </c>
      <c r="AD564" s="6">
        <f>$O$564*$X$564</f>
        <v>9002.4480000000003</v>
      </c>
      <c r="AE564" s="6">
        <f>$K$564*$Y$564</f>
        <v>0</v>
      </c>
      <c r="AF564" s="6">
        <f ca="1">$M$564*$Z$564</f>
        <v>11591.99676926782</v>
      </c>
      <c r="AG564" s="6">
        <f>$O$564*$AA$564</f>
        <v>8256.3583725188964</v>
      </c>
    </row>
    <row r="565" spans="1:33" ht="11.25" customHeight="1" x14ac:dyDescent="0.3">
      <c r="A565" s="4" t="s">
        <v>57</v>
      </c>
      <c r="B565" s="4" t="s">
        <v>22</v>
      </c>
      <c r="C565" s="4" t="s">
        <v>23</v>
      </c>
      <c r="D565" s="4" t="s">
        <v>24</v>
      </c>
      <c r="E565" s="4" t="s">
        <v>29</v>
      </c>
      <c r="F565" s="4" t="s">
        <v>25</v>
      </c>
      <c r="G565" s="4" t="s">
        <v>25</v>
      </c>
      <c r="H565" s="4" t="s">
        <v>25</v>
      </c>
      <c r="I565" s="5">
        <v>44835</v>
      </c>
      <c r="J565" s="6">
        <v>0</v>
      </c>
      <c r="K565" s="6">
        <v>0</v>
      </c>
      <c r="L565" s="6">
        <v>0.03</v>
      </c>
      <c r="M565" s="6">
        <v>0.03</v>
      </c>
      <c r="N565" s="6">
        <v>0.03</v>
      </c>
      <c r="O565" s="6">
        <v>0.03</v>
      </c>
      <c r="P565" s="6">
        <v>0</v>
      </c>
      <c r="Q565" s="4" t="s">
        <v>26</v>
      </c>
      <c r="R565" s="4">
        <v>0</v>
      </c>
      <c r="S565" s="6">
        <v>0</v>
      </c>
      <c r="T565" s="6">
        <v>31</v>
      </c>
      <c r="U565" s="6">
        <v>72</v>
      </c>
      <c r="V565" s="6">
        <f>IF(ISERROR(VLOOKUP($S$565,'TAR FIN'!$A$1:$O$103,15,0)),0,VLOOKUP($S$565,'TAR FIN'!$A$1:$O$103,15,0))</f>
        <v>0</v>
      </c>
      <c r="W565" s="6">
        <f>IF(ISERROR(VLOOKUP($T$565,'TAR FIN'!$A$1:$O$103,15,0)),0,VLOOKUP($T$565,'TAR FIN'!$A$1:$O$103,15,0))</f>
        <v>105.1</v>
      </c>
      <c r="X565" s="6">
        <f>IF(ISERROR(VLOOKUP($U$565,'TAR FIN'!$A$1:$O$103,15,0)),0,VLOOKUP($U$565,'TAR FIN'!$A$1:$O$103,15,0))</f>
        <v>89.31</v>
      </c>
      <c r="Y565" s="6"/>
      <c r="Z565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565" s="6">
        <f>('TE BE'!$AB$14+'TE BF'!$AB$14+'TE CVA'!$AB$14)*(1-CUSTOS!$M$34)</f>
        <v>81.908317187687473</v>
      </c>
      <c r="AB565" s="6">
        <f>$K$565*$V$565</f>
        <v>0</v>
      </c>
      <c r="AC565" s="6">
        <f>$M$565*$W$565</f>
        <v>3.1529999999999996</v>
      </c>
      <c r="AD565" s="6">
        <f>$O$565*$X$565</f>
        <v>2.6793</v>
      </c>
      <c r="AE565" s="6">
        <f>$K$565*$Y$565</f>
        <v>0</v>
      </c>
      <c r="AF565" s="6">
        <f ca="1">$M$565*$Z$565</f>
        <v>3.4499990384725652</v>
      </c>
      <c r="AG565" s="6">
        <f>$O$565*$AA$565</f>
        <v>2.457249515630624</v>
      </c>
    </row>
    <row r="566" spans="1:33" ht="11.25" customHeight="1" x14ac:dyDescent="0.3">
      <c r="A566" s="4" t="s">
        <v>21</v>
      </c>
      <c r="B566" s="4" t="s">
        <v>22</v>
      </c>
      <c r="C566" s="4" t="s">
        <v>23</v>
      </c>
      <c r="D566" s="4" t="s">
        <v>24</v>
      </c>
      <c r="E566" s="4" t="s">
        <v>30</v>
      </c>
      <c r="F566" s="4" t="s">
        <v>25</v>
      </c>
      <c r="G566" s="4" t="s">
        <v>25</v>
      </c>
      <c r="H566" s="4" t="s">
        <v>25</v>
      </c>
      <c r="I566" s="5">
        <v>44501</v>
      </c>
      <c r="J566" s="6">
        <v>0</v>
      </c>
      <c r="K566" s="6">
        <v>0</v>
      </c>
      <c r="L566" s="6">
        <v>153.358</v>
      </c>
      <c r="M566" s="6">
        <v>153.358</v>
      </c>
      <c r="N566" s="6">
        <v>153.358</v>
      </c>
      <c r="O566" s="6">
        <v>153.358</v>
      </c>
      <c r="P566" s="6">
        <v>651</v>
      </c>
      <c r="Q566" s="4" t="s">
        <v>26</v>
      </c>
      <c r="R566" s="4">
        <v>0</v>
      </c>
      <c r="S566" s="6">
        <v>0</v>
      </c>
      <c r="T566" s="6">
        <v>32</v>
      </c>
      <c r="U566" s="6">
        <v>73</v>
      </c>
      <c r="V566" s="6">
        <f>IF(ISERROR(VLOOKUP($S$566,'TAR FIN'!$A$1:$O$103,15,0)),0,VLOOKUP($S$566,'TAR FIN'!$A$1:$O$103,15,0))</f>
        <v>0</v>
      </c>
      <c r="W566" s="6">
        <f>IF(ISERROR(VLOOKUP($T$566,'TAR FIN'!$A$1:$O$103,15,0)),0,VLOOKUP($T$566,'TAR FIN'!$A$1:$O$103,15,0))</f>
        <v>180.18</v>
      </c>
      <c r="X566" s="6">
        <f>IF(ISERROR(VLOOKUP($U$566,'TAR FIN'!$A$1:$O$103,15,0)),0,VLOOKUP($U$566,'TAR FIN'!$A$1:$O$103,15,0))</f>
        <v>153.1</v>
      </c>
      <c r="Y566" s="6"/>
      <c r="Z566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66" s="6">
        <f>('TE BE'!$AB$15+'TE BF'!$AB$15+'TE CVA'!$AB$15)*(1-CUSTOS!$M$35)</f>
        <v>140.41425803603568</v>
      </c>
      <c r="AB566" s="6">
        <f>$K$566*$V$566</f>
        <v>0</v>
      </c>
      <c r="AC566" s="6">
        <f>$M$566*$W$566</f>
        <v>27632.044440000001</v>
      </c>
      <c r="AD566" s="6">
        <f>$O$566*$X$566</f>
        <v>23479.109799999998</v>
      </c>
      <c r="AE566" s="6">
        <f>$K$566*$Y$566</f>
        <v>0</v>
      </c>
      <c r="AF566" s="6">
        <f ca="1">$M$566*$Z$566</f>
        <v>30233.425859547184</v>
      </c>
      <c r="AG566" s="6">
        <f>$O$566*$AA$566</f>
        <v>21533.64978389036</v>
      </c>
    </row>
    <row r="567" spans="1:33" ht="11.25" customHeight="1" x14ac:dyDescent="0.3">
      <c r="A567" s="4" t="s">
        <v>21</v>
      </c>
      <c r="B567" s="4" t="s">
        <v>22</v>
      </c>
      <c r="C567" s="4" t="s">
        <v>23</v>
      </c>
      <c r="D567" s="4" t="s">
        <v>24</v>
      </c>
      <c r="E567" s="4" t="s">
        <v>30</v>
      </c>
      <c r="F567" s="4" t="s">
        <v>25</v>
      </c>
      <c r="G567" s="4" t="s">
        <v>25</v>
      </c>
      <c r="H567" s="4" t="s">
        <v>25</v>
      </c>
      <c r="I567" s="5">
        <v>44531</v>
      </c>
      <c r="J567" s="6">
        <v>0</v>
      </c>
      <c r="K567" s="6">
        <v>0</v>
      </c>
      <c r="L567" s="6">
        <v>158.65600000000001</v>
      </c>
      <c r="M567" s="6">
        <v>158.65600000000001</v>
      </c>
      <c r="N567" s="6">
        <v>158.65600000000001</v>
      </c>
      <c r="O567" s="6">
        <v>158.65600000000001</v>
      </c>
      <c r="P567" s="6">
        <v>681</v>
      </c>
      <c r="Q567" s="4" t="s">
        <v>26</v>
      </c>
      <c r="R567" s="4">
        <v>0</v>
      </c>
      <c r="S567" s="6">
        <v>0</v>
      </c>
      <c r="T567" s="6">
        <v>32</v>
      </c>
      <c r="U567" s="6">
        <v>73</v>
      </c>
      <c r="V567" s="6">
        <f>IF(ISERROR(VLOOKUP($S$567,'TAR FIN'!$A$1:$O$103,15,0)),0,VLOOKUP($S$567,'TAR FIN'!$A$1:$O$103,15,0))</f>
        <v>0</v>
      </c>
      <c r="W567" s="6">
        <f>IF(ISERROR(VLOOKUP($T$567,'TAR FIN'!$A$1:$O$103,15,0)),0,VLOOKUP($T$567,'TAR FIN'!$A$1:$O$103,15,0))</f>
        <v>180.18</v>
      </c>
      <c r="X567" s="6">
        <f>IF(ISERROR(VLOOKUP($U$567,'TAR FIN'!$A$1:$O$103,15,0)),0,VLOOKUP($U$567,'TAR FIN'!$A$1:$O$103,15,0))</f>
        <v>153.1</v>
      </c>
      <c r="Y567" s="6"/>
      <c r="Z567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67" s="6">
        <f>('TE BE'!$AB$15+'TE BF'!$AB$15+'TE CVA'!$AB$15)*(1-CUSTOS!$M$35)</f>
        <v>140.41425803603568</v>
      </c>
      <c r="AB567" s="6">
        <f>$K$567*$V$567</f>
        <v>0</v>
      </c>
      <c r="AC567" s="6">
        <f>$M$567*$W$567</f>
        <v>28586.638080000001</v>
      </c>
      <c r="AD567" s="6">
        <f>$O$567*$X$567</f>
        <v>24290.2336</v>
      </c>
      <c r="AE567" s="6">
        <f>$K$567*$Y$567</f>
        <v>0</v>
      </c>
      <c r="AF567" s="6">
        <f ca="1">$M$567*$Z$567</f>
        <v>31277.888425594479</v>
      </c>
      <c r="AG567" s="6">
        <f>$O$567*$AA$567</f>
        <v>22277.564522965276</v>
      </c>
    </row>
    <row r="568" spans="1:33" ht="11.25" customHeight="1" x14ac:dyDescent="0.3">
      <c r="A568" s="4" t="s">
        <v>21</v>
      </c>
      <c r="B568" s="4" t="s">
        <v>22</v>
      </c>
      <c r="C568" s="4" t="s">
        <v>23</v>
      </c>
      <c r="D568" s="4" t="s">
        <v>24</v>
      </c>
      <c r="E568" s="4" t="s">
        <v>30</v>
      </c>
      <c r="F568" s="4" t="s">
        <v>25</v>
      </c>
      <c r="G568" s="4" t="s">
        <v>25</v>
      </c>
      <c r="H568" s="4" t="s">
        <v>25</v>
      </c>
      <c r="I568" s="5">
        <v>44562</v>
      </c>
      <c r="J568" s="6">
        <v>0</v>
      </c>
      <c r="K568" s="6">
        <v>0</v>
      </c>
      <c r="L568" s="6">
        <v>164.26400000000001</v>
      </c>
      <c r="M568" s="6">
        <v>164.26400000000001</v>
      </c>
      <c r="N568" s="6">
        <v>164.26400000000001</v>
      </c>
      <c r="O568" s="6">
        <v>164.26400000000001</v>
      </c>
      <c r="P568" s="6">
        <v>674</v>
      </c>
      <c r="Q568" s="4" t="s">
        <v>26</v>
      </c>
      <c r="R568" s="4">
        <v>0</v>
      </c>
      <c r="S568" s="6">
        <v>0</v>
      </c>
      <c r="T568" s="6">
        <v>32</v>
      </c>
      <c r="U568" s="6">
        <v>73</v>
      </c>
      <c r="V568" s="6">
        <f>IF(ISERROR(VLOOKUP($S$568,'TAR FIN'!$A$1:$O$103,15,0)),0,VLOOKUP($S$568,'TAR FIN'!$A$1:$O$103,15,0))</f>
        <v>0</v>
      </c>
      <c r="W568" s="6">
        <f>IF(ISERROR(VLOOKUP($T$568,'TAR FIN'!$A$1:$O$103,15,0)),0,VLOOKUP($T$568,'TAR FIN'!$A$1:$O$103,15,0))</f>
        <v>180.18</v>
      </c>
      <c r="X568" s="6">
        <f>IF(ISERROR(VLOOKUP($U$568,'TAR FIN'!$A$1:$O$103,15,0)),0,VLOOKUP($U$568,'TAR FIN'!$A$1:$O$103,15,0))</f>
        <v>153.1</v>
      </c>
      <c r="Y568" s="6"/>
      <c r="Z568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68" s="6">
        <f>('TE BE'!$AB$15+'TE BF'!$AB$15+'TE CVA'!$AB$15)*(1-CUSTOS!$M$35)</f>
        <v>140.41425803603568</v>
      </c>
      <c r="AB568" s="6">
        <f>$K$568*$V$568</f>
        <v>0</v>
      </c>
      <c r="AC568" s="6">
        <f>$M$568*$W$568</f>
        <v>29597.087520000005</v>
      </c>
      <c r="AD568" s="6">
        <f>$O$568*$X$568</f>
        <v>25148.8184</v>
      </c>
      <c r="AE568" s="6">
        <f>$K$568*$Y$568</f>
        <v>0</v>
      </c>
      <c r="AF568" s="6">
        <f ca="1">$M$568*$Z$568</f>
        <v>32383.46526032329</v>
      </c>
      <c r="AG568" s="6">
        <f>$O$568*$AA$568</f>
        <v>23065.007682031366</v>
      </c>
    </row>
    <row r="569" spans="1:33" ht="11.25" customHeight="1" x14ac:dyDescent="0.3">
      <c r="A569" s="4" t="s">
        <v>21</v>
      </c>
      <c r="B569" s="4" t="s">
        <v>22</v>
      </c>
      <c r="C569" s="4" t="s">
        <v>23</v>
      </c>
      <c r="D569" s="4" t="s">
        <v>24</v>
      </c>
      <c r="E569" s="4" t="s">
        <v>30</v>
      </c>
      <c r="F569" s="4" t="s">
        <v>25</v>
      </c>
      <c r="G569" s="4" t="s">
        <v>25</v>
      </c>
      <c r="H569" s="4" t="s">
        <v>25</v>
      </c>
      <c r="I569" s="5">
        <v>44593</v>
      </c>
      <c r="J569" s="6">
        <v>0</v>
      </c>
      <c r="K569" s="6">
        <v>0</v>
      </c>
      <c r="L569" s="6">
        <v>168.87899999999999</v>
      </c>
      <c r="M569" s="6">
        <v>168.87899999999999</v>
      </c>
      <c r="N569" s="6">
        <v>168.87899999999999</v>
      </c>
      <c r="O569" s="6">
        <v>168.87899999999999</v>
      </c>
      <c r="P569" s="6">
        <v>701</v>
      </c>
      <c r="Q569" s="4" t="s">
        <v>26</v>
      </c>
      <c r="R569" s="4">
        <v>0</v>
      </c>
      <c r="S569" s="6">
        <v>0</v>
      </c>
      <c r="T569" s="6">
        <v>32</v>
      </c>
      <c r="U569" s="6">
        <v>73</v>
      </c>
      <c r="V569" s="6">
        <f>IF(ISERROR(VLOOKUP($S$569,'TAR FIN'!$A$1:$O$103,15,0)),0,VLOOKUP($S$569,'TAR FIN'!$A$1:$O$103,15,0))</f>
        <v>0</v>
      </c>
      <c r="W569" s="6">
        <f>IF(ISERROR(VLOOKUP($T$569,'TAR FIN'!$A$1:$O$103,15,0)),0,VLOOKUP($T$569,'TAR FIN'!$A$1:$O$103,15,0))</f>
        <v>180.18</v>
      </c>
      <c r="X569" s="6">
        <f>IF(ISERROR(VLOOKUP($U$569,'TAR FIN'!$A$1:$O$103,15,0)),0,VLOOKUP($U$569,'TAR FIN'!$A$1:$O$103,15,0))</f>
        <v>153.1</v>
      </c>
      <c r="Y569" s="6"/>
      <c r="Z569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69" s="6">
        <f>('TE BE'!$AB$15+'TE BF'!$AB$15+'TE CVA'!$AB$15)*(1-CUSTOS!$M$35)</f>
        <v>140.41425803603568</v>
      </c>
      <c r="AB569" s="6">
        <f>$K$569*$V$569</f>
        <v>0</v>
      </c>
      <c r="AC569" s="6">
        <f>$M$569*$W$569</f>
        <v>30428.61822</v>
      </c>
      <c r="AD569" s="6">
        <f>$O$569*$X$569</f>
        <v>25855.374899999999</v>
      </c>
      <c r="AE569" s="6">
        <f>$K$569*$Y$569</f>
        <v>0</v>
      </c>
      <c r="AF569" s="6">
        <f ca="1">$M$569*$Z$569</f>
        <v>33293.279292469051</v>
      </c>
      <c r="AG569" s="6">
        <f>$O$569*$AA$569</f>
        <v>23713.019482867669</v>
      </c>
    </row>
    <row r="570" spans="1:33" ht="11.25" customHeight="1" x14ac:dyDescent="0.3">
      <c r="A570" s="4" t="s">
        <v>21</v>
      </c>
      <c r="B570" s="4" t="s">
        <v>22</v>
      </c>
      <c r="C570" s="4" t="s">
        <v>23</v>
      </c>
      <c r="D570" s="4" t="s">
        <v>24</v>
      </c>
      <c r="E570" s="4" t="s">
        <v>30</v>
      </c>
      <c r="F570" s="4" t="s">
        <v>25</v>
      </c>
      <c r="G570" s="4" t="s">
        <v>25</v>
      </c>
      <c r="H570" s="4" t="s">
        <v>25</v>
      </c>
      <c r="I570" s="5">
        <v>44621</v>
      </c>
      <c r="J570" s="6">
        <v>0</v>
      </c>
      <c r="K570" s="6">
        <v>0</v>
      </c>
      <c r="L570" s="6">
        <v>173.79900000000001</v>
      </c>
      <c r="M570" s="6">
        <v>173.79900000000001</v>
      </c>
      <c r="N570" s="6">
        <v>173.79900000000001</v>
      </c>
      <c r="O570" s="6">
        <v>173.79900000000001</v>
      </c>
      <c r="P570" s="6">
        <v>871</v>
      </c>
      <c r="Q570" s="4" t="s">
        <v>26</v>
      </c>
      <c r="R570" s="4">
        <v>0</v>
      </c>
      <c r="S570" s="6">
        <v>0</v>
      </c>
      <c r="T570" s="6">
        <v>32</v>
      </c>
      <c r="U570" s="6">
        <v>73</v>
      </c>
      <c r="V570" s="6">
        <f>IF(ISERROR(VLOOKUP($S$570,'TAR FIN'!$A$1:$O$103,15,0)),0,VLOOKUP($S$570,'TAR FIN'!$A$1:$O$103,15,0))</f>
        <v>0</v>
      </c>
      <c r="W570" s="6">
        <f>IF(ISERROR(VLOOKUP($T$570,'TAR FIN'!$A$1:$O$103,15,0)),0,VLOOKUP($T$570,'TAR FIN'!$A$1:$O$103,15,0))</f>
        <v>180.18</v>
      </c>
      <c r="X570" s="6">
        <f>IF(ISERROR(VLOOKUP($U$570,'TAR FIN'!$A$1:$O$103,15,0)),0,VLOOKUP($U$570,'TAR FIN'!$A$1:$O$103,15,0))</f>
        <v>153.1</v>
      </c>
      <c r="Y570" s="6"/>
      <c r="Z570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70" s="6">
        <f>('TE BE'!$AB$15+'TE BF'!$AB$15+'TE CVA'!$AB$15)*(1-CUSTOS!$M$35)</f>
        <v>140.41425803603568</v>
      </c>
      <c r="AB570" s="6">
        <f>$K$570*$V$570</f>
        <v>0</v>
      </c>
      <c r="AC570" s="6">
        <f>$M$570*$W$570</f>
        <v>31315.103820000004</v>
      </c>
      <c r="AD570" s="6">
        <f>$O$570*$X$570</f>
        <v>26608.626899999999</v>
      </c>
      <c r="AE570" s="6">
        <f>$K$570*$Y$570</f>
        <v>0</v>
      </c>
      <c r="AF570" s="6">
        <f ca="1">$M$570*$Z$570</f>
        <v>34263.221879285338</v>
      </c>
      <c r="AG570" s="6">
        <f>$O$570*$AA$570</f>
        <v>24403.857632404965</v>
      </c>
    </row>
    <row r="571" spans="1:33" ht="11.25" customHeight="1" x14ac:dyDescent="0.3">
      <c r="A571" s="4" t="s">
        <v>21</v>
      </c>
      <c r="B571" s="4" t="s">
        <v>22</v>
      </c>
      <c r="C571" s="4" t="s">
        <v>23</v>
      </c>
      <c r="D571" s="4" t="s">
        <v>24</v>
      </c>
      <c r="E571" s="4" t="s">
        <v>30</v>
      </c>
      <c r="F571" s="4" t="s">
        <v>25</v>
      </c>
      <c r="G571" s="4" t="s">
        <v>25</v>
      </c>
      <c r="H571" s="4" t="s">
        <v>25</v>
      </c>
      <c r="I571" s="5">
        <v>44652</v>
      </c>
      <c r="J571" s="6">
        <v>0</v>
      </c>
      <c r="K571" s="6">
        <v>0</v>
      </c>
      <c r="L571" s="6">
        <v>202.85900000000001</v>
      </c>
      <c r="M571" s="6">
        <v>202.85900000000001</v>
      </c>
      <c r="N571" s="6">
        <v>202.85900000000001</v>
      </c>
      <c r="O571" s="6">
        <v>202.85900000000001</v>
      </c>
      <c r="P571" s="6">
        <v>739</v>
      </c>
      <c r="Q571" s="4" t="s">
        <v>26</v>
      </c>
      <c r="R571" s="4">
        <v>0</v>
      </c>
      <c r="S571" s="6">
        <v>0</v>
      </c>
      <c r="T571" s="6">
        <v>32</v>
      </c>
      <c r="U571" s="6">
        <v>73</v>
      </c>
      <c r="V571" s="6">
        <f>IF(ISERROR(VLOOKUP($S$571,'TAR FIN'!$A$1:$O$103,15,0)),0,VLOOKUP($S$571,'TAR FIN'!$A$1:$O$103,15,0))</f>
        <v>0</v>
      </c>
      <c r="W571" s="6">
        <f>IF(ISERROR(VLOOKUP($T$571,'TAR FIN'!$A$1:$O$103,15,0)),0,VLOOKUP($T$571,'TAR FIN'!$A$1:$O$103,15,0))</f>
        <v>180.18</v>
      </c>
      <c r="X571" s="6">
        <f>IF(ISERROR(VLOOKUP($U$571,'TAR FIN'!$A$1:$O$103,15,0)),0,VLOOKUP($U$571,'TAR FIN'!$A$1:$O$103,15,0))</f>
        <v>153.1</v>
      </c>
      <c r="Y571" s="6"/>
      <c r="Z571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71" s="6">
        <f>('TE BE'!$AB$15+'TE BF'!$AB$15+'TE CVA'!$AB$15)*(1-CUSTOS!$M$35)</f>
        <v>140.41425803603568</v>
      </c>
      <c r="AB571" s="6">
        <f>$K$571*$V$571</f>
        <v>0</v>
      </c>
      <c r="AC571" s="6">
        <f>$M$571*$W$571</f>
        <v>36551.134620000004</v>
      </c>
      <c r="AD571" s="6">
        <f>$O$571*$X$571</f>
        <v>31057.712899999999</v>
      </c>
      <c r="AE571" s="6">
        <f>$K$571*$Y$571</f>
        <v>0</v>
      </c>
      <c r="AF571" s="6">
        <f ca="1">$M$571*$Z$571</f>
        <v>39992.191711171785</v>
      </c>
      <c r="AG571" s="6">
        <f>$O$571*$AA$571</f>
        <v>28484.295970932162</v>
      </c>
    </row>
    <row r="572" spans="1:33" ht="11.25" customHeight="1" x14ac:dyDescent="0.3">
      <c r="A572" s="4" t="s">
        <v>21</v>
      </c>
      <c r="B572" s="4" t="s">
        <v>22</v>
      </c>
      <c r="C572" s="4" t="s">
        <v>23</v>
      </c>
      <c r="D572" s="4" t="s">
        <v>24</v>
      </c>
      <c r="E572" s="4" t="s">
        <v>30</v>
      </c>
      <c r="F572" s="4" t="s">
        <v>25</v>
      </c>
      <c r="G572" s="4" t="s">
        <v>25</v>
      </c>
      <c r="H572" s="4" t="s">
        <v>25</v>
      </c>
      <c r="I572" s="5">
        <v>44682</v>
      </c>
      <c r="J572" s="6">
        <v>0</v>
      </c>
      <c r="K572" s="6">
        <v>0</v>
      </c>
      <c r="L572" s="6">
        <v>215.45599999999999</v>
      </c>
      <c r="M572" s="6">
        <v>215.45599999999999</v>
      </c>
      <c r="N572" s="6">
        <v>215.45599999999999</v>
      </c>
      <c r="O572" s="6">
        <v>215.45599999999999</v>
      </c>
      <c r="P572" s="6">
        <v>953</v>
      </c>
      <c r="Q572" s="4" t="s">
        <v>26</v>
      </c>
      <c r="R572" s="4">
        <v>0</v>
      </c>
      <c r="S572" s="6">
        <v>0</v>
      </c>
      <c r="T572" s="6">
        <v>32</v>
      </c>
      <c r="U572" s="6">
        <v>73</v>
      </c>
      <c r="V572" s="6">
        <f>IF(ISERROR(VLOOKUP($S$572,'TAR FIN'!$A$1:$O$103,15,0)),0,VLOOKUP($S$572,'TAR FIN'!$A$1:$O$103,15,0))</f>
        <v>0</v>
      </c>
      <c r="W572" s="6">
        <f>IF(ISERROR(VLOOKUP($T$572,'TAR FIN'!$A$1:$O$103,15,0)),0,VLOOKUP($T$572,'TAR FIN'!$A$1:$O$103,15,0))</f>
        <v>180.18</v>
      </c>
      <c r="X572" s="6">
        <f>IF(ISERROR(VLOOKUP($U$572,'TAR FIN'!$A$1:$O$103,15,0)),0,VLOOKUP($U$572,'TAR FIN'!$A$1:$O$103,15,0))</f>
        <v>153.1</v>
      </c>
      <c r="Y572" s="6"/>
      <c r="Z572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72" s="6">
        <f>('TE BE'!$AB$15+'TE BF'!$AB$15+'TE CVA'!$AB$15)*(1-CUSTOS!$M$35)</f>
        <v>140.41425803603568</v>
      </c>
      <c r="AB572" s="6">
        <f>$K$572*$V$572</f>
        <v>0</v>
      </c>
      <c r="AC572" s="6">
        <f>$M$572*$W$572</f>
        <v>38820.862079999999</v>
      </c>
      <c r="AD572" s="6">
        <f>$O$572*$X$572</f>
        <v>32986.313599999994</v>
      </c>
      <c r="AE572" s="6">
        <f>$K$572*$Y$572</f>
        <v>0</v>
      </c>
      <c r="AF572" s="6">
        <f ca="1">$M$572*$Z$572</f>
        <v>42475.599590465434</v>
      </c>
      <c r="AG572" s="6">
        <f>$O$572*$AA$572</f>
        <v>30253.094379412101</v>
      </c>
    </row>
    <row r="573" spans="1:33" ht="11.25" customHeight="1" x14ac:dyDescent="0.3">
      <c r="A573" s="4" t="s">
        <v>21</v>
      </c>
      <c r="B573" s="4" t="s">
        <v>22</v>
      </c>
      <c r="C573" s="4" t="s">
        <v>23</v>
      </c>
      <c r="D573" s="4" t="s">
        <v>24</v>
      </c>
      <c r="E573" s="4" t="s">
        <v>30</v>
      </c>
      <c r="F573" s="4" t="s">
        <v>25</v>
      </c>
      <c r="G573" s="4" t="s">
        <v>25</v>
      </c>
      <c r="H573" s="4" t="s">
        <v>25</v>
      </c>
      <c r="I573" s="5">
        <v>44713</v>
      </c>
      <c r="J573" s="6">
        <v>0</v>
      </c>
      <c r="K573" s="6">
        <v>0</v>
      </c>
      <c r="L573" s="6">
        <v>200.75899999999999</v>
      </c>
      <c r="M573" s="6">
        <v>200.75899999999999</v>
      </c>
      <c r="N573" s="6">
        <v>200.75899999999999</v>
      </c>
      <c r="O573" s="6">
        <v>200.75899999999999</v>
      </c>
      <c r="P573" s="6">
        <v>1051</v>
      </c>
      <c r="Q573" s="4" t="s">
        <v>26</v>
      </c>
      <c r="R573" s="4">
        <v>0</v>
      </c>
      <c r="S573" s="6">
        <v>0</v>
      </c>
      <c r="T573" s="6">
        <v>32</v>
      </c>
      <c r="U573" s="6">
        <v>73</v>
      </c>
      <c r="V573" s="6">
        <f>IF(ISERROR(VLOOKUP($S$573,'TAR FIN'!$A$1:$O$103,15,0)),0,VLOOKUP($S$573,'TAR FIN'!$A$1:$O$103,15,0))</f>
        <v>0</v>
      </c>
      <c r="W573" s="6">
        <f>IF(ISERROR(VLOOKUP($T$573,'TAR FIN'!$A$1:$O$103,15,0)),0,VLOOKUP($T$573,'TAR FIN'!$A$1:$O$103,15,0))</f>
        <v>180.18</v>
      </c>
      <c r="X573" s="6">
        <f>IF(ISERROR(VLOOKUP($U$573,'TAR FIN'!$A$1:$O$103,15,0)),0,VLOOKUP($U$573,'TAR FIN'!$A$1:$O$103,15,0))</f>
        <v>153.1</v>
      </c>
      <c r="Y573" s="6"/>
      <c r="Z573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73" s="6">
        <f>('TE BE'!$AB$15+'TE BF'!$AB$15+'TE CVA'!$AB$15)*(1-CUSTOS!$M$35)</f>
        <v>140.41425803603568</v>
      </c>
      <c r="AB573" s="6">
        <f>$K$573*$V$573</f>
        <v>0</v>
      </c>
      <c r="AC573" s="6">
        <f>$M$573*$W$573</f>
        <v>36172.75662</v>
      </c>
      <c r="AD573" s="6">
        <f>$O$573*$X$573</f>
        <v>30736.202899999997</v>
      </c>
      <c r="AE573" s="6">
        <f>$K$573*$Y$573</f>
        <v>0</v>
      </c>
      <c r="AF573" s="6">
        <f ca="1">$M$573*$Z$573</f>
        <v>39578.19182655507</v>
      </c>
      <c r="AG573" s="6">
        <f>$O$573*$AA$573</f>
        <v>28189.426029056485</v>
      </c>
    </row>
    <row r="574" spans="1:33" ht="11.25" customHeight="1" x14ac:dyDescent="0.3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30</v>
      </c>
      <c r="F574" s="4" t="s">
        <v>25</v>
      </c>
      <c r="G574" s="4" t="s">
        <v>25</v>
      </c>
      <c r="H574" s="4" t="s">
        <v>25</v>
      </c>
      <c r="I574" s="5">
        <v>44743</v>
      </c>
      <c r="J574" s="6">
        <v>0</v>
      </c>
      <c r="K574" s="6">
        <v>0</v>
      </c>
      <c r="L574" s="6">
        <v>204.48699999999999</v>
      </c>
      <c r="M574" s="6">
        <v>204.48699999999999</v>
      </c>
      <c r="N574" s="6">
        <v>204.48699999999999</v>
      </c>
      <c r="O574" s="6">
        <v>204.48699999999999</v>
      </c>
      <c r="P574" s="6">
        <v>950</v>
      </c>
      <c r="Q574" s="4" t="s">
        <v>26</v>
      </c>
      <c r="R574" s="4">
        <v>0</v>
      </c>
      <c r="S574" s="6">
        <v>0</v>
      </c>
      <c r="T574" s="6">
        <v>32</v>
      </c>
      <c r="U574" s="6">
        <v>73</v>
      </c>
      <c r="V574" s="6">
        <f>IF(ISERROR(VLOOKUP($S$574,'TAR FIN'!$A$1:$O$103,15,0)),0,VLOOKUP($S$574,'TAR FIN'!$A$1:$O$103,15,0))</f>
        <v>0</v>
      </c>
      <c r="W574" s="6">
        <f>IF(ISERROR(VLOOKUP($T$574,'TAR FIN'!$A$1:$O$103,15,0)),0,VLOOKUP($T$574,'TAR FIN'!$A$1:$O$103,15,0))</f>
        <v>180.18</v>
      </c>
      <c r="X574" s="6">
        <f>IF(ISERROR(VLOOKUP($U$574,'TAR FIN'!$A$1:$O$103,15,0)),0,VLOOKUP($U$574,'TAR FIN'!$A$1:$O$103,15,0))</f>
        <v>153.1</v>
      </c>
      <c r="Y574" s="6"/>
      <c r="Z574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74" s="6">
        <f>('TE BE'!$AB$15+'TE BF'!$AB$15+'TE CVA'!$AB$15)*(1-CUSTOS!$M$35)</f>
        <v>140.41425803603568</v>
      </c>
      <c r="AB574" s="6">
        <f>$K$574*$V$574</f>
        <v>0</v>
      </c>
      <c r="AC574" s="6">
        <f>$M$574*$W$574</f>
        <v>36844.467660000002</v>
      </c>
      <c r="AD574" s="6">
        <f>$O$574*$X$574</f>
        <v>31306.959699999999</v>
      </c>
      <c r="AE574" s="6">
        <f>$K$574*$Y$574</f>
        <v>0</v>
      </c>
      <c r="AF574" s="6">
        <f ca="1">$M$574*$Z$574</f>
        <v>40313.14019315083</v>
      </c>
      <c r="AG574" s="6">
        <f>$O$574*$AA$574</f>
        <v>28712.890383014827</v>
      </c>
    </row>
    <row r="575" spans="1:33" ht="11.25" customHeight="1" x14ac:dyDescent="0.3">
      <c r="A575" s="4" t="s">
        <v>21</v>
      </c>
      <c r="B575" s="4" t="s">
        <v>22</v>
      </c>
      <c r="C575" s="4" t="s">
        <v>23</v>
      </c>
      <c r="D575" s="4" t="s">
        <v>24</v>
      </c>
      <c r="E575" s="4" t="s">
        <v>30</v>
      </c>
      <c r="F575" s="4" t="s">
        <v>25</v>
      </c>
      <c r="G575" s="4" t="s">
        <v>25</v>
      </c>
      <c r="H575" s="4" t="s">
        <v>25</v>
      </c>
      <c r="I575" s="5">
        <v>44774</v>
      </c>
      <c r="J575" s="6">
        <v>0</v>
      </c>
      <c r="K575" s="6">
        <v>0</v>
      </c>
      <c r="L575" s="6">
        <v>199.404</v>
      </c>
      <c r="M575" s="6">
        <v>199.404</v>
      </c>
      <c r="N575" s="6">
        <v>199.404</v>
      </c>
      <c r="O575" s="6">
        <v>199.404</v>
      </c>
      <c r="P575" s="6">
        <v>1039</v>
      </c>
      <c r="Q575" s="4" t="s">
        <v>26</v>
      </c>
      <c r="R575" s="4">
        <v>0</v>
      </c>
      <c r="S575" s="6">
        <v>0</v>
      </c>
      <c r="T575" s="6">
        <v>32</v>
      </c>
      <c r="U575" s="6">
        <v>73</v>
      </c>
      <c r="V575" s="6">
        <f>IF(ISERROR(VLOOKUP($S$575,'TAR FIN'!$A$1:$O$103,15,0)),0,VLOOKUP($S$575,'TAR FIN'!$A$1:$O$103,15,0))</f>
        <v>0</v>
      </c>
      <c r="W575" s="6">
        <f>IF(ISERROR(VLOOKUP($T$575,'TAR FIN'!$A$1:$O$103,15,0)),0,VLOOKUP($T$575,'TAR FIN'!$A$1:$O$103,15,0))</f>
        <v>180.18</v>
      </c>
      <c r="X575" s="6">
        <f>IF(ISERROR(VLOOKUP($U$575,'TAR FIN'!$A$1:$O$103,15,0)),0,VLOOKUP($U$575,'TAR FIN'!$A$1:$O$103,15,0))</f>
        <v>153.1</v>
      </c>
      <c r="Y575" s="6"/>
      <c r="Z575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75" s="6">
        <f>('TE BE'!$AB$15+'TE BF'!$AB$15+'TE CVA'!$AB$15)*(1-CUSTOS!$M$35)</f>
        <v>140.41425803603568</v>
      </c>
      <c r="AB575" s="6">
        <f>$K$575*$V$575</f>
        <v>0</v>
      </c>
      <c r="AC575" s="6">
        <f>$M$575*$W$575</f>
        <v>35928.612719999997</v>
      </c>
      <c r="AD575" s="6">
        <f>$O$575*$X$575</f>
        <v>30528.752399999998</v>
      </c>
      <c r="AE575" s="6">
        <f>$K$575*$Y$575</f>
        <v>0</v>
      </c>
      <c r="AF575" s="6">
        <f ca="1">$M$575*$Z$575</f>
        <v>39311.063329576195</v>
      </c>
      <c r="AG575" s="6">
        <f>$O$575*$AA$575</f>
        <v>27999.164709417659</v>
      </c>
    </row>
    <row r="576" spans="1:33" ht="11.25" customHeight="1" x14ac:dyDescent="0.3">
      <c r="A576" s="4" t="s">
        <v>21</v>
      </c>
      <c r="B576" s="4" t="s">
        <v>22</v>
      </c>
      <c r="C576" s="4" t="s">
        <v>23</v>
      </c>
      <c r="D576" s="4" t="s">
        <v>24</v>
      </c>
      <c r="E576" s="4" t="s">
        <v>30</v>
      </c>
      <c r="F576" s="4" t="s">
        <v>25</v>
      </c>
      <c r="G576" s="4" t="s">
        <v>25</v>
      </c>
      <c r="H576" s="4" t="s">
        <v>25</v>
      </c>
      <c r="I576" s="5">
        <v>44805</v>
      </c>
      <c r="J576" s="6">
        <v>0</v>
      </c>
      <c r="K576" s="6">
        <v>0</v>
      </c>
      <c r="L576" s="6">
        <v>210.48099999999999</v>
      </c>
      <c r="M576" s="6">
        <v>210.48099999999999</v>
      </c>
      <c r="N576" s="6">
        <v>210.48099999999999</v>
      </c>
      <c r="O576" s="6">
        <v>210.48099999999999</v>
      </c>
      <c r="P576" s="6">
        <v>753</v>
      </c>
      <c r="Q576" s="4" t="s">
        <v>26</v>
      </c>
      <c r="R576" s="4">
        <v>0</v>
      </c>
      <c r="S576" s="6">
        <v>0</v>
      </c>
      <c r="T576" s="6">
        <v>32</v>
      </c>
      <c r="U576" s="6">
        <v>73</v>
      </c>
      <c r="V576" s="6">
        <f>IF(ISERROR(VLOOKUP($S$576,'TAR FIN'!$A$1:$O$103,15,0)),0,VLOOKUP($S$576,'TAR FIN'!$A$1:$O$103,15,0))</f>
        <v>0</v>
      </c>
      <c r="W576" s="6">
        <f>IF(ISERROR(VLOOKUP($T$576,'TAR FIN'!$A$1:$O$103,15,0)),0,VLOOKUP($T$576,'TAR FIN'!$A$1:$O$103,15,0))</f>
        <v>180.18</v>
      </c>
      <c r="X576" s="6">
        <f>IF(ISERROR(VLOOKUP($U$576,'TAR FIN'!$A$1:$O$103,15,0)),0,VLOOKUP($U$576,'TAR FIN'!$A$1:$O$103,15,0))</f>
        <v>153.1</v>
      </c>
      <c r="Y576" s="6"/>
      <c r="Z576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76" s="6">
        <f>('TE BE'!$AB$15+'TE BF'!$AB$15+'TE CVA'!$AB$15)*(1-CUSTOS!$M$35)</f>
        <v>140.41425803603568</v>
      </c>
      <c r="AB576" s="6">
        <f>$K$576*$V$576</f>
        <v>0</v>
      </c>
      <c r="AC576" s="6">
        <f>$M$576*$W$576</f>
        <v>37924.46658</v>
      </c>
      <c r="AD576" s="6">
        <f>$O$576*$X$576</f>
        <v>32224.641099999997</v>
      </c>
      <c r="AE576" s="6">
        <f>$K$576*$Y$576</f>
        <v>0</v>
      </c>
      <c r="AF576" s="6">
        <f ca="1">$M$576*$Z$576</f>
        <v>41494.814149528233</v>
      </c>
      <c r="AG576" s="6">
        <f>$O$576*$AA$576</f>
        <v>29554.533445682824</v>
      </c>
    </row>
    <row r="577" spans="1:33" ht="11.25" customHeight="1" x14ac:dyDescent="0.3">
      <c r="A577" s="4" t="s">
        <v>28</v>
      </c>
      <c r="B577" s="4" t="s">
        <v>22</v>
      </c>
      <c r="C577" s="4" t="s">
        <v>23</v>
      </c>
      <c r="D577" s="4" t="s">
        <v>24</v>
      </c>
      <c r="E577" s="4" t="s">
        <v>30</v>
      </c>
      <c r="F577" s="4" t="s">
        <v>25</v>
      </c>
      <c r="G577" s="4" t="s">
        <v>25</v>
      </c>
      <c r="H577" s="4" t="s">
        <v>25</v>
      </c>
      <c r="I577" s="5">
        <v>44805</v>
      </c>
      <c r="J577" s="6">
        <v>0</v>
      </c>
      <c r="K577" s="6">
        <v>0</v>
      </c>
      <c r="L577" s="6">
        <v>7.0000000000000007E-2</v>
      </c>
      <c r="M577" s="6">
        <v>7.0000000000000007E-2</v>
      </c>
      <c r="N577" s="6">
        <v>7.0000000000000007E-2</v>
      </c>
      <c r="O577" s="6">
        <v>7.0000000000000007E-2</v>
      </c>
      <c r="P577" s="6">
        <v>0</v>
      </c>
      <c r="Q577" s="4" t="s">
        <v>26</v>
      </c>
      <c r="R577" s="4">
        <v>0</v>
      </c>
      <c r="S577" s="6">
        <v>0</v>
      </c>
      <c r="T577" s="6">
        <v>32</v>
      </c>
      <c r="U577" s="6">
        <v>73</v>
      </c>
      <c r="V577" s="6">
        <f>IF(ISERROR(VLOOKUP($S$577,'TAR FIN'!$A$1:$O$103,15,0)),0,VLOOKUP($S$577,'TAR FIN'!$A$1:$O$103,15,0))</f>
        <v>0</v>
      </c>
      <c r="W577" s="6">
        <f>IF(ISERROR(VLOOKUP($T$577,'TAR FIN'!$A$1:$O$103,15,0)),0,VLOOKUP($T$577,'TAR FIN'!$A$1:$O$103,15,0))</f>
        <v>180.18</v>
      </c>
      <c r="X577" s="6">
        <f>IF(ISERROR(VLOOKUP($U$577,'TAR FIN'!$A$1:$O$103,15,0)),0,VLOOKUP($U$577,'TAR FIN'!$A$1:$O$103,15,0))</f>
        <v>153.1</v>
      </c>
      <c r="Y577" s="6"/>
      <c r="Z577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77" s="6">
        <f>('TE BE'!$AB$15+'TE BF'!$AB$15+'TE CVA'!$AB$15)*(1-CUSTOS!$M$35)</f>
        <v>140.41425803603568</v>
      </c>
      <c r="AB577" s="6">
        <f>$K$577*$V$577</f>
        <v>0</v>
      </c>
      <c r="AC577" s="6">
        <f>$M$577*$W$577</f>
        <v>12.612600000000002</v>
      </c>
      <c r="AD577" s="6">
        <f>$O$577*$X$577</f>
        <v>10.717000000000001</v>
      </c>
      <c r="AE577" s="6">
        <f>$K$577*$Y$577</f>
        <v>0</v>
      </c>
      <c r="AF577" s="6">
        <f ca="1">$M$577*$Z$577</f>
        <v>13.799996153890264</v>
      </c>
      <c r="AG577" s="6">
        <f>$O$577*$AA$577</f>
        <v>9.8289980625224977</v>
      </c>
    </row>
    <row r="578" spans="1:33" ht="11.25" customHeight="1" x14ac:dyDescent="0.3">
      <c r="A578" s="4" t="s">
        <v>57</v>
      </c>
      <c r="B578" s="4" t="s">
        <v>22</v>
      </c>
      <c r="C578" s="4" t="s">
        <v>23</v>
      </c>
      <c r="D578" s="4" t="s">
        <v>24</v>
      </c>
      <c r="E578" s="4" t="s">
        <v>30</v>
      </c>
      <c r="F578" s="4" t="s">
        <v>25</v>
      </c>
      <c r="G578" s="4" t="s">
        <v>25</v>
      </c>
      <c r="H578" s="4" t="s">
        <v>25</v>
      </c>
      <c r="I578" s="5">
        <v>44835</v>
      </c>
      <c r="J578" s="6">
        <v>0</v>
      </c>
      <c r="K578" s="6">
        <v>0</v>
      </c>
      <c r="L578" s="6">
        <v>210.48099999999999</v>
      </c>
      <c r="M578" s="6">
        <v>210.48099999999999</v>
      </c>
      <c r="N578" s="6">
        <v>210.48099999999999</v>
      </c>
      <c r="O578" s="6">
        <v>210.48099999999999</v>
      </c>
      <c r="P578" s="6">
        <v>753</v>
      </c>
      <c r="Q578" s="4" t="s">
        <v>26</v>
      </c>
      <c r="R578" s="4">
        <v>0</v>
      </c>
      <c r="S578" s="6">
        <v>0</v>
      </c>
      <c r="T578" s="6">
        <v>32</v>
      </c>
      <c r="U578" s="6">
        <v>73</v>
      </c>
      <c r="V578" s="6">
        <f>IF(ISERROR(VLOOKUP($S$578,'TAR FIN'!$A$1:$O$103,15,0)),0,VLOOKUP($S$578,'TAR FIN'!$A$1:$O$103,15,0))</f>
        <v>0</v>
      </c>
      <c r="W578" s="6">
        <f>IF(ISERROR(VLOOKUP($T$578,'TAR FIN'!$A$1:$O$103,15,0)),0,VLOOKUP($T$578,'TAR FIN'!$A$1:$O$103,15,0))</f>
        <v>180.18</v>
      </c>
      <c r="X578" s="6">
        <f>IF(ISERROR(VLOOKUP($U$578,'TAR FIN'!$A$1:$O$103,15,0)),0,VLOOKUP($U$578,'TAR FIN'!$A$1:$O$103,15,0))</f>
        <v>153.1</v>
      </c>
      <c r="Y578" s="6"/>
      <c r="Z578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78" s="6">
        <f>('TE BE'!$AB$15+'TE BF'!$AB$15+'TE CVA'!$AB$15)*(1-CUSTOS!$M$35)</f>
        <v>140.41425803603568</v>
      </c>
      <c r="AB578" s="6">
        <f>$K$578*$V$578</f>
        <v>0</v>
      </c>
      <c r="AC578" s="6">
        <f>$M$578*$W$578</f>
        <v>37924.46658</v>
      </c>
      <c r="AD578" s="6">
        <f>$O$578*$X$578</f>
        <v>32224.641099999997</v>
      </c>
      <c r="AE578" s="6">
        <f>$K$578*$Y$578</f>
        <v>0</v>
      </c>
      <c r="AF578" s="6">
        <f ca="1">$M$578*$Z$578</f>
        <v>41494.814149528233</v>
      </c>
      <c r="AG578" s="6">
        <f>$O$578*$AA$578</f>
        <v>29554.533445682824</v>
      </c>
    </row>
    <row r="579" spans="1:33" ht="11.25" customHeight="1" x14ac:dyDescent="0.3">
      <c r="A579" s="4" t="s">
        <v>57</v>
      </c>
      <c r="B579" s="4" t="s">
        <v>22</v>
      </c>
      <c r="C579" s="4" t="s">
        <v>23</v>
      </c>
      <c r="D579" s="4" t="s">
        <v>24</v>
      </c>
      <c r="E579" s="4" t="s">
        <v>30</v>
      </c>
      <c r="F579" s="4" t="s">
        <v>25</v>
      </c>
      <c r="G579" s="4" t="s">
        <v>25</v>
      </c>
      <c r="H579" s="4" t="s">
        <v>25</v>
      </c>
      <c r="I579" s="5">
        <v>44835</v>
      </c>
      <c r="J579" s="6">
        <v>0</v>
      </c>
      <c r="K579" s="6">
        <v>0</v>
      </c>
      <c r="L579" s="6">
        <v>7.0000000000000007E-2</v>
      </c>
      <c r="M579" s="6">
        <v>7.0000000000000007E-2</v>
      </c>
      <c r="N579" s="6">
        <v>7.0000000000000007E-2</v>
      </c>
      <c r="O579" s="6">
        <v>7.0000000000000007E-2</v>
      </c>
      <c r="P579" s="6">
        <v>0</v>
      </c>
      <c r="Q579" s="4" t="s">
        <v>26</v>
      </c>
      <c r="R579" s="4">
        <v>0</v>
      </c>
      <c r="S579" s="6">
        <v>0</v>
      </c>
      <c r="T579" s="6">
        <v>32</v>
      </c>
      <c r="U579" s="6">
        <v>73</v>
      </c>
      <c r="V579" s="6">
        <f>IF(ISERROR(VLOOKUP($S$579,'TAR FIN'!$A$1:$O$103,15,0)),0,VLOOKUP($S$579,'TAR FIN'!$A$1:$O$103,15,0))</f>
        <v>0</v>
      </c>
      <c r="W579" s="6">
        <f>IF(ISERROR(VLOOKUP($T$579,'TAR FIN'!$A$1:$O$103,15,0)),0,VLOOKUP($T$579,'TAR FIN'!$A$1:$O$103,15,0))</f>
        <v>180.18</v>
      </c>
      <c r="X579" s="6">
        <f>IF(ISERROR(VLOOKUP($U$579,'TAR FIN'!$A$1:$O$103,15,0)),0,VLOOKUP($U$579,'TAR FIN'!$A$1:$O$103,15,0))</f>
        <v>153.1</v>
      </c>
      <c r="Y579" s="6"/>
      <c r="Z579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579" s="6">
        <f>('TE BE'!$AB$15+'TE BF'!$AB$15+'TE CVA'!$AB$15)*(1-CUSTOS!$M$35)</f>
        <v>140.41425803603568</v>
      </c>
      <c r="AB579" s="6">
        <f>$K$579*$V$579</f>
        <v>0</v>
      </c>
      <c r="AC579" s="6">
        <f>$M$579*$W$579</f>
        <v>12.612600000000002</v>
      </c>
      <c r="AD579" s="6">
        <f>$O$579*$X$579</f>
        <v>10.717000000000001</v>
      </c>
      <c r="AE579" s="6">
        <f>$K$579*$Y$579</f>
        <v>0</v>
      </c>
      <c r="AF579" s="6">
        <f ca="1">$M$579*$Z$579</f>
        <v>13.799996153890264</v>
      </c>
      <c r="AG579" s="6">
        <f>$O$579*$AA$579</f>
        <v>9.8289980625224977</v>
      </c>
    </row>
    <row r="580" spans="1:33" ht="11.25" customHeight="1" x14ac:dyDescent="0.3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31</v>
      </c>
      <c r="F580" s="4" t="s">
        <v>25</v>
      </c>
      <c r="G580" s="4" t="s">
        <v>25</v>
      </c>
      <c r="H580" s="4" t="s">
        <v>25</v>
      </c>
      <c r="I580" s="5">
        <v>44501</v>
      </c>
      <c r="J580" s="6">
        <v>0</v>
      </c>
      <c r="K580" s="6">
        <v>0</v>
      </c>
      <c r="L580" s="6">
        <v>109.375</v>
      </c>
      <c r="M580" s="6">
        <v>109.375</v>
      </c>
      <c r="N580" s="6">
        <v>109.375</v>
      </c>
      <c r="O580" s="6">
        <v>109.375</v>
      </c>
      <c r="P580" s="6">
        <v>1473</v>
      </c>
      <c r="Q580" s="4" t="s">
        <v>26</v>
      </c>
      <c r="R580" s="4">
        <v>0</v>
      </c>
      <c r="S580" s="6">
        <v>0</v>
      </c>
      <c r="T580" s="6">
        <v>33</v>
      </c>
      <c r="U580" s="6">
        <v>74</v>
      </c>
      <c r="V580" s="6">
        <f>IF(ISERROR(VLOOKUP($S$580,'TAR FIN'!$A$1:$O$103,15,0)),0,VLOOKUP($S$580,'TAR FIN'!$A$1:$O$103,15,0))</f>
        <v>0</v>
      </c>
      <c r="W580" s="6">
        <f>IF(ISERROR(VLOOKUP($T$580,'TAR FIN'!$A$1:$O$103,15,0)),0,VLOOKUP($T$580,'TAR FIN'!$A$1:$O$103,15,0))</f>
        <v>270.27</v>
      </c>
      <c r="X580" s="6">
        <f>IF(ISERROR(VLOOKUP($U$580,'TAR FIN'!$A$1:$O$103,15,0)),0,VLOOKUP($U$580,'TAR FIN'!$A$1:$O$103,15,0))</f>
        <v>229.65</v>
      </c>
      <c r="Y580" s="6"/>
      <c r="Z580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80" s="6">
        <f>('TE BE'!$AB$16+'TE BF'!$AB$16+'TE CVA'!$AB$16)*(1-CUSTOS!$M$36)</f>
        <v>210.62138705405351</v>
      </c>
      <c r="AB580" s="6">
        <f>$K$580*$V$580</f>
        <v>0</v>
      </c>
      <c r="AC580" s="6">
        <f>$M$580*$W$580</f>
        <v>29560.781249999996</v>
      </c>
      <c r="AD580" s="6">
        <f>$O$580*$X$580</f>
        <v>25117.96875</v>
      </c>
      <c r="AE580" s="6">
        <f>$K$580*$Y$580</f>
        <v>0</v>
      </c>
      <c r="AF580" s="6">
        <f ca="1">$M$580*$Z$580</f>
        <v>32343.740985680306</v>
      </c>
      <c r="AG580" s="6">
        <f>$O$580*$AA$580</f>
        <v>23036.714209037102</v>
      </c>
    </row>
    <row r="581" spans="1:33" ht="11.25" customHeight="1" x14ac:dyDescent="0.3">
      <c r="A581" s="4" t="s">
        <v>21</v>
      </c>
      <c r="B581" s="4" t="s">
        <v>22</v>
      </c>
      <c r="C581" s="4" t="s">
        <v>23</v>
      </c>
      <c r="D581" s="4" t="s">
        <v>24</v>
      </c>
      <c r="E581" s="4" t="s">
        <v>31</v>
      </c>
      <c r="F581" s="4" t="s">
        <v>25</v>
      </c>
      <c r="G581" s="4" t="s">
        <v>25</v>
      </c>
      <c r="H581" s="4" t="s">
        <v>25</v>
      </c>
      <c r="I581" s="5">
        <v>44531</v>
      </c>
      <c r="J581" s="6">
        <v>0</v>
      </c>
      <c r="K581" s="6">
        <v>0</v>
      </c>
      <c r="L581" s="6">
        <v>109.339</v>
      </c>
      <c r="M581" s="6">
        <v>109.339</v>
      </c>
      <c r="N581" s="6">
        <v>109.339</v>
      </c>
      <c r="O581" s="6">
        <v>109.339</v>
      </c>
      <c r="P581" s="6">
        <v>1550</v>
      </c>
      <c r="Q581" s="4" t="s">
        <v>26</v>
      </c>
      <c r="R581" s="4">
        <v>0</v>
      </c>
      <c r="S581" s="6">
        <v>0</v>
      </c>
      <c r="T581" s="6">
        <v>33</v>
      </c>
      <c r="U581" s="6">
        <v>74</v>
      </c>
      <c r="V581" s="6">
        <f>IF(ISERROR(VLOOKUP($S$581,'TAR FIN'!$A$1:$O$103,15,0)),0,VLOOKUP($S$581,'TAR FIN'!$A$1:$O$103,15,0))</f>
        <v>0</v>
      </c>
      <c r="W581" s="6">
        <f>IF(ISERROR(VLOOKUP($T$581,'TAR FIN'!$A$1:$O$103,15,0)),0,VLOOKUP($T$581,'TAR FIN'!$A$1:$O$103,15,0))</f>
        <v>270.27</v>
      </c>
      <c r="X581" s="6">
        <f>IF(ISERROR(VLOOKUP($U$581,'TAR FIN'!$A$1:$O$103,15,0)),0,VLOOKUP($U$581,'TAR FIN'!$A$1:$O$103,15,0))</f>
        <v>229.65</v>
      </c>
      <c r="Y581" s="6"/>
      <c r="Z581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81" s="6">
        <f>('TE BE'!$AB$16+'TE BF'!$AB$16+'TE CVA'!$AB$16)*(1-CUSTOS!$M$36)</f>
        <v>210.62138705405351</v>
      </c>
      <c r="AB581" s="6">
        <f>$K$581*$V$581</f>
        <v>0</v>
      </c>
      <c r="AC581" s="6">
        <f>$M$581*$W$581</f>
        <v>29551.051529999997</v>
      </c>
      <c r="AD581" s="6">
        <f>$O$581*$X$581</f>
        <v>25109.701349999999</v>
      </c>
      <c r="AE581" s="6">
        <f>$K$581*$Y$581</f>
        <v>0</v>
      </c>
      <c r="AF581" s="6">
        <f ca="1">$M$581*$Z$581</f>
        <v>32333.095274361589</v>
      </c>
      <c r="AG581" s="6">
        <f>$O$581*$AA$581</f>
        <v>23029.131839103156</v>
      </c>
    </row>
    <row r="582" spans="1:33" ht="11.25" customHeight="1" x14ac:dyDescent="0.3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31</v>
      </c>
      <c r="F582" s="4" t="s">
        <v>25</v>
      </c>
      <c r="G582" s="4" t="s">
        <v>25</v>
      </c>
      <c r="H582" s="4" t="s">
        <v>25</v>
      </c>
      <c r="I582" s="5">
        <v>44562</v>
      </c>
      <c r="J582" s="6">
        <v>0</v>
      </c>
      <c r="K582" s="6">
        <v>0</v>
      </c>
      <c r="L582" s="6">
        <v>118.824</v>
      </c>
      <c r="M582" s="6">
        <v>118.824</v>
      </c>
      <c r="N582" s="6">
        <v>118.824</v>
      </c>
      <c r="O582" s="6">
        <v>118.824</v>
      </c>
      <c r="P582" s="6">
        <v>1563</v>
      </c>
      <c r="Q582" s="4" t="s">
        <v>26</v>
      </c>
      <c r="R582" s="4">
        <v>0</v>
      </c>
      <c r="S582" s="6">
        <v>0</v>
      </c>
      <c r="T582" s="6">
        <v>33</v>
      </c>
      <c r="U582" s="6">
        <v>74</v>
      </c>
      <c r="V582" s="6">
        <f>IF(ISERROR(VLOOKUP($S$582,'TAR FIN'!$A$1:$O$103,15,0)),0,VLOOKUP($S$582,'TAR FIN'!$A$1:$O$103,15,0))</f>
        <v>0</v>
      </c>
      <c r="W582" s="6">
        <f>IF(ISERROR(VLOOKUP($T$582,'TAR FIN'!$A$1:$O$103,15,0)),0,VLOOKUP($T$582,'TAR FIN'!$A$1:$O$103,15,0))</f>
        <v>270.27</v>
      </c>
      <c r="X582" s="6">
        <f>IF(ISERROR(VLOOKUP($U$582,'TAR FIN'!$A$1:$O$103,15,0)),0,VLOOKUP($U$582,'TAR FIN'!$A$1:$O$103,15,0))</f>
        <v>229.65</v>
      </c>
      <c r="Y582" s="6"/>
      <c r="Z582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82" s="6">
        <f>('TE BE'!$AB$16+'TE BF'!$AB$16+'TE CVA'!$AB$16)*(1-CUSTOS!$M$36)</f>
        <v>210.62138705405351</v>
      </c>
      <c r="AB582" s="6">
        <f>$K$582*$V$582</f>
        <v>0</v>
      </c>
      <c r="AC582" s="6">
        <f>$M$582*$W$582</f>
        <v>32114.562479999997</v>
      </c>
      <c r="AD582" s="6">
        <f>$O$582*$X$582</f>
        <v>27287.9316</v>
      </c>
      <c r="AE582" s="6">
        <f>$K$582*$Y$582</f>
        <v>0</v>
      </c>
      <c r="AF582" s="6">
        <f ca="1">$M$582*$Z$582</f>
        <v>35137.944492639785</v>
      </c>
      <c r="AG582" s="6">
        <f>$O$582*$AA$582</f>
        <v>25026.875695310853</v>
      </c>
    </row>
    <row r="583" spans="1:33" ht="11.25" customHeight="1" x14ac:dyDescent="0.3">
      <c r="A583" s="4" t="s">
        <v>21</v>
      </c>
      <c r="B583" s="4" t="s">
        <v>22</v>
      </c>
      <c r="C583" s="4" t="s">
        <v>23</v>
      </c>
      <c r="D583" s="4" t="s">
        <v>24</v>
      </c>
      <c r="E583" s="4" t="s">
        <v>31</v>
      </c>
      <c r="F583" s="4" t="s">
        <v>25</v>
      </c>
      <c r="G583" s="4" t="s">
        <v>25</v>
      </c>
      <c r="H583" s="4" t="s">
        <v>25</v>
      </c>
      <c r="I583" s="5">
        <v>44593</v>
      </c>
      <c r="J583" s="6">
        <v>0</v>
      </c>
      <c r="K583" s="6">
        <v>0</v>
      </c>
      <c r="L583" s="6">
        <v>119.429</v>
      </c>
      <c r="M583" s="6">
        <v>119.429</v>
      </c>
      <c r="N583" s="6">
        <v>119.429</v>
      </c>
      <c r="O583" s="6">
        <v>119.429</v>
      </c>
      <c r="P583" s="6">
        <v>1643</v>
      </c>
      <c r="Q583" s="4" t="s">
        <v>26</v>
      </c>
      <c r="R583" s="4">
        <v>0</v>
      </c>
      <c r="S583" s="6">
        <v>0</v>
      </c>
      <c r="T583" s="6">
        <v>33</v>
      </c>
      <c r="U583" s="6">
        <v>74</v>
      </c>
      <c r="V583" s="6">
        <f>IF(ISERROR(VLOOKUP($S$583,'TAR FIN'!$A$1:$O$103,15,0)),0,VLOOKUP($S$583,'TAR FIN'!$A$1:$O$103,15,0))</f>
        <v>0</v>
      </c>
      <c r="W583" s="6">
        <f>IF(ISERROR(VLOOKUP($T$583,'TAR FIN'!$A$1:$O$103,15,0)),0,VLOOKUP($T$583,'TAR FIN'!$A$1:$O$103,15,0))</f>
        <v>270.27</v>
      </c>
      <c r="X583" s="6">
        <f>IF(ISERROR(VLOOKUP($U$583,'TAR FIN'!$A$1:$O$103,15,0)),0,VLOOKUP($U$583,'TAR FIN'!$A$1:$O$103,15,0))</f>
        <v>229.65</v>
      </c>
      <c r="Y583" s="6"/>
      <c r="Z583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83" s="6">
        <f>('TE BE'!$AB$16+'TE BF'!$AB$16+'TE CVA'!$AB$16)*(1-CUSTOS!$M$36)</f>
        <v>210.62138705405351</v>
      </c>
      <c r="AB583" s="6">
        <f>$K$583*$V$583</f>
        <v>0</v>
      </c>
      <c r="AC583" s="6">
        <f>$M$583*$W$583</f>
        <v>32278.075829999998</v>
      </c>
      <c r="AD583" s="6">
        <f>$O$583*$X$583</f>
        <v>27426.869850000003</v>
      </c>
      <c r="AE583" s="6">
        <f>$K$583*$Y$583</f>
        <v>0</v>
      </c>
      <c r="AF583" s="6">
        <f ca="1">$M$583*$Z$583</f>
        <v>35316.851585634868</v>
      </c>
      <c r="AG583" s="6">
        <f>$O$583*$AA$583</f>
        <v>25154.301634478557</v>
      </c>
    </row>
    <row r="584" spans="1:33" ht="11.25" customHeight="1" x14ac:dyDescent="0.3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31</v>
      </c>
      <c r="F584" s="4" t="s">
        <v>25</v>
      </c>
      <c r="G584" s="4" t="s">
        <v>25</v>
      </c>
      <c r="H584" s="4" t="s">
        <v>25</v>
      </c>
      <c r="I584" s="5">
        <v>44621</v>
      </c>
      <c r="J584" s="6">
        <v>0</v>
      </c>
      <c r="K584" s="6">
        <v>0</v>
      </c>
      <c r="L584" s="6">
        <v>109.42</v>
      </c>
      <c r="M584" s="6">
        <v>109.42</v>
      </c>
      <c r="N584" s="6">
        <v>109.42</v>
      </c>
      <c r="O584" s="6">
        <v>109.42</v>
      </c>
      <c r="P584" s="6">
        <v>1674</v>
      </c>
      <c r="Q584" s="4" t="s">
        <v>26</v>
      </c>
      <c r="R584" s="4">
        <v>0</v>
      </c>
      <c r="S584" s="6">
        <v>0</v>
      </c>
      <c r="T584" s="6">
        <v>33</v>
      </c>
      <c r="U584" s="6">
        <v>74</v>
      </c>
      <c r="V584" s="6">
        <f>IF(ISERROR(VLOOKUP($S$584,'TAR FIN'!$A$1:$O$103,15,0)),0,VLOOKUP($S$584,'TAR FIN'!$A$1:$O$103,15,0))</f>
        <v>0</v>
      </c>
      <c r="W584" s="6">
        <f>IF(ISERROR(VLOOKUP($T$584,'TAR FIN'!$A$1:$O$103,15,0)),0,VLOOKUP($T$584,'TAR FIN'!$A$1:$O$103,15,0))</f>
        <v>270.27</v>
      </c>
      <c r="X584" s="6">
        <f>IF(ISERROR(VLOOKUP($U$584,'TAR FIN'!$A$1:$O$103,15,0)),0,VLOOKUP($U$584,'TAR FIN'!$A$1:$O$103,15,0))</f>
        <v>229.65</v>
      </c>
      <c r="Y584" s="6"/>
      <c r="Z584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84" s="6">
        <f>('TE BE'!$AB$16+'TE BF'!$AB$16+'TE CVA'!$AB$16)*(1-CUSTOS!$M$36)</f>
        <v>210.62138705405351</v>
      </c>
      <c r="AB584" s="6">
        <f>$K$584*$V$584</f>
        <v>0</v>
      </c>
      <c r="AC584" s="6">
        <f>$M$584*$W$584</f>
        <v>29572.9434</v>
      </c>
      <c r="AD584" s="6">
        <f>$O$584*$X$584</f>
        <v>25128.303</v>
      </c>
      <c r="AE584" s="6">
        <f>$K$584*$Y$584</f>
        <v>0</v>
      </c>
      <c r="AF584" s="6">
        <f ca="1">$M$584*$Z$584</f>
        <v>32357.0481248287</v>
      </c>
      <c r="AG584" s="6">
        <f>$O$584*$AA$584</f>
        <v>23046.192171454535</v>
      </c>
    </row>
    <row r="585" spans="1:33" ht="11.25" customHeight="1" x14ac:dyDescent="0.3">
      <c r="A585" s="4" t="s">
        <v>21</v>
      </c>
      <c r="B585" s="4" t="s">
        <v>22</v>
      </c>
      <c r="C585" s="4" t="s">
        <v>23</v>
      </c>
      <c r="D585" s="4" t="s">
        <v>24</v>
      </c>
      <c r="E585" s="4" t="s">
        <v>31</v>
      </c>
      <c r="F585" s="4" t="s">
        <v>25</v>
      </c>
      <c r="G585" s="4" t="s">
        <v>25</v>
      </c>
      <c r="H585" s="4" t="s">
        <v>25</v>
      </c>
      <c r="I585" s="5">
        <v>44652</v>
      </c>
      <c r="J585" s="6">
        <v>0</v>
      </c>
      <c r="K585" s="6">
        <v>0</v>
      </c>
      <c r="L585" s="6">
        <v>159.411</v>
      </c>
      <c r="M585" s="6">
        <v>159.411</v>
      </c>
      <c r="N585" s="6">
        <v>159.411</v>
      </c>
      <c r="O585" s="6">
        <v>159.411</v>
      </c>
      <c r="P585" s="6">
        <v>1893</v>
      </c>
      <c r="Q585" s="4" t="s">
        <v>26</v>
      </c>
      <c r="R585" s="4">
        <v>0</v>
      </c>
      <c r="S585" s="6">
        <v>0</v>
      </c>
      <c r="T585" s="6">
        <v>33</v>
      </c>
      <c r="U585" s="6">
        <v>74</v>
      </c>
      <c r="V585" s="6">
        <f>IF(ISERROR(VLOOKUP($S$585,'TAR FIN'!$A$1:$O$103,15,0)),0,VLOOKUP($S$585,'TAR FIN'!$A$1:$O$103,15,0))</f>
        <v>0</v>
      </c>
      <c r="W585" s="6">
        <f>IF(ISERROR(VLOOKUP($T$585,'TAR FIN'!$A$1:$O$103,15,0)),0,VLOOKUP($T$585,'TAR FIN'!$A$1:$O$103,15,0))</f>
        <v>270.27</v>
      </c>
      <c r="X585" s="6">
        <f>IF(ISERROR(VLOOKUP($U$585,'TAR FIN'!$A$1:$O$103,15,0)),0,VLOOKUP($U$585,'TAR FIN'!$A$1:$O$103,15,0))</f>
        <v>229.65</v>
      </c>
      <c r="Y585" s="6"/>
      <c r="Z585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85" s="6">
        <f>('TE BE'!$AB$16+'TE BF'!$AB$16+'TE CVA'!$AB$16)*(1-CUSTOS!$M$36)</f>
        <v>210.62138705405351</v>
      </c>
      <c r="AB585" s="6">
        <f>$K$585*$V$585</f>
        <v>0</v>
      </c>
      <c r="AC585" s="6">
        <f>$M$585*$W$585</f>
        <v>43084.010969999996</v>
      </c>
      <c r="AD585" s="6">
        <f>$O$585*$X$585</f>
        <v>36608.736150000004</v>
      </c>
      <c r="AE585" s="6">
        <f>$K$585*$Y$585</f>
        <v>0</v>
      </c>
      <c r="AF585" s="6">
        <f ca="1">$M$585*$Z$585</f>
        <v>47140.096861881444</v>
      </c>
      <c r="AG585" s="6">
        <f>$O$585*$AA$585</f>
        <v>33575.365931673725</v>
      </c>
    </row>
    <row r="586" spans="1:33" ht="11.25" customHeight="1" x14ac:dyDescent="0.3">
      <c r="A586" s="4" t="s">
        <v>21</v>
      </c>
      <c r="B586" s="4" t="s">
        <v>22</v>
      </c>
      <c r="C586" s="4" t="s">
        <v>23</v>
      </c>
      <c r="D586" s="4" t="s">
        <v>24</v>
      </c>
      <c r="E586" s="4" t="s">
        <v>31</v>
      </c>
      <c r="F586" s="4" t="s">
        <v>25</v>
      </c>
      <c r="G586" s="4" t="s">
        <v>25</v>
      </c>
      <c r="H586" s="4" t="s">
        <v>25</v>
      </c>
      <c r="I586" s="5">
        <v>44682</v>
      </c>
      <c r="J586" s="6">
        <v>0</v>
      </c>
      <c r="K586" s="6">
        <v>0</v>
      </c>
      <c r="L586" s="6">
        <v>151.39599999999999</v>
      </c>
      <c r="M586" s="6">
        <v>151.39599999999999</v>
      </c>
      <c r="N586" s="6">
        <v>151.39599999999999</v>
      </c>
      <c r="O586" s="6">
        <v>151.39599999999999</v>
      </c>
      <c r="P586" s="6">
        <v>2031</v>
      </c>
      <c r="Q586" s="4" t="s">
        <v>26</v>
      </c>
      <c r="R586" s="4">
        <v>0</v>
      </c>
      <c r="S586" s="6">
        <v>0</v>
      </c>
      <c r="T586" s="6">
        <v>33</v>
      </c>
      <c r="U586" s="6">
        <v>74</v>
      </c>
      <c r="V586" s="6">
        <f>IF(ISERROR(VLOOKUP($S$586,'TAR FIN'!$A$1:$O$103,15,0)),0,VLOOKUP($S$586,'TAR FIN'!$A$1:$O$103,15,0))</f>
        <v>0</v>
      </c>
      <c r="W586" s="6">
        <f>IF(ISERROR(VLOOKUP($T$586,'TAR FIN'!$A$1:$O$103,15,0)),0,VLOOKUP($T$586,'TAR FIN'!$A$1:$O$103,15,0))</f>
        <v>270.27</v>
      </c>
      <c r="X586" s="6">
        <f>IF(ISERROR(VLOOKUP($U$586,'TAR FIN'!$A$1:$O$103,15,0)),0,VLOOKUP($U$586,'TAR FIN'!$A$1:$O$103,15,0))</f>
        <v>229.65</v>
      </c>
      <c r="Y586" s="6"/>
      <c r="Z586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86" s="6">
        <f>('TE BE'!$AB$16+'TE BF'!$AB$16+'TE CVA'!$AB$16)*(1-CUSTOS!$M$36)</f>
        <v>210.62138705405351</v>
      </c>
      <c r="AB586" s="6">
        <f>$K$586*$V$586</f>
        <v>0</v>
      </c>
      <c r="AC586" s="6">
        <f>$M$586*$W$586</f>
        <v>40917.796919999993</v>
      </c>
      <c r="AD586" s="6">
        <f>$O$586*$X$586</f>
        <v>34768.091399999998</v>
      </c>
      <c r="AE586" s="6">
        <f>$K$586*$Y$586</f>
        <v>0</v>
      </c>
      <c r="AF586" s="6">
        <f ca="1">$M$586*$Z$586</f>
        <v>44769.947522450791</v>
      </c>
      <c r="AG586" s="6">
        <f>$O$586*$AA$586</f>
        <v>31887.235514435484</v>
      </c>
    </row>
    <row r="587" spans="1:33" ht="11.25" customHeight="1" x14ac:dyDescent="0.3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31</v>
      </c>
      <c r="F587" s="4" t="s">
        <v>25</v>
      </c>
      <c r="G587" s="4" t="s">
        <v>25</v>
      </c>
      <c r="H587" s="4" t="s">
        <v>25</v>
      </c>
      <c r="I587" s="5">
        <v>44713</v>
      </c>
      <c r="J587" s="6">
        <v>0</v>
      </c>
      <c r="K587" s="6">
        <v>0</v>
      </c>
      <c r="L587" s="6">
        <v>119.86199999999999</v>
      </c>
      <c r="M587" s="6">
        <v>119.86199999999999</v>
      </c>
      <c r="N587" s="6">
        <v>119.86199999999999</v>
      </c>
      <c r="O587" s="6">
        <v>119.86199999999999</v>
      </c>
      <c r="P587" s="6">
        <v>1966</v>
      </c>
      <c r="Q587" s="4" t="s">
        <v>26</v>
      </c>
      <c r="R587" s="4">
        <v>0</v>
      </c>
      <c r="S587" s="6">
        <v>0</v>
      </c>
      <c r="T587" s="6">
        <v>33</v>
      </c>
      <c r="U587" s="6">
        <v>74</v>
      </c>
      <c r="V587" s="6">
        <f>IF(ISERROR(VLOOKUP($S$587,'TAR FIN'!$A$1:$O$103,15,0)),0,VLOOKUP($S$587,'TAR FIN'!$A$1:$O$103,15,0))</f>
        <v>0</v>
      </c>
      <c r="W587" s="6">
        <f>IF(ISERROR(VLOOKUP($T$587,'TAR FIN'!$A$1:$O$103,15,0)),0,VLOOKUP($T$587,'TAR FIN'!$A$1:$O$103,15,0))</f>
        <v>270.27</v>
      </c>
      <c r="X587" s="6">
        <f>IF(ISERROR(VLOOKUP($U$587,'TAR FIN'!$A$1:$O$103,15,0)),0,VLOOKUP($U$587,'TAR FIN'!$A$1:$O$103,15,0))</f>
        <v>229.65</v>
      </c>
      <c r="Y587" s="6"/>
      <c r="Z587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87" s="6">
        <f>('TE BE'!$AB$16+'TE BF'!$AB$16+'TE CVA'!$AB$16)*(1-CUSTOS!$M$36)</f>
        <v>210.62138705405351</v>
      </c>
      <c r="AB587" s="6">
        <f>$K$587*$V$587</f>
        <v>0</v>
      </c>
      <c r="AC587" s="6">
        <f>$M$587*$W$587</f>
        <v>32395.102739999995</v>
      </c>
      <c r="AD587" s="6">
        <f>$O$587*$X$587</f>
        <v>27526.308300000001</v>
      </c>
      <c r="AE587" s="6">
        <f>$K$587*$Y$587</f>
        <v>0</v>
      </c>
      <c r="AF587" s="6">
        <f ca="1">$M$587*$Z$587</f>
        <v>35444.895835662741</v>
      </c>
      <c r="AG587" s="6">
        <f>$O$587*$AA$587</f>
        <v>25245.500695072962</v>
      </c>
    </row>
    <row r="588" spans="1:33" ht="11.25" customHeight="1" x14ac:dyDescent="0.3">
      <c r="A588" s="4" t="s">
        <v>21</v>
      </c>
      <c r="B588" s="4" t="s">
        <v>22</v>
      </c>
      <c r="C588" s="4" t="s">
        <v>23</v>
      </c>
      <c r="D588" s="4" t="s">
        <v>24</v>
      </c>
      <c r="E588" s="4" t="s">
        <v>31</v>
      </c>
      <c r="F588" s="4" t="s">
        <v>25</v>
      </c>
      <c r="G588" s="4" t="s">
        <v>25</v>
      </c>
      <c r="H588" s="4" t="s">
        <v>25</v>
      </c>
      <c r="I588" s="5">
        <v>44743</v>
      </c>
      <c r="J588" s="6">
        <v>0</v>
      </c>
      <c r="K588" s="6">
        <v>0</v>
      </c>
      <c r="L588" s="6">
        <v>138.29599999999999</v>
      </c>
      <c r="M588" s="6">
        <v>138.29599999999999</v>
      </c>
      <c r="N588" s="6">
        <v>138.29599999999999</v>
      </c>
      <c r="O588" s="6">
        <v>138.29599999999999</v>
      </c>
      <c r="P588" s="6">
        <v>1982</v>
      </c>
      <c r="Q588" s="4" t="s">
        <v>26</v>
      </c>
      <c r="R588" s="4">
        <v>0</v>
      </c>
      <c r="S588" s="6">
        <v>0</v>
      </c>
      <c r="T588" s="6">
        <v>33</v>
      </c>
      <c r="U588" s="6">
        <v>74</v>
      </c>
      <c r="V588" s="6">
        <f>IF(ISERROR(VLOOKUP($S$588,'TAR FIN'!$A$1:$O$103,15,0)),0,VLOOKUP($S$588,'TAR FIN'!$A$1:$O$103,15,0))</f>
        <v>0</v>
      </c>
      <c r="W588" s="6">
        <f>IF(ISERROR(VLOOKUP($T$588,'TAR FIN'!$A$1:$O$103,15,0)),0,VLOOKUP($T$588,'TAR FIN'!$A$1:$O$103,15,0))</f>
        <v>270.27</v>
      </c>
      <c r="X588" s="6">
        <f>IF(ISERROR(VLOOKUP($U$588,'TAR FIN'!$A$1:$O$103,15,0)),0,VLOOKUP($U$588,'TAR FIN'!$A$1:$O$103,15,0))</f>
        <v>229.65</v>
      </c>
      <c r="Y588" s="6"/>
      <c r="Z588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88" s="6">
        <f>('TE BE'!$AB$16+'TE BF'!$AB$16+'TE CVA'!$AB$16)*(1-CUSTOS!$M$36)</f>
        <v>210.62138705405351</v>
      </c>
      <c r="AB588" s="6">
        <f>$K$588*$V$588</f>
        <v>0</v>
      </c>
      <c r="AC588" s="6">
        <f>$M$588*$W$588</f>
        <v>37377.259919999997</v>
      </c>
      <c r="AD588" s="6">
        <f>$O$588*$X$588</f>
        <v>31759.6764</v>
      </c>
      <c r="AE588" s="6">
        <f>$K$588*$Y$588</f>
        <v>0</v>
      </c>
      <c r="AF588" s="6">
        <f ca="1">$M$588*$Z$588</f>
        <v>40896.091459251598</v>
      </c>
      <c r="AG588" s="6">
        <f>$O$588*$AA$588</f>
        <v>29128.095344027384</v>
      </c>
    </row>
    <row r="589" spans="1:33" ht="11.25" customHeight="1" x14ac:dyDescent="0.3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31</v>
      </c>
      <c r="F589" s="4" t="s">
        <v>25</v>
      </c>
      <c r="G589" s="4" t="s">
        <v>25</v>
      </c>
      <c r="H589" s="4" t="s">
        <v>25</v>
      </c>
      <c r="I589" s="5">
        <v>44774</v>
      </c>
      <c r="J589" s="6">
        <v>0</v>
      </c>
      <c r="K589" s="6">
        <v>0</v>
      </c>
      <c r="L589" s="6">
        <v>122.026</v>
      </c>
      <c r="M589" s="6">
        <v>122.026</v>
      </c>
      <c r="N589" s="6">
        <v>122.026</v>
      </c>
      <c r="O589" s="6">
        <v>122.026</v>
      </c>
      <c r="P589" s="6">
        <v>1935</v>
      </c>
      <c r="Q589" s="4" t="s">
        <v>26</v>
      </c>
      <c r="R589" s="4">
        <v>0</v>
      </c>
      <c r="S589" s="6">
        <v>0</v>
      </c>
      <c r="T589" s="6">
        <v>33</v>
      </c>
      <c r="U589" s="6">
        <v>74</v>
      </c>
      <c r="V589" s="6">
        <f>IF(ISERROR(VLOOKUP($S$589,'TAR FIN'!$A$1:$O$103,15,0)),0,VLOOKUP($S$589,'TAR FIN'!$A$1:$O$103,15,0))</f>
        <v>0</v>
      </c>
      <c r="W589" s="6">
        <f>IF(ISERROR(VLOOKUP($T$589,'TAR FIN'!$A$1:$O$103,15,0)),0,VLOOKUP($T$589,'TAR FIN'!$A$1:$O$103,15,0))</f>
        <v>270.27</v>
      </c>
      <c r="X589" s="6">
        <f>IF(ISERROR(VLOOKUP($U$589,'TAR FIN'!$A$1:$O$103,15,0)),0,VLOOKUP($U$589,'TAR FIN'!$A$1:$O$103,15,0))</f>
        <v>229.65</v>
      </c>
      <c r="Y589" s="6"/>
      <c r="Z589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89" s="6">
        <f>('TE BE'!$AB$16+'TE BF'!$AB$16+'TE CVA'!$AB$16)*(1-CUSTOS!$M$36)</f>
        <v>210.62138705405351</v>
      </c>
      <c r="AB589" s="6">
        <f>$K$589*$V$589</f>
        <v>0</v>
      </c>
      <c r="AC589" s="6">
        <f>$M$589*$W$589</f>
        <v>32979.967019999996</v>
      </c>
      <c r="AD589" s="6">
        <f>$O$589*$X$589</f>
        <v>28023.2709</v>
      </c>
      <c r="AE589" s="6">
        <f>$K$589*$Y$589</f>
        <v>0</v>
      </c>
      <c r="AF589" s="6">
        <f ca="1">$M$589*$Z$589</f>
        <v>36084.821371598853</v>
      </c>
      <c r="AG589" s="6">
        <f>$O$589*$AA$589</f>
        <v>25701.285376657932</v>
      </c>
    </row>
    <row r="590" spans="1:33" ht="11.25" customHeight="1" x14ac:dyDescent="0.3">
      <c r="A590" s="4" t="s">
        <v>21</v>
      </c>
      <c r="B590" s="4" t="s">
        <v>22</v>
      </c>
      <c r="C590" s="4" t="s">
        <v>23</v>
      </c>
      <c r="D590" s="4" t="s">
        <v>24</v>
      </c>
      <c r="E590" s="4" t="s">
        <v>31</v>
      </c>
      <c r="F590" s="4" t="s">
        <v>25</v>
      </c>
      <c r="G590" s="4" t="s">
        <v>25</v>
      </c>
      <c r="H590" s="4" t="s">
        <v>25</v>
      </c>
      <c r="I590" s="5">
        <v>44805</v>
      </c>
      <c r="J590" s="6">
        <v>0</v>
      </c>
      <c r="K590" s="6">
        <v>0</v>
      </c>
      <c r="L590" s="6">
        <v>166.53299999999999</v>
      </c>
      <c r="M590" s="6">
        <v>166.53299999999999</v>
      </c>
      <c r="N590" s="6">
        <v>166.53299999999999</v>
      </c>
      <c r="O590" s="6">
        <v>166.53299999999999</v>
      </c>
      <c r="P590" s="6">
        <v>1994</v>
      </c>
      <c r="Q590" s="4" t="s">
        <v>26</v>
      </c>
      <c r="R590" s="4">
        <v>0</v>
      </c>
      <c r="S590" s="6">
        <v>0</v>
      </c>
      <c r="T590" s="6">
        <v>33</v>
      </c>
      <c r="U590" s="6">
        <v>74</v>
      </c>
      <c r="V590" s="6">
        <f>IF(ISERROR(VLOOKUP($S$590,'TAR FIN'!$A$1:$O$103,15,0)),0,VLOOKUP($S$590,'TAR FIN'!$A$1:$O$103,15,0))</f>
        <v>0</v>
      </c>
      <c r="W590" s="6">
        <f>IF(ISERROR(VLOOKUP($T$590,'TAR FIN'!$A$1:$O$103,15,0)),0,VLOOKUP($T$590,'TAR FIN'!$A$1:$O$103,15,0))</f>
        <v>270.27</v>
      </c>
      <c r="X590" s="6">
        <f>IF(ISERROR(VLOOKUP($U$590,'TAR FIN'!$A$1:$O$103,15,0)),0,VLOOKUP($U$590,'TAR FIN'!$A$1:$O$103,15,0))</f>
        <v>229.65</v>
      </c>
      <c r="Y590" s="6"/>
      <c r="Z590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90" s="6">
        <f>('TE BE'!$AB$16+'TE BF'!$AB$16+'TE CVA'!$AB$16)*(1-CUSTOS!$M$36)</f>
        <v>210.62138705405351</v>
      </c>
      <c r="AB590" s="6">
        <f>$K$590*$V$590</f>
        <v>0</v>
      </c>
      <c r="AC590" s="6">
        <f>$M$590*$W$590</f>
        <v>45008.873909999995</v>
      </c>
      <c r="AD590" s="6">
        <f>$O$590*$X$590</f>
        <v>38244.303449999999</v>
      </c>
      <c r="AE590" s="6">
        <f>$K$590*$Y$590</f>
        <v>0</v>
      </c>
      <c r="AF590" s="6">
        <f ca="1">$M$590*$Z$590</f>
        <v>49246.173417767299</v>
      </c>
      <c r="AG590" s="6">
        <f>$O$590*$AA$590</f>
        <v>35075.411450272688</v>
      </c>
    </row>
    <row r="591" spans="1:33" ht="11.25" customHeight="1" x14ac:dyDescent="0.3">
      <c r="A591" s="4" t="s">
        <v>28</v>
      </c>
      <c r="B591" s="4" t="s">
        <v>22</v>
      </c>
      <c r="C591" s="4" t="s">
        <v>23</v>
      </c>
      <c r="D591" s="4" t="s">
        <v>24</v>
      </c>
      <c r="E591" s="4" t="s">
        <v>31</v>
      </c>
      <c r="F591" s="4" t="s">
        <v>25</v>
      </c>
      <c r="G591" s="4" t="s">
        <v>25</v>
      </c>
      <c r="H591" s="4" t="s">
        <v>25</v>
      </c>
      <c r="I591" s="5">
        <v>44805</v>
      </c>
      <c r="J591" s="6">
        <v>0</v>
      </c>
      <c r="K591" s="6">
        <v>0</v>
      </c>
      <c r="L591" s="6">
        <v>5.0000000000000001E-3</v>
      </c>
      <c r="M591" s="6">
        <v>5.0000000000000001E-3</v>
      </c>
      <c r="N591" s="6">
        <v>5.0000000000000001E-3</v>
      </c>
      <c r="O591" s="6">
        <v>5.0000000000000001E-3</v>
      </c>
      <c r="P591" s="6">
        <v>4</v>
      </c>
      <c r="Q591" s="4" t="s">
        <v>26</v>
      </c>
      <c r="R591" s="4">
        <v>0</v>
      </c>
      <c r="S591" s="6">
        <v>0</v>
      </c>
      <c r="T591" s="6">
        <v>33</v>
      </c>
      <c r="U591" s="6">
        <v>74</v>
      </c>
      <c r="V591" s="6">
        <f>IF(ISERROR(VLOOKUP($S$591,'TAR FIN'!$A$1:$O$103,15,0)),0,VLOOKUP($S$591,'TAR FIN'!$A$1:$O$103,15,0))</f>
        <v>0</v>
      </c>
      <c r="W591" s="6">
        <f>IF(ISERROR(VLOOKUP($T$591,'TAR FIN'!$A$1:$O$103,15,0)),0,VLOOKUP($T$591,'TAR FIN'!$A$1:$O$103,15,0))</f>
        <v>270.27</v>
      </c>
      <c r="X591" s="6">
        <f>IF(ISERROR(VLOOKUP($U$591,'TAR FIN'!$A$1:$O$103,15,0)),0,VLOOKUP($U$591,'TAR FIN'!$A$1:$O$103,15,0))</f>
        <v>229.65</v>
      </c>
      <c r="Y591" s="6"/>
      <c r="Z591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91" s="6">
        <f>('TE BE'!$AB$16+'TE BF'!$AB$16+'TE CVA'!$AB$16)*(1-CUSTOS!$M$36)</f>
        <v>210.62138705405351</v>
      </c>
      <c r="AB591" s="6">
        <f>$K$591*$V$591</f>
        <v>0</v>
      </c>
      <c r="AC591" s="6">
        <f>$M$591*$W$591</f>
        <v>1.3513499999999998</v>
      </c>
      <c r="AD591" s="6">
        <f>$O$591*$X$591</f>
        <v>1.14825</v>
      </c>
      <c r="AE591" s="6">
        <f>$K$591*$Y$591</f>
        <v>0</v>
      </c>
      <c r="AF591" s="6">
        <f ca="1">$M$591*$Z$591</f>
        <v>1.4785710164882426</v>
      </c>
      <c r="AG591" s="6">
        <f>$O$591*$AA$591</f>
        <v>1.0531069352702676</v>
      </c>
    </row>
    <row r="592" spans="1:33" ht="11.25" customHeight="1" x14ac:dyDescent="0.3">
      <c r="A592" s="4" t="s">
        <v>57</v>
      </c>
      <c r="B592" s="4" t="s">
        <v>22</v>
      </c>
      <c r="C592" s="4" t="s">
        <v>23</v>
      </c>
      <c r="D592" s="4" t="s">
        <v>24</v>
      </c>
      <c r="E592" s="4" t="s">
        <v>31</v>
      </c>
      <c r="F592" s="4" t="s">
        <v>25</v>
      </c>
      <c r="G592" s="4" t="s">
        <v>25</v>
      </c>
      <c r="H592" s="4" t="s">
        <v>25</v>
      </c>
      <c r="I592" s="5">
        <v>44835</v>
      </c>
      <c r="J592" s="6">
        <v>0</v>
      </c>
      <c r="K592" s="6">
        <v>0</v>
      </c>
      <c r="L592" s="6">
        <v>166.53299999999999</v>
      </c>
      <c r="M592" s="6">
        <v>166.53299999999999</v>
      </c>
      <c r="N592" s="6">
        <v>166.53299999999999</v>
      </c>
      <c r="O592" s="6">
        <v>166.53299999999999</v>
      </c>
      <c r="P592" s="6">
        <v>1994</v>
      </c>
      <c r="Q592" s="4" t="s">
        <v>26</v>
      </c>
      <c r="R592" s="4">
        <v>0</v>
      </c>
      <c r="S592" s="6">
        <v>0</v>
      </c>
      <c r="T592" s="6">
        <v>33</v>
      </c>
      <c r="U592" s="6">
        <v>74</v>
      </c>
      <c r="V592" s="6">
        <f>IF(ISERROR(VLOOKUP($S$592,'TAR FIN'!$A$1:$O$103,15,0)),0,VLOOKUP($S$592,'TAR FIN'!$A$1:$O$103,15,0))</f>
        <v>0</v>
      </c>
      <c r="W592" s="6">
        <f>IF(ISERROR(VLOOKUP($T$592,'TAR FIN'!$A$1:$O$103,15,0)),0,VLOOKUP($T$592,'TAR FIN'!$A$1:$O$103,15,0))</f>
        <v>270.27</v>
      </c>
      <c r="X592" s="6">
        <f>IF(ISERROR(VLOOKUP($U$592,'TAR FIN'!$A$1:$O$103,15,0)),0,VLOOKUP($U$592,'TAR FIN'!$A$1:$O$103,15,0))</f>
        <v>229.65</v>
      </c>
      <c r="Y592" s="6"/>
      <c r="Z592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92" s="6">
        <f>('TE BE'!$AB$16+'TE BF'!$AB$16+'TE CVA'!$AB$16)*(1-CUSTOS!$M$36)</f>
        <v>210.62138705405351</v>
      </c>
      <c r="AB592" s="6">
        <f>$K$592*$V$592</f>
        <v>0</v>
      </c>
      <c r="AC592" s="6">
        <f>$M$592*$W$592</f>
        <v>45008.873909999995</v>
      </c>
      <c r="AD592" s="6">
        <f>$O$592*$X$592</f>
        <v>38244.303449999999</v>
      </c>
      <c r="AE592" s="6">
        <f>$K$592*$Y$592</f>
        <v>0</v>
      </c>
      <c r="AF592" s="6">
        <f ca="1">$M$592*$Z$592</f>
        <v>49246.173417767299</v>
      </c>
      <c r="AG592" s="6">
        <f>$O$592*$AA$592</f>
        <v>35075.411450272688</v>
      </c>
    </row>
    <row r="593" spans="1:33" ht="11.25" customHeight="1" x14ac:dyDescent="0.3">
      <c r="A593" s="4" t="s">
        <v>57</v>
      </c>
      <c r="B593" s="4" t="s">
        <v>22</v>
      </c>
      <c r="C593" s="4" t="s">
        <v>23</v>
      </c>
      <c r="D593" s="4" t="s">
        <v>24</v>
      </c>
      <c r="E593" s="4" t="s">
        <v>31</v>
      </c>
      <c r="F593" s="4" t="s">
        <v>25</v>
      </c>
      <c r="G593" s="4" t="s">
        <v>25</v>
      </c>
      <c r="H593" s="4" t="s">
        <v>25</v>
      </c>
      <c r="I593" s="5">
        <v>44835</v>
      </c>
      <c r="J593" s="6">
        <v>0</v>
      </c>
      <c r="K593" s="6">
        <v>0</v>
      </c>
      <c r="L593" s="6">
        <v>5.0000000000000001E-3</v>
      </c>
      <c r="M593" s="6">
        <v>5.0000000000000001E-3</v>
      </c>
      <c r="N593" s="6">
        <v>5.0000000000000001E-3</v>
      </c>
      <c r="O593" s="6">
        <v>5.0000000000000001E-3</v>
      </c>
      <c r="P593" s="6">
        <v>4</v>
      </c>
      <c r="Q593" s="4" t="s">
        <v>26</v>
      </c>
      <c r="R593" s="4">
        <v>0</v>
      </c>
      <c r="S593" s="6">
        <v>0</v>
      </c>
      <c r="T593" s="6">
        <v>33</v>
      </c>
      <c r="U593" s="6">
        <v>74</v>
      </c>
      <c r="V593" s="6">
        <f>IF(ISERROR(VLOOKUP($S$593,'TAR FIN'!$A$1:$O$103,15,0)),0,VLOOKUP($S$593,'TAR FIN'!$A$1:$O$103,15,0))</f>
        <v>0</v>
      </c>
      <c r="W593" s="6">
        <f>IF(ISERROR(VLOOKUP($T$593,'TAR FIN'!$A$1:$O$103,15,0)),0,VLOOKUP($T$593,'TAR FIN'!$A$1:$O$103,15,0))</f>
        <v>270.27</v>
      </c>
      <c r="X593" s="6">
        <f>IF(ISERROR(VLOOKUP($U$593,'TAR FIN'!$A$1:$O$103,15,0)),0,VLOOKUP($U$593,'TAR FIN'!$A$1:$O$103,15,0))</f>
        <v>229.65</v>
      </c>
      <c r="Y593" s="6"/>
      <c r="Z593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593" s="6">
        <f>('TE BE'!$AB$16+'TE BF'!$AB$16+'TE CVA'!$AB$16)*(1-CUSTOS!$M$36)</f>
        <v>210.62138705405351</v>
      </c>
      <c r="AB593" s="6">
        <f>$K$593*$V$593</f>
        <v>0</v>
      </c>
      <c r="AC593" s="6">
        <f>$M$593*$W$593</f>
        <v>1.3513499999999998</v>
      </c>
      <c r="AD593" s="6">
        <f>$O$593*$X$593</f>
        <v>1.14825</v>
      </c>
      <c r="AE593" s="6">
        <f>$K$593*$Y$593</f>
        <v>0</v>
      </c>
      <c r="AF593" s="6">
        <f ca="1">$M$593*$Z$593</f>
        <v>1.4785710164882426</v>
      </c>
      <c r="AG593" s="6">
        <f>$O$593*$AA$593</f>
        <v>1.0531069352702676</v>
      </c>
    </row>
    <row r="594" spans="1:33" ht="11.25" customHeight="1" x14ac:dyDescent="0.3">
      <c r="A594" s="4" t="s">
        <v>21</v>
      </c>
      <c r="B594" s="4" t="s">
        <v>22</v>
      </c>
      <c r="C594" s="4" t="s">
        <v>23</v>
      </c>
      <c r="D594" s="4" t="s">
        <v>24</v>
      </c>
      <c r="E594" s="4" t="s">
        <v>32</v>
      </c>
      <c r="F594" s="4" t="s">
        <v>25</v>
      </c>
      <c r="G594" s="4" t="s">
        <v>25</v>
      </c>
      <c r="H594" s="4" t="s">
        <v>25</v>
      </c>
      <c r="I594" s="5">
        <v>44501</v>
      </c>
      <c r="J594" s="6">
        <v>0</v>
      </c>
      <c r="K594" s="6">
        <v>0</v>
      </c>
      <c r="L594" s="6">
        <v>18.216000000000001</v>
      </c>
      <c r="M594" s="6">
        <v>18.216000000000001</v>
      </c>
      <c r="N594" s="6">
        <v>18.216000000000001</v>
      </c>
      <c r="O594" s="6">
        <v>18.216000000000001</v>
      </c>
      <c r="P594" s="6">
        <v>297</v>
      </c>
      <c r="Q594" s="4" t="s">
        <v>26</v>
      </c>
      <c r="R594" s="4">
        <v>0</v>
      </c>
      <c r="S594" s="6">
        <v>0</v>
      </c>
      <c r="T594" s="6">
        <v>34</v>
      </c>
      <c r="U594" s="6">
        <v>75</v>
      </c>
      <c r="V594" s="6">
        <f>IF(ISERROR(VLOOKUP($S$594,'TAR FIN'!$A$1:$O$103,15,0)),0,VLOOKUP($S$594,'TAR FIN'!$A$1:$O$103,15,0))</f>
        <v>0</v>
      </c>
      <c r="W594" s="6">
        <f>IF(ISERROR(VLOOKUP($T$594,'TAR FIN'!$A$1:$O$103,15,0)),0,VLOOKUP($T$594,'TAR FIN'!$A$1:$O$103,15,0))</f>
        <v>300.3</v>
      </c>
      <c r="X594" s="6">
        <f>IF(ISERROR(VLOOKUP($U$594,'TAR FIN'!$A$1:$O$103,15,0)),0,VLOOKUP($U$594,'TAR FIN'!$A$1:$O$103,15,0))</f>
        <v>255.17</v>
      </c>
      <c r="Y594" s="6"/>
      <c r="Z594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594" s="6">
        <f>('TE BE'!$AB$17+'TE BF'!$AB$17+'TE CVA'!$AB$17)*(1-CUSTOS!$M$37)</f>
        <v>234.02376339339278</v>
      </c>
      <c r="AB594" s="6">
        <f>$K$594*$V$594</f>
        <v>0</v>
      </c>
      <c r="AC594" s="6">
        <f>$M$594*$W$594</f>
        <v>5470.2648000000008</v>
      </c>
      <c r="AD594" s="6">
        <f>$O$594*$X$594</f>
        <v>4648.1767200000004</v>
      </c>
      <c r="AE594" s="6">
        <f>$K$594*$Y$594</f>
        <v>0</v>
      </c>
      <c r="AF594" s="6">
        <f ca="1">$M$594*$Z$594</f>
        <v>5985.2554747444055</v>
      </c>
      <c r="AG594" s="6">
        <f>$O$594*$AA$594</f>
        <v>4262.976873974043</v>
      </c>
    </row>
    <row r="595" spans="1:33" ht="11.25" customHeight="1" x14ac:dyDescent="0.3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32</v>
      </c>
      <c r="F595" s="4" t="s">
        <v>25</v>
      </c>
      <c r="G595" s="4" t="s">
        <v>25</v>
      </c>
      <c r="H595" s="4" t="s">
        <v>25</v>
      </c>
      <c r="I595" s="5">
        <v>44531</v>
      </c>
      <c r="J595" s="6">
        <v>0</v>
      </c>
      <c r="K595" s="6">
        <v>0</v>
      </c>
      <c r="L595" s="6">
        <v>17.201000000000001</v>
      </c>
      <c r="M595" s="6">
        <v>17.201000000000001</v>
      </c>
      <c r="N595" s="6">
        <v>17.201000000000001</v>
      </c>
      <c r="O595" s="6">
        <v>17.201000000000001</v>
      </c>
      <c r="P595" s="6">
        <v>280</v>
      </c>
      <c r="Q595" s="4" t="s">
        <v>26</v>
      </c>
      <c r="R595" s="4">
        <v>0</v>
      </c>
      <c r="S595" s="6">
        <v>0</v>
      </c>
      <c r="T595" s="6">
        <v>34</v>
      </c>
      <c r="U595" s="6">
        <v>75</v>
      </c>
      <c r="V595" s="6">
        <f>IF(ISERROR(VLOOKUP($S$595,'TAR FIN'!$A$1:$O$103,15,0)),0,VLOOKUP($S$595,'TAR FIN'!$A$1:$O$103,15,0))</f>
        <v>0</v>
      </c>
      <c r="W595" s="6">
        <f>IF(ISERROR(VLOOKUP($T$595,'TAR FIN'!$A$1:$O$103,15,0)),0,VLOOKUP($T$595,'TAR FIN'!$A$1:$O$103,15,0))</f>
        <v>300.3</v>
      </c>
      <c r="X595" s="6">
        <f>IF(ISERROR(VLOOKUP($U$595,'TAR FIN'!$A$1:$O$103,15,0)),0,VLOOKUP($U$595,'TAR FIN'!$A$1:$O$103,15,0))</f>
        <v>255.17</v>
      </c>
      <c r="Y595" s="6"/>
      <c r="Z595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595" s="6">
        <f>('TE BE'!$AB$17+'TE BF'!$AB$17+'TE CVA'!$AB$17)*(1-CUSTOS!$M$37)</f>
        <v>234.02376339339278</v>
      </c>
      <c r="AB595" s="6">
        <f>$K$595*$V$595</f>
        <v>0</v>
      </c>
      <c r="AC595" s="6">
        <f>$M$595*$W$595</f>
        <v>5165.4603000000006</v>
      </c>
      <c r="AD595" s="6">
        <f>$O$595*$X$595</f>
        <v>4389.1791700000003</v>
      </c>
      <c r="AE595" s="6">
        <f>$K$595*$Y$595</f>
        <v>0</v>
      </c>
      <c r="AF595" s="6">
        <f ca="1">$M$595*$Z$595</f>
        <v>5651.7555676920574</v>
      </c>
      <c r="AG595" s="6">
        <f>$O$595*$AA$595</f>
        <v>4025.4427541297496</v>
      </c>
    </row>
    <row r="596" spans="1:33" ht="11.25" customHeight="1" x14ac:dyDescent="0.3">
      <c r="A596" s="4" t="s">
        <v>21</v>
      </c>
      <c r="B596" s="4" t="s">
        <v>22</v>
      </c>
      <c r="C596" s="4" t="s">
        <v>23</v>
      </c>
      <c r="D596" s="4" t="s">
        <v>24</v>
      </c>
      <c r="E596" s="4" t="s">
        <v>32</v>
      </c>
      <c r="F596" s="4" t="s">
        <v>25</v>
      </c>
      <c r="G596" s="4" t="s">
        <v>25</v>
      </c>
      <c r="H596" s="4" t="s">
        <v>25</v>
      </c>
      <c r="I596" s="5">
        <v>44562</v>
      </c>
      <c r="J596" s="6">
        <v>0</v>
      </c>
      <c r="K596" s="6">
        <v>0</v>
      </c>
      <c r="L596" s="6">
        <v>19.754999999999999</v>
      </c>
      <c r="M596" s="6">
        <v>19.754999999999999</v>
      </c>
      <c r="N596" s="6">
        <v>19.754999999999999</v>
      </c>
      <c r="O596" s="6">
        <v>19.754999999999999</v>
      </c>
      <c r="P596" s="6">
        <v>342</v>
      </c>
      <c r="Q596" s="4" t="s">
        <v>26</v>
      </c>
      <c r="R596" s="4">
        <v>0</v>
      </c>
      <c r="S596" s="6">
        <v>0</v>
      </c>
      <c r="T596" s="6">
        <v>34</v>
      </c>
      <c r="U596" s="6">
        <v>75</v>
      </c>
      <c r="V596" s="6">
        <f>IF(ISERROR(VLOOKUP($S$596,'TAR FIN'!$A$1:$O$103,15,0)),0,VLOOKUP($S$596,'TAR FIN'!$A$1:$O$103,15,0))</f>
        <v>0</v>
      </c>
      <c r="W596" s="6">
        <f>IF(ISERROR(VLOOKUP($T$596,'TAR FIN'!$A$1:$O$103,15,0)),0,VLOOKUP($T$596,'TAR FIN'!$A$1:$O$103,15,0))</f>
        <v>300.3</v>
      </c>
      <c r="X596" s="6">
        <f>IF(ISERROR(VLOOKUP($U$596,'TAR FIN'!$A$1:$O$103,15,0)),0,VLOOKUP($U$596,'TAR FIN'!$A$1:$O$103,15,0))</f>
        <v>255.17</v>
      </c>
      <c r="Y596" s="6"/>
      <c r="Z596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596" s="6">
        <f>('TE BE'!$AB$17+'TE BF'!$AB$17+'TE CVA'!$AB$17)*(1-CUSTOS!$M$37)</f>
        <v>234.02376339339278</v>
      </c>
      <c r="AB596" s="6">
        <f>$K$596*$V$596</f>
        <v>0</v>
      </c>
      <c r="AC596" s="6">
        <f>$M$596*$W$596</f>
        <v>5932.4264999999996</v>
      </c>
      <c r="AD596" s="6">
        <f>$O$596*$X$596</f>
        <v>5040.8833499999992</v>
      </c>
      <c r="AE596" s="6">
        <f>$K$596*$Y$596</f>
        <v>0</v>
      </c>
      <c r="AF596" s="6">
        <f ca="1">$M$596*$Z$596</f>
        <v>6490.9267623833839</v>
      </c>
      <c r="AG596" s="6">
        <f>$O$596*$AA$596</f>
        <v>4623.1394458364739</v>
      </c>
    </row>
    <row r="597" spans="1:33" ht="11.25" customHeight="1" x14ac:dyDescent="0.3">
      <c r="A597" s="4" t="s">
        <v>21</v>
      </c>
      <c r="B597" s="4" t="s">
        <v>22</v>
      </c>
      <c r="C597" s="4" t="s">
        <v>23</v>
      </c>
      <c r="D597" s="4" t="s">
        <v>24</v>
      </c>
      <c r="E597" s="4" t="s">
        <v>32</v>
      </c>
      <c r="F597" s="4" t="s">
        <v>25</v>
      </c>
      <c r="G597" s="4" t="s">
        <v>25</v>
      </c>
      <c r="H597" s="4" t="s">
        <v>25</v>
      </c>
      <c r="I597" s="5">
        <v>44593</v>
      </c>
      <c r="J597" s="6">
        <v>0</v>
      </c>
      <c r="K597" s="6">
        <v>0</v>
      </c>
      <c r="L597" s="6">
        <v>20.62</v>
      </c>
      <c r="M597" s="6">
        <v>20.62</v>
      </c>
      <c r="N597" s="6">
        <v>20.62</v>
      </c>
      <c r="O597" s="6">
        <v>20.62</v>
      </c>
      <c r="P597" s="6">
        <v>320</v>
      </c>
      <c r="Q597" s="4" t="s">
        <v>26</v>
      </c>
      <c r="R597" s="4">
        <v>0</v>
      </c>
      <c r="S597" s="6">
        <v>0</v>
      </c>
      <c r="T597" s="6">
        <v>34</v>
      </c>
      <c r="U597" s="6">
        <v>75</v>
      </c>
      <c r="V597" s="6">
        <f>IF(ISERROR(VLOOKUP($S$597,'TAR FIN'!$A$1:$O$103,15,0)),0,VLOOKUP($S$597,'TAR FIN'!$A$1:$O$103,15,0))</f>
        <v>0</v>
      </c>
      <c r="W597" s="6">
        <f>IF(ISERROR(VLOOKUP($T$597,'TAR FIN'!$A$1:$O$103,15,0)),0,VLOOKUP($T$597,'TAR FIN'!$A$1:$O$103,15,0))</f>
        <v>300.3</v>
      </c>
      <c r="X597" s="6">
        <f>IF(ISERROR(VLOOKUP($U$597,'TAR FIN'!$A$1:$O$103,15,0)),0,VLOOKUP($U$597,'TAR FIN'!$A$1:$O$103,15,0))</f>
        <v>255.17</v>
      </c>
      <c r="Y597" s="6"/>
      <c r="Z597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597" s="6">
        <f>('TE BE'!$AB$17+'TE BF'!$AB$17+'TE CVA'!$AB$17)*(1-CUSTOS!$M$37)</f>
        <v>234.02376339339278</v>
      </c>
      <c r="AB597" s="6">
        <f>$K$597*$V$597</f>
        <v>0</v>
      </c>
      <c r="AC597" s="6">
        <f>$M$597*$W$597</f>
        <v>6192.1860000000006</v>
      </c>
      <c r="AD597" s="6">
        <f>$O$597*$X$597</f>
        <v>5261.6054000000004</v>
      </c>
      <c r="AE597" s="6">
        <f>$K$597*$Y$597</f>
        <v>0</v>
      </c>
      <c r="AF597" s="6">
        <f ca="1">$M$597*$Z$597</f>
        <v>6775.1409688861249</v>
      </c>
      <c r="AG597" s="6">
        <f>$O$597*$AA$597</f>
        <v>4825.570001171759</v>
      </c>
    </row>
    <row r="598" spans="1:33" ht="11.25" customHeight="1" x14ac:dyDescent="0.3">
      <c r="A598" s="4" t="s">
        <v>21</v>
      </c>
      <c r="B598" s="4" t="s">
        <v>22</v>
      </c>
      <c r="C598" s="4" t="s">
        <v>23</v>
      </c>
      <c r="D598" s="4" t="s">
        <v>24</v>
      </c>
      <c r="E598" s="4" t="s">
        <v>32</v>
      </c>
      <c r="F598" s="4" t="s">
        <v>25</v>
      </c>
      <c r="G598" s="4" t="s">
        <v>25</v>
      </c>
      <c r="H598" s="4" t="s">
        <v>25</v>
      </c>
      <c r="I598" s="5">
        <v>44621</v>
      </c>
      <c r="J598" s="6">
        <v>0</v>
      </c>
      <c r="K598" s="6">
        <v>0</v>
      </c>
      <c r="L598" s="6">
        <v>15.47</v>
      </c>
      <c r="M598" s="6">
        <v>15.47</v>
      </c>
      <c r="N598" s="6">
        <v>15.47</v>
      </c>
      <c r="O598" s="6">
        <v>15.47</v>
      </c>
      <c r="P598" s="6">
        <v>256</v>
      </c>
      <c r="Q598" s="4" t="s">
        <v>26</v>
      </c>
      <c r="R598" s="4">
        <v>0</v>
      </c>
      <c r="S598" s="6">
        <v>0</v>
      </c>
      <c r="T598" s="6">
        <v>34</v>
      </c>
      <c r="U598" s="6">
        <v>75</v>
      </c>
      <c r="V598" s="6">
        <f>IF(ISERROR(VLOOKUP($S$598,'TAR FIN'!$A$1:$O$103,15,0)),0,VLOOKUP($S$598,'TAR FIN'!$A$1:$O$103,15,0))</f>
        <v>0</v>
      </c>
      <c r="W598" s="6">
        <f>IF(ISERROR(VLOOKUP($T$598,'TAR FIN'!$A$1:$O$103,15,0)),0,VLOOKUP($T$598,'TAR FIN'!$A$1:$O$103,15,0))</f>
        <v>300.3</v>
      </c>
      <c r="X598" s="6">
        <f>IF(ISERROR(VLOOKUP($U$598,'TAR FIN'!$A$1:$O$103,15,0)),0,VLOOKUP($U$598,'TAR FIN'!$A$1:$O$103,15,0))</f>
        <v>255.17</v>
      </c>
      <c r="Y598" s="6"/>
      <c r="Z598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598" s="6">
        <f>('TE BE'!$AB$17+'TE BF'!$AB$17+'TE CVA'!$AB$17)*(1-CUSTOS!$M$37)</f>
        <v>234.02376339339278</v>
      </c>
      <c r="AB598" s="6">
        <f>$K$598*$V$598</f>
        <v>0</v>
      </c>
      <c r="AC598" s="6">
        <f>$M$598*$W$598</f>
        <v>4645.6410000000005</v>
      </c>
      <c r="AD598" s="6">
        <f>$O$598*$X$598</f>
        <v>3947.4798999999998</v>
      </c>
      <c r="AE598" s="6">
        <f>$K$598*$Y$598</f>
        <v>0</v>
      </c>
      <c r="AF598" s="6">
        <f ca="1">$M$598*$Z$598</f>
        <v>5082.9985833495803</v>
      </c>
      <c r="AG598" s="6">
        <f>$O$598*$AA$598</f>
        <v>3620.3476196957863</v>
      </c>
    </row>
    <row r="599" spans="1:33" ht="11.25" customHeight="1" x14ac:dyDescent="0.3">
      <c r="A599" s="4" t="s">
        <v>21</v>
      </c>
      <c r="B599" s="4" t="s">
        <v>22</v>
      </c>
      <c r="C599" s="4" t="s">
        <v>23</v>
      </c>
      <c r="D599" s="4" t="s">
        <v>24</v>
      </c>
      <c r="E599" s="4" t="s">
        <v>32</v>
      </c>
      <c r="F599" s="4" t="s">
        <v>25</v>
      </c>
      <c r="G599" s="4" t="s">
        <v>25</v>
      </c>
      <c r="H599" s="4" t="s">
        <v>25</v>
      </c>
      <c r="I599" s="5">
        <v>44652</v>
      </c>
      <c r="J599" s="6">
        <v>0</v>
      </c>
      <c r="K599" s="6">
        <v>0</v>
      </c>
      <c r="L599" s="6">
        <v>38.283999999999999</v>
      </c>
      <c r="M599" s="6">
        <v>38.283999999999999</v>
      </c>
      <c r="N599" s="6">
        <v>38.283999999999999</v>
      </c>
      <c r="O599" s="6">
        <v>38.283999999999999</v>
      </c>
      <c r="P599" s="6">
        <v>522</v>
      </c>
      <c r="Q599" s="4" t="s">
        <v>26</v>
      </c>
      <c r="R599" s="4">
        <v>0</v>
      </c>
      <c r="S599" s="6">
        <v>0</v>
      </c>
      <c r="T599" s="6">
        <v>34</v>
      </c>
      <c r="U599" s="6">
        <v>75</v>
      </c>
      <c r="V599" s="6">
        <f>IF(ISERROR(VLOOKUP($S$599,'TAR FIN'!$A$1:$O$103,15,0)),0,VLOOKUP($S$599,'TAR FIN'!$A$1:$O$103,15,0))</f>
        <v>0</v>
      </c>
      <c r="W599" s="6">
        <f>IF(ISERROR(VLOOKUP($T$599,'TAR FIN'!$A$1:$O$103,15,0)),0,VLOOKUP($T$599,'TAR FIN'!$A$1:$O$103,15,0))</f>
        <v>300.3</v>
      </c>
      <c r="X599" s="6">
        <f>IF(ISERROR(VLOOKUP($U$599,'TAR FIN'!$A$1:$O$103,15,0)),0,VLOOKUP($U$599,'TAR FIN'!$A$1:$O$103,15,0))</f>
        <v>255.17</v>
      </c>
      <c r="Y599" s="6"/>
      <c r="Z599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599" s="6">
        <f>('TE BE'!$AB$17+'TE BF'!$AB$17+'TE CVA'!$AB$17)*(1-CUSTOS!$M$37)</f>
        <v>234.02376339339278</v>
      </c>
      <c r="AB599" s="6">
        <f>$K$599*$V$599</f>
        <v>0</v>
      </c>
      <c r="AC599" s="6">
        <f>$M$599*$W$599</f>
        <v>11496.6852</v>
      </c>
      <c r="AD599" s="6">
        <f>$O$599*$X$599</f>
        <v>9768.9282800000001</v>
      </c>
      <c r="AE599" s="6">
        <f>$K$599*$Y$599</f>
        <v>0</v>
      </c>
      <c r="AF599" s="6">
        <f ca="1">$M$599*$Z$599</f>
        <v>12579.025065607972</v>
      </c>
      <c r="AG599" s="6">
        <f>$O$599*$AA$599</f>
        <v>8959.3657577526483</v>
      </c>
    </row>
    <row r="600" spans="1:33" ht="11.25" customHeight="1" x14ac:dyDescent="0.3">
      <c r="A600" s="4" t="s">
        <v>21</v>
      </c>
      <c r="B600" s="4" t="s">
        <v>22</v>
      </c>
      <c r="C600" s="4" t="s">
        <v>23</v>
      </c>
      <c r="D600" s="4" t="s">
        <v>24</v>
      </c>
      <c r="E600" s="4" t="s">
        <v>32</v>
      </c>
      <c r="F600" s="4" t="s">
        <v>25</v>
      </c>
      <c r="G600" s="4" t="s">
        <v>25</v>
      </c>
      <c r="H600" s="4" t="s">
        <v>25</v>
      </c>
      <c r="I600" s="5">
        <v>44682</v>
      </c>
      <c r="J600" s="6">
        <v>0</v>
      </c>
      <c r="K600" s="6">
        <v>0</v>
      </c>
      <c r="L600" s="6">
        <v>30.593</v>
      </c>
      <c r="M600" s="6">
        <v>30.593</v>
      </c>
      <c r="N600" s="6">
        <v>30.593</v>
      </c>
      <c r="O600" s="6">
        <v>30.593</v>
      </c>
      <c r="P600" s="6">
        <v>432</v>
      </c>
      <c r="Q600" s="4" t="s">
        <v>26</v>
      </c>
      <c r="R600" s="4">
        <v>0</v>
      </c>
      <c r="S600" s="6">
        <v>0</v>
      </c>
      <c r="T600" s="6">
        <v>34</v>
      </c>
      <c r="U600" s="6">
        <v>75</v>
      </c>
      <c r="V600" s="6">
        <f>IF(ISERROR(VLOOKUP($S$600,'TAR FIN'!$A$1:$O$103,15,0)),0,VLOOKUP($S$600,'TAR FIN'!$A$1:$O$103,15,0))</f>
        <v>0</v>
      </c>
      <c r="W600" s="6">
        <f>IF(ISERROR(VLOOKUP($T$600,'TAR FIN'!$A$1:$O$103,15,0)),0,VLOOKUP($T$600,'TAR FIN'!$A$1:$O$103,15,0))</f>
        <v>300.3</v>
      </c>
      <c r="X600" s="6">
        <f>IF(ISERROR(VLOOKUP($U$600,'TAR FIN'!$A$1:$O$103,15,0)),0,VLOOKUP($U$600,'TAR FIN'!$A$1:$O$103,15,0))</f>
        <v>255.17</v>
      </c>
      <c r="Y600" s="6"/>
      <c r="Z600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600" s="6">
        <f>('TE BE'!$AB$17+'TE BF'!$AB$17+'TE CVA'!$AB$17)*(1-CUSTOS!$M$37)</f>
        <v>234.02376339339278</v>
      </c>
      <c r="AB600" s="6">
        <f>$K$600*$V$600</f>
        <v>0</v>
      </c>
      <c r="AC600" s="6">
        <f>$M$600*$W$600</f>
        <v>9187.0779000000002</v>
      </c>
      <c r="AD600" s="6">
        <f>$O$600*$X$600</f>
        <v>7806.4158099999995</v>
      </c>
      <c r="AE600" s="6">
        <f>$K$600*$Y$600</f>
        <v>0</v>
      </c>
      <c r="AF600" s="6">
        <f ca="1">$M$600*$Z$600</f>
        <v>10051.982912761066</v>
      </c>
      <c r="AG600" s="6">
        <f>$O$600*$AA$600</f>
        <v>7159.4889934940657</v>
      </c>
    </row>
    <row r="601" spans="1:33" ht="11.25" customHeight="1" x14ac:dyDescent="0.3">
      <c r="A601" s="4" t="s">
        <v>21</v>
      </c>
      <c r="B601" s="4" t="s">
        <v>22</v>
      </c>
      <c r="C601" s="4" t="s">
        <v>23</v>
      </c>
      <c r="D601" s="4" t="s">
        <v>24</v>
      </c>
      <c r="E601" s="4" t="s">
        <v>32</v>
      </c>
      <c r="F601" s="4" t="s">
        <v>25</v>
      </c>
      <c r="G601" s="4" t="s">
        <v>25</v>
      </c>
      <c r="H601" s="4" t="s">
        <v>25</v>
      </c>
      <c r="I601" s="5">
        <v>44713</v>
      </c>
      <c r="J601" s="6">
        <v>0</v>
      </c>
      <c r="K601" s="6">
        <v>0</v>
      </c>
      <c r="L601" s="6">
        <v>15.170999999999999</v>
      </c>
      <c r="M601" s="6">
        <v>15.170999999999999</v>
      </c>
      <c r="N601" s="6">
        <v>15.170999999999999</v>
      </c>
      <c r="O601" s="6">
        <v>15.170999999999999</v>
      </c>
      <c r="P601" s="6">
        <v>253</v>
      </c>
      <c r="Q601" s="4" t="s">
        <v>26</v>
      </c>
      <c r="R601" s="4">
        <v>0</v>
      </c>
      <c r="S601" s="6">
        <v>0</v>
      </c>
      <c r="T601" s="6">
        <v>34</v>
      </c>
      <c r="U601" s="6">
        <v>75</v>
      </c>
      <c r="V601" s="6">
        <f>IF(ISERROR(VLOOKUP($S$601,'TAR FIN'!$A$1:$O$103,15,0)),0,VLOOKUP($S$601,'TAR FIN'!$A$1:$O$103,15,0))</f>
        <v>0</v>
      </c>
      <c r="W601" s="6">
        <f>IF(ISERROR(VLOOKUP($T$601,'TAR FIN'!$A$1:$O$103,15,0)),0,VLOOKUP($T$601,'TAR FIN'!$A$1:$O$103,15,0))</f>
        <v>300.3</v>
      </c>
      <c r="X601" s="6">
        <f>IF(ISERROR(VLOOKUP($U$601,'TAR FIN'!$A$1:$O$103,15,0)),0,VLOOKUP($U$601,'TAR FIN'!$A$1:$O$103,15,0))</f>
        <v>255.17</v>
      </c>
      <c r="Y601" s="6"/>
      <c r="Z601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601" s="6">
        <f>('TE BE'!$AB$17+'TE BF'!$AB$17+'TE CVA'!$AB$17)*(1-CUSTOS!$M$37)</f>
        <v>234.02376339339278</v>
      </c>
      <c r="AB601" s="6">
        <f>$K$601*$V$601</f>
        <v>0</v>
      </c>
      <c r="AC601" s="6">
        <f>$M$601*$W$601</f>
        <v>4555.8513000000003</v>
      </c>
      <c r="AD601" s="6">
        <f>$O$601*$X$601</f>
        <v>3871.1840699999998</v>
      </c>
      <c r="AE601" s="6">
        <f>$K$601*$Y$601</f>
        <v>0</v>
      </c>
      <c r="AF601" s="6">
        <f ca="1">$M$601*$Z$601</f>
        <v>4984.7557535873611</v>
      </c>
      <c r="AG601" s="6">
        <f>$O$601*$AA$601</f>
        <v>3550.3745144411619</v>
      </c>
    </row>
    <row r="602" spans="1:33" ht="11.25" customHeight="1" x14ac:dyDescent="0.3">
      <c r="A602" s="4" t="s">
        <v>21</v>
      </c>
      <c r="B602" s="4" t="s">
        <v>22</v>
      </c>
      <c r="C602" s="4" t="s">
        <v>23</v>
      </c>
      <c r="D602" s="4" t="s">
        <v>24</v>
      </c>
      <c r="E602" s="4" t="s">
        <v>32</v>
      </c>
      <c r="F602" s="4" t="s">
        <v>25</v>
      </c>
      <c r="G602" s="4" t="s">
        <v>25</v>
      </c>
      <c r="H602" s="4" t="s">
        <v>25</v>
      </c>
      <c r="I602" s="5">
        <v>44743</v>
      </c>
      <c r="J602" s="6">
        <v>0</v>
      </c>
      <c r="K602" s="6">
        <v>0</v>
      </c>
      <c r="L602" s="6">
        <v>20.350999999999999</v>
      </c>
      <c r="M602" s="6">
        <v>20.350999999999999</v>
      </c>
      <c r="N602" s="6">
        <v>20.350999999999999</v>
      </c>
      <c r="O602" s="6">
        <v>20.350999999999999</v>
      </c>
      <c r="P602" s="6">
        <v>347</v>
      </c>
      <c r="Q602" s="4" t="s">
        <v>26</v>
      </c>
      <c r="R602" s="4">
        <v>0</v>
      </c>
      <c r="S602" s="6">
        <v>0</v>
      </c>
      <c r="T602" s="6">
        <v>34</v>
      </c>
      <c r="U602" s="6">
        <v>75</v>
      </c>
      <c r="V602" s="6">
        <f>IF(ISERROR(VLOOKUP($S$602,'TAR FIN'!$A$1:$O$103,15,0)),0,VLOOKUP($S$602,'TAR FIN'!$A$1:$O$103,15,0))</f>
        <v>0</v>
      </c>
      <c r="W602" s="6">
        <f>IF(ISERROR(VLOOKUP($T$602,'TAR FIN'!$A$1:$O$103,15,0)),0,VLOOKUP($T$602,'TAR FIN'!$A$1:$O$103,15,0))</f>
        <v>300.3</v>
      </c>
      <c r="X602" s="6">
        <f>IF(ISERROR(VLOOKUP($U$602,'TAR FIN'!$A$1:$O$103,15,0)),0,VLOOKUP($U$602,'TAR FIN'!$A$1:$O$103,15,0))</f>
        <v>255.17</v>
      </c>
      <c r="Y602" s="6"/>
      <c r="Z602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602" s="6">
        <f>('TE BE'!$AB$17+'TE BF'!$AB$17+'TE CVA'!$AB$17)*(1-CUSTOS!$M$37)</f>
        <v>234.02376339339278</v>
      </c>
      <c r="AB602" s="6">
        <f>$K$602*$V$602</f>
        <v>0</v>
      </c>
      <c r="AC602" s="6">
        <f>$M$602*$W$602</f>
        <v>6111.4053000000004</v>
      </c>
      <c r="AD602" s="6">
        <f>$O$602*$X$602</f>
        <v>5192.9646699999994</v>
      </c>
      <c r="AE602" s="6">
        <f>$K$602*$Y$602</f>
        <v>0</v>
      </c>
      <c r="AF602" s="6">
        <f ca="1">$M$602*$Z$602</f>
        <v>6686.7552792338274</v>
      </c>
      <c r="AG602" s="6">
        <f>$O$602*$AA$602</f>
        <v>4762.6176088189359</v>
      </c>
    </row>
    <row r="603" spans="1:33" ht="11.25" customHeight="1" x14ac:dyDescent="0.3">
      <c r="A603" s="4" t="s">
        <v>21</v>
      </c>
      <c r="B603" s="4" t="s">
        <v>22</v>
      </c>
      <c r="C603" s="4" t="s">
        <v>23</v>
      </c>
      <c r="D603" s="4" t="s">
        <v>24</v>
      </c>
      <c r="E603" s="4" t="s">
        <v>32</v>
      </c>
      <c r="F603" s="4" t="s">
        <v>25</v>
      </c>
      <c r="G603" s="4" t="s">
        <v>25</v>
      </c>
      <c r="H603" s="4" t="s">
        <v>25</v>
      </c>
      <c r="I603" s="5">
        <v>44774</v>
      </c>
      <c r="J603" s="6">
        <v>0</v>
      </c>
      <c r="K603" s="6">
        <v>0</v>
      </c>
      <c r="L603" s="6">
        <v>15.516</v>
      </c>
      <c r="M603" s="6">
        <v>15.516</v>
      </c>
      <c r="N603" s="6">
        <v>15.516</v>
      </c>
      <c r="O603" s="6">
        <v>15.516</v>
      </c>
      <c r="P603" s="6">
        <v>264</v>
      </c>
      <c r="Q603" s="4" t="s">
        <v>26</v>
      </c>
      <c r="R603" s="4">
        <v>0</v>
      </c>
      <c r="S603" s="6">
        <v>0</v>
      </c>
      <c r="T603" s="6">
        <v>34</v>
      </c>
      <c r="U603" s="6">
        <v>75</v>
      </c>
      <c r="V603" s="6">
        <f>IF(ISERROR(VLOOKUP($S$603,'TAR FIN'!$A$1:$O$103,15,0)),0,VLOOKUP($S$603,'TAR FIN'!$A$1:$O$103,15,0))</f>
        <v>0</v>
      </c>
      <c r="W603" s="6">
        <f>IF(ISERROR(VLOOKUP($T$603,'TAR FIN'!$A$1:$O$103,15,0)),0,VLOOKUP($T$603,'TAR FIN'!$A$1:$O$103,15,0))</f>
        <v>300.3</v>
      </c>
      <c r="X603" s="6">
        <f>IF(ISERROR(VLOOKUP($U$603,'TAR FIN'!$A$1:$O$103,15,0)),0,VLOOKUP($U$603,'TAR FIN'!$A$1:$O$103,15,0))</f>
        <v>255.17</v>
      </c>
      <c r="Y603" s="6"/>
      <c r="Z603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603" s="6">
        <f>('TE BE'!$AB$17+'TE BF'!$AB$17+'TE CVA'!$AB$17)*(1-CUSTOS!$M$37)</f>
        <v>234.02376339339278</v>
      </c>
      <c r="AB603" s="6">
        <f>$K$603*$V$603</f>
        <v>0</v>
      </c>
      <c r="AC603" s="6">
        <f>$M$603*$W$603</f>
        <v>4659.4548000000004</v>
      </c>
      <c r="AD603" s="6">
        <f>$O$603*$X$603</f>
        <v>3959.2177199999996</v>
      </c>
      <c r="AE603" s="6">
        <f>$K$603*$Y$603</f>
        <v>0</v>
      </c>
      <c r="AF603" s="6">
        <f ca="1">$M$603*$Z$603</f>
        <v>5098.1128648514605</v>
      </c>
      <c r="AG603" s="6">
        <f>$O$603*$AA$603</f>
        <v>3631.1127128118824</v>
      </c>
    </row>
    <row r="604" spans="1:33" ht="11.25" customHeight="1" x14ac:dyDescent="0.3">
      <c r="A604" s="4" t="s">
        <v>21</v>
      </c>
      <c r="B604" s="4" t="s">
        <v>22</v>
      </c>
      <c r="C604" s="4" t="s">
        <v>23</v>
      </c>
      <c r="D604" s="4" t="s">
        <v>24</v>
      </c>
      <c r="E604" s="4" t="s">
        <v>32</v>
      </c>
      <c r="F604" s="4" t="s">
        <v>25</v>
      </c>
      <c r="G604" s="4" t="s">
        <v>25</v>
      </c>
      <c r="H604" s="4" t="s">
        <v>25</v>
      </c>
      <c r="I604" s="5">
        <v>44805</v>
      </c>
      <c r="J604" s="6">
        <v>0</v>
      </c>
      <c r="K604" s="6">
        <v>0</v>
      </c>
      <c r="L604" s="6">
        <v>36.475000000000001</v>
      </c>
      <c r="M604" s="6">
        <v>36.475000000000001</v>
      </c>
      <c r="N604" s="6">
        <v>36.475000000000001</v>
      </c>
      <c r="O604" s="6">
        <v>36.475000000000001</v>
      </c>
      <c r="P604" s="6">
        <v>524</v>
      </c>
      <c r="Q604" s="4" t="s">
        <v>26</v>
      </c>
      <c r="R604" s="4">
        <v>0</v>
      </c>
      <c r="S604" s="6">
        <v>0</v>
      </c>
      <c r="T604" s="6">
        <v>34</v>
      </c>
      <c r="U604" s="6">
        <v>75</v>
      </c>
      <c r="V604" s="6">
        <f>IF(ISERROR(VLOOKUP($S$604,'TAR FIN'!$A$1:$O$103,15,0)),0,VLOOKUP($S$604,'TAR FIN'!$A$1:$O$103,15,0))</f>
        <v>0</v>
      </c>
      <c r="W604" s="6">
        <f>IF(ISERROR(VLOOKUP($T$604,'TAR FIN'!$A$1:$O$103,15,0)),0,VLOOKUP($T$604,'TAR FIN'!$A$1:$O$103,15,0))</f>
        <v>300.3</v>
      </c>
      <c r="X604" s="6">
        <f>IF(ISERROR(VLOOKUP($U$604,'TAR FIN'!$A$1:$O$103,15,0)),0,VLOOKUP($U$604,'TAR FIN'!$A$1:$O$103,15,0))</f>
        <v>255.17</v>
      </c>
      <c r="Y604" s="6"/>
      <c r="Z604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604" s="6">
        <f>('TE BE'!$AB$17+'TE BF'!$AB$17+'TE CVA'!$AB$17)*(1-CUSTOS!$M$37)</f>
        <v>234.02376339339278</v>
      </c>
      <c r="AB604" s="6">
        <f>$K$604*$V$604</f>
        <v>0</v>
      </c>
      <c r="AC604" s="6">
        <f>$M$604*$W$604</f>
        <v>10953.442500000001</v>
      </c>
      <c r="AD604" s="6">
        <f>$O$604*$X$604</f>
        <v>9307.32575</v>
      </c>
      <c r="AE604" s="6">
        <f>$K$604*$Y$604</f>
        <v>0</v>
      </c>
      <c r="AF604" s="6">
        <f ca="1">$M$604*$Z$604</f>
        <v>11984.6395169797</v>
      </c>
      <c r="AG604" s="6">
        <f>$O$604*$AA$604</f>
        <v>8536.0167697740017</v>
      </c>
    </row>
    <row r="605" spans="1:33" ht="11.25" customHeight="1" x14ac:dyDescent="0.3">
      <c r="A605" s="4" t="s">
        <v>57</v>
      </c>
      <c r="B605" s="4" t="s">
        <v>22</v>
      </c>
      <c r="C605" s="4" t="s">
        <v>23</v>
      </c>
      <c r="D605" s="4" t="s">
        <v>24</v>
      </c>
      <c r="E605" s="4" t="s">
        <v>32</v>
      </c>
      <c r="F605" s="4" t="s">
        <v>25</v>
      </c>
      <c r="G605" s="4" t="s">
        <v>25</v>
      </c>
      <c r="H605" s="4" t="s">
        <v>25</v>
      </c>
      <c r="I605" s="5">
        <v>44835</v>
      </c>
      <c r="J605" s="6">
        <v>0</v>
      </c>
      <c r="K605" s="6">
        <v>0</v>
      </c>
      <c r="L605" s="6">
        <v>36.475000000000001</v>
      </c>
      <c r="M605" s="6">
        <v>36.475000000000001</v>
      </c>
      <c r="N605" s="6">
        <v>36.475000000000001</v>
      </c>
      <c r="O605" s="6">
        <v>36.475000000000001</v>
      </c>
      <c r="P605" s="6">
        <v>524</v>
      </c>
      <c r="Q605" s="4" t="s">
        <v>26</v>
      </c>
      <c r="R605" s="4">
        <v>0</v>
      </c>
      <c r="S605" s="6">
        <v>0</v>
      </c>
      <c r="T605" s="6">
        <v>34</v>
      </c>
      <c r="U605" s="6">
        <v>75</v>
      </c>
      <c r="V605" s="6">
        <f>IF(ISERROR(VLOOKUP($S$605,'TAR FIN'!$A$1:$O$103,15,0)),0,VLOOKUP($S$605,'TAR FIN'!$A$1:$O$103,15,0))</f>
        <v>0</v>
      </c>
      <c r="W605" s="6">
        <f>IF(ISERROR(VLOOKUP($T$605,'TAR FIN'!$A$1:$O$103,15,0)),0,VLOOKUP($T$605,'TAR FIN'!$A$1:$O$103,15,0))</f>
        <v>300.3</v>
      </c>
      <c r="X605" s="6">
        <f>IF(ISERROR(VLOOKUP($U$605,'TAR FIN'!$A$1:$O$103,15,0)),0,VLOOKUP($U$605,'TAR FIN'!$A$1:$O$103,15,0))</f>
        <v>255.17</v>
      </c>
      <c r="Y605" s="6"/>
      <c r="Z605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605" s="6">
        <f>('TE BE'!$AB$17+'TE BF'!$AB$17+'TE CVA'!$AB$17)*(1-CUSTOS!$M$37)</f>
        <v>234.02376339339278</v>
      </c>
      <c r="AB605" s="6">
        <f>$K$605*$V$605</f>
        <v>0</v>
      </c>
      <c r="AC605" s="6">
        <f>$M$605*$W$605</f>
        <v>10953.442500000001</v>
      </c>
      <c r="AD605" s="6">
        <f>$O$605*$X$605</f>
        <v>9307.32575</v>
      </c>
      <c r="AE605" s="6">
        <f>$K$605*$Y$605</f>
        <v>0</v>
      </c>
      <c r="AF605" s="6">
        <f ca="1">$M$605*$Z$605</f>
        <v>11984.6395169797</v>
      </c>
      <c r="AG605" s="6">
        <f>$O$605*$AA$605</f>
        <v>8536.0167697740017</v>
      </c>
    </row>
    <row r="606" spans="1:33" ht="11.25" customHeight="1" x14ac:dyDescent="0.3">
      <c r="A606" s="4" t="s">
        <v>21</v>
      </c>
      <c r="B606" s="4" t="s">
        <v>43</v>
      </c>
      <c r="C606" s="4" t="s">
        <v>23</v>
      </c>
      <c r="D606" s="4" t="s">
        <v>44</v>
      </c>
      <c r="E606" s="4" t="s">
        <v>53</v>
      </c>
      <c r="F606" s="4" t="s">
        <v>54</v>
      </c>
      <c r="G606" s="4" t="s">
        <v>25</v>
      </c>
      <c r="H606" s="4" t="s">
        <v>25</v>
      </c>
      <c r="I606" s="5">
        <v>44501</v>
      </c>
      <c r="J606" s="6">
        <v>0</v>
      </c>
      <c r="K606" s="6">
        <v>0</v>
      </c>
      <c r="L606" s="6">
        <v>20.692</v>
      </c>
      <c r="M606" s="6">
        <v>20.692</v>
      </c>
      <c r="N606" s="6">
        <v>20.692</v>
      </c>
      <c r="O606" s="6">
        <v>20.692</v>
      </c>
      <c r="P606" s="6">
        <v>0</v>
      </c>
      <c r="Q606" s="4" t="s">
        <v>26</v>
      </c>
      <c r="R606" s="4">
        <v>0</v>
      </c>
      <c r="S606" s="6">
        <v>0</v>
      </c>
      <c r="T606" s="6">
        <v>43</v>
      </c>
      <c r="U606" s="6">
        <v>84</v>
      </c>
      <c r="V606" s="6">
        <f>IF(ISERROR(VLOOKUP($S$606,'TAR FIN'!$A$1:$O$103,15,0)),0,VLOOKUP($S$606,'TAR FIN'!$A$1:$O$103,15,0))</f>
        <v>0</v>
      </c>
      <c r="W606" s="6">
        <f>IF(ISERROR(VLOOKUP($T$606,'TAR FIN'!$A$1:$O$103,15,0)),0,VLOOKUP($T$606,'TAR FIN'!$A$1:$O$103,15,0))</f>
        <v>334.07</v>
      </c>
      <c r="X606" s="6">
        <f>IF(ISERROR(VLOOKUP($U$606,'TAR FIN'!$A$1:$O$103,15,0)),0,VLOOKUP($U$606,'TAR FIN'!$A$1:$O$103,15,0))</f>
        <v>224.55</v>
      </c>
      <c r="Y606" s="6"/>
      <c r="Z606" s="6">
        <f ca="1">('TUSD BE'!$AM$45+'TUSD BF'!$AM$45+'TUSD CVA'!$AM$45)*(1-CUSTOS!$M$38)</f>
        <v>453.14332034419533</v>
      </c>
      <c r="AA606" s="6">
        <f>('TE BE'!$AB$26+'TE BF'!$AB$26+'TE CVA'!$AB$26)*(1-CUSTOS!$M$38)</f>
        <v>219.98233758978921</v>
      </c>
      <c r="AB606" s="6">
        <f>$K$606*$V$606</f>
        <v>0</v>
      </c>
      <c r="AC606" s="6">
        <f>$M$606*$W$606</f>
        <v>6912.5764399999998</v>
      </c>
      <c r="AD606" s="6">
        <f>$O$606*$X$606</f>
        <v>4646.3886000000002</v>
      </c>
      <c r="AE606" s="6">
        <f>$K$606*$Y$606</f>
        <v>0</v>
      </c>
      <c r="AF606" s="6">
        <f ca="1">$M$606*$Z$606</f>
        <v>9376.4415845620897</v>
      </c>
      <c r="AG606" s="6">
        <f>$O$606*$AA$606</f>
        <v>4551.8745294079181</v>
      </c>
    </row>
    <row r="607" spans="1:33" ht="11.25" customHeight="1" x14ac:dyDescent="0.3">
      <c r="A607" s="4" t="s">
        <v>21</v>
      </c>
      <c r="B607" s="4" t="s">
        <v>43</v>
      </c>
      <c r="C607" s="4" t="s">
        <v>23</v>
      </c>
      <c r="D607" s="4" t="s">
        <v>44</v>
      </c>
      <c r="E607" s="4" t="s">
        <v>53</v>
      </c>
      <c r="F607" s="4" t="s">
        <v>54</v>
      </c>
      <c r="G607" s="4" t="s">
        <v>25</v>
      </c>
      <c r="H607" s="4" t="s">
        <v>25</v>
      </c>
      <c r="I607" s="5">
        <v>44531</v>
      </c>
      <c r="J607" s="6">
        <v>0</v>
      </c>
      <c r="K607" s="6">
        <v>0</v>
      </c>
      <c r="L607" s="6">
        <v>6.3330000000000002</v>
      </c>
      <c r="M607" s="6">
        <v>6.3330000000000002</v>
      </c>
      <c r="N607" s="6">
        <v>6.3330000000000002</v>
      </c>
      <c r="O607" s="6">
        <v>6.3330000000000002</v>
      </c>
      <c r="P607" s="6">
        <v>0</v>
      </c>
      <c r="Q607" s="4" t="s">
        <v>26</v>
      </c>
      <c r="R607" s="4">
        <v>0</v>
      </c>
      <c r="S607" s="6">
        <v>0</v>
      </c>
      <c r="T607" s="6">
        <v>43</v>
      </c>
      <c r="U607" s="6">
        <v>84</v>
      </c>
      <c r="V607" s="6">
        <f>IF(ISERROR(VLOOKUP($S$607,'TAR FIN'!$A$1:$O$103,15,0)),0,VLOOKUP($S$607,'TAR FIN'!$A$1:$O$103,15,0))</f>
        <v>0</v>
      </c>
      <c r="W607" s="6">
        <f>IF(ISERROR(VLOOKUP($T$607,'TAR FIN'!$A$1:$O$103,15,0)),0,VLOOKUP($T$607,'TAR FIN'!$A$1:$O$103,15,0))</f>
        <v>334.07</v>
      </c>
      <c r="X607" s="6">
        <f>IF(ISERROR(VLOOKUP($U$607,'TAR FIN'!$A$1:$O$103,15,0)),0,VLOOKUP($U$607,'TAR FIN'!$A$1:$O$103,15,0))</f>
        <v>224.55</v>
      </c>
      <c r="Y607" s="6"/>
      <c r="Z607" s="6">
        <f ca="1">('TUSD BE'!$AM$45+'TUSD BF'!$AM$45+'TUSD CVA'!$AM$45)*(1-CUSTOS!$M$38)</f>
        <v>453.14332034419533</v>
      </c>
      <c r="AA607" s="6">
        <f>('TE BE'!$AB$26+'TE BF'!$AB$26+'TE CVA'!$AB$26)*(1-CUSTOS!$M$38)</f>
        <v>219.98233758978921</v>
      </c>
      <c r="AB607" s="6">
        <f>$K$607*$V$607</f>
        <v>0</v>
      </c>
      <c r="AC607" s="6">
        <f>$M$607*$W$607</f>
        <v>2115.6653099999999</v>
      </c>
      <c r="AD607" s="6">
        <f>$O$607*$X$607</f>
        <v>1422.0751500000001</v>
      </c>
      <c r="AE607" s="6">
        <f>$K$607*$Y$607</f>
        <v>0</v>
      </c>
      <c r="AF607" s="6">
        <f ca="1">$M$607*$Z$607</f>
        <v>2869.7566477397891</v>
      </c>
      <c r="AG607" s="6">
        <f>$O$607*$AA$607</f>
        <v>1393.1481439561351</v>
      </c>
    </row>
    <row r="608" spans="1:33" ht="11.25" customHeight="1" x14ac:dyDescent="0.3">
      <c r="A608" s="4" t="s">
        <v>21</v>
      </c>
      <c r="B608" s="4" t="s">
        <v>43</v>
      </c>
      <c r="C608" s="4" t="s">
        <v>23</v>
      </c>
      <c r="D608" s="4" t="s">
        <v>44</v>
      </c>
      <c r="E608" s="4" t="s">
        <v>53</v>
      </c>
      <c r="F608" s="4" t="s">
        <v>54</v>
      </c>
      <c r="G608" s="4" t="s">
        <v>25</v>
      </c>
      <c r="H608" s="4" t="s">
        <v>25</v>
      </c>
      <c r="I608" s="5">
        <v>44562</v>
      </c>
      <c r="J608" s="6">
        <v>0</v>
      </c>
      <c r="K608" s="6">
        <v>0</v>
      </c>
      <c r="L608" s="6">
        <v>3.2189999999999999</v>
      </c>
      <c r="M608" s="6">
        <v>3.2189999999999999</v>
      </c>
      <c r="N608" s="6">
        <v>3.2189999999999999</v>
      </c>
      <c r="O608" s="6">
        <v>3.2189999999999999</v>
      </c>
      <c r="P608" s="6">
        <v>0</v>
      </c>
      <c r="Q608" s="4" t="s">
        <v>26</v>
      </c>
      <c r="R608" s="4">
        <v>0</v>
      </c>
      <c r="S608" s="6">
        <v>0</v>
      </c>
      <c r="T608" s="6">
        <v>43</v>
      </c>
      <c r="U608" s="6">
        <v>84</v>
      </c>
      <c r="V608" s="6">
        <f>IF(ISERROR(VLOOKUP($S$608,'TAR FIN'!$A$1:$O$103,15,0)),0,VLOOKUP($S$608,'TAR FIN'!$A$1:$O$103,15,0))</f>
        <v>0</v>
      </c>
      <c r="W608" s="6">
        <f>IF(ISERROR(VLOOKUP($T$608,'TAR FIN'!$A$1:$O$103,15,0)),0,VLOOKUP($T$608,'TAR FIN'!$A$1:$O$103,15,0))</f>
        <v>334.07</v>
      </c>
      <c r="X608" s="6">
        <f>IF(ISERROR(VLOOKUP($U$608,'TAR FIN'!$A$1:$O$103,15,0)),0,VLOOKUP($U$608,'TAR FIN'!$A$1:$O$103,15,0))</f>
        <v>224.55</v>
      </c>
      <c r="Y608" s="6"/>
      <c r="Z608" s="6">
        <f ca="1">('TUSD BE'!$AM$45+'TUSD BF'!$AM$45+'TUSD CVA'!$AM$45)*(1-CUSTOS!$M$38)</f>
        <v>453.14332034419533</v>
      </c>
      <c r="AA608" s="6">
        <f>('TE BE'!$AB$26+'TE BF'!$AB$26+'TE CVA'!$AB$26)*(1-CUSTOS!$M$38)</f>
        <v>219.98233758978921</v>
      </c>
      <c r="AB608" s="6">
        <f>$K$608*$V$608</f>
        <v>0</v>
      </c>
      <c r="AC608" s="6">
        <f>$M$608*$W$608</f>
        <v>1075.3713299999999</v>
      </c>
      <c r="AD608" s="6">
        <f>$O$608*$X$608</f>
        <v>722.82645000000002</v>
      </c>
      <c r="AE608" s="6">
        <f>$K$608*$Y$608</f>
        <v>0</v>
      </c>
      <c r="AF608" s="6">
        <f ca="1">$M$608*$Z$608</f>
        <v>1458.6683481879647</v>
      </c>
      <c r="AG608" s="6">
        <f>$O$608*$AA$608</f>
        <v>708.12314470153149</v>
      </c>
    </row>
    <row r="609" spans="1:33" ht="11.25" customHeight="1" x14ac:dyDescent="0.3">
      <c r="A609" s="4" t="s">
        <v>21</v>
      </c>
      <c r="B609" s="4" t="s">
        <v>43</v>
      </c>
      <c r="C609" s="4" t="s">
        <v>23</v>
      </c>
      <c r="D609" s="4" t="s">
        <v>44</v>
      </c>
      <c r="E609" s="4" t="s">
        <v>53</v>
      </c>
      <c r="F609" s="4" t="s">
        <v>54</v>
      </c>
      <c r="G609" s="4" t="s">
        <v>25</v>
      </c>
      <c r="H609" s="4" t="s">
        <v>25</v>
      </c>
      <c r="I609" s="5">
        <v>44593</v>
      </c>
      <c r="J609" s="6">
        <v>0</v>
      </c>
      <c r="K609" s="6">
        <v>0</v>
      </c>
      <c r="L609" s="6">
        <v>7.2119999999999997</v>
      </c>
      <c r="M609" s="6">
        <v>7.2119999999999997</v>
      </c>
      <c r="N609" s="6">
        <v>7.2119999999999997</v>
      </c>
      <c r="O609" s="6">
        <v>7.2119999999999997</v>
      </c>
      <c r="P609" s="6">
        <v>0</v>
      </c>
      <c r="Q609" s="4" t="s">
        <v>26</v>
      </c>
      <c r="R609" s="4">
        <v>0</v>
      </c>
      <c r="S609" s="6">
        <v>0</v>
      </c>
      <c r="T609" s="6">
        <v>43</v>
      </c>
      <c r="U609" s="6">
        <v>84</v>
      </c>
      <c r="V609" s="6">
        <f>IF(ISERROR(VLOOKUP($S$609,'TAR FIN'!$A$1:$O$103,15,0)),0,VLOOKUP($S$609,'TAR FIN'!$A$1:$O$103,15,0))</f>
        <v>0</v>
      </c>
      <c r="W609" s="6">
        <f>IF(ISERROR(VLOOKUP($T$609,'TAR FIN'!$A$1:$O$103,15,0)),0,VLOOKUP($T$609,'TAR FIN'!$A$1:$O$103,15,0))</f>
        <v>334.07</v>
      </c>
      <c r="X609" s="6">
        <f>IF(ISERROR(VLOOKUP($U$609,'TAR FIN'!$A$1:$O$103,15,0)),0,VLOOKUP($U$609,'TAR FIN'!$A$1:$O$103,15,0))</f>
        <v>224.55</v>
      </c>
      <c r="Y609" s="6"/>
      <c r="Z609" s="6">
        <f ca="1">('TUSD BE'!$AM$45+'TUSD BF'!$AM$45+'TUSD CVA'!$AM$45)*(1-CUSTOS!$M$38)</f>
        <v>453.14332034419533</v>
      </c>
      <c r="AA609" s="6">
        <f>('TE BE'!$AB$26+'TE BF'!$AB$26+'TE CVA'!$AB$26)*(1-CUSTOS!$M$38)</f>
        <v>219.98233758978921</v>
      </c>
      <c r="AB609" s="6">
        <f>$K$609*$V$609</f>
        <v>0</v>
      </c>
      <c r="AC609" s="6">
        <f>$M$609*$W$609</f>
        <v>2409.3128400000001</v>
      </c>
      <c r="AD609" s="6">
        <f>$O$609*$X$609</f>
        <v>1619.4546</v>
      </c>
      <c r="AE609" s="6">
        <f>$K$609*$Y$609</f>
        <v>0</v>
      </c>
      <c r="AF609" s="6">
        <f ca="1">$M$609*$Z$609</f>
        <v>3268.0696263223367</v>
      </c>
      <c r="AG609" s="6">
        <f>$O$609*$AA$609</f>
        <v>1586.5126186975597</v>
      </c>
    </row>
    <row r="610" spans="1:33" ht="11.25" customHeight="1" x14ac:dyDescent="0.3">
      <c r="A610" s="4" t="s">
        <v>21</v>
      </c>
      <c r="B610" s="4" t="s">
        <v>43</v>
      </c>
      <c r="C610" s="4" t="s">
        <v>23</v>
      </c>
      <c r="D610" s="4" t="s">
        <v>44</v>
      </c>
      <c r="E610" s="4" t="s">
        <v>53</v>
      </c>
      <c r="F610" s="4" t="s">
        <v>54</v>
      </c>
      <c r="G610" s="4" t="s">
        <v>25</v>
      </c>
      <c r="H610" s="4" t="s">
        <v>25</v>
      </c>
      <c r="I610" s="5">
        <v>44621</v>
      </c>
      <c r="J610" s="6">
        <v>0</v>
      </c>
      <c r="K610" s="6">
        <v>0</v>
      </c>
      <c r="L610" s="6">
        <v>16.541</v>
      </c>
      <c r="M610" s="6">
        <v>16.541</v>
      </c>
      <c r="N610" s="6">
        <v>16.541</v>
      </c>
      <c r="O610" s="6">
        <v>16.541</v>
      </c>
      <c r="P610" s="6">
        <v>0</v>
      </c>
      <c r="Q610" s="4" t="s">
        <v>26</v>
      </c>
      <c r="R610" s="4">
        <v>0</v>
      </c>
      <c r="S610" s="6">
        <v>0</v>
      </c>
      <c r="T610" s="6">
        <v>43</v>
      </c>
      <c r="U610" s="6">
        <v>84</v>
      </c>
      <c r="V610" s="6">
        <f>IF(ISERROR(VLOOKUP($S$610,'TAR FIN'!$A$1:$O$103,15,0)),0,VLOOKUP($S$610,'TAR FIN'!$A$1:$O$103,15,0))</f>
        <v>0</v>
      </c>
      <c r="W610" s="6">
        <f>IF(ISERROR(VLOOKUP($T$610,'TAR FIN'!$A$1:$O$103,15,0)),0,VLOOKUP($T$610,'TAR FIN'!$A$1:$O$103,15,0))</f>
        <v>334.07</v>
      </c>
      <c r="X610" s="6">
        <f>IF(ISERROR(VLOOKUP($U$610,'TAR FIN'!$A$1:$O$103,15,0)),0,VLOOKUP($U$610,'TAR FIN'!$A$1:$O$103,15,0))</f>
        <v>224.55</v>
      </c>
      <c r="Y610" s="6"/>
      <c r="Z610" s="6">
        <f ca="1">('TUSD BE'!$AM$45+'TUSD BF'!$AM$45+'TUSD CVA'!$AM$45)*(1-CUSTOS!$M$38)</f>
        <v>453.14332034419533</v>
      </c>
      <c r="AA610" s="6">
        <f>('TE BE'!$AB$26+'TE BF'!$AB$26+'TE CVA'!$AB$26)*(1-CUSTOS!$M$38)</f>
        <v>219.98233758978921</v>
      </c>
      <c r="AB610" s="6">
        <f>$K$610*$V$610</f>
        <v>0</v>
      </c>
      <c r="AC610" s="6">
        <f>$M$610*$W$610</f>
        <v>5525.8518700000004</v>
      </c>
      <c r="AD610" s="6">
        <f>$O$610*$X$610</f>
        <v>3714.2815500000002</v>
      </c>
      <c r="AE610" s="6">
        <f>$K$610*$Y$610</f>
        <v>0</v>
      </c>
      <c r="AF610" s="6">
        <f ca="1">$M$610*$Z$610</f>
        <v>7495.443661813335</v>
      </c>
      <c r="AG610" s="6">
        <f>$O$610*$AA$610</f>
        <v>3638.7278460727034</v>
      </c>
    </row>
    <row r="611" spans="1:33" ht="11.25" customHeight="1" x14ac:dyDescent="0.3">
      <c r="A611" s="4" t="s">
        <v>21</v>
      </c>
      <c r="B611" s="4" t="s">
        <v>43</v>
      </c>
      <c r="C611" s="4" t="s">
        <v>23</v>
      </c>
      <c r="D611" s="4" t="s">
        <v>44</v>
      </c>
      <c r="E611" s="4" t="s">
        <v>53</v>
      </c>
      <c r="F611" s="4" t="s">
        <v>54</v>
      </c>
      <c r="G611" s="4" t="s">
        <v>25</v>
      </c>
      <c r="H611" s="4" t="s">
        <v>25</v>
      </c>
      <c r="I611" s="5">
        <v>44652</v>
      </c>
      <c r="J611" s="6">
        <v>0</v>
      </c>
      <c r="K611" s="6">
        <v>0</v>
      </c>
      <c r="L611" s="6">
        <v>78.981999999999999</v>
      </c>
      <c r="M611" s="6">
        <v>78.981999999999999</v>
      </c>
      <c r="N611" s="6">
        <v>78.981999999999999</v>
      </c>
      <c r="O611" s="6">
        <v>78.981999999999999</v>
      </c>
      <c r="P611" s="6">
        <v>0</v>
      </c>
      <c r="Q611" s="4" t="s">
        <v>26</v>
      </c>
      <c r="R611" s="4">
        <v>0</v>
      </c>
      <c r="S611" s="6">
        <v>0</v>
      </c>
      <c r="T611" s="6">
        <v>43</v>
      </c>
      <c r="U611" s="6">
        <v>84</v>
      </c>
      <c r="V611" s="6">
        <f>IF(ISERROR(VLOOKUP($S$611,'TAR FIN'!$A$1:$O$103,15,0)),0,VLOOKUP($S$611,'TAR FIN'!$A$1:$O$103,15,0))</f>
        <v>0</v>
      </c>
      <c r="W611" s="6">
        <f>IF(ISERROR(VLOOKUP($T$611,'TAR FIN'!$A$1:$O$103,15,0)),0,VLOOKUP($T$611,'TAR FIN'!$A$1:$O$103,15,0))</f>
        <v>334.07</v>
      </c>
      <c r="X611" s="6">
        <f>IF(ISERROR(VLOOKUP($U$611,'TAR FIN'!$A$1:$O$103,15,0)),0,VLOOKUP($U$611,'TAR FIN'!$A$1:$O$103,15,0))</f>
        <v>224.55</v>
      </c>
      <c r="Y611" s="6"/>
      <c r="Z611" s="6">
        <f ca="1">('TUSD BE'!$AM$45+'TUSD BF'!$AM$45+'TUSD CVA'!$AM$45)*(1-CUSTOS!$M$38)</f>
        <v>453.14332034419533</v>
      </c>
      <c r="AA611" s="6">
        <f>('TE BE'!$AB$26+'TE BF'!$AB$26+'TE CVA'!$AB$26)*(1-CUSTOS!$M$38)</f>
        <v>219.98233758978921</v>
      </c>
      <c r="AB611" s="6">
        <f>$K$611*$V$611</f>
        <v>0</v>
      </c>
      <c r="AC611" s="6">
        <f>$M$611*$W$611</f>
        <v>26385.516739999999</v>
      </c>
      <c r="AD611" s="6">
        <f>$O$611*$X$611</f>
        <v>17735.408100000001</v>
      </c>
      <c r="AE611" s="6">
        <f>$K$611*$Y$611</f>
        <v>0</v>
      </c>
      <c r="AF611" s="6">
        <f ca="1">$M$611*$Z$611</f>
        <v>35790.165727425236</v>
      </c>
      <c r="AG611" s="6">
        <f>$O$611*$AA$611</f>
        <v>17374.644987516731</v>
      </c>
    </row>
    <row r="612" spans="1:33" ht="11.25" customHeight="1" x14ac:dyDescent="0.3">
      <c r="A612" s="4" t="s">
        <v>21</v>
      </c>
      <c r="B612" s="4" t="s">
        <v>43</v>
      </c>
      <c r="C612" s="4" t="s">
        <v>23</v>
      </c>
      <c r="D612" s="4" t="s">
        <v>44</v>
      </c>
      <c r="E612" s="4" t="s">
        <v>53</v>
      </c>
      <c r="F612" s="4" t="s">
        <v>54</v>
      </c>
      <c r="G612" s="4" t="s">
        <v>25</v>
      </c>
      <c r="H612" s="4" t="s">
        <v>25</v>
      </c>
      <c r="I612" s="5">
        <v>44682</v>
      </c>
      <c r="J612" s="6">
        <v>0</v>
      </c>
      <c r="K612" s="6">
        <v>0</v>
      </c>
      <c r="L612" s="6">
        <v>107.337</v>
      </c>
      <c r="M612" s="6">
        <v>107.337</v>
      </c>
      <c r="N612" s="6">
        <v>107.337</v>
      </c>
      <c r="O612" s="6">
        <v>107.337</v>
      </c>
      <c r="P612" s="6">
        <v>0</v>
      </c>
      <c r="Q612" s="4" t="s">
        <v>26</v>
      </c>
      <c r="R612" s="4">
        <v>0</v>
      </c>
      <c r="S612" s="6">
        <v>0</v>
      </c>
      <c r="T612" s="6">
        <v>43</v>
      </c>
      <c r="U612" s="6">
        <v>84</v>
      </c>
      <c r="V612" s="6">
        <f>IF(ISERROR(VLOOKUP($S$612,'TAR FIN'!$A$1:$O$103,15,0)),0,VLOOKUP($S$612,'TAR FIN'!$A$1:$O$103,15,0))</f>
        <v>0</v>
      </c>
      <c r="W612" s="6">
        <f>IF(ISERROR(VLOOKUP($T$612,'TAR FIN'!$A$1:$O$103,15,0)),0,VLOOKUP($T$612,'TAR FIN'!$A$1:$O$103,15,0))</f>
        <v>334.07</v>
      </c>
      <c r="X612" s="6">
        <f>IF(ISERROR(VLOOKUP($U$612,'TAR FIN'!$A$1:$O$103,15,0)),0,VLOOKUP($U$612,'TAR FIN'!$A$1:$O$103,15,0))</f>
        <v>224.55</v>
      </c>
      <c r="Y612" s="6"/>
      <c r="Z612" s="6">
        <f ca="1">('TUSD BE'!$AM$45+'TUSD BF'!$AM$45+'TUSD CVA'!$AM$45)*(1-CUSTOS!$M$38)</f>
        <v>453.14332034419533</v>
      </c>
      <c r="AA612" s="6">
        <f>('TE BE'!$AB$26+'TE BF'!$AB$26+'TE CVA'!$AB$26)*(1-CUSTOS!$M$38)</f>
        <v>219.98233758978921</v>
      </c>
      <c r="AB612" s="6">
        <f>$K$612*$V$612</f>
        <v>0</v>
      </c>
      <c r="AC612" s="6">
        <f>$M$612*$W$612</f>
        <v>35858.07159</v>
      </c>
      <c r="AD612" s="6">
        <f>$O$612*$X$612</f>
        <v>24102.523350000003</v>
      </c>
      <c r="AE612" s="6">
        <f>$K$612*$Y$612</f>
        <v>0</v>
      </c>
      <c r="AF612" s="6">
        <f ca="1">$M$612*$Z$612</f>
        <v>48639.044575784894</v>
      </c>
      <c r="AG612" s="6">
        <f>$O$612*$AA$612</f>
        <v>23612.244169875205</v>
      </c>
    </row>
    <row r="613" spans="1:33" ht="11.25" customHeight="1" x14ac:dyDescent="0.3">
      <c r="A613" s="4" t="s">
        <v>21</v>
      </c>
      <c r="B613" s="4" t="s">
        <v>43</v>
      </c>
      <c r="C613" s="4" t="s">
        <v>23</v>
      </c>
      <c r="D613" s="4" t="s">
        <v>44</v>
      </c>
      <c r="E613" s="4" t="s">
        <v>53</v>
      </c>
      <c r="F613" s="4" t="s">
        <v>54</v>
      </c>
      <c r="G613" s="4" t="s">
        <v>25</v>
      </c>
      <c r="H613" s="4" t="s">
        <v>25</v>
      </c>
      <c r="I613" s="5">
        <v>44713</v>
      </c>
      <c r="J613" s="6">
        <v>0</v>
      </c>
      <c r="K613" s="6">
        <v>0</v>
      </c>
      <c r="L613" s="6">
        <v>101.113</v>
      </c>
      <c r="M613" s="6">
        <v>101.113</v>
      </c>
      <c r="N613" s="6">
        <v>101.113</v>
      </c>
      <c r="O613" s="6">
        <v>101.113</v>
      </c>
      <c r="P613" s="6">
        <v>0</v>
      </c>
      <c r="Q613" s="4" t="s">
        <v>26</v>
      </c>
      <c r="R613" s="4">
        <v>0</v>
      </c>
      <c r="S613" s="6">
        <v>0</v>
      </c>
      <c r="T613" s="6">
        <v>43</v>
      </c>
      <c r="U613" s="6">
        <v>84</v>
      </c>
      <c r="V613" s="6">
        <f>IF(ISERROR(VLOOKUP($S$613,'TAR FIN'!$A$1:$O$103,15,0)),0,VLOOKUP($S$613,'TAR FIN'!$A$1:$O$103,15,0))</f>
        <v>0</v>
      </c>
      <c r="W613" s="6">
        <f>IF(ISERROR(VLOOKUP($T$613,'TAR FIN'!$A$1:$O$103,15,0)),0,VLOOKUP($T$613,'TAR FIN'!$A$1:$O$103,15,0))</f>
        <v>334.07</v>
      </c>
      <c r="X613" s="6">
        <f>IF(ISERROR(VLOOKUP($U$613,'TAR FIN'!$A$1:$O$103,15,0)),0,VLOOKUP($U$613,'TAR FIN'!$A$1:$O$103,15,0))</f>
        <v>224.55</v>
      </c>
      <c r="Y613" s="6"/>
      <c r="Z613" s="6">
        <f ca="1">('TUSD BE'!$AM$45+'TUSD BF'!$AM$45+'TUSD CVA'!$AM$45)*(1-CUSTOS!$M$38)</f>
        <v>453.14332034419533</v>
      </c>
      <c r="AA613" s="6">
        <f>('TE BE'!$AB$26+'TE BF'!$AB$26+'TE CVA'!$AB$26)*(1-CUSTOS!$M$38)</f>
        <v>219.98233758978921</v>
      </c>
      <c r="AB613" s="6">
        <f>$K$613*$V$613</f>
        <v>0</v>
      </c>
      <c r="AC613" s="6">
        <f>$M$613*$W$613</f>
        <v>33778.819909999998</v>
      </c>
      <c r="AD613" s="6">
        <f>$O$613*$X$613</f>
        <v>22704.924150000003</v>
      </c>
      <c r="AE613" s="6">
        <f>$K$613*$Y$613</f>
        <v>0</v>
      </c>
      <c r="AF613" s="6">
        <f ca="1">$M$613*$Z$613</f>
        <v>45818.680549962621</v>
      </c>
      <c r="AG613" s="6">
        <f>$O$613*$AA$613</f>
        <v>22243.074100716356</v>
      </c>
    </row>
    <row r="614" spans="1:33" ht="11.25" customHeight="1" x14ac:dyDescent="0.3">
      <c r="A614" s="4" t="s">
        <v>21</v>
      </c>
      <c r="B614" s="4" t="s">
        <v>43</v>
      </c>
      <c r="C614" s="4" t="s">
        <v>23</v>
      </c>
      <c r="D614" s="4" t="s">
        <v>44</v>
      </c>
      <c r="E614" s="4" t="s">
        <v>53</v>
      </c>
      <c r="F614" s="4" t="s">
        <v>54</v>
      </c>
      <c r="G614" s="4" t="s">
        <v>25</v>
      </c>
      <c r="H614" s="4" t="s">
        <v>25</v>
      </c>
      <c r="I614" s="5">
        <v>44743</v>
      </c>
      <c r="J614" s="6">
        <v>0</v>
      </c>
      <c r="K614" s="6">
        <v>0</v>
      </c>
      <c r="L614" s="6">
        <v>103.361</v>
      </c>
      <c r="M614" s="6">
        <v>103.361</v>
      </c>
      <c r="N614" s="6">
        <v>103.361</v>
      </c>
      <c r="O614" s="6">
        <v>103.361</v>
      </c>
      <c r="P614" s="6">
        <v>0</v>
      </c>
      <c r="Q614" s="4" t="s">
        <v>26</v>
      </c>
      <c r="R614" s="4">
        <v>0</v>
      </c>
      <c r="S614" s="6">
        <v>0</v>
      </c>
      <c r="T614" s="6">
        <v>43</v>
      </c>
      <c r="U614" s="6">
        <v>84</v>
      </c>
      <c r="V614" s="6">
        <f>IF(ISERROR(VLOOKUP($S$614,'TAR FIN'!$A$1:$O$103,15,0)),0,VLOOKUP($S$614,'TAR FIN'!$A$1:$O$103,15,0))</f>
        <v>0</v>
      </c>
      <c r="W614" s="6">
        <f>IF(ISERROR(VLOOKUP($T$614,'TAR FIN'!$A$1:$O$103,15,0)),0,VLOOKUP($T$614,'TAR FIN'!$A$1:$O$103,15,0))</f>
        <v>334.07</v>
      </c>
      <c r="X614" s="6">
        <f>IF(ISERROR(VLOOKUP($U$614,'TAR FIN'!$A$1:$O$103,15,0)),0,VLOOKUP($U$614,'TAR FIN'!$A$1:$O$103,15,0))</f>
        <v>224.55</v>
      </c>
      <c r="Y614" s="6"/>
      <c r="Z614" s="6">
        <f ca="1">('TUSD BE'!$AM$45+'TUSD BF'!$AM$45+'TUSD CVA'!$AM$45)*(1-CUSTOS!$M$38)</f>
        <v>453.14332034419533</v>
      </c>
      <c r="AA614" s="6">
        <f>('TE BE'!$AB$26+'TE BF'!$AB$26+'TE CVA'!$AB$26)*(1-CUSTOS!$M$38)</f>
        <v>219.98233758978921</v>
      </c>
      <c r="AB614" s="6">
        <f>$K$614*$V$614</f>
        <v>0</v>
      </c>
      <c r="AC614" s="6">
        <f>$M$614*$W$614</f>
        <v>34529.809269999998</v>
      </c>
      <c r="AD614" s="6">
        <f>$O$614*$X$614</f>
        <v>23209.712550000004</v>
      </c>
      <c r="AE614" s="6">
        <f>$K$614*$Y$614</f>
        <v>0</v>
      </c>
      <c r="AF614" s="6">
        <f ca="1">$M$614*$Z$614</f>
        <v>46837.346734096376</v>
      </c>
      <c r="AG614" s="6">
        <f>$O$614*$AA$614</f>
        <v>22737.594395618202</v>
      </c>
    </row>
    <row r="615" spans="1:33" ht="11.25" customHeight="1" x14ac:dyDescent="0.3">
      <c r="A615" s="4" t="s">
        <v>21</v>
      </c>
      <c r="B615" s="4" t="s">
        <v>43</v>
      </c>
      <c r="C615" s="4" t="s">
        <v>23</v>
      </c>
      <c r="D615" s="4" t="s">
        <v>44</v>
      </c>
      <c r="E615" s="4" t="s">
        <v>53</v>
      </c>
      <c r="F615" s="4" t="s">
        <v>54</v>
      </c>
      <c r="G615" s="4" t="s">
        <v>25</v>
      </c>
      <c r="H615" s="4" t="s">
        <v>25</v>
      </c>
      <c r="I615" s="5">
        <v>44774</v>
      </c>
      <c r="J615" s="6">
        <v>0</v>
      </c>
      <c r="K615" s="6">
        <v>0</v>
      </c>
      <c r="L615" s="6">
        <v>103.392</v>
      </c>
      <c r="M615" s="6">
        <v>103.392</v>
      </c>
      <c r="N615" s="6">
        <v>103.392</v>
      </c>
      <c r="O615" s="6">
        <v>103.392</v>
      </c>
      <c r="P615" s="6">
        <v>0</v>
      </c>
      <c r="Q615" s="4" t="s">
        <v>26</v>
      </c>
      <c r="R615" s="4">
        <v>0</v>
      </c>
      <c r="S615" s="6">
        <v>0</v>
      </c>
      <c r="T615" s="6">
        <v>43</v>
      </c>
      <c r="U615" s="6">
        <v>84</v>
      </c>
      <c r="V615" s="6">
        <f>IF(ISERROR(VLOOKUP($S$615,'TAR FIN'!$A$1:$O$103,15,0)),0,VLOOKUP($S$615,'TAR FIN'!$A$1:$O$103,15,0))</f>
        <v>0</v>
      </c>
      <c r="W615" s="6">
        <f>IF(ISERROR(VLOOKUP($T$615,'TAR FIN'!$A$1:$O$103,15,0)),0,VLOOKUP($T$615,'TAR FIN'!$A$1:$O$103,15,0))</f>
        <v>334.07</v>
      </c>
      <c r="X615" s="6">
        <f>IF(ISERROR(VLOOKUP($U$615,'TAR FIN'!$A$1:$O$103,15,0)),0,VLOOKUP($U$615,'TAR FIN'!$A$1:$O$103,15,0))</f>
        <v>224.55</v>
      </c>
      <c r="Y615" s="6"/>
      <c r="Z615" s="6">
        <f ca="1">('TUSD BE'!$AM$45+'TUSD BF'!$AM$45+'TUSD CVA'!$AM$45)*(1-CUSTOS!$M$38)</f>
        <v>453.14332034419533</v>
      </c>
      <c r="AA615" s="6">
        <f>('TE BE'!$AB$26+'TE BF'!$AB$26+'TE CVA'!$AB$26)*(1-CUSTOS!$M$38)</f>
        <v>219.98233758978921</v>
      </c>
      <c r="AB615" s="6">
        <f>$K$615*$V$615</f>
        <v>0</v>
      </c>
      <c r="AC615" s="6">
        <f>$M$615*$W$615</f>
        <v>34540.165439999997</v>
      </c>
      <c r="AD615" s="6">
        <f>$O$615*$X$615</f>
        <v>23216.673600000002</v>
      </c>
      <c r="AE615" s="6">
        <f>$K$615*$Y$615</f>
        <v>0</v>
      </c>
      <c r="AF615" s="6">
        <f ca="1">$M$615*$Z$615</f>
        <v>46851.394177027039</v>
      </c>
      <c r="AG615" s="6">
        <f>$O$615*$AA$615</f>
        <v>22744.413848083484</v>
      </c>
    </row>
    <row r="616" spans="1:33" ht="11.25" customHeight="1" x14ac:dyDescent="0.3">
      <c r="A616" s="4" t="s">
        <v>28</v>
      </c>
      <c r="B616" s="4" t="s">
        <v>43</v>
      </c>
      <c r="C616" s="4" t="s">
        <v>23</v>
      </c>
      <c r="D616" s="4" t="s">
        <v>44</v>
      </c>
      <c r="E616" s="4" t="s">
        <v>53</v>
      </c>
      <c r="F616" s="4" t="s">
        <v>54</v>
      </c>
      <c r="G616" s="4" t="s">
        <v>25</v>
      </c>
      <c r="H616" s="4" t="s">
        <v>25</v>
      </c>
      <c r="I616" s="5">
        <v>44774</v>
      </c>
      <c r="J616" s="6">
        <v>0</v>
      </c>
      <c r="K616" s="6">
        <v>0</v>
      </c>
      <c r="L616" s="6">
        <v>27.16</v>
      </c>
      <c r="M616" s="6">
        <v>27.16</v>
      </c>
      <c r="N616" s="6">
        <v>27.16</v>
      </c>
      <c r="O616" s="6">
        <v>27.16</v>
      </c>
      <c r="P616" s="6">
        <v>0</v>
      </c>
      <c r="Q616" s="4" t="s">
        <v>26</v>
      </c>
      <c r="R616" s="4">
        <v>0</v>
      </c>
      <c r="S616" s="6">
        <v>0</v>
      </c>
      <c r="T616" s="6">
        <v>43</v>
      </c>
      <c r="U616" s="6">
        <v>84</v>
      </c>
      <c r="V616" s="6">
        <f>IF(ISERROR(VLOOKUP($S$616,'TAR FIN'!$A$1:$O$103,15,0)),0,VLOOKUP($S$616,'TAR FIN'!$A$1:$O$103,15,0))</f>
        <v>0</v>
      </c>
      <c r="W616" s="6">
        <f>IF(ISERROR(VLOOKUP($T$616,'TAR FIN'!$A$1:$O$103,15,0)),0,VLOOKUP($T$616,'TAR FIN'!$A$1:$O$103,15,0))</f>
        <v>334.07</v>
      </c>
      <c r="X616" s="6">
        <f>IF(ISERROR(VLOOKUP($U$616,'TAR FIN'!$A$1:$O$103,15,0)),0,VLOOKUP($U$616,'TAR FIN'!$A$1:$O$103,15,0))</f>
        <v>224.55</v>
      </c>
      <c r="Y616" s="6"/>
      <c r="Z616" s="6">
        <f ca="1">('TUSD BE'!$AM$45+'TUSD BF'!$AM$45+'TUSD CVA'!$AM$45)*(1-CUSTOS!$M$38)</f>
        <v>453.14332034419533</v>
      </c>
      <c r="AA616" s="6">
        <f>('TE BE'!$AB$26+'TE BF'!$AB$26+'TE CVA'!$AB$26)*(1-CUSTOS!$M$38)</f>
        <v>219.98233758978921</v>
      </c>
      <c r="AB616" s="6">
        <f>$K$616*$V$616</f>
        <v>0</v>
      </c>
      <c r="AC616" s="6">
        <f>$M$616*$W$616</f>
        <v>9073.3412000000008</v>
      </c>
      <c r="AD616" s="6">
        <f>$O$616*$X$616</f>
        <v>6098.7780000000002</v>
      </c>
      <c r="AE616" s="6">
        <f>$K$616*$Y$616</f>
        <v>0</v>
      </c>
      <c r="AF616" s="6">
        <f ca="1">$M$616*$Z$616</f>
        <v>12307.372580548345</v>
      </c>
      <c r="AG616" s="6">
        <f>$O$616*$AA$616</f>
        <v>5974.7202889386754</v>
      </c>
    </row>
    <row r="617" spans="1:33" ht="11.25" customHeight="1" x14ac:dyDescent="0.3">
      <c r="A617" s="4" t="s">
        <v>21</v>
      </c>
      <c r="B617" s="4" t="s">
        <v>43</v>
      </c>
      <c r="C617" s="4" t="s">
        <v>23</v>
      </c>
      <c r="D617" s="4" t="s">
        <v>44</v>
      </c>
      <c r="E617" s="4" t="s">
        <v>53</v>
      </c>
      <c r="F617" s="4" t="s">
        <v>54</v>
      </c>
      <c r="G617" s="4" t="s">
        <v>25</v>
      </c>
      <c r="H617" s="4" t="s">
        <v>25</v>
      </c>
      <c r="I617" s="5">
        <v>44805</v>
      </c>
      <c r="J617" s="6">
        <v>0</v>
      </c>
      <c r="K617" s="6">
        <v>0</v>
      </c>
      <c r="L617" s="6">
        <v>130.322</v>
      </c>
      <c r="M617" s="6">
        <v>130.322</v>
      </c>
      <c r="N617" s="6">
        <v>130.322</v>
      </c>
      <c r="O617" s="6">
        <v>130.322</v>
      </c>
      <c r="P617" s="6">
        <v>0</v>
      </c>
      <c r="Q617" s="4" t="s">
        <v>26</v>
      </c>
      <c r="R617" s="4">
        <v>0</v>
      </c>
      <c r="S617" s="6">
        <v>0</v>
      </c>
      <c r="T617" s="6">
        <v>43</v>
      </c>
      <c r="U617" s="6">
        <v>84</v>
      </c>
      <c r="V617" s="6">
        <f>IF(ISERROR(VLOOKUP($S$617,'TAR FIN'!$A$1:$O$103,15,0)),0,VLOOKUP($S$617,'TAR FIN'!$A$1:$O$103,15,0))</f>
        <v>0</v>
      </c>
      <c r="W617" s="6">
        <f>IF(ISERROR(VLOOKUP($T$617,'TAR FIN'!$A$1:$O$103,15,0)),0,VLOOKUP($T$617,'TAR FIN'!$A$1:$O$103,15,0))</f>
        <v>334.07</v>
      </c>
      <c r="X617" s="6">
        <f>IF(ISERROR(VLOOKUP($U$617,'TAR FIN'!$A$1:$O$103,15,0)),0,VLOOKUP($U$617,'TAR FIN'!$A$1:$O$103,15,0))</f>
        <v>224.55</v>
      </c>
      <c r="Y617" s="6"/>
      <c r="Z617" s="6">
        <f ca="1">('TUSD BE'!$AM$45+'TUSD BF'!$AM$45+'TUSD CVA'!$AM$45)*(1-CUSTOS!$M$38)</f>
        <v>453.14332034419533</v>
      </c>
      <c r="AA617" s="6">
        <f>('TE BE'!$AB$26+'TE BF'!$AB$26+'TE CVA'!$AB$26)*(1-CUSTOS!$M$38)</f>
        <v>219.98233758978921</v>
      </c>
      <c r="AB617" s="6">
        <f>$K$617*$V$617</f>
        <v>0</v>
      </c>
      <c r="AC617" s="6">
        <f>$M$617*$W$617</f>
        <v>43536.670539999999</v>
      </c>
      <c r="AD617" s="6">
        <f>$O$617*$X$617</f>
        <v>29263.805100000001</v>
      </c>
      <c r="AE617" s="6">
        <f>$K$617*$Y$617</f>
        <v>0</v>
      </c>
      <c r="AF617" s="6">
        <f ca="1">$M$617*$Z$617</f>
        <v>59054.543793896228</v>
      </c>
      <c r="AG617" s="6">
        <f>$O$617*$AA$617</f>
        <v>28668.538199376511</v>
      </c>
    </row>
    <row r="618" spans="1:33" ht="11.25" customHeight="1" x14ac:dyDescent="0.3">
      <c r="A618" s="4" t="s">
        <v>28</v>
      </c>
      <c r="B618" s="4" t="s">
        <v>43</v>
      </c>
      <c r="C618" s="4" t="s">
        <v>23</v>
      </c>
      <c r="D618" s="4" t="s">
        <v>44</v>
      </c>
      <c r="E618" s="4" t="s">
        <v>53</v>
      </c>
      <c r="F618" s="4" t="s">
        <v>54</v>
      </c>
      <c r="G618" s="4" t="s">
        <v>25</v>
      </c>
      <c r="H618" s="4" t="s">
        <v>25</v>
      </c>
      <c r="I618" s="5">
        <v>44805</v>
      </c>
      <c r="J618" s="6">
        <v>0</v>
      </c>
      <c r="K618" s="6">
        <v>0</v>
      </c>
      <c r="L618" s="6">
        <v>7.8</v>
      </c>
      <c r="M618" s="6">
        <v>7.8</v>
      </c>
      <c r="N618" s="6">
        <v>7.8</v>
      </c>
      <c r="O618" s="6">
        <v>7.8</v>
      </c>
      <c r="P618" s="6">
        <v>0</v>
      </c>
      <c r="Q618" s="4" t="s">
        <v>26</v>
      </c>
      <c r="R618" s="4">
        <v>0</v>
      </c>
      <c r="S618" s="6">
        <v>0</v>
      </c>
      <c r="T618" s="6">
        <v>43</v>
      </c>
      <c r="U618" s="6">
        <v>84</v>
      </c>
      <c r="V618" s="6">
        <f>IF(ISERROR(VLOOKUP($S$618,'TAR FIN'!$A$1:$O$103,15,0)),0,VLOOKUP($S$618,'TAR FIN'!$A$1:$O$103,15,0))</f>
        <v>0</v>
      </c>
      <c r="W618" s="6">
        <f>IF(ISERROR(VLOOKUP($T$618,'TAR FIN'!$A$1:$O$103,15,0)),0,VLOOKUP($T$618,'TAR FIN'!$A$1:$O$103,15,0))</f>
        <v>334.07</v>
      </c>
      <c r="X618" s="6">
        <f>IF(ISERROR(VLOOKUP($U$618,'TAR FIN'!$A$1:$O$103,15,0)),0,VLOOKUP($U$618,'TAR FIN'!$A$1:$O$103,15,0))</f>
        <v>224.55</v>
      </c>
      <c r="Y618" s="6"/>
      <c r="Z618" s="6">
        <f ca="1">('TUSD BE'!$AM$45+'TUSD BF'!$AM$45+'TUSD CVA'!$AM$45)*(1-CUSTOS!$M$38)</f>
        <v>453.14332034419533</v>
      </c>
      <c r="AA618" s="6">
        <f>('TE BE'!$AB$26+'TE BF'!$AB$26+'TE CVA'!$AB$26)*(1-CUSTOS!$M$38)</f>
        <v>219.98233758978921</v>
      </c>
      <c r="AB618" s="6">
        <f>$K$618*$V$618</f>
        <v>0</v>
      </c>
      <c r="AC618" s="6">
        <f>$M$618*$W$618</f>
        <v>2605.7460000000001</v>
      </c>
      <c r="AD618" s="6">
        <f>$O$618*$X$618</f>
        <v>1751.49</v>
      </c>
      <c r="AE618" s="6">
        <f>$K$618*$Y$618</f>
        <v>0</v>
      </c>
      <c r="AF618" s="6">
        <f ca="1">$M$618*$Z$618</f>
        <v>3534.5178986847236</v>
      </c>
      <c r="AG618" s="6">
        <f>$O$618*$AA$618</f>
        <v>1715.8622332003558</v>
      </c>
    </row>
    <row r="619" spans="1:33" ht="11.25" customHeight="1" x14ac:dyDescent="0.3">
      <c r="A619" s="4" t="s">
        <v>57</v>
      </c>
      <c r="B619" s="4" t="s">
        <v>43</v>
      </c>
      <c r="C619" s="4" t="s">
        <v>23</v>
      </c>
      <c r="D619" s="4" t="s">
        <v>44</v>
      </c>
      <c r="E619" s="4" t="s">
        <v>53</v>
      </c>
      <c r="F619" s="4" t="s">
        <v>54</v>
      </c>
      <c r="G619" s="4" t="s">
        <v>25</v>
      </c>
      <c r="H619" s="4" t="s">
        <v>25</v>
      </c>
      <c r="I619" s="5">
        <v>44835</v>
      </c>
      <c r="J619" s="6">
        <v>0</v>
      </c>
      <c r="K619" s="6">
        <v>0</v>
      </c>
      <c r="L619" s="6">
        <v>130.322</v>
      </c>
      <c r="M619" s="6">
        <v>130.322</v>
      </c>
      <c r="N619" s="6">
        <v>130.322</v>
      </c>
      <c r="O619" s="6">
        <v>130.322</v>
      </c>
      <c r="P619" s="6">
        <v>0</v>
      </c>
      <c r="Q619" s="4" t="s">
        <v>26</v>
      </c>
      <c r="R619" s="4">
        <v>0</v>
      </c>
      <c r="S619" s="6">
        <v>0</v>
      </c>
      <c r="T619" s="6">
        <v>43</v>
      </c>
      <c r="U619" s="6">
        <v>84</v>
      </c>
      <c r="V619" s="6">
        <f>IF(ISERROR(VLOOKUP($S$619,'TAR FIN'!$A$1:$O$103,15,0)),0,VLOOKUP($S$619,'TAR FIN'!$A$1:$O$103,15,0))</f>
        <v>0</v>
      </c>
      <c r="W619" s="6">
        <f>IF(ISERROR(VLOOKUP($T$619,'TAR FIN'!$A$1:$O$103,15,0)),0,VLOOKUP($T$619,'TAR FIN'!$A$1:$O$103,15,0))</f>
        <v>334.07</v>
      </c>
      <c r="X619" s="6">
        <f>IF(ISERROR(VLOOKUP($U$619,'TAR FIN'!$A$1:$O$103,15,0)),0,VLOOKUP($U$619,'TAR FIN'!$A$1:$O$103,15,0))</f>
        <v>224.55</v>
      </c>
      <c r="Y619" s="6"/>
      <c r="Z619" s="6">
        <f ca="1">('TUSD BE'!$AM$45+'TUSD BF'!$AM$45+'TUSD CVA'!$AM$45)*(1-CUSTOS!$M$38)</f>
        <v>453.14332034419533</v>
      </c>
      <c r="AA619" s="6">
        <f>('TE BE'!$AB$26+'TE BF'!$AB$26+'TE CVA'!$AB$26)*(1-CUSTOS!$M$38)</f>
        <v>219.98233758978921</v>
      </c>
      <c r="AB619" s="6">
        <f>$K$619*$V$619</f>
        <v>0</v>
      </c>
      <c r="AC619" s="6">
        <f>$M$619*$W$619</f>
        <v>43536.670539999999</v>
      </c>
      <c r="AD619" s="6">
        <f>$O$619*$X$619</f>
        <v>29263.805100000001</v>
      </c>
      <c r="AE619" s="6">
        <f>$K$619*$Y$619</f>
        <v>0</v>
      </c>
      <c r="AF619" s="6">
        <f ca="1">$M$619*$Z$619</f>
        <v>59054.543793896228</v>
      </c>
      <c r="AG619" s="6">
        <f>$O$619*$AA$619</f>
        <v>28668.538199376511</v>
      </c>
    </row>
    <row r="620" spans="1:33" ht="11.25" customHeight="1" x14ac:dyDescent="0.3">
      <c r="A620" s="4" t="s">
        <v>57</v>
      </c>
      <c r="B620" s="4" t="s">
        <v>43</v>
      </c>
      <c r="C620" s="4" t="s">
        <v>23</v>
      </c>
      <c r="D620" s="4" t="s">
        <v>44</v>
      </c>
      <c r="E620" s="4" t="s">
        <v>53</v>
      </c>
      <c r="F620" s="4" t="s">
        <v>54</v>
      </c>
      <c r="G620" s="4" t="s">
        <v>25</v>
      </c>
      <c r="H620" s="4" t="s">
        <v>25</v>
      </c>
      <c r="I620" s="5">
        <v>44835</v>
      </c>
      <c r="J620" s="6">
        <v>0</v>
      </c>
      <c r="K620" s="6">
        <v>0</v>
      </c>
      <c r="L620" s="6">
        <v>7.8</v>
      </c>
      <c r="M620" s="6">
        <v>7.8</v>
      </c>
      <c r="N620" s="6">
        <v>7.8</v>
      </c>
      <c r="O620" s="6">
        <v>7.8</v>
      </c>
      <c r="P620" s="6">
        <v>0</v>
      </c>
      <c r="Q620" s="4" t="s">
        <v>26</v>
      </c>
      <c r="R620" s="4">
        <v>0</v>
      </c>
      <c r="S620" s="6">
        <v>0</v>
      </c>
      <c r="T620" s="6">
        <v>43</v>
      </c>
      <c r="U620" s="6">
        <v>84</v>
      </c>
      <c r="V620" s="6">
        <f>IF(ISERROR(VLOOKUP($S$620,'TAR FIN'!$A$1:$O$103,15,0)),0,VLOOKUP($S$620,'TAR FIN'!$A$1:$O$103,15,0))</f>
        <v>0</v>
      </c>
      <c r="W620" s="6">
        <f>IF(ISERROR(VLOOKUP($T$620,'TAR FIN'!$A$1:$O$103,15,0)),0,VLOOKUP($T$620,'TAR FIN'!$A$1:$O$103,15,0))</f>
        <v>334.07</v>
      </c>
      <c r="X620" s="6">
        <f>IF(ISERROR(VLOOKUP($U$620,'TAR FIN'!$A$1:$O$103,15,0)),0,VLOOKUP($U$620,'TAR FIN'!$A$1:$O$103,15,0))</f>
        <v>224.55</v>
      </c>
      <c r="Y620" s="6"/>
      <c r="Z620" s="6">
        <f ca="1">('TUSD BE'!$AM$45+'TUSD BF'!$AM$45+'TUSD CVA'!$AM$45)*(1-CUSTOS!$M$38)</f>
        <v>453.14332034419533</v>
      </c>
      <c r="AA620" s="6">
        <f>('TE BE'!$AB$26+'TE BF'!$AB$26+'TE CVA'!$AB$26)*(1-CUSTOS!$M$38)</f>
        <v>219.98233758978921</v>
      </c>
      <c r="AB620" s="6">
        <f>$K$620*$V$620</f>
        <v>0</v>
      </c>
      <c r="AC620" s="6">
        <f>$M$620*$W$620</f>
        <v>2605.7460000000001</v>
      </c>
      <c r="AD620" s="6">
        <f>$O$620*$X$620</f>
        <v>1751.49</v>
      </c>
      <c r="AE620" s="6">
        <f>$K$620*$Y$620</f>
        <v>0</v>
      </c>
      <c r="AF620" s="6">
        <f ca="1">$M$620*$Z$620</f>
        <v>3534.5178986847236</v>
      </c>
      <c r="AG620" s="6">
        <f>$O$620*$AA$620</f>
        <v>1715.8622332003558</v>
      </c>
    </row>
    <row r="621" spans="1:33" ht="11.25" customHeight="1" x14ac:dyDescent="0.3">
      <c r="A621" s="4" t="s">
        <v>21</v>
      </c>
      <c r="B621" s="4" t="s">
        <v>43</v>
      </c>
      <c r="C621" s="4" t="s">
        <v>23</v>
      </c>
      <c r="D621" s="4" t="s">
        <v>44</v>
      </c>
      <c r="E621" s="4" t="s">
        <v>53</v>
      </c>
      <c r="F621" s="4" t="s">
        <v>55</v>
      </c>
      <c r="G621" s="4" t="s">
        <v>25</v>
      </c>
      <c r="H621" s="4" t="s">
        <v>25</v>
      </c>
      <c r="I621" s="5">
        <v>44501</v>
      </c>
      <c r="J621" s="6">
        <v>0</v>
      </c>
      <c r="K621" s="6">
        <v>0</v>
      </c>
      <c r="L621" s="6">
        <v>17.97</v>
      </c>
      <c r="M621" s="6">
        <v>5.9301000000000004</v>
      </c>
      <c r="N621" s="6">
        <v>17.97</v>
      </c>
      <c r="O621" s="6">
        <v>5.9301000000000004</v>
      </c>
      <c r="P621" s="6">
        <v>0</v>
      </c>
      <c r="Q621" s="4" t="s">
        <v>26</v>
      </c>
      <c r="R621" s="4">
        <v>0</v>
      </c>
      <c r="S621" s="6">
        <v>0</v>
      </c>
      <c r="T621" s="6">
        <v>43</v>
      </c>
      <c r="U621" s="6">
        <v>84</v>
      </c>
      <c r="V621" s="6">
        <f>IF(ISERROR(VLOOKUP($S$621,'TAR FIN'!$A$1:$O$103,15,0)),0,VLOOKUP($S$621,'TAR FIN'!$A$1:$O$103,15,0))</f>
        <v>0</v>
      </c>
      <c r="W621" s="6">
        <f>IF(ISERROR(VLOOKUP($T$621,'TAR FIN'!$A$1:$O$103,15,0)),0,VLOOKUP($T$621,'TAR FIN'!$A$1:$O$103,15,0))</f>
        <v>334.07</v>
      </c>
      <c r="X621" s="6">
        <f>IF(ISERROR(VLOOKUP($U$621,'TAR FIN'!$A$1:$O$103,15,0)),0,VLOOKUP($U$621,'TAR FIN'!$A$1:$O$103,15,0))</f>
        <v>224.55</v>
      </c>
      <c r="Y621" s="6"/>
      <c r="Z621" s="6">
        <f ca="1">('TUSD BE'!$AM$45+'TUSD BF'!$AM$45+'TUSD CVA'!$AM$45)*(1-CUSTOS!$M$38)</f>
        <v>453.14332034419533</v>
      </c>
      <c r="AA621" s="6">
        <f>('TE BE'!$AB$26+'TE BF'!$AB$26+'TE CVA'!$AB$26)*(1-CUSTOS!$M$38)</f>
        <v>219.98233758978921</v>
      </c>
      <c r="AB621" s="6">
        <f>$K$621*$V$621</f>
        <v>0</v>
      </c>
      <c r="AC621" s="6">
        <f>$M$621*$W$621</f>
        <v>1981.0685070000002</v>
      </c>
      <c r="AD621" s="6">
        <f>$O$621*$X$621</f>
        <v>1331.603955</v>
      </c>
      <c r="AE621" s="6">
        <f>$K$621*$Y$621</f>
        <v>0</v>
      </c>
      <c r="AF621" s="6">
        <f ca="1">$M$621*$Z$621</f>
        <v>2687.1852039731129</v>
      </c>
      <c r="AG621" s="6">
        <f>$O$621*$AA$621</f>
        <v>1304.5172601412091</v>
      </c>
    </row>
    <row r="622" spans="1:33" ht="11.25" customHeight="1" x14ac:dyDescent="0.3">
      <c r="A622" s="4" t="s">
        <v>21</v>
      </c>
      <c r="B622" s="4" t="s">
        <v>43</v>
      </c>
      <c r="C622" s="4" t="s">
        <v>23</v>
      </c>
      <c r="D622" s="4" t="s">
        <v>44</v>
      </c>
      <c r="E622" s="4" t="s">
        <v>53</v>
      </c>
      <c r="F622" s="4" t="s">
        <v>55</v>
      </c>
      <c r="G622" s="4" t="s">
        <v>25</v>
      </c>
      <c r="H622" s="4" t="s">
        <v>25</v>
      </c>
      <c r="I622" s="5">
        <v>44531</v>
      </c>
      <c r="J622" s="6">
        <v>0</v>
      </c>
      <c r="K622" s="6">
        <v>0</v>
      </c>
      <c r="L622" s="6">
        <v>6.3819999999999997</v>
      </c>
      <c r="M622" s="6">
        <v>2.1060599999999998</v>
      </c>
      <c r="N622" s="6">
        <v>6.3819999999999997</v>
      </c>
      <c r="O622" s="6">
        <v>2.1060599999999998</v>
      </c>
      <c r="P622" s="6">
        <v>0</v>
      </c>
      <c r="Q622" s="4" t="s">
        <v>26</v>
      </c>
      <c r="R622" s="4">
        <v>0</v>
      </c>
      <c r="S622" s="6">
        <v>0</v>
      </c>
      <c r="T622" s="6">
        <v>43</v>
      </c>
      <c r="U622" s="6">
        <v>84</v>
      </c>
      <c r="V622" s="6">
        <f>IF(ISERROR(VLOOKUP($S$622,'TAR FIN'!$A$1:$O$103,15,0)),0,VLOOKUP($S$622,'TAR FIN'!$A$1:$O$103,15,0))</f>
        <v>0</v>
      </c>
      <c r="W622" s="6">
        <f>IF(ISERROR(VLOOKUP($T$622,'TAR FIN'!$A$1:$O$103,15,0)),0,VLOOKUP($T$622,'TAR FIN'!$A$1:$O$103,15,0))</f>
        <v>334.07</v>
      </c>
      <c r="X622" s="6">
        <f>IF(ISERROR(VLOOKUP($U$622,'TAR FIN'!$A$1:$O$103,15,0)),0,VLOOKUP($U$622,'TAR FIN'!$A$1:$O$103,15,0))</f>
        <v>224.55</v>
      </c>
      <c r="Y622" s="6"/>
      <c r="Z622" s="6">
        <f ca="1">('TUSD BE'!$AM$45+'TUSD BF'!$AM$45+'TUSD CVA'!$AM$45)*(1-CUSTOS!$M$38)</f>
        <v>453.14332034419533</v>
      </c>
      <c r="AA622" s="6">
        <f>('TE BE'!$AB$26+'TE BF'!$AB$26+'TE CVA'!$AB$26)*(1-CUSTOS!$M$38)</f>
        <v>219.98233758978921</v>
      </c>
      <c r="AB622" s="6">
        <f>$K$622*$V$622</f>
        <v>0</v>
      </c>
      <c r="AC622" s="6">
        <f>$M$622*$W$622</f>
        <v>703.57146419999992</v>
      </c>
      <c r="AD622" s="6">
        <f>$O$622*$X$622</f>
        <v>472.915773</v>
      </c>
      <c r="AE622" s="6">
        <f>$K$622*$Y$622</f>
        <v>0</v>
      </c>
      <c r="AF622" s="6">
        <f ca="1">$M$622*$Z$622</f>
        <v>954.34702124409591</v>
      </c>
      <c r="AG622" s="6">
        <f>$O$622*$AA$622</f>
        <v>463.29600190435144</v>
      </c>
    </row>
    <row r="623" spans="1:33" ht="11.25" customHeight="1" x14ac:dyDescent="0.3">
      <c r="A623" s="4" t="s">
        <v>21</v>
      </c>
      <c r="B623" s="4" t="s">
        <v>43</v>
      </c>
      <c r="C623" s="4" t="s">
        <v>23</v>
      </c>
      <c r="D623" s="4" t="s">
        <v>44</v>
      </c>
      <c r="E623" s="4" t="s">
        <v>53</v>
      </c>
      <c r="F623" s="4" t="s">
        <v>55</v>
      </c>
      <c r="G623" s="4" t="s">
        <v>25</v>
      </c>
      <c r="H623" s="4" t="s">
        <v>25</v>
      </c>
      <c r="I623" s="5">
        <v>44562</v>
      </c>
      <c r="J623" s="6">
        <v>0</v>
      </c>
      <c r="K623" s="6">
        <v>0</v>
      </c>
      <c r="L623" s="6">
        <v>0.55400000000000005</v>
      </c>
      <c r="M623" s="6">
        <v>0.18282000000000001</v>
      </c>
      <c r="N623" s="6">
        <v>0.55400000000000005</v>
      </c>
      <c r="O623" s="6">
        <v>0.18282000000000001</v>
      </c>
      <c r="P623" s="6">
        <v>0</v>
      </c>
      <c r="Q623" s="4" t="s">
        <v>26</v>
      </c>
      <c r="R623" s="4">
        <v>0</v>
      </c>
      <c r="S623" s="6">
        <v>0</v>
      </c>
      <c r="T623" s="6">
        <v>43</v>
      </c>
      <c r="U623" s="6">
        <v>84</v>
      </c>
      <c r="V623" s="6">
        <f>IF(ISERROR(VLOOKUP($S$623,'TAR FIN'!$A$1:$O$103,15,0)),0,VLOOKUP($S$623,'TAR FIN'!$A$1:$O$103,15,0))</f>
        <v>0</v>
      </c>
      <c r="W623" s="6">
        <f>IF(ISERROR(VLOOKUP($T$623,'TAR FIN'!$A$1:$O$103,15,0)),0,VLOOKUP($T$623,'TAR FIN'!$A$1:$O$103,15,0))</f>
        <v>334.07</v>
      </c>
      <c r="X623" s="6">
        <f>IF(ISERROR(VLOOKUP($U$623,'TAR FIN'!$A$1:$O$103,15,0)),0,VLOOKUP($U$623,'TAR FIN'!$A$1:$O$103,15,0))</f>
        <v>224.55</v>
      </c>
      <c r="Y623" s="6"/>
      <c r="Z623" s="6">
        <f ca="1">('TUSD BE'!$AM$45+'TUSD BF'!$AM$45+'TUSD CVA'!$AM$45)*(1-CUSTOS!$M$38)</f>
        <v>453.14332034419533</v>
      </c>
      <c r="AA623" s="6">
        <f>('TE BE'!$AB$26+'TE BF'!$AB$26+'TE CVA'!$AB$26)*(1-CUSTOS!$M$38)</f>
        <v>219.98233758978921</v>
      </c>
      <c r="AB623" s="6">
        <f>$K$623*$V$623</f>
        <v>0</v>
      </c>
      <c r="AC623" s="6">
        <f>$M$623*$W$623</f>
        <v>61.074677399999999</v>
      </c>
      <c r="AD623" s="6">
        <f>$O$623*$X$623</f>
        <v>41.052231000000006</v>
      </c>
      <c r="AE623" s="6">
        <f>$K$623*$Y$623</f>
        <v>0</v>
      </c>
      <c r="AF623" s="6">
        <f ca="1">$M$623*$Z$623</f>
        <v>82.843661825325796</v>
      </c>
      <c r="AG623" s="6">
        <f>$O$623*$AA$623</f>
        <v>40.217170958165269</v>
      </c>
    </row>
    <row r="624" spans="1:33" ht="11.25" customHeight="1" x14ac:dyDescent="0.3">
      <c r="A624" s="4" t="s">
        <v>21</v>
      </c>
      <c r="B624" s="4" t="s">
        <v>43</v>
      </c>
      <c r="C624" s="4" t="s">
        <v>23</v>
      </c>
      <c r="D624" s="4" t="s">
        <v>44</v>
      </c>
      <c r="E624" s="4" t="s">
        <v>53</v>
      </c>
      <c r="F624" s="4" t="s">
        <v>55</v>
      </c>
      <c r="G624" s="4" t="s">
        <v>25</v>
      </c>
      <c r="H624" s="4" t="s">
        <v>25</v>
      </c>
      <c r="I624" s="5">
        <v>44593</v>
      </c>
      <c r="J624" s="6">
        <v>0</v>
      </c>
      <c r="K624" s="6">
        <v>0</v>
      </c>
      <c r="L624" s="6">
        <v>5.9119999999999999</v>
      </c>
      <c r="M624" s="6">
        <v>1.95096</v>
      </c>
      <c r="N624" s="6">
        <v>5.9119999999999999</v>
      </c>
      <c r="O624" s="6">
        <v>1.95096</v>
      </c>
      <c r="P624" s="6">
        <v>0</v>
      </c>
      <c r="Q624" s="4" t="s">
        <v>26</v>
      </c>
      <c r="R624" s="4">
        <v>0</v>
      </c>
      <c r="S624" s="6">
        <v>0</v>
      </c>
      <c r="T624" s="6">
        <v>43</v>
      </c>
      <c r="U624" s="6">
        <v>84</v>
      </c>
      <c r="V624" s="6">
        <f>IF(ISERROR(VLOOKUP($S$624,'TAR FIN'!$A$1:$O$103,15,0)),0,VLOOKUP($S$624,'TAR FIN'!$A$1:$O$103,15,0))</f>
        <v>0</v>
      </c>
      <c r="W624" s="6">
        <f>IF(ISERROR(VLOOKUP($T$624,'TAR FIN'!$A$1:$O$103,15,0)),0,VLOOKUP($T$624,'TAR FIN'!$A$1:$O$103,15,0))</f>
        <v>334.07</v>
      </c>
      <c r="X624" s="6">
        <f>IF(ISERROR(VLOOKUP($U$624,'TAR FIN'!$A$1:$O$103,15,0)),0,VLOOKUP($U$624,'TAR FIN'!$A$1:$O$103,15,0))</f>
        <v>224.55</v>
      </c>
      <c r="Y624" s="6"/>
      <c r="Z624" s="6">
        <f ca="1">('TUSD BE'!$AM$45+'TUSD BF'!$AM$45+'TUSD CVA'!$AM$45)*(1-CUSTOS!$M$38)</f>
        <v>453.14332034419533</v>
      </c>
      <c r="AA624" s="6">
        <f>('TE BE'!$AB$26+'TE BF'!$AB$26+'TE CVA'!$AB$26)*(1-CUSTOS!$M$38)</f>
        <v>219.98233758978921</v>
      </c>
      <c r="AB624" s="6">
        <f>$K$624*$V$624</f>
        <v>0</v>
      </c>
      <c r="AC624" s="6">
        <f>$M$624*$W$624</f>
        <v>651.75720720000004</v>
      </c>
      <c r="AD624" s="6">
        <f>$O$624*$X$624</f>
        <v>438.08806800000002</v>
      </c>
      <c r="AE624" s="6">
        <f>$K$624*$Y$624</f>
        <v>0</v>
      </c>
      <c r="AF624" s="6">
        <f ca="1">$M$624*$Z$624</f>
        <v>884.06449225871131</v>
      </c>
      <c r="AG624" s="6">
        <f>$O$624*$AA$624</f>
        <v>429.17674134417518</v>
      </c>
    </row>
    <row r="625" spans="1:33" ht="11.25" customHeight="1" x14ac:dyDescent="0.3">
      <c r="A625" s="4" t="s">
        <v>21</v>
      </c>
      <c r="B625" s="4" t="s">
        <v>43</v>
      </c>
      <c r="C625" s="4" t="s">
        <v>23</v>
      </c>
      <c r="D625" s="4" t="s">
        <v>44</v>
      </c>
      <c r="E625" s="4" t="s">
        <v>53</v>
      </c>
      <c r="F625" s="4" t="s">
        <v>55</v>
      </c>
      <c r="G625" s="4" t="s">
        <v>25</v>
      </c>
      <c r="H625" s="4" t="s">
        <v>25</v>
      </c>
      <c r="I625" s="5">
        <v>44621</v>
      </c>
      <c r="J625" s="6">
        <v>0</v>
      </c>
      <c r="K625" s="6">
        <v>0</v>
      </c>
      <c r="L625" s="6">
        <v>11.507999999999999</v>
      </c>
      <c r="M625" s="6">
        <v>3.7976399999999999</v>
      </c>
      <c r="N625" s="6">
        <v>11.507999999999999</v>
      </c>
      <c r="O625" s="6">
        <v>3.7976399999999999</v>
      </c>
      <c r="P625" s="6">
        <v>0</v>
      </c>
      <c r="Q625" s="4" t="s">
        <v>26</v>
      </c>
      <c r="R625" s="4">
        <v>0</v>
      </c>
      <c r="S625" s="6">
        <v>0</v>
      </c>
      <c r="T625" s="6">
        <v>43</v>
      </c>
      <c r="U625" s="6">
        <v>84</v>
      </c>
      <c r="V625" s="6">
        <f>IF(ISERROR(VLOOKUP($S$625,'TAR FIN'!$A$1:$O$103,15,0)),0,VLOOKUP($S$625,'TAR FIN'!$A$1:$O$103,15,0))</f>
        <v>0</v>
      </c>
      <c r="W625" s="6">
        <f>IF(ISERROR(VLOOKUP($T$625,'TAR FIN'!$A$1:$O$103,15,0)),0,VLOOKUP($T$625,'TAR FIN'!$A$1:$O$103,15,0))</f>
        <v>334.07</v>
      </c>
      <c r="X625" s="6">
        <f>IF(ISERROR(VLOOKUP($U$625,'TAR FIN'!$A$1:$O$103,15,0)),0,VLOOKUP($U$625,'TAR FIN'!$A$1:$O$103,15,0))</f>
        <v>224.55</v>
      </c>
      <c r="Y625" s="6"/>
      <c r="Z625" s="6">
        <f ca="1">('TUSD BE'!$AM$45+'TUSD BF'!$AM$45+'TUSD CVA'!$AM$45)*(1-CUSTOS!$M$38)</f>
        <v>453.14332034419533</v>
      </c>
      <c r="AA625" s="6">
        <f>('TE BE'!$AB$26+'TE BF'!$AB$26+'TE CVA'!$AB$26)*(1-CUSTOS!$M$38)</f>
        <v>219.98233758978921</v>
      </c>
      <c r="AB625" s="6">
        <f>$K$625*$V$625</f>
        <v>0</v>
      </c>
      <c r="AC625" s="6">
        <f>$M$625*$W$625</f>
        <v>1268.6775948</v>
      </c>
      <c r="AD625" s="6">
        <f>$O$625*$X$625</f>
        <v>852.76006200000006</v>
      </c>
      <c r="AE625" s="6">
        <f>$K$625*$Y$625</f>
        <v>0</v>
      </c>
      <c r="AF625" s="6">
        <f ca="1">$M$625*$Z$625</f>
        <v>1720.87519907193</v>
      </c>
      <c r="AG625" s="6">
        <f>$O$625*$AA$625</f>
        <v>835.41372452448707</v>
      </c>
    </row>
    <row r="626" spans="1:33" ht="11.25" customHeight="1" x14ac:dyDescent="0.3">
      <c r="A626" s="4" t="s">
        <v>21</v>
      </c>
      <c r="B626" s="4" t="s">
        <v>43</v>
      </c>
      <c r="C626" s="4" t="s">
        <v>23</v>
      </c>
      <c r="D626" s="4" t="s">
        <v>44</v>
      </c>
      <c r="E626" s="4" t="s">
        <v>53</v>
      </c>
      <c r="F626" s="4" t="s">
        <v>55</v>
      </c>
      <c r="G626" s="4" t="s">
        <v>25</v>
      </c>
      <c r="H626" s="4" t="s">
        <v>25</v>
      </c>
      <c r="I626" s="5">
        <v>44652</v>
      </c>
      <c r="J626" s="6">
        <v>0</v>
      </c>
      <c r="K626" s="6">
        <v>0</v>
      </c>
      <c r="L626" s="6">
        <v>83.4</v>
      </c>
      <c r="M626" s="6">
        <v>27.521999999999998</v>
      </c>
      <c r="N626" s="6">
        <v>83.4</v>
      </c>
      <c r="O626" s="6">
        <v>27.521999999999998</v>
      </c>
      <c r="P626" s="6">
        <v>0</v>
      </c>
      <c r="Q626" s="4" t="s">
        <v>26</v>
      </c>
      <c r="R626" s="4">
        <v>0</v>
      </c>
      <c r="S626" s="6">
        <v>0</v>
      </c>
      <c r="T626" s="6">
        <v>43</v>
      </c>
      <c r="U626" s="6">
        <v>84</v>
      </c>
      <c r="V626" s="6">
        <f>IF(ISERROR(VLOOKUP($S$626,'TAR FIN'!$A$1:$O$103,15,0)),0,VLOOKUP($S$626,'TAR FIN'!$A$1:$O$103,15,0))</f>
        <v>0</v>
      </c>
      <c r="W626" s="6">
        <f>IF(ISERROR(VLOOKUP($T$626,'TAR FIN'!$A$1:$O$103,15,0)),0,VLOOKUP($T$626,'TAR FIN'!$A$1:$O$103,15,0))</f>
        <v>334.07</v>
      </c>
      <c r="X626" s="6">
        <f>IF(ISERROR(VLOOKUP($U$626,'TAR FIN'!$A$1:$O$103,15,0)),0,VLOOKUP($U$626,'TAR FIN'!$A$1:$O$103,15,0))</f>
        <v>224.55</v>
      </c>
      <c r="Y626" s="6"/>
      <c r="Z626" s="6">
        <f ca="1">('TUSD BE'!$AM$45+'TUSD BF'!$AM$45+'TUSD CVA'!$AM$45)*(1-CUSTOS!$M$38)</f>
        <v>453.14332034419533</v>
      </c>
      <c r="AA626" s="6">
        <f>('TE BE'!$AB$26+'TE BF'!$AB$26+'TE CVA'!$AB$26)*(1-CUSTOS!$M$38)</f>
        <v>219.98233758978921</v>
      </c>
      <c r="AB626" s="6">
        <f>$K$626*$V$626</f>
        <v>0</v>
      </c>
      <c r="AC626" s="6">
        <f>$M$626*$W$626</f>
        <v>9194.2745399999985</v>
      </c>
      <c r="AD626" s="6">
        <f>$O$626*$X$626</f>
        <v>6180.0650999999998</v>
      </c>
      <c r="AE626" s="6">
        <f>$K$626*$Y$626</f>
        <v>0</v>
      </c>
      <c r="AF626" s="6">
        <f ca="1">$M$626*$Z$626</f>
        <v>12471.410462512944</v>
      </c>
      <c r="AG626" s="6">
        <f>$O$626*$AA$626</f>
        <v>6054.3538951461787</v>
      </c>
    </row>
    <row r="627" spans="1:33" ht="11.25" customHeight="1" x14ac:dyDescent="0.3">
      <c r="A627" s="4" t="s">
        <v>21</v>
      </c>
      <c r="B627" s="4" t="s">
        <v>43</v>
      </c>
      <c r="C627" s="4" t="s">
        <v>23</v>
      </c>
      <c r="D627" s="4" t="s">
        <v>44</v>
      </c>
      <c r="E627" s="4" t="s">
        <v>53</v>
      </c>
      <c r="F627" s="4" t="s">
        <v>55</v>
      </c>
      <c r="G627" s="4" t="s">
        <v>25</v>
      </c>
      <c r="H627" s="4" t="s">
        <v>25</v>
      </c>
      <c r="I627" s="5">
        <v>44682</v>
      </c>
      <c r="J627" s="6">
        <v>0</v>
      </c>
      <c r="K627" s="6">
        <v>0</v>
      </c>
      <c r="L627" s="6">
        <v>105.05800000000001</v>
      </c>
      <c r="M627" s="6">
        <v>34.669139999999999</v>
      </c>
      <c r="N627" s="6">
        <v>105.05800000000001</v>
      </c>
      <c r="O627" s="6">
        <v>34.669139999999999</v>
      </c>
      <c r="P627" s="6">
        <v>0</v>
      </c>
      <c r="Q627" s="4" t="s">
        <v>26</v>
      </c>
      <c r="R627" s="4">
        <v>0</v>
      </c>
      <c r="S627" s="6">
        <v>0</v>
      </c>
      <c r="T627" s="6">
        <v>43</v>
      </c>
      <c r="U627" s="6">
        <v>84</v>
      </c>
      <c r="V627" s="6">
        <f>IF(ISERROR(VLOOKUP($S$627,'TAR FIN'!$A$1:$O$103,15,0)),0,VLOOKUP($S$627,'TAR FIN'!$A$1:$O$103,15,0))</f>
        <v>0</v>
      </c>
      <c r="W627" s="6">
        <f>IF(ISERROR(VLOOKUP($T$627,'TAR FIN'!$A$1:$O$103,15,0)),0,VLOOKUP($T$627,'TAR FIN'!$A$1:$O$103,15,0))</f>
        <v>334.07</v>
      </c>
      <c r="X627" s="6">
        <f>IF(ISERROR(VLOOKUP($U$627,'TAR FIN'!$A$1:$O$103,15,0)),0,VLOOKUP($U$627,'TAR FIN'!$A$1:$O$103,15,0))</f>
        <v>224.55</v>
      </c>
      <c r="Y627" s="6"/>
      <c r="Z627" s="6">
        <f ca="1">('TUSD BE'!$AM$45+'TUSD BF'!$AM$45+'TUSD CVA'!$AM$45)*(1-CUSTOS!$M$38)</f>
        <v>453.14332034419533</v>
      </c>
      <c r="AA627" s="6">
        <f>('TE BE'!$AB$26+'TE BF'!$AB$26+'TE CVA'!$AB$26)*(1-CUSTOS!$M$38)</f>
        <v>219.98233758978921</v>
      </c>
      <c r="AB627" s="6">
        <f>$K$627*$V$627</f>
        <v>0</v>
      </c>
      <c r="AC627" s="6">
        <f>$M$627*$W$627</f>
        <v>11581.9195998</v>
      </c>
      <c r="AD627" s="6">
        <f>$O$627*$X$627</f>
        <v>7784.955387</v>
      </c>
      <c r="AE627" s="6">
        <f>$K$627*$Y$627</f>
        <v>0</v>
      </c>
      <c r="AF627" s="6">
        <f ca="1">$M$627*$Z$627</f>
        <v>15710.089213077756</v>
      </c>
      <c r="AG627" s="6">
        <f>$O$627*$AA$627</f>
        <v>7626.5984594276642</v>
      </c>
    </row>
    <row r="628" spans="1:33" ht="11.25" customHeight="1" x14ac:dyDescent="0.3">
      <c r="A628" s="4" t="s">
        <v>21</v>
      </c>
      <c r="B628" s="4" t="s">
        <v>43</v>
      </c>
      <c r="C628" s="4" t="s">
        <v>23</v>
      </c>
      <c r="D628" s="4" t="s">
        <v>44</v>
      </c>
      <c r="E628" s="4" t="s">
        <v>53</v>
      </c>
      <c r="F628" s="4" t="s">
        <v>55</v>
      </c>
      <c r="G628" s="4" t="s">
        <v>25</v>
      </c>
      <c r="H628" s="4" t="s">
        <v>25</v>
      </c>
      <c r="I628" s="5">
        <v>44713</v>
      </c>
      <c r="J628" s="6">
        <v>0</v>
      </c>
      <c r="K628" s="6">
        <v>0</v>
      </c>
      <c r="L628" s="6">
        <v>106.611</v>
      </c>
      <c r="M628" s="6">
        <v>35.181629999999998</v>
      </c>
      <c r="N628" s="6">
        <v>106.611</v>
      </c>
      <c r="O628" s="6">
        <v>35.181629999999998</v>
      </c>
      <c r="P628" s="6">
        <v>0</v>
      </c>
      <c r="Q628" s="4" t="s">
        <v>26</v>
      </c>
      <c r="R628" s="4">
        <v>0</v>
      </c>
      <c r="S628" s="6">
        <v>0</v>
      </c>
      <c r="T628" s="6">
        <v>43</v>
      </c>
      <c r="U628" s="6">
        <v>84</v>
      </c>
      <c r="V628" s="6">
        <f>IF(ISERROR(VLOOKUP($S$628,'TAR FIN'!$A$1:$O$103,15,0)),0,VLOOKUP($S$628,'TAR FIN'!$A$1:$O$103,15,0))</f>
        <v>0</v>
      </c>
      <c r="W628" s="6">
        <f>IF(ISERROR(VLOOKUP($T$628,'TAR FIN'!$A$1:$O$103,15,0)),0,VLOOKUP($T$628,'TAR FIN'!$A$1:$O$103,15,0))</f>
        <v>334.07</v>
      </c>
      <c r="X628" s="6">
        <f>IF(ISERROR(VLOOKUP($U$628,'TAR FIN'!$A$1:$O$103,15,0)),0,VLOOKUP($U$628,'TAR FIN'!$A$1:$O$103,15,0))</f>
        <v>224.55</v>
      </c>
      <c r="Y628" s="6"/>
      <c r="Z628" s="6">
        <f ca="1">('TUSD BE'!$AM$45+'TUSD BF'!$AM$45+'TUSD CVA'!$AM$45)*(1-CUSTOS!$M$38)</f>
        <v>453.14332034419533</v>
      </c>
      <c r="AA628" s="6">
        <f>('TE BE'!$AB$26+'TE BF'!$AB$26+'TE CVA'!$AB$26)*(1-CUSTOS!$M$38)</f>
        <v>219.98233758978921</v>
      </c>
      <c r="AB628" s="6">
        <f>$K$628*$V$628</f>
        <v>0</v>
      </c>
      <c r="AC628" s="6">
        <f>$M$628*$W$628</f>
        <v>11753.127134099999</v>
      </c>
      <c r="AD628" s="6">
        <f>$O$628*$X$628</f>
        <v>7900.0350165</v>
      </c>
      <c r="AE628" s="6">
        <f>$K$628*$Y$628</f>
        <v>0</v>
      </c>
      <c r="AF628" s="6">
        <f ca="1">$M$628*$Z$628</f>
        <v>15942.320633320953</v>
      </c>
      <c r="AG628" s="6">
        <f>$O$628*$AA$628</f>
        <v>7739.3372076190553</v>
      </c>
    </row>
    <row r="629" spans="1:33" ht="11.25" customHeight="1" x14ac:dyDescent="0.3">
      <c r="A629" s="4" t="s">
        <v>21</v>
      </c>
      <c r="B629" s="4" t="s">
        <v>43</v>
      </c>
      <c r="C629" s="4" t="s">
        <v>23</v>
      </c>
      <c r="D629" s="4" t="s">
        <v>44</v>
      </c>
      <c r="E629" s="4" t="s">
        <v>53</v>
      </c>
      <c r="F629" s="4" t="s">
        <v>55</v>
      </c>
      <c r="G629" s="4" t="s">
        <v>25</v>
      </c>
      <c r="H629" s="4" t="s">
        <v>25</v>
      </c>
      <c r="I629" s="5">
        <v>44743</v>
      </c>
      <c r="J629" s="6">
        <v>0</v>
      </c>
      <c r="K629" s="6">
        <v>0</v>
      </c>
      <c r="L629" s="6">
        <v>115.55500000000001</v>
      </c>
      <c r="M629" s="6">
        <v>38.133150000000001</v>
      </c>
      <c r="N629" s="6">
        <v>115.55500000000001</v>
      </c>
      <c r="O629" s="6">
        <v>38.133150000000001</v>
      </c>
      <c r="P629" s="6">
        <v>0</v>
      </c>
      <c r="Q629" s="4" t="s">
        <v>26</v>
      </c>
      <c r="R629" s="4">
        <v>0</v>
      </c>
      <c r="S629" s="6">
        <v>0</v>
      </c>
      <c r="T629" s="6">
        <v>43</v>
      </c>
      <c r="U629" s="6">
        <v>84</v>
      </c>
      <c r="V629" s="6">
        <f>IF(ISERROR(VLOOKUP($S$629,'TAR FIN'!$A$1:$O$103,15,0)),0,VLOOKUP($S$629,'TAR FIN'!$A$1:$O$103,15,0))</f>
        <v>0</v>
      </c>
      <c r="W629" s="6">
        <f>IF(ISERROR(VLOOKUP($T$629,'TAR FIN'!$A$1:$O$103,15,0)),0,VLOOKUP($T$629,'TAR FIN'!$A$1:$O$103,15,0))</f>
        <v>334.07</v>
      </c>
      <c r="X629" s="6">
        <f>IF(ISERROR(VLOOKUP($U$629,'TAR FIN'!$A$1:$O$103,15,0)),0,VLOOKUP($U$629,'TAR FIN'!$A$1:$O$103,15,0))</f>
        <v>224.55</v>
      </c>
      <c r="Y629" s="6"/>
      <c r="Z629" s="6">
        <f ca="1">('TUSD BE'!$AM$45+'TUSD BF'!$AM$45+'TUSD CVA'!$AM$45)*(1-CUSTOS!$M$38)</f>
        <v>453.14332034419533</v>
      </c>
      <c r="AA629" s="6">
        <f>('TE BE'!$AB$26+'TE BF'!$AB$26+'TE CVA'!$AB$26)*(1-CUSTOS!$M$38)</f>
        <v>219.98233758978921</v>
      </c>
      <c r="AB629" s="6">
        <f>$K$629*$V$629</f>
        <v>0</v>
      </c>
      <c r="AC629" s="6">
        <f>$M$629*$W$629</f>
        <v>12739.1414205</v>
      </c>
      <c r="AD629" s="6">
        <f>$O$629*$X$629</f>
        <v>8562.7988325000006</v>
      </c>
      <c r="AE629" s="6">
        <f>$K$629*$Y$629</f>
        <v>0</v>
      </c>
      <c r="AF629" s="6">
        <f ca="1">$M$629*$Z$629</f>
        <v>17279.782206183252</v>
      </c>
      <c r="AG629" s="6">
        <f>$O$629*$AA$629</f>
        <v>8388.6194766620702</v>
      </c>
    </row>
    <row r="630" spans="1:33" ht="11.25" customHeight="1" x14ac:dyDescent="0.3">
      <c r="A630" s="4" t="s">
        <v>21</v>
      </c>
      <c r="B630" s="4" t="s">
        <v>43</v>
      </c>
      <c r="C630" s="4" t="s">
        <v>23</v>
      </c>
      <c r="D630" s="4" t="s">
        <v>44</v>
      </c>
      <c r="E630" s="4" t="s">
        <v>53</v>
      </c>
      <c r="F630" s="4" t="s">
        <v>55</v>
      </c>
      <c r="G630" s="4" t="s">
        <v>25</v>
      </c>
      <c r="H630" s="4" t="s">
        <v>25</v>
      </c>
      <c r="I630" s="5">
        <v>44774</v>
      </c>
      <c r="J630" s="6">
        <v>0</v>
      </c>
      <c r="K630" s="6">
        <v>0</v>
      </c>
      <c r="L630" s="6">
        <v>97.406000000000006</v>
      </c>
      <c r="M630" s="6">
        <v>32.143979999999999</v>
      </c>
      <c r="N630" s="6">
        <v>97.406000000000006</v>
      </c>
      <c r="O630" s="6">
        <v>32.143979999999999</v>
      </c>
      <c r="P630" s="6">
        <v>0</v>
      </c>
      <c r="Q630" s="4" t="s">
        <v>26</v>
      </c>
      <c r="R630" s="4">
        <v>0</v>
      </c>
      <c r="S630" s="6">
        <v>0</v>
      </c>
      <c r="T630" s="6">
        <v>43</v>
      </c>
      <c r="U630" s="6">
        <v>84</v>
      </c>
      <c r="V630" s="6">
        <f>IF(ISERROR(VLOOKUP($S$630,'TAR FIN'!$A$1:$O$103,15,0)),0,VLOOKUP($S$630,'TAR FIN'!$A$1:$O$103,15,0))</f>
        <v>0</v>
      </c>
      <c r="W630" s="6">
        <f>IF(ISERROR(VLOOKUP($T$630,'TAR FIN'!$A$1:$O$103,15,0)),0,VLOOKUP($T$630,'TAR FIN'!$A$1:$O$103,15,0))</f>
        <v>334.07</v>
      </c>
      <c r="X630" s="6">
        <f>IF(ISERROR(VLOOKUP($U$630,'TAR FIN'!$A$1:$O$103,15,0)),0,VLOOKUP($U$630,'TAR FIN'!$A$1:$O$103,15,0))</f>
        <v>224.55</v>
      </c>
      <c r="Y630" s="6"/>
      <c r="Z630" s="6">
        <f ca="1">('TUSD BE'!$AM$45+'TUSD BF'!$AM$45+'TUSD CVA'!$AM$45)*(1-CUSTOS!$M$38)</f>
        <v>453.14332034419533</v>
      </c>
      <c r="AA630" s="6">
        <f>('TE BE'!$AB$26+'TE BF'!$AB$26+'TE CVA'!$AB$26)*(1-CUSTOS!$M$38)</f>
        <v>219.98233758978921</v>
      </c>
      <c r="AB630" s="6">
        <f>$K$630*$V$630</f>
        <v>0</v>
      </c>
      <c r="AC630" s="6">
        <f>$M$630*$W$630</f>
        <v>10738.339398599999</v>
      </c>
      <c r="AD630" s="6">
        <f>$O$630*$X$630</f>
        <v>7217.9307090000002</v>
      </c>
      <c r="AE630" s="6">
        <f>$K$630*$Y$630</f>
        <v>0</v>
      </c>
      <c r="AF630" s="6">
        <f ca="1">$M$630*$Z$630</f>
        <v>14565.829826277408</v>
      </c>
      <c r="AG630" s="6">
        <f>$O$630*$AA$630</f>
        <v>7071.1078598394324</v>
      </c>
    </row>
    <row r="631" spans="1:33" ht="11.25" customHeight="1" x14ac:dyDescent="0.3">
      <c r="A631" s="4" t="s">
        <v>28</v>
      </c>
      <c r="B631" s="4" t="s">
        <v>43</v>
      </c>
      <c r="C631" s="4" t="s">
        <v>23</v>
      </c>
      <c r="D631" s="4" t="s">
        <v>44</v>
      </c>
      <c r="E631" s="4" t="s">
        <v>53</v>
      </c>
      <c r="F631" s="4" t="s">
        <v>55</v>
      </c>
      <c r="G631" s="4" t="s">
        <v>25</v>
      </c>
      <c r="H631" s="4" t="s">
        <v>25</v>
      </c>
      <c r="I631" s="5">
        <v>44774</v>
      </c>
      <c r="J631" s="6">
        <v>0</v>
      </c>
      <c r="K631" s="6">
        <v>0</v>
      </c>
      <c r="L631" s="6">
        <v>18.099</v>
      </c>
      <c r="M631" s="6">
        <v>5.9726699999999999</v>
      </c>
      <c r="N631" s="6">
        <v>18.099</v>
      </c>
      <c r="O631" s="6">
        <v>5.9726699999999999</v>
      </c>
      <c r="P631" s="6">
        <v>0</v>
      </c>
      <c r="Q631" s="4" t="s">
        <v>26</v>
      </c>
      <c r="R631" s="4">
        <v>0</v>
      </c>
      <c r="S631" s="6">
        <v>0</v>
      </c>
      <c r="T631" s="6">
        <v>43</v>
      </c>
      <c r="U631" s="6">
        <v>84</v>
      </c>
      <c r="V631" s="6">
        <f>IF(ISERROR(VLOOKUP($S$631,'TAR FIN'!$A$1:$O$103,15,0)),0,VLOOKUP($S$631,'TAR FIN'!$A$1:$O$103,15,0))</f>
        <v>0</v>
      </c>
      <c r="W631" s="6">
        <f>IF(ISERROR(VLOOKUP($T$631,'TAR FIN'!$A$1:$O$103,15,0)),0,VLOOKUP($T$631,'TAR FIN'!$A$1:$O$103,15,0))</f>
        <v>334.07</v>
      </c>
      <c r="X631" s="6">
        <f>IF(ISERROR(VLOOKUP($U$631,'TAR FIN'!$A$1:$O$103,15,0)),0,VLOOKUP($U$631,'TAR FIN'!$A$1:$O$103,15,0))</f>
        <v>224.55</v>
      </c>
      <c r="Y631" s="6"/>
      <c r="Z631" s="6">
        <f ca="1">('TUSD BE'!$AM$45+'TUSD BF'!$AM$45+'TUSD CVA'!$AM$45)*(1-CUSTOS!$M$38)</f>
        <v>453.14332034419533</v>
      </c>
      <c r="AA631" s="6">
        <f>('TE BE'!$AB$26+'TE BF'!$AB$26+'TE CVA'!$AB$26)*(1-CUSTOS!$M$38)</f>
        <v>219.98233758978921</v>
      </c>
      <c r="AB631" s="6">
        <f>$K$631*$V$631</f>
        <v>0</v>
      </c>
      <c r="AC631" s="6">
        <f>$M$631*$W$631</f>
        <v>1995.2898668999999</v>
      </c>
      <c r="AD631" s="6">
        <f>$O$631*$X$631</f>
        <v>1341.1630485000001</v>
      </c>
      <c r="AE631" s="6">
        <f>$K$631*$Y$631</f>
        <v>0</v>
      </c>
      <c r="AF631" s="6">
        <f ca="1">$M$631*$Z$631</f>
        <v>2706.4755151201653</v>
      </c>
      <c r="AG631" s="6">
        <f>$O$631*$AA$631</f>
        <v>1313.8819082524062</v>
      </c>
    </row>
    <row r="632" spans="1:33" ht="11.25" customHeight="1" x14ac:dyDescent="0.3">
      <c r="A632" s="4" t="s">
        <v>21</v>
      </c>
      <c r="B632" s="4" t="s">
        <v>43</v>
      </c>
      <c r="C632" s="4" t="s">
        <v>23</v>
      </c>
      <c r="D632" s="4" t="s">
        <v>44</v>
      </c>
      <c r="E632" s="4" t="s">
        <v>53</v>
      </c>
      <c r="F632" s="4" t="s">
        <v>55</v>
      </c>
      <c r="G632" s="4" t="s">
        <v>25</v>
      </c>
      <c r="H632" s="4" t="s">
        <v>25</v>
      </c>
      <c r="I632" s="5">
        <v>44805</v>
      </c>
      <c r="J632" s="6">
        <v>0</v>
      </c>
      <c r="K632" s="6">
        <v>0</v>
      </c>
      <c r="L632" s="6">
        <v>116.042</v>
      </c>
      <c r="M632" s="6">
        <v>38.293860000000002</v>
      </c>
      <c r="N632" s="6">
        <v>116.042</v>
      </c>
      <c r="O632" s="6">
        <v>38.293860000000002</v>
      </c>
      <c r="P632" s="6">
        <v>0</v>
      </c>
      <c r="Q632" s="4" t="s">
        <v>26</v>
      </c>
      <c r="R632" s="4">
        <v>0</v>
      </c>
      <c r="S632" s="6">
        <v>0</v>
      </c>
      <c r="T632" s="6">
        <v>43</v>
      </c>
      <c r="U632" s="6">
        <v>84</v>
      </c>
      <c r="V632" s="6">
        <f>IF(ISERROR(VLOOKUP($S$632,'TAR FIN'!$A$1:$O$103,15,0)),0,VLOOKUP($S$632,'TAR FIN'!$A$1:$O$103,15,0))</f>
        <v>0</v>
      </c>
      <c r="W632" s="6">
        <f>IF(ISERROR(VLOOKUP($T$632,'TAR FIN'!$A$1:$O$103,15,0)),0,VLOOKUP($T$632,'TAR FIN'!$A$1:$O$103,15,0))</f>
        <v>334.07</v>
      </c>
      <c r="X632" s="6">
        <f>IF(ISERROR(VLOOKUP($U$632,'TAR FIN'!$A$1:$O$103,15,0)),0,VLOOKUP($U$632,'TAR FIN'!$A$1:$O$103,15,0))</f>
        <v>224.55</v>
      </c>
      <c r="Y632" s="6"/>
      <c r="Z632" s="6">
        <f ca="1">('TUSD BE'!$AM$45+'TUSD BF'!$AM$45+'TUSD CVA'!$AM$45)*(1-CUSTOS!$M$38)</f>
        <v>453.14332034419533</v>
      </c>
      <c r="AA632" s="6">
        <f>('TE BE'!$AB$26+'TE BF'!$AB$26+'TE CVA'!$AB$26)*(1-CUSTOS!$M$38)</f>
        <v>219.98233758978921</v>
      </c>
      <c r="AB632" s="6">
        <f>$K$632*$V$632</f>
        <v>0</v>
      </c>
      <c r="AC632" s="6">
        <f>$M$632*$W$632</f>
        <v>12792.829810200001</v>
      </c>
      <c r="AD632" s="6">
        <f>$O$632*$X$632</f>
        <v>8598.8862630000003</v>
      </c>
      <c r="AE632" s="6">
        <f>$K$632*$Y$632</f>
        <v>0</v>
      </c>
      <c r="AF632" s="6">
        <f ca="1">$M$632*$Z$632</f>
        <v>17352.60686919577</v>
      </c>
      <c r="AG632" s="6">
        <f>$O$632*$AA$632</f>
        <v>8423.9728381361256</v>
      </c>
    </row>
    <row r="633" spans="1:33" ht="11.25" customHeight="1" x14ac:dyDescent="0.3">
      <c r="A633" s="4" t="s">
        <v>28</v>
      </c>
      <c r="B633" s="4" t="s">
        <v>43</v>
      </c>
      <c r="C633" s="4" t="s">
        <v>23</v>
      </c>
      <c r="D633" s="4" t="s">
        <v>44</v>
      </c>
      <c r="E633" s="4" t="s">
        <v>53</v>
      </c>
      <c r="F633" s="4" t="s">
        <v>55</v>
      </c>
      <c r="G633" s="4" t="s">
        <v>25</v>
      </c>
      <c r="H633" s="4" t="s">
        <v>25</v>
      </c>
      <c r="I633" s="5">
        <v>44805</v>
      </c>
      <c r="J633" s="6">
        <v>0</v>
      </c>
      <c r="K633" s="6">
        <v>0</v>
      </c>
      <c r="L633" s="6">
        <v>16.12</v>
      </c>
      <c r="M633" s="6">
        <v>5.3196000000000003</v>
      </c>
      <c r="N633" s="6">
        <v>16.12</v>
      </c>
      <c r="O633" s="6">
        <v>5.3196000000000003</v>
      </c>
      <c r="P633" s="6">
        <v>0</v>
      </c>
      <c r="Q633" s="4" t="s">
        <v>26</v>
      </c>
      <c r="R633" s="4">
        <v>0</v>
      </c>
      <c r="S633" s="6">
        <v>0</v>
      </c>
      <c r="T633" s="6">
        <v>43</v>
      </c>
      <c r="U633" s="6">
        <v>84</v>
      </c>
      <c r="V633" s="6">
        <f>IF(ISERROR(VLOOKUP($S$633,'TAR FIN'!$A$1:$O$103,15,0)),0,VLOOKUP($S$633,'TAR FIN'!$A$1:$O$103,15,0))</f>
        <v>0</v>
      </c>
      <c r="W633" s="6">
        <f>IF(ISERROR(VLOOKUP($T$633,'TAR FIN'!$A$1:$O$103,15,0)),0,VLOOKUP($T$633,'TAR FIN'!$A$1:$O$103,15,0))</f>
        <v>334.07</v>
      </c>
      <c r="X633" s="6">
        <f>IF(ISERROR(VLOOKUP($U$633,'TAR FIN'!$A$1:$O$103,15,0)),0,VLOOKUP($U$633,'TAR FIN'!$A$1:$O$103,15,0))</f>
        <v>224.55</v>
      </c>
      <c r="Y633" s="6"/>
      <c r="Z633" s="6">
        <f ca="1">('TUSD BE'!$AM$45+'TUSD BF'!$AM$45+'TUSD CVA'!$AM$45)*(1-CUSTOS!$M$38)</f>
        <v>453.14332034419533</v>
      </c>
      <c r="AA633" s="6">
        <f>('TE BE'!$AB$26+'TE BF'!$AB$26+'TE CVA'!$AB$26)*(1-CUSTOS!$M$38)</f>
        <v>219.98233758978921</v>
      </c>
      <c r="AB633" s="6">
        <f>$K$633*$V$633</f>
        <v>0</v>
      </c>
      <c r="AC633" s="6">
        <f>$M$633*$W$633</f>
        <v>1777.118772</v>
      </c>
      <c r="AD633" s="6">
        <f>$O$633*$X$633</f>
        <v>1194.5161800000001</v>
      </c>
      <c r="AE633" s="6">
        <f>$K$633*$Y$633</f>
        <v>0</v>
      </c>
      <c r="AF633" s="6">
        <f ca="1">$M$633*$Z$633</f>
        <v>2410.5412069029817</v>
      </c>
      <c r="AG633" s="6">
        <f>$O$633*$AA$633</f>
        <v>1170.2180430426426</v>
      </c>
    </row>
    <row r="634" spans="1:33" ht="11.25" customHeight="1" x14ac:dyDescent="0.3">
      <c r="A634" s="4" t="s">
        <v>57</v>
      </c>
      <c r="B634" s="4" t="s">
        <v>43</v>
      </c>
      <c r="C634" s="4" t="s">
        <v>23</v>
      </c>
      <c r="D634" s="4" t="s">
        <v>44</v>
      </c>
      <c r="E634" s="4" t="s">
        <v>53</v>
      </c>
      <c r="F634" s="4" t="s">
        <v>55</v>
      </c>
      <c r="G634" s="4" t="s">
        <v>25</v>
      </c>
      <c r="H634" s="4" t="s">
        <v>25</v>
      </c>
      <c r="I634" s="5">
        <v>44835</v>
      </c>
      <c r="J634" s="6">
        <v>0</v>
      </c>
      <c r="K634" s="6">
        <v>0</v>
      </c>
      <c r="L634" s="6">
        <v>116.042</v>
      </c>
      <c r="M634" s="6">
        <v>38.293860000000002</v>
      </c>
      <c r="N634" s="6">
        <v>116.042</v>
      </c>
      <c r="O634" s="6">
        <v>38.293860000000002</v>
      </c>
      <c r="P634" s="6">
        <v>0</v>
      </c>
      <c r="Q634" s="4" t="s">
        <v>26</v>
      </c>
      <c r="R634" s="4">
        <v>0</v>
      </c>
      <c r="S634" s="6">
        <v>0</v>
      </c>
      <c r="T634" s="6">
        <v>43</v>
      </c>
      <c r="U634" s="6">
        <v>84</v>
      </c>
      <c r="V634" s="6">
        <f>IF(ISERROR(VLOOKUP($S$634,'TAR FIN'!$A$1:$O$103,15,0)),0,VLOOKUP($S$634,'TAR FIN'!$A$1:$O$103,15,0))</f>
        <v>0</v>
      </c>
      <c r="W634" s="6">
        <f>IF(ISERROR(VLOOKUP($T$634,'TAR FIN'!$A$1:$O$103,15,0)),0,VLOOKUP($T$634,'TAR FIN'!$A$1:$O$103,15,0))</f>
        <v>334.07</v>
      </c>
      <c r="X634" s="6">
        <f>IF(ISERROR(VLOOKUP($U$634,'TAR FIN'!$A$1:$O$103,15,0)),0,VLOOKUP($U$634,'TAR FIN'!$A$1:$O$103,15,0))</f>
        <v>224.55</v>
      </c>
      <c r="Y634" s="6"/>
      <c r="Z634" s="6">
        <f ca="1">('TUSD BE'!$AM$45+'TUSD BF'!$AM$45+'TUSD CVA'!$AM$45)*(1-CUSTOS!$M$38)</f>
        <v>453.14332034419533</v>
      </c>
      <c r="AA634" s="6">
        <f>('TE BE'!$AB$26+'TE BF'!$AB$26+'TE CVA'!$AB$26)*(1-CUSTOS!$M$38)</f>
        <v>219.98233758978921</v>
      </c>
      <c r="AB634" s="6">
        <f>$K$634*$V$634</f>
        <v>0</v>
      </c>
      <c r="AC634" s="6">
        <f>$M$634*$W$634</f>
        <v>12792.829810200001</v>
      </c>
      <c r="AD634" s="6">
        <f>$O$634*$X$634</f>
        <v>8598.8862630000003</v>
      </c>
      <c r="AE634" s="6">
        <f>$K$634*$Y$634</f>
        <v>0</v>
      </c>
      <c r="AF634" s="6">
        <f ca="1">$M$634*$Z$634</f>
        <v>17352.60686919577</v>
      </c>
      <c r="AG634" s="6">
        <f>$O$634*$AA$634</f>
        <v>8423.9728381361256</v>
      </c>
    </row>
    <row r="635" spans="1:33" ht="11.25" customHeight="1" x14ac:dyDescent="0.3">
      <c r="A635" s="4" t="s">
        <v>57</v>
      </c>
      <c r="B635" s="4" t="s">
        <v>43</v>
      </c>
      <c r="C635" s="4" t="s">
        <v>23</v>
      </c>
      <c r="D635" s="4" t="s">
        <v>44</v>
      </c>
      <c r="E635" s="4" t="s">
        <v>53</v>
      </c>
      <c r="F635" s="4" t="s">
        <v>55</v>
      </c>
      <c r="G635" s="4" t="s">
        <v>25</v>
      </c>
      <c r="H635" s="4" t="s">
        <v>25</v>
      </c>
      <c r="I635" s="5">
        <v>44835</v>
      </c>
      <c r="J635" s="6">
        <v>0</v>
      </c>
      <c r="K635" s="6">
        <v>0</v>
      </c>
      <c r="L635" s="6">
        <v>16.12</v>
      </c>
      <c r="M635" s="6">
        <v>5.3196000000000003</v>
      </c>
      <c r="N635" s="6">
        <v>16.12</v>
      </c>
      <c r="O635" s="6">
        <v>5.3196000000000003</v>
      </c>
      <c r="P635" s="6">
        <v>0</v>
      </c>
      <c r="Q635" s="4" t="s">
        <v>26</v>
      </c>
      <c r="R635" s="4">
        <v>0</v>
      </c>
      <c r="S635" s="6">
        <v>0</v>
      </c>
      <c r="T635" s="6">
        <v>43</v>
      </c>
      <c r="U635" s="6">
        <v>84</v>
      </c>
      <c r="V635" s="6">
        <f>IF(ISERROR(VLOOKUP($S$635,'TAR FIN'!$A$1:$O$103,15,0)),0,VLOOKUP($S$635,'TAR FIN'!$A$1:$O$103,15,0))</f>
        <v>0</v>
      </c>
      <c r="W635" s="6">
        <f>IF(ISERROR(VLOOKUP($T$635,'TAR FIN'!$A$1:$O$103,15,0)),0,VLOOKUP($T$635,'TAR FIN'!$A$1:$O$103,15,0))</f>
        <v>334.07</v>
      </c>
      <c r="X635" s="6">
        <f>IF(ISERROR(VLOOKUP($U$635,'TAR FIN'!$A$1:$O$103,15,0)),0,VLOOKUP($U$635,'TAR FIN'!$A$1:$O$103,15,0))</f>
        <v>224.55</v>
      </c>
      <c r="Y635" s="6"/>
      <c r="Z635" s="6">
        <f ca="1">('TUSD BE'!$AM$45+'TUSD BF'!$AM$45+'TUSD CVA'!$AM$45)*(1-CUSTOS!$M$38)</f>
        <v>453.14332034419533</v>
      </c>
      <c r="AA635" s="6">
        <f>('TE BE'!$AB$26+'TE BF'!$AB$26+'TE CVA'!$AB$26)*(1-CUSTOS!$M$38)</f>
        <v>219.98233758978921</v>
      </c>
      <c r="AB635" s="6">
        <f>$K$635*$V$635</f>
        <v>0</v>
      </c>
      <c r="AC635" s="6">
        <f>$M$635*$W$635</f>
        <v>1777.118772</v>
      </c>
      <c r="AD635" s="6">
        <f>$O$635*$X$635</f>
        <v>1194.5161800000001</v>
      </c>
      <c r="AE635" s="6">
        <f>$K$635*$Y$635</f>
        <v>0</v>
      </c>
      <c r="AF635" s="6">
        <f ca="1">$M$635*$Z$635</f>
        <v>2410.5412069029817</v>
      </c>
      <c r="AG635" s="6">
        <f>$O$635*$AA$635</f>
        <v>1170.2180430426426</v>
      </c>
    </row>
    <row r="636" spans="1:33" ht="11.25" customHeight="1" x14ac:dyDescent="0.3">
      <c r="A636" s="4" t="s">
        <v>21</v>
      </c>
      <c r="B636" s="4" t="s">
        <v>43</v>
      </c>
      <c r="C636" s="4" t="s">
        <v>23</v>
      </c>
      <c r="D636" s="4" t="s">
        <v>44</v>
      </c>
      <c r="E636" s="4" t="s">
        <v>56</v>
      </c>
      <c r="F636" s="4" t="s">
        <v>54</v>
      </c>
      <c r="G636" s="4" t="s">
        <v>25</v>
      </c>
      <c r="H636" s="4" t="s">
        <v>25</v>
      </c>
      <c r="I636" s="5">
        <v>44501</v>
      </c>
      <c r="J636" s="6">
        <v>0</v>
      </c>
      <c r="K636" s="6">
        <v>0</v>
      </c>
      <c r="L636" s="6">
        <v>8.7739999999999991</v>
      </c>
      <c r="M636" s="6">
        <v>8.7739999999999991</v>
      </c>
      <c r="N636" s="6">
        <v>8.7739999999999991</v>
      </c>
      <c r="O636" s="6">
        <v>8.7739999999999991</v>
      </c>
      <c r="P636" s="6">
        <v>0</v>
      </c>
      <c r="Q636" s="4" t="s">
        <v>26</v>
      </c>
      <c r="R636" s="4">
        <v>0</v>
      </c>
      <c r="S636" s="6">
        <v>0</v>
      </c>
      <c r="T636" s="6">
        <v>43</v>
      </c>
      <c r="U636" s="6">
        <v>84</v>
      </c>
      <c r="V636" s="6">
        <f>IF(ISERROR(VLOOKUP($S$636,'TAR FIN'!$A$1:$O$103,15,0)),0,VLOOKUP($S$636,'TAR FIN'!$A$1:$O$103,15,0))</f>
        <v>0</v>
      </c>
      <c r="W636" s="6">
        <f>IF(ISERROR(VLOOKUP($T$636,'TAR FIN'!$A$1:$O$103,15,0)),0,VLOOKUP($T$636,'TAR FIN'!$A$1:$O$103,15,0))</f>
        <v>334.07</v>
      </c>
      <c r="X636" s="6">
        <f>IF(ISERROR(VLOOKUP($U$636,'TAR FIN'!$A$1:$O$103,15,0)),0,VLOOKUP($U$636,'TAR FIN'!$A$1:$O$103,15,0))</f>
        <v>224.55</v>
      </c>
      <c r="Y636" s="6"/>
      <c r="Z636" s="6">
        <f ca="1">('TUSD BE'!$AM$45+'TUSD BF'!$AM$45+'TUSD CVA'!$AM$45)*(1-CUSTOS!$M$38)</f>
        <v>453.14332034419533</v>
      </c>
      <c r="AA636" s="6">
        <f>('TE BE'!$AB$26+'TE BF'!$AB$26+'TE CVA'!$AB$26)*(1-CUSTOS!$M$38)</f>
        <v>219.98233758978921</v>
      </c>
      <c r="AB636" s="6">
        <f>$K$636*$V$636</f>
        <v>0</v>
      </c>
      <c r="AC636" s="6">
        <f>$M$636*$W$636</f>
        <v>2931.1301799999997</v>
      </c>
      <c r="AD636" s="6">
        <f>$O$636*$X$636</f>
        <v>1970.2016999999998</v>
      </c>
      <c r="AE636" s="6">
        <f>$K$636*$Y$636</f>
        <v>0</v>
      </c>
      <c r="AF636" s="6">
        <f ca="1">$M$636*$Z$636</f>
        <v>3975.8794926999694</v>
      </c>
      <c r="AG636" s="6">
        <f>$O$636*$AA$636</f>
        <v>1930.1250300128104</v>
      </c>
    </row>
    <row r="637" spans="1:33" ht="11.25" customHeight="1" x14ac:dyDescent="0.3">
      <c r="A637" s="4" t="s">
        <v>28</v>
      </c>
      <c r="B637" s="4" t="s">
        <v>43</v>
      </c>
      <c r="C637" s="4" t="s">
        <v>23</v>
      </c>
      <c r="D637" s="4" t="s">
        <v>44</v>
      </c>
      <c r="E637" s="4" t="s">
        <v>56</v>
      </c>
      <c r="F637" s="4" t="s">
        <v>54</v>
      </c>
      <c r="G637" s="4" t="s">
        <v>25</v>
      </c>
      <c r="H637" s="4" t="s">
        <v>25</v>
      </c>
      <c r="I637" s="5">
        <v>44501</v>
      </c>
      <c r="J637" s="6">
        <v>0</v>
      </c>
      <c r="K637" s="6">
        <v>0</v>
      </c>
      <c r="L637" s="6">
        <v>0.38200000000000001</v>
      </c>
      <c r="M637" s="6">
        <v>0.38200000000000001</v>
      </c>
      <c r="N637" s="6">
        <v>0.38200000000000001</v>
      </c>
      <c r="O637" s="6">
        <v>0.38200000000000001</v>
      </c>
      <c r="P637" s="6">
        <v>0</v>
      </c>
      <c r="Q637" s="4" t="s">
        <v>26</v>
      </c>
      <c r="R637" s="4">
        <v>0</v>
      </c>
      <c r="S637" s="6">
        <v>0</v>
      </c>
      <c r="T637" s="6">
        <v>43</v>
      </c>
      <c r="U637" s="6">
        <v>84</v>
      </c>
      <c r="V637" s="6">
        <f>IF(ISERROR(VLOOKUP($S$637,'TAR FIN'!$A$1:$O$103,15,0)),0,VLOOKUP($S$637,'TAR FIN'!$A$1:$O$103,15,0))</f>
        <v>0</v>
      </c>
      <c r="W637" s="6">
        <f>IF(ISERROR(VLOOKUP($T$637,'TAR FIN'!$A$1:$O$103,15,0)),0,VLOOKUP($T$637,'TAR FIN'!$A$1:$O$103,15,0))</f>
        <v>334.07</v>
      </c>
      <c r="X637" s="6">
        <f>IF(ISERROR(VLOOKUP($U$637,'TAR FIN'!$A$1:$O$103,15,0)),0,VLOOKUP($U$637,'TAR FIN'!$A$1:$O$103,15,0))</f>
        <v>224.55</v>
      </c>
      <c r="Y637" s="6"/>
      <c r="Z637" s="6">
        <f ca="1">('TUSD BE'!$AM$45+'TUSD BF'!$AM$45+'TUSD CVA'!$AM$45)*(1-CUSTOS!$M$38)</f>
        <v>453.14332034419533</v>
      </c>
      <c r="AA637" s="6">
        <f>('TE BE'!$AB$26+'TE BF'!$AB$26+'TE CVA'!$AB$26)*(1-CUSTOS!$M$38)</f>
        <v>219.98233758978921</v>
      </c>
      <c r="AB637" s="6">
        <f>$K$637*$V$637</f>
        <v>0</v>
      </c>
      <c r="AC637" s="6">
        <f>$M$637*$W$637</f>
        <v>127.61474</v>
      </c>
      <c r="AD637" s="6">
        <f>$O$637*$X$637</f>
        <v>85.778100000000009</v>
      </c>
      <c r="AE637" s="6">
        <f>$K$637*$Y$637</f>
        <v>0</v>
      </c>
      <c r="AF637" s="6">
        <f ca="1">$M$637*$Z$637</f>
        <v>173.10074837148261</v>
      </c>
      <c r="AG637" s="6">
        <f>$O$637*$AA$637</f>
        <v>84.033252959299475</v>
      </c>
    </row>
    <row r="638" spans="1:33" ht="11.25" customHeight="1" x14ac:dyDescent="0.3">
      <c r="A638" s="4" t="s">
        <v>21</v>
      </c>
      <c r="B638" s="4" t="s">
        <v>43</v>
      </c>
      <c r="C638" s="4" t="s">
        <v>23</v>
      </c>
      <c r="D638" s="4" t="s">
        <v>44</v>
      </c>
      <c r="E638" s="4" t="s">
        <v>56</v>
      </c>
      <c r="F638" s="4" t="s">
        <v>54</v>
      </c>
      <c r="G638" s="4" t="s">
        <v>25</v>
      </c>
      <c r="H638" s="4" t="s">
        <v>25</v>
      </c>
      <c r="I638" s="5">
        <v>44531</v>
      </c>
      <c r="J638" s="6">
        <v>0</v>
      </c>
      <c r="K638" s="6">
        <v>0</v>
      </c>
      <c r="L638" s="6">
        <v>7.7729999999999997</v>
      </c>
      <c r="M638" s="6">
        <v>7.7729999999999997</v>
      </c>
      <c r="N638" s="6">
        <v>7.7729999999999997</v>
      </c>
      <c r="O638" s="6">
        <v>7.7729999999999997</v>
      </c>
      <c r="P638" s="6">
        <v>0</v>
      </c>
      <c r="Q638" s="4" t="s">
        <v>26</v>
      </c>
      <c r="R638" s="4">
        <v>0</v>
      </c>
      <c r="S638" s="6">
        <v>0</v>
      </c>
      <c r="T638" s="6">
        <v>43</v>
      </c>
      <c r="U638" s="6">
        <v>84</v>
      </c>
      <c r="V638" s="6">
        <f>IF(ISERROR(VLOOKUP($S$638,'TAR FIN'!$A$1:$O$103,15,0)),0,VLOOKUP($S$638,'TAR FIN'!$A$1:$O$103,15,0))</f>
        <v>0</v>
      </c>
      <c r="W638" s="6">
        <f>IF(ISERROR(VLOOKUP($T$638,'TAR FIN'!$A$1:$O$103,15,0)),0,VLOOKUP($T$638,'TAR FIN'!$A$1:$O$103,15,0))</f>
        <v>334.07</v>
      </c>
      <c r="X638" s="6">
        <f>IF(ISERROR(VLOOKUP($U$638,'TAR FIN'!$A$1:$O$103,15,0)),0,VLOOKUP($U$638,'TAR FIN'!$A$1:$O$103,15,0))</f>
        <v>224.55</v>
      </c>
      <c r="Y638" s="6"/>
      <c r="Z638" s="6">
        <f ca="1">('TUSD BE'!$AM$45+'TUSD BF'!$AM$45+'TUSD CVA'!$AM$45)*(1-CUSTOS!$M$38)</f>
        <v>453.14332034419533</v>
      </c>
      <c r="AA638" s="6">
        <f>('TE BE'!$AB$26+'TE BF'!$AB$26+'TE CVA'!$AB$26)*(1-CUSTOS!$M$38)</f>
        <v>219.98233758978921</v>
      </c>
      <c r="AB638" s="6">
        <f>$K$638*$V$638</f>
        <v>0</v>
      </c>
      <c r="AC638" s="6">
        <f>$M$638*$W$638</f>
        <v>2596.7261100000001</v>
      </c>
      <c r="AD638" s="6">
        <f>$O$638*$X$638</f>
        <v>1745.42715</v>
      </c>
      <c r="AE638" s="6">
        <f>$K$638*$Y$638</f>
        <v>0</v>
      </c>
      <c r="AF638" s="6">
        <f ca="1">$M$638*$Z$638</f>
        <v>3522.28302903543</v>
      </c>
      <c r="AG638" s="6">
        <f>$O$638*$AA$638</f>
        <v>1709.9227100854314</v>
      </c>
    </row>
    <row r="639" spans="1:33" ht="11.25" customHeight="1" x14ac:dyDescent="0.3">
      <c r="A639" s="4" t="s">
        <v>28</v>
      </c>
      <c r="B639" s="4" t="s">
        <v>43</v>
      </c>
      <c r="C639" s="4" t="s">
        <v>23</v>
      </c>
      <c r="D639" s="4" t="s">
        <v>44</v>
      </c>
      <c r="E639" s="4" t="s">
        <v>56</v>
      </c>
      <c r="F639" s="4" t="s">
        <v>54</v>
      </c>
      <c r="G639" s="4" t="s">
        <v>25</v>
      </c>
      <c r="H639" s="4" t="s">
        <v>25</v>
      </c>
      <c r="I639" s="5">
        <v>44531</v>
      </c>
      <c r="J639" s="6">
        <v>0</v>
      </c>
      <c r="K639" s="6">
        <v>0</v>
      </c>
      <c r="L639" s="6">
        <v>0.65700000000000003</v>
      </c>
      <c r="M639" s="6">
        <v>0.65700000000000003</v>
      </c>
      <c r="N639" s="6">
        <v>0.65700000000000003</v>
      </c>
      <c r="O639" s="6">
        <v>0.65700000000000003</v>
      </c>
      <c r="P639" s="6">
        <v>0</v>
      </c>
      <c r="Q639" s="4" t="s">
        <v>26</v>
      </c>
      <c r="R639" s="4">
        <v>0</v>
      </c>
      <c r="S639" s="6">
        <v>0</v>
      </c>
      <c r="T639" s="6">
        <v>43</v>
      </c>
      <c r="U639" s="6">
        <v>84</v>
      </c>
      <c r="V639" s="6">
        <f>IF(ISERROR(VLOOKUP($S$639,'TAR FIN'!$A$1:$O$103,15,0)),0,VLOOKUP($S$639,'TAR FIN'!$A$1:$O$103,15,0))</f>
        <v>0</v>
      </c>
      <c r="W639" s="6">
        <f>IF(ISERROR(VLOOKUP($T$639,'TAR FIN'!$A$1:$O$103,15,0)),0,VLOOKUP($T$639,'TAR FIN'!$A$1:$O$103,15,0))</f>
        <v>334.07</v>
      </c>
      <c r="X639" s="6">
        <f>IF(ISERROR(VLOOKUP($U$639,'TAR FIN'!$A$1:$O$103,15,0)),0,VLOOKUP($U$639,'TAR FIN'!$A$1:$O$103,15,0))</f>
        <v>224.55</v>
      </c>
      <c r="Y639" s="6"/>
      <c r="Z639" s="6">
        <f ca="1">('TUSD BE'!$AM$45+'TUSD BF'!$AM$45+'TUSD CVA'!$AM$45)*(1-CUSTOS!$M$38)</f>
        <v>453.14332034419533</v>
      </c>
      <c r="AA639" s="6">
        <f>('TE BE'!$AB$26+'TE BF'!$AB$26+'TE CVA'!$AB$26)*(1-CUSTOS!$M$38)</f>
        <v>219.98233758978921</v>
      </c>
      <c r="AB639" s="6">
        <f>$K$639*$V$639</f>
        <v>0</v>
      </c>
      <c r="AC639" s="6">
        <f>$M$639*$W$639</f>
        <v>219.48399000000001</v>
      </c>
      <c r="AD639" s="6">
        <f>$O$639*$X$639</f>
        <v>147.52935000000002</v>
      </c>
      <c r="AE639" s="6">
        <f>$K$639*$Y$639</f>
        <v>0</v>
      </c>
      <c r="AF639" s="6">
        <f ca="1">$M$639*$Z$639</f>
        <v>297.71516146613635</v>
      </c>
      <c r="AG639" s="6">
        <f>$O$639*$AA$639</f>
        <v>144.52839579649151</v>
      </c>
    </row>
    <row r="640" spans="1:33" ht="11.25" customHeight="1" x14ac:dyDescent="0.3">
      <c r="A640" s="4" t="s">
        <v>21</v>
      </c>
      <c r="B640" s="4" t="s">
        <v>43</v>
      </c>
      <c r="C640" s="4" t="s">
        <v>23</v>
      </c>
      <c r="D640" s="4" t="s">
        <v>44</v>
      </c>
      <c r="E640" s="4" t="s">
        <v>56</v>
      </c>
      <c r="F640" s="4" t="s">
        <v>54</v>
      </c>
      <c r="G640" s="4" t="s">
        <v>25</v>
      </c>
      <c r="H640" s="4" t="s">
        <v>25</v>
      </c>
      <c r="I640" s="5">
        <v>44562</v>
      </c>
      <c r="J640" s="6">
        <v>0</v>
      </c>
      <c r="K640" s="6">
        <v>0</v>
      </c>
      <c r="L640" s="6">
        <v>8.7479999999999993</v>
      </c>
      <c r="M640" s="6">
        <v>8.7479999999999993</v>
      </c>
      <c r="N640" s="6">
        <v>8.7479999999999993</v>
      </c>
      <c r="O640" s="6">
        <v>8.7479999999999993</v>
      </c>
      <c r="P640" s="6">
        <v>0</v>
      </c>
      <c r="Q640" s="4" t="s">
        <v>26</v>
      </c>
      <c r="R640" s="4">
        <v>0</v>
      </c>
      <c r="S640" s="6">
        <v>0</v>
      </c>
      <c r="T640" s="6">
        <v>43</v>
      </c>
      <c r="U640" s="6">
        <v>84</v>
      </c>
      <c r="V640" s="6">
        <f>IF(ISERROR(VLOOKUP($S$640,'TAR FIN'!$A$1:$O$103,15,0)),0,VLOOKUP($S$640,'TAR FIN'!$A$1:$O$103,15,0))</f>
        <v>0</v>
      </c>
      <c r="W640" s="6">
        <f>IF(ISERROR(VLOOKUP($T$640,'TAR FIN'!$A$1:$O$103,15,0)),0,VLOOKUP($T$640,'TAR FIN'!$A$1:$O$103,15,0))</f>
        <v>334.07</v>
      </c>
      <c r="X640" s="6">
        <f>IF(ISERROR(VLOOKUP($U$640,'TAR FIN'!$A$1:$O$103,15,0)),0,VLOOKUP($U$640,'TAR FIN'!$A$1:$O$103,15,0))</f>
        <v>224.55</v>
      </c>
      <c r="Y640" s="6"/>
      <c r="Z640" s="6">
        <f ca="1">('TUSD BE'!$AM$45+'TUSD BF'!$AM$45+'TUSD CVA'!$AM$45)*(1-CUSTOS!$M$38)</f>
        <v>453.14332034419533</v>
      </c>
      <c r="AA640" s="6">
        <f>('TE BE'!$AB$26+'TE BF'!$AB$26+'TE CVA'!$AB$26)*(1-CUSTOS!$M$38)</f>
        <v>219.98233758978921</v>
      </c>
      <c r="AB640" s="6">
        <f>$K$640*$V$640</f>
        <v>0</v>
      </c>
      <c r="AC640" s="6">
        <f>$M$640*$W$640</f>
        <v>2922.4443599999995</v>
      </c>
      <c r="AD640" s="6">
        <f>$O$640*$X$640</f>
        <v>1964.3634</v>
      </c>
      <c r="AE640" s="6">
        <f>$K$640*$Y$640</f>
        <v>0</v>
      </c>
      <c r="AF640" s="6">
        <f ca="1">$M$640*$Z$640</f>
        <v>3964.0977663710205</v>
      </c>
      <c r="AG640" s="6">
        <f>$O$640*$AA$640</f>
        <v>1924.4054892354759</v>
      </c>
    </row>
    <row r="641" spans="1:33" ht="11.25" customHeight="1" x14ac:dyDescent="0.3">
      <c r="A641" s="4" t="s">
        <v>28</v>
      </c>
      <c r="B641" s="4" t="s">
        <v>43</v>
      </c>
      <c r="C641" s="4" t="s">
        <v>23</v>
      </c>
      <c r="D641" s="4" t="s">
        <v>44</v>
      </c>
      <c r="E641" s="4" t="s">
        <v>56</v>
      </c>
      <c r="F641" s="4" t="s">
        <v>54</v>
      </c>
      <c r="G641" s="4" t="s">
        <v>25</v>
      </c>
      <c r="H641" s="4" t="s">
        <v>25</v>
      </c>
      <c r="I641" s="5">
        <v>44562</v>
      </c>
      <c r="J641" s="6">
        <v>0</v>
      </c>
      <c r="K641" s="6">
        <v>0</v>
      </c>
      <c r="L641" s="6">
        <v>0.95899999999999996</v>
      </c>
      <c r="M641" s="6">
        <v>0.95899999999999996</v>
      </c>
      <c r="N641" s="6">
        <v>0.95899999999999996</v>
      </c>
      <c r="O641" s="6">
        <v>0.95899999999999996</v>
      </c>
      <c r="P641" s="6">
        <v>0</v>
      </c>
      <c r="Q641" s="4" t="s">
        <v>26</v>
      </c>
      <c r="R641" s="4">
        <v>0</v>
      </c>
      <c r="S641" s="6">
        <v>0</v>
      </c>
      <c r="T641" s="6">
        <v>43</v>
      </c>
      <c r="U641" s="6">
        <v>84</v>
      </c>
      <c r="V641" s="6">
        <f>IF(ISERROR(VLOOKUP($S$641,'TAR FIN'!$A$1:$O$103,15,0)),0,VLOOKUP($S$641,'TAR FIN'!$A$1:$O$103,15,0))</f>
        <v>0</v>
      </c>
      <c r="W641" s="6">
        <f>IF(ISERROR(VLOOKUP($T$641,'TAR FIN'!$A$1:$O$103,15,0)),0,VLOOKUP($T$641,'TAR FIN'!$A$1:$O$103,15,0))</f>
        <v>334.07</v>
      </c>
      <c r="X641" s="6">
        <f>IF(ISERROR(VLOOKUP($U$641,'TAR FIN'!$A$1:$O$103,15,0)),0,VLOOKUP($U$641,'TAR FIN'!$A$1:$O$103,15,0))</f>
        <v>224.55</v>
      </c>
      <c r="Y641" s="6"/>
      <c r="Z641" s="6">
        <f ca="1">('TUSD BE'!$AM$45+'TUSD BF'!$AM$45+'TUSD CVA'!$AM$45)*(1-CUSTOS!$M$38)</f>
        <v>453.14332034419533</v>
      </c>
      <c r="AA641" s="6">
        <f>('TE BE'!$AB$26+'TE BF'!$AB$26+'TE CVA'!$AB$26)*(1-CUSTOS!$M$38)</f>
        <v>219.98233758978921</v>
      </c>
      <c r="AB641" s="6">
        <f>$K$641*$V$641</f>
        <v>0</v>
      </c>
      <c r="AC641" s="6">
        <f>$M$641*$W$641</f>
        <v>320.37313</v>
      </c>
      <c r="AD641" s="6">
        <f>$O$641*$X$641</f>
        <v>215.34344999999999</v>
      </c>
      <c r="AE641" s="6">
        <f>$K$641*$Y$641</f>
        <v>0</v>
      </c>
      <c r="AF641" s="6">
        <f ca="1">$M$641*$Z$641</f>
        <v>434.56444421008331</v>
      </c>
      <c r="AG641" s="6">
        <f>$O$641*$AA$641</f>
        <v>210.96306174860786</v>
      </c>
    </row>
    <row r="642" spans="1:33" ht="11.25" customHeight="1" x14ac:dyDescent="0.3">
      <c r="A642" s="4" t="s">
        <v>21</v>
      </c>
      <c r="B642" s="4" t="s">
        <v>43</v>
      </c>
      <c r="C642" s="4" t="s">
        <v>23</v>
      </c>
      <c r="D642" s="4" t="s">
        <v>44</v>
      </c>
      <c r="E642" s="4" t="s">
        <v>56</v>
      </c>
      <c r="F642" s="4" t="s">
        <v>54</v>
      </c>
      <c r="G642" s="4" t="s">
        <v>25</v>
      </c>
      <c r="H642" s="4" t="s">
        <v>25</v>
      </c>
      <c r="I642" s="5">
        <v>44593</v>
      </c>
      <c r="J642" s="6">
        <v>0</v>
      </c>
      <c r="K642" s="6">
        <v>0</v>
      </c>
      <c r="L642" s="6">
        <v>9.0630000000000006</v>
      </c>
      <c r="M642" s="6">
        <v>9.0630000000000006</v>
      </c>
      <c r="N642" s="6">
        <v>9.0630000000000006</v>
      </c>
      <c r="O642" s="6">
        <v>9.0630000000000006</v>
      </c>
      <c r="P642" s="6">
        <v>0</v>
      </c>
      <c r="Q642" s="4" t="s">
        <v>26</v>
      </c>
      <c r="R642" s="4">
        <v>0</v>
      </c>
      <c r="S642" s="6">
        <v>0</v>
      </c>
      <c r="T642" s="6">
        <v>43</v>
      </c>
      <c r="U642" s="6">
        <v>84</v>
      </c>
      <c r="V642" s="6">
        <f>IF(ISERROR(VLOOKUP($S$642,'TAR FIN'!$A$1:$O$103,15,0)),0,VLOOKUP($S$642,'TAR FIN'!$A$1:$O$103,15,0))</f>
        <v>0</v>
      </c>
      <c r="W642" s="6">
        <f>IF(ISERROR(VLOOKUP($T$642,'TAR FIN'!$A$1:$O$103,15,0)),0,VLOOKUP($T$642,'TAR FIN'!$A$1:$O$103,15,0))</f>
        <v>334.07</v>
      </c>
      <c r="X642" s="6">
        <f>IF(ISERROR(VLOOKUP($U$642,'TAR FIN'!$A$1:$O$103,15,0)),0,VLOOKUP($U$642,'TAR FIN'!$A$1:$O$103,15,0))</f>
        <v>224.55</v>
      </c>
      <c r="Y642" s="6"/>
      <c r="Z642" s="6">
        <f ca="1">('TUSD BE'!$AM$45+'TUSD BF'!$AM$45+'TUSD CVA'!$AM$45)*(1-CUSTOS!$M$38)</f>
        <v>453.14332034419533</v>
      </c>
      <c r="AA642" s="6">
        <f>('TE BE'!$AB$26+'TE BF'!$AB$26+'TE CVA'!$AB$26)*(1-CUSTOS!$M$38)</f>
        <v>219.98233758978921</v>
      </c>
      <c r="AB642" s="6">
        <f>$K$642*$V$642</f>
        <v>0</v>
      </c>
      <c r="AC642" s="6">
        <f>$M$642*$W$642</f>
        <v>3027.67641</v>
      </c>
      <c r="AD642" s="6">
        <f>$O$642*$X$642</f>
        <v>2035.0966500000002</v>
      </c>
      <c r="AE642" s="6">
        <f>$K$642*$Y$642</f>
        <v>0</v>
      </c>
      <c r="AF642" s="6">
        <f ca="1">$M$642*$Z$642</f>
        <v>4106.8379122794422</v>
      </c>
      <c r="AG642" s="6">
        <f>$O$642*$AA$642</f>
        <v>1993.6999255762598</v>
      </c>
    </row>
    <row r="643" spans="1:33" ht="11.25" customHeight="1" x14ac:dyDescent="0.3">
      <c r="A643" s="4" t="s">
        <v>28</v>
      </c>
      <c r="B643" s="4" t="s">
        <v>43</v>
      </c>
      <c r="C643" s="4" t="s">
        <v>23</v>
      </c>
      <c r="D643" s="4" t="s">
        <v>44</v>
      </c>
      <c r="E643" s="4" t="s">
        <v>56</v>
      </c>
      <c r="F643" s="4" t="s">
        <v>54</v>
      </c>
      <c r="G643" s="4" t="s">
        <v>25</v>
      </c>
      <c r="H643" s="4" t="s">
        <v>25</v>
      </c>
      <c r="I643" s="5">
        <v>44593</v>
      </c>
      <c r="J643" s="6">
        <v>0</v>
      </c>
      <c r="K643" s="6">
        <v>0</v>
      </c>
      <c r="L643" s="6">
        <v>0.318</v>
      </c>
      <c r="M643" s="6">
        <v>0.318</v>
      </c>
      <c r="N643" s="6">
        <v>0.318</v>
      </c>
      <c r="O643" s="6">
        <v>0.318</v>
      </c>
      <c r="P643" s="6">
        <v>0</v>
      </c>
      <c r="Q643" s="4" t="s">
        <v>26</v>
      </c>
      <c r="R643" s="4">
        <v>0</v>
      </c>
      <c r="S643" s="6">
        <v>0</v>
      </c>
      <c r="T643" s="6">
        <v>43</v>
      </c>
      <c r="U643" s="6">
        <v>84</v>
      </c>
      <c r="V643" s="6">
        <f>IF(ISERROR(VLOOKUP($S$643,'TAR FIN'!$A$1:$O$103,15,0)),0,VLOOKUP($S$643,'TAR FIN'!$A$1:$O$103,15,0))</f>
        <v>0</v>
      </c>
      <c r="W643" s="6">
        <f>IF(ISERROR(VLOOKUP($T$643,'TAR FIN'!$A$1:$O$103,15,0)),0,VLOOKUP($T$643,'TAR FIN'!$A$1:$O$103,15,0))</f>
        <v>334.07</v>
      </c>
      <c r="X643" s="6">
        <f>IF(ISERROR(VLOOKUP($U$643,'TAR FIN'!$A$1:$O$103,15,0)),0,VLOOKUP($U$643,'TAR FIN'!$A$1:$O$103,15,0))</f>
        <v>224.55</v>
      </c>
      <c r="Y643" s="6"/>
      <c r="Z643" s="6">
        <f ca="1">('TUSD BE'!$AM$45+'TUSD BF'!$AM$45+'TUSD CVA'!$AM$45)*(1-CUSTOS!$M$38)</f>
        <v>453.14332034419533</v>
      </c>
      <c r="AA643" s="6">
        <f>('TE BE'!$AB$26+'TE BF'!$AB$26+'TE CVA'!$AB$26)*(1-CUSTOS!$M$38)</f>
        <v>219.98233758978921</v>
      </c>
      <c r="AB643" s="6">
        <f>$K$643*$V$643</f>
        <v>0</v>
      </c>
      <c r="AC643" s="6">
        <f>$M$643*$W$643</f>
        <v>106.23426000000001</v>
      </c>
      <c r="AD643" s="6">
        <f>$O$643*$X$643</f>
        <v>71.406900000000007</v>
      </c>
      <c r="AE643" s="6">
        <f>$K$643*$Y$643</f>
        <v>0</v>
      </c>
      <c r="AF643" s="6">
        <f ca="1">$M$643*$Z$643</f>
        <v>144.09957586945413</v>
      </c>
      <c r="AG643" s="6">
        <f>$O$643*$AA$643</f>
        <v>69.95438335355297</v>
      </c>
    </row>
    <row r="644" spans="1:33" ht="11.25" customHeight="1" x14ac:dyDescent="0.3">
      <c r="A644" s="4" t="s">
        <v>21</v>
      </c>
      <c r="B644" s="4" t="s">
        <v>43</v>
      </c>
      <c r="C644" s="4" t="s">
        <v>23</v>
      </c>
      <c r="D644" s="4" t="s">
        <v>44</v>
      </c>
      <c r="E644" s="4" t="s">
        <v>56</v>
      </c>
      <c r="F644" s="4" t="s">
        <v>54</v>
      </c>
      <c r="G644" s="4" t="s">
        <v>25</v>
      </c>
      <c r="H644" s="4" t="s">
        <v>25</v>
      </c>
      <c r="I644" s="5">
        <v>44621</v>
      </c>
      <c r="J644" s="6">
        <v>0</v>
      </c>
      <c r="K644" s="6">
        <v>0</v>
      </c>
      <c r="L644" s="6">
        <v>8.8219999999999992</v>
      </c>
      <c r="M644" s="6">
        <v>8.8219999999999992</v>
      </c>
      <c r="N644" s="6">
        <v>8.8219999999999992</v>
      </c>
      <c r="O644" s="6">
        <v>8.8219999999999992</v>
      </c>
      <c r="P644" s="6">
        <v>0</v>
      </c>
      <c r="Q644" s="4" t="s">
        <v>26</v>
      </c>
      <c r="R644" s="4">
        <v>0</v>
      </c>
      <c r="S644" s="6">
        <v>0</v>
      </c>
      <c r="T644" s="6">
        <v>43</v>
      </c>
      <c r="U644" s="6">
        <v>84</v>
      </c>
      <c r="V644" s="6">
        <f>IF(ISERROR(VLOOKUP($S$644,'TAR FIN'!$A$1:$O$103,15,0)),0,VLOOKUP($S$644,'TAR FIN'!$A$1:$O$103,15,0))</f>
        <v>0</v>
      </c>
      <c r="W644" s="6">
        <f>IF(ISERROR(VLOOKUP($T$644,'TAR FIN'!$A$1:$O$103,15,0)),0,VLOOKUP($T$644,'TAR FIN'!$A$1:$O$103,15,0))</f>
        <v>334.07</v>
      </c>
      <c r="X644" s="6">
        <f>IF(ISERROR(VLOOKUP($U$644,'TAR FIN'!$A$1:$O$103,15,0)),0,VLOOKUP($U$644,'TAR FIN'!$A$1:$O$103,15,0))</f>
        <v>224.55</v>
      </c>
      <c r="Y644" s="6"/>
      <c r="Z644" s="6">
        <f ca="1">('TUSD BE'!$AM$45+'TUSD BF'!$AM$45+'TUSD CVA'!$AM$45)*(1-CUSTOS!$M$38)</f>
        <v>453.14332034419533</v>
      </c>
      <c r="AA644" s="6">
        <f>('TE BE'!$AB$26+'TE BF'!$AB$26+'TE CVA'!$AB$26)*(1-CUSTOS!$M$38)</f>
        <v>219.98233758978921</v>
      </c>
      <c r="AB644" s="6">
        <f>$K$644*$V$644</f>
        <v>0</v>
      </c>
      <c r="AC644" s="6">
        <f>$M$644*$W$644</f>
        <v>2947.1655399999995</v>
      </c>
      <c r="AD644" s="6">
        <f>$O$644*$X$644</f>
        <v>1980.9801</v>
      </c>
      <c r="AE644" s="6">
        <f>$K$644*$Y$644</f>
        <v>0</v>
      </c>
      <c r="AF644" s="6">
        <f ca="1">$M$644*$Z$644</f>
        <v>3997.6303720764909</v>
      </c>
      <c r="AG644" s="6">
        <f>$O$644*$AA$644</f>
        <v>1940.6841822171202</v>
      </c>
    </row>
    <row r="645" spans="1:33" ht="11.25" customHeight="1" x14ac:dyDescent="0.3">
      <c r="A645" s="4" t="s">
        <v>28</v>
      </c>
      <c r="B645" s="4" t="s">
        <v>43</v>
      </c>
      <c r="C645" s="4" t="s">
        <v>23</v>
      </c>
      <c r="D645" s="4" t="s">
        <v>44</v>
      </c>
      <c r="E645" s="4" t="s">
        <v>56</v>
      </c>
      <c r="F645" s="4" t="s">
        <v>54</v>
      </c>
      <c r="G645" s="4" t="s">
        <v>25</v>
      </c>
      <c r="H645" s="4" t="s">
        <v>25</v>
      </c>
      <c r="I645" s="5">
        <v>44621</v>
      </c>
      <c r="J645" s="6">
        <v>0</v>
      </c>
      <c r="K645" s="6">
        <v>0</v>
      </c>
      <c r="L645" s="6">
        <v>0.71099999999999997</v>
      </c>
      <c r="M645" s="6">
        <v>0.71099999999999997</v>
      </c>
      <c r="N645" s="6">
        <v>0.71099999999999997</v>
      </c>
      <c r="O645" s="6">
        <v>0.71099999999999997</v>
      </c>
      <c r="P645" s="6">
        <v>0</v>
      </c>
      <c r="Q645" s="4" t="s">
        <v>26</v>
      </c>
      <c r="R645" s="4">
        <v>0</v>
      </c>
      <c r="S645" s="6">
        <v>0</v>
      </c>
      <c r="T645" s="6">
        <v>43</v>
      </c>
      <c r="U645" s="6">
        <v>84</v>
      </c>
      <c r="V645" s="6">
        <f>IF(ISERROR(VLOOKUP($S$645,'TAR FIN'!$A$1:$O$103,15,0)),0,VLOOKUP($S$645,'TAR FIN'!$A$1:$O$103,15,0))</f>
        <v>0</v>
      </c>
      <c r="W645" s="6">
        <f>IF(ISERROR(VLOOKUP($T$645,'TAR FIN'!$A$1:$O$103,15,0)),0,VLOOKUP($T$645,'TAR FIN'!$A$1:$O$103,15,0))</f>
        <v>334.07</v>
      </c>
      <c r="X645" s="6">
        <f>IF(ISERROR(VLOOKUP($U$645,'TAR FIN'!$A$1:$O$103,15,0)),0,VLOOKUP($U$645,'TAR FIN'!$A$1:$O$103,15,0))</f>
        <v>224.55</v>
      </c>
      <c r="Y645" s="6"/>
      <c r="Z645" s="6">
        <f ca="1">('TUSD BE'!$AM$45+'TUSD BF'!$AM$45+'TUSD CVA'!$AM$45)*(1-CUSTOS!$M$38)</f>
        <v>453.14332034419533</v>
      </c>
      <c r="AA645" s="6">
        <f>('TE BE'!$AB$26+'TE BF'!$AB$26+'TE CVA'!$AB$26)*(1-CUSTOS!$M$38)</f>
        <v>219.98233758978921</v>
      </c>
      <c r="AB645" s="6">
        <f>$K$645*$V$645</f>
        <v>0</v>
      </c>
      <c r="AC645" s="6">
        <f>$M$645*$W$645</f>
        <v>237.52376999999998</v>
      </c>
      <c r="AD645" s="6">
        <f>$O$645*$X$645</f>
        <v>159.65504999999999</v>
      </c>
      <c r="AE645" s="6">
        <f>$K$645*$Y$645</f>
        <v>0</v>
      </c>
      <c r="AF645" s="6">
        <f ca="1">$M$645*$Z$645</f>
        <v>322.18490076472284</v>
      </c>
      <c r="AG645" s="6">
        <f>$O$645*$AA$645</f>
        <v>156.40744202634014</v>
      </c>
    </row>
    <row r="646" spans="1:33" ht="11.25" customHeight="1" x14ac:dyDescent="0.3">
      <c r="A646" s="4" t="s">
        <v>21</v>
      </c>
      <c r="B646" s="4" t="s">
        <v>43</v>
      </c>
      <c r="C646" s="4" t="s">
        <v>23</v>
      </c>
      <c r="D646" s="4" t="s">
        <v>44</v>
      </c>
      <c r="E646" s="4" t="s">
        <v>56</v>
      </c>
      <c r="F646" s="4" t="s">
        <v>54</v>
      </c>
      <c r="G646" s="4" t="s">
        <v>25</v>
      </c>
      <c r="H646" s="4" t="s">
        <v>25</v>
      </c>
      <c r="I646" s="5">
        <v>44652</v>
      </c>
      <c r="J646" s="6">
        <v>0</v>
      </c>
      <c r="K646" s="6">
        <v>0</v>
      </c>
      <c r="L646" s="6">
        <v>17.407</v>
      </c>
      <c r="M646" s="6">
        <v>17.407</v>
      </c>
      <c r="N646" s="6">
        <v>17.407</v>
      </c>
      <c r="O646" s="6">
        <v>17.407</v>
      </c>
      <c r="P646" s="6">
        <v>0</v>
      </c>
      <c r="Q646" s="4" t="s">
        <v>26</v>
      </c>
      <c r="R646" s="4">
        <v>0</v>
      </c>
      <c r="S646" s="6">
        <v>0</v>
      </c>
      <c r="T646" s="6">
        <v>43</v>
      </c>
      <c r="U646" s="6">
        <v>84</v>
      </c>
      <c r="V646" s="6">
        <f>IF(ISERROR(VLOOKUP($S$646,'TAR FIN'!$A$1:$O$103,15,0)),0,VLOOKUP($S$646,'TAR FIN'!$A$1:$O$103,15,0))</f>
        <v>0</v>
      </c>
      <c r="W646" s="6">
        <f>IF(ISERROR(VLOOKUP($T$646,'TAR FIN'!$A$1:$O$103,15,0)),0,VLOOKUP($T$646,'TAR FIN'!$A$1:$O$103,15,0))</f>
        <v>334.07</v>
      </c>
      <c r="X646" s="6">
        <f>IF(ISERROR(VLOOKUP($U$646,'TAR FIN'!$A$1:$O$103,15,0)),0,VLOOKUP($U$646,'TAR FIN'!$A$1:$O$103,15,0))</f>
        <v>224.55</v>
      </c>
      <c r="Y646" s="6"/>
      <c r="Z646" s="6">
        <f ca="1">('TUSD BE'!$AM$45+'TUSD BF'!$AM$45+'TUSD CVA'!$AM$45)*(1-CUSTOS!$M$38)</f>
        <v>453.14332034419533</v>
      </c>
      <c r="AA646" s="6">
        <f>('TE BE'!$AB$26+'TE BF'!$AB$26+'TE CVA'!$AB$26)*(1-CUSTOS!$M$38)</f>
        <v>219.98233758978921</v>
      </c>
      <c r="AB646" s="6">
        <f>$K$646*$V$646</f>
        <v>0</v>
      </c>
      <c r="AC646" s="6">
        <f>$M$646*$W$646</f>
        <v>5815.1564900000003</v>
      </c>
      <c r="AD646" s="6">
        <f>$O$646*$X$646</f>
        <v>3908.7418500000003</v>
      </c>
      <c r="AE646" s="6">
        <f>$K$646*$Y$646</f>
        <v>0</v>
      </c>
      <c r="AF646" s="6">
        <f ca="1">$M$646*$Z$646</f>
        <v>7887.8657772314082</v>
      </c>
      <c r="AG646" s="6">
        <f>$O$646*$AA$646</f>
        <v>3829.2325504254609</v>
      </c>
    </row>
    <row r="647" spans="1:33" ht="11.25" customHeight="1" x14ac:dyDescent="0.3">
      <c r="A647" s="4" t="s">
        <v>28</v>
      </c>
      <c r="B647" s="4" t="s">
        <v>43</v>
      </c>
      <c r="C647" s="4" t="s">
        <v>23</v>
      </c>
      <c r="D647" s="4" t="s">
        <v>44</v>
      </c>
      <c r="E647" s="4" t="s">
        <v>56</v>
      </c>
      <c r="F647" s="4" t="s">
        <v>54</v>
      </c>
      <c r="G647" s="4" t="s">
        <v>25</v>
      </c>
      <c r="H647" s="4" t="s">
        <v>25</v>
      </c>
      <c r="I647" s="5">
        <v>44652</v>
      </c>
      <c r="J647" s="6">
        <v>0</v>
      </c>
      <c r="K647" s="6">
        <v>0</v>
      </c>
      <c r="L647" s="6">
        <v>0.83199999999999996</v>
      </c>
      <c r="M647" s="6">
        <v>0.83199999999999996</v>
      </c>
      <c r="N647" s="6">
        <v>0.83199999999999996</v>
      </c>
      <c r="O647" s="6">
        <v>0.83199999999999996</v>
      </c>
      <c r="P647" s="6">
        <v>0</v>
      </c>
      <c r="Q647" s="4" t="s">
        <v>26</v>
      </c>
      <c r="R647" s="4">
        <v>0</v>
      </c>
      <c r="S647" s="6">
        <v>0</v>
      </c>
      <c r="T647" s="6">
        <v>43</v>
      </c>
      <c r="U647" s="6">
        <v>84</v>
      </c>
      <c r="V647" s="6">
        <f>IF(ISERROR(VLOOKUP($S$647,'TAR FIN'!$A$1:$O$103,15,0)),0,VLOOKUP($S$647,'TAR FIN'!$A$1:$O$103,15,0))</f>
        <v>0</v>
      </c>
      <c r="W647" s="6">
        <f>IF(ISERROR(VLOOKUP($T$647,'TAR FIN'!$A$1:$O$103,15,0)),0,VLOOKUP($T$647,'TAR FIN'!$A$1:$O$103,15,0))</f>
        <v>334.07</v>
      </c>
      <c r="X647" s="6">
        <f>IF(ISERROR(VLOOKUP($U$647,'TAR FIN'!$A$1:$O$103,15,0)),0,VLOOKUP($U$647,'TAR FIN'!$A$1:$O$103,15,0))</f>
        <v>224.55</v>
      </c>
      <c r="Y647" s="6"/>
      <c r="Z647" s="6">
        <f ca="1">('TUSD BE'!$AM$45+'TUSD BF'!$AM$45+'TUSD CVA'!$AM$45)*(1-CUSTOS!$M$38)</f>
        <v>453.14332034419533</v>
      </c>
      <c r="AA647" s="6">
        <f>('TE BE'!$AB$26+'TE BF'!$AB$26+'TE CVA'!$AB$26)*(1-CUSTOS!$M$38)</f>
        <v>219.98233758978921</v>
      </c>
      <c r="AB647" s="6">
        <f>$K$647*$V$647</f>
        <v>0</v>
      </c>
      <c r="AC647" s="6">
        <f>$M$647*$W$647</f>
        <v>277.94623999999999</v>
      </c>
      <c r="AD647" s="6">
        <f>$O$647*$X$647</f>
        <v>186.82560000000001</v>
      </c>
      <c r="AE647" s="6">
        <f>$K$647*$Y$647</f>
        <v>0</v>
      </c>
      <c r="AF647" s="6">
        <f ca="1">$M$647*$Z$647</f>
        <v>377.01524252637051</v>
      </c>
      <c r="AG647" s="6">
        <f>$O$647*$AA$647</f>
        <v>183.0253048747046</v>
      </c>
    </row>
    <row r="648" spans="1:33" ht="11.25" customHeight="1" x14ac:dyDescent="0.3">
      <c r="A648" s="4" t="s">
        <v>21</v>
      </c>
      <c r="B648" s="4" t="s">
        <v>43</v>
      </c>
      <c r="C648" s="4" t="s">
        <v>23</v>
      </c>
      <c r="D648" s="4" t="s">
        <v>44</v>
      </c>
      <c r="E648" s="4" t="s">
        <v>56</v>
      </c>
      <c r="F648" s="4" t="s">
        <v>54</v>
      </c>
      <c r="G648" s="4" t="s">
        <v>25</v>
      </c>
      <c r="H648" s="4" t="s">
        <v>25</v>
      </c>
      <c r="I648" s="5">
        <v>44682</v>
      </c>
      <c r="J648" s="6">
        <v>0</v>
      </c>
      <c r="K648" s="6">
        <v>0</v>
      </c>
      <c r="L648" s="6">
        <v>9.9469999999999992</v>
      </c>
      <c r="M648" s="6">
        <v>9.9469999999999992</v>
      </c>
      <c r="N648" s="6">
        <v>9.9469999999999992</v>
      </c>
      <c r="O648" s="6">
        <v>9.9469999999999992</v>
      </c>
      <c r="P648" s="6">
        <v>0</v>
      </c>
      <c r="Q648" s="4" t="s">
        <v>26</v>
      </c>
      <c r="R648" s="4">
        <v>0</v>
      </c>
      <c r="S648" s="6">
        <v>0</v>
      </c>
      <c r="T648" s="6">
        <v>43</v>
      </c>
      <c r="U648" s="6">
        <v>84</v>
      </c>
      <c r="V648" s="6">
        <f>IF(ISERROR(VLOOKUP($S$648,'TAR FIN'!$A$1:$O$103,15,0)),0,VLOOKUP($S$648,'TAR FIN'!$A$1:$O$103,15,0))</f>
        <v>0</v>
      </c>
      <c r="W648" s="6">
        <f>IF(ISERROR(VLOOKUP($T$648,'TAR FIN'!$A$1:$O$103,15,0)),0,VLOOKUP($T$648,'TAR FIN'!$A$1:$O$103,15,0))</f>
        <v>334.07</v>
      </c>
      <c r="X648" s="6">
        <f>IF(ISERROR(VLOOKUP($U$648,'TAR FIN'!$A$1:$O$103,15,0)),0,VLOOKUP($U$648,'TAR FIN'!$A$1:$O$103,15,0))</f>
        <v>224.55</v>
      </c>
      <c r="Y648" s="6"/>
      <c r="Z648" s="6">
        <f ca="1">('TUSD BE'!$AM$45+'TUSD BF'!$AM$45+'TUSD CVA'!$AM$45)*(1-CUSTOS!$M$38)</f>
        <v>453.14332034419533</v>
      </c>
      <c r="AA648" s="6">
        <f>('TE BE'!$AB$26+'TE BF'!$AB$26+'TE CVA'!$AB$26)*(1-CUSTOS!$M$38)</f>
        <v>219.98233758978921</v>
      </c>
      <c r="AB648" s="6">
        <f>$K$648*$V$648</f>
        <v>0</v>
      </c>
      <c r="AC648" s="6">
        <f>$M$648*$W$648</f>
        <v>3322.9942899999996</v>
      </c>
      <c r="AD648" s="6">
        <f>$O$648*$X$648</f>
        <v>2233.5988499999999</v>
      </c>
      <c r="AE648" s="6">
        <f>$K$648*$Y$648</f>
        <v>0</v>
      </c>
      <c r="AF648" s="6">
        <f ca="1">$M$648*$Z$648</f>
        <v>4507.4166074637105</v>
      </c>
      <c r="AG648" s="6">
        <f>$O$648*$AA$648</f>
        <v>2188.1643120056333</v>
      </c>
    </row>
    <row r="649" spans="1:33" ht="11.25" customHeight="1" x14ac:dyDescent="0.3">
      <c r="A649" s="4" t="s">
        <v>28</v>
      </c>
      <c r="B649" s="4" t="s">
        <v>43</v>
      </c>
      <c r="C649" s="4" t="s">
        <v>23</v>
      </c>
      <c r="D649" s="4" t="s">
        <v>44</v>
      </c>
      <c r="E649" s="4" t="s">
        <v>56</v>
      </c>
      <c r="F649" s="4" t="s">
        <v>54</v>
      </c>
      <c r="G649" s="4" t="s">
        <v>25</v>
      </c>
      <c r="H649" s="4" t="s">
        <v>25</v>
      </c>
      <c r="I649" s="5">
        <v>44682</v>
      </c>
      <c r="J649" s="6">
        <v>0</v>
      </c>
      <c r="K649" s="6">
        <v>0</v>
      </c>
      <c r="L649" s="6">
        <v>4.1079999999999997</v>
      </c>
      <c r="M649" s="6">
        <v>4.1079999999999997</v>
      </c>
      <c r="N649" s="6">
        <v>4.1079999999999997</v>
      </c>
      <c r="O649" s="6">
        <v>4.1079999999999997</v>
      </c>
      <c r="P649" s="6">
        <v>0</v>
      </c>
      <c r="Q649" s="4" t="s">
        <v>26</v>
      </c>
      <c r="R649" s="4">
        <v>0</v>
      </c>
      <c r="S649" s="6">
        <v>0</v>
      </c>
      <c r="T649" s="6">
        <v>43</v>
      </c>
      <c r="U649" s="6">
        <v>84</v>
      </c>
      <c r="V649" s="6">
        <f>IF(ISERROR(VLOOKUP($S$649,'TAR FIN'!$A$1:$O$103,15,0)),0,VLOOKUP($S$649,'TAR FIN'!$A$1:$O$103,15,0))</f>
        <v>0</v>
      </c>
      <c r="W649" s="6">
        <f>IF(ISERROR(VLOOKUP($T$649,'TAR FIN'!$A$1:$O$103,15,0)),0,VLOOKUP($T$649,'TAR FIN'!$A$1:$O$103,15,0))</f>
        <v>334.07</v>
      </c>
      <c r="X649" s="6">
        <f>IF(ISERROR(VLOOKUP($U$649,'TAR FIN'!$A$1:$O$103,15,0)),0,VLOOKUP($U$649,'TAR FIN'!$A$1:$O$103,15,0))</f>
        <v>224.55</v>
      </c>
      <c r="Y649" s="6"/>
      <c r="Z649" s="6">
        <f ca="1">('TUSD BE'!$AM$45+'TUSD BF'!$AM$45+'TUSD CVA'!$AM$45)*(1-CUSTOS!$M$38)</f>
        <v>453.14332034419533</v>
      </c>
      <c r="AA649" s="6">
        <f>('TE BE'!$AB$26+'TE BF'!$AB$26+'TE CVA'!$AB$26)*(1-CUSTOS!$M$38)</f>
        <v>219.98233758978921</v>
      </c>
      <c r="AB649" s="6">
        <f>$K$649*$V$649</f>
        <v>0</v>
      </c>
      <c r="AC649" s="6">
        <f>$M$649*$W$649</f>
        <v>1372.3595599999999</v>
      </c>
      <c r="AD649" s="6">
        <f>$O$649*$X$649</f>
        <v>922.45139999999992</v>
      </c>
      <c r="AE649" s="6">
        <f>$K$649*$Y$649</f>
        <v>0</v>
      </c>
      <c r="AF649" s="6">
        <f ca="1">$M$649*$Z$649</f>
        <v>1861.5127599739542</v>
      </c>
      <c r="AG649" s="6">
        <f>$O$649*$AA$649</f>
        <v>903.68744281885404</v>
      </c>
    </row>
    <row r="650" spans="1:33" ht="11.25" customHeight="1" x14ac:dyDescent="0.3">
      <c r="A650" s="4" t="s">
        <v>21</v>
      </c>
      <c r="B650" s="4" t="s">
        <v>43</v>
      </c>
      <c r="C650" s="4" t="s">
        <v>23</v>
      </c>
      <c r="D650" s="4" t="s">
        <v>44</v>
      </c>
      <c r="E650" s="4" t="s">
        <v>56</v>
      </c>
      <c r="F650" s="4" t="s">
        <v>54</v>
      </c>
      <c r="G650" s="4" t="s">
        <v>25</v>
      </c>
      <c r="H650" s="4" t="s">
        <v>25</v>
      </c>
      <c r="I650" s="5">
        <v>44713</v>
      </c>
      <c r="J650" s="6">
        <v>0</v>
      </c>
      <c r="K650" s="6">
        <v>0</v>
      </c>
      <c r="L650" s="6">
        <v>9.6579999999999995</v>
      </c>
      <c r="M650" s="6">
        <v>9.6579999999999995</v>
      </c>
      <c r="N650" s="6">
        <v>9.6579999999999995</v>
      </c>
      <c r="O650" s="6">
        <v>9.6579999999999995</v>
      </c>
      <c r="P650" s="6">
        <v>0</v>
      </c>
      <c r="Q650" s="4" t="s">
        <v>26</v>
      </c>
      <c r="R650" s="4">
        <v>0</v>
      </c>
      <c r="S650" s="6">
        <v>0</v>
      </c>
      <c r="T650" s="6">
        <v>43</v>
      </c>
      <c r="U650" s="6">
        <v>84</v>
      </c>
      <c r="V650" s="6">
        <f>IF(ISERROR(VLOOKUP($S$650,'TAR FIN'!$A$1:$O$103,15,0)),0,VLOOKUP($S$650,'TAR FIN'!$A$1:$O$103,15,0))</f>
        <v>0</v>
      </c>
      <c r="W650" s="6">
        <f>IF(ISERROR(VLOOKUP($T$650,'TAR FIN'!$A$1:$O$103,15,0)),0,VLOOKUP($T$650,'TAR FIN'!$A$1:$O$103,15,0))</f>
        <v>334.07</v>
      </c>
      <c r="X650" s="6">
        <f>IF(ISERROR(VLOOKUP($U$650,'TAR FIN'!$A$1:$O$103,15,0)),0,VLOOKUP($U$650,'TAR FIN'!$A$1:$O$103,15,0))</f>
        <v>224.55</v>
      </c>
      <c r="Y650" s="6"/>
      <c r="Z650" s="6">
        <f ca="1">('TUSD BE'!$AM$45+'TUSD BF'!$AM$45+'TUSD CVA'!$AM$45)*(1-CUSTOS!$M$38)</f>
        <v>453.14332034419533</v>
      </c>
      <c r="AA650" s="6">
        <f>('TE BE'!$AB$26+'TE BF'!$AB$26+'TE CVA'!$AB$26)*(1-CUSTOS!$M$38)</f>
        <v>219.98233758978921</v>
      </c>
      <c r="AB650" s="6">
        <f>$K$650*$V$650</f>
        <v>0</v>
      </c>
      <c r="AC650" s="6">
        <f>$M$650*$W$650</f>
        <v>3226.4480599999997</v>
      </c>
      <c r="AD650" s="6">
        <f>$O$650*$X$650</f>
        <v>2168.7039</v>
      </c>
      <c r="AE650" s="6">
        <f>$K$650*$Y$650</f>
        <v>0</v>
      </c>
      <c r="AF650" s="6">
        <f ca="1">$M$650*$Z$650</f>
        <v>4376.4581878842382</v>
      </c>
      <c r="AG650" s="6">
        <f>$O$650*$AA$650</f>
        <v>2124.5894164421843</v>
      </c>
    </row>
    <row r="651" spans="1:33" ht="11.25" customHeight="1" x14ac:dyDescent="0.3">
      <c r="A651" s="4" t="s">
        <v>28</v>
      </c>
      <c r="B651" s="4" t="s">
        <v>43</v>
      </c>
      <c r="C651" s="4" t="s">
        <v>23</v>
      </c>
      <c r="D651" s="4" t="s">
        <v>44</v>
      </c>
      <c r="E651" s="4" t="s">
        <v>56</v>
      </c>
      <c r="F651" s="4" t="s">
        <v>54</v>
      </c>
      <c r="G651" s="4" t="s">
        <v>25</v>
      </c>
      <c r="H651" s="4" t="s">
        <v>25</v>
      </c>
      <c r="I651" s="5">
        <v>44713</v>
      </c>
      <c r="J651" s="6">
        <v>0</v>
      </c>
      <c r="K651" s="6">
        <v>0</v>
      </c>
      <c r="L651" s="6">
        <v>1.2729999999999999</v>
      </c>
      <c r="M651" s="6">
        <v>1.2729999999999999</v>
      </c>
      <c r="N651" s="6">
        <v>1.2729999999999999</v>
      </c>
      <c r="O651" s="6">
        <v>1.2729999999999999</v>
      </c>
      <c r="P651" s="6">
        <v>0</v>
      </c>
      <c r="Q651" s="4" t="s">
        <v>26</v>
      </c>
      <c r="R651" s="4">
        <v>0</v>
      </c>
      <c r="S651" s="6">
        <v>0</v>
      </c>
      <c r="T651" s="6">
        <v>43</v>
      </c>
      <c r="U651" s="6">
        <v>84</v>
      </c>
      <c r="V651" s="6">
        <f>IF(ISERROR(VLOOKUP($S$651,'TAR FIN'!$A$1:$O$103,15,0)),0,VLOOKUP($S$651,'TAR FIN'!$A$1:$O$103,15,0))</f>
        <v>0</v>
      </c>
      <c r="W651" s="6">
        <f>IF(ISERROR(VLOOKUP($T$651,'TAR FIN'!$A$1:$O$103,15,0)),0,VLOOKUP($T$651,'TAR FIN'!$A$1:$O$103,15,0))</f>
        <v>334.07</v>
      </c>
      <c r="X651" s="6">
        <f>IF(ISERROR(VLOOKUP($U$651,'TAR FIN'!$A$1:$O$103,15,0)),0,VLOOKUP($U$651,'TAR FIN'!$A$1:$O$103,15,0))</f>
        <v>224.55</v>
      </c>
      <c r="Y651" s="6"/>
      <c r="Z651" s="6">
        <f ca="1">('TUSD BE'!$AM$45+'TUSD BF'!$AM$45+'TUSD CVA'!$AM$45)*(1-CUSTOS!$M$38)</f>
        <v>453.14332034419533</v>
      </c>
      <c r="AA651" s="6">
        <f>('TE BE'!$AB$26+'TE BF'!$AB$26+'TE CVA'!$AB$26)*(1-CUSTOS!$M$38)</f>
        <v>219.98233758978921</v>
      </c>
      <c r="AB651" s="6">
        <f>$K$651*$V$651</f>
        <v>0</v>
      </c>
      <c r="AC651" s="6">
        <f>$M$651*$W$651</f>
        <v>425.27110999999996</v>
      </c>
      <c r="AD651" s="6">
        <f>$O$651*$X$651</f>
        <v>285.85214999999999</v>
      </c>
      <c r="AE651" s="6">
        <f>$K$651*$Y$651</f>
        <v>0</v>
      </c>
      <c r="AF651" s="6">
        <f ca="1">$M$651*$Z$651</f>
        <v>576.85144679816062</v>
      </c>
      <c r="AG651" s="6">
        <f>$O$651*$AA$651</f>
        <v>280.03751575180166</v>
      </c>
    </row>
    <row r="652" spans="1:33" ht="11.25" customHeight="1" x14ac:dyDescent="0.3">
      <c r="A652" s="4" t="s">
        <v>21</v>
      </c>
      <c r="B652" s="4" t="s">
        <v>43</v>
      </c>
      <c r="C652" s="4" t="s">
        <v>23</v>
      </c>
      <c r="D652" s="4" t="s">
        <v>44</v>
      </c>
      <c r="E652" s="4" t="s">
        <v>56</v>
      </c>
      <c r="F652" s="4" t="s">
        <v>54</v>
      </c>
      <c r="G652" s="4" t="s">
        <v>25</v>
      </c>
      <c r="H652" s="4" t="s">
        <v>25</v>
      </c>
      <c r="I652" s="5">
        <v>44743</v>
      </c>
      <c r="J652" s="6">
        <v>0</v>
      </c>
      <c r="K652" s="6">
        <v>0</v>
      </c>
      <c r="L652" s="6">
        <v>12.952</v>
      </c>
      <c r="M652" s="6">
        <v>12.952</v>
      </c>
      <c r="N652" s="6">
        <v>12.952</v>
      </c>
      <c r="O652" s="6">
        <v>12.952</v>
      </c>
      <c r="P652" s="6">
        <v>0</v>
      </c>
      <c r="Q652" s="4" t="s">
        <v>26</v>
      </c>
      <c r="R652" s="4">
        <v>0</v>
      </c>
      <c r="S652" s="6">
        <v>0</v>
      </c>
      <c r="T652" s="6">
        <v>43</v>
      </c>
      <c r="U652" s="6">
        <v>84</v>
      </c>
      <c r="V652" s="6">
        <f>IF(ISERROR(VLOOKUP($S$652,'TAR FIN'!$A$1:$O$103,15,0)),0,VLOOKUP($S$652,'TAR FIN'!$A$1:$O$103,15,0))</f>
        <v>0</v>
      </c>
      <c r="W652" s="6">
        <f>IF(ISERROR(VLOOKUP($T$652,'TAR FIN'!$A$1:$O$103,15,0)),0,VLOOKUP($T$652,'TAR FIN'!$A$1:$O$103,15,0))</f>
        <v>334.07</v>
      </c>
      <c r="X652" s="6">
        <f>IF(ISERROR(VLOOKUP($U$652,'TAR FIN'!$A$1:$O$103,15,0)),0,VLOOKUP($U$652,'TAR FIN'!$A$1:$O$103,15,0))</f>
        <v>224.55</v>
      </c>
      <c r="Y652" s="6"/>
      <c r="Z652" s="6">
        <f ca="1">('TUSD BE'!$AM$45+'TUSD BF'!$AM$45+'TUSD CVA'!$AM$45)*(1-CUSTOS!$M$38)</f>
        <v>453.14332034419533</v>
      </c>
      <c r="AA652" s="6">
        <f>('TE BE'!$AB$26+'TE BF'!$AB$26+'TE CVA'!$AB$26)*(1-CUSTOS!$M$38)</f>
        <v>219.98233758978921</v>
      </c>
      <c r="AB652" s="6">
        <f>$K$652*$V$652</f>
        <v>0</v>
      </c>
      <c r="AC652" s="6">
        <f>$M$652*$W$652</f>
        <v>4326.87464</v>
      </c>
      <c r="AD652" s="6">
        <f>$O$652*$X$652</f>
        <v>2908.3715999999999</v>
      </c>
      <c r="AE652" s="6">
        <f>$K$652*$Y$652</f>
        <v>0</v>
      </c>
      <c r="AF652" s="6">
        <f ca="1">$M$652*$Z$652</f>
        <v>5869.1122850980182</v>
      </c>
      <c r="AG652" s="6">
        <f>$O$652*$AA$652</f>
        <v>2849.2112364629497</v>
      </c>
    </row>
    <row r="653" spans="1:33" ht="11.25" customHeight="1" x14ac:dyDescent="0.3">
      <c r="A653" s="4" t="s">
        <v>28</v>
      </c>
      <c r="B653" s="4" t="s">
        <v>43</v>
      </c>
      <c r="C653" s="4" t="s">
        <v>23</v>
      </c>
      <c r="D653" s="4" t="s">
        <v>44</v>
      </c>
      <c r="E653" s="4" t="s">
        <v>56</v>
      </c>
      <c r="F653" s="4" t="s">
        <v>54</v>
      </c>
      <c r="G653" s="4" t="s">
        <v>25</v>
      </c>
      <c r="H653" s="4" t="s">
        <v>25</v>
      </c>
      <c r="I653" s="5">
        <v>44743</v>
      </c>
      <c r="J653" s="6">
        <v>0</v>
      </c>
      <c r="K653" s="6">
        <v>0</v>
      </c>
      <c r="L653" s="6">
        <v>0.16300000000000001</v>
      </c>
      <c r="M653" s="6">
        <v>0.16300000000000001</v>
      </c>
      <c r="N653" s="6">
        <v>0.16300000000000001</v>
      </c>
      <c r="O653" s="6">
        <v>0.16300000000000001</v>
      </c>
      <c r="P653" s="6">
        <v>0</v>
      </c>
      <c r="Q653" s="4" t="s">
        <v>26</v>
      </c>
      <c r="R653" s="4">
        <v>0</v>
      </c>
      <c r="S653" s="6">
        <v>0</v>
      </c>
      <c r="T653" s="6">
        <v>43</v>
      </c>
      <c r="U653" s="6">
        <v>84</v>
      </c>
      <c r="V653" s="6">
        <f>IF(ISERROR(VLOOKUP($S$653,'TAR FIN'!$A$1:$O$103,15,0)),0,VLOOKUP($S$653,'TAR FIN'!$A$1:$O$103,15,0))</f>
        <v>0</v>
      </c>
      <c r="W653" s="6">
        <f>IF(ISERROR(VLOOKUP($T$653,'TAR FIN'!$A$1:$O$103,15,0)),0,VLOOKUP($T$653,'TAR FIN'!$A$1:$O$103,15,0))</f>
        <v>334.07</v>
      </c>
      <c r="X653" s="6">
        <f>IF(ISERROR(VLOOKUP($U$653,'TAR FIN'!$A$1:$O$103,15,0)),0,VLOOKUP($U$653,'TAR FIN'!$A$1:$O$103,15,0))</f>
        <v>224.55</v>
      </c>
      <c r="Y653" s="6"/>
      <c r="Z653" s="6">
        <f ca="1">('TUSD BE'!$AM$45+'TUSD BF'!$AM$45+'TUSD CVA'!$AM$45)*(1-CUSTOS!$M$38)</f>
        <v>453.14332034419533</v>
      </c>
      <c r="AA653" s="6">
        <f>('TE BE'!$AB$26+'TE BF'!$AB$26+'TE CVA'!$AB$26)*(1-CUSTOS!$M$38)</f>
        <v>219.98233758978921</v>
      </c>
      <c r="AB653" s="6">
        <f>$K$653*$V$653</f>
        <v>0</v>
      </c>
      <c r="AC653" s="6">
        <f>$M$653*$W$653</f>
        <v>54.453409999999998</v>
      </c>
      <c r="AD653" s="6">
        <f>$O$653*$X$653</f>
        <v>36.601650000000006</v>
      </c>
      <c r="AE653" s="6">
        <f>$K$653*$Y$653</f>
        <v>0</v>
      </c>
      <c r="AF653" s="6">
        <f ca="1">$M$653*$Z$653</f>
        <v>73.862361216103835</v>
      </c>
      <c r="AG653" s="6">
        <f>$O$653*$AA$653</f>
        <v>35.857121027135641</v>
      </c>
    </row>
    <row r="654" spans="1:33" ht="11.25" customHeight="1" x14ac:dyDescent="0.3">
      <c r="A654" s="4" t="s">
        <v>21</v>
      </c>
      <c r="B654" s="4" t="s">
        <v>43</v>
      </c>
      <c r="C654" s="4" t="s">
        <v>23</v>
      </c>
      <c r="D654" s="4" t="s">
        <v>44</v>
      </c>
      <c r="E654" s="4" t="s">
        <v>56</v>
      </c>
      <c r="F654" s="4" t="s">
        <v>54</v>
      </c>
      <c r="G654" s="4" t="s">
        <v>25</v>
      </c>
      <c r="H654" s="4" t="s">
        <v>25</v>
      </c>
      <c r="I654" s="5">
        <v>44774</v>
      </c>
      <c r="J654" s="6">
        <v>0</v>
      </c>
      <c r="K654" s="6">
        <v>0</v>
      </c>
      <c r="L654" s="6">
        <v>8.8119999999999994</v>
      </c>
      <c r="M654" s="6">
        <v>8.8119999999999994</v>
      </c>
      <c r="N654" s="6">
        <v>8.8119999999999994</v>
      </c>
      <c r="O654" s="6">
        <v>8.8119999999999994</v>
      </c>
      <c r="P654" s="6">
        <v>0</v>
      </c>
      <c r="Q654" s="4" t="s">
        <v>26</v>
      </c>
      <c r="R654" s="4">
        <v>0</v>
      </c>
      <c r="S654" s="6">
        <v>0</v>
      </c>
      <c r="T654" s="6">
        <v>43</v>
      </c>
      <c r="U654" s="6">
        <v>84</v>
      </c>
      <c r="V654" s="6">
        <f>IF(ISERROR(VLOOKUP($S$654,'TAR FIN'!$A$1:$O$103,15,0)),0,VLOOKUP($S$654,'TAR FIN'!$A$1:$O$103,15,0))</f>
        <v>0</v>
      </c>
      <c r="W654" s="6">
        <f>IF(ISERROR(VLOOKUP($T$654,'TAR FIN'!$A$1:$O$103,15,0)),0,VLOOKUP($T$654,'TAR FIN'!$A$1:$O$103,15,0))</f>
        <v>334.07</v>
      </c>
      <c r="X654" s="6">
        <f>IF(ISERROR(VLOOKUP($U$654,'TAR FIN'!$A$1:$O$103,15,0)),0,VLOOKUP($U$654,'TAR FIN'!$A$1:$O$103,15,0))</f>
        <v>224.55</v>
      </c>
      <c r="Y654" s="6"/>
      <c r="Z654" s="6">
        <f ca="1">('TUSD BE'!$AM$45+'TUSD BF'!$AM$45+'TUSD CVA'!$AM$45)*(1-CUSTOS!$M$38)</f>
        <v>453.14332034419533</v>
      </c>
      <c r="AA654" s="6">
        <f>('TE BE'!$AB$26+'TE BF'!$AB$26+'TE CVA'!$AB$26)*(1-CUSTOS!$M$38)</f>
        <v>219.98233758978921</v>
      </c>
      <c r="AB654" s="6">
        <f>$K$654*$V$654</f>
        <v>0</v>
      </c>
      <c r="AC654" s="6">
        <f>$M$654*$W$654</f>
        <v>2943.8248399999998</v>
      </c>
      <c r="AD654" s="6">
        <f>$O$654*$X$654</f>
        <v>1978.7346</v>
      </c>
      <c r="AE654" s="6">
        <f>$K$654*$Y$654</f>
        <v>0</v>
      </c>
      <c r="AF654" s="6">
        <f ca="1">$M$654*$Z$654</f>
        <v>3993.0989388730491</v>
      </c>
      <c r="AG654" s="6">
        <f>$O$654*$AA$654</f>
        <v>1938.4843588412225</v>
      </c>
    </row>
    <row r="655" spans="1:33" ht="11.25" customHeight="1" x14ac:dyDescent="0.3">
      <c r="A655" s="4" t="s">
        <v>28</v>
      </c>
      <c r="B655" s="4" t="s">
        <v>43</v>
      </c>
      <c r="C655" s="4" t="s">
        <v>23</v>
      </c>
      <c r="D655" s="4" t="s">
        <v>44</v>
      </c>
      <c r="E655" s="4" t="s">
        <v>56</v>
      </c>
      <c r="F655" s="4" t="s">
        <v>54</v>
      </c>
      <c r="G655" s="4" t="s">
        <v>25</v>
      </c>
      <c r="H655" s="4" t="s">
        <v>25</v>
      </c>
      <c r="I655" s="5">
        <v>44774</v>
      </c>
      <c r="J655" s="6">
        <v>0</v>
      </c>
      <c r="K655" s="6">
        <v>0</v>
      </c>
      <c r="L655" s="6">
        <v>2.0569999999999999</v>
      </c>
      <c r="M655" s="6">
        <v>2.0569999999999999</v>
      </c>
      <c r="N655" s="6">
        <v>2.0569999999999999</v>
      </c>
      <c r="O655" s="6">
        <v>2.0569999999999999</v>
      </c>
      <c r="P655" s="6">
        <v>0</v>
      </c>
      <c r="Q655" s="4" t="s">
        <v>26</v>
      </c>
      <c r="R655" s="4">
        <v>0</v>
      </c>
      <c r="S655" s="6">
        <v>0</v>
      </c>
      <c r="T655" s="6">
        <v>43</v>
      </c>
      <c r="U655" s="6">
        <v>84</v>
      </c>
      <c r="V655" s="6">
        <f>IF(ISERROR(VLOOKUP($S$655,'TAR FIN'!$A$1:$O$103,15,0)),0,VLOOKUP($S$655,'TAR FIN'!$A$1:$O$103,15,0))</f>
        <v>0</v>
      </c>
      <c r="W655" s="6">
        <f>IF(ISERROR(VLOOKUP($T$655,'TAR FIN'!$A$1:$O$103,15,0)),0,VLOOKUP($T$655,'TAR FIN'!$A$1:$O$103,15,0))</f>
        <v>334.07</v>
      </c>
      <c r="X655" s="6">
        <f>IF(ISERROR(VLOOKUP($U$655,'TAR FIN'!$A$1:$O$103,15,0)),0,VLOOKUP($U$655,'TAR FIN'!$A$1:$O$103,15,0))</f>
        <v>224.55</v>
      </c>
      <c r="Y655" s="6"/>
      <c r="Z655" s="6">
        <f ca="1">('TUSD BE'!$AM$45+'TUSD BF'!$AM$45+'TUSD CVA'!$AM$45)*(1-CUSTOS!$M$38)</f>
        <v>453.14332034419533</v>
      </c>
      <c r="AA655" s="6">
        <f>('TE BE'!$AB$26+'TE BF'!$AB$26+'TE CVA'!$AB$26)*(1-CUSTOS!$M$38)</f>
        <v>219.98233758978921</v>
      </c>
      <c r="AB655" s="6">
        <f>$K$655*$V$655</f>
        <v>0</v>
      </c>
      <c r="AC655" s="6">
        <f>$M$655*$W$655</f>
        <v>687.18198999999993</v>
      </c>
      <c r="AD655" s="6">
        <f>$O$655*$X$655</f>
        <v>461.89935000000003</v>
      </c>
      <c r="AE655" s="6">
        <f>$K$655*$Y$655</f>
        <v>0</v>
      </c>
      <c r="AF655" s="6">
        <f ca="1">$M$655*$Z$655</f>
        <v>932.11580994800977</v>
      </c>
      <c r="AG655" s="6">
        <f>$O$655*$AA$655</f>
        <v>452.50366842219637</v>
      </c>
    </row>
    <row r="656" spans="1:33" ht="11.25" customHeight="1" x14ac:dyDescent="0.3">
      <c r="A656" s="4" t="s">
        <v>21</v>
      </c>
      <c r="B656" s="4" t="s">
        <v>43</v>
      </c>
      <c r="C656" s="4" t="s">
        <v>23</v>
      </c>
      <c r="D656" s="4" t="s">
        <v>44</v>
      </c>
      <c r="E656" s="4" t="s">
        <v>56</v>
      </c>
      <c r="F656" s="4" t="s">
        <v>54</v>
      </c>
      <c r="G656" s="4" t="s">
        <v>25</v>
      </c>
      <c r="H656" s="4" t="s">
        <v>25</v>
      </c>
      <c r="I656" s="5">
        <v>44805</v>
      </c>
      <c r="J656" s="6">
        <v>0</v>
      </c>
      <c r="K656" s="6">
        <v>0</v>
      </c>
      <c r="L656" s="6">
        <v>10.707000000000001</v>
      </c>
      <c r="M656" s="6">
        <v>10.707000000000001</v>
      </c>
      <c r="N656" s="6">
        <v>10.707000000000001</v>
      </c>
      <c r="O656" s="6">
        <v>10.707000000000001</v>
      </c>
      <c r="P656" s="6">
        <v>0</v>
      </c>
      <c r="Q656" s="4" t="s">
        <v>26</v>
      </c>
      <c r="R656" s="4">
        <v>0</v>
      </c>
      <c r="S656" s="6">
        <v>0</v>
      </c>
      <c r="T656" s="6">
        <v>43</v>
      </c>
      <c r="U656" s="6">
        <v>84</v>
      </c>
      <c r="V656" s="6">
        <f>IF(ISERROR(VLOOKUP($S$656,'TAR FIN'!$A$1:$O$103,15,0)),0,VLOOKUP($S$656,'TAR FIN'!$A$1:$O$103,15,0))</f>
        <v>0</v>
      </c>
      <c r="W656" s="6">
        <f>IF(ISERROR(VLOOKUP($T$656,'TAR FIN'!$A$1:$O$103,15,0)),0,VLOOKUP($T$656,'TAR FIN'!$A$1:$O$103,15,0))</f>
        <v>334.07</v>
      </c>
      <c r="X656" s="6">
        <f>IF(ISERROR(VLOOKUP($U$656,'TAR FIN'!$A$1:$O$103,15,0)),0,VLOOKUP($U$656,'TAR FIN'!$A$1:$O$103,15,0))</f>
        <v>224.55</v>
      </c>
      <c r="Y656" s="6"/>
      <c r="Z656" s="6">
        <f ca="1">('TUSD BE'!$AM$45+'TUSD BF'!$AM$45+'TUSD CVA'!$AM$45)*(1-CUSTOS!$M$38)</f>
        <v>453.14332034419533</v>
      </c>
      <c r="AA656" s="6">
        <f>('TE BE'!$AB$26+'TE BF'!$AB$26+'TE CVA'!$AB$26)*(1-CUSTOS!$M$38)</f>
        <v>219.98233758978921</v>
      </c>
      <c r="AB656" s="6">
        <f>$K$656*$V$656</f>
        <v>0</v>
      </c>
      <c r="AC656" s="6">
        <f>$M$656*$W$656</f>
        <v>3576.8874900000001</v>
      </c>
      <c r="AD656" s="6">
        <f>$O$656*$X$656</f>
        <v>2404.2568500000002</v>
      </c>
      <c r="AE656" s="6">
        <f>$K$656*$Y$656</f>
        <v>0</v>
      </c>
      <c r="AF656" s="6">
        <f ca="1">$M$656*$Z$656</f>
        <v>4851.8055309252995</v>
      </c>
      <c r="AG656" s="6">
        <f>$O$656*$AA$656</f>
        <v>2355.3508885738734</v>
      </c>
    </row>
    <row r="657" spans="1:33" ht="11.25" customHeight="1" x14ac:dyDescent="0.3">
      <c r="A657" s="4" t="s">
        <v>28</v>
      </c>
      <c r="B657" s="4" t="s">
        <v>43</v>
      </c>
      <c r="C657" s="4" t="s">
        <v>23</v>
      </c>
      <c r="D657" s="4" t="s">
        <v>44</v>
      </c>
      <c r="E657" s="4" t="s">
        <v>56</v>
      </c>
      <c r="F657" s="4" t="s">
        <v>54</v>
      </c>
      <c r="G657" s="4" t="s">
        <v>25</v>
      </c>
      <c r="H657" s="4" t="s">
        <v>25</v>
      </c>
      <c r="I657" s="5">
        <v>44805</v>
      </c>
      <c r="J657" s="6">
        <v>0</v>
      </c>
      <c r="K657" s="6">
        <v>0</v>
      </c>
      <c r="L657" s="6">
        <v>6.9749999999999996</v>
      </c>
      <c r="M657" s="6">
        <v>6.9749999999999996</v>
      </c>
      <c r="N657" s="6">
        <v>6.9749999999999996</v>
      </c>
      <c r="O657" s="6">
        <v>6.9749999999999996</v>
      </c>
      <c r="P657" s="6">
        <v>0</v>
      </c>
      <c r="Q657" s="4" t="s">
        <v>26</v>
      </c>
      <c r="R657" s="4">
        <v>0</v>
      </c>
      <c r="S657" s="6">
        <v>0</v>
      </c>
      <c r="T657" s="6">
        <v>43</v>
      </c>
      <c r="U657" s="6">
        <v>84</v>
      </c>
      <c r="V657" s="6">
        <f>IF(ISERROR(VLOOKUP($S$657,'TAR FIN'!$A$1:$O$103,15,0)),0,VLOOKUP($S$657,'TAR FIN'!$A$1:$O$103,15,0))</f>
        <v>0</v>
      </c>
      <c r="W657" s="6">
        <f>IF(ISERROR(VLOOKUP($T$657,'TAR FIN'!$A$1:$O$103,15,0)),0,VLOOKUP($T$657,'TAR FIN'!$A$1:$O$103,15,0))</f>
        <v>334.07</v>
      </c>
      <c r="X657" s="6">
        <f>IF(ISERROR(VLOOKUP($U$657,'TAR FIN'!$A$1:$O$103,15,0)),0,VLOOKUP($U$657,'TAR FIN'!$A$1:$O$103,15,0))</f>
        <v>224.55</v>
      </c>
      <c r="Y657" s="6"/>
      <c r="Z657" s="6">
        <f ca="1">('TUSD BE'!$AM$45+'TUSD BF'!$AM$45+'TUSD CVA'!$AM$45)*(1-CUSTOS!$M$38)</f>
        <v>453.14332034419533</v>
      </c>
      <c r="AA657" s="6">
        <f>('TE BE'!$AB$26+'TE BF'!$AB$26+'TE CVA'!$AB$26)*(1-CUSTOS!$M$38)</f>
        <v>219.98233758978921</v>
      </c>
      <c r="AB657" s="6">
        <f>$K$657*$V$657</f>
        <v>0</v>
      </c>
      <c r="AC657" s="6">
        <f>$M$657*$W$657</f>
        <v>2330.13825</v>
      </c>
      <c r="AD657" s="6">
        <f>$O$657*$X$657</f>
        <v>1566.2362499999999</v>
      </c>
      <c r="AE657" s="6">
        <f>$K$657*$Y$657</f>
        <v>0</v>
      </c>
      <c r="AF657" s="6">
        <f ca="1">$M$657*$Z$657</f>
        <v>3160.6746594007623</v>
      </c>
      <c r="AG657" s="6">
        <f>$O$657*$AA$657</f>
        <v>1534.3768046887797</v>
      </c>
    </row>
    <row r="658" spans="1:33" ht="11.25" customHeight="1" x14ac:dyDescent="0.3">
      <c r="A658" s="4" t="s">
        <v>57</v>
      </c>
      <c r="B658" s="4" t="s">
        <v>43</v>
      </c>
      <c r="C658" s="4" t="s">
        <v>23</v>
      </c>
      <c r="D658" s="4" t="s">
        <v>44</v>
      </c>
      <c r="E658" s="4" t="s">
        <v>56</v>
      </c>
      <c r="F658" s="4" t="s">
        <v>54</v>
      </c>
      <c r="G658" s="4" t="s">
        <v>25</v>
      </c>
      <c r="H658" s="4" t="s">
        <v>25</v>
      </c>
      <c r="I658" s="5">
        <v>44835</v>
      </c>
      <c r="J658" s="6">
        <v>0</v>
      </c>
      <c r="K658" s="6">
        <v>0</v>
      </c>
      <c r="L658" s="6">
        <v>10.707000000000001</v>
      </c>
      <c r="M658" s="6">
        <v>10.707000000000001</v>
      </c>
      <c r="N658" s="6">
        <v>10.707000000000001</v>
      </c>
      <c r="O658" s="6">
        <v>10.707000000000001</v>
      </c>
      <c r="P658" s="6">
        <v>0</v>
      </c>
      <c r="Q658" s="4" t="s">
        <v>26</v>
      </c>
      <c r="R658" s="4">
        <v>0</v>
      </c>
      <c r="S658" s="6">
        <v>0</v>
      </c>
      <c r="T658" s="6">
        <v>43</v>
      </c>
      <c r="U658" s="6">
        <v>84</v>
      </c>
      <c r="V658" s="6">
        <f>IF(ISERROR(VLOOKUP($S$658,'TAR FIN'!$A$1:$O$103,15,0)),0,VLOOKUP($S$658,'TAR FIN'!$A$1:$O$103,15,0))</f>
        <v>0</v>
      </c>
      <c r="W658" s="6">
        <f>IF(ISERROR(VLOOKUP($T$658,'TAR FIN'!$A$1:$O$103,15,0)),0,VLOOKUP($T$658,'TAR FIN'!$A$1:$O$103,15,0))</f>
        <v>334.07</v>
      </c>
      <c r="X658" s="6">
        <f>IF(ISERROR(VLOOKUP($U$658,'TAR FIN'!$A$1:$O$103,15,0)),0,VLOOKUP($U$658,'TAR FIN'!$A$1:$O$103,15,0))</f>
        <v>224.55</v>
      </c>
      <c r="Y658" s="6"/>
      <c r="Z658" s="6">
        <f ca="1">('TUSD BE'!$AM$45+'TUSD BF'!$AM$45+'TUSD CVA'!$AM$45)*(1-CUSTOS!$M$38)</f>
        <v>453.14332034419533</v>
      </c>
      <c r="AA658" s="6">
        <f>('TE BE'!$AB$26+'TE BF'!$AB$26+'TE CVA'!$AB$26)*(1-CUSTOS!$M$38)</f>
        <v>219.98233758978921</v>
      </c>
      <c r="AB658" s="6">
        <f>$K$658*$V$658</f>
        <v>0</v>
      </c>
      <c r="AC658" s="6">
        <f>$M$658*$W$658</f>
        <v>3576.8874900000001</v>
      </c>
      <c r="AD658" s="6">
        <f>$O$658*$X$658</f>
        <v>2404.2568500000002</v>
      </c>
      <c r="AE658" s="6">
        <f>$K$658*$Y$658</f>
        <v>0</v>
      </c>
      <c r="AF658" s="6">
        <f ca="1">$M$658*$Z$658</f>
        <v>4851.8055309252995</v>
      </c>
      <c r="AG658" s="6">
        <f>$O$658*$AA$658</f>
        <v>2355.3508885738734</v>
      </c>
    </row>
    <row r="659" spans="1:33" ht="11.25" customHeight="1" x14ac:dyDescent="0.3">
      <c r="A659" s="4" t="s">
        <v>57</v>
      </c>
      <c r="B659" s="4" t="s">
        <v>43</v>
      </c>
      <c r="C659" s="4" t="s">
        <v>23</v>
      </c>
      <c r="D659" s="4" t="s">
        <v>44</v>
      </c>
      <c r="E659" s="4" t="s">
        <v>56</v>
      </c>
      <c r="F659" s="4" t="s">
        <v>54</v>
      </c>
      <c r="G659" s="4" t="s">
        <v>25</v>
      </c>
      <c r="H659" s="4" t="s">
        <v>25</v>
      </c>
      <c r="I659" s="5">
        <v>44835</v>
      </c>
      <c r="J659" s="6">
        <v>0</v>
      </c>
      <c r="K659" s="6">
        <v>0</v>
      </c>
      <c r="L659" s="6">
        <v>6.9749999999999996</v>
      </c>
      <c r="M659" s="6">
        <v>6.9749999999999996</v>
      </c>
      <c r="N659" s="6">
        <v>6.9749999999999996</v>
      </c>
      <c r="O659" s="6">
        <v>6.9749999999999996</v>
      </c>
      <c r="P659" s="6">
        <v>0</v>
      </c>
      <c r="Q659" s="4" t="s">
        <v>26</v>
      </c>
      <c r="R659" s="4">
        <v>0</v>
      </c>
      <c r="S659" s="6">
        <v>0</v>
      </c>
      <c r="T659" s="6">
        <v>43</v>
      </c>
      <c r="U659" s="6">
        <v>84</v>
      </c>
      <c r="V659" s="6">
        <f>IF(ISERROR(VLOOKUP($S$659,'TAR FIN'!$A$1:$O$103,15,0)),0,VLOOKUP($S$659,'TAR FIN'!$A$1:$O$103,15,0))</f>
        <v>0</v>
      </c>
      <c r="W659" s="6">
        <f>IF(ISERROR(VLOOKUP($T$659,'TAR FIN'!$A$1:$O$103,15,0)),0,VLOOKUP($T$659,'TAR FIN'!$A$1:$O$103,15,0))</f>
        <v>334.07</v>
      </c>
      <c r="X659" s="6">
        <f>IF(ISERROR(VLOOKUP($U$659,'TAR FIN'!$A$1:$O$103,15,0)),0,VLOOKUP($U$659,'TAR FIN'!$A$1:$O$103,15,0))</f>
        <v>224.55</v>
      </c>
      <c r="Y659" s="6"/>
      <c r="Z659" s="6">
        <f ca="1">('TUSD BE'!$AM$45+'TUSD BF'!$AM$45+'TUSD CVA'!$AM$45)*(1-CUSTOS!$M$38)</f>
        <v>453.14332034419533</v>
      </c>
      <c r="AA659" s="6">
        <f>('TE BE'!$AB$26+'TE BF'!$AB$26+'TE CVA'!$AB$26)*(1-CUSTOS!$M$38)</f>
        <v>219.98233758978921</v>
      </c>
      <c r="AB659" s="6">
        <f>$K$659*$V$659</f>
        <v>0</v>
      </c>
      <c r="AC659" s="6">
        <f>$M$659*$W$659</f>
        <v>2330.13825</v>
      </c>
      <c r="AD659" s="6">
        <f>$O$659*$X$659</f>
        <v>1566.2362499999999</v>
      </c>
      <c r="AE659" s="6">
        <f>$K$659*$Y$659</f>
        <v>0</v>
      </c>
      <c r="AF659" s="6">
        <f ca="1">$M$659*$Z$659</f>
        <v>3160.6746594007623</v>
      </c>
      <c r="AG659" s="6">
        <f>$O$659*$AA$659</f>
        <v>1534.3768046887797</v>
      </c>
    </row>
    <row r="660" spans="1:33" ht="11.25" customHeight="1" x14ac:dyDescent="0.3">
      <c r="A660" s="4" t="s">
        <v>21</v>
      </c>
      <c r="B660" s="4" t="s">
        <v>43</v>
      </c>
      <c r="C660" s="4" t="s">
        <v>23</v>
      </c>
      <c r="D660" s="4" t="s">
        <v>44</v>
      </c>
      <c r="E660" s="4" t="s">
        <v>56</v>
      </c>
      <c r="F660" s="4" t="s">
        <v>55</v>
      </c>
      <c r="G660" s="4" t="s">
        <v>25</v>
      </c>
      <c r="H660" s="4" t="s">
        <v>25</v>
      </c>
      <c r="I660" s="5">
        <v>44501</v>
      </c>
      <c r="J660" s="6">
        <v>0</v>
      </c>
      <c r="K660" s="6">
        <v>0</v>
      </c>
      <c r="L660" s="6">
        <v>16.626000000000001</v>
      </c>
      <c r="M660" s="6">
        <v>5.48658</v>
      </c>
      <c r="N660" s="6">
        <v>16.626000000000001</v>
      </c>
      <c r="O660" s="6">
        <v>5.48658</v>
      </c>
      <c r="P660" s="6">
        <v>0</v>
      </c>
      <c r="Q660" s="4" t="s">
        <v>26</v>
      </c>
      <c r="R660" s="4">
        <v>0</v>
      </c>
      <c r="S660" s="6">
        <v>0</v>
      </c>
      <c r="T660" s="6">
        <v>43</v>
      </c>
      <c r="U660" s="6">
        <v>84</v>
      </c>
      <c r="V660" s="6">
        <f>IF(ISERROR(VLOOKUP($S$660,'TAR FIN'!$A$1:$O$103,15,0)),0,VLOOKUP($S$660,'TAR FIN'!$A$1:$O$103,15,0))</f>
        <v>0</v>
      </c>
      <c r="W660" s="6">
        <f>IF(ISERROR(VLOOKUP($T$660,'TAR FIN'!$A$1:$O$103,15,0)),0,VLOOKUP($T$660,'TAR FIN'!$A$1:$O$103,15,0))</f>
        <v>334.07</v>
      </c>
      <c r="X660" s="6">
        <f>IF(ISERROR(VLOOKUP($U$660,'TAR FIN'!$A$1:$O$103,15,0)),0,VLOOKUP($U$660,'TAR FIN'!$A$1:$O$103,15,0))</f>
        <v>224.55</v>
      </c>
      <c r="Y660" s="6"/>
      <c r="Z660" s="6">
        <f ca="1">('TUSD BE'!$AM$45+'TUSD BF'!$AM$45+'TUSD CVA'!$AM$45)*(1-CUSTOS!$M$38)</f>
        <v>453.14332034419533</v>
      </c>
      <c r="AA660" s="6">
        <f>('TE BE'!$AB$26+'TE BF'!$AB$26+'TE CVA'!$AB$26)*(1-CUSTOS!$M$38)</f>
        <v>219.98233758978921</v>
      </c>
      <c r="AB660" s="6">
        <f>$K$660*$V$660</f>
        <v>0</v>
      </c>
      <c r="AC660" s="6">
        <f>$M$660*$W$660</f>
        <v>1832.9017805999999</v>
      </c>
      <c r="AD660" s="6">
        <f>$O$660*$X$660</f>
        <v>1232.0115390000001</v>
      </c>
      <c r="AE660" s="6">
        <f>$K$660*$Y$660</f>
        <v>0</v>
      </c>
      <c r="AF660" s="6">
        <f ca="1">$M$660*$Z$660</f>
        <v>2486.2070785340552</v>
      </c>
      <c r="AG660" s="6">
        <f>$O$660*$AA$660</f>
        <v>1206.9506937733856</v>
      </c>
    </row>
    <row r="661" spans="1:33" ht="11.25" customHeight="1" x14ac:dyDescent="0.3">
      <c r="A661" s="4" t="s">
        <v>28</v>
      </c>
      <c r="B661" s="4" t="s">
        <v>43</v>
      </c>
      <c r="C661" s="4" t="s">
        <v>23</v>
      </c>
      <c r="D661" s="4" t="s">
        <v>44</v>
      </c>
      <c r="E661" s="4" t="s">
        <v>56</v>
      </c>
      <c r="F661" s="4" t="s">
        <v>55</v>
      </c>
      <c r="G661" s="4" t="s">
        <v>25</v>
      </c>
      <c r="H661" s="4" t="s">
        <v>25</v>
      </c>
      <c r="I661" s="5">
        <v>44501</v>
      </c>
      <c r="J661" s="6">
        <v>0</v>
      </c>
      <c r="K661" s="6">
        <v>0</v>
      </c>
      <c r="L661" s="6">
        <v>2.2549999999999999</v>
      </c>
      <c r="M661" s="6">
        <v>2.2549999999999999</v>
      </c>
      <c r="N661" s="6">
        <v>2.2549999999999999</v>
      </c>
      <c r="O661" s="6">
        <v>2.2549999999999999</v>
      </c>
      <c r="P661" s="6">
        <v>0</v>
      </c>
      <c r="Q661" s="4" t="s">
        <v>26</v>
      </c>
      <c r="R661" s="4">
        <v>0</v>
      </c>
      <c r="S661" s="6">
        <v>0</v>
      </c>
      <c r="T661" s="6">
        <v>43</v>
      </c>
      <c r="U661" s="6">
        <v>84</v>
      </c>
      <c r="V661" s="6">
        <f>IF(ISERROR(VLOOKUP($S$661,'TAR FIN'!$A$1:$O$103,15,0)),0,VLOOKUP($S$661,'TAR FIN'!$A$1:$O$103,15,0))</f>
        <v>0</v>
      </c>
      <c r="W661" s="6">
        <f>IF(ISERROR(VLOOKUP($T$661,'TAR FIN'!$A$1:$O$103,15,0)),0,VLOOKUP($T$661,'TAR FIN'!$A$1:$O$103,15,0))</f>
        <v>334.07</v>
      </c>
      <c r="X661" s="6">
        <f>IF(ISERROR(VLOOKUP($U$661,'TAR FIN'!$A$1:$O$103,15,0)),0,VLOOKUP($U$661,'TAR FIN'!$A$1:$O$103,15,0))</f>
        <v>224.55</v>
      </c>
      <c r="Y661" s="6"/>
      <c r="Z661" s="6">
        <f ca="1">('TUSD BE'!$AM$45+'TUSD BF'!$AM$45+'TUSD CVA'!$AM$45)*(1-CUSTOS!$M$38)</f>
        <v>453.14332034419533</v>
      </c>
      <c r="AA661" s="6">
        <f>('TE BE'!$AB$26+'TE BF'!$AB$26+'TE CVA'!$AB$26)*(1-CUSTOS!$M$38)</f>
        <v>219.98233758978921</v>
      </c>
      <c r="AB661" s="6">
        <f>$K$661*$V$661</f>
        <v>0</v>
      </c>
      <c r="AC661" s="6">
        <f>$M$661*$W$661</f>
        <v>753.3278499999999</v>
      </c>
      <c r="AD661" s="6">
        <f>$O$661*$X$661</f>
        <v>506.36025000000001</v>
      </c>
      <c r="AE661" s="6">
        <f>$K$661*$Y$661</f>
        <v>0</v>
      </c>
      <c r="AF661" s="6">
        <f ca="1">$M$661*$Z$661</f>
        <v>1021.8381873761605</v>
      </c>
      <c r="AG661" s="6">
        <f>$O$661*$AA$661</f>
        <v>496.06017126497466</v>
      </c>
    </row>
    <row r="662" spans="1:33" ht="11.25" customHeight="1" x14ac:dyDescent="0.3">
      <c r="A662" s="4" t="s">
        <v>21</v>
      </c>
      <c r="B662" s="4" t="s">
        <v>43</v>
      </c>
      <c r="C662" s="4" t="s">
        <v>23</v>
      </c>
      <c r="D662" s="4" t="s">
        <v>44</v>
      </c>
      <c r="E662" s="4" t="s">
        <v>56</v>
      </c>
      <c r="F662" s="4" t="s">
        <v>55</v>
      </c>
      <c r="G662" s="4" t="s">
        <v>25</v>
      </c>
      <c r="H662" s="4" t="s">
        <v>25</v>
      </c>
      <c r="I662" s="5">
        <v>44531</v>
      </c>
      <c r="J662" s="6">
        <v>0</v>
      </c>
      <c r="K662" s="6">
        <v>0</v>
      </c>
      <c r="L662" s="6">
        <v>19.251999999999999</v>
      </c>
      <c r="M662" s="6">
        <v>6.3531599999999999</v>
      </c>
      <c r="N662" s="6">
        <v>19.251999999999999</v>
      </c>
      <c r="O662" s="6">
        <v>6.3531599999999999</v>
      </c>
      <c r="P662" s="6">
        <v>0</v>
      </c>
      <c r="Q662" s="4" t="s">
        <v>26</v>
      </c>
      <c r="R662" s="4">
        <v>0</v>
      </c>
      <c r="S662" s="6">
        <v>0</v>
      </c>
      <c r="T662" s="6">
        <v>43</v>
      </c>
      <c r="U662" s="6">
        <v>84</v>
      </c>
      <c r="V662" s="6">
        <f>IF(ISERROR(VLOOKUP($S$662,'TAR FIN'!$A$1:$O$103,15,0)),0,VLOOKUP($S$662,'TAR FIN'!$A$1:$O$103,15,0))</f>
        <v>0</v>
      </c>
      <c r="W662" s="6">
        <f>IF(ISERROR(VLOOKUP($T$662,'TAR FIN'!$A$1:$O$103,15,0)),0,VLOOKUP($T$662,'TAR FIN'!$A$1:$O$103,15,0))</f>
        <v>334.07</v>
      </c>
      <c r="X662" s="6">
        <f>IF(ISERROR(VLOOKUP($U$662,'TAR FIN'!$A$1:$O$103,15,0)),0,VLOOKUP($U$662,'TAR FIN'!$A$1:$O$103,15,0))</f>
        <v>224.55</v>
      </c>
      <c r="Y662" s="6"/>
      <c r="Z662" s="6">
        <f ca="1">('TUSD BE'!$AM$45+'TUSD BF'!$AM$45+'TUSD CVA'!$AM$45)*(1-CUSTOS!$M$38)</f>
        <v>453.14332034419533</v>
      </c>
      <c r="AA662" s="6">
        <f>('TE BE'!$AB$26+'TE BF'!$AB$26+'TE CVA'!$AB$26)*(1-CUSTOS!$M$38)</f>
        <v>219.98233758978921</v>
      </c>
      <c r="AB662" s="6">
        <f>$K$662*$V$662</f>
        <v>0</v>
      </c>
      <c r="AC662" s="6">
        <f>$M$662*$W$662</f>
        <v>2122.4001611999997</v>
      </c>
      <c r="AD662" s="6">
        <f>$O$662*$X$662</f>
        <v>1426.6020780000001</v>
      </c>
      <c r="AE662" s="6">
        <f>$K$662*$Y$662</f>
        <v>0</v>
      </c>
      <c r="AF662" s="6">
        <f ca="1">$M$662*$Z$662</f>
        <v>2878.8920170779279</v>
      </c>
      <c r="AG662" s="6">
        <f>$O$662*$AA$662</f>
        <v>1397.5829878819452</v>
      </c>
    </row>
    <row r="663" spans="1:33" ht="11.25" customHeight="1" x14ac:dyDescent="0.3">
      <c r="A663" s="4" t="s">
        <v>28</v>
      </c>
      <c r="B663" s="4" t="s">
        <v>43</v>
      </c>
      <c r="C663" s="4" t="s">
        <v>23</v>
      </c>
      <c r="D663" s="4" t="s">
        <v>44</v>
      </c>
      <c r="E663" s="4" t="s">
        <v>56</v>
      </c>
      <c r="F663" s="4" t="s">
        <v>55</v>
      </c>
      <c r="G663" s="4" t="s">
        <v>25</v>
      </c>
      <c r="H663" s="4" t="s">
        <v>25</v>
      </c>
      <c r="I663" s="5">
        <v>44531</v>
      </c>
      <c r="J663" s="6">
        <v>0</v>
      </c>
      <c r="K663" s="6">
        <v>0</v>
      </c>
      <c r="L663" s="6">
        <v>2.0499999999999998</v>
      </c>
      <c r="M663" s="6">
        <v>0.67649999999999999</v>
      </c>
      <c r="N663" s="6">
        <v>2.0499999999999998</v>
      </c>
      <c r="O663" s="6">
        <v>0.67649999999999999</v>
      </c>
      <c r="P663" s="6">
        <v>0</v>
      </c>
      <c r="Q663" s="4" t="s">
        <v>26</v>
      </c>
      <c r="R663" s="4">
        <v>0</v>
      </c>
      <c r="S663" s="6">
        <v>0</v>
      </c>
      <c r="T663" s="6">
        <v>43</v>
      </c>
      <c r="U663" s="6">
        <v>84</v>
      </c>
      <c r="V663" s="6">
        <f>IF(ISERROR(VLOOKUP($S$663,'TAR FIN'!$A$1:$O$103,15,0)),0,VLOOKUP($S$663,'TAR FIN'!$A$1:$O$103,15,0))</f>
        <v>0</v>
      </c>
      <c r="W663" s="6">
        <f>IF(ISERROR(VLOOKUP($T$663,'TAR FIN'!$A$1:$O$103,15,0)),0,VLOOKUP($T$663,'TAR FIN'!$A$1:$O$103,15,0))</f>
        <v>334.07</v>
      </c>
      <c r="X663" s="6">
        <f>IF(ISERROR(VLOOKUP($U$663,'TAR FIN'!$A$1:$O$103,15,0)),0,VLOOKUP($U$663,'TAR FIN'!$A$1:$O$103,15,0))</f>
        <v>224.55</v>
      </c>
      <c r="Y663" s="6"/>
      <c r="Z663" s="6">
        <f ca="1">('TUSD BE'!$AM$45+'TUSD BF'!$AM$45+'TUSD CVA'!$AM$45)*(1-CUSTOS!$M$38)</f>
        <v>453.14332034419533</v>
      </c>
      <c r="AA663" s="6">
        <f>('TE BE'!$AB$26+'TE BF'!$AB$26+'TE CVA'!$AB$26)*(1-CUSTOS!$M$38)</f>
        <v>219.98233758978921</v>
      </c>
      <c r="AB663" s="6">
        <f>$K$663*$V$663</f>
        <v>0</v>
      </c>
      <c r="AC663" s="6">
        <f>$M$663*$W$663</f>
        <v>225.998355</v>
      </c>
      <c r="AD663" s="6">
        <f>$O$663*$X$663</f>
        <v>151.908075</v>
      </c>
      <c r="AE663" s="6">
        <f>$K$663*$Y$663</f>
        <v>0</v>
      </c>
      <c r="AF663" s="6">
        <f ca="1">$M$663*$Z$663</f>
        <v>306.55145621284811</v>
      </c>
      <c r="AG663" s="6">
        <f>$O$663*$AA$663</f>
        <v>148.8180513794924</v>
      </c>
    </row>
    <row r="664" spans="1:33" ht="11.25" customHeight="1" x14ac:dyDescent="0.3">
      <c r="A664" s="4" t="s">
        <v>21</v>
      </c>
      <c r="B664" s="4" t="s">
        <v>43</v>
      </c>
      <c r="C664" s="4" t="s">
        <v>23</v>
      </c>
      <c r="D664" s="4" t="s">
        <v>44</v>
      </c>
      <c r="E664" s="4" t="s">
        <v>56</v>
      </c>
      <c r="F664" s="4" t="s">
        <v>55</v>
      </c>
      <c r="G664" s="4" t="s">
        <v>25</v>
      </c>
      <c r="H664" s="4" t="s">
        <v>25</v>
      </c>
      <c r="I664" s="5">
        <v>44562</v>
      </c>
      <c r="J664" s="6">
        <v>0</v>
      </c>
      <c r="K664" s="6">
        <v>0</v>
      </c>
      <c r="L664" s="6">
        <v>18.866</v>
      </c>
      <c r="M664" s="6">
        <v>6.2257800000000003</v>
      </c>
      <c r="N664" s="6">
        <v>18.866</v>
      </c>
      <c r="O664" s="6">
        <v>6.2257800000000003</v>
      </c>
      <c r="P664" s="6">
        <v>0</v>
      </c>
      <c r="Q664" s="4" t="s">
        <v>26</v>
      </c>
      <c r="R664" s="4">
        <v>0</v>
      </c>
      <c r="S664" s="6">
        <v>0</v>
      </c>
      <c r="T664" s="6">
        <v>43</v>
      </c>
      <c r="U664" s="6">
        <v>84</v>
      </c>
      <c r="V664" s="6">
        <f>IF(ISERROR(VLOOKUP($S$664,'TAR FIN'!$A$1:$O$103,15,0)),0,VLOOKUP($S$664,'TAR FIN'!$A$1:$O$103,15,0))</f>
        <v>0</v>
      </c>
      <c r="W664" s="6">
        <f>IF(ISERROR(VLOOKUP($T$664,'TAR FIN'!$A$1:$O$103,15,0)),0,VLOOKUP($T$664,'TAR FIN'!$A$1:$O$103,15,0))</f>
        <v>334.07</v>
      </c>
      <c r="X664" s="6">
        <f>IF(ISERROR(VLOOKUP($U$664,'TAR FIN'!$A$1:$O$103,15,0)),0,VLOOKUP($U$664,'TAR FIN'!$A$1:$O$103,15,0))</f>
        <v>224.55</v>
      </c>
      <c r="Y664" s="6"/>
      <c r="Z664" s="6">
        <f ca="1">('TUSD BE'!$AM$45+'TUSD BF'!$AM$45+'TUSD CVA'!$AM$45)*(1-CUSTOS!$M$38)</f>
        <v>453.14332034419533</v>
      </c>
      <c r="AA664" s="6">
        <f>('TE BE'!$AB$26+'TE BF'!$AB$26+'TE CVA'!$AB$26)*(1-CUSTOS!$M$38)</f>
        <v>219.98233758978921</v>
      </c>
      <c r="AB664" s="6">
        <f>$K$664*$V$664</f>
        <v>0</v>
      </c>
      <c r="AC664" s="6">
        <f>$M$664*$W$664</f>
        <v>2079.8463246000001</v>
      </c>
      <c r="AD664" s="6">
        <f>$O$664*$X$664</f>
        <v>1397.9988990000002</v>
      </c>
      <c r="AE664" s="6">
        <f>$K$664*$Y$664</f>
        <v>0</v>
      </c>
      <c r="AF664" s="6">
        <f ca="1">$M$664*$Z$664</f>
        <v>2821.1706209324843</v>
      </c>
      <c r="AG664" s="6">
        <f>$O$664*$AA$664</f>
        <v>1369.561637719758</v>
      </c>
    </row>
    <row r="665" spans="1:33" ht="11.25" customHeight="1" x14ac:dyDescent="0.3">
      <c r="A665" s="4" t="s">
        <v>28</v>
      </c>
      <c r="B665" s="4" t="s">
        <v>43</v>
      </c>
      <c r="C665" s="4" t="s">
        <v>23</v>
      </c>
      <c r="D665" s="4" t="s">
        <v>44</v>
      </c>
      <c r="E665" s="4" t="s">
        <v>56</v>
      </c>
      <c r="F665" s="4" t="s">
        <v>55</v>
      </c>
      <c r="G665" s="4" t="s">
        <v>25</v>
      </c>
      <c r="H665" s="4" t="s">
        <v>25</v>
      </c>
      <c r="I665" s="5">
        <v>44562</v>
      </c>
      <c r="J665" s="6">
        <v>0</v>
      </c>
      <c r="K665" s="6">
        <v>0</v>
      </c>
      <c r="L665" s="6">
        <v>2.2549999999999999</v>
      </c>
      <c r="M665" s="6">
        <v>0.74414999999999998</v>
      </c>
      <c r="N665" s="6">
        <v>2.2549999999999999</v>
      </c>
      <c r="O665" s="6">
        <v>0.74414999999999998</v>
      </c>
      <c r="P665" s="6">
        <v>0</v>
      </c>
      <c r="Q665" s="4" t="s">
        <v>26</v>
      </c>
      <c r="R665" s="4">
        <v>0</v>
      </c>
      <c r="S665" s="6">
        <v>0</v>
      </c>
      <c r="T665" s="6">
        <v>43</v>
      </c>
      <c r="U665" s="6">
        <v>84</v>
      </c>
      <c r="V665" s="6">
        <f>IF(ISERROR(VLOOKUP($S$665,'TAR FIN'!$A$1:$O$103,15,0)),0,VLOOKUP($S$665,'TAR FIN'!$A$1:$O$103,15,0))</f>
        <v>0</v>
      </c>
      <c r="W665" s="6">
        <f>IF(ISERROR(VLOOKUP($T$665,'TAR FIN'!$A$1:$O$103,15,0)),0,VLOOKUP($T$665,'TAR FIN'!$A$1:$O$103,15,0))</f>
        <v>334.07</v>
      </c>
      <c r="X665" s="6">
        <f>IF(ISERROR(VLOOKUP($U$665,'TAR FIN'!$A$1:$O$103,15,0)),0,VLOOKUP($U$665,'TAR FIN'!$A$1:$O$103,15,0))</f>
        <v>224.55</v>
      </c>
      <c r="Y665" s="6"/>
      <c r="Z665" s="6">
        <f ca="1">('TUSD BE'!$AM$45+'TUSD BF'!$AM$45+'TUSD CVA'!$AM$45)*(1-CUSTOS!$M$38)</f>
        <v>453.14332034419533</v>
      </c>
      <c r="AA665" s="6">
        <f>('TE BE'!$AB$26+'TE BF'!$AB$26+'TE CVA'!$AB$26)*(1-CUSTOS!$M$38)</f>
        <v>219.98233758978921</v>
      </c>
      <c r="AB665" s="6">
        <f>$K$665*$V$665</f>
        <v>0</v>
      </c>
      <c r="AC665" s="6">
        <f>$M$665*$W$665</f>
        <v>248.59819049999999</v>
      </c>
      <c r="AD665" s="6">
        <f>$O$665*$X$665</f>
        <v>167.0988825</v>
      </c>
      <c r="AE665" s="6">
        <f>$K$665*$Y$665</f>
        <v>0</v>
      </c>
      <c r="AF665" s="6">
        <f ca="1">$M$665*$Z$665</f>
        <v>337.20660183413293</v>
      </c>
      <c r="AG665" s="6">
        <f>$O$665*$AA$665</f>
        <v>163.69985651744165</v>
      </c>
    </row>
    <row r="666" spans="1:33" ht="11.25" customHeight="1" x14ac:dyDescent="0.3">
      <c r="A666" s="4" t="s">
        <v>21</v>
      </c>
      <c r="B666" s="4" t="s">
        <v>43</v>
      </c>
      <c r="C666" s="4" t="s">
        <v>23</v>
      </c>
      <c r="D666" s="4" t="s">
        <v>44</v>
      </c>
      <c r="E666" s="4" t="s">
        <v>56</v>
      </c>
      <c r="F666" s="4" t="s">
        <v>55</v>
      </c>
      <c r="G666" s="4" t="s">
        <v>25</v>
      </c>
      <c r="H666" s="4" t="s">
        <v>25</v>
      </c>
      <c r="I666" s="5">
        <v>44593</v>
      </c>
      <c r="J666" s="6">
        <v>0</v>
      </c>
      <c r="K666" s="6">
        <v>0</v>
      </c>
      <c r="L666" s="6">
        <v>17.338000000000001</v>
      </c>
      <c r="M666" s="6">
        <v>5.7215400000000001</v>
      </c>
      <c r="N666" s="6">
        <v>17.338000000000001</v>
      </c>
      <c r="O666" s="6">
        <v>5.7215400000000001</v>
      </c>
      <c r="P666" s="6">
        <v>0</v>
      </c>
      <c r="Q666" s="4" t="s">
        <v>26</v>
      </c>
      <c r="R666" s="4">
        <v>0</v>
      </c>
      <c r="S666" s="6">
        <v>0</v>
      </c>
      <c r="T666" s="6">
        <v>43</v>
      </c>
      <c r="U666" s="6">
        <v>84</v>
      </c>
      <c r="V666" s="6">
        <f>IF(ISERROR(VLOOKUP($S$666,'TAR FIN'!$A$1:$O$103,15,0)),0,VLOOKUP($S$666,'TAR FIN'!$A$1:$O$103,15,0))</f>
        <v>0</v>
      </c>
      <c r="W666" s="6">
        <f>IF(ISERROR(VLOOKUP($T$666,'TAR FIN'!$A$1:$O$103,15,0)),0,VLOOKUP($T$666,'TAR FIN'!$A$1:$O$103,15,0))</f>
        <v>334.07</v>
      </c>
      <c r="X666" s="6">
        <f>IF(ISERROR(VLOOKUP($U$666,'TAR FIN'!$A$1:$O$103,15,0)),0,VLOOKUP($U$666,'TAR FIN'!$A$1:$O$103,15,0))</f>
        <v>224.55</v>
      </c>
      <c r="Y666" s="6"/>
      <c r="Z666" s="6">
        <f ca="1">('TUSD BE'!$AM$45+'TUSD BF'!$AM$45+'TUSD CVA'!$AM$45)*(1-CUSTOS!$M$38)</f>
        <v>453.14332034419533</v>
      </c>
      <c r="AA666" s="6">
        <f>('TE BE'!$AB$26+'TE BF'!$AB$26+'TE CVA'!$AB$26)*(1-CUSTOS!$M$38)</f>
        <v>219.98233758978921</v>
      </c>
      <c r="AB666" s="6">
        <f>$K$666*$V$666</f>
        <v>0</v>
      </c>
      <c r="AC666" s="6">
        <f>$M$666*$W$666</f>
        <v>1911.3948677999999</v>
      </c>
      <c r="AD666" s="6">
        <f>$O$666*$X$666</f>
        <v>1284.7718070000001</v>
      </c>
      <c r="AE666" s="6">
        <f>$K$666*$Y$666</f>
        <v>0</v>
      </c>
      <c r="AF666" s="6">
        <f ca="1">$M$666*$Z$666</f>
        <v>2592.6776330821276</v>
      </c>
      <c r="AG666" s="6">
        <f>$O$666*$AA$666</f>
        <v>1258.6377438134825</v>
      </c>
    </row>
    <row r="667" spans="1:33" ht="11.25" customHeight="1" x14ac:dyDescent="0.3">
      <c r="A667" s="4" t="s">
        <v>28</v>
      </c>
      <c r="B667" s="4" t="s">
        <v>43</v>
      </c>
      <c r="C667" s="4" t="s">
        <v>23</v>
      </c>
      <c r="D667" s="4" t="s">
        <v>44</v>
      </c>
      <c r="E667" s="4" t="s">
        <v>56</v>
      </c>
      <c r="F667" s="4" t="s">
        <v>55</v>
      </c>
      <c r="G667" s="4" t="s">
        <v>25</v>
      </c>
      <c r="H667" s="4" t="s">
        <v>25</v>
      </c>
      <c r="I667" s="5">
        <v>44593</v>
      </c>
      <c r="J667" s="6">
        <v>0</v>
      </c>
      <c r="K667" s="6">
        <v>0</v>
      </c>
      <c r="L667" s="6">
        <v>1.968</v>
      </c>
      <c r="M667" s="6">
        <v>0.64944000000000002</v>
      </c>
      <c r="N667" s="6">
        <v>1.968</v>
      </c>
      <c r="O667" s="6">
        <v>0.64944000000000002</v>
      </c>
      <c r="P667" s="6">
        <v>0</v>
      </c>
      <c r="Q667" s="4" t="s">
        <v>26</v>
      </c>
      <c r="R667" s="4">
        <v>0</v>
      </c>
      <c r="S667" s="6">
        <v>0</v>
      </c>
      <c r="T667" s="6">
        <v>43</v>
      </c>
      <c r="U667" s="6">
        <v>84</v>
      </c>
      <c r="V667" s="6">
        <f>IF(ISERROR(VLOOKUP($S$667,'TAR FIN'!$A$1:$O$103,15,0)),0,VLOOKUP($S$667,'TAR FIN'!$A$1:$O$103,15,0))</f>
        <v>0</v>
      </c>
      <c r="W667" s="6">
        <f>IF(ISERROR(VLOOKUP($T$667,'TAR FIN'!$A$1:$O$103,15,0)),0,VLOOKUP($T$667,'TAR FIN'!$A$1:$O$103,15,0))</f>
        <v>334.07</v>
      </c>
      <c r="X667" s="6">
        <f>IF(ISERROR(VLOOKUP($U$667,'TAR FIN'!$A$1:$O$103,15,0)),0,VLOOKUP($U$667,'TAR FIN'!$A$1:$O$103,15,0))</f>
        <v>224.55</v>
      </c>
      <c r="Y667" s="6"/>
      <c r="Z667" s="6">
        <f ca="1">('TUSD BE'!$AM$45+'TUSD BF'!$AM$45+'TUSD CVA'!$AM$45)*(1-CUSTOS!$M$38)</f>
        <v>453.14332034419533</v>
      </c>
      <c r="AA667" s="6">
        <f>('TE BE'!$AB$26+'TE BF'!$AB$26+'TE CVA'!$AB$26)*(1-CUSTOS!$M$38)</f>
        <v>219.98233758978921</v>
      </c>
      <c r="AB667" s="6">
        <f>$K$667*$V$667</f>
        <v>0</v>
      </c>
      <c r="AC667" s="6">
        <f>$M$667*$W$667</f>
        <v>216.9584208</v>
      </c>
      <c r="AD667" s="6">
        <f>$O$667*$X$667</f>
        <v>145.83175200000002</v>
      </c>
      <c r="AE667" s="6">
        <f>$K$667*$Y$667</f>
        <v>0</v>
      </c>
      <c r="AF667" s="6">
        <f ca="1">$M$667*$Z$667</f>
        <v>294.28939796433423</v>
      </c>
      <c r="AG667" s="6">
        <f>$O$667*$AA$667</f>
        <v>142.86532932431271</v>
      </c>
    </row>
    <row r="668" spans="1:33" ht="11.25" customHeight="1" x14ac:dyDescent="0.3">
      <c r="A668" s="4" t="s">
        <v>21</v>
      </c>
      <c r="B668" s="4" t="s">
        <v>43</v>
      </c>
      <c r="C668" s="4" t="s">
        <v>23</v>
      </c>
      <c r="D668" s="4" t="s">
        <v>44</v>
      </c>
      <c r="E668" s="4" t="s">
        <v>56</v>
      </c>
      <c r="F668" s="4" t="s">
        <v>55</v>
      </c>
      <c r="G668" s="4" t="s">
        <v>25</v>
      </c>
      <c r="H668" s="4" t="s">
        <v>25</v>
      </c>
      <c r="I668" s="5">
        <v>44621</v>
      </c>
      <c r="J668" s="6">
        <v>0</v>
      </c>
      <c r="K668" s="6">
        <v>0</v>
      </c>
      <c r="L668" s="6">
        <v>17.251999999999999</v>
      </c>
      <c r="M668" s="6">
        <v>5.6931599999999998</v>
      </c>
      <c r="N668" s="6">
        <v>17.251999999999999</v>
      </c>
      <c r="O668" s="6">
        <v>5.6931599999999998</v>
      </c>
      <c r="P668" s="6">
        <v>0</v>
      </c>
      <c r="Q668" s="4" t="s">
        <v>26</v>
      </c>
      <c r="R668" s="4">
        <v>0</v>
      </c>
      <c r="S668" s="6">
        <v>0</v>
      </c>
      <c r="T668" s="6">
        <v>43</v>
      </c>
      <c r="U668" s="6">
        <v>84</v>
      </c>
      <c r="V668" s="6">
        <f>IF(ISERROR(VLOOKUP($S$668,'TAR FIN'!$A$1:$O$103,15,0)),0,VLOOKUP($S$668,'TAR FIN'!$A$1:$O$103,15,0))</f>
        <v>0</v>
      </c>
      <c r="W668" s="6">
        <f>IF(ISERROR(VLOOKUP($T$668,'TAR FIN'!$A$1:$O$103,15,0)),0,VLOOKUP($T$668,'TAR FIN'!$A$1:$O$103,15,0))</f>
        <v>334.07</v>
      </c>
      <c r="X668" s="6">
        <f>IF(ISERROR(VLOOKUP($U$668,'TAR FIN'!$A$1:$O$103,15,0)),0,VLOOKUP($U$668,'TAR FIN'!$A$1:$O$103,15,0))</f>
        <v>224.55</v>
      </c>
      <c r="Y668" s="6"/>
      <c r="Z668" s="6">
        <f ca="1">('TUSD BE'!$AM$45+'TUSD BF'!$AM$45+'TUSD CVA'!$AM$45)*(1-CUSTOS!$M$38)</f>
        <v>453.14332034419533</v>
      </c>
      <c r="AA668" s="6">
        <f>('TE BE'!$AB$26+'TE BF'!$AB$26+'TE CVA'!$AB$26)*(1-CUSTOS!$M$38)</f>
        <v>219.98233758978921</v>
      </c>
      <c r="AB668" s="6">
        <f>$K$668*$V$668</f>
        <v>0</v>
      </c>
      <c r="AC668" s="6">
        <f>$M$668*$W$668</f>
        <v>1901.9139611999999</v>
      </c>
      <c r="AD668" s="6">
        <f>$O$668*$X$668</f>
        <v>1278.3990779999999</v>
      </c>
      <c r="AE668" s="6">
        <f>$K$668*$Y$668</f>
        <v>0</v>
      </c>
      <c r="AF668" s="6">
        <f ca="1">$M$668*$Z$668</f>
        <v>2579.8174256507591</v>
      </c>
      <c r="AG668" s="6">
        <f>$O$668*$AA$668</f>
        <v>1252.3946450726844</v>
      </c>
    </row>
    <row r="669" spans="1:33" ht="11.25" customHeight="1" x14ac:dyDescent="0.3">
      <c r="A669" s="4" t="s">
        <v>28</v>
      </c>
      <c r="B669" s="4" t="s">
        <v>43</v>
      </c>
      <c r="C669" s="4" t="s">
        <v>23</v>
      </c>
      <c r="D669" s="4" t="s">
        <v>44</v>
      </c>
      <c r="E669" s="4" t="s">
        <v>56</v>
      </c>
      <c r="F669" s="4" t="s">
        <v>55</v>
      </c>
      <c r="G669" s="4" t="s">
        <v>25</v>
      </c>
      <c r="H669" s="4" t="s">
        <v>25</v>
      </c>
      <c r="I669" s="5">
        <v>44621</v>
      </c>
      <c r="J669" s="6">
        <v>0</v>
      </c>
      <c r="K669" s="6">
        <v>0</v>
      </c>
      <c r="L669" s="6">
        <v>1.64</v>
      </c>
      <c r="M669" s="6">
        <v>0.54120000000000001</v>
      </c>
      <c r="N669" s="6">
        <v>1.64</v>
      </c>
      <c r="O669" s="6">
        <v>0.54120000000000001</v>
      </c>
      <c r="P669" s="6">
        <v>0</v>
      </c>
      <c r="Q669" s="4" t="s">
        <v>26</v>
      </c>
      <c r="R669" s="4">
        <v>0</v>
      </c>
      <c r="S669" s="6">
        <v>0</v>
      </c>
      <c r="T669" s="6">
        <v>43</v>
      </c>
      <c r="U669" s="6">
        <v>84</v>
      </c>
      <c r="V669" s="6">
        <f>IF(ISERROR(VLOOKUP($S$669,'TAR FIN'!$A$1:$O$103,15,0)),0,VLOOKUP($S$669,'TAR FIN'!$A$1:$O$103,15,0))</f>
        <v>0</v>
      </c>
      <c r="W669" s="6">
        <f>IF(ISERROR(VLOOKUP($T$669,'TAR FIN'!$A$1:$O$103,15,0)),0,VLOOKUP($T$669,'TAR FIN'!$A$1:$O$103,15,0))</f>
        <v>334.07</v>
      </c>
      <c r="X669" s="6">
        <f>IF(ISERROR(VLOOKUP($U$669,'TAR FIN'!$A$1:$O$103,15,0)),0,VLOOKUP($U$669,'TAR FIN'!$A$1:$O$103,15,0))</f>
        <v>224.55</v>
      </c>
      <c r="Y669" s="6"/>
      <c r="Z669" s="6">
        <f ca="1">('TUSD BE'!$AM$45+'TUSD BF'!$AM$45+'TUSD CVA'!$AM$45)*(1-CUSTOS!$M$38)</f>
        <v>453.14332034419533</v>
      </c>
      <c r="AA669" s="6">
        <f>('TE BE'!$AB$26+'TE BF'!$AB$26+'TE CVA'!$AB$26)*(1-CUSTOS!$M$38)</f>
        <v>219.98233758978921</v>
      </c>
      <c r="AB669" s="6">
        <f>$K$669*$V$669</f>
        <v>0</v>
      </c>
      <c r="AC669" s="6">
        <f>$M$669*$W$669</f>
        <v>180.79868400000001</v>
      </c>
      <c r="AD669" s="6">
        <f>$O$669*$X$669</f>
        <v>121.52646000000001</v>
      </c>
      <c r="AE669" s="6">
        <f>$K$669*$Y$669</f>
        <v>0</v>
      </c>
      <c r="AF669" s="6">
        <f ca="1">$M$669*$Z$669</f>
        <v>245.24116497027853</v>
      </c>
      <c r="AG669" s="6">
        <f>$O$669*$AA$669</f>
        <v>119.05444110359393</v>
      </c>
    </row>
    <row r="670" spans="1:33" ht="11.25" customHeight="1" x14ac:dyDescent="0.3">
      <c r="A670" s="4" t="s">
        <v>21</v>
      </c>
      <c r="B670" s="4" t="s">
        <v>43</v>
      </c>
      <c r="C670" s="4" t="s">
        <v>23</v>
      </c>
      <c r="D670" s="4" t="s">
        <v>44</v>
      </c>
      <c r="E670" s="4" t="s">
        <v>56</v>
      </c>
      <c r="F670" s="4" t="s">
        <v>55</v>
      </c>
      <c r="G670" s="4" t="s">
        <v>25</v>
      </c>
      <c r="H670" s="4" t="s">
        <v>25</v>
      </c>
      <c r="I670" s="5">
        <v>44652</v>
      </c>
      <c r="J670" s="6">
        <v>0</v>
      </c>
      <c r="K670" s="6">
        <v>0</v>
      </c>
      <c r="L670" s="6">
        <v>18.675999999999998</v>
      </c>
      <c r="M670" s="6">
        <v>6.1630799999999999</v>
      </c>
      <c r="N670" s="6">
        <v>18.675999999999998</v>
      </c>
      <c r="O670" s="6">
        <v>6.1630799999999999</v>
      </c>
      <c r="P670" s="6">
        <v>0</v>
      </c>
      <c r="Q670" s="4" t="s">
        <v>26</v>
      </c>
      <c r="R670" s="4">
        <v>0</v>
      </c>
      <c r="S670" s="6">
        <v>0</v>
      </c>
      <c r="T670" s="6">
        <v>43</v>
      </c>
      <c r="U670" s="6">
        <v>84</v>
      </c>
      <c r="V670" s="6">
        <f>IF(ISERROR(VLOOKUP($S$670,'TAR FIN'!$A$1:$O$103,15,0)),0,VLOOKUP($S$670,'TAR FIN'!$A$1:$O$103,15,0))</f>
        <v>0</v>
      </c>
      <c r="W670" s="6">
        <f>IF(ISERROR(VLOOKUP($T$670,'TAR FIN'!$A$1:$O$103,15,0)),0,VLOOKUP($T$670,'TAR FIN'!$A$1:$O$103,15,0))</f>
        <v>334.07</v>
      </c>
      <c r="X670" s="6">
        <f>IF(ISERROR(VLOOKUP($U$670,'TAR FIN'!$A$1:$O$103,15,0)),0,VLOOKUP($U$670,'TAR FIN'!$A$1:$O$103,15,0))</f>
        <v>224.55</v>
      </c>
      <c r="Y670" s="6"/>
      <c r="Z670" s="6">
        <f ca="1">('TUSD BE'!$AM$45+'TUSD BF'!$AM$45+'TUSD CVA'!$AM$45)*(1-CUSTOS!$M$38)</f>
        <v>453.14332034419533</v>
      </c>
      <c r="AA670" s="6">
        <f>('TE BE'!$AB$26+'TE BF'!$AB$26+'TE CVA'!$AB$26)*(1-CUSTOS!$M$38)</f>
        <v>219.98233758978921</v>
      </c>
      <c r="AB670" s="6">
        <f>$K$670*$V$670</f>
        <v>0</v>
      </c>
      <c r="AC670" s="6">
        <f>$M$670*$W$670</f>
        <v>2058.9001355999999</v>
      </c>
      <c r="AD670" s="6">
        <f>$O$670*$X$670</f>
        <v>1383.9196140000001</v>
      </c>
      <c r="AE670" s="6">
        <f>$K$670*$Y$670</f>
        <v>0</v>
      </c>
      <c r="AF670" s="6">
        <f ca="1">$M$670*$Z$670</f>
        <v>2792.7585347469035</v>
      </c>
      <c r="AG670" s="6">
        <f>$O$670*$AA$670</f>
        <v>1355.768745152878</v>
      </c>
    </row>
    <row r="671" spans="1:33" ht="11.25" customHeight="1" x14ac:dyDescent="0.3">
      <c r="A671" s="4" t="s">
        <v>28</v>
      </c>
      <c r="B671" s="4" t="s">
        <v>43</v>
      </c>
      <c r="C671" s="4" t="s">
        <v>23</v>
      </c>
      <c r="D671" s="4" t="s">
        <v>44</v>
      </c>
      <c r="E671" s="4" t="s">
        <v>56</v>
      </c>
      <c r="F671" s="4" t="s">
        <v>55</v>
      </c>
      <c r="G671" s="4" t="s">
        <v>25</v>
      </c>
      <c r="H671" s="4" t="s">
        <v>25</v>
      </c>
      <c r="I671" s="5">
        <v>44652</v>
      </c>
      <c r="J671" s="6">
        <v>0</v>
      </c>
      <c r="K671" s="6">
        <v>0</v>
      </c>
      <c r="L671" s="6">
        <v>2.0499999999999998</v>
      </c>
      <c r="M671" s="6">
        <v>0.67649999999999999</v>
      </c>
      <c r="N671" s="6">
        <v>2.0499999999999998</v>
      </c>
      <c r="O671" s="6">
        <v>0.67649999999999999</v>
      </c>
      <c r="P671" s="6">
        <v>0</v>
      </c>
      <c r="Q671" s="4" t="s">
        <v>26</v>
      </c>
      <c r="R671" s="4">
        <v>0</v>
      </c>
      <c r="S671" s="6">
        <v>0</v>
      </c>
      <c r="T671" s="6">
        <v>43</v>
      </c>
      <c r="U671" s="6">
        <v>84</v>
      </c>
      <c r="V671" s="6">
        <f>IF(ISERROR(VLOOKUP($S$671,'TAR FIN'!$A$1:$O$103,15,0)),0,VLOOKUP($S$671,'TAR FIN'!$A$1:$O$103,15,0))</f>
        <v>0</v>
      </c>
      <c r="W671" s="6">
        <f>IF(ISERROR(VLOOKUP($T$671,'TAR FIN'!$A$1:$O$103,15,0)),0,VLOOKUP($T$671,'TAR FIN'!$A$1:$O$103,15,0))</f>
        <v>334.07</v>
      </c>
      <c r="X671" s="6">
        <f>IF(ISERROR(VLOOKUP($U$671,'TAR FIN'!$A$1:$O$103,15,0)),0,VLOOKUP($U$671,'TAR FIN'!$A$1:$O$103,15,0))</f>
        <v>224.55</v>
      </c>
      <c r="Y671" s="6"/>
      <c r="Z671" s="6">
        <f ca="1">('TUSD BE'!$AM$45+'TUSD BF'!$AM$45+'TUSD CVA'!$AM$45)*(1-CUSTOS!$M$38)</f>
        <v>453.14332034419533</v>
      </c>
      <c r="AA671" s="6">
        <f>('TE BE'!$AB$26+'TE BF'!$AB$26+'TE CVA'!$AB$26)*(1-CUSTOS!$M$38)</f>
        <v>219.98233758978921</v>
      </c>
      <c r="AB671" s="6">
        <f>$K$671*$V$671</f>
        <v>0</v>
      </c>
      <c r="AC671" s="6">
        <f>$M$671*$W$671</f>
        <v>225.998355</v>
      </c>
      <c r="AD671" s="6">
        <f>$O$671*$X$671</f>
        <v>151.908075</v>
      </c>
      <c r="AE671" s="6">
        <f>$K$671*$Y$671</f>
        <v>0</v>
      </c>
      <c r="AF671" s="6">
        <f ca="1">$M$671*$Z$671</f>
        <v>306.55145621284811</v>
      </c>
      <c r="AG671" s="6">
        <f>$O$671*$AA$671</f>
        <v>148.8180513794924</v>
      </c>
    </row>
    <row r="672" spans="1:33" ht="11.25" customHeight="1" x14ac:dyDescent="0.3">
      <c r="A672" s="4" t="s">
        <v>21</v>
      </c>
      <c r="B672" s="4" t="s">
        <v>43</v>
      </c>
      <c r="C672" s="4" t="s">
        <v>23</v>
      </c>
      <c r="D672" s="4" t="s">
        <v>44</v>
      </c>
      <c r="E672" s="4" t="s">
        <v>56</v>
      </c>
      <c r="F672" s="4" t="s">
        <v>55</v>
      </c>
      <c r="G672" s="4" t="s">
        <v>25</v>
      </c>
      <c r="H672" s="4" t="s">
        <v>25</v>
      </c>
      <c r="I672" s="5">
        <v>44682</v>
      </c>
      <c r="J672" s="6">
        <v>0</v>
      </c>
      <c r="K672" s="6">
        <v>0</v>
      </c>
      <c r="L672" s="6">
        <v>17.824999999999999</v>
      </c>
      <c r="M672" s="6">
        <v>5.88225</v>
      </c>
      <c r="N672" s="6">
        <v>17.824999999999999</v>
      </c>
      <c r="O672" s="6">
        <v>5.88225</v>
      </c>
      <c r="P672" s="6">
        <v>0</v>
      </c>
      <c r="Q672" s="4" t="s">
        <v>26</v>
      </c>
      <c r="R672" s="4">
        <v>0</v>
      </c>
      <c r="S672" s="6">
        <v>0</v>
      </c>
      <c r="T672" s="6">
        <v>43</v>
      </c>
      <c r="U672" s="6">
        <v>84</v>
      </c>
      <c r="V672" s="6">
        <f>IF(ISERROR(VLOOKUP($S$672,'TAR FIN'!$A$1:$O$103,15,0)),0,VLOOKUP($S$672,'TAR FIN'!$A$1:$O$103,15,0))</f>
        <v>0</v>
      </c>
      <c r="W672" s="6">
        <f>IF(ISERROR(VLOOKUP($T$672,'TAR FIN'!$A$1:$O$103,15,0)),0,VLOOKUP($T$672,'TAR FIN'!$A$1:$O$103,15,0))</f>
        <v>334.07</v>
      </c>
      <c r="X672" s="6">
        <f>IF(ISERROR(VLOOKUP($U$672,'TAR FIN'!$A$1:$O$103,15,0)),0,VLOOKUP($U$672,'TAR FIN'!$A$1:$O$103,15,0))</f>
        <v>224.55</v>
      </c>
      <c r="Y672" s="6"/>
      <c r="Z672" s="6">
        <f ca="1">('TUSD BE'!$AM$45+'TUSD BF'!$AM$45+'TUSD CVA'!$AM$45)*(1-CUSTOS!$M$38)</f>
        <v>453.14332034419533</v>
      </c>
      <c r="AA672" s="6">
        <f>('TE BE'!$AB$26+'TE BF'!$AB$26+'TE CVA'!$AB$26)*(1-CUSTOS!$M$38)</f>
        <v>219.98233758978921</v>
      </c>
      <c r="AB672" s="6">
        <f>$K$672*$V$672</f>
        <v>0</v>
      </c>
      <c r="AC672" s="6">
        <f>$M$672*$W$672</f>
        <v>1965.0832574999999</v>
      </c>
      <c r="AD672" s="6">
        <f>$O$672*$X$672</f>
        <v>1320.8592375000001</v>
      </c>
      <c r="AE672" s="6">
        <f>$K$672*$Y$672</f>
        <v>0</v>
      </c>
      <c r="AF672" s="6">
        <f ca="1">$M$672*$Z$672</f>
        <v>2665.502296094643</v>
      </c>
      <c r="AG672" s="6">
        <f>$O$672*$AA$672</f>
        <v>1293.9911052875375</v>
      </c>
    </row>
    <row r="673" spans="1:33" ht="11.25" customHeight="1" x14ac:dyDescent="0.3">
      <c r="A673" s="4" t="s">
        <v>28</v>
      </c>
      <c r="B673" s="4" t="s">
        <v>43</v>
      </c>
      <c r="C673" s="4" t="s">
        <v>23</v>
      </c>
      <c r="D673" s="4" t="s">
        <v>44</v>
      </c>
      <c r="E673" s="4" t="s">
        <v>56</v>
      </c>
      <c r="F673" s="4" t="s">
        <v>55</v>
      </c>
      <c r="G673" s="4" t="s">
        <v>25</v>
      </c>
      <c r="H673" s="4" t="s">
        <v>25</v>
      </c>
      <c r="I673" s="5">
        <v>44682</v>
      </c>
      <c r="J673" s="6">
        <v>0</v>
      </c>
      <c r="K673" s="6">
        <v>0</v>
      </c>
      <c r="L673" s="6">
        <v>2.7469999999999999</v>
      </c>
      <c r="M673" s="6">
        <v>0.90651000000000004</v>
      </c>
      <c r="N673" s="6">
        <v>2.7469999999999999</v>
      </c>
      <c r="O673" s="6">
        <v>0.90651000000000004</v>
      </c>
      <c r="P673" s="6">
        <v>0</v>
      </c>
      <c r="Q673" s="4" t="s">
        <v>26</v>
      </c>
      <c r="R673" s="4">
        <v>0</v>
      </c>
      <c r="S673" s="6">
        <v>0</v>
      </c>
      <c r="T673" s="6">
        <v>43</v>
      </c>
      <c r="U673" s="6">
        <v>84</v>
      </c>
      <c r="V673" s="6">
        <f>IF(ISERROR(VLOOKUP($S$673,'TAR FIN'!$A$1:$O$103,15,0)),0,VLOOKUP($S$673,'TAR FIN'!$A$1:$O$103,15,0))</f>
        <v>0</v>
      </c>
      <c r="W673" s="6">
        <f>IF(ISERROR(VLOOKUP($T$673,'TAR FIN'!$A$1:$O$103,15,0)),0,VLOOKUP($T$673,'TAR FIN'!$A$1:$O$103,15,0))</f>
        <v>334.07</v>
      </c>
      <c r="X673" s="6">
        <f>IF(ISERROR(VLOOKUP($U$673,'TAR FIN'!$A$1:$O$103,15,0)),0,VLOOKUP($U$673,'TAR FIN'!$A$1:$O$103,15,0))</f>
        <v>224.55</v>
      </c>
      <c r="Y673" s="6"/>
      <c r="Z673" s="6">
        <f ca="1">('TUSD BE'!$AM$45+'TUSD BF'!$AM$45+'TUSD CVA'!$AM$45)*(1-CUSTOS!$M$38)</f>
        <v>453.14332034419533</v>
      </c>
      <c r="AA673" s="6">
        <f>('TE BE'!$AB$26+'TE BF'!$AB$26+'TE CVA'!$AB$26)*(1-CUSTOS!$M$38)</f>
        <v>219.98233758978921</v>
      </c>
      <c r="AB673" s="6">
        <f>$K$673*$V$673</f>
        <v>0</v>
      </c>
      <c r="AC673" s="6">
        <f>$M$673*$W$673</f>
        <v>302.83779570000002</v>
      </c>
      <c r="AD673" s="6">
        <f>$O$673*$X$673</f>
        <v>203.55682050000001</v>
      </c>
      <c r="AE673" s="6">
        <f>$K$673*$Y$673</f>
        <v>0</v>
      </c>
      <c r="AF673" s="6">
        <f ca="1">$M$673*$Z$673</f>
        <v>410.77895132521655</v>
      </c>
      <c r="AG673" s="6">
        <f>$O$673*$AA$673</f>
        <v>199.41618884851982</v>
      </c>
    </row>
    <row r="674" spans="1:33" ht="11.25" customHeight="1" x14ac:dyDescent="0.3">
      <c r="A674" s="4" t="s">
        <v>21</v>
      </c>
      <c r="B674" s="4" t="s">
        <v>43</v>
      </c>
      <c r="C674" s="4" t="s">
        <v>23</v>
      </c>
      <c r="D674" s="4" t="s">
        <v>44</v>
      </c>
      <c r="E674" s="4" t="s">
        <v>56</v>
      </c>
      <c r="F674" s="4" t="s">
        <v>55</v>
      </c>
      <c r="G674" s="4" t="s">
        <v>25</v>
      </c>
      <c r="H674" s="4" t="s">
        <v>25</v>
      </c>
      <c r="I674" s="5">
        <v>44713</v>
      </c>
      <c r="J674" s="6">
        <v>0</v>
      </c>
      <c r="K674" s="6">
        <v>0</v>
      </c>
      <c r="L674" s="6">
        <v>16.347999999999999</v>
      </c>
      <c r="M674" s="6">
        <v>5.3948400000000003</v>
      </c>
      <c r="N674" s="6">
        <v>16.347999999999999</v>
      </c>
      <c r="O674" s="6">
        <v>5.3948400000000003</v>
      </c>
      <c r="P674" s="6">
        <v>0</v>
      </c>
      <c r="Q674" s="4" t="s">
        <v>26</v>
      </c>
      <c r="R674" s="4">
        <v>0</v>
      </c>
      <c r="S674" s="6">
        <v>0</v>
      </c>
      <c r="T674" s="6">
        <v>43</v>
      </c>
      <c r="U674" s="6">
        <v>84</v>
      </c>
      <c r="V674" s="6">
        <f>IF(ISERROR(VLOOKUP($S$674,'TAR FIN'!$A$1:$O$103,15,0)),0,VLOOKUP($S$674,'TAR FIN'!$A$1:$O$103,15,0))</f>
        <v>0</v>
      </c>
      <c r="W674" s="6">
        <f>IF(ISERROR(VLOOKUP($T$674,'TAR FIN'!$A$1:$O$103,15,0)),0,VLOOKUP($T$674,'TAR FIN'!$A$1:$O$103,15,0))</f>
        <v>334.07</v>
      </c>
      <c r="X674" s="6">
        <f>IF(ISERROR(VLOOKUP($U$674,'TAR FIN'!$A$1:$O$103,15,0)),0,VLOOKUP($U$674,'TAR FIN'!$A$1:$O$103,15,0))</f>
        <v>224.55</v>
      </c>
      <c r="Y674" s="6"/>
      <c r="Z674" s="6">
        <f ca="1">('TUSD BE'!$AM$45+'TUSD BF'!$AM$45+'TUSD CVA'!$AM$45)*(1-CUSTOS!$M$38)</f>
        <v>453.14332034419533</v>
      </c>
      <c r="AA674" s="6">
        <f>('TE BE'!$AB$26+'TE BF'!$AB$26+'TE CVA'!$AB$26)*(1-CUSTOS!$M$38)</f>
        <v>219.98233758978921</v>
      </c>
      <c r="AB674" s="6">
        <f>$K$674*$V$674</f>
        <v>0</v>
      </c>
      <c r="AC674" s="6">
        <f>$M$674*$W$674</f>
        <v>1802.2541988</v>
      </c>
      <c r="AD674" s="6">
        <f>$O$674*$X$674</f>
        <v>1211.4113220000002</v>
      </c>
      <c r="AE674" s="6">
        <f>$K$674*$Y$674</f>
        <v>0</v>
      </c>
      <c r="AF674" s="6">
        <f ca="1">$M$674*$Z$674</f>
        <v>2444.6357103256787</v>
      </c>
      <c r="AG674" s="6">
        <f>$O$674*$AA$674</f>
        <v>1186.7695141228985</v>
      </c>
    </row>
    <row r="675" spans="1:33" ht="11.25" customHeight="1" x14ac:dyDescent="0.3">
      <c r="A675" s="4" t="s">
        <v>28</v>
      </c>
      <c r="B675" s="4" t="s">
        <v>43</v>
      </c>
      <c r="C675" s="4" t="s">
        <v>23</v>
      </c>
      <c r="D675" s="4" t="s">
        <v>44</v>
      </c>
      <c r="E675" s="4" t="s">
        <v>56</v>
      </c>
      <c r="F675" s="4" t="s">
        <v>55</v>
      </c>
      <c r="G675" s="4" t="s">
        <v>25</v>
      </c>
      <c r="H675" s="4" t="s">
        <v>25</v>
      </c>
      <c r="I675" s="5">
        <v>44713</v>
      </c>
      <c r="J675" s="6">
        <v>0</v>
      </c>
      <c r="K675" s="6">
        <v>0</v>
      </c>
      <c r="L675" s="6">
        <v>2.0910000000000002</v>
      </c>
      <c r="M675" s="6">
        <v>0.69003000000000003</v>
      </c>
      <c r="N675" s="6">
        <v>2.0910000000000002</v>
      </c>
      <c r="O675" s="6">
        <v>0.69003000000000003</v>
      </c>
      <c r="P675" s="6">
        <v>0</v>
      </c>
      <c r="Q675" s="4" t="s">
        <v>26</v>
      </c>
      <c r="R675" s="4">
        <v>0</v>
      </c>
      <c r="S675" s="6">
        <v>0</v>
      </c>
      <c r="T675" s="6">
        <v>43</v>
      </c>
      <c r="U675" s="6">
        <v>84</v>
      </c>
      <c r="V675" s="6">
        <f>IF(ISERROR(VLOOKUP($S$675,'TAR FIN'!$A$1:$O$103,15,0)),0,VLOOKUP($S$675,'TAR FIN'!$A$1:$O$103,15,0))</f>
        <v>0</v>
      </c>
      <c r="W675" s="6">
        <f>IF(ISERROR(VLOOKUP($T$675,'TAR FIN'!$A$1:$O$103,15,0)),0,VLOOKUP($T$675,'TAR FIN'!$A$1:$O$103,15,0))</f>
        <v>334.07</v>
      </c>
      <c r="X675" s="6">
        <f>IF(ISERROR(VLOOKUP($U$675,'TAR FIN'!$A$1:$O$103,15,0)),0,VLOOKUP($U$675,'TAR FIN'!$A$1:$O$103,15,0))</f>
        <v>224.55</v>
      </c>
      <c r="Y675" s="6"/>
      <c r="Z675" s="6">
        <f ca="1">('TUSD BE'!$AM$45+'TUSD BF'!$AM$45+'TUSD CVA'!$AM$45)*(1-CUSTOS!$M$38)</f>
        <v>453.14332034419533</v>
      </c>
      <c r="AA675" s="6">
        <f>('TE BE'!$AB$26+'TE BF'!$AB$26+'TE CVA'!$AB$26)*(1-CUSTOS!$M$38)</f>
        <v>219.98233758978921</v>
      </c>
      <c r="AB675" s="6">
        <f>$K$675*$V$675</f>
        <v>0</v>
      </c>
      <c r="AC675" s="6">
        <f>$M$675*$W$675</f>
        <v>230.51832210000001</v>
      </c>
      <c r="AD675" s="6">
        <f>$O$675*$X$675</f>
        <v>154.94623650000003</v>
      </c>
      <c r="AE675" s="6">
        <f>$K$675*$Y$675</f>
        <v>0</v>
      </c>
      <c r="AF675" s="6">
        <f ca="1">$M$675*$Z$675</f>
        <v>312.68248533710511</v>
      </c>
      <c r="AG675" s="6">
        <f>$O$675*$AA$675</f>
        <v>151.79441240708226</v>
      </c>
    </row>
    <row r="676" spans="1:33" ht="11.25" customHeight="1" x14ac:dyDescent="0.3">
      <c r="A676" s="4" t="s">
        <v>21</v>
      </c>
      <c r="B676" s="4" t="s">
        <v>43</v>
      </c>
      <c r="C676" s="4" t="s">
        <v>23</v>
      </c>
      <c r="D676" s="4" t="s">
        <v>44</v>
      </c>
      <c r="E676" s="4" t="s">
        <v>56</v>
      </c>
      <c r="F676" s="4" t="s">
        <v>55</v>
      </c>
      <c r="G676" s="4" t="s">
        <v>25</v>
      </c>
      <c r="H676" s="4" t="s">
        <v>25</v>
      </c>
      <c r="I676" s="5">
        <v>44743</v>
      </c>
      <c r="J676" s="6">
        <v>0</v>
      </c>
      <c r="K676" s="6">
        <v>0</v>
      </c>
      <c r="L676" s="6">
        <v>17.5</v>
      </c>
      <c r="M676" s="6">
        <v>5.7750000000000004</v>
      </c>
      <c r="N676" s="6">
        <v>17.5</v>
      </c>
      <c r="O676" s="6">
        <v>5.7750000000000004</v>
      </c>
      <c r="P676" s="6">
        <v>0</v>
      </c>
      <c r="Q676" s="4" t="s">
        <v>26</v>
      </c>
      <c r="R676" s="4">
        <v>0</v>
      </c>
      <c r="S676" s="6">
        <v>0</v>
      </c>
      <c r="T676" s="6">
        <v>43</v>
      </c>
      <c r="U676" s="6">
        <v>84</v>
      </c>
      <c r="V676" s="6">
        <f>IF(ISERROR(VLOOKUP($S$676,'TAR FIN'!$A$1:$O$103,15,0)),0,VLOOKUP($S$676,'TAR FIN'!$A$1:$O$103,15,0))</f>
        <v>0</v>
      </c>
      <c r="W676" s="6">
        <f>IF(ISERROR(VLOOKUP($T$676,'TAR FIN'!$A$1:$O$103,15,0)),0,VLOOKUP($T$676,'TAR FIN'!$A$1:$O$103,15,0))</f>
        <v>334.07</v>
      </c>
      <c r="X676" s="6">
        <f>IF(ISERROR(VLOOKUP($U$676,'TAR FIN'!$A$1:$O$103,15,0)),0,VLOOKUP($U$676,'TAR FIN'!$A$1:$O$103,15,0))</f>
        <v>224.55</v>
      </c>
      <c r="Y676" s="6"/>
      <c r="Z676" s="6">
        <f ca="1">('TUSD BE'!$AM$45+'TUSD BF'!$AM$45+'TUSD CVA'!$AM$45)*(1-CUSTOS!$M$38)</f>
        <v>453.14332034419533</v>
      </c>
      <c r="AA676" s="6">
        <f>('TE BE'!$AB$26+'TE BF'!$AB$26+'TE CVA'!$AB$26)*(1-CUSTOS!$M$38)</f>
        <v>219.98233758978921</v>
      </c>
      <c r="AB676" s="6">
        <f>$K$676*$V$676</f>
        <v>0</v>
      </c>
      <c r="AC676" s="6">
        <f>$M$676*$W$676</f>
        <v>1929.2542500000002</v>
      </c>
      <c r="AD676" s="6">
        <f>$O$676*$X$676</f>
        <v>1296.7762500000001</v>
      </c>
      <c r="AE676" s="6">
        <f>$K$676*$Y$676</f>
        <v>0</v>
      </c>
      <c r="AF676" s="6">
        <f ca="1">$M$676*$Z$676</f>
        <v>2616.902674987728</v>
      </c>
      <c r="AG676" s="6">
        <f>$O$676*$AA$676</f>
        <v>1270.3979995810328</v>
      </c>
    </row>
    <row r="677" spans="1:33" ht="11.25" customHeight="1" x14ac:dyDescent="0.3">
      <c r="A677" s="4" t="s">
        <v>28</v>
      </c>
      <c r="B677" s="4" t="s">
        <v>43</v>
      </c>
      <c r="C677" s="4" t="s">
        <v>23</v>
      </c>
      <c r="D677" s="4" t="s">
        <v>44</v>
      </c>
      <c r="E677" s="4" t="s">
        <v>56</v>
      </c>
      <c r="F677" s="4" t="s">
        <v>55</v>
      </c>
      <c r="G677" s="4" t="s">
        <v>25</v>
      </c>
      <c r="H677" s="4" t="s">
        <v>25</v>
      </c>
      <c r="I677" s="5">
        <v>44743</v>
      </c>
      <c r="J677" s="6">
        <v>0</v>
      </c>
      <c r="K677" s="6">
        <v>0</v>
      </c>
      <c r="L677" s="6">
        <v>0.877</v>
      </c>
      <c r="M677" s="6">
        <v>0.28941</v>
      </c>
      <c r="N677" s="6">
        <v>0.877</v>
      </c>
      <c r="O677" s="6">
        <v>0.28941</v>
      </c>
      <c r="P677" s="6">
        <v>0</v>
      </c>
      <c r="Q677" s="4" t="s">
        <v>26</v>
      </c>
      <c r="R677" s="4">
        <v>0</v>
      </c>
      <c r="S677" s="6">
        <v>0</v>
      </c>
      <c r="T677" s="6">
        <v>43</v>
      </c>
      <c r="U677" s="6">
        <v>84</v>
      </c>
      <c r="V677" s="6">
        <f>IF(ISERROR(VLOOKUP($S$677,'TAR FIN'!$A$1:$O$103,15,0)),0,VLOOKUP($S$677,'TAR FIN'!$A$1:$O$103,15,0))</f>
        <v>0</v>
      </c>
      <c r="W677" s="6">
        <f>IF(ISERROR(VLOOKUP($T$677,'TAR FIN'!$A$1:$O$103,15,0)),0,VLOOKUP($T$677,'TAR FIN'!$A$1:$O$103,15,0))</f>
        <v>334.07</v>
      </c>
      <c r="X677" s="6">
        <f>IF(ISERROR(VLOOKUP($U$677,'TAR FIN'!$A$1:$O$103,15,0)),0,VLOOKUP($U$677,'TAR FIN'!$A$1:$O$103,15,0))</f>
        <v>224.55</v>
      </c>
      <c r="Y677" s="6"/>
      <c r="Z677" s="6">
        <f ca="1">('TUSD BE'!$AM$45+'TUSD BF'!$AM$45+'TUSD CVA'!$AM$45)*(1-CUSTOS!$M$38)</f>
        <v>453.14332034419533</v>
      </c>
      <c r="AA677" s="6">
        <f>('TE BE'!$AB$26+'TE BF'!$AB$26+'TE CVA'!$AB$26)*(1-CUSTOS!$M$38)</f>
        <v>219.98233758978921</v>
      </c>
      <c r="AB677" s="6">
        <f>$K$677*$V$677</f>
        <v>0</v>
      </c>
      <c r="AC677" s="6">
        <f>$M$677*$W$677</f>
        <v>96.683198699999991</v>
      </c>
      <c r="AD677" s="6">
        <f>$O$677*$X$677</f>
        <v>64.987015499999998</v>
      </c>
      <c r="AE677" s="6">
        <f>$K$677*$Y$677</f>
        <v>0</v>
      </c>
      <c r="AF677" s="6">
        <f ca="1">$M$677*$Z$677</f>
        <v>131.14420834081358</v>
      </c>
      <c r="AG677" s="6">
        <f>$O$677*$AA$677</f>
        <v>63.665088321860893</v>
      </c>
    </row>
    <row r="678" spans="1:33" ht="11.25" customHeight="1" x14ac:dyDescent="0.3">
      <c r="A678" s="4" t="s">
        <v>21</v>
      </c>
      <c r="B678" s="4" t="s">
        <v>43</v>
      </c>
      <c r="C678" s="4" t="s">
        <v>23</v>
      </c>
      <c r="D678" s="4" t="s">
        <v>44</v>
      </c>
      <c r="E678" s="4" t="s">
        <v>56</v>
      </c>
      <c r="F678" s="4" t="s">
        <v>55</v>
      </c>
      <c r="G678" s="4" t="s">
        <v>25</v>
      </c>
      <c r="H678" s="4" t="s">
        <v>25</v>
      </c>
      <c r="I678" s="5">
        <v>44774</v>
      </c>
      <c r="J678" s="6">
        <v>0</v>
      </c>
      <c r="K678" s="6">
        <v>0</v>
      </c>
      <c r="L678" s="6">
        <v>12.945</v>
      </c>
      <c r="M678" s="6">
        <v>4.2718499999999997</v>
      </c>
      <c r="N678" s="6">
        <v>12.945</v>
      </c>
      <c r="O678" s="6">
        <v>4.2718499999999997</v>
      </c>
      <c r="P678" s="6">
        <v>0</v>
      </c>
      <c r="Q678" s="4" t="s">
        <v>26</v>
      </c>
      <c r="R678" s="4">
        <v>0</v>
      </c>
      <c r="S678" s="6">
        <v>0</v>
      </c>
      <c r="T678" s="6">
        <v>43</v>
      </c>
      <c r="U678" s="6">
        <v>84</v>
      </c>
      <c r="V678" s="6">
        <f>IF(ISERROR(VLOOKUP($S$678,'TAR FIN'!$A$1:$O$103,15,0)),0,VLOOKUP($S$678,'TAR FIN'!$A$1:$O$103,15,0))</f>
        <v>0</v>
      </c>
      <c r="W678" s="6">
        <f>IF(ISERROR(VLOOKUP($T$678,'TAR FIN'!$A$1:$O$103,15,0)),0,VLOOKUP($T$678,'TAR FIN'!$A$1:$O$103,15,0))</f>
        <v>334.07</v>
      </c>
      <c r="X678" s="6">
        <f>IF(ISERROR(VLOOKUP($U$678,'TAR FIN'!$A$1:$O$103,15,0)),0,VLOOKUP($U$678,'TAR FIN'!$A$1:$O$103,15,0))</f>
        <v>224.55</v>
      </c>
      <c r="Y678" s="6"/>
      <c r="Z678" s="6">
        <f ca="1">('TUSD BE'!$AM$45+'TUSD BF'!$AM$45+'TUSD CVA'!$AM$45)*(1-CUSTOS!$M$38)</f>
        <v>453.14332034419533</v>
      </c>
      <c r="AA678" s="6">
        <f>('TE BE'!$AB$26+'TE BF'!$AB$26+'TE CVA'!$AB$26)*(1-CUSTOS!$M$38)</f>
        <v>219.98233758978921</v>
      </c>
      <c r="AB678" s="6">
        <f>$K$678*$V$678</f>
        <v>0</v>
      </c>
      <c r="AC678" s="6">
        <f>$M$678*$W$678</f>
        <v>1427.0969294999998</v>
      </c>
      <c r="AD678" s="6">
        <f>$O$678*$X$678</f>
        <v>959.24391749999995</v>
      </c>
      <c r="AE678" s="6">
        <f>$K$678*$Y$678</f>
        <v>0</v>
      </c>
      <c r="AF678" s="6">
        <f ca="1">$M$678*$Z$678</f>
        <v>1935.7602930123508</v>
      </c>
      <c r="AG678" s="6">
        <f>$O$678*$AA$678</f>
        <v>939.73154883294103</v>
      </c>
    </row>
    <row r="679" spans="1:33" ht="11.25" customHeight="1" x14ac:dyDescent="0.3">
      <c r="A679" s="4" t="s">
        <v>28</v>
      </c>
      <c r="B679" s="4" t="s">
        <v>43</v>
      </c>
      <c r="C679" s="4" t="s">
        <v>23</v>
      </c>
      <c r="D679" s="4" t="s">
        <v>44</v>
      </c>
      <c r="E679" s="4" t="s">
        <v>56</v>
      </c>
      <c r="F679" s="4" t="s">
        <v>55</v>
      </c>
      <c r="G679" s="4" t="s">
        <v>25</v>
      </c>
      <c r="H679" s="4" t="s">
        <v>25</v>
      </c>
      <c r="I679" s="5">
        <v>44774</v>
      </c>
      <c r="J679" s="6">
        <v>0</v>
      </c>
      <c r="K679" s="6">
        <v>0</v>
      </c>
      <c r="L679" s="6">
        <v>1.337</v>
      </c>
      <c r="M679" s="6">
        <v>0.44120999999999999</v>
      </c>
      <c r="N679" s="6">
        <v>1.337</v>
      </c>
      <c r="O679" s="6">
        <v>0.44120999999999999</v>
      </c>
      <c r="P679" s="6">
        <v>0</v>
      </c>
      <c r="Q679" s="4" t="s">
        <v>26</v>
      </c>
      <c r="R679" s="4">
        <v>0</v>
      </c>
      <c r="S679" s="6">
        <v>0</v>
      </c>
      <c r="T679" s="6">
        <v>43</v>
      </c>
      <c r="U679" s="6">
        <v>84</v>
      </c>
      <c r="V679" s="6">
        <f>IF(ISERROR(VLOOKUP($S$679,'TAR FIN'!$A$1:$O$103,15,0)),0,VLOOKUP($S$679,'TAR FIN'!$A$1:$O$103,15,0))</f>
        <v>0</v>
      </c>
      <c r="W679" s="6">
        <f>IF(ISERROR(VLOOKUP($T$679,'TAR FIN'!$A$1:$O$103,15,0)),0,VLOOKUP($T$679,'TAR FIN'!$A$1:$O$103,15,0))</f>
        <v>334.07</v>
      </c>
      <c r="X679" s="6">
        <f>IF(ISERROR(VLOOKUP($U$679,'TAR FIN'!$A$1:$O$103,15,0)),0,VLOOKUP($U$679,'TAR FIN'!$A$1:$O$103,15,0))</f>
        <v>224.55</v>
      </c>
      <c r="Y679" s="6"/>
      <c r="Z679" s="6">
        <f ca="1">('TUSD BE'!$AM$45+'TUSD BF'!$AM$45+'TUSD CVA'!$AM$45)*(1-CUSTOS!$M$38)</f>
        <v>453.14332034419533</v>
      </c>
      <c r="AA679" s="6">
        <f>('TE BE'!$AB$26+'TE BF'!$AB$26+'TE CVA'!$AB$26)*(1-CUSTOS!$M$38)</f>
        <v>219.98233758978921</v>
      </c>
      <c r="AB679" s="6">
        <f>$K$679*$V$679</f>
        <v>0</v>
      </c>
      <c r="AC679" s="6">
        <f>$M$679*$W$679</f>
        <v>147.39502469999999</v>
      </c>
      <c r="AD679" s="6">
        <f>$O$679*$X$679</f>
        <v>99.073705500000003</v>
      </c>
      <c r="AE679" s="6">
        <f>$K$679*$Y$679</f>
        <v>0</v>
      </c>
      <c r="AF679" s="6">
        <f ca="1">$M$679*$Z$679</f>
        <v>199.93136436906241</v>
      </c>
      <c r="AG679" s="6">
        <f>$O$679*$AA$679</f>
        <v>97.058407167990893</v>
      </c>
    </row>
    <row r="680" spans="1:33" ht="11.25" customHeight="1" x14ac:dyDescent="0.3">
      <c r="A680" s="4" t="s">
        <v>21</v>
      </c>
      <c r="B680" s="4" t="s">
        <v>43</v>
      </c>
      <c r="C680" s="4" t="s">
        <v>23</v>
      </c>
      <c r="D680" s="4" t="s">
        <v>44</v>
      </c>
      <c r="E680" s="4" t="s">
        <v>56</v>
      </c>
      <c r="F680" s="4" t="s">
        <v>55</v>
      </c>
      <c r="G680" s="4" t="s">
        <v>25</v>
      </c>
      <c r="H680" s="4" t="s">
        <v>25</v>
      </c>
      <c r="I680" s="5">
        <v>44805</v>
      </c>
      <c r="J680" s="6">
        <v>0</v>
      </c>
      <c r="K680" s="6">
        <v>0</v>
      </c>
      <c r="L680" s="6">
        <v>14.973000000000001</v>
      </c>
      <c r="M680" s="6">
        <v>4.94109</v>
      </c>
      <c r="N680" s="6">
        <v>14.973000000000001</v>
      </c>
      <c r="O680" s="6">
        <v>4.94109</v>
      </c>
      <c r="P680" s="6">
        <v>0</v>
      </c>
      <c r="Q680" s="4" t="s">
        <v>26</v>
      </c>
      <c r="R680" s="4">
        <v>0</v>
      </c>
      <c r="S680" s="6">
        <v>0</v>
      </c>
      <c r="T680" s="6">
        <v>43</v>
      </c>
      <c r="U680" s="6">
        <v>84</v>
      </c>
      <c r="V680" s="6">
        <f>IF(ISERROR(VLOOKUP($S$680,'TAR FIN'!$A$1:$O$103,15,0)),0,VLOOKUP($S$680,'TAR FIN'!$A$1:$O$103,15,0))</f>
        <v>0</v>
      </c>
      <c r="W680" s="6">
        <f>IF(ISERROR(VLOOKUP($T$680,'TAR FIN'!$A$1:$O$103,15,0)),0,VLOOKUP($T$680,'TAR FIN'!$A$1:$O$103,15,0))</f>
        <v>334.07</v>
      </c>
      <c r="X680" s="6">
        <f>IF(ISERROR(VLOOKUP($U$680,'TAR FIN'!$A$1:$O$103,15,0)),0,VLOOKUP($U$680,'TAR FIN'!$A$1:$O$103,15,0))</f>
        <v>224.55</v>
      </c>
      <c r="Y680" s="6"/>
      <c r="Z680" s="6">
        <f ca="1">('TUSD BE'!$AM$45+'TUSD BF'!$AM$45+'TUSD CVA'!$AM$45)*(1-CUSTOS!$M$38)</f>
        <v>453.14332034419533</v>
      </c>
      <c r="AA680" s="6">
        <f>('TE BE'!$AB$26+'TE BF'!$AB$26+'TE CVA'!$AB$26)*(1-CUSTOS!$M$38)</f>
        <v>219.98233758978921</v>
      </c>
      <c r="AB680" s="6">
        <f>$K$680*$V$680</f>
        <v>0</v>
      </c>
      <c r="AC680" s="6">
        <f>$M$680*$W$680</f>
        <v>1650.6699363</v>
      </c>
      <c r="AD680" s="6">
        <f>$O$680*$X$680</f>
        <v>1109.5217595000001</v>
      </c>
      <c r="AE680" s="6">
        <f>$K$680*$Y$680</f>
        <v>0</v>
      </c>
      <c r="AF680" s="6">
        <f ca="1">$M$680*$Z$680</f>
        <v>2239.0219287195</v>
      </c>
      <c r="AG680" s="6">
        <f>$O$680*$AA$680</f>
        <v>1086.9525284415315</v>
      </c>
    </row>
    <row r="681" spans="1:33" ht="11.25" customHeight="1" x14ac:dyDescent="0.3">
      <c r="A681" s="4" t="s">
        <v>28</v>
      </c>
      <c r="B681" s="4" t="s">
        <v>43</v>
      </c>
      <c r="C681" s="4" t="s">
        <v>23</v>
      </c>
      <c r="D681" s="4" t="s">
        <v>44</v>
      </c>
      <c r="E681" s="4" t="s">
        <v>56</v>
      </c>
      <c r="F681" s="4" t="s">
        <v>55</v>
      </c>
      <c r="G681" s="4" t="s">
        <v>25</v>
      </c>
      <c r="H681" s="4" t="s">
        <v>25</v>
      </c>
      <c r="I681" s="5">
        <v>44805</v>
      </c>
      <c r="J681" s="6">
        <v>0</v>
      </c>
      <c r="K681" s="6">
        <v>0</v>
      </c>
      <c r="L681" s="6">
        <v>0.85499999999999998</v>
      </c>
      <c r="M681" s="6">
        <v>0.28215000000000001</v>
      </c>
      <c r="N681" s="6">
        <v>0.85499999999999998</v>
      </c>
      <c r="O681" s="6">
        <v>0.28215000000000001</v>
      </c>
      <c r="P681" s="6">
        <v>0</v>
      </c>
      <c r="Q681" s="4" t="s">
        <v>26</v>
      </c>
      <c r="R681" s="4">
        <v>0</v>
      </c>
      <c r="S681" s="6">
        <v>0</v>
      </c>
      <c r="T681" s="6">
        <v>43</v>
      </c>
      <c r="U681" s="6">
        <v>84</v>
      </c>
      <c r="V681" s="6">
        <f>IF(ISERROR(VLOOKUP($S$681,'TAR FIN'!$A$1:$O$103,15,0)),0,VLOOKUP($S$681,'TAR FIN'!$A$1:$O$103,15,0))</f>
        <v>0</v>
      </c>
      <c r="W681" s="6">
        <f>IF(ISERROR(VLOOKUP($T$681,'TAR FIN'!$A$1:$O$103,15,0)),0,VLOOKUP($T$681,'TAR FIN'!$A$1:$O$103,15,0))</f>
        <v>334.07</v>
      </c>
      <c r="X681" s="6">
        <f>IF(ISERROR(VLOOKUP($U$681,'TAR FIN'!$A$1:$O$103,15,0)),0,VLOOKUP($U$681,'TAR FIN'!$A$1:$O$103,15,0))</f>
        <v>224.55</v>
      </c>
      <c r="Y681" s="6"/>
      <c r="Z681" s="6">
        <f ca="1">('TUSD BE'!$AM$45+'TUSD BF'!$AM$45+'TUSD CVA'!$AM$45)*(1-CUSTOS!$M$38)</f>
        <v>453.14332034419533</v>
      </c>
      <c r="AA681" s="6">
        <f>('TE BE'!$AB$26+'TE BF'!$AB$26+'TE CVA'!$AB$26)*(1-CUSTOS!$M$38)</f>
        <v>219.98233758978921</v>
      </c>
      <c r="AB681" s="6">
        <f>$K$681*$V$681</f>
        <v>0</v>
      </c>
      <c r="AC681" s="6">
        <f>$M$681*$W$681</f>
        <v>94.257850500000004</v>
      </c>
      <c r="AD681" s="6">
        <f>$O$681*$X$681</f>
        <v>63.356782500000008</v>
      </c>
      <c r="AE681" s="6">
        <f>$K$681*$Y$681</f>
        <v>0</v>
      </c>
      <c r="AF681" s="6">
        <f ca="1">$M$681*$Z$681</f>
        <v>127.85438783511472</v>
      </c>
      <c r="AG681" s="6">
        <f>$O$681*$AA$681</f>
        <v>62.06801655095903</v>
      </c>
    </row>
    <row r="682" spans="1:33" ht="11.25" customHeight="1" x14ac:dyDescent="0.3">
      <c r="A682" s="4" t="s">
        <v>57</v>
      </c>
      <c r="B682" s="4" t="s">
        <v>43</v>
      </c>
      <c r="C682" s="4" t="s">
        <v>23</v>
      </c>
      <c r="D682" s="4" t="s">
        <v>44</v>
      </c>
      <c r="E682" s="4" t="s">
        <v>56</v>
      </c>
      <c r="F682" s="4" t="s">
        <v>55</v>
      </c>
      <c r="G682" s="4" t="s">
        <v>25</v>
      </c>
      <c r="H682" s="4" t="s">
        <v>25</v>
      </c>
      <c r="I682" s="5">
        <v>44835</v>
      </c>
      <c r="J682" s="6">
        <v>0</v>
      </c>
      <c r="K682" s="6">
        <v>0</v>
      </c>
      <c r="L682" s="6">
        <v>14.973000000000001</v>
      </c>
      <c r="M682" s="6">
        <v>4.94109</v>
      </c>
      <c r="N682" s="6">
        <v>14.973000000000001</v>
      </c>
      <c r="O682" s="6">
        <v>4.94109</v>
      </c>
      <c r="P682" s="6">
        <v>0</v>
      </c>
      <c r="Q682" s="4" t="s">
        <v>26</v>
      </c>
      <c r="R682" s="4">
        <v>0</v>
      </c>
      <c r="S682" s="6">
        <v>0</v>
      </c>
      <c r="T682" s="6">
        <v>43</v>
      </c>
      <c r="U682" s="6">
        <v>84</v>
      </c>
      <c r="V682" s="6">
        <f>IF(ISERROR(VLOOKUP($S$682,'TAR FIN'!$A$1:$O$103,15,0)),0,VLOOKUP($S$682,'TAR FIN'!$A$1:$O$103,15,0))</f>
        <v>0</v>
      </c>
      <c r="W682" s="6">
        <f>IF(ISERROR(VLOOKUP($T$682,'TAR FIN'!$A$1:$O$103,15,0)),0,VLOOKUP($T$682,'TAR FIN'!$A$1:$O$103,15,0))</f>
        <v>334.07</v>
      </c>
      <c r="X682" s="6">
        <f>IF(ISERROR(VLOOKUP($U$682,'TAR FIN'!$A$1:$O$103,15,0)),0,VLOOKUP($U$682,'TAR FIN'!$A$1:$O$103,15,0))</f>
        <v>224.55</v>
      </c>
      <c r="Y682" s="6"/>
      <c r="Z682" s="6">
        <f ca="1">('TUSD BE'!$AM$45+'TUSD BF'!$AM$45+'TUSD CVA'!$AM$45)*(1-CUSTOS!$M$38)</f>
        <v>453.14332034419533</v>
      </c>
      <c r="AA682" s="6">
        <f>('TE BE'!$AB$26+'TE BF'!$AB$26+'TE CVA'!$AB$26)*(1-CUSTOS!$M$38)</f>
        <v>219.98233758978921</v>
      </c>
      <c r="AB682" s="6">
        <f>$K$682*$V$682</f>
        <v>0</v>
      </c>
      <c r="AC682" s="6">
        <f>$M$682*$W$682</f>
        <v>1650.6699363</v>
      </c>
      <c r="AD682" s="6">
        <f>$O$682*$X$682</f>
        <v>1109.5217595000001</v>
      </c>
      <c r="AE682" s="6">
        <f>$K$682*$Y$682</f>
        <v>0</v>
      </c>
      <c r="AF682" s="6">
        <f ca="1">$M$682*$Z$682</f>
        <v>2239.0219287195</v>
      </c>
      <c r="AG682" s="6">
        <f>$O$682*$AA$682</f>
        <v>1086.9525284415315</v>
      </c>
    </row>
    <row r="683" spans="1:33" ht="11.25" customHeight="1" x14ac:dyDescent="0.3">
      <c r="A683" s="4" t="s">
        <v>57</v>
      </c>
      <c r="B683" s="4" t="s">
        <v>43</v>
      </c>
      <c r="C683" s="4" t="s">
        <v>23</v>
      </c>
      <c r="D683" s="4" t="s">
        <v>44</v>
      </c>
      <c r="E683" s="4" t="s">
        <v>56</v>
      </c>
      <c r="F683" s="4" t="s">
        <v>55</v>
      </c>
      <c r="G683" s="4" t="s">
        <v>25</v>
      </c>
      <c r="H683" s="4" t="s">
        <v>25</v>
      </c>
      <c r="I683" s="5">
        <v>44835</v>
      </c>
      <c r="J683" s="6">
        <v>0</v>
      </c>
      <c r="K683" s="6">
        <v>0</v>
      </c>
      <c r="L683" s="6">
        <v>0.85499999999999998</v>
      </c>
      <c r="M683" s="6">
        <v>0.28215000000000001</v>
      </c>
      <c r="N683" s="6">
        <v>0.85499999999999998</v>
      </c>
      <c r="O683" s="6">
        <v>0.28215000000000001</v>
      </c>
      <c r="P683" s="6">
        <v>0</v>
      </c>
      <c r="Q683" s="4" t="s">
        <v>26</v>
      </c>
      <c r="R683" s="4">
        <v>0</v>
      </c>
      <c r="S683" s="6">
        <v>0</v>
      </c>
      <c r="T683" s="6">
        <v>43</v>
      </c>
      <c r="U683" s="6">
        <v>84</v>
      </c>
      <c r="V683" s="6">
        <f>IF(ISERROR(VLOOKUP($S$683,'TAR FIN'!$A$1:$O$103,15,0)),0,VLOOKUP($S$683,'TAR FIN'!$A$1:$O$103,15,0))</f>
        <v>0</v>
      </c>
      <c r="W683" s="6">
        <f>IF(ISERROR(VLOOKUP($T$683,'TAR FIN'!$A$1:$O$103,15,0)),0,VLOOKUP($T$683,'TAR FIN'!$A$1:$O$103,15,0))</f>
        <v>334.07</v>
      </c>
      <c r="X683" s="6">
        <f>IF(ISERROR(VLOOKUP($U$683,'TAR FIN'!$A$1:$O$103,15,0)),0,VLOOKUP($U$683,'TAR FIN'!$A$1:$O$103,15,0))</f>
        <v>224.55</v>
      </c>
      <c r="Y683" s="6"/>
      <c r="Z683" s="6">
        <f ca="1">('TUSD BE'!$AM$45+'TUSD BF'!$AM$45+'TUSD CVA'!$AM$45)*(1-CUSTOS!$M$38)</f>
        <v>453.14332034419533</v>
      </c>
      <c r="AA683" s="6">
        <f>('TE BE'!$AB$26+'TE BF'!$AB$26+'TE CVA'!$AB$26)*(1-CUSTOS!$M$38)</f>
        <v>219.98233758978921</v>
      </c>
      <c r="AB683" s="6">
        <f>$K$683*$V$683</f>
        <v>0</v>
      </c>
      <c r="AC683" s="6">
        <f>$M$683*$W$683</f>
        <v>94.257850500000004</v>
      </c>
      <c r="AD683" s="6">
        <f>$O$683*$X$683</f>
        <v>63.356782500000008</v>
      </c>
      <c r="AE683" s="6">
        <f>$K$683*$Y$683</f>
        <v>0</v>
      </c>
      <c r="AF683" s="6">
        <f ca="1">$M$683*$Z$683</f>
        <v>127.85438783511472</v>
      </c>
      <c r="AG683" s="6">
        <f>$O$683*$AA$683</f>
        <v>62.06801655095903</v>
      </c>
    </row>
    <row r="684" spans="1:33" ht="11.25" customHeight="1" x14ac:dyDescent="0.3">
      <c r="A684" s="4" t="s">
        <v>21</v>
      </c>
      <c r="B684" s="4" t="s">
        <v>43</v>
      </c>
      <c r="C684" s="4" t="s">
        <v>23</v>
      </c>
      <c r="D684" s="4" t="s">
        <v>44</v>
      </c>
      <c r="E684" s="4" t="s">
        <v>25</v>
      </c>
      <c r="F684" s="4" t="s">
        <v>25</v>
      </c>
      <c r="G684" s="4" t="s">
        <v>25</v>
      </c>
      <c r="H684" s="4" t="s">
        <v>25</v>
      </c>
      <c r="I684" s="5">
        <v>44501</v>
      </c>
      <c r="J684" s="6">
        <v>0</v>
      </c>
      <c r="K684" s="6">
        <v>0</v>
      </c>
      <c r="L684" s="6">
        <v>1381.0450000000001</v>
      </c>
      <c r="M684" s="6">
        <v>1381.0450000000001</v>
      </c>
      <c r="N684" s="6">
        <v>1381.0450000000001</v>
      </c>
      <c r="O684" s="6">
        <v>1381.0450000000001</v>
      </c>
      <c r="P684" s="6">
        <v>4522</v>
      </c>
      <c r="Q684" s="4" t="s">
        <v>26</v>
      </c>
      <c r="R684" s="4">
        <v>0</v>
      </c>
      <c r="S684" s="6">
        <v>0</v>
      </c>
      <c r="T684" s="6">
        <v>43</v>
      </c>
      <c r="U684" s="6">
        <v>84</v>
      </c>
      <c r="V684" s="6">
        <f>IF(ISERROR(VLOOKUP($S$684,'TAR FIN'!$A$1:$O$103,15,0)),0,VLOOKUP($S$684,'TAR FIN'!$A$1:$O$103,15,0))</f>
        <v>0</v>
      </c>
      <c r="W684" s="6">
        <f>IF(ISERROR(VLOOKUP($T$684,'TAR FIN'!$A$1:$O$103,15,0)),0,VLOOKUP($T$684,'TAR FIN'!$A$1:$O$103,15,0))</f>
        <v>334.07</v>
      </c>
      <c r="X684" s="6">
        <f>IF(ISERROR(VLOOKUP($U$684,'TAR FIN'!$A$1:$O$103,15,0)),0,VLOOKUP($U$684,'TAR FIN'!$A$1:$O$103,15,0))</f>
        <v>224.55</v>
      </c>
      <c r="Y684" s="6"/>
      <c r="Z684" s="6">
        <f ca="1">('TUSD BE'!$AM$45+'TUSD BF'!$AM$45+'TUSD CVA'!$AM$45)*(1-CUSTOS!$M$38)</f>
        <v>453.14332034419533</v>
      </c>
      <c r="AA684" s="6">
        <f>('TE BE'!$AB$26+'TE BF'!$AB$26+'TE CVA'!$AB$26)*(1-CUSTOS!$M$38)</f>
        <v>219.98233758978921</v>
      </c>
      <c r="AB684" s="6">
        <f>$K$684*$V$684</f>
        <v>0</v>
      </c>
      <c r="AC684" s="6">
        <f>$M$684*$W$684</f>
        <v>461365.70315000002</v>
      </c>
      <c r="AD684" s="6">
        <f>$O$684*$X$684</f>
        <v>310113.65475000005</v>
      </c>
      <c r="AE684" s="6">
        <f>$K$684*$Y$684</f>
        <v>0</v>
      </c>
      <c r="AF684" s="6">
        <f ca="1">$M$684*$Z$684</f>
        <v>625811.31684474926</v>
      </c>
      <c r="AG684" s="6">
        <f>$O$684*$AA$684</f>
        <v>303805.50741669047</v>
      </c>
    </row>
    <row r="685" spans="1:33" ht="11.25" customHeight="1" x14ac:dyDescent="0.3">
      <c r="A685" s="4" t="s">
        <v>28</v>
      </c>
      <c r="B685" s="4" t="s">
        <v>43</v>
      </c>
      <c r="C685" s="4" t="s">
        <v>23</v>
      </c>
      <c r="D685" s="4" t="s">
        <v>44</v>
      </c>
      <c r="E685" s="4" t="s">
        <v>25</v>
      </c>
      <c r="F685" s="4" t="s">
        <v>25</v>
      </c>
      <c r="G685" s="4" t="s">
        <v>25</v>
      </c>
      <c r="H685" s="4" t="s">
        <v>25</v>
      </c>
      <c r="I685" s="5">
        <v>44501</v>
      </c>
      <c r="J685" s="6">
        <v>0</v>
      </c>
      <c r="K685" s="6">
        <v>0</v>
      </c>
      <c r="L685" s="6">
        <v>11.712</v>
      </c>
      <c r="M685" s="6">
        <v>11.712</v>
      </c>
      <c r="N685" s="6">
        <v>11.712</v>
      </c>
      <c r="O685" s="6">
        <v>11.712</v>
      </c>
      <c r="P685" s="6">
        <v>61</v>
      </c>
      <c r="Q685" s="4" t="s">
        <v>26</v>
      </c>
      <c r="R685" s="4">
        <v>0</v>
      </c>
      <c r="S685" s="6">
        <v>0</v>
      </c>
      <c r="T685" s="6">
        <v>43</v>
      </c>
      <c r="U685" s="6">
        <v>84</v>
      </c>
      <c r="V685" s="6">
        <f>IF(ISERROR(VLOOKUP($S$685,'TAR FIN'!$A$1:$O$103,15,0)),0,VLOOKUP($S$685,'TAR FIN'!$A$1:$O$103,15,0))</f>
        <v>0</v>
      </c>
      <c r="W685" s="6">
        <f>IF(ISERROR(VLOOKUP($T$685,'TAR FIN'!$A$1:$O$103,15,0)),0,VLOOKUP($T$685,'TAR FIN'!$A$1:$O$103,15,0))</f>
        <v>334.07</v>
      </c>
      <c r="X685" s="6">
        <f>IF(ISERROR(VLOOKUP($U$685,'TAR FIN'!$A$1:$O$103,15,0)),0,VLOOKUP($U$685,'TAR FIN'!$A$1:$O$103,15,0))</f>
        <v>224.55</v>
      </c>
      <c r="Y685" s="6"/>
      <c r="Z685" s="6">
        <f ca="1">('TUSD BE'!$AM$45+'TUSD BF'!$AM$45+'TUSD CVA'!$AM$45)*(1-CUSTOS!$M$38)</f>
        <v>453.14332034419533</v>
      </c>
      <c r="AA685" s="6">
        <f>('TE BE'!$AB$26+'TE BF'!$AB$26+'TE CVA'!$AB$26)*(1-CUSTOS!$M$38)</f>
        <v>219.98233758978921</v>
      </c>
      <c r="AB685" s="6">
        <f>$K$685*$V$685</f>
        <v>0</v>
      </c>
      <c r="AC685" s="6">
        <f>$M$685*$W$685</f>
        <v>3912.6278399999997</v>
      </c>
      <c r="AD685" s="6">
        <f>$O$685*$X$685</f>
        <v>2629.9295999999999</v>
      </c>
      <c r="AE685" s="6">
        <f>$K$685*$Y$685</f>
        <v>0</v>
      </c>
      <c r="AF685" s="6">
        <f ca="1">$M$685*$Z$685</f>
        <v>5307.2145678712159</v>
      </c>
      <c r="AG685" s="6">
        <f>$O$685*$AA$685</f>
        <v>2576.4331378516113</v>
      </c>
    </row>
    <row r="686" spans="1:33" ht="11.25" customHeight="1" x14ac:dyDescent="0.3">
      <c r="A686" s="4" t="s">
        <v>21</v>
      </c>
      <c r="B686" s="4" t="s">
        <v>43</v>
      </c>
      <c r="C686" s="4" t="s">
        <v>23</v>
      </c>
      <c r="D686" s="4" t="s">
        <v>44</v>
      </c>
      <c r="E686" s="4" t="s">
        <v>25</v>
      </c>
      <c r="F686" s="4" t="s">
        <v>25</v>
      </c>
      <c r="G686" s="4" t="s">
        <v>25</v>
      </c>
      <c r="H686" s="4" t="s">
        <v>25</v>
      </c>
      <c r="I686" s="5">
        <v>44531</v>
      </c>
      <c r="J686" s="6">
        <v>0</v>
      </c>
      <c r="K686" s="6">
        <v>0</v>
      </c>
      <c r="L686" s="6">
        <v>1271.596</v>
      </c>
      <c r="M686" s="6">
        <v>1271.596</v>
      </c>
      <c r="N686" s="6">
        <v>1271.596</v>
      </c>
      <c r="O686" s="6">
        <v>1271.596</v>
      </c>
      <c r="P686" s="6">
        <v>4519</v>
      </c>
      <c r="Q686" s="4" t="s">
        <v>26</v>
      </c>
      <c r="R686" s="4">
        <v>0</v>
      </c>
      <c r="S686" s="6">
        <v>0</v>
      </c>
      <c r="T686" s="6">
        <v>43</v>
      </c>
      <c r="U686" s="6">
        <v>84</v>
      </c>
      <c r="V686" s="6">
        <f>IF(ISERROR(VLOOKUP($S$686,'TAR FIN'!$A$1:$O$103,15,0)),0,VLOOKUP($S$686,'TAR FIN'!$A$1:$O$103,15,0))</f>
        <v>0</v>
      </c>
      <c r="W686" s="6">
        <f>IF(ISERROR(VLOOKUP($T$686,'TAR FIN'!$A$1:$O$103,15,0)),0,VLOOKUP($T$686,'TAR FIN'!$A$1:$O$103,15,0))</f>
        <v>334.07</v>
      </c>
      <c r="X686" s="6">
        <f>IF(ISERROR(VLOOKUP($U$686,'TAR FIN'!$A$1:$O$103,15,0)),0,VLOOKUP($U$686,'TAR FIN'!$A$1:$O$103,15,0))</f>
        <v>224.55</v>
      </c>
      <c r="Y686" s="6"/>
      <c r="Z686" s="6">
        <f ca="1">('TUSD BE'!$AM$45+'TUSD BF'!$AM$45+'TUSD CVA'!$AM$45)*(1-CUSTOS!$M$38)</f>
        <v>453.14332034419533</v>
      </c>
      <c r="AA686" s="6">
        <f>('TE BE'!$AB$26+'TE BF'!$AB$26+'TE CVA'!$AB$26)*(1-CUSTOS!$M$38)</f>
        <v>219.98233758978921</v>
      </c>
      <c r="AB686" s="6">
        <f>$K$686*$V$686</f>
        <v>0</v>
      </c>
      <c r="AC686" s="6">
        <f>$M$686*$W$686</f>
        <v>424802.07571999996</v>
      </c>
      <c r="AD686" s="6">
        <f>$O$686*$X$686</f>
        <v>285536.88180000003</v>
      </c>
      <c r="AE686" s="6">
        <f>$K$686*$Y$686</f>
        <v>0</v>
      </c>
      <c r="AF686" s="6">
        <f ca="1">$M$686*$Z$686</f>
        <v>576215.23357639741</v>
      </c>
      <c r="AG686" s="6">
        <f>$O$686*$AA$686</f>
        <v>279728.66054982558</v>
      </c>
    </row>
    <row r="687" spans="1:33" ht="11.25" customHeight="1" x14ac:dyDescent="0.3">
      <c r="A687" s="4" t="s">
        <v>28</v>
      </c>
      <c r="B687" s="4" t="s">
        <v>43</v>
      </c>
      <c r="C687" s="4" t="s">
        <v>23</v>
      </c>
      <c r="D687" s="4" t="s">
        <v>44</v>
      </c>
      <c r="E687" s="4" t="s">
        <v>25</v>
      </c>
      <c r="F687" s="4" t="s">
        <v>25</v>
      </c>
      <c r="G687" s="4" t="s">
        <v>25</v>
      </c>
      <c r="H687" s="4" t="s">
        <v>25</v>
      </c>
      <c r="I687" s="5">
        <v>44531</v>
      </c>
      <c r="J687" s="6">
        <v>0</v>
      </c>
      <c r="K687" s="6">
        <v>0</v>
      </c>
      <c r="L687" s="6">
        <v>12.464</v>
      </c>
      <c r="M687" s="6">
        <v>12.464</v>
      </c>
      <c r="N687" s="6">
        <v>12.464</v>
      </c>
      <c r="O687" s="6">
        <v>12.464</v>
      </c>
      <c r="P687" s="6">
        <v>66</v>
      </c>
      <c r="Q687" s="4" t="s">
        <v>26</v>
      </c>
      <c r="R687" s="4">
        <v>0</v>
      </c>
      <c r="S687" s="6">
        <v>0</v>
      </c>
      <c r="T687" s="6">
        <v>43</v>
      </c>
      <c r="U687" s="6">
        <v>84</v>
      </c>
      <c r="V687" s="6">
        <f>IF(ISERROR(VLOOKUP($S$687,'TAR FIN'!$A$1:$O$103,15,0)),0,VLOOKUP($S$687,'TAR FIN'!$A$1:$O$103,15,0))</f>
        <v>0</v>
      </c>
      <c r="W687" s="6">
        <f>IF(ISERROR(VLOOKUP($T$687,'TAR FIN'!$A$1:$O$103,15,0)),0,VLOOKUP($T$687,'TAR FIN'!$A$1:$O$103,15,0))</f>
        <v>334.07</v>
      </c>
      <c r="X687" s="6">
        <f>IF(ISERROR(VLOOKUP($U$687,'TAR FIN'!$A$1:$O$103,15,0)),0,VLOOKUP($U$687,'TAR FIN'!$A$1:$O$103,15,0))</f>
        <v>224.55</v>
      </c>
      <c r="Y687" s="6"/>
      <c r="Z687" s="6">
        <f ca="1">('TUSD BE'!$AM$45+'TUSD BF'!$AM$45+'TUSD CVA'!$AM$45)*(1-CUSTOS!$M$38)</f>
        <v>453.14332034419533</v>
      </c>
      <c r="AA687" s="6">
        <f>('TE BE'!$AB$26+'TE BF'!$AB$26+'TE CVA'!$AB$26)*(1-CUSTOS!$M$38)</f>
        <v>219.98233758978921</v>
      </c>
      <c r="AB687" s="6">
        <f>$K$687*$V$687</f>
        <v>0</v>
      </c>
      <c r="AC687" s="6">
        <f>$M$687*$W$687</f>
        <v>4163.8484799999997</v>
      </c>
      <c r="AD687" s="6">
        <f>$O$687*$X$687</f>
        <v>2798.7912000000001</v>
      </c>
      <c r="AE687" s="6">
        <f>$K$687*$Y$687</f>
        <v>0</v>
      </c>
      <c r="AF687" s="6">
        <f ca="1">$M$687*$Z$687</f>
        <v>5647.9783447700511</v>
      </c>
      <c r="AG687" s="6">
        <f>$O$687*$AA$687</f>
        <v>2741.8598557191326</v>
      </c>
    </row>
    <row r="688" spans="1:33" ht="11.25" customHeight="1" x14ac:dyDescent="0.3">
      <c r="A688" s="4" t="s">
        <v>21</v>
      </c>
      <c r="B688" s="4" t="s">
        <v>43</v>
      </c>
      <c r="C688" s="4" t="s">
        <v>23</v>
      </c>
      <c r="D688" s="4" t="s">
        <v>44</v>
      </c>
      <c r="E688" s="4" t="s">
        <v>25</v>
      </c>
      <c r="F688" s="4" t="s">
        <v>25</v>
      </c>
      <c r="G688" s="4" t="s">
        <v>25</v>
      </c>
      <c r="H688" s="4" t="s">
        <v>25</v>
      </c>
      <c r="I688" s="5">
        <v>44562</v>
      </c>
      <c r="J688" s="6">
        <v>0</v>
      </c>
      <c r="K688" s="6">
        <v>0</v>
      </c>
      <c r="L688" s="6">
        <v>1167.3910000000001</v>
      </c>
      <c r="M688" s="6">
        <v>1167.3910000000001</v>
      </c>
      <c r="N688" s="6">
        <v>1167.3910000000001</v>
      </c>
      <c r="O688" s="6">
        <v>1167.3910000000001</v>
      </c>
      <c r="P688" s="6">
        <v>4510</v>
      </c>
      <c r="Q688" s="4" t="s">
        <v>26</v>
      </c>
      <c r="R688" s="4">
        <v>0</v>
      </c>
      <c r="S688" s="6">
        <v>0</v>
      </c>
      <c r="T688" s="6">
        <v>43</v>
      </c>
      <c r="U688" s="6">
        <v>84</v>
      </c>
      <c r="V688" s="6">
        <f>IF(ISERROR(VLOOKUP($S$688,'TAR FIN'!$A$1:$O$103,15,0)),0,VLOOKUP($S$688,'TAR FIN'!$A$1:$O$103,15,0))</f>
        <v>0</v>
      </c>
      <c r="W688" s="6">
        <f>IF(ISERROR(VLOOKUP($T$688,'TAR FIN'!$A$1:$O$103,15,0)),0,VLOOKUP($T$688,'TAR FIN'!$A$1:$O$103,15,0))</f>
        <v>334.07</v>
      </c>
      <c r="X688" s="6">
        <f>IF(ISERROR(VLOOKUP($U$688,'TAR FIN'!$A$1:$O$103,15,0)),0,VLOOKUP($U$688,'TAR FIN'!$A$1:$O$103,15,0))</f>
        <v>224.55</v>
      </c>
      <c r="Y688" s="6"/>
      <c r="Z688" s="6">
        <f ca="1">('TUSD BE'!$AM$45+'TUSD BF'!$AM$45+'TUSD CVA'!$AM$45)*(1-CUSTOS!$M$38)</f>
        <v>453.14332034419533</v>
      </c>
      <c r="AA688" s="6">
        <f>('TE BE'!$AB$26+'TE BF'!$AB$26+'TE CVA'!$AB$26)*(1-CUSTOS!$M$38)</f>
        <v>219.98233758978921</v>
      </c>
      <c r="AB688" s="6">
        <f>$K$688*$V$688</f>
        <v>0</v>
      </c>
      <c r="AC688" s="6">
        <f>$M$688*$W$688</f>
        <v>389990.31137000001</v>
      </c>
      <c r="AD688" s="6">
        <f>$O$688*$X$688</f>
        <v>262137.64905000004</v>
      </c>
      <c r="AE688" s="6">
        <f>$K$688*$Y$688</f>
        <v>0</v>
      </c>
      <c r="AF688" s="6">
        <f ca="1">$M$688*$Z$688</f>
        <v>528995.43387993053</v>
      </c>
      <c r="AG688" s="6">
        <f>$O$688*$AA$688</f>
        <v>256805.40106128162</v>
      </c>
    </row>
    <row r="689" spans="1:33" ht="11.25" customHeight="1" x14ac:dyDescent="0.3">
      <c r="A689" s="4" t="s">
        <v>28</v>
      </c>
      <c r="B689" s="4" t="s">
        <v>43</v>
      </c>
      <c r="C689" s="4" t="s">
        <v>23</v>
      </c>
      <c r="D689" s="4" t="s">
        <v>44</v>
      </c>
      <c r="E689" s="4" t="s">
        <v>25</v>
      </c>
      <c r="F689" s="4" t="s">
        <v>25</v>
      </c>
      <c r="G689" s="4" t="s">
        <v>25</v>
      </c>
      <c r="H689" s="4" t="s">
        <v>25</v>
      </c>
      <c r="I689" s="5">
        <v>44562</v>
      </c>
      <c r="J689" s="6">
        <v>0</v>
      </c>
      <c r="K689" s="6">
        <v>0</v>
      </c>
      <c r="L689" s="6">
        <v>17.41</v>
      </c>
      <c r="M689" s="6">
        <v>17.41</v>
      </c>
      <c r="N689" s="6">
        <v>17.41</v>
      </c>
      <c r="O689" s="6">
        <v>17.41</v>
      </c>
      <c r="P689" s="6">
        <v>70</v>
      </c>
      <c r="Q689" s="4" t="s">
        <v>26</v>
      </c>
      <c r="R689" s="4">
        <v>0</v>
      </c>
      <c r="S689" s="6">
        <v>0</v>
      </c>
      <c r="T689" s="6">
        <v>43</v>
      </c>
      <c r="U689" s="6">
        <v>84</v>
      </c>
      <c r="V689" s="6">
        <f>IF(ISERROR(VLOOKUP($S$689,'TAR FIN'!$A$1:$O$103,15,0)),0,VLOOKUP($S$689,'TAR FIN'!$A$1:$O$103,15,0))</f>
        <v>0</v>
      </c>
      <c r="W689" s="6">
        <f>IF(ISERROR(VLOOKUP($T$689,'TAR FIN'!$A$1:$O$103,15,0)),0,VLOOKUP($T$689,'TAR FIN'!$A$1:$O$103,15,0))</f>
        <v>334.07</v>
      </c>
      <c r="X689" s="6">
        <f>IF(ISERROR(VLOOKUP($U$689,'TAR FIN'!$A$1:$O$103,15,0)),0,VLOOKUP($U$689,'TAR FIN'!$A$1:$O$103,15,0))</f>
        <v>224.55</v>
      </c>
      <c r="Y689" s="6"/>
      <c r="Z689" s="6">
        <f ca="1">('TUSD BE'!$AM$45+'TUSD BF'!$AM$45+'TUSD CVA'!$AM$45)*(1-CUSTOS!$M$38)</f>
        <v>453.14332034419533</v>
      </c>
      <c r="AA689" s="6">
        <f>('TE BE'!$AB$26+'TE BF'!$AB$26+'TE CVA'!$AB$26)*(1-CUSTOS!$M$38)</f>
        <v>219.98233758978921</v>
      </c>
      <c r="AB689" s="6">
        <f>$K$689*$V$689</f>
        <v>0</v>
      </c>
      <c r="AC689" s="6">
        <f>$M$689*$W$689</f>
        <v>5816.1587</v>
      </c>
      <c r="AD689" s="6">
        <f>$O$689*$X$689</f>
        <v>3909.4155000000001</v>
      </c>
      <c r="AE689" s="6">
        <f>$K$689*$Y$689</f>
        <v>0</v>
      </c>
      <c r="AF689" s="6">
        <f ca="1">$M$689*$Z$689</f>
        <v>7889.2252071924404</v>
      </c>
      <c r="AG689" s="6">
        <f>$O$689*$AA$689</f>
        <v>3829.8924974382303</v>
      </c>
    </row>
    <row r="690" spans="1:33" ht="11.25" customHeight="1" x14ac:dyDescent="0.3">
      <c r="A690" s="4" t="s">
        <v>21</v>
      </c>
      <c r="B690" s="4" t="s">
        <v>43</v>
      </c>
      <c r="C690" s="4" t="s">
        <v>23</v>
      </c>
      <c r="D690" s="4" t="s">
        <v>44</v>
      </c>
      <c r="E690" s="4" t="s">
        <v>25</v>
      </c>
      <c r="F690" s="4" t="s">
        <v>25</v>
      </c>
      <c r="G690" s="4" t="s">
        <v>25</v>
      </c>
      <c r="H690" s="4" t="s">
        <v>25</v>
      </c>
      <c r="I690" s="5">
        <v>44593</v>
      </c>
      <c r="J690" s="6">
        <v>0</v>
      </c>
      <c r="K690" s="6">
        <v>0</v>
      </c>
      <c r="L690" s="6">
        <v>1228.2760000000001</v>
      </c>
      <c r="M690" s="6">
        <v>1228.2760000000001</v>
      </c>
      <c r="N690" s="6">
        <v>1228.2760000000001</v>
      </c>
      <c r="O690" s="6">
        <v>1228.2760000000001</v>
      </c>
      <c r="P690" s="6">
        <v>4501</v>
      </c>
      <c r="Q690" s="4" t="s">
        <v>26</v>
      </c>
      <c r="R690" s="4">
        <v>0</v>
      </c>
      <c r="S690" s="6">
        <v>0</v>
      </c>
      <c r="T690" s="6">
        <v>43</v>
      </c>
      <c r="U690" s="6">
        <v>84</v>
      </c>
      <c r="V690" s="6">
        <f>IF(ISERROR(VLOOKUP($S$690,'TAR FIN'!$A$1:$O$103,15,0)),0,VLOOKUP($S$690,'TAR FIN'!$A$1:$O$103,15,0))</f>
        <v>0</v>
      </c>
      <c r="W690" s="6">
        <f>IF(ISERROR(VLOOKUP($T$690,'TAR FIN'!$A$1:$O$103,15,0)),0,VLOOKUP($T$690,'TAR FIN'!$A$1:$O$103,15,0))</f>
        <v>334.07</v>
      </c>
      <c r="X690" s="6">
        <f>IF(ISERROR(VLOOKUP($U$690,'TAR FIN'!$A$1:$O$103,15,0)),0,VLOOKUP($U$690,'TAR FIN'!$A$1:$O$103,15,0))</f>
        <v>224.55</v>
      </c>
      <c r="Y690" s="6"/>
      <c r="Z690" s="6">
        <f ca="1">('TUSD BE'!$AM$45+'TUSD BF'!$AM$45+'TUSD CVA'!$AM$45)*(1-CUSTOS!$M$38)</f>
        <v>453.14332034419533</v>
      </c>
      <c r="AA690" s="6">
        <f>('TE BE'!$AB$26+'TE BF'!$AB$26+'TE CVA'!$AB$26)*(1-CUSTOS!$M$38)</f>
        <v>219.98233758978921</v>
      </c>
      <c r="AB690" s="6">
        <f>$K$690*$V$690</f>
        <v>0</v>
      </c>
      <c r="AC690" s="6">
        <f>$M$690*$W$690</f>
        <v>410330.16331999999</v>
      </c>
      <c r="AD690" s="6">
        <f>$O$690*$X$690</f>
        <v>275809.37580000004</v>
      </c>
      <c r="AE690" s="6">
        <f>$K$690*$Y$690</f>
        <v>0</v>
      </c>
      <c r="AF690" s="6">
        <f ca="1">$M$690*$Z$690</f>
        <v>556585.06493908691</v>
      </c>
      <c r="AG690" s="6">
        <f>$O$690*$AA$690</f>
        <v>270199.02568543598</v>
      </c>
    </row>
    <row r="691" spans="1:33" ht="11.25" customHeight="1" x14ac:dyDescent="0.3">
      <c r="A691" s="4" t="s">
        <v>28</v>
      </c>
      <c r="B691" s="4" t="s">
        <v>43</v>
      </c>
      <c r="C691" s="4" t="s">
        <v>23</v>
      </c>
      <c r="D691" s="4" t="s">
        <v>44</v>
      </c>
      <c r="E691" s="4" t="s">
        <v>25</v>
      </c>
      <c r="F691" s="4" t="s">
        <v>25</v>
      </c>
      <c r="G691" s="4" t="s">
        <v>25</v>
      </c>
      <c r="H691" s="4" t="s">
        <v>25</v>
      </c>
      <c r="I691" s="5">
        <v>44593</v>
      </c>
      <c r="J691" s="6">
        <v>0</v>
      </c>
      <c r="K691" s="6">
        <v>0</v>
      </c>
      <c r="L691" s="6">
        <v>12.071999999999999</v>
      </c>
      <c r="M691" s="6">
        <v>12.071999999999999</v>
      </c>
      <c r="N691" s="6">
        <v>12.071999999999999</v>
      </c>
      <c r="O691" s="6">
        <v>12.071999999999999</v>
      </c>
      <c r="P691" s="6">
        <v>72</v>
      </c>
      <c r="Q691" s="4" t="s">
        <v>26</v>
      </c>
      <c r="R691" s="4">
        <v>0</v>
      </c>
      <c r="S691" s="6">
        <v>0</v>
      </c>
      <c r="T691" s="6">
        <v>43</v>
      </c>
      <c r="U691" s="6">
        <v>84</v>
      </c>
      <c r="V691" s="6">
        <f>IF(ISERROR(VLOOKUP($S$691,'TAR FIN'!$A$1:$O$103,15,0)),0,VLOOKUP($S$691,'TAR FIN'!$A$1:$O$103,15,0))</f>
        <v>0</v>
      </c>
      <c r="W691" s="6">
        <f>IF(ISERROR(VLOOKUP($T$691,'TAR FIN'!$A$1:$O$103,15,0)),0,VLOOKUP($T$691,'TAR FIN'!$A$1:$O$103,15,0))</f>
        <v>334.07</v>
      </c>
      <c r="X691" s="6">
        <f>IF(ISERROR(VLOOKUP($U$691,'TAR FIN'!$A$1:$O$103,15,0)),0,VLOOKUP($U$691,'TAR FIN'!$A$1:$O$103,15,0))</f>
        <v>224.55</v>
      </c>
      <c r="Y691" s="6"/>
      <c r="Z691" s="6">
        <f ca="1">('TUSD BE'!$AM$45+'TUSD BF'!$AM$45+'TUSD CVA'!$AM$45)*(1-CUSTOS!$M$38)</f>
        <v>453.14332034419533</v>
      </c>
      <c r="AA691" s="6">
        <f>('TE BE'!$AB$26+'TE BF'!$AB$26+'TE CVA'!$AB$26)*(1-CUSTOS!$M$38)</f>
        <v>219.98233758978921</v>
      </c>
      <c r="AB691" s="6">
        <f>$K$691*$V$691</f>
        <v>0</v>
      </c>
      <c r="AC691" s="6">
        <f>$M$691*$W$691</f>
        <v>4032.8930399999995</v>
      </c>
      <c r="AD691" s="6">
        <f>$O$691*$X$691</f>
        <v>2710.7676000000001</v>
      </c>
      <c r="AE691" s="6">
        <f>$K$691*$Y$691</f>
        <v>0</v>
      </c>
      <c r="AF691" s="6">
        <f ca="1">$M$691*$Z$691</f>
        <v>5470.3461631951259</v>
      </c>
      <c r="AG691" s="6">
        <f>$O$691*$AA$691</f>
        <v>2655.6267793839352</v>
      </c>
    </row>
    <row r="692" spans="1:33" ht="11.25" customHeight="1" x14ac:dyDescent="0.3">
      <c r="A692" s="4" t="s">
        <v>21</v>
      </c>
      <c r="B692" s="4" t="s">
        <v>43</v>
      </c>
      <c r="C692" s="4" t="s">
        <v>23</v>
      </c>
      <c r="D692" s="4" t="s">
        <v>44</v>
      </c>
      <c r="E692" s="4" t="s">
        <v>25</v>
      </c>
      <c r="F692" s="4" t="s">
        <v>25</v>
      </c>
      <c r="G692" s="4" t="s">
        <v>25</v>
      </c>
      <c r="H692" s="4" t="s">
        <v>25</v>
      </c>
      <c r="I692" s="5">
        <v>44621</v>
      </c>
      <c r="J692" s="6">
        <v>0</v>
      </c>
      <c r="K692" s="6">
        <v>0</v>
      </c>
      <c r="L692" s="6">
        <v>1114.348</v>
      </c>
      <c r="M692" s="6">
        <v>1114.348</v>
      </c>
      <c r="N692" s="6">
        <v>1114.348</v>
      </c>
      <c r="O692" s="6">
        <v>1114.348</v>
      </c>
      <c r="P692" s="6">
        <v>4482</v>
      </c>
      <c r="Q692" s="4" t="s">
        <v>26</v>
      </c>
      <c r="R692" s="4">
        <v>0</v>
      </c>
      <c r="S692" s="6">
        <v>0</v>
      </c>
      <c r="T692" s="6">
        <v>43</v>
      </c>
      <c r="U692" s="6">
        <v>84</v>
      </c>
      <c r="V692" s="6">
        <f>IF(ISERROR(VLOOKUP($S$692,'TAR FIN'!$A$1:$O$103,15,0)),0,VLOOKUP($S$692,'TAR FIN'!$A$1:$O$103,15,0))</f>
        <v>0</v>
      </c>
      <c r="W692" s="6">
        <f>IF(ISERROR(VLOOKUP($T$692,'TAR FIN'!$A$1:$O$103,15,0)),0,VLOOKUP($T$692,'TAR FIN'!$A$1:$O$103,15,0))</f>
        <v>334.07</v>
      </c>
      <c r="X692" s="6">
        <f>IF(ISERROR(VLOOKUP($U$692,'TAR FIN'!$A$1:$O$103,15,0)),0,VLOOKUP($U$692,'TAR FIN'!$A$1:$O$103,15,0))</f>
        <v>224.55</v>
      </c>
      <c r="Y692" s="6"/>
      <c r="Z692" s="6">
        <f ca="1">('TUSD BE'!$AM$45+'TUSD BF'!$AM$45+'TUSD CVA'!$AM$45)*(1-CUSTOS!$M$38)</f>
        <v>453.14332034419533</v>
      </c>
      <c r="AA692" s="6">
        <f>('TE BE'!$AB$26+'TE BF'!$AB$26+'TE CVA'!$AB$26)*(1-CUSTOS!$M$38)</f>
        <v>219.98233758978921</v>
      </c>
      <c r="AB692" s="6">
        <f>$K$692*$V$692</f>
        <v>0</v>
      </c>
      <c r="AC692" s="6">
        <f>$M$692*$W$692</f>
        <v>372270.23635999998</v>
      </c>
      <c r="AD692" s="6">
        <f>$O$692*$X$692</f>
        <v>250226.84340000001</v>
      </c>
      <c r="AE692" s="6">
        <f>$K$692*$Y$692</f>
        <v>0</v>
      </c>
      <c r="AF692" s="6">
        <f ca="1">$M$692*$Z$692</f>
        <v>504959.35273891338</v>
      </c>
      <c r="AG692" s="6">
        <f>$O$692*$AA$692</f>
        <v>245136.87792850641</v>
      </c>
    </row>
    <row r="693" spans="1:33" ht="11.25" customHeight="1" x14ac:dyDescent="0.3">
      <c r="A693" s="4" t="s">
        <v>28</v>
      </c>
      <c r="B693" s="4" t="s">
        <v>43</v>
      </c>
      <c r="C693" s="4" t="s">
        <v>23</v>
      </c>
      <c r="D693" s="4" t="s">
        <v>44</v>
      </c>
      <c r="E693" s="4" t="s">
        <v>25</v>
      </c>
      <c r="F693" s="4" t="s">
        <v>25</v>
      </c>
      <c r="G693" s="4" t="s">
        <v>25</v>
      </c>
      <c r="H693" s="4" t="s">
        <v>25</v>
      </c>
      <c r="I693" s="5">
        <v>44621</v>
      </c>
      <c r="J693" s="6">
        <v>0</v>
      </c>
      <c r="K693" s="6">
        <v>0</v>
      </c>
      <c r="L693" s="6">
        <v>11.337</v>
      </c>
      <c r="M693" s="6">
        <v>11.337</v>
      </c>
      <c r="N693" s="6">
        <v>11.337</v>
      </c>
      <c r="O693" s="6">
        <v>11.337</v>
      </c>
      <c r="P693" s="6">
        <v>82</v>
      </c>
      <c r="Q693" s="4" t="s">
        <v>26</v>
      </c>
      <c r="R693" s="4">
        <v>0</v>
      </c>
      <c r="S693" s="6">
        <v>0</v>
      </c>
      <c r="T693" s="6">
        <v>43</v>
      </c>
      <c r="U693" s="6">
        <v>84</v>
      </c>
      <c r="V693" s="6">
        <f>IF(ISERROR(VLOOKUP($S$693,'TAR FIN'!$A$1:$O$103,15,0)),0,VLOOKUP($S$693,'TAR FIN'!$A$1:$O$103,15,0))</f>
        <v>0</v>
      </c>
      <c r="W693" s="6">
        <f>IF(ISERROR(VLOOKUP($T$693,'TAR FIN'!$A$1:$O$103,15,0)),0,VLOOKUP($T$693,'TAR FIN'!$A$1:$O$103,15,0))</f>
        <v>334.07</v>
      </c>
      <c r="X693" s="6">
        <f>IF(ISERROR(VLOOKUP($U$693,'TAR FIN'!$A$1:$O$103,15,0)),0,VLOOKUP($U$693,'TAR FIN'!$A$1:$O$103,15,0))</f>
        <v>224.55</v>
      </c>
      <c r="Y693" s="6"/>
      <c r="Z693" s="6">
        <f ca="1">('TUSD BE'!$AM$45+'TUSD BF'!$AM$45+'TUSD CVA'!$AM$45)*(1-CUSTOS!$M$38)</f>
        <v>453.14332034419533</v>
      </c>
      <c r="AA693" s="6">
        <f>('TE BE'!$AB$26+'TE BF'!$AB$26+'TE CVA'!$AB$26)*(1-CUSTOS!$M$38)</f>
        <v>219.98233758978921</v>
      </c>
      <c r="AB693" s="6">
        <f>$K$693*$V$693</f>
        <v>0</v>
      </c>
      <c r="AC693" s="6">
        <f>$M$693*$W$693</f>
        <v>3787.3515899999998</v>
      </c>
      <c r="AD693" s="6">
        <f>$O$693*$X$693</f>
        <v>2545.7233500000002</v>
      </c>
      <c r="AE693" s="6">
        <f>$K$693*$Y$693</f>
        <v>0</v>
      </c>
      <c r="AF693" s="6">
        <f ca="1">$M$693*$Z$693</f>
        <v>5137.285822742142</v>
      </c>
      <c r="AG693" s="6">
        <f>$O$693*$AA$693</f>
        <v>2493.9397612554403</v>
      </c>
    </row>
    <row r="694" spans="1:33" ht="11.25" customHeight="1" x14ac:dyDescent="0.3">
      <c r="A694" s="4" t="s">
        <v>21</v>
      </c>
      <c r="B694" s="4" t="s">
        <v>43</v>
      </c>
      <c r="C694" s="4" t="s">
        <v>23</v>
      </c>
      <c r="D694" s="4" t="s">
        <v>44</v>
      </c>
      <c r="E694" s="4" t="s">
        <v>25</v>
      </c>
      <c r="F694" s="4" t="s">
        <v>25</v>
      </c>
      <c r="G694" s="4" t="s">
        <v>25</v>
      </c>
      <c r="H694" s="4" t="s">
        <v>25</v>
      </c>
      <c r="I694" s="5">
        <v>44652</v>
      </c>
      <c r="J694" s="6">
        <v>0</v>
      </c>
      <c r="K694" s="6">
        <v>0</v>
      </c>
      <c r="L694" s="6">
        <v>1176.8989999999999</v>
      </c>
      <c r="M694" s="6">
        <v>1176.8989999999999</v>
      </c>
      <c r="N694" s="6">
        <v>1176.8989999999999</v>
      </c>
      <c r="O694" s="6">
        <v>1176.8989999999999</v>
      </c>
      <c r="P694" s="6">
        <v>4469</v>
      </c>
      <c r="Q694" s="4" t="s">
        <v>26</v>
      </c>
      <c r="R694" s="4">
        <v>0</v>
      </c>
      <c r="S694" s="6">
        <v>0</v>
      </c>
      <c r="T694" s="6">
        <v>43</v>
      </c>
      <c r="U694" s="6">
        <v>84</v>
      </c>
      <c r="V694" s="6">
        <f>IF(ISERROR(VLOOKUP($S$694,'TAR FIN'!$A$1:$O$103,15,0)),0,VLOOKUP($S$694,'TAR FIN'!$A$1:$O$103,15,0))</f>
        <v>0</v>
      </c>
      <c r="W694" s="6">
        <f>IF(ISERROR(VLOOKUP($T$694,'TAR FIN'!$A$1:$O$103,15,0)),0,VLOOKUP($T$694,'TAR FIN'!$A$1:$O$103,15,0))</f>
        <v>334.07</v>
      </c>
      <c r="X694" s="6">
        <f>IF(ISERROR(VLOOKUP($U$694,'TAR FIN'!$A$1:$O$103,15,0)),0,VLOOKUP($U$694,'TAR FIN'!$A$1:$O$103,15,0))</f>
        <v>224.55</v>
      </c>
      <c r="Y694" s="6"/>
      <c r="Z694" s="6">
        <f ca="1">('TUSD BE'!$AM$45+'TUSD BF'!$AM$45+'TUSD CVA'!$AM$45)*(1-CUSTOS!$M$38)</f>
        <v>453.14332034419533</v>
      </c>
      <c r="AA694" s="6">
        <f>('TE BE'!$AB$26+'TE BF'!$AB$26+'TE CVA'!$AB$26)*(1-CUSTOS!$M$38)</f>
        <v>219.98233758978921</v>
      </c>
      <c r="AB694" s="6">
        <f>$K$694*$V$694</f>
        <v>0</v>
      </c>
      <c r="AC694" s="6">
        <f>$M$694*$W$694</f>
        <v>393166.64892999997</v>
      </c>
      <c r="AD694" s="6">
        <f>$O$694*$X$694</f>
        <v>264272.67044999998</v>
      </c>
      <c r="AE694" s="6">
        <f>$K$694*$Y$694</f>
        <v>0</v>
      </c>
      <c r="AF694" s="6">
        <f ca="1">$M$694*$Z$694</f>
        <v>533303.92056976305</v>
      </c>
      <c r="AG694" s="6">
        <f>$O$694*$AA$694</f>
        <v>258896.9931270853</v>
      </c>
    </row>
    <row r="695" spans="1:33" ht="11.25" customHeight="1" x14ac:dyDescent="0.3">
      <c r="A695" s="4" t="s">
        <v>28</v>
      </c>
      <c r="B695" s="4" t="s">
        <v>43</v>
      </c>
      <c r="C695" s="4" t="s">
        <v>23</v>
      </c>
      <c r="D695" s="4" t="s">
        <v>44</v>
      </c>
      <c r="E695" s="4" t="s">
        <v>25</v>
      </c>
      <c r="F695" s="4" t="s">
        <v>25</v>
      </c>
      <c r="G695" s="4" t="s">
        <v>25</v>
      </c>
      <c r="H695" s="4" t="s">
        <v>25</v>
      </c>
      <c r="I695" s="5">
        <v>44652</v>
      </c>
      <c r="J695" s="6">
        <v>0</v>
      </c>
      <c r="K695" s="6">
        <v>0</v>
      </c>
      <c r="L695" s="6">
        <v>27.274000000000001</v>
      </c>
      <c r="M695" s="6">
        <v>27.274000000000001</v>
      </c>
      <c r="N695" s="6">
        <v>27.274000000000001</v>
      </c>
      <c r="O695" s="6">
        <v>27.274000000000001</v>
      </c>
      <c r="P695" s="6">
        <v>91</v>
      </c>
      <c r="Q695" s="4" t="s">
        <v>26</v>
      </c>
      <c r="R695" s="4">
        <v>0</v>
      </c>
      <c r="S695" s="6">
        <v>0</v>
      </c>
      <c r="T695" s="6">
        <v>43</v>
      </c>
      <c r="U695" s="6">
        <v>84</v>
      </c>
      <c r="V695" s="6">
        <f>IF(ISERROR(VLOOKUP($S$695,'TAR FIN'!$A$1:$O$103,15,0)),0,VLOOKUP($S$695,'TAR FIN'!$A$1:$O$103,15,0))</f>
        <v>0</v>
      </c>
      <c r="W695" s="6">
        <f>IF(ISERROR(VLOOKUP($T$695,'TAR FIN'!$A$1:$O$103,15,0)),0,VLOOKUP($T$695,'TAR FIN'!$A$1:$O$103,15,0))</f>
        <v>334.07</v>
      </c>
      <c r="X695" s="6">
        <f>IF(ISERROR(VLOOKUP($U$695,'TAR FIN'!$A$1:$O$103,15,0)),0,VLOOKUP($U$695,'TAR FIN'!$A$1:$O$103,15,0))</f>
        <v>224.55</v>
      </c>
      <c r="Y695" s="6"/>
      <c r="Z695" s="6">
        <f ca="1">('TUSD BE'!$AM$45+'TUSD BF'!$AM$45+'TUSD CVA'!$AM$45)*(1-CUSTOS!$M$38)</f>
        <v>453.14332034419533</v>
      </c>
      <c r="AA695" s="6">
        <f>('TE BE'!$AB$26+'TE BF'!$AB$26+'TE CVA'!$AB$26)*(1-CUSTOS!$M$38)</f>
        <v>219.98233758978921</v>
      </c>
      <c r="AB695" s="6">
        <f>$K$695*$V$695</f>
        <v>0</v>
      </c>
      <c r="AC695" s="6">
        <f>$M$695*$W$695</f>
        <v>9111.4251800000002</v>
      </c>
      <c r="AD695" s="6">
        <f>$O$695*$X$695</f>
        <v>6124.3767000000007</v>
      </c>
      <c r="AE695" s="6">
        <f>$K$695*$Y$695</f>
        <v>0</v>
      </c>
      <c r="AF695" s="6">
        <f ca="1">$M$695*$Z$695</f>
        <v>12359.030919067583</v>
      </c>
      <c r="AG695" s="6">
        <f>$O$695*$AA$695</f>
        <v>5999.798275423911</v>
      </c>
    </row>
    <row r="696" spans="1:33" ht="11.25" customHeight="1" x14ac:dyDescent="0.3">
      <c r="A696" s="4" t="s">
        <v>21</v>
      </c>
      <c r="B696" s="4" t="s">
        <v>43</v>
      </c>
      <c r="C696" s="4" t="s">
        <v>23</v>
      </c>
      <c r="D696" s="4" t="s">
        <v>44</v>
      </c>
      <c r="E696" s="4" t="s">
        <v>25</v>
      </c>
      <c r="F696" s="4" t="s">
        <v>25</v>
      </c>
      <c r="G696" s="4" t="s">
        <v>25</v>
      </c>
      <c r="H696" s="4" t="s">
        <v>25</v>
      </c>
      <c r="I696" s="5">
        <v>44682</v>
      </c>
      <c r="J696" s="6">
        <v>0</v>
      </c>
      <c r="K696" s="6">
        <v>0</v>
      </c>
      <c r="L696" s="6">
        <v>1273.9549999999999</v>
      </c>
      <c r="M696" s="6">
        <v>1273.9549999999999</v>
      </c>
      <c r="N696" s="6">
        <v>1273.9549999999999</v>
      </c>
      <c r="O696" s="6">
        <v>1273.9549999999999</v>
      </c>
      <c r="P696" s="6">
        <v>4481</v>
      </c>
      <c r="Q696" s="4" t="s">
        <v>26</v>
      </c>
      <c r="R696" s="4">
        <v>0</v>
      </c>
      <c r="S696" s="6">
        <v>0</v>
      </c>
      <c r="T696" s="6">
        <v>43</v>
      </c>
      <c r="U696" s="6">
        <v>84</v>
      </c>
      <c r="V696" s="6">
        <f>IF(ISERROR(VLOOKUP($S$696,'TAR FIN'!$A$1:$O$103,15,0)),0,VLOOKUP($S$696,'TAR FIN'!$A$1:$O$103,15,0))</f>
        <v>0</v>
      </c>
      <c r="W696" s="6">
        <f>IF(ISERROR(VLOOKUP($T$696,'TAR FIN'!$A$1:$O$103,15,0)),0,VLOOKUP($T$696,'TAR FIN'!$A$1:$O$103,15,0))</f>
        <v>334.07</v>
      </c>
      <c r="X696" s="6">
        <f>IF(ISERROR(VLOOKUP($U$696,'TAR FIN'!$A$1:$O$103,15,0)),0,VLOOKUP($U$696,'TAR FIN'!$A$1:$O$103,15,0))</f>
        <v>224.55</v>
      </c>
      <c r="Y696" s="6"/>
      <c r="Z696" s="6">
        <f ca="1">('TUSD BE'!$AM$45+'TUSD BF'!$AM$45+'TUSD CVA'!$AM$45)*(1-CUSTOS!$M$38)</f>
        <v>453.14332034419533</v>
      </c>
      <c r="AA696" s="6">
        <f>('TE BE'!$AB$26+'TE BF'!$AB$26+'TE CVA'!$AB$26)*(1-CUSTOS!$M$38)</f>
        <v>219.98233758978921</v>
      </c>
      <c r="AB696" s="6">
        <f>$K$696*$V$696</f>
        <v>0</v>
      </c>
      <c r="AC696" s="6">
        <f>$M$696*$W$696</f>
        <v>425590.14684999996</v>
      </c>
      <c r="AD696" s="6">
        <f>$O$696*$X$696</f>
        <v>286066.59525000001</v>
      </c>
      <c r="AE696" s="6">
        <f>$K$696*$Y$696</f>
        <v>0</v>
      </c>
      <c r="AF696" s="6">
        <f ca="1">$M$696*$Z$696</f>
        <v>577284.19866908935</v>
      </c>
      <c r="AG696" s="6">
        <f>$O$696*$AA$696</f>
        <v>280247.59888419992</v>
      </c>
    </row>
    <row r="697" spans="1:33" ht="11.25" customHeight="1" x14ac:dyDescent="0.3">
      <c r="A697" s="4" t="s">
        <v>28</v>
      </c>
      <c r="B697" s="4" t="s">
        <v>43</v>
      </c>
      <c r="C697" s="4" t="s">
        <v>23</v>
      </c>
      <c r="D697" s="4" t="s">
        <v>44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44682</v>
      </c>
      <c r="J697" s="6">
        <v>0</v>
      </c>
      <c r="K697" s="6">
        <v>0</v>
      </c>
      <c r="L697" s="6">
        <v>24.559000000000001</v>
      </c>
      <c r="M697" s="6">
        <v>24.559000000000001</v>
      </c>
      <c r="N697" s="6">
        <v>24.559000000000001</v>
      </c>
      <c r="O697" s="6">
        <v>24.559000000000001</v>
      </c>
      <c r="P697" s="6">
        <v>100</v>
      </c>
      <c r="Q697" s="4" t="s">
        <v>26</v>
      </c>
      <c r="R697" s="4">
        <v>0</v>
      </c>
      <c r="S697" s="6">
        <v>0</v>
      </c>
      <c r="T697" s="6">
        <v>43</v>
      </c>
      <c r="U697" s="6">
        <v>84</v>
      </c>
      <c r="V697" s="6">
        <f>IF(ISERROR(VLOOKUP($S$697,'TAR FIN'!$A$1:$O$103,15,0)),0,VLOOKUP($S$697,'TAR FIN'!$A$1:$O$103,15,0))</f>
        <v>0</v>
      </c>
      <c r="W697" s="6">
        <f>IF(ISERROR(VLOOKUP($T$697,'TAR FIN'!$A$1:$O$103,15,0)),0,VLOOKUP($T$697,'TAR FIN'!$A$1:$O$103,15,0))</f>
        <v>334.07</v>
      </c>
      <c r="X697" s="6">
        <f>IF(ISERROR(VLOOKUP($U$697,'TAR FIN'!$A$1:$O$103,15,0)),0,VLOOKUP($U$697,'TAR FIN'!$A$1:$O$103,15,0))</f>
        <v>224.55</v>
      </c>
      <c r="Y697" s="6"/>
      <c r="Z697" s="6">
        <f ca="1">('TUSD BE'!$AM$45+'TUSD BF'!$AM$45+'TUSD CVA'!$AM$45)*(1-CUSTOS!$M$38)</f>
        <v>453.14332034419533</v>
      </c>
      <c r="AA697" s="6">
        <f>('TE BE'!$AB$26+'TE BF'!$AB$26+'TE CVA'!$AB$26)*(1-CUSTOS!$M$38)</f>
        <v>219.98233758978921</v>
      </c>
      <c r="AB697" s="6">
        <f>$K$697*$V$697</f>
        <v>0</v>
      </c>
      <c r="AC697" s="6">
        <f>$M$697*$W$697</f>
        <v>8204.4251299999996</v>
      </c>
      <c r="AD697" s="6">
        <f>$O$697*$X$697</f>
        <v>5514.7234500000004</v>
      </c>
      <c r="AE697" s="6">
        <f>$K$697*$Y$697</f>
        <v>0</v>
      </c>
      <c r="AF697" s="6">
        <f ca="1">$M$697*$Z$697</f>
        <v>11128.746804333094</v>
      </c>
      <c r="AG697" s="6">
        <f>$O$697*$AA$697</f>
        <v>5402.5462288676335</v>
      </c>
    </row>
    <row r="698" spans="1:33" ht="11.25" customHeight="1" x14ac:dyDescent="0.3">
      <c r="A698" s="4" t="s">
        <v>21</v>
      </c>
      <c r="B698" s="4" t="s">
        <v>43</v>
      </c>
      <c r="C698" s="4" t="s">
        <v>23</v>
      </c>
      <c r="D698" s="4" t="s">
        <v>44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44713</v>
      </c>
      <c r="J698" s="6">
        <v>0</v>
      </c>
      <c r="K698" s="6">
        <v>0</v>
      </c>
      <c r="L698" s="6">
        <v>1163.0940000000001</v>
      </c>
      <c r="M698" s="6">
        <v>1163.0940000000001</v>
      </c>
      <c r="N698" s="6">
        <v>1163.0940000000001</v>
      </c>
      <c r="O698" s="6">
        <v>1163.0940000000001</v>
      </c>
      <c r="P698" s="6">
        <v>4476</v>
      </c>
      <c r="Q698" s="4" t="s">
        <v>26</v>
      </c>
      <c r="R698" s="4">
        <v>0</v>
      </c>
      <c r="S698" s="6">
        <v>0</v>
      </c>
      <c r="T698" s="6">
        <v>43</v>
      </c>
      <c r="U698" s="6">
        <v>84</v>
      </c>
      <c r="V698" s="6">
        <f>IF(ISERROR(VLOOKUP($S$698,'TAR FIN'!$A$1:$O$103,15,0)),0,VLOOKUP($S$698,'TAR FIN'!$A$1:$O$103,15,0))</f>
        <v>0</v>
      </c>
      <c r="W698" s="6">
        <f>IF(ISERROR(VLOOKUP($T$698,'TAR FIN'!$A$1:$O$103,15,0)),0,VLOOKUP($T$698,'TAR FIN'!$A$1:$O$103,15,0))</f>
        <v>334.07</v>
      </c>
      <c r="X698" s="6">
        <f>IF(ISERROR(VLOOKUP($U$698,'TAR FIN'!$A$1:$O$103,15,0)),0,VLOOKUP($U$698,'TAR FIN'!$A$1:$O$103,15,0))</f>
        <v>224.55</v>
      </c>
      <c r="Y698" s="6"/>
      <c r="Z698" s="6">
        <f ca="1">('TUSD BE'!$AM$45+'TUSD BF'!$AM$45+'TUSD CVA'!$AM$45)*(1-CUSTOS!$M$38)</f>
        <v>453.14332034419533</v>
      </c>
      <c r="AA698" s="6">
        <f>('TE BE'!$AB$26+'TE BF'!$AB$26+'TE CVA'!$AB$26)*(1-CUSTOS!$M$38)</f>
        <v>219.98233758978921</v>
      </c>
      <c r="AB698" s="6">
        <f>$K$698*$V$698</f>
        <v>0</v>
      </c>
      <c r="AC698" s="6">
        <f>$M$698*$W$698</f>
        <v>388554.81258000003</v>
      </c>
      <c r="AD698" s="6">
        <f>$O$698*$X$698</f>
        <v>261172.75770000002</v>
      </c>
      <c r="AE698" s="6">
        <f>$K$698*$Y$698</f>
        <v>0</v>
      </c>
      <c r="AF698" s="6">
        <f ca="1">$M$698*$Z$698</f>
        <v>527048.27703241154</v>
      </c>
      <c r="AG698" s="6">
        <f>$O$698*$AA$698</f>
        <v>255860.1369566583</v>
      </c>
    </row>
    <row r="699" spans="1:33" ht="11.25" customHeight="1" x14ac:dyDescent="0.3">
      <c r="A699" s="4" t="s">
        <v>28</v>
      </c>
      <c r="B699" s="4" t="s">
        <v>43</v>
      </c>
      <c r="C699" s="4" t="s">
        <v>23</v>
      </c>
      <c r="D699" s="4" t="s">
        <v>44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44713</v>
      </c>
      <c r="J699" s="6">
        <v>0</v>
      </c>
      <c r="K699" s="6">
        <v>0</v>
      </c>
      <c r="L699" s="6">
        <v>23.04</v>
      </c>
      <c r="M699" s="6">
        <v>23.04</v>
      </c>
      <c r="N699" s="6">
        <v>23.04</v>
      </c>
      <c r="O699" s="6">
        <v>23.04</v>
      </c>
      <c r="P699" s="6">
        <v>105</v>
      </c>
      <c r="Q699" s="4" t="s">
        <v>26</v>
      </c>
      <c r="R699" s="4">
        <v>0</v>
      </c>
      <c r="S699" s="6">
        <v>0</v>
      </c>
      <c r="T699" s="6">
        <v>43</v>
      </c>
      <c r="U699" s="6">
        <v>84</v>
      </c>
      <c r="V699" s="6">
        <f>IF(ISERROR(VLOOKUP($S$699,'TAR FIN'!$A$1:$O$103,15,0)),0,VLOOKUP($S$699,'TAR FIN'!$A$1:$O$103,15,0))</f>
        <v>0</v>
      </c>
      <c r="W699" s="6">
        <f>IF(ISERROR(VLOOKUP($T$699,'TAR FIN'!$A$1:$O$103,15,0)),0,VLOOKUP($T$699,'TAR FIN'!$A$1:$O$103,15,0))</f>
        <v>334.07</v>
      </c>
      <c r="X699" s="6">
        <f>IF(ISERROR(VLOOKUP($U$699,'TAR FIN'!$A$1:$O$103,15,0)),0,VLOOKUP($U$699,'TAR FIN'!$A$1:$O$103,15,0))</f>
        <v>224.55</v>
      </c>
      <c r="Y699" s="6"/>
      <c r="Z699" s="6">
        <f ca="1">('TUSD BE'!$AM$45+'TUSD BF'!$AM$45+'TUSD CVA'!$AM$45)*(1-CUSTOS!$M$38)</f>
        <v>453.14332034419533</v>
      </c>
      <c r="AA699" s="6">
        <f>('TE BE'!$AB$26+'TE BF'!$AB$26+'TE CVA'!$AB$26)*(1-CUSTOS!$M$38)</f>
        <v>219.98233758978921</v>
      </c>
      <c r="AB699" s="6">
        <f>$K$699*$V$699</f>
        <v>0</v>
      </c>
      <c r="AC699" s="6">
        <f>$M$699*$W$699</f>
        <v>7696.9727999999996</v>
      </c>
      <c r="AD699" s="6">
        <f>$O$699*$X$699</f>
        <v>5173.6320000000005</v>
      </c>
      <c r="AE699" s="6">
        <f>$K$699*$Y$699</f>
        <v>0</v>
      </c>
      <c r="AF699" s="6">
        <f ca="1">$M$699*$Z$699</f>
        <v>10440.42210073026</v>
      </c>
      <c r="AG699" s="6">
        <f>$O$699*$AA$699</f>
        <v>5068.3930580687429</v>
      </c>
    </row>
    <row r="700" spans="1:33" ht="11.25" customHeight="1" x14ac:dyDescent="0.3">
      <c r="A700" s="4" t="s">
        <v>21</v>
      </c>
      <c r="B700" s="4" t="s">
        <v>43</v>
      </c>
      <c r="C700" s="4" t="s">
        <v>23</v>
      </c>
      <c r="D700" s="4" t="s">
        <v>44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44743</v>
      </c>
      <c r="J700" s="6">
        <v>0</v>
      </c>
      <c r="K700" s="6">
        <v>0</v>
      </c>
      <c r="L700" s="6">
        <v>1133.1010000000001</v>
      </c>
      <c r="M700" s="6">
        <v>1133.1010000000001</v>
      </c>
      <c r="N700" s="6">
        <v>1133.1010000000001</v>
      </c>
      <c r="O700" s="6">
        <v>1133.1010000000001</v>
      </c>
      <c r="P700" s="6">
        <v>4468</v>
      </c>
      <c r="Q700" s="4" t="s">
        <v>26</v>
      </c>
      <c r="R700" s="4">
        <v>0</v>
      </c>
      <c r="S700" s="6">
        <v>0</v>
      </c>
      <c r="T700" s="6">
        <v>43</v>
      </c>
      <c r="U700" s="6">
        <v>84</v>
      </c>
      <c r="V700" s="6">
        <f>IF(ISERROR(VLOOKUP($S$700,'TAR FIN'!$A$1:$O$103,15,0)),0,VLOOKUP($S$700,'TAR FIN'!$A$1:$O$103,15,0))</f>
        <v>0</v>
      </c>
      <c r="W700" s="6">
        <f>IF(ISERROR(VLOOKUP($T$700,'TAR FIN'!$A$1:$O$103,15,0)),0,VLOOKUP($T$700,'TAR FIN'!$A$1:$O$103,15,0))</f>
        <v>334.07</v>
      </c>
      <c r="X700" s="6">
        <f>IF(ISERROR(VLOOKUP($U$700,'TAR FIN'!$A$1:$O$103,15,0)),0,VLOOKUP($U$700,'TAR FIN'!$A$1:$O$103,15,0))</f>
        <v>224.55</v>
      </c>
      <c r="Y700" s="6"/>
      <c r="Z700" s="6">
        <f ca="1">('TUSD BE'!$AM$45+'TUSD BF'!$AM$45+'TUSD CVA'!$AM$45)*(1-CUSTOS!$M$38)</f>
        <v>453.14332034419533</v>
      </c>
      <c r="AA700" s="6">
        <f>('TE BE'!$AB$26+'TE BF'!$AB$26+'TE CVA'!$AB$26)*(1-CUSTOS!$M$38)</f>
        <v>219.98233758978921</v>
      </c>
      <c r="AB700" s="6">
        <f>$K$700*$V$700</f>
        <v>0</v>
      </c>
      <c r="AC700" s="6">
        <f>$M$700*$W$700</f>
        <v>378535.05107000005</v>
      </c>
      <c r="AD700" s="6">
        <f>$O$700*$X$700</f>
        <v>254437.82955000002</v>
      </c>
      <c r="AE700" s="6">
        <f>$K$700*$Y$700</f>
        <v>0</v>
      </c>
      <c r="AF700" s="6">
        <f ca="1">$M$700*$Z$700</f>
        <v>513457.14942532813</v>
      </c>
      <c r="AG700" s="6">
        <f>$O$700*$AA$700</f>
        <v>249262.20670532776</v>
      </c>
    </row>
    <row r="701" spans="1:33" ht="11.25" customHeight="1" x14ac:dyDescent="0.3">
      <c r="A701" s="4" t="s">
        <v>28</v>
      </c>
      <c r="B701" s="4" t="s">
        <v>43</v>
      </c>
      <c r="C701" s="4" t="s">
        <v>23</v>
      </c>
      <c r="D701" s="4" t="s">
        <v>44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44743</v>
      </c>
      <c r="J701" s="6">
        <v>0</v>
      </c>
      <c r="K701" s="6">
        <v>0</v>
      </c>
      <c r="L701" s="6">
        <v>25.085000000000001</v>
      </c>
      <c r="M701" s="6">
        <v>25.085000000000001</v>
      </c>
      <c r="N701" s="6">
        <v>25.085000000000001</v>
      </c>
      <c r="O701" s="6">
        <v>25.085000000000001</v>
      </c>
      <c r="P701" s="6">
        <v>109</v>
      </c>
      <c r="Q701" s="4" t="s">
        <v>26</v>
      </c>
      <c r="R701" s="4">
        <v>0</v>
      </c>
      <c r="S701" s="6">
        <v>0</v>
      </c>
      <c r="T701" s="6">
        <v>43</v>
      </c>
      <c r="U701" s="6">
        <v>84</v>
      </c>
      <c r="V701" s="6">
        <f>IF(ISERROR(VLOOKUP($S$701,'TAR FIN'!$A$1:$O$103,15,0)),0,VLOOKUP($S$701,'TAR FIN'!$A$1:$O$103,15,0))</f>
        <v>0</v>
      </c>
      <c r="W701" s="6">
        <f>IF(ISERROR(VLOOKUP($T$701,'TAR FIN'!$A$1:$O$103,15,0)),0,VLOOKUP($T$701,'TAR FIN'!$A$1:$O$103,15,0))</f>
        <v>334.07</v>
      </c>
      <c r="X701" s="6">
        <f>IF(ISERROR(VLOOKUP($U$701,'TAR FIN'!$A$1:$O$103,15,0)),0,VLOOKUP($U$701,'TAR FIN'!$A$1:$O$103,15,0))</f>
        <v>224.55</v>
      </c>
      <c r="Y701" s="6"/>
      <c r="Z701" s="6">
        <f ca="1">('TUSD BE'!$AM$45+'TUSD BF'!$AM$45+'TUSD CVA'!$AM$45)*(1-CUSTOS!$M$38)</f>
        <v>453.14332034419533</v>
      </c>
      <c r="AA701" s="6">
        <f>('TE BE'!$AB$26+'TE BF'!$AB$26+'TE CVA'!$AB$26)*(1-CUSTOS!$M$38)</f>
        <v>219.98233758978921</v>
      </c>
      <c r="AB701" s="6">
        <f>$K$701*$V$701</f>
        <v>0</v>
      </c>
      <c r="AC701" s="6">
        <f>$M$701*$W$701</f>
        <v>8380.1459500000001</v>
      </c>
      <c r="AD701" s="6">
        <f>$O$701*$X$701</f>
        <v>5632.8367500000004</v>
      </c>
      <c r="AE701" s="6">
        <f>$K$701*$Y$701</f>
        <v>0</v>
      </c>
      <c r="AF701" s="6">
        <f ca="1">$M$701*$Z$701</f>
        <v>11367.10019083414</v>
      </c>
      <c r="AG701" s="6">
        <f>$O$701*$AA$701</f>
        <v>5518.2569384398621</v>
      </c>
    </row>
    <row r="702" spans="1:33" ht="11.25" customHeight="1" x14ac:dyDescent="0.3">
      <c r="A702" s="4" t="s">
        <v>21</v>
      </c>
      <c r="B702" s="4" t="s">
        <v>43</v>
      </c>
      <c r="C702" s="4" t="s">
        <v>23</v>
      </c>
      <c r="D702" s="4" t="s">
        <v>44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44774</v>
      </c>
      <c r="J702" s="6">
        <v>0</v>
      </c>
      <c r="K702" s="6">
        <v>0</v>
      </c>
      <c r="L702" s="6">
        <v>1323.0640000000001</v>
      </c>
      <c r="M702" s="6">
        <v>1323.0640000000001</v>
      </c>
      <c r="N702" s="6">
        <v>1323.0640000000001</v>
      </c>
      <c r="O702" s="6">
        <v>1323.0640000000001</v>
      </c>
      <c r="P702" s="6">
        <v>4459</v>
      </c>
      <c r="Q702" s="4" t="s">
        <v>26</v>
      </c>
      <c r="R702" s="4">
        <v>0</v>
      </c>
      <c r="S702" s="6">
        <v>0</v>
      </c>
      <c r="T702" s="6">
        <v>43</v>
      </c>
      <c r="U702" s="6">
        <v>84</v>
      </c>
      <c r="V702" s="6">
        <f>IF(ISERROR(VLOOKUP($S$702,'TAR FIN'!$A$1:$O$103,15,0)),0,VLOOKUP($S$702,'TAR FIN'!$A$1:$O$103,15,0))</f>
        <v>0</v>
      </c>
      <c r="W702" s="6">
        <f>IF(ISERROR(VLOOKUP($T$702,'TAR FIN'!$A$1:$O$103,15,0)),0,VLOOKUP($T$702,'TAR FIN'!$A$1:$O$103,15,0))</f>
        <v>334.07</v>
      </c>
      <c r="X702" s="6">
        <f>IF(ISERROR(VLOOKUP($U$702,'TAR FIN'!$A$1:$O$103,15,0)),0,VLOOKUP($U$702,'TAR FIN'!$A$1:$O$103,15,0))</f>
        <v>224.55</v>
      </c>
      <c r="Y702" s="6"/>
      <c r="Z702" s="6">
        <f ca="1">('TUSD BE'!$AM$45+'TUSD BF'!$AM$45+'TUSD CVA'!$AM$45)*(1-CUSTOS!$M$38)</f>
        <v>453.14332034419533</v>
      </c>
      <c r="AA702" s="6">
        <f>('TE BE'!$AB$26+'TE BF'!$AB$26+'TE CVA'!$AB$26)*(1-CUSTOS!$M$38)</f>
        <v>219.98233758978921</v>
      </c>
      <c r="AB702" s="6">
        <f>$K$702*$V$702</f>
        <v>0</v>
      </c>
      <c r="AC702" s="6">
        <f>$M$702*$W$702</f>
        <v>441995.99048000004</v>
      </c>
      <c r="AD702" s="6">
        <f>$O$702*$X$702</f>
        <v>297094.02120000002</v>
      </c>
      <c r="AE702" s="6">
        <f>$K$702*$Y$702</f>
        <v>0</v>
      </c>
      <c r="AF702" s="6">
        <f ca="1">$M$702*$Z$702</f>
        <v>599537.61398787249</v>
      </c>
      <c r="AG702" s="6">
        <f>$O$702*$AA$702</f>
        <v>291050.7115008969</v>
      </c>
    </row>
    <row r="703" spans="1:33" ht="11.25" customHeight="1" x14ac:dyDescent="0.3">
      <c r="A703" s="4" t="s">
        <v>28</v>
      </c>
      <c r="B703" s="4" t="s">
        <v>43</v>
      </c>
      <c r="C703" s="4" t="s">
        <v>23</v>
      </c>
      <c r="D703" s="4" t="s">
        <v>44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44774</v>
      </c>
      <c r="J703" s="6">
        <v>0</v>
      </c>
      <c r="K703" s="6">
        <v>0</v>
      </c>
      <c r="L703" s="6">
        <v>24.838999999999999</v>
      </c>
      <c r="M703" s="6">
        <v>24.838999999999999</v>
      </c>
      <c r="N703" s="6">
        <v>24.838999999999999</v>
      </c>
      <c r="O703" s="6">
        <v>24.838999999999999</v>
      </c>
      <c r="P703" s="6">
        <v>117</v>
      </c>
      <c r="Q703" s="4" t="s">
        <v>26</v>
      </c>
      <c r="R703" s="4">
        <v>0</v>
      </c>
      <c r="S703" s="6">
        <v>0</v>
      </c>
      <c r="T703" s="6">
        <v>43</v>
      </c>
      <c r="U703" s="6">
        <v>84</v>
      </c>
      <c r="V703" s="6">
        <f>IF(ISERROR(VLOOKUP($S$703,'TAR FIN'!$A$1:$O$103,15,0)),0,VLOOKUP($S$703,'TAR FIN'!$A$1:$O$103,15,0))</f>
        <v>0</v>
      </c>
      <c r="W703" s="6">
        <f>IF(ISERROR(VLOOKUP($T$703,'TAR FIN'!$A$1:$O$103,15,0)),0,VLOOKUP($T$703,'TAR FIN'!$A$1:$O$103,15,0))</f>
        <v>334.07</v>
      </c>
      <c r="X703" s="6">
        <f>IF(ISERROR(VLOOKUP($U$703,'TAR FIN'!$A$1:$O$103,15,0)),0,VLOOKUP($U$703,'TAR FIN'!$A$1:$O$103,15,0))</f>
        <v>224.55</v>
      </c>
      <c r="Y703" s="6"/>
      <c r="Z703" s="6">
        <f ca="1">('TUSD BE'!$AM$45+'TUSD BF'!$AM$45+'TUSD CVA'!$AM$45)*(1-CUSTOS!$M$38)</f>
        <v>453.14332034419533</v>
      </c>
      <c r="AA703" s="6">
        <f>('TE BE'!$AB$26+'TE BF'!$AB$26+'TE CVA'!$AB$26)*(1-CUSTOS!$M$38)</f>
        <v>219.98233758978921</v>
      </c>
      <c r="AB703" s="6">
        <f>$K$703*$V$703</f>
        <v>0</v>
      </c>
      <c r="AC703" s="6">
        <f>$M$703*$W$703</f>
        <v>8297.9647299999997</v>
      </c>
      <c r="AD703" s="6">
        <f>$O$703*$X$703</f>
        <v>5577.5974500000002</v>
      </c>
      <c r="AE703" s="6">
        <f>$K$703*$Y$703</f>
        <v>0</v>
      </c>
      <c r="AF703" s="6">
        <f ca="1">$M$703*$Z$703</f>
        <v>11255.626934029468</v>
      </c>
      <c r="AG703" s="6">
        <f>$O$703*$AA$703</f>
        <v>5464.1412833927743</v>
      </c>
    </row>
    <row r="704" spans="1:33" ht="11.25" customHeight="1" x14ac:dyDescent="0.3">
      <c r="A704" s="4" t="s">
        <v>21</v>
      </c>
      <c r="B704" s="4" t="s">
        <v>43</v>
      </c>
      <c r="C704" s="4" t="s">
        <v>23</v>
      </c>
      <c r="D704" s="4" t="s">
        <v>44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44805</v>
      </c>
      <c r="J704" s="6">
        <v>0</v>
      </c>
      <c r="K704" s="6">
        <v>0</v>
      </c>
      <c r="L704" s="6">
        <v>1539.942</v>
      </c>
      <c r="M704" s="6">
        <v>1539.942</v>
      </c>
      <c r="N704" s="6">
        <v>1539.942</v>
      </c>
      <c r="O704" s="6">
        <v>1539.942</v>
      </c>
      <c r="P704" s="6">
        <v>4452</v>
      </c>
      <c r="Q704" s="4" t="s">
        <v>26</v>
      </c>
      <c r="R704" s="4">
        <v>0</v>
      </c>
      <c r="S704" s="6">
        <v>0</v>
      </c>
      <c r="T704" s="6">
        <v>43</v>
      </c>
      <c r="U704" s="6">
        <v>84</v>
      </c>
      <c r="V704" s="6">
        <f>IF(ISERROR(VLOOKUP($S$704,'TAR FIN'!$A$1:$O$103,15,0)),0,VLOOKUP($S$704,'TAR FIN'!$A$1:$O$103,15,0))</f>
        <v>0</v>
      </c>
      <c r="W704" s="6">
        <f>IF(ISERROR(VLOOKUP($T$704,'TAR FIN'!$A$1:$O$103,15,0)),0,VLOOKUP($T$704,'TAR FIN'!$A$1:$O$103,15,0))</f>
        <v>334.07</v>
      </c>
      <c r="X704" s="6">
        <f>IF(ISERROR(VLOOKUP($U$704,'TAR FIN'!$A$1:$O$103,15,0)),0,VLOOKUP($U$704,'TAR FIN'!$A$1:$O$103,15,0))</f>
        <v>224.55</v>
      </c>
      <c r="Y704" s="6"/>
      <c r="Z704" s="6">
        <f ca="1">('TUSD BE'!$AM$45+'TUSD BF'!$AM$45+'TUSD CVA'!$AM$45)*(1-CUSTOS!$M$38)</f>
        <v>453.14332034419533</v>
      </c>
      <c r="AA704" s="6">
        <f>('TE BE'!$AB$26+'TE BF'!$AB$26+'TE CVA'!$AB$26)*(1-CUSTOS!$M$38)</f>
        <v>219.98233758978921</v>
      </c>
      <c r="AB704" s="6">
        <f>$K$704*$V$704</f>
        <v>0</v>
      </c>
      <c r="AC704" s="6">
        <f>$M$704*$W$704</f>
        <v>514448.42394000001</v>
      </c>
      <c r="AD704" s="6">
        <f>$O$704*$X$704</f>
        <v>345793.97610000003</v>
      </c>
      <c r="AE704" s="6">
        <f>$K$704*$Y$704</f>
        <v>0</v>
      </c>
      <c r="AF704" s="6">
        <f ca="1">$M$704*$Z$704</f>
        <v>697814.43101748091</v>
      </c>
      <c r="AG704" s="6">
        <f>$O$704*$AA$704</f>
        <v>338760.04091269517</v>
      </c>
    </row>
    <row r="705" spans="1:33" ht="11.25" customHeight="1" x14ac:dyDescent="0.3">
      <c r="A705" s="4" t="s">
        <v>28</v>
      </c>
      <c r="B705" s="4" t="s">
        <v>43</v>
      </c>
      <c r="C705" s="4" t="s">
        <v>23</v>
      </c>
      <c r="D705" s="4" t="s">
        <v>44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44805</v>
      </c>
      <c r="J705" s="6">
        <v>0</v>
      </c>
      <c r="K705" s="6">
        <v>0</v>
      </c>
      <c r="L705" s="6">
        <v>27.417000000000002</v>
      </c>
      <c r="M705" s="6">
        <v>27.417000000000002</v>
      </c>
      <c r="N705" s="6">
        <v>27.417000000000002</v>
      </c>
      <c r="O705" s="6">
        <v>27.417000000000002</v>
      </c>
      <c r="P705" s="6">
        <v>125</v>
      </c>
      <c r="Q705" s="4" t="s">
        <v>26</v>
      </c>
      <c r="R705" s="4">
        <v>0</v>
      </c>
      <c r="S705" s="6">
        <v>0</v>
      </c>
      <c r="T705" s="6">
        <v>43</v>
      </c>
      <c r="U705" s="6">
        <v>84</v>
      </c>
      <c r="V705" s="6">
        <f>IF(ISERROR(VLOOKUP($S$705,'TAR FIN'!$A$1:$O$103,15,0)),0,VLOOKUP($S$705,'TAR FIN'!$A$1:$O$103,15,0))</f>
        <v>0</v>
      </c>
      <c r="W705" s="6">
        <f>IF(ISERROR(VLOOKUP($T$705,'TAR FIN'!$A$1:$O$103,15,0)),0,VLOOKUP($T$705,'TAR FIN'!$A$1:$O$103,15,0))</f>
        <v>334.07</v>
      </c>
      <c r="X705" s="6">
        <f>IF(ISERROR(VLOOKUP($U$705,'TAR FIN'!$A$1:$O$103,15,0)),0,VLOOKUP($U$705,'TAR FIN'!$A$1:$O$103,15,0))</f>
        <v>224.55</v>
      </c>
      <c r="Y705" s="6"/>
      <c r="Z705" s="6">
        <f ca="1">('TUSD BE'!$AM$45+'TUSD BF'!$AM$45+'TUSD CVA'!$AM$45)*(1-CUSTOS!$M$38)</f>
        <v>453.14332034419533</v>
      </c>
      <c r="AA705" s="6">
        <f>('TE BE'!$AB$26+'TE BF'!$AB$26+'TE CVA'!$AB$26)*(1-CUSTOS!$M$38)</f>
        <v>219.98233758978921</v>
      </c>
      <c r="AB705" s="6">
        <f>$K$705*$V$705</f>
        <v>0</v>
      </c>
      <c r="AC705" s="6">
        <f>$M$705*$W$705</f>
        <v>9159.1971900000008</v>
      </c>
      <c r="AD705" s="6">
        <f>$O$705*$X$705</f>
        <v>6156.4873500000003</v>
      </c>
      <c r="AE705" s="6">
        <f>$K$705*$Y$705</f>
        <v>0</v>
      </c>
      <c r="AF705" s="6">
        <f ca="1">$M$705*$Z$705</f>
        <v>12423.830413876804</v>
      </c>
      <c r="AG705" s="6">
        <f>$O$705*$AA$705</f>
        <v>6031.2557496992513</v>
      </c>
    </row>
    <row r="706" spans="1:33" ht="11.25" customHeight="1" x14ac:dyDescent="0.3">
      <c r="A706" s="4" t="s">
        <v>57</v>
      </c>
      <c r="B706" s="4" t="s">
        <v>43</v>
      </c>
      <c r="C706" s="4" t="s">
        <v>23</v>
      </c>
      <c r="D706" s="4" t="s">
        <v>44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44835</v>
      </c>
      <c r="J706" s="6">
        <v>0</v>
      </c>
      <c r="K706" s="6">
        <v>0</v>
      </c>
      <c r="L706" s="6">
        <v>1539.942</v>
      </c>
      <c r="M706" s="6">
        <v>1539.942</v>
      </c>
      <c r="N706" s="6">
        <v>1539.942</v>
      </c>
      <c r="O706" s="6">
        <v>1539.942</v>
      </c>
      <c r="P706" s="6">
        <v>4452</v>
      </c>
      <c r="Q706" s="4" t="s">
        <v>26</v>
      </c>
      <c r="R706" s="4">
        <v>0</v>
      </c>
      <c r="S706" s="6">
        <v>0</v>
      </c>
      <c r="T706" s="6">
        <v>43</v>
      </c>
      <c r="U706" s="6">
        <v>84</v>
      </c>
      <c r="V706" s="6">
        <f>IF(ISERROR(VLOOKUP($S$706,'TAR FIN'!$A$1:$O$103,15,0)),0,VLOOKUP($S$706,'TAR FIN'!$A$1:$O$103,15,0))</f>
        <v>0</v>
      </c>
      <c r="W706" s="6">
        <f>IF(ISERROR(VLOOKUP($T$706,'TAR FIN'!$A$1:$O$103,15,0)),0,VLOOKUP($T$706,'TAR FIN'!$A$1:$O$103,15,0))</f>
        <v>334.07</v>
      </c>
      <c r="X706" s="6">
        <f>IF(ISERROR(VLOOKUP($U$706,'TAR FIN'!$A$1:$O$103,15,0)),0,VLOOKUP($U$706,'TAR FIN'!$A$1:$O$103,15,0))</f>
        <v>224.55</v>
      </c>
      <c r="Y706" s="6"/>
      <c r="Z706" s="6">
        <f ca="1">('TUSD BE'!$AM$45+'TUSD BF'!$AM$45+'TUSD CVA'!$AM$45)*(1-CUSTOS!$M$38)</f>
        <v>453.14332034419533</v>
      </c>
      <c r="AA706" s="6">
        <f>('TE BE'!$AB$26+'TE BF'!$AB$26+'TE CVA'!$AB$26)*(1-CUSTOS!$M$38)</f>
        <v>219.98233758978921</v>
      </c>
      <c r="AB706" s="6">
        <f>$K$706*$V$706</f>
        <v>0</v>
      </c>
      <c r="AC706" s="6">
        <f>$M$706*$W$706</f>
        <v>514448.42394000001</v>
      </c>
      <c r="AD706" s="6">
        <f>$O$706*$X$706</f>
        <v>345793.97610000003</v>
      </c>
      <c r="AE706" s="6">
        <f>$K$706*$Y$706</f>
        <v>0</v>
      </c>
      <c r="AF706" s="6">
        <f ca="1">$M$706*$Z$706</f>
        <v>697814.43101748091</v>
      </c>
      <c r="AG706" s="6">
        <f>$O$706*$AA$706</f>
        <v>338760.04091269517</v>
      </c>
    </row>
    <row r="707" spans="1:33" ht="11.25" customHeight="1" x14ac:dyDescent="0.3">
      <c r="A707" s="4" t="s">
        <v>57</v>
      </c>
      <c r="B707" s="4" t="s">
        <v>43</v>
      </c>
      <c r="C707" s="4" t="s">
        <v>23</v>
      </c>
      <c r="D707" s="4" t="s">
        <v>44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44835</v>
      </c>
      <c r="J707" s="6">
        <v>0</v>
      </c>
      <c r="K707" s="6">
        <v>0</v>
      </c>
      <c r="L707" s="6">
        <v>27.417000000000002</v>
      </c>
      <c r="M707" s="6">
        <v>27.417000000000002</v>
      </c>
      <c r="N707" s="6">
        <v>27.417000000000002</v>
      </c>
      <c r="O707" s="6">
        <v>27.417000000000002</v>
      </c>
      <c r="P707" s="6">
        <v>125</v>
      </c>
      <c r="Q707" s="4" t="s">
        <v>26</v>
      </c>
      <c r="R707" s="4">
        <v>0</v>
      </c>
      <c r="S707" s="6">
        <v>0</v>
      </c>
      <c r="T707" s="6">
        <v>43</v>
      </c>
      <c r="U707" s="6">
        <v>84</v>
      </c>
      <c r="V707" s="6">
        <f>IF(ISERROR(VLOOKUP($S$707,'TAR FIN'!$A$1:$O$103,15,0)),0,VLOOKUP($S$707,'TAR FIN'!$A$1:$O$103,15,0))</f>
        <v>0</v>
      </c>
      <c r="W707" s="6">
        <f>IF(ISERROR(VLOOKUP($T$707,'TAR FIN'!$A$1:$O$103,15,0)),0,VLOOKUP($T$707,'TAR FIN'!$A$1:$O$103,15,0))</f>
        <v>334.07</v>
      </c>
      <c r="X707" s="6">
        <f>IF(ISERROR(VLOOKUP($U$707,'TAR FIN'!$A$1:$O$103,15,0)),0,VLOOKUP($U$707,'TAR FIN'!$A$1:$O$103,15,0))</f>
        <v>224.55</v>
      </c>
      <c r="Y707" s="6"/>
      <c r="Z707" s="6">
        <f ca="1">('TUSD BE'!$AM$45+'TUSD BF'!$AM$45+'TUSD CVA'!$AM$45)*(1-CUSTOS!$M$38)</f>
        <v>453.14332034419533</v>
      </c>
      <c r="AA707" s="6">
        <f>('TE BE'!$AB$26+'TE BF'!$AB$26+'TE CVA'!$AB$26)*(1-CUSTOS!$M$38)</f>
        <v>219.98233758978921</v>
      </c>
      <c r="AB707" s="6">
        <f>$K$707*$V$707</f>
        <v>0</v>
      </c>
      <c r="AC707" s="6">
        <f>$M$707*$W$707</f>
        <v>9159.1971900000008</v>
      </c>
      <c r="AD707" s="6">
        <f>$O$707*$X$707</f>
        <v>6156.4873500000003</v>
      </c>
      <c r="AE707" s="6">
        <f>$K$707*$Y$707</f>
        <v>0</v>
      </c>
      <c r="AF707" s="6">
        <f ca="1">$M$707*$Z$707</f>
        <v>12423.830413876804</v>
      </c>
      <c r="AG707" s="6">
        <f>$O$707*$AA$707</f>
        <v>6031.2557496992513</v>
      </c>
    </row>
    <row r="708" spans="1:33" ht="11.25" customHeight="1" x14ac:dyDescent="0.3">
      <c r="A708" s="4" t="s">
        <v>21</v>
      </c>
      <c r="B708" s="4" t="s">
        <v>37</v>
      </c>
      <c r="C708" s="4" t="s">
        <v>33</v>
      </c>
      <c r="D708" s="4" t="s">
        <v>41</v>
      </c>
      <c r="E708" s="4" t="s">
        <v>25</v>
      </c>
      <c r="F708" s="4" t="s">
        <v>25</v>
      </c>
      <c r="G708" s="4" t="s">
        <v>25</v>
      </c>
      <c r="H708" s="4" t="s">
        <v>35</v>
      </c>
      <c r="I708" s="5">
        <v>44501</v>
      </c>
      <c r="J708" s="6">
        <v>0</v>
      </c>
      <c r="K708" s="6">
        <v>0</v>
      </c>
      <c r="L708" s="6">
        <v>7.7889999999999997</v>
      </c>
      <c r="M708" s="6">
        <v>7.7889999999999997</v>
      </c>
      <c r="N708" s="6">
        <v>7.7889999999999997</v>
      </c>
      <c r="O708" s="6">
        <v>7.7889999999999997</v>
      </c>
      <c r="P708" s="6">
        <v>0</v>
      </c>
      <c r="Q708" s="4" t="s">
        <v>26</v>
      </c>
      <c r="R708" s="4">
        <v>0</v>
      </c>
      <c r="S708" s="6">
        <v>0</v>
      </c>
      <c r="T708" s="6">
        <v>57</v>
      </c>
      <c r="U708" s="6">
        <v>98</v>
      </c>
      <c r="V708" s="6">
        <f>IF(ISERROR(VLOOKUP($S$708,'TAR FIN'!$A$1:$O$103,15,0)),0,VLOOKUP($S$708,'TAR FIN'!$A$1:$O$103,15,0))</f>
        <v>0</v>
      </c>
      <c r="W708" s="6">
        <f>IF(ISERROR(VLOOKUP($T$708,'TAR FIN'!$A$1:$O$103,15,0)),0,VLOOKUP($T$708,'TAR FIN'!$A$1:$O$103,15,0))</f>
        <v>295.61</v>
      </c>
      <c r="X708" s="6">
        <f>IF(ISERROR(VLOOKUP($U$708,'TAR FIN'!$A$1:$O$103,15,0)),0,VLOOKUP($U$708,'TAR FIN'!$A$1:$O$103,15,0))</f>
        <v>242.77</v>
      </c>
      <c r="Y708" s="6"/>
      <c r="Z708" s="6">
        <f ca="1">('TUSD BE'!$AM$59+'TUSD BF'!$AM$59+'TUSD CVA'!$AM$59)*1</f>
        <v>388.71379858758462</v>
      </c>
      <c r="AA708" s="6">
        <f>('TE BE'!$AB$40+'TE BF'!$AB$40+'TE CVA'!$AB$40)*1</f>
        <v>222.39386487986414</v>
      </c>
      <c r="AB708" s="6">
        <f>$K$708*$V$708</f>
        <v>0</v>
      </c>
      <c r="AC708" s="6">
        <f>$M$708*$W$708</f>
        <v>2302.5062899999998</v>
      </c>
      <c r="AD708" s="6">
        <f>$O$708*$X$708</f>
        <v>1890.93553</v>
      </c>
      <c r="AE708" s="6">
        <f>$K$708*$Y$708</f>
        <v>0</v>
      </c>
      <c r="AF708" s="6">
        <f ca="1">$M$708*$Z$708</f>
        <v>3027.6917771986964</v>
      </c>
      <c r="AG708" s="6">
        <f>$O$708*$AA$708</f>
        <v>1732.2258135492618</v>
      </c>
    </row>
    <row r="709" spans="1:33" ht="11.25" customHeight="1" x14ac:dyDescent="0.3">
      <c r="A709" s="4" t="s">
        <v>21</v>
      </c>
      <c r="B709" s="4" t="s">
        <v>37</v>
      </c>
      <c r="C709" s="4" t="s">
        <v>33</v>
      </c>
      <c r="D709" s="4" t="s">
        <v>41</v>
      </c>
      <c r="E709" s="4" t="s">
        <v>25</v>
      </c>
      <c r="F709" s="4" t="s">
        <v>25</v>
      </c>
      <c r="G709" s="4" t="s">
        <v>25</v>
      </c>
      <c r="H709" s="4" t="s">
        <v>35</v>
      </c>
      <c r="I709" s="5">
        <v>44531</v>
      </c>
      <c r="J709" s="6">
        <v>0</v>
      </c>
      <c r="K709" s="6">
        <v>0</v>
      </c>
      <c r="L709" s="6">
        <v>6.8789999999999996</v>
      </c>
      <c r="M709" s="6">
        <v>6.8789999999999996</v>
      </c>
      <c r="N709" s="6">
        <v>6.8789999999999996</v>
      </c>
      <c r="O709" s="6">
        <v>6.8789999999999996</v>
      </c>
      <c r="P709" s="6">
        <v>0</v>
      </c>
      <c r="Q709" s="4" t="s">
        <v>26</v>
      </c>
      <c r="R709" s="4">
        <v>0</v>
      </c>
      <c r="S709" s="6">
        <v>0</v>
      </c>
      <c r="T709" s="6">
        <v>57</v>
      </c>
      <c r="U709" s="6">
        <v>98</v>
      </c>
      <c r="V709" s="6">
        <f>IF(ISERROR(VLOOKUP($S$709,'TAR FIN'!$A$1:$O$103,15,0)),0,VLOOKUP($S$709,'TAR FIN'!$A$1:$O$103,15,0))</f>
        <v>0</v>
      </c>
      <c r="W709" s="6">
        <f>IF(ISERROR(VLOOKUP($T$709,'TAR FIN'!$A$1:$O$103,15,0)),0,VLOOKUP($T$709,'TAR FIN'!$A$1:$O$103,15,0))</f>
        <v>295.61</v>
      </c>
      <c r="X709" s="6">
        <f>IF(ISERROR(VLOOKUP($U$709,'TAR FIN'!$A$1:$O$103,15,0)),0,VLOOKUP($U$709,'TAR FIN'!$A$1:$O$103,15,0))</f>
        <v>242.77</v>
      </c>
      <c r="Y709" s="6"/>
      <c r="Z709" s="6">
        <f ca="1">('TUSD BE'!$AM$59+'TUSD BF'!$AM$59+'TUSD CVA'!$AM$59)*1</f>
        <v>388.71379858758462</v>
      </c>
      <c r="AA709" s="6">
        <f>('TE BE'!$AB$40+'TE BF'!$AB$40+'TE CVA'!$AB$40)*1</f>
        <v>222.39386487986414</v>
      </c>
      <c r="AB709" s="6">
        <f>$K$709*$V$709</f>
        <v>0</v>
      </c>
      <c r="AC709" s="6">
        <f>$M$709*$W$709</f>
        <v>2033.50119</v>
      </c>
      <c r="AD709" s="6">
        <f>$O$709*$X$709</f>
        <v>1670.0148300000001</v>
      </c>
      <c r="AE709" s="6">
        <f>$K$709*$Y$709</f>
        <v>0</v>
      </c>
      <c r="AF709" s="6">
        <f ca="1">$M$709*$Z$709</f>
        <v>2673.9622204839943</v>
      </c>
      <c r="AG709" s="6">
        <f>$O$709*$AA$709</f>
        <v>1529.8473965085852</v>
      </c>
    </row>
    <row r="710" spans="1:33" ht="11.25" customHeight="1" x14ac:dyDescent="0.3">
      <c r="A710" s="4" t="s">
        <v>21</v>
      </c>
      <c r="B710" s="4" t="s">
        <v>37</v>
      </c>
      <c r="C710" s="4" t="s">
        <v>33</v>
      </c>
      <c r="D710" s="4" t="s">
        <v>41</v>
      </c>
      <c r="E710" s="4" t="s">
        <v>25</v>
      </c>
      <c r="F710" s="4" t="s">
        <v>25</v>
      </c>
      <c r="G710" s="4" t="s">
        <v>25</v>
      </c>
      <c r="H710" s="4" t="s">
        <v>35</v>
      </c>
      <c r="I710" s="5">
        <v>44562</v>
      </c>
      <c r="J710" s="6">
        <v>0</v>
      </c>
      <c r="K710" s="6">
        <v>0</v>
      </c>
      <c r="L710" s="6">
        <v>7.7439999999999998</v>
      </c>
      <c r="M710" s="6">
        <v>7.7439999999999998</v>
      </c>
      <c r="N710" s="6">
        <v>7.7439999999999998</v>
      </c>
      <c r="O710" s="6">
        <v>7.7439999999999998</v>
      </c>
      <c r="P710" s="6">
        <v>0</v>
      </c>
      <c r="Q710" s="4" t="s">
        <v>26</v>
      </c>
      <c r="R710" s="4">
        <v>0</v>
      </c>
      <c r="S710" s="6">
        <v>0</v>
      </c>
      <c r="T710" s="6">
        <v>57</v>
      </c>
      <c r="U710" s="6">
        <v>98</v>
      </c>
      <c r="V710" s="6">
        <f>IF(ISERROR(VLOOKUP($S$710,'TAR FIN'!$A$1:$O$103,15,0)),0,VLOOKUP($S$710,'TAR FIN'!$A$1:$O$103,15,0))</f>
        <v>0</v>
      </c>
      <c r="W710" s="6">
        <f>IF(ISERROR(VLOOKUP($T$710,'TAR FIN'!$A$1:$O$103,15,0)),0,VLOOKUP($T$710,'TAR FIN'!$A$1:$O$103,15,0))</f>
        <v>295.61</v>
      </c>
      <c r="X710" s="6">
        <f>IF(ISERROR(VLOOKUP($U$710,'TAR FIN'!$A$1:$O$103,15,0)),0,VLOOKUP($U$710,'TAR FIN'!$A$1:$O$103,15,0))</f>
        <v>242.77</v>
      </c>
      <c r="Y710" s="6"/>
      <c r="Z710" s="6">
        <f ca="1">('TUSD BE'!$AM$59+'TUSD BF'!$AM$59+'TUSD CVA'!$AM$59)*1</f>
        <v>388.71379858758462</v>
      </c>
      <c r="AA710" s="6">
        <f>('TE BE'!$AB$40+'TE BF'!$AB$40+'TE CVA'!$AB$40)*1</f>
        <v>222.39386487986414</v>
      </c>
      <c r="AB710" s="6">
        <f>$K$710*$V$710</f>
        <v>0</v>
      </c>
      <c r="AC710" s="6">
        <f>$M$710*$W$710</f>
        <v>2289.2038400000001</v>
      </c>
      <c r="AD710" s="6">
        <f>$O$710*$X$710</f>
        <v>1880.01088</v>
      </c>
      <c r="AE710" s="6">
        <f>$K$710*$Y$710</f>
        <v>0</v>
      </c>
      <c r="AF710" s="6">
        <f ca="1">$M$710*$Z$710</f>
        <v>3010.1996562622553</v>
      </c>
      <c r="AG710" s="6">
        <f>$O$710*$AA$710</f>
        <v>1722.2180896296679</v>
      </c>
    </row>
    <row r="711" spans="1:33" ht="11.25" customHeight="1" x14ac:dyDescent="0.3">
      <c r="A711" s="4" t="s">
        <v>21</v>
      </c>
      <c r="B711" s="4" t="s">
        <v>37</v>
      </c>
      <c r="C711" s="4" t="s">
        <v>33</v>
      </c>
      <c r="D711" s="4" t="s">
        <v>41</v>
      </c>
      <c r="E711" s="4" t="s">
        <v>25</v>
      </c>
      <c r="F711" s="4" t="s">
        <v>25</v>
      </c>
      <c r="G711" s="4" t="s">
        <v>25</v>
      </c>
      <c r="H711" s="4" t="s">
        <v>35</v>
      </c>
      <c r="I711" s="5">
        <v>44593</v>
      </c>
      <c r="J711" s="6">
        <v>0</v>
      </c>
      <c r="K711" s="6">
        <v>0</v>
      </c>
      <c r="L711" s="6">
        <v>7.1369999999999996</v>
      </c>
      <c r="M711" s="6">
        <v>7.1369999999999996</v>
      </c>
      <c r="N711" s="6">
        <v>7.1369999999999996</v>
      </c>
      <c r="O711" s="6">
        <v>7.1369999999999996</v>
      </c>
      <c r="P711" s="6">
        <v>0</v>
      </c>
      <c r="Q711" s="4" t="s">
        <v>26</v>
      </c>
      <c r="R711" s="4">
        <v>0</v>
      </c>
      <c r="S711" s="6">
        <v>0</v>
      </c>
      <c r="T711" s="6">
        <v>57</v>
      </c>
      <c r="U711" s="6">
        <v>98</v>
      </c>
      <c r="V711" s="6">
        <f>IF(ISERROR(VLOOKUP($S$711,'TAR FIN'!$A$1:$O$103,15,0)),0,VLOOKUP($S$711,'TAR FIN'!$A$1:$O$103,15,0))</f>
        <v>0</v>
      </c>
      <c r="W711" s="6">
        <f>IF(ISERROR(VLOOKUP($T$711,'TAR FIN'!$A$1:$O$103,15,0)),0,VLOOKUP($T$711,'TAR FIN'!$A$1:$O$103,15,0))</f>
        <v>295.61</v>
      </c>
      <c r="X711" s="6">
        <f>IF(ISERROR(VLOOKUP($U$711,'TAR FIN'!$A$1:$O$103,15,0)),0,VLOOKUP($U$711,'TAR FIN'!$A$1:$O$103,15,0))</f>
        <v>242.77</v>
      </c>
      <c r="Y711" s="6"/>
      <c r="Z711" s="6">
        <f ca="1">('TUSD BE'!$AM$59+'TUSD BF'!$AM$59+'TUSD CVA'!$AM$59)*1</f>
        <v>388.71379858758462</v>
      </c>
      <c r="AA711" s="6">
        <f>('TE BE'!$AB$40+'TE BF'!$AB$40+'TE CVA'!$AB$40)*1</f>
        <v>222.39386487986414</v>
      </c>
      <c r="AB711" s="6">
        <f>$K$711*$V$711</f>
        <v>0</v>
      </c>
      <c r="AC711" s="6">
        <f>$M$711*$W$711</f>
        <v>2109.7685700000002</v>
      </c>
      <c r="AD711" s="6">
        <f>$O$711*$X$711</f>
        <v>1732.64949</v>
      </c>
      <c r="AE711" s="6">
        <f>$K$711*$Y$711</f>
        <v>0</v>
      </c>
      <c r="AF711" s="6">
        <f ca="1">$M$711*$Z$711</f>
        <v>2774.2503805195911</v>
      </c>
      <c r="AG711" s="6">
        <f>$O$711*$AA$711</f>
        <v>1587.2250136475902</v>
      </c>
    </row>
    <row r="712" spans="1:33" ht="11.25" customHeight="1" x14ac:dyDescent="0.3">
      <c r="A712" s="4" t="s">
        <v>21</v>
      </c>
      <c r="B712" s="4" t="s">
        <v>37</v>
      </c>
      <c r="C712" s="4" t="s">
        <v>33</v>
      </c>
      <c r="D712" s="4" t="s">
        <v>41</v>
      </c>
      <c r="E712" s="4" t="s">
        <v>25</v>
      </c>
      <c r="F712" s="4" t="s">
        <v>25</v>
      </c>
      <c r="G712" s="4" t="s">
        <v>25</v>
      </c>
      <c r="H712" s="4" t="s">
        <v>35</v>
      </c>
      <c r="I712" s="5">
        <v>44621</v>
      </c>
      <c r="J712" s="6">
        <v>0</v>
      </c>
      <c r="K712" s="6">
        <v>0</v>
      </c>
      <c r="L712" s="6">
        <v>6.2789999999999999</v>
      </c>
      <c r="M712" s="6">
        <v>6.2789999999999999</v>
      </c>
      <c r="N712" s="6">
        <v>6.2789999999999999</v>
      </c>
      <c r="O712" s="6">
        <v>6.2789999999999999</v>
      </c>
      <c r="P712" s="6">
        <v>0</v>
      </c>
      <c r="Q712" s="4" t="s">
        <v>26</v>
      </c>
      <c r="R712" s="4">
        <v>0</v>
      </c>
      <c r="S712" s="6">
        <v>0</v>
      </c>
      <c r="T712" s="6">
        <v>57</v>
      </c>
      <c r="U712" s="6">
        <v>98</v>
      </c>
      <c r="V712" s="6">
        <f>IF(ISERROR(VLOOKUP($S$712,'TAR FIN'!$A$1:$O$103,15,0)),0,VLOOKUP($S$712,'TAR FIN'!$A$1:$O$103,15,0))</f>
        <v>0</v>
      </c>
      <c r="W712" s="6">
        <f>IF(ISERROR(VLOOKUP($T$712,'TAR FIN'!$A$1:$O$103,15,0)),0,VLOOKUP($T$712,'TAR FIN'!$A$1:$O$103,15,0))</f>
        <v>295.61</v>
      </c>
      <c r="X712" s="6">
        <f>IF(ISERROR(VLOOKUP($U$712,'TAR FIN'!$A$1:$O$103,15,0)),0,VLOOKUP($U$712,'TAR FIN'!$A$1:$O$103,15,0))</f>
        <v>242.77</v>
      </c>
      <c r="Y712" s="6"/>
      <c r="Z712" s="6">
        <f ca="1">('TUSD BE'!$AM$59+'TUSD BF'!$AM$59+'TUSD CVA'!$AM$59)*1</f>
        <v>388.71379858758462</v>
      </c>
      <c r="AA712" s="6">
        <f>('TE BE'!$AB$40+'TE BF'!$AB$40+'TE CVA'!$AB$40)*1</f>
        <v>222.39386487986414</v>
      </c>
      <c r="AB712" s="6">
        <f>$K$712*$V$712</f>
        <v>0</v>
      </c>
      <c r="AC712" s="6">
        <f>$M$712*$W$712</f>
        <v>1856.13519</v>
      </c>
      <c r="AD712" s="6">
        <f>$O$712*$X$712</f>
        <v>1524.35283</v>
      </c>
      <c r="AE712" s="6">
        <f>$K$712*$Y$712</f>
        <v>0</v>
      </c>
      <c r="AF712" s="6">
        <f ca="1">$M$712*$Z$712</f>
        <v>2440.7339413314439</v>
      </c>
      <c r="AG712" s="6">
        <f>$O$712*$AA$712</f>
        <v>1396.4110775806669</v>
      </c>
    </row>
    <row r="713" spans="1:33" ht="11.25" customHeight="1" x14ac:dyDescent="0.3">
      <c r="A713" s="4" t="s">
        <v>21</v>
      </c>
      <c r="B713" s="4" t="s">
        <v>37</v>
      </c>
      <c r="C713" s="4" t="s">
        <v>33</v>
      </c>
      <c r="D713" s="4" t="s">
        <v>41</v>
      </c>
      <c r="E713" s="4" t="s">
        <v>25</v>
      </c>
      <c r="F713" s="4" t="s">
        <v>25</v>
      </c>
      <c r="G713" s="4" t="s">
        <v>25</v>
      </c>
      <c r="H713" s="4" t="s">
        <v>35</v>
      </c>
      <c r="I713" s="5">
        <v>44652</v>
      </c>
      <c r="J713" s="6">
        <v>0</v>
      </c>
      <c r="K713" s="6">
        <v>0</v>
      </c>
      <c r="L713" s="6">
        <v>7.7119999999999997</v>
      </c>
      <c r="M713" s="6">
        <v>7.7119999999999997</v>
      </c>
      <c r="N713" s="6">
        <v>7.7119999999999997</v>
      </c>
      <c r="O713" s="6">
        <v>7.7119999999999997</v>
      </c>
      <c r="P713" s="6">
        <v>0</v>
      </c>
      <c r="Q713" s="4" t="s">
        <v>26</v>
      </c>
      <c r="R713" s="4">
        <v>0</v>
      </c>
      <c r="S713" s="6">
        <v>0</v>
      </c>
      <c r="T713" s="6">
        <v>57</v>
      </c>
      <c r="U713" s="6">
        <v>98</v>
      </c>
      <c r="V713" s="6">
        <f>IF(ISERROR(VLOOKUP($S$713,'TAR FIN'!$A$1:$O$103,15,0)),0,VLOOKUP($S$713,'TAR FIN'!$A$1:$O$103,15,0))</f>
        <v>0</v>
      </c>
      <c r="W713" s="6">
        <f>IF(ISERROR(VLOOKUP($T$713,'TAR FIN'!$A$1:$O$103,15,0)),0,VLOOKUP($T$713,'TAR FIN'!$A$1:$O$103,15,0))</f>
        <v>295.61</v>
      </c>
      <c r="X713" s="6">
        <f>IF(ISERROR(VLOOKUP($U$713,'TAR FIN'!$A$1:$O$103,15,0)),0,VLOOKUP($U$713,'TAR FIN'!$A$1:$O$103,15,0))</f>
        <v>242.77</v>
      </c>
      <c r="Y713" s="6"/>
      <c r="Z713" s="6">
        <f ca="1">('TUSD BE'!$AM$59+'TUSD BF'!$AM$59+'TUSD CVA'!$AM$59)*1</f>
        <v>388.71379858758462</v>
      </c>
      <c r="AA713" s="6">
        <f>('TE BE'!$AB$40+'TE BF'!$AB$40+'TE CVA'!$AB$40)*1</f>
        <v>222.39386487986414</v>
      </c>
      <c r="AB713" s="6">
        <f>$K$713*$V$713</f>
        <v>0</v>
      </c>
      <c r="AC713" s="6">
        <f>$M$713*$W$713</f>
        <v>2279.7443200000002</v>
      </c>
      <c r="AD713" s="6">
        <f>$O$713*$X$713</f>
        <v>1872.24224</v>
      </c>
      <c r="AE713" s="6">
        <f>$K$713*$Y$713</f>
        <v>0</v>
      </c>
      <c r="AF713" s="6">
        <f ca="1">$M$713*$Z$713</f>
        <v>2997.7608147074525</v>
      </c>
      <c r="AG713" s="6">
        <f>$O$713*$AA$713</f>
        <v>1715.1014859535121</v>
      </c>
    </row>
    <row r="714" spans="1:33" ht="11.25" customHeight="1" x14ac:dyDescent="0.3">
      <c r="A714" s="4" t="s">
        <v>21</v>
      </c>
      <c r="B714" s="4" t="s">
        <v>37</v>
      </c>
      <c r="C714" s="4" t="s">
        <v>33</v>
      </c>
      <c r="D714" s="4" t="s">
        <v>41</v>
      </c>
      <c r="E714" s="4" t="s">
        <v>25</v>
      </c>
      <c r="F714" s="4" t="s">
        <v>25</v>
      </c>
      <c r="G714" s="4" t="s">
        <v>25</v>
      </c>
      <c r="H714" s="4" t="s">
        <v>35</v>
      </c>
      <c r="I714" s="5">
        <v>44682</v>
      </c>
      <c r="J714" s="6">
        <v>0</v>
      </c>
      <c r="K714" s="6">
        <v>0</v>
      </c>
      <c r="L714" s="6">
        <v>8.8460000000000001</v>
      </c>
      <c r="M714" s="6">
        <v>8.8460000000000001</v>
      </c>
      <c r="N714" s="6">
        <v>8.8460000000000001</v>
      </c>
      <c r="O714" s="6">
        <v>8.8460000000000001</v>
      </c>
      <c r="P714" s="6">
        <v>0</v>
      </c>
      <c r="Q714" s="4" t="s">
        <v>26</v>
      </c>
      <c r="R714" s="4">
        <v>0</v>
      </c>
      <c r="S714" s="6">
        <v>0</v>
      </c>
      <c r="T714" s="6">
        <v>57</v>
      </c>
      <c r="U714" s="6">
        <v>98</v>
      </c>
      <c r="V714" s="6">
        <f>IF(ISERROR(VLOOKUP($S$714,'TAR FIN'!$A$1:$O$103,15,0)),0,VLOOKUP($S$714,'TAR FIN'!$A$1:$O$103,15,0))</f>
        <v>0</v>
      </c>
      <c r="W714" s="6">
        <f>IF(ISERROR(VLOOKUP($T$714,'TAR FIN'!$A$1:$O$103,15,0)),0,VLOOKUP($T$714,'TAR FIN'!$A$1:$O$103,15,0))</f>
        <v>295.61</v>
      </c>
      <c r="X714" s="6">
        <f>IF(ISERROR(VLOOKUP($U$714,'TAR FIN'!$A$1:$O$103,15,0)),0,VLOOKUP($U$714,'TAR FIN'!$A$1:$O$103,15,0))</f>
        <v>242.77</v>
      </c>
      <c r="Y714" s="6"/>
      <c r="Z714" s="6">
        <f ca="1">('TUSD BE'!$AM$59+'TUSD BF'!$AM$59+'TUSD CVA'!$AM$59)*1</f>
        <v>388.71379858758462</v>
      </c>
      <c r="AA714" s="6">
        <f>('TE BE'!$AB$40+'TE BF'!$AB$40+'TE CVA'!$AB$40)*1</f>
        <v>222.39386487986414</v>
      </c>
      <c r="AB714" s="6">
        <f>$K$714*$V$714</f>
        <v>0</v>
      </c>
      <c r="AC714" s="6">
        <f>$M$714*$W$714</f>
        <v>2614.9660600000002</v>
      </c>
      <c r="AD714" s="6">
        <f>$O$714*$X$714</f>
        <v>2147.54342</v>
      </c>
      <c r="AE714" s="6">
        <f>$K$714*$Y$714</f>
        <v>0</v>
      </c>
      <c r="AF714" s="6">
        <f ca="1">$M$714*$Z$714</f>
        <v>3438.5622623057734</v>
      </c>
      <c r="AG714" s="6">
        <f>$O$714*$AA$714</f>
        <v>1967.2961287272783</v>
      </c>
    </row>
    <row r="715" spans="1:33" ht="11.25" customHeight="1" x14ac:dyDescent="0.3">
      <c r="A715" s="4" t="s">
        <v>21</v>
      </c>
      <c r="B715" s="4" t="s">
        <v>37</v>
      </c>
      <c r="C715" s="4" t="s">
        <v>33</v>
      </c>
      <c r="D715" s="4" t="s">
        <v>41</v>
      </c>
      <c r="E715" s="4" t="s">
        <v>25</v>
      </c>
      <c r="F715" s="4" t="s">
        <v>25</v>
      </c>
      <c r="G715" s="4" t="s">
        <v>25</v>
      </c>
      <c r="H715" s="4" t="s">
        <v>35</v>
      </c>
      <c r="I715" s="5">
        <v>44713</v>
      </c>
      <c r="J715" s="6">
        <v>0</v>
      </c>
      <c r="K715" s="6">
        <v>0</v>
      </c>
      <c r="L715" s="6">
        <v>5.734</v>
      </c>
      <c r="M715" s="6">
        <v>5.734</v>
      </c>
      <c r="N715" s="6">
        <v>5.734</v>
      </c>
      <c r="O715" s="6">
        <v>5.734</v>
      </c>
      <c r="P715" s="6">
        <v>0</v>
      </c>
      <c r="Q715" s="4" t="s">
        <v>26</v>
      </c>
      <c r="R715" s="4">
        <v>0</v>
      </c>
      <c r="S715" s="6">
        <v>0</v>
      </c>
      <c r="T715" s="6">
        <v>57</v>
      </c>
      <c r="U715" s="6">
        <v>98</v>
      </c>
      <c r="V715" s="6">
        <f>IF(ISERROR(VLOOKUP($S$715,'TAR FIN'!$A$1:$O$103,15,0)),0,VLOOKUP($S$715,'TAR FIN'!$A$1:$O$103,15,0))</f>
        <v>0</v>
      </c>
      <c r="W715" s="6">
        <f>IF(ISERROR(VLOOKUP($T$715,'TAR FIN'!$A$1:$O$103,15,0)),0,VLOOKUP($T$715,'TAR FIN'!$A$1:$O$103,15,0))</f>
        <v>295.61</v>
      </c>
      <c r="X715" s="6">
        <f>IF(ISERROR(VLOOKUP($U$715,'TAR FIN'!$A$1:$O$103,15,0)),0,VLOOKUP($U$715,'TAR FIN'!$A$1:$O$103,15,0))</f>
        <v>242.77</v>
      </c>
      <c r="Y715" s="6"/>
      <c r="Z715" s="6">
        <f ca="1">('TUSD BE'!$AM$59+'TUSD BF'!$AM$59+'TUSD CVA'!$AM$59)*1</f>
        <v>388.71379858758462</v>
      </c>
      <c r="AA715" s="6">
        <f>('TE BE'!$AB$40+'TE BF'!$AB$40+'TE CVA'!$AB$40)*1</f>
        <v>222.39386487986414</v>
      </c>
      <c r="AB715" s="6">
        <f>$K$715*$V$715</f>
        <v>0</v>
      </c>
      <c r="AC715" s="6">
        <f>$M$715*$W$715</f>
        <v>1695.02774</v>
      </c>
      <c r="AD715" s="6">
        <f>$O$715*$X$715</f>
        <v>1392.0431800000001</v>
      </c>
      <c r="AE715" s="6">
        <f>$K$715*$Y$715</f>
        <v>0</v>
      </c>
      <c r="AF715" s="6">
        <f ca="1">$M$715*$Z$715</f>
        <v>2228.8849211012102</v>
      </c>
      <c r="AG715" s="6">
        <f>$O$715*$AA$715</f>
        <v>1275.206421221141</v>
      </c>
    </row>
    <row r="716" spans="1:33" ht="11.25" customHeight="1" x14ac:dyDescent="0.3">
      <c r="A716" s="4" t="s">
        <v>28</v>
      </c>
      <c r="B716" s="4" t="s">
        <v>37</v>
      </c>
      <c r="C716" s="4" t="s">
        <v>33</v>
      </c>
      <c r="D716" s="4" t="s">
        <v>41</v>
      </c>
      <c r="E716" s="4" t="s">
        <v>25</v>
      </c>
      <c r="F716" s="4" t="s">
        <v>25</v>
      </c>
      <c r="G716" s="4" t="s">
        <v>25</v>
      </c>
      <c r="H716" s="4" t="s">
        <v>35</v>
      </c>
      <c r="I716" s="5">
        <v>44713</v>
      </c>
      <c r="J716" s="6">
        <v>0</v>
      </c>
      <c r="K716" s="6">
        <v>0</v>
      </c>
      <c r="L716" s="6">
        <v>0.309</v>
      </c>
      <c r="M716" s="6">
        <v>0.309</v>
      </c>
      <c r="N716" s="6">
        <v>0.309</v>
      </c>
      <c r="O716" s="6">
        <v>0.309</v>
      </c>
      <c r="P716" s="6">
        <v>0</v>
      </c>
      <c r="Q716" s="4" t="s">
        <v>26</v>
      </c>
      <c r="R716" s="4">
        <v>0</v>
      </c>
      <c r="S716" s="6">
        <v>0</v>
      </c>
      <c r="T716" s="6">
        <v>57</v>
      </c>
      <c r="U716" s="6">
        <v>98</v>
      </c>
      <c r="V716" s="6">
        <f>IF(ISERROR(VLOOKUP($S$716,'TAR FIN'!$A$1:$O$103,15,0)),0,VLOOKUP($S$716,'TAR FIN'!$A$1:$O$103,15,0))</f>
        <v>0</v>
      </c>
      <c r="W716" s="6">
        <f>IF(ISERROR(VLOOKUP($T$716,'TAR FIN'!$A$1:$O$103,15,0)),0,VLOOKUP($T$716,'TAR FIN'!$A$1:$O$103,15,0))</f>
        <v>295.61</v>
      </c>
      <c r="X716" s="6">
        <f>IF(ISERROR(VLOOKUP($U$716,'TAR FIN'!$A$1:$O$103,15,0)),0,VLOOKUP($U$716,'TAR FIN'!$A$1:$O$103,15,0))</f>
        <v>242.77</v>
      </c>
      <c r="Y716" s="6"/>
      <c r="Z716" s="6">
        <f ca="1">('TUSD BE'!$AM$59+'TUSD BF'!$AM$59+'TUSD CVA'!$AM$59)*1</f>
        <v>388.71379858758462</v>
      </c>
      <c r="AA716" s="6">
        <f>('TE BE'!$AB$40+'TE BF'!$AB$40+'TE CVA'!$AB$40)*1</f>
        <v>222.39386487986414</v>
      </c>
      <c r="AB716" s="6">
        <f>$K$716*$V$716</f>
        <v>0</v>
      </c>
      <c r="AC716" s="6">
        <f>$M$716*$W$716</f>
        <v>91.343490000000003</v>
      </c>
      <c r="AD716" s="6">
        <f>$O$716*$X$716</f>
        <v>75.015929999999997</v>
      </c>
      <c r="AE716" s="6">
        <f>$K$716*$Y$716</f>
        <v>0</v>
      </c>
      <c r="AF716" s="6">
        <f ca="1">$M$716*$Z$716</f>
        <v>120.11256376356364</v>
      </c>
      <c r="AG716" s="6">
        <f>$O$716*$AA$716</f>
        <v>68.719704247878013</v>
      </c>
    </row>
    <row r="717" spans="1:33" ht="11.25" customHeight="1" x14ac:dyDescent="0.3">
      <c r="A717" s="4" t="s">
        <v>21</v>
      </c>
      <c r="B717" s="4" t="s">
        <v>37</v>
      </c>
      <c r="C717" s="4" t="s">
        <v>33</v>
      </c>
      <c r="D717" s="4" t="s">
        <v>41</v>
      </c>
      <c r="E717" s="4" t="s">
        <v>25</v>
      </c>
      <c r="F717" s="4" t="s">
        <v>25</v>
      </c>
      <c r="G717" s="4" t="s">
        <v>25</v>
      </c>
      <c r="H717" s="4" t="s">
        <v>35</v>
      </c>
      <c r="I717" s="5">
        <v>44743</v>
      </c>
      <c r="J717" s="6">
        <v>0</v>
      </c>
      <c r="K717" s="6">
        <v>0</v>
      </c>
      <c r="L717" s="6">
        <v>6.3289999999999997</v>
      </c>
      <c r="M717" s="6">
        <v>6.3289999999999997</v>
      </c>
      <c r="N717" s="6">
        <v>6.3289999999999997</v>
      </c>
      <c r="O717" s="6">
        <v>6.3289999999999997</v>
      </c>
      <c r="P717" s="6">
        <v>0</v>
      </c>
      <c r="Q717" s="4" t="s">
        <v>26</v>
      </c>
      <c r="R717" s="4">
        <v>0</v>
      </c>
      <c r="S717" s="6">
        <v>0</v>
      </c>
      <c r="T717" s="6">
        <v>57</v>
      </c>
      <c r="U717" s="6">
        <v>98</v>
      </c>
      <c r="V717" s="6">
        <f>IF(ISERROR(VLOOKUP($S$717,'TAR FIN'!$A$1:$O$103,15,0)),0,VLOOKUP($S$717,'TAR FIN'!$A$1:$O$103,15,0))</f>
        <v>0</v>
      </c>
      <c r="W717" s="6">
        <f>IF(ISERROR(VLOOKUP($T$717,'TAR FIN'!$A$1:$O$103,15,0)),0,VLOOKUP($T$717,'TAR FIN'!$A$1:$O$103,15,0))</f>
        <v>295.61</v>
      </c>
      <c r="X717" s="6">
        <f>IF(ISERROR(VLOOKUP($U$717,'TAR FIN'!$A$1:$O$103,15,0)),0,VLOOKUP($U$717,'TAR FIN'!$A$1:$O$103,15,0))</f>
        <v>242.77</v>
      </c>
      <c r="Y717" s="6"/>
      <c r="Z717" s="6">
        <f ca="1">('TUSD BE'!$AM$59+'TUSD BF'!$AM$59+'TUSD CVA'!$AM$59)*1</f>
        <v>388.71379858758462</v>
      </c>
      <c r="AA717" s="6">
        <f>('TE BE'!$AB$40+'TE BF'!$AB$40+'TE CVA'!$AB$40)*1</f>
        <v>222.39386487986414</v>
      </c>
      <c r="AB717" s="6">
        <f>$K$717*$V$717</f>
        <v>0</v>
      </c>
      <c r="AC717" s="6">
        <f>$M$717*$W$717</f>
        <v>1870.91569</v>
      </c>
      <c r="AD717" s="6">
        <f>$O$717*$X$717</f>
        <v>1536.4913300000001</v>
      </c>
      <c r="AE717" s="6">
        <f>$K$717*$Y$717</f>
        <v>0</v>
      </c>
      <c r="AF717" s="6">
        <f ca="1">$M$717*$Z$717</f>
        <v>2460.1696312608228</v>
      </c>
      <c r="AG717" s="6">
        <f>$O$717*$AA$717</f>
        <v>1407.5307708246601</v>
      </c>
    </row>
    <row r="718" spans="1:33" ht="11.25" customHeight="1" x14ac:dyDescent="0.3">
      <c r="A718" s="4" t="s">
        <v>21</v>
      </c>
      <c r="B718" s="4" t="s">
        <v>37</v>
      </c>
      <c r="C718" s="4" t="s">
        <v>33</v>
      </c>
      <c r="D718" s="4" t="s">
        <v>41</v>
      </c>
      <c r="E718" s="4" t="s">
        <v>25</v>
      </c>
      <c r="F718" s="4" t="s">
        <v>25</v>
      </c>
      <c r="G718" s="4" t="s">
        <v>25</v>
      </c>
      <c r="H718" s="4" t="s">
        <v>35</v>
      </c>
      <c r="I718" s="5">
        <v>44774</v>
      </c>
      <c r="J718" s="6">
        <v>0</v>
      </c>
      <c r="K718" s="6">
        <v>0</v>
      </c>
      <c r="L718" s="6">
        <v>5.601</v>
      </c>
      <c r="M718" s="6">
        <v>5.601</v>
      </c>
      <c r="N718" s="6">
        <v>5.601</v>
      </c>
      <c r="O718" s="6">
        <v>5.601</v>
      </c>
      <c r="P718" s="6">
        <v>0</v>
      </c>
      <c r="Q718" s="4" t="s">
        <v>26</v>
      </c>
      <c r="R718" s="4">
        <v>0</v>
      </c>
      <c r="S718" s="6">
        <v>0</v>
      </c>
      <c r="T718" s="6">
        <v>57</v>
      </c>
      <c r="U718" s="6">
        <v>98</v>
      </c>
      <c r="V718" s="6">
        <f>IF(ISERROR(VLOOKUP($S$718,'TAR FIN'!$A$1:$O$103,15,0)),0,VLOOKUP($S$718,'TAR FIN'!$A$1:$O$103,15,0))</f>
        <v>0</v>
      </c>
      <c r="W718" s="6">
        <f>IF(ISERROR(VLOOKUP($T$718,'TAR FIN'!$A$1:$O$103,15,0)),0,VLOOKUP($T$718,'TAR FIN'!$A$1:$O$103,15,0))</f>
        <v>295.61</v>
      </c>
      <c r="X718" s="6">
        <f>IF(ISERROR(VLOOKUP($U$718,'TAR FIN'!$A$1:$O$103,15,0)),0,VLOOKUP($U$718,'TAR FIN'!$A$1:$O$103,15,0))</f>
        <v>242.77</v>
      </c>
      <c r="Y718" s="6"/>
      <c r="Z718" s="6">
        <f ca="1">('TUSD BE'!$AM$59+'TUSD BF'!$AM$59+'TUSD CVA'!$AM$59)*1</f>
        <v>388.71379858758462</v>
      </c>
      <c r="AA718" s="6">
        <f>('TE BE'!$AB$40+'TE BF'!$AB$40+'TE CVA'!$AB$40)*1</f>
        <v>222.39386487986414</v>
      </c>
      <c r="AB718" s="6">
        <f>$K$718*$V$718</f>
        <v>0</v>
      </c>
      <c r="AC718" s="6">
        <f>$M$718*$W$718</f>
        <v>1655.7116100000001</v>
      </c>
      <c r="AD718" s="6">
        <f>$O$718*$X$718</f>
        <v>1359.75477</v>
      </c>
      <c r="AE718" s="6">
        <f>$K$718*$Y$718</f>
        <v>0</v>
      </c>
      <c r="AF718" s="6">
        <f ca="1">$M$718*$Z$718</f>
        <v>2177.1859858890616</v>
      </c>
      <c r="AG718" s="6">
        <f>$O$718*$AA$718</f>
        <v>1245.6280371921191</v>
      </c>
    </row>
    <row r="719" spans="1:33" ht="11.25" customHeight="1" x14ac:dyDescent="0.3">
      <c r="A719" s="4" t="s">
        <v>21</v>
      </c>
      <c r="B719" s="4" t="s">
        <v>37</v>
      </c>
      <c r="C719" s="4" t="s">
        <v>33</v>
      </c>
      <c r="D719" s="4" t="s">
        <v>41</v>
      </c>
      <c r="E719" s="4" t="s">
        <v>25</v>
      </c>
      <c r="F719" s="4" t="s">
        <v>25</v>
      </c>
      <c r="G719" s="4" t="s">
        <v>25</v>
      </c>
      <c r="H719" s="4" t="s">
        <v>35</v>
      </c>
      <c r="I719" s="5">
        <v>44805</v>
      </c>
      <c r="J719" s="6">
        <v>0</v>
      </c>
      <c r="K719" s="6">
        <v>0</v>
      </c>
      <c r="L719" s="6">
        <v>6.96</v>
      </c>
      <c r="M719" s="6">
        <v>6.96</v>
      </c>
      <c r="N719" s="6">
        <v>6.96</v>
      </c>
      <c r="O719" s="6">
        <v>6.96</v>
      </c>
      <c r="P719" s="6">
        <v>0</v>
      </c>
      <c r="Q719" s="4" t="s">
        <v>26</v>
      </c>
      <c r="R719" s="4">
        <v>0</v>
      </c>
      <c r="S719" s="6">
        <v>0</v>
      </c>
      <c r="T719" s="6">
        <v>57</v>
      </c>
      <c r="U719" s="6">
        <v>98</v>
      </c>
      <c r="V719" s="6">
        <f>IF(ISERROR(VLOOKUP($S$719,'TAR FIN'!$A$1:$O$103,15,0)),0,VLOOKUP($S$719,'TAR FIN'!$A$1:$O$103,15,0))</f>
        <v>0</v>
      </c>
      <c r="W719" s="6">
        <f>IF(ISERROR(VLOOKUP($T$719,'TAR FIN'!$A$1:$O$103,15,0)),0,VLOOKUP($T$719,'TAR FIN'!$A$1:$O$103,15,0))</f>
        <v>295.61</v>
      </c>
      <c r="X719" s="6">
        <f>IF(ISERROR(VLOOKUP($U$719,'TAR FIN'!$A$1:$O$103,15,0)),0,VLOOKUP($U$719,'TAR FIN'!$A$1:$O$103,15,0))</f>
        <v>242.77</v>
      </c>
      <c r="Y719" s="6"/>
      <c r="Z719" s="6">
        <f ca="1">('TUSD BE'!$AM$59+'TUSD BF'!$AM$59+'TUSD CVA'!$AM$59)*1</f>
        <v>388.71379858758462</v>
      </c>
      <c r="AA719" s="6">
        <f>('TE BE'!$AB$40+'TE BF'!$AB$40+'TE CVA'!$AB$40)*1</f>
        <v>222.39386487986414</v>
      </c>
      <c r="AB719" s="6">
        <f>$K$719*$V$719</f>
        <v>0</v>
      </c>
      <c r="AC719" s="6">
        <f>$M$719*$W$719</f>
        <v>2057.4456</v>
      </c>
      <c r="AD719" s="6">
        <f>$O$719*$X$719</f>
        <v>1689.6792</v>
      </c>
      <c r="AE719" s="6">
        <f>$K$719*$Y$719</f>
        <v>0</v>
      </c>
      <c r="AF719" s="6">
        <f ca="1">$M$719*$Z$719</f>
        <v>2705.4480381695889</v>
      </c>
      <c r="AG719" s="6">
        <f>$O$719*$AA$719</f>
        <v>1547.8612995638543</v>
      </c>
    </row>
    <row r="720" spans="1:33" ht="11.25" customHeight="1" x14ac:dyDescent="0.3">
      <c r="A720" s="4" t="s">
        <v>57</v>
      </c>
      <c r="B720" s="4" t="s">
        <v>37</v>
      </c>
      <c r="C720" s="4" t="s">
        <v>33</v>
      </c>
      <c r="D720" s="4" t="s">
        <v>41</v>
      </c>
      <c r="E720" s="4" t="s">
        <v>25</v>
      </c>
      <c r="F720" s="4" t="s">
        <v>25</v>
      </c>
      <c r="G720" s="4" t="s">
        <v>25</v>
      </c>
      <c r="H720" s="4" t="s">
        <v>35</v>
      </c>
      <c r="I720" s="5">
        <v>44835</v>
      </c>
      <c r="J720" s="6">
        <v>0</v>
      </c>
      <c r="K720" s="6">
        <v>0</v>
      </c>
      <c r="L720" s="6">
        <v>6.96</v>
      </c>
      <c r="M720" s="6">
        <v>6.96</v>
      </c>
      <c r="N720" s="6">
        <v>6.96</v>
      </c>
      <c r="O720" s="6">
        <v>6.96</v>
      </c>
      <c r="P720" s="6">
        <v>0</v>
      </c>
      <c r="Q720" s="4" t="s">
        <v>26</v>
      </c>
      <c r="R720" s="4">
        <v>0</v>
      </c>
      <c r="S720" s="6">
        <v>0</v>
      </c>
      <c r="T720" s="6">
        <v>57</v>
      </c>
      <c r="U720" s="6">
        <v>98</v>
      </c>
      <c r="V720" s="6">
        <f>IF(ISERROR(VLOOKUP($S$720,'TAR FIN'!$A$1:$O$103,15,0)),0,VLOOKUP($S$720,'TAR FIN'!$A$1:$O$103,15,0))</f>
        <v>0</v>
      </c>
      <c r="W720" s="6">
        <f>IF(ISERROR(VLOOKUP($T$720,'TAR FIN'!$A$1:$O$103,15,0)),0,VLOOKUP($T$720,'TAR FIN'!$A$1:$O$103,15,0))</f>
        <v>295.61</v>
      </c>
      <c r="X720" s="6">
        <f>IF(ISERROR(VLOOKUP($U$720,'TAR FIN'!$A$1:$O$103,15,0)),0,VLOOKUP($U$720,'TAR FIN'!$A$1:$O$103,15,0))</f>
        <v>242.77</v>
      </c>
      <c r="Y720" s="6"/>
      <c r="Z720" s="6">
        <f ca="1">('TUSD BE'!$AM$59+'TUSD BF'!$AM$59+'TUSD CVA'!$AM$59)*1</f>
        <v>388.71379858758462</v>
      </c>
      <c r="AA720" s="6">
        <f>('TE BE'!$AB$40+'TE BF'!$AB$40+'TE CVA'!$AB$40)*1</f>
        <v>222.39386487986414</v>
      </c>
      <c r="AB720" s="6">
        <f>$K$720*$V$720</f>
        <v>0</v>
      </c>
      <c r="AC720" s="6">
        <f>$M$720*$W$720</f>
        <v>2057.4456</v>
      </c>
      <c r="AD720" s="6">
        <f>$O$720*$X$720</f>
        <v>1689.6792</v>
      </c>
      <c r="AE720" s="6">
        <f>$K$720*$Y$720</f>
        <v>0</v>
      </c>
      <c r="AF720" s="6">
        <f ca="1">$M$720*$Z$720</f>
        <v>2705.4480381695889</v>
      </c>
      <c r="AG720" s="6">
        <f>$O$720*$AA$720</f>
        <v>1547.8612995638543</v>
      </c>
    </row>
    <row r="721" spans="1:33" ht="11.25" customHeight="1" x14ac:dyDescent="0.3">
      <c r="A721" s="4" t="s">
        <v>21</v>
      </c>
      <c r="B721" s="4" t="s">
        <v>37</v>
      </c>
      <c r="C721" s="4" t="s">
        <v>33</v>
      </c>
      <c r="D721" s="4" t="s">
        <v>41</v>
      </c>
      <c r="E721" s="4" t="s">
        <v>25</v>
      </c>
      <c r="F721" s="4" t="s">
        <v>25</v>
      </c>
      <c r="G721" s="4" t="s">
        <v>25</v>
      </c>
      <c r="H721" s="4" t="s">
        <v>36</v>
      </c>
      <c r="I721" s="5">
        <v>44501</v>
      </c>
      <c r="J721" s="6">
        <v>0</v>
      </c>
      <c r="K721" s="6">
        <v>0</v>
      </c>
      <c r="L721" s="6">
        <v>0.53500000000000003</v>
      </c>
      <c r="M721" s="6">
        <v>0.53500000000000003</v>
      </c>
      <c r="N721" s="6">
        <v>0.53500000000000003</v>
      </c>
      <c r="O721" s="6">
        <v>0.53500000000000003</v>
      </c>
      <c r="P721" s="6">
        <v>0</v>
      </c>
      <c r="Q721" s="4" t="s">
        <v>26</v>
      </c>
      <c r="R721" s="4">
        <v>0</v>
      </c>
      <c r="S721" s="6">
        <v>0</v>
      </c>
      <c r="T721" s="6">
        <v>56</v>
      </c>
      <c r="U721" s="6">
        <v>97</v>
      </c>
      <c r="V721" s="6">
        <f>IF(ISERROR(VLOOKUP($S$721,'TAR FIN'!$A$1:$O$103,15,0)),0,VLOOKUP($S$721,'TAR FIN'!$A$1:$O$103,15,0))</f>
        <v>0</v>
      </c>
      <c r="W721" s="6">
        <f>IF(ISERROR(VLOOKUP($T$721,'TAR FIN'!$A$1:$O$103,15,0)),0,VLOOKUP($T$721,'TAR FIN'!$A$1:$O$103,15,0))</f>
        <v>669.59</v>
      </c>
      <c r="X721" s="6">
        <f>IF(ISERROR(VLOOKUP($U$721,'TAR FIN'!$A$1:$O$103,15,0)),0,VLOOKUP($U$721,'TAR FIN'!$A$1:$O$103,15,0))</f>
        <v>242.77</v>
      </c>
      <c r="Y721" s="6"/>
      <c r="Z721" s="6">
        <f ca="1">('TUSD BE'!$AM$58+'TUSD BF'!$AM$58+'TUSD CVA'!$AM$58)*1</f>
        <v>804.2876133682812</v>
      </c>
      <c r="AA721" s="6">
        <f>('TE BE'!$AB$39+'TE BF'!$AB$39+'TE CVA'!$AB$39)*1</f>
        <v>222.39386487986414</v>
      </c>
      <c r="AB721" s="6">
        <f>$K$721*$V$721</f>
        <v>0</v>
      </c>
      <c r="AC721" s="6">
        <f>$M$721*$W$721</f>
        <v>358.23065000000003</v>
      </c>
      <c r="AD721" s="6">
        <f>$O$721*$X$721</f>
        <v>129.88195000000002</v>
      </c>
      <c r="AE721" s="6">
        <f>$K$721*$Y$721</f>
        <v>0</v>
      </c>
      <c r="AF721" s="6">
        <f ca="1">$M$721*$Z$721</f>
        <v>430.29387315203047</v>
      </c>
      <c r="AG721" s="6">
        <f>$O$721*$AA$721</f>
        <v>118.98071771072732</v>
      </c>
    </row>
    <row r="722" spans="1:33" ht="11.25" customHeight="1" x14ac:dyDescent="0.3">
      <c r="A722" s="4" t="s">
        <v>21</v>
      </c>
      <c r="B722" s="4" t="s">
        <v>37</v>
      </c>
      <c r="C722" s="4" t="s">
        <v>33</v>
      </c>
      <c r="D722" s="4" t="s">
        <v>41</v>
      </c>
      <c r="E722" s="4" t="s">
        <v>25</v>
      </c>
      <c r="F722" s="4" t="s">
        <v>25</v>
      </c>
      <c r="G722" s="4" t="s">
        <v>25</v>
      </c>
      <c r="H722" s="4" t="s">
        <v>36</v>
      </c>
      <c r="I722" s="5">
        <v>44531</v>
      </c>
      <c r="J722" s="6">
        <v>0</v>
      </c>
      <c r="K722" s="6">
        <v>0</v>
      </c>
      <c r="L722" s="6">
        <v>0.47199999999999998</v>
      </c>
      <c r="M722" s="6">
        <v>0.47199999999999998</v>
      </c>
      <c r="N722" s="6">
        <v>0.47199999999999998</v>
      </c>
      <c r="O722" s="6">
        <v>0.47199999999999998</v>
      </c>
      <c r="P722" s="6">
        <v>0</v>
      </c>
      <c r="Q722" s="4" t="s">
        <v>26</v>
      </c>
      <c r="R722" s="4">
        <v>0</v>
      </c>
      <c r="S722" s="6">
        <v>0</v>
      </c>
      <c r="T722" s="6">
        <v>56</v>
      </c>
      <c r="U722" s="6">
        <v>97</v>
      </c>
      <c r="V722" s="6">
        <f>IF(ISERROR(VLOOKUP($S$722,'TAR FIN'!$A$1:$O$103,15,0)),0,VLOOKUP($S$722,'TAR FIN'!$A$1:$O$103,15,0))</f>
        <v>0</v>
      </c>
      <c r="W722" s="6">
        <f>IF(ISERROR(VLOOKUP($T$722,'TAR FIN'!$A$1:$O$103,15,0)),0,VLOOKUP($T$722,'TAR FIN'!$A$1:$O$103,15,0))</f>
        <v>669.59</v>
      </c>
      <c r="X722" s="6">
        <f>IF(ISERROR(VLOOKUP($U$722,'TAR FIN'!$A$1:$O$103,15,0)),0,VLOOKUP($U$722,'TAR FIN'!$A$1:$O$103,15,0))</f>
        <v>242.77</v>
      </c>
      <c r="Y722" s="6"/>
      <c r="Z722" s="6">
        <f ca="1">('TUSD BE'!$AM$58+'TUSD BF'!$AM$58+'TUSD CVA'!$AM$58)*1</f>
        <v>804.2876133682812</v>
      </c>
      <c r="AA722" s="6">
        <f>('TE BE'!$AB$39+'TE BF'!$AB$39+'TE CVA'!$AB$39)*1</f>
        <v>222.39386487986414</v>
      </c>
      <c r="AB722" s="6">
        <f>$K$722*$V$722</f>
        <v>0</v>
      </c>
      <c r="AC722" s="6">
        <f>$M$722*$W$722</f>
        <v>316.04647999999997</v>
      </c>
      <c r="AD722" s="6">
        <f>$O$722*$X$722</f>
        <v>114.58744</v>
      </c>
      <c r="AE722" s="6">
        <f>$K$722*$Y$722</f>
        <v>0</v>
      </c>
      <c r="AF722" s="6">
        <f ca="1">$M$722*$Z$722</f>
        <v>379.6237535098287</v>
      </c>
      <c r="AG722" s="6">
        <f>$O$722*$AA$722</f>
        <v>104.96990422329587</v>
      </c>
    </row>
    <row r="723" spans="1:33" ht="11.25" customHeight="1" x14ac:dyDescent="0.3">
      <c r="A723" s="4" t="s">
        <v>21</v>
      </c>
      <c r="B723" s="4" t="s">
        <v>37</v>
      </c>
      <c r="C723" s="4" t="s">
        <v>33</v>
      </c>
      <c r="D723" s="4" t="s">
        <v>41</v>
      </c>
      <c r="E723" s="4" t="s">
        <v>25</v>
      </c>
      <c r="F723" s="4" t="s">
        <v>25</v>
      </c>
      <c r="G723" s="4" t="s">
        <v>25</v>
      </c>
      <c r="H723" s="4" t="s">
        <v>36</v>
      </c>
      <c r="I723" s="5">
        <v>44562</v>
      </c>
      <c r="J723" s="6">
        <v>0</v>
      </c>
      <c r="K723" s="6">
        <v>0</v>
      </c>
      <c r="L723" s="6">
        <v>0.58599999999999997</v>
      </c>
      <c r="M723" s="6">
        <v>0.58599999999999997</v>
      </c>
      <c r="N723" s="6">
        <v>0.58599999999999997</v>
      </c>
      <c r="O723" s="6">
        <v>0.58599999999999997</v>
      </c>
      <c r="P723" s="6">
        <v>0</v>
      </c>
      <c r="Q723" s="4" t="s">
        <v>26</v>
      </c>
      <c r="R723" s="4">
        <v>0</v>
      </c>
      <c r="S723" s="6">
        <v>0</v>
      </c>
      <c r="T723" s="6">
        <v>56</v>
      </c>
      <c r="U723" s="6">
        <v>97</v>
      </c>
      <c r="V723" s="6">
        <f>IF(ISERROR(VLOOKUP($S$723,'TAR FIN'!$A$1:$O$103,15,0)),0,VLOOKUP($S$723,'TAR FIN'!$A$1:$O$103,15,0))</f>
        <v>0</v>
      </c>
      <c r="W723" s="6">
        <f>IF(ISERROR(VLOOKUP($T$723,'TAR FIN'!$A$1:$O$103,15,0)),0,VLOOKUP($T$723,'TAR FIN'!$A$1:$O$103,15,0))</f>
        <v>669.59</v>
      </c>
      <c r="X723" s="6">
        <f>IF(ISERROR(VLOOKUP($U$723,'TAR FIN'!$A$1:$O$103,15,0)),0,VLOOKUP($U$723,'TAR FIN'!$A$1:$O$103,15,0))</f>
        <v>242.77</v>
      </c>
      <c r="Y723" s="6"/>
      <c r="Z723" s="6">
        <f ca="1">('TUSD BE'!$AM$58+'TUSD BF'!$AM$58+'TUSD CVA'!$AM$58)*1</f>
        <v>804.2876133682812</v>
      </c>
      <c r="AA723" s="6">
        <f>('TE BE'!$AB$39+'TE BF'!$AB$39+'TE CVA'!$AB$39)*1</f>
        <v>222.39386487986414</v>
      </c>
      <c r="AB723" s="6">
        <f>$K$723*$V$723</f>
        <v>0</v>
      </c>
      <c r="AC723" s="6">
        <f>$M$723*$W$723</f>
        <v>392.37973999999997</v>
      </c>
      <c r="AD723" s="6">
        <f>$O$723*$X$723</f>
        <v>142.26321999999999</v>
      </c>
      <c r="AE723" s="6">
        <f>$K$723*$Y$723</f>
        <v>0</v>
      </c>
      <c r="AF723" s="6">
        <f ca="1">$M$723*$Z$723</f>
        <v>471.31254143381278</v>
      </c>
      <c r="AG723" s="6">
        <f>$O$723*$AA$723</f>
        <v>130.32280481960038</v>
      </c>
    </row>
    <row r="724" spans="1:33" ht="11.25" customHeight="1" x14ac:dyDescent="0.3">
      <c r="A724" s="4" t="s">
        <v>21</v>
      </c>
      <c r="B724" s="4" t="s">
        <v>37</v>
      </c>
      <c r="C724" s="4" t="s">
        <v>33</v>
      </c>
      <c r="D724" s="4" t="s">
        <v>41</v>
      </c>
      <c r="E724" s="4" t="s">
        <v>25</v>
      </c>
      <c r="F724" s="4" t="s">
        <v>25</v>
      </c>
      <c r="G724" s="4" t="s">
        <v>25</v>
      </c>
      <c r="H724" s="4" t="s">
        <v>36</v>
      </c>
      <c r="I724" s="5">
        <v>44593</v>
      </c>
      <c r="J724" s="6">
        <v>0</v>
      </c>
      <c r="K724" s="6">
        <v>0</v>
      </c>
      <c r="L724" s="6">
        <v>0.57399999999999995</v>
      </c>
      <c r="M724" s="6">
        <v>0.57399999999999995</v>
      </c>
      <c r="N724" s="6">
        <v>0.57399999999999995</v>
      </c>
      <c r="O724" s="6">
        <v>0.57399999999999995</v>
      </c>
      <c r="P724" s="6">
        <v>0</v>
      </c>
      <c r="Q724" s="4" t="s">
        <v>26</v>
      </c>
      <c r="R724" s="4">
        <v>0</v>
      </c>
      <c r="S724" s="6">
        <v>0</v>
      </c>
      <c r="T724" s="6">
        <v>56</v>
      </c>
      <c r="U724" s="6">
        <v>97</v>
      </c>
      <c r="V724" s="6">
        <f>IF(ISERROR(VLOOKUP($S$724,'TAR FIN'!$A$1:$O$103,15,0)),0,VLOOKUP($S$724,'TAR FIN'!$A$1:$O$103,15,0))</f>
        <v>0</v>
      </c>
      <c r="W724" s="6">
        <f>IF(ISERROR(VLOOKUP($T$724,'TAR FIN'!$A$1:$O$103,15,0)),0,VLOOKUP($T$724,'TAR FIN'!$A$1:$O$103,15,0))</f>
        <v>669.59</v>
      </c>
      <c r="X724" s="6">
        <f>IF(ISERROR(VLOOKUP($U$724,'TAR FIN'!$A$1:$O$103,15,0)),0,VLOOKUP($U$724,'TAR FIN'!$A$1:$O$103,15,0))</f>
        <v>242.77</v>
      </c>
      <c r="Y724" s="6"/>
      <c r="Z724" s="6">
        <f ca="1">('TUSD BE'!$AM$58+'TUSD BF'!$AM$58+'TUSD CVA'!$AM$58)*1</f>
        <v>804.2876133682812</v>
      </c>
      <c r="AA724" s="6">
        <f>('TE BE'!$AB$39+'TE BF'!$AB$39+'TE CVA'!$AB$39)*1</f>
        <v>222.39386487986414</v>
      </c>
      <c r="AB724" s="6">
        <f>$K$724*$V$724</f>
        <v>0</v>
      </c>
      <c r="AC724" s="6">
        <f>$M$724*$W$724</f>
        <v>384.34465999999998</v>
      </c>
      <c r="AD724" s="6">
        <f>$O$724*$X$724</f>
        <v>139.34997999999999</v>
      </c>
      <c r="AE724" s="6">
        <f>$K$724*$Y$724</f>
        <v>0</v>
      </c>
      <c r="AF724" s="6">
        <f ca="1">$M$724*$Z$724</f>
        <v>461.66109007339338</v>
      </c>
      <c r="AG724" s="6">
        <f>$O$724*$AA$724</f>
        <v>127.654078441042</v>
      </c>
    </row>
    <row r="725" spans="1:33" ht="11.25" customHeight="1" x14ac:dyDescent="0.3">
      <c r="A725" s="4" t="s">
        <v>21</v>
      </c>
      <c r="B725" s="4" t="s">
        <v>37</v>
      </c>
      <c r="C725" s="4" t="s">
        <v>33</v>
      </c>
      <c r="D725" s="4" t="s">
        <v>41</v>
      </c>
      <c r="E725" s="4" t="s">
        <v>25</v>
      </c>
      <c r="F725" s="4" t="s">
        <v>25</v>
      </c>
      <c r="G725" s="4" t="s">
        <v>25</v>
      </c>
      <c r="H725" s="4" t="s">
        <v>36</v>
      </c>
      <c r="I725" s="5">
        <v>44621</v>
      </c>
      <c r="J725" s="6">
        <v>0</v>
      </c>
      <c r="K725" s="6">
        <v>0</v>
      </c>
      <c r="L725" s="6">
        <v>0.436</v>
      </c>
      <c r="M725" s="6">
        <v>0.436</v>
      </c>
      <c r="N725" s="6">
        <v>0.436</v>
      </c>
      <c r="O725" s="6">
        <v>0.436</v>
      </c>
      <c r="P725" s="6">
        <v>0</v>
      </c>
      <c r="Q725" s="4" t="s">
        <v>26</v>
      </c>
      <c r="R725" s="4">
        <v>0</v>
      </c>
      <c r="S725" s="6">
        <v>0</v>
      </c>
      <c r="T725" s="6">
        <v>56</v>
      </c>
      <c r="U725" s="6">
        <v>97</v>
      </c>
      <c r="V725" s="6">
        <f>IF(ISERROR(VLOOKUP($S$725,'TAR FIN'!$A$1:$O$103,15,0)),0,VLOOKUP($S$725,'TAR FIN'!$A$1:$O$103,15,0))</f>
        <v>0</v>
      </c>
      <c r="W725" s="6">
        <f>IF(ISERROR(VLOOKUP($T$725,'TAR FIN'!$A$1:$O$103,15,0)),0,VLOOKUP($T$725,'TAR FIN'!$A$1:$O$103,15,0))</f>
        <v>669.59</v>
      </c>
      <c r="X725" s="6">
        <f>IF(ISERROR(VLOOKUP($U$725,'TAR FIN'!$A$1:$O$103,15,0)),0,VLOOKUP($U$725,'TAR FIN'!$A$1:$O$103,15,0))</f>
        <v>242.77</v>
      </c>
      <c r="Y725" s="6"/>
      <c r="Z725" s="6">
        <f ca="1">('TUSD BE'!$AM$58+'TUSD BF'!$AM$58+'TUSD CVA'!$AM$58)*1</f>
        <v>804.2876133682812</v>
      </c>
      <c r="AA725" s="6">
        <f>('TE BE'!$AB$39+'TE BF'!$AB$39+'TE CVA'!$AB$39)*1</f>
        <v>222.39386487986414</v>
      </c>
      <c r="AB725" s="6">
        <f>$K$725*$V$725</f>
        <v>0</v>
      </c>
      <c r="AC725" s="6">
        <f>$M$725*$W$725</f>
        <v>291.94123999999999</v>
      </c>
      <c r="AD725" s="6">
        <f>$O$725*$X$725</f>
        <v>105.84772000000001</v>
      </c>
      <c r="AE725" s="6">
        <f>$K$725*$Y$725</f>
        <v>0</v>
      </c>
      <c r="AF725" s="6">
        <f ca="1">$M$725*$Z$725</f>
        <v>350.66939942857061</v>
      </c>
      <c r="AG725" s="6">
        <f>$O$725*$AA$725</f>
        <v>96.963725087620759</v>
      </c>
    </row>
    <row r="726" spans="1:33" ht="11.25" customHeight="1" x14ac:dyDescent="0.3">
      <c r="A726" s="4" t="s">
        <v>21</v>
      </c>
      <c r="B726" s="4" t="s">
        <v>37</v>
      </c>
      <c r="C726" s="4" t="s">
        <v>33</v>
      </c>
      <c r="D726" s="4" t="s">
        <v>41</v>
      </c>
      <c r="E726" s="4" t="s">
        <v>25</v>
      </c>
      <c r="F726" s="4" t="s">
        <v>25</v>
      </c>
      <c r="G726" s="4" t="s">
        <v>25</v>
      </c>
      <c r="H726" s="4" t="s">
        <v>36</v>
      </c>
      <c r="I726" s="5">
        <v>44652</v>
      </c>
      <c r="J726" s="6">
        <v>0</v>
      </c>
      <c r="K726" s="6">
        <v>0</v>
      </c>
      <c r="L726" s="6">
        <v>0.61299999999999999</v>
      </c>
      <c r="M726" s="6">
        <v>0.61299999999999999</v>
      </c>
      <c r="N726" s="6">
        <v>0.61299999999999999</v>
      </c>
      <c r="O726" s="6">
        <v>0.61299999999999999</v>
      </c>
      <c r="P726" s="6">
        <v>0</v>
      </c>
      <c r="Q726" s="4" t="s">
        <v>26</v>
      </c>
      <c r="R726" s="4">
        <v>0</v>
      </c>
      <c r="S726" s="6">
        <v>0</v>
      </c>
      <c r="T726" s="6">
        <v>56</v>
      </c>
      <c r="U726" s="6">
        <v>97</v>
      </c>
      <c r="V726" s="6">
        <f>IF(ISERROR(VLOOKUP($S$726,'TAR FIN'!$A$1:$O$103,15,0)),0,VLOOKUP($S$726,'TAR FIN'!$A$1:$O$103,15,0))</f>
        <v>0</v>
      </c>
      <c r="W726" s="6">
        <f>IF(ISERROR(VLOOKUP($T$726,'TAR FIN'!$A$1:$O$103,15,0)),0,VLOOKUP($T$726,'TAR FIN'!$A$1:$O$103,15,0))</f>
        <v>669.59</v>
      </c>
      <c r="X726" s="6">
        <f>IF(ISERROR(VLOOKUP($U$726,'TAR FIN'!$A$1:$O$103,15,0)),0,VLOOKUP($U$726,'TAR FIN'!$A$1:$O$103,15,0))</f>
        <v>242.77</v>
      </c>
      <c r="Y726" s="6"/>
      <c r="Z726" s="6">
        <f ca="1">('TUSD BE'!$AM$58+'TUSD BF'!$AM$58+'TUSD CVA'!$AM$58)*1</f>
        <v>804.2876133682812</v>
      </c>
      <c r="AA726" s="6">
        <f>('TE BE'!$AB$39+'TE BF'!$AB$39+'TE CVA'!$AB$39)*1</f>
        <v>222.39386487986414</v>
      </c>
      <c r="AB726" s="6">
        <f>$K$726*$V$726</f>
        <v>0</v>
      </c>
      <c r="AC726" s="6">
        <f>$M$726*$W$726</f>
        <v>410.45867000000004</v>
      </c>
      <c r="AD726" s="6">
        <f>$O$726*$X$726</f>
        <v>148.81801000000002</v>
      </c>
      <c r="AE726" s="6">
        <f>$K$726*$Y$726</f>
        <v>0</v>
      </c>
      <c r="AF726" s="6">
        <f ca="1">$M$726*$Z$726</f>
        <v>493.02830699475635</v>
      </c>
      <c r="AG726" s="6">
        <f>$O$726*$AA$726</f>
        <v>136.3274391713567</v>
      </c>
    </row>
    <row r="727" spans="1:33" ht="11.25" customHeight="1" x14ac:dyDescent="0.3">
      <c r="A727" s="4" t="s">
        <v>21</v>
      </c>
      <c r="B727" s="4" t="s">
        <v>37</v>
      </c>
      <c r="C727" s="4" t="s">
        <v>33</v>
      </c>
      <c r="D727" s="4" t="s">
        <v>41</v>
      </c>
      <c r="E727" s="4" t="s">
        <v>25</v>
      </c>
      <c r="F727" s="4" t="s">
        <v>25</v>
      </c>
      <c r="G727" s="4" t="s">
        <v>25</v>
      </c>
      <c r="H727" s="4" t="s">
        <v>36</v>
      </c>
      <c r="I727" s="5">
        <v>44682</v>
      </c>
      <c r="J727" s="6">
        <v>0</v>
      </c>
      <c r="K727" s="6">
        <v>0</v>
      </c>
      <c r="L727" s="6">
        <v>0.56599999999999995</v>
      </c>
      <c r="M727" s="6">
        <v>0.56599999999999995</v>
      </c>
      <c r="N727" s="6">
        <v>0.56599999999999995</v>
      </c>
      <c r="O727" s="6">
        <v>0.56599999999999995</v>
      </c>
      <c r="P727" s="6">
        <v>0</v>
      </c>
      <c r="Q727" s="4" t="s">
        <v>26</v>
      </c>
      <c r="R727" s="4">
        <v>0</v>
      </c>
      <c r="S727" s="6">
        <v>0</v>
      </c>
      <c r="T727" s="6">
        <v>56</v>
      </c>
      <c r="U727" s="6">
        <v>97</v>
      </c>
      <c r="V727" s="6">
        <f>IF(ISERROR(VLOOKUP($S$727,'TAR FIN'!$A$1:$O$103,15,0)),0,VLOOKUP($S$727,'TAR FIN'!$A$1:$O$103,15,0))</f>
        <v>0</v>
      </c>
      <c r="W727" s="6">
        <f>IF(ISERROR(VLOOKUP($T$727,'TAR FIN'!$A$1:$O$103,15,0)),0,VLOOKUP($T$727,'TAR FIN'!$A$1:$O$103,15,0))</f>
        <v>669.59</v>
      </c>
      <c r="X727" s="6">
        <f>IF(ISERROR(VLOOKUP($U$727,'TAR FIN'!$A$1:$O$103,15,0)),0,VLOOKUP($U$727,'TAR FIN'!$A$1:$O$103,15,0))</f>
        <v>242.77</v>
      </c>
      <c r="Y727" s="6"/>
      <c r="Z727" s="6">
        <f ca="1">('TUSD BE'!$AM$58+'TUSD BF'!$AM$58+'TUSD CVA'!$AM$58)*1</f>
        <v>804.2876133682812</v>
      </c>
      <c r="AA727" s="6">
        <f>('TE BE'!$AB$39+'TE BF'!$AB$39+'TE CVA'!$AB$39)*1</f>
        <v>222.39386487986414</v>
      </c>
      <c r="AB727" s="6">
        <f>$K$727*$V$727</f>
        <v>0</v>
      </c>
      <c r="AC727" s="6">
        <f>$M$727*$W$727</f>
        <v>378.98793999999998</v>
      </c>
      <c r="AD727" s="6">
        <f>$O$727*$X$727</f>
        <v>137.40781999999999</v>
      </c>
      <c r="AE727" s="6">
        <f>$K$727*$Y$727</f>
        <v>0</v>
      </c>
      <c r="AF727" s="6">
        <f ca="1">$M$727*$Z$727</f>
        <v>455.22678916644713</v>
      </c>
      <c r="AG727" s="6">
        <f>$O$727*$AA$727</f>
        <v>125.87492752200309</v>
      </c>
    </row>
    <row r="728" spans="1:33" ht="11.25" customHeight="1" x14ac:dyDescent="0.3">
      <c r="A728" s="4" t="s">
        <v>21</v>
      </c>
      <c r="B728" s="4" t="s">
        <v>37</v>
      </c>
      <c r="C728" s="4" t="s">
        <v>33</v>
      </c>
      <c r="D728" s="4" t="s">
        <v>41</v>
      </c>
      <c r="E728" s="4" t="s">
        <v>25</v>
      </c>
      <c r="F728" s="4" t="s">
        <v>25</v>
      </c>
      <c r="G728" s="4" t="s">
        <v>25</v>
      </c>
      <c r="H728" s="4" t="s">
        <v>36</v>
      </c>
      <c r="I728" s="5">
        <v>44713</v>
      </c>
      <c r="J728" s="6">
        <v>0</v>
      </c>
      <c r="K728" s="6">
        <v>0</v>
      </c>
      <c r="L728" s="6">
        <v>0.42499999999999999</v>
      </c>
      <c r="M728" s="6">
        <v>0.42499999999999999</v>
      </c>
      <c r="N728" s="6">
        <v>0.42499999999999999</v>
      </c>
      <c r="O728" s="6">
        <v>0.42499999999999999</v>
      </c>
      <c r="P728" s="6">
        <v>0</v>
      </c>
      <c r="Q728" s="4" t="s">
        <v>26</v>
      </c>
      <c r="R728" s="4">
        <v>0</v>
      </c>
      <c r="S728" s="6">
        <v>0</v>
      </c>
      <c r="T728" s="6">
        <v>56</v>
      </c>
      <c r="U728" s="6">
        <v>97</v>
      </c>
      <c r="V728" s="6">
        <f>IF(ISERROR(VLOOKUP($S$728,'TAR FIN'!$A$1:$O$103,15,0)),0,VLOOKUP($S$728,'TAR FIN'!$A$1:$O$103,15,0))</f>
        <v>0</v>
      </c>
      <c r="W728" s="6">
        <f>IF(ISERROR(VLOOKUP($T$728,'TAR FIN'!$A$1:$O$103,15,0)),0,VLOOKUP($T$728,'TAR FIN'!$A$1:$O$103,15,0))</f>
        <v>669.59</v>
      </c>
      <c r="X728" s="6">
        <f>IF(ISERROR(VLOOKUP($U$728,'TAR FIN'!$A$1:$O$103,15,0)),0,VLOOKUP($U$728,'TAR FIN'!$A$1:$O$103,15,0))</f>
        <v>242.77</v>
      </c>
      <c r="Y728" s="6"/>
      <c r="Z728" s="6">
        <f ca="1">('TUSD BE'!$AM$58+'TUSD BF'!$AM$58+'TUSD CVA'!$AM$58)*1</f>
        <v>804.2876133682812</v>
      </c>
      <c r="AA728" s="6">
        <f>('TE BE'!$AB$39+'TE BF'!$AB$39+'TE CVA'!$AB$39)*1</f>
        <v>222.39386487986414</v>
      </c>
      <c r="AB728" s="6">
        <f>$K$728*$V$728</f>
        <v>0</v>
      </c>
      <c r="AC728" s="6">
        <f>$M$728*$W$728</f>
        <v>284.57575000000003</v>
      </c>
      <c r="AD728" s="6">
        <f>$O$728*$X$728</f>
        <v>103.17725</v>
      </c>
      <c r="AE728" s="6">
        <f>$K$728*$Y$728</f>
        <v>0</v>
      </c>
      <c r="AF728" s="6">
        <f ca="1">$M$728*$Z$728</f>
        <v>341.82223568151949</v>
      </c>
      <c r="AG728" s="6">
        <f>$O$728*$AA$728</f>
        <v>94.51739257394226</v>
      </c>
    </row>
    <row r="729" spans="1:33" ht="11.25" customHeight="1" x14ac:dyDescent="0.3">
      <c r="A729" s="4" t="s">
        <v>28</v>
      </c>
      <c r="B729" s="4" t="s">
        <v>37</v>
      </c>
      <c r="C729" s="4" t="s">
        <v>33</v>
      </c>
      <c r="D729" s="4" t="s">
        <v>41</v>
      </c>
      <c r="E729" s="4" t="s">
        <v>25</v>
      </c>
      <c r="F729" s="4" t="s">
        <v>25</v>
      </c>
      <c r="G729" s="4" t="s">
        <v>25</v>
      </c>
      <c r="H729" s="4" t="s">
        <v>36</v>
      </c>
      <c r="I729" s="5">
        <v>44713</v>
      </c>
      <c r="J729" s="6">
        <v>0</v>
      </c>
      <c r="K729" s="6">
        <v>0</v>
      </c>
      <c r="L729" s="6">
        <v>0.05</v>
      </c>
      <c r="M729" s="6">
        <v>0.05</v>
      </c>
      <c r="N729" s="6">
        <v>0.05</v>
      </c>
      <c r="O729" s="6">
        <v>0.05</v>
      </c>
      <c r="P729" s="6">
        <v>0</v>
      </c>
      <c r="Q729" s="4" t="s">
        <v>26</v>
      </c>
      <c r="R729" s="4">
        <v>0</v>
      </c>
      <c r="S729" s="6">
        <v>0</v>
      </c>
      <c r="T729" s="6">
        <v>56</v>
      </c>
      <c r="U729" s="6">
        <v>97</v>
      </c>
      <c r="V729" s="6">
        <f>IF(ISERROR(VLOOKUP($S$729,'TAR FIN'!$A$1:$O$103,15,0)),0,VLOOKUP($S$729,'TAR FIN'!$A$1:$O$103,15,0))</f>
        <v>0</v>
      </c>
      <c r="W729" s="6">
        <f>IF(ISERROR(VLOOKUP($T$729,'TAR FIN'!$A$1:$O$103,15,0)),0,VLOOKUP($T$729,'TAR FIN'!$A$1:$O$103,15,0))</f>
        <v>669.59</v>
      </c>
      <c r="X729" s="6">
        <f>IF(ISERROR(VLOOKUP($U$729,'TAR FIN'!$A$1:$O$103,15,0)),0,VLOOKUP($U$729,'TAR FIN'!$A$1:$O$103,15,0))</f>
        <v>242.77</v>
      </c>
      <c r="Y729" s="6"/>
      <c r="Z729" s="6">
        <f ca="1">('TUSD BE'!$AM$58+'TUSD BF'!$AM$58+'TUSD CVA'!$AM$58)*1</f>
        <v>804.2876133682812</v>
      </c>
      <c r="AA729" s="6">
        <f>('TE BE'!$AB$39+'TE BF'!$AB$39+'TE CVA'!$AB$39)*1</f>
        <v>222.39386487986414</v>
      </c>
      <c r="AB729" s="6">
        <f>$K$729*$V$729</f>
        <v>0</v>
      </c>
      <c r="AC729" s="6">
        <f>$M$729*$W$729</f>
        <v>33.479500000000002</v>
      </c>
      <c r="AD729" s="6">
        <f>$O$729*$X$729</f>
        <v>12.138500000000001</v>
      </c>
      <c r="AE729" s="6">
        <f>$K$729*$Y$729</f>
        <v>0</v>
      </c>
      <c r="AF729" s="6">
        <f ca="1">$M$729*$Z$729</f>
        <v>40.214380668414066</v>
      </c>
      <c r="AG729" s="6">
        <f>$O$729*$AA$729</f>
        <v>11.119693243993208</v>
      </c>
    </row>
    <row r="730" spans="1:33" ht="11.25" customHeight="1" x14ac:dyDescent="0.3">
      <c r="A730" s="4" t="s">
        <v>21</v>
      </c>
      <c r="B730" s="4" t="s">
        <v>37</v>
      </c>
      <c r="C730" s="4" t="s">
        <v>33</v>
      </c>
      <c r="D730" s="4" t="s">
        <v>41</v>
      </c>
      <c r="E730" s="4" t="s">
        <v>25</v>
      </c>
      <c r="F730" s="4" t="s">
        <v>25</v>
      </c>
      <c r="G730" s="4" t="s">
        <v>25</v>
      </c>
      <c r="H730" s="4" t="s">
        <v>36</v>
      </c>
      <c r="I730" s="5">
        <v>44743</v>
      </c>
      <c r="J730" s="6">
        <v>0</v>
      </c>
      <c r="K730" s="6">
        <v>0</v>
      </c>
      <c r="L730" s="6">
        <v>0.41899999999999998</v>
      </c>
      <c r="M730" s="6">
        <v>0.41899999999999998</v>
      </c>
      <c r="N730" s="6">
        <v>0.41899999999999998</v>
      </c>
      <c r="O730" s="6">
        <v>0.41899999999999998</v>
      </c>
      <c r="P730" s="6">
        <v>0</v>
      </c>
      <c r="Q730" s="4" t="s">
        <v>26</v>
      </c>
      <c r="R730" s="4">
        <v>0</v>
      </c>
      <c r="S730" s="6">
        <v>0</v>
      </c>
      <c r="T730" s="6">
        <v>56</v>
      </c>
      <c r="U730" s="6">
        <v>97</v>
      </c>
      <c r="V730" s="6">
        <f>IF(ISERROR(VLOOKUP($S$730,'TAR FIN'!$A$1:$O$103,15,0)),0,VLOOKUP($S$730,'TAR FIN'!$A$1:$O$103,15,0))</f>
        <v>0</v>
      </c>
      <c r="W730" s="6">
        <f>IF(ISERROR(VLOOKUP($T$730,'TAR FIN'!$A$1:$O$103,15,0)),0,VLOOKUP($T$730,'TAR FIN'!$A$1:$O$103,15,0))</f>
        <v>669.59</v>
      </c>
      <c r="X730" s="6">
        <f>IF(ISERROR(VLOOKUP($U$730,'TAR FIN'!$A$1:$O$103,15,0)),0,VLOOKUP($U$730,'TAR FIN'!$A$1:$O$103,15,0))</f>
        <v>242.77</v>
      </c>
      <c r="Y730" s="6"/>
      <c r="Z730" s="6">
        <f ca="1">('TUSD BE'!$AM$58+'TUSD BF'!$AM$58+'TUSD CVA'!$AM$58)*1</f>
        <v>804.2876133682812</v>
      </c>
      <c r="AA730" s="6">
        <f>('TE BE'!$AB$39+'TE BF'!$AB$39+'TE CVA'!$AB$39)*1</f>
        <v>222.39386487986414</v>
      </c>
      <c r="AB730" s="6">
        <f>$K$730*$V$730</f>
        <v>0</v>
      </c>
      <c r="AC730" s="6">
        <f>$M$730*$W$730</f>
        <v>280.55820999999997</v>
      </c>
      <c r="AD730" s="6">
        <f>$O$730*$X$730</f>
        <v>101.72063</v>
      </c>
      <c r="AE730" s="6">
        <f>$K$730*$Y$730</f>
        <v>0</v>
      </c>
      <c r="AF730" s="6">
        <f ca="1">$M$730*$Z$730</f>
        <v>336.99651000130979</v>
      </c>
      <c r="AG730" s="6">
        <f>$O$730*$AA$730</f>
        <v>93.183029384663072</v>
      </c>
    </row>
    <row r="731" spans="1:33" ht="11.25" customHeight="1" x14ac:dyDescent="0.3">
      <c r="A731" s="4" t="s">
        <v>28</v>
      </c>
      <c r="B731" s="4" t="s">
        <v>37</v>
      </c>
      <c r="C731" s="4" t="s">
        <v>33</v>
      </c>
      <c r="D731" s="4" t="s">
        <v>41</v>
      </c>
      <c r="E731" s="4" t="s">
        <v>25</v>
      </c>
      <c r="F731" s="4" t="s">
        <v>25</v>
      </c>
      <c r="G731" s="4" t="s">
        <v>25</v>
      </c>
      <c r="H731" s="4" t="s">
        <v>36</v>
      </c>
      <c r="I731" s="5">
        <v>44743</v>
      </c>
      <c r="J731" s="6">
        <v>0</v>
      </c>
      <c r="K731" s="6">
        <v>0</v>
      </c>
      <c r="L731" s="6">
        <v>4.7E-2</v>
      </c>
      <c r="M731" s="6">
        <v>4.7E-2</v>
      </c>
      <c r="N731" s="6">
        <v>4.7E-2</v>
      </c>
      <c r="O731" s="6">
        <v>4.7E-2</v>
      </c>
      <c r="P731" s="6">
        <v>0</v>
      </c>
      <c r="Q731" s="4" t="s">
        <v>26</v>
      </c>
      <c r="R731" s="4">
        <v>0</v>
      </c>
      <c r="S731" s="6">
        <v>0</v>
      </c>
      <c r="T731" s="6">
        <v>56</v>
      </c>
      <c r="U731" s="6">
        <v>97</v>
      </c>
      <c r="V731" s="6">
        <f>IF(ISERROR(VLOOKUP($S$731,'TAR FIN'!$A$1:$O$103,15,0)),0,VLOOKUP($S$731,'TAR FIN'!$A$1:$O$103,15,0))</f>
        <v>0</v>
      </c>
      <c r="W731" s="6">
        <f>IF(ISERROR(VLOOKUP($T$731,'TAR FIN'!$A$1:$O$103,15,0)),0,VLOOKUP($T$731,'TAR FIN'!$A$1:$O$103,15,0))</f>
        <v>669.59</v>
      </c>
      <c r="X731" s="6">
        <f>IF(ISERROR(VLOOKUP($U$731,'TAR FIN'!$A$1:$O$103,15,0)),0,VLOOKUP($U$731,'TAR FIN'!$A$1:$O$103,15,0))</f>
        <v>242.77</v>
      </c>
      <c r="Y731" s="6"/>
      <c r="Z731" s="6">
        <f ca="1">('TUSD BE'!$AM$58+'TUSD BF'!$AM$58+'TUSD CVA'!$AM$58)*1</f>
        <v>804.2876133682812</v>
      </c>
      <c r="AA731" s="6">
        <f>('TE BE'!$AB$39+'TE BF'!$AB$39+'TE CVA'!$AB$39)*1</f>
        <v>222.39386487986414</v>
      </c>
      <c r="AB731" s="6">
        <f>$K$731*$V$731</f>
        <v>0</v>
      </c>
      <c r="AC731" s="6">
        <f>$M$731*$W$731</f>
        <v>31.470730000000003</v>
      </c>
      <c r="AD731" s="6">
        <f>$O$731*$X$731</f>
        <v>11.41019</v>
      </c>
      <c r="AE731" s="6">
        <f>$K$731*$Y$731</f>
        <v>0</v>
      </c>
      <c r="AF731" s="6">
        <f ca="1">$M$731*$Z$731</f>
        <v>37.801517828309215</v>
      </c>
      <c r="AG731" s="6">
        <f>$O$731*$AA$731</f>
        <v>10.452511649353614</v>
      </c>
    </row>
    <row r="732" spans="1:33" ht="11.25" customHeight="1" x14ac:dyDescent="0.3">
      <c r="A732" s="4" t="s">
        <v>21</v>
      </c>
      <c r="B732" s="4" t="s">
        <v>37</v>
      </c>
      <c r="C732" s="4" t="s">
        <v>33</v>
      </c>
      <c r="D732" s="4" t="s">
        <v>41</v>
      </c>
      <c r="E732" s="4" t="s">
        <v>25</v>
      </c>
      <c r="F732" s="4" t="s">
        <v>25</v>
      </c>
      <c r="G732" s="4" t="s">
        <v>25</v>
      </c>
      <c r="H732" s="4" t="s">
        <v>36</v>
      </c>
      <c r="I732" s="5">
        <v>44774</v>
      </c>
      <c r="J732" s="6">
        <v>0</v>
      </c>
      <c r="K732" s="6">
        <v>0</v>
      </c>
      <c r="L732" s="6">
        <v>0.39400000000000002</v>
      </c>
      <c r="M732" s="6">
        <v>0.39400000000000002</v>
      </c>
      <c r="N732" s="6">
        <v>0.39400000000000002</v>
      </c>
      <c r="O732" s="6">
        <v>0.39400000000000002</v>
      </c>
      <c r="P732" s="6">
        <v>0</v>
      </c>
      <c r="Q732" s="4" t="s">
        <v>26</v>
      </c>
      <c r="R732" s="4">
        <v>0</v>
      </c>
      <c r="S732" s="6">
        <v>0</v>
      </c>
      <c r="T732" s="6">
        <v>56</v>
      </c>
      <c r="U732" s="6">
        <v>97</v>
      </c>
      <c r="V732" s="6">
        <f>IF(ISERROR(VLOOKUP($S$732,'TAR FIN'!$A$1:$O$103,15,0)),0,VLOOKUP($S$732,'TAR FIN'!$A$1:$O$103,15,0))</f>
        <v>0</v>
      </c>
      <c r="W732" s="6">
        <f>IF(ISERROR(VLOOKUP($T$732,'TAR FIN'!$A$1:$O$103,15,0)),0,VLOOKUP($T$732,'TAR FIN'!$A$1:$O$103,15,0))</f>
        <v>669.59</v>
      </c>
      <c r="X732" s="6">
        <f>IF(ISERROR(VLOOKUP($U$732,'TAR FIN'!$A$1:$O$103,15,0)),0,VLOOKUP($U$732,'TAR FIN'!$A$1:$O$103,15,0))</f>
        <v>242.77</v>
      </c>
      <c r="Y732" s="6"/>
      <c r="Z732" s="6">
        <f ca="1">('TUSD BE'!$AM$58+'TUSD BF'!$AM$58+'TUSD CVA'!$AM$58)*1</f>
        <v>804.2876133682812</v>
      </c>
      <c r="AA732" s="6">
        <f>('TE BE'!$AB$39+'TE BF'!$AB$39+'TE CVA'!$AB$39)*1</f>
        <v>222.39386487986414</v>
      </c>
      <c r="AB732" s="6">
        <f>$K$732*$V$732</f>
        <v>0</v>
      </c>
      <c r="AC732" s="6">
        <f>$M$732*$W$732</f>
        <v>263.81846000000002</v>
      </c>
      <c r="AD732" s="6">
        <f>$O$732*$X$732</f>
        <v>95.651380000000003</v>
      </c>
      <c r="AE732" s="6">
        <f>$K$732*$Y$732</f>
        <v>0</v>
      </c>
      <c r="AF732" s="6">
        <f ca="1">$M$732*$Z$732</f>
        <v>316.88931966710282</v>
      </c>
      <c r="AG732" s="6">
        <f>$O$732*$AA$732</f>
        <v>87.623182762666474</v>
      </c>
    </row>
    <row r="733" spans="1:33" ht="11.25" customHeight="1" x14ac:dyDescent="0.3">
      <c r="A733" s="4" t="s">
        <v>21</v>
      </c>
      <c r="B733" s="4" t="s">
        <v>37</v>
      </c>
      <c r="C733" s="4" t="s">
        <v>33</v>
      </c>
      <c r="D733" s="4" t="s">
        <v>41</v>
      </c>
      <c r="E733" s="4" t="s">
        <v>25</v>
      </c>
      <c r="F733" s="4" t="s">
        <v>25</v>
      </c>
      <c r="G733" s="4" t="s">
        <v>25</v>
      </c>
      <c r="H733" s="4" t="s">
        <v>36</v>
      </c>
      <c r="I733" s="5">
        <v>44805</v>
      </c>
      <c r="J733" s="6">
        <v>0</v>
      </c>
      <c r="K733" s="6">
        <v>0</v>
      </c>
      <c r="L733" s="6">
        <v>0.496</v>
      </c>
      <c r="M733" s="6">
        <v>0.496</v>
      </c>
      <c r="N733" s="6">
        <v>0.496</v>
      </c>
      <c r="O733" s="6">
        <v>0.496</v>
      </c>
      <c r="P733" s="6">
        <v>0</v>
      </c>
      <c r="Q733" s="4" t="s">
        <v>26</v>
      </c>
      <c r="R733" s="4">
        <v>0</v>
      </c>
      <c r="S733" s="6">
        <v>0</v>
      </c>
      <c r="T733" s="6">
        <v>56</v>
      </c>
      <c r="U733" s="6">
        <v>97</v>
      </c>
      <c r="V733" s="6">
        <f>IF(ISERROR(VLOOKUP($S$733,'TAR FIN'!$A$1:$O$103,15,0)),0,VLOOKUP($S$733,'TAR FIN'!$A$1:$O$103,15,0))</f>
        <v>0</v>
      </c>
      <c r="W733" s="6">
        <f>IF(ISERROR(VLOOKUP($T$733,'TAR FIN'!$A$1:$O$103,15,0)),0,VLOOKUP($T$733,'TAR FIN'!$A$1:$O$103,15,0))</f>
        <v>669.59</v>
      </c>
      <c r="X733" s="6">
        <f>IF(ISERROR(VLOOKUP($U$733,'TAR FIN'!$A$1:$O$103,15,0)),0,VLOOKUP($U$733,'TAR FIN'!$A$1:$O$103,15,0))</f>
        <v>242.77</v>
      </c>
      <c r="Y733" s="6"/>
      <c r="Z733" s="6">
        <f ca="1">('TUSD BE'!$AM$58+'TUSD BF'!$AM$58+'TUSD CVA'!$AM$58)*1</f>
        <v>804.2876133682812</v>
      </c>
      <c r="AA733" s="6">
        <f>('TE BE'!$AB$39+'TE BF'!$AB$39+'TE CVA'!$AB$39)*1</f>
        <v>222.39386487986414</v>
      </c>
      <c r="AB733" s="6">
        <f>$K$733*$V$733</f>
        <v>0</v>
      </c>
      <c r="AC733" s="6">
        <f>$M$733*$W$733</f>
        <v>332.11664000000002</v>
      </c>
      <c r="AD733" s="6">
        <f>$O$733*$X$733</f>
        <v>120.41392</v>
      </c>
      <c r="AE733" s="6">
        <f>$K$733*$Y$733</f>
        <v>0</v>
      </c>
      <c r="AF733" s="6">
        <f ca="1">$M$733*$Z$733</f>
        <v>398.92665623066745</v>
      </c>
      <c r="AG733" s="6">
        <f>$O$733*$AA$733</f>
        <v>110.30735698041261</v>
      </c>
    </row>
    <row r="734" spans="1:33" ht="11.25" customHeight="1" x14ac:dyDescent="0.3">
      <c r="A734" s="4" t="s">
        <v>57</v>
      </c>
      <c r="B734" s="4" t="s">
        <v>37</v>
      </c>
      <c r="C734" s="4" t="s">
        <v>33</v>
      </c>
      <c r="D734" s="4" t="s">
        <v>41</v>
      </c>
      <c r="E734" s="4" t="s">
        <v>25</v>
      </c>
      <c r="F734" s="4" t="s">
        <v>25</v>
      </c>
      <c r="G734" s="4" t="s">
        <v>25</v>
      </c>
      <c r="H734" s="4" t="s">
        <v>36</v>
      </c>
      <c r="I734" s="5">
        <v>44835</v>
      </c>
      <c r="J734" s="6">
        <v>0</v>
      </c>
      <c r="K734" s="6">
        <v>0</v>
      </c>
      <c r="L734" s="6">
        <v>0.496</v>
      </c>
      <c r="M734" s="6">
        <v>0.496</v>
      </c>
      <c r="N734" s="6">
        <v>0.496</v>
      </c>
      <c r="O734" s="6">
        <v>0.496</v>
      </c>
      <c r="P734" s="6">
        <v>0</v>
      </c>
      <c r="Q734" s="4" t="s">
        <v>26</v>
      </c>
      <c r="R734" s="4">
        <v>0</v>
      </c>
      <c r="S734" s="6">
        <v>0</v>
      </c>
      <c r="T734" s="6">
        <v>56</v>
      </c>
      <c r="U734" s="6">
        <v>97</v>
      </c>
      <c r="V734" s="6">
        <f>IF(ISERROR(VLOOKUP($S$734,'TAR FIN'!$A$1:$O$103,15,0)),0,VLOOKUP($S$734,'TAR FIN'!$A$1:$O$103,15,0))</f>
        <v>0</v>
      </c>
      <c r="W734" s="6">
        <f>IF(ISERROR(VLOOKUP($T$734,'TAR FIN'!$A$1:$O$103,15,0)),0,VLOOKUP($T$734,'TAR FIN'!$A$1:$O$103,15,0))</f>
        <v>669.59</v>
      </c>
      <c r="X734" s="6">
        <f>IF(ISERROR(VLOOKUP($U$734,'TAR FIN'!$A$1:$O$103,15,0)),0,VLOOKUP($U$734,'TAR FIN'!$A$1:$O$103,15,0))</f>
        <v>242.77</v>
      </c>
      <c r="Y734" s="6"/>
      <c r="Z734" s="6">
        <f ca="1">('TUSD BE'!$AM$58+'TUSD BF'!$AM$58+'TUSD CVA'!$AM$58)*1</f>
        <v>804.2876133682812</v>
      </c>
      <c r="AA734" s="6">
        <f>('TE BE'!$AB$39+'TE BF'!$AB$39+'TE CVA'!$AB$39)*1</f>
        <v>222.39386487986414</v>
      </c>
      <c r="AB734" s="6">
        <f>$K$734*$V$734</f>
        <v>0</v>
      </c>
      <c r="AC734" s="6">
        <f>$M$734*$W$734</f>
        <v>332.11664000000002</v>
      </c>
      <c r="AD734" s="6">
        <f>$O$734*$X$734</f>
        <v>120.41392</v>
      </c>
      <c r="AE734" s="6">
        <f>$K$734*$Y$734</f>
        <v>0</v>
      </c>
      <c r="AF734" s="6">
        <f ca="1">$M$734*$Z$734</f>
        <v>398.92665623066745</v>
      </c>
      <c r="AG734" s="6">
        <f>$O$734*$AA$734</f>
        <v>110.30735698041261</v>
      </c>
    </row>
    <row r="735" spans="1:33" ht="11.25" customHeight="1" x14ac:dyDescent="0.3">
      <c r="A735" s="4" t="s">
        <v>21</v>
      </c>
      <c r="B735" s="4" t="s">
        <v>37</v>
      </c>
      <c r="C735" s="4" t="s">
        <v>33</v>
      </c>
      <c r="D735" s="4" t="s">
        <v>41</v>
      </c>
      <c r="E735" s="4" t="s">
        <v>25</v>
      </c>
      <c r="F735" s="4" t="s">
        <v>25</v>
      </c>
      <c r="G735" s="4" t="s">
        <v>25</v>
      </c>
      <c r="H735" s="4" t="s">
        <v>34</v>
      </c>
      <c r="I735" s="5">
        <v>44501</v>
      </c>
      <c r="J735" s="6">
        <v>0</v>
      </c>
      <c r="K735" s="6">
        <v>0</v>
      </c>
      <c r="L735" s="6">
        <v>0.64600000000000002</v>
      </c>
      <c r="M735" s="6">
        <v>0.64600000000000002</v>
      </c>
      <c r="N735" s="6">
        <v>0.64600000000000002</v>
      </c>
      <c r="O735" s="6">
        <v>0.64600000000000002</v>
      </c>
      <c r="P735" s="6">
        <v>0</v>
      </c>
      <c r="Q735" s="4" t="s">
        <v>26</v>
      </c>
      <c r="R735" s="4">
        <v>0</v>
      </c>
      <c r="S735" s="6">
        <v>0</v>
      </c>
      <c r="T735" s="6">
        <v>55</v>
      </c>
      <c r="U735" s="6">
        <v>96</v>
      </c>
      <c r="V735" s="6">
        <f>IF(ISERROR(VLOOKUP($S$735,'TAR FIN'!$A$1:$O$103,15,0)),0,VLOOKUP($S$735,'TAR FIN'!$A$1:$O$103,15,0))</f>
        <v>0</v>
      </c>
      <c r="W735" s="6">
        <f>IF(ISERROR(VLOOKUP($T$735,'TAR FIN'!$A$1:$O$103,15,0)),0,VLOOKUP($T$735,'TAR FIN'!$A$1:$O$103,15,0))</f>
        <v>1043.57</v>
      </c>
      <c r="X735" s="6">
        <f>IF(ISERROR(VLOOKUP($U$735,'TAR FIN'!$A$1:$O$103,15,0)),0,VLOOKUP($U$735,'TAR FIN'!$A$1:$O$103,15,0))</f>
        <v>391.54</v>
      </c>
      <c r="Y735" s="6"/>
      <c r="Z735" s="6">
        <f ca="1">('TUSD BE'!$AM$57+'TUSD BF'!$AM$57+'TUSD CVA'!$AM$57)*1</f>
        <v>1219.8615646283974</v>
      </c>
      <c r="AA735" s="6">
        <f>('TE BE'!$AB$38+'TE BF'!$AB$38+'TE CVA'!$AB$38)*1</f>
        <v>361.95264704220779</v>
      </c>
      <c r="AB735" s="6">
        <f>$K$735*$V$735</f>
        <v>0</v>
      </c>
      <c r="AC735" s="6">
        <f>$M$735*$W$735</f>
        <v>674.14621999999997</v>
      </c>
      <c r="AD735" s="6">
        <f>$O$735*$X$735</f>
        <v>252.93484000000001</v>
      </c>
      <c r="AE735" s="6">
        <f>$K$735*$Y$735</f>
        <v>0</v>
      </c>
      <c r="AF735" s="6">
        <f ca="1">$M$735*$Z$735</f>
        <v>788.03057074994479</v>
      </c>
      <c r="AG735" s="6">
        <f>$O$735*$AA$735</f>
        <v>233.82140998926624</v>
      </c>
    </row>
    <row r="736" spans="1:33" ht="11.25" customHeight="1" x14ac:dyDescent="0.3">
      <c r="A736" s="4" t="s">
        <v>21</v>
      </c>
      <c r="B736" s="4" t="s">
        <v>37</v>
      </c>
      <c r="C736" s="4" t="s">
        <v>33</v>
      </c>
      <c r="D736" s="4" t="s">
        <v>41</v>
      </c>
      <c r="E736" s="4" t="s">
        <v>25</v>
      </c>
      <c r="F736" s="4" t="s">
        <v>25</v>
      </c>
      <c r="G736" s="4" t="s">
        <v>25</v>
      </c>
      <c r="H736" s="4" t="s">
        <v>34</v>
      </c>
      <c r="I736" s="5">
        <v>44531</v>
      </c>
      <c r="J736" s="6">
        <v>0</v>
      </c>
      <c r="K736" s="6">
        <v>0</v>
      </c>
      <c r="L736" s="6">
        <v>0.60799999999999998</v>
      </c>
      <c r="M736" s="6">
        <v>0.60799999999999998</v>
      </c>
      <c r="N736" s="6">
        <v>0.60799999999999998</v>
      </c>
      <c r="O736" s="6">
        <v>0.60799999999999998</v>
      </c>
      <c r="P736" s="6">
        <v>0</v>
      </c>
      <c r="Q736" s="4" t="s">
        <v>26</v>
      </c>
      <c r="R736" s="4">
        <v>0</v>
      </c>
      <c r="S736" s="6">
        <v>0</v>
      </c>
      <c r="T736" s="6">
        <v>55</v>
      </c>
      <c r="U736" s="6">
        <v>96</v>
      </c>
      <c r="V736" s="6">
        <f>IF(ISERROR(VLOOKUP($S$736,'TAR FIN'!$A$1:$O$103,15,0)),0,VLOOKUP($S$736,'TAR FIN'!$A$1:$O$103,15,0))</f>
        <v>0</v>
      </c>
      <c r="W736" s="6">
        <f>IF(ISERROR(VLOOKUP($T$736,'TAR FIN'!$A$1:$O$103,15,0)),0,VLOOKUP($T$736,'TAR FIN'!$A$1:$O$103,15,0))</f>
        <v>1043.57</v>
      </c>
      <c r="X736" s="6">
        <f>IF(ISERROR(VLOOKUP($U$736,'TAR FIN'!$A$1:$O$103,15,0)),0,VLOOKUP($U$736,'TAR FIN'!$A$1:$O$103,15,0))</f>
        <v>391.54</v>
      </c>
      <c r="Y736" s="6"/>
      <c r="Z736" s="6">
        <f ca="1">('TUSD BE'!$AM$57+'TUSD BF'!$AM$57+'TUSD CVA'!$AM$57)*1</f>
        <v>1219.8615646283974</v>
      </c>
      <c r="AA736" s="6">
        <f>('TE BE'!$AB$38+'TE BF'!$AB$38+'TE CVA'!$AB$38)*1</f>
        <v>361.95264704220779</v>
      </c>
      <c r="AB736" s="6">
        <f>$K$736*$V$736</f>
        <v>0</v>
      </c>
      <c r="AC736" s="6">
        <f>$M$736*$W$736</f>
        <v>634.49055999999996</v>
      </c>
      <c r="AD736" s="6">
        <f>$O$736*$X$736</f>
        <v>238.05632</v>
      </c>
      <c r="AE736" s="6">
        <f>$K$736*$Y$736</f>
        <v>0</v>
      </c>
      <c r="AF736" s="6">
        <f ca="1">$M$736*$Z$736</f>
        <v>741.67583129406557</v>
      </c>
      <c r="AG736" s="6">
        <f>$O$736*$AA$736</f>
        <v>220.06720940166232</v>
      </c>
    </row>
    <row r="737" spans="1:33" ht="11.25" customHeight="1" x14ac:dyDescent="0.3">
      <c r="A737" s="4" t="s">
        <v>21</v>
      </c>
      <c r="B737" s="4" t="s">
        <v>37</v>
      </c>
      <c r="C737" s="4" t="s">
        <v>33</v>
      </c>
      <c r="D737" s="4" t="s">
        <v>41</v>
      </c>
      <c r="E737" s="4" t="s">
        <v>25</v>
      </c>
      <c r="F737" s="4" t="s">
        <v>25</v>
      </c>
      <c r="G737" s="4" t="s">
        <v>25</v>
      </c>
      <c r="H737" s="4" t="s">
        <v>34</v>
      </c>
      <c r="I737" s="5">
        <v>44562</v>
      </c>
      <c r="J737" s="6">
        <v>0</v>
      </c>
      <c r="K737" s="6">
        <v>0</v>
      </c>
      <c r="L737" s="6">
        <v>0.73899999999999999</v>
      </c>
      <c r="M737" s="6">
        <v>0.73899999999999999</v>
      </c>
      <c r="N737" s="6">
        <v>0.73899999999999999</v>
      </c>
      <c r="O737" s="6">
        <v>0.73899999999999999</v>
      </c>
      <c r="P737" s="6">
        <v>0</v>
      </c>
      <c r="Q737" s="4" t="s">
        <v>26</v>
      </c>
      <c r="R737" s="4">
        <v>0</v>
      </c>
      <c r="S737" s="6">
        <v>0</v>
      </c>
      <c r="T737" s="6">
        <v>55</v>
      </c>
      <c r="U737" s="6">
        <v>96</v>
      </c>
      <c r="V737" s="6">
        <f>IF(ISERROR(VLOOKUP($S$737,'TAR FIN'!$A$1:$O$103,15,0)),0,VLOOKUP($S$737,'TAR FIN'!$A$1:$O$103,15,0))</f>
        <v>0</v>
      </c>
      <c r="W737" s="6">
        <f>IF(ISERROR(VLOOKUP($T$737,'TAR FIN'!$A$1:$O$103,15,0)),0,VLOOKUP($T$737,'TAR FIN'!$A$1:$O$103,15,0))</f>
        <v>1043.57</v>
      </c>
      <c r="X737" s="6">
        <f>IF(ISERROR(VLOOKUP($U$737,'TAR FIN'!$A$1:$O$103,15,0)),0,VLOOKUP($U$737,'TAR FIN'!$A$1:$O$103,15,0))</f>
        <v>391.54</v>
      </c>
      <c r="Y737" s="6"/>
      <c r="Z737" s="6">
        <f ca="1">('TUSD BE'!$AM$57+'TUSD BF'!$AM$57+'TUSD CVA'!$AM$57)*1</f>
        <v>1219.8615646283974</v>
      </c>
      <c r="AA737" s="6">
        <f>('TE BE'!$AB$38+'TE BF'!$AB$38+'TE CVA'!$AB$38)*1</f>
        <v>361.95264704220779</v>
      </c>
      <c r="AB737" s="6">
        <f>$K$737*$V$737</f>
        <v>0</v>
      </c>
      <c r="AC737" s="6">
        <f>$M$737*$W$737</f>
        <v>771.19822999999997</v>
      </c>
      <c r="AD737" s="6">
        <f>$O$737*$X$737</f>
        <v>289.34806000000003</v>
      </c>
      <c r="AE737" s="6">
        <f>$K$737*$Y$737</f>
        <v>0</v>
      </c>
      <c r="AF737" s="6">
        <f ca="1">$M$737*$Z$737</f>
        <v>901.47769626038576</v>
      </c>
      <c r="AG737" s="6">
        <f>$O$737*$AA$737</f>
        <v>267.48300616419158</v>
      </c>
    </row>
    <row r="738" spans="1:33" ht="11.25" customHeight="1" x14ac:dyDescent="0.3">
      <c r="A738" s="4" t="s">
        <v>21</v>
      </c>
      <c r="B738" s="4" t="s">
        <v>37</v>
      </c>
      <c r="C738" s="4" t="s">
        <v>33</v>
      </c>
      <c r="D738" s="4" t="s">
        <v>41</v>
      </c>
      <c r="E738" s="4" t="s">
        <v>25</v>
      </c>
      <c r="F738" s="4" t="s">
        <v>25</v>
      </c>
      <c r="G738" s="4" t="s">
        <v>25</v>
      </c>
      <c r="H738" s="4" t="s">
        <v>34</v>
      </c>
      <c r="I738" s="5">
        <v>44593</v>
      </c>
      <c r="J738" s="6">
        <v>0</v>
      </c>
      <c r="K738" s="6">
        <v>0</v>
      </c>
      <c r="L738" s="6">
        <v>0.72</v>
      </c>
      <c r="M738" s="6">
        <v>0.72</v>
      </c>
      <c r="N738" s="6">
        <v>0.72</v>
      </c>
      <c r="O738" s="6">
        <v>0.72</v>
      </c>
      <c r="P738" s="6">
        <v>0</v>
      </c>
      <c r="Q738" s="4" t="s">
        <v>26</v>
      </c>
      <c r="R738" s="4">
        <v>0</v>
      </c>
      <c r="S738" s="6">
        <v>0</v>
      </c>
      <c r="T738" s="6">
        <v>55</v>
      </c>
      <c r="U738" s="6">
        <v>96</v>
      </c>
      <c r="V738" s="6">
        <f>IF(ISERROR(VLOOKUP($S$738,'TAR FIN'!$A$1:$O$103,15,0)),0,VLOOKUP($S$738,'TAR FIN'!$A$1:$O$103,15,0))</f>
        <v>0</v>
      </c>
      <c r="W738" s="6">
        <f>IF(ISERROR(VLOOKUP($T$738,'TAR FIN'!$A$1:$O$103,15,0)),0,VLOOKUP($T$738,'TAR FIN'!$A$1:$O$103,15,0))</f>
        <v>1043.57</v>
      </c>
      <c r="X738" s="6">
        <f>IF(ISERROR(VLOOKUP($U$738,'TAR FIN'!$A$1:$O$103,15,0)),0,VLOOKUP($U$738,'TAR FIN'!$A$1:$O$103,15,0))</f>
        <v>391.54</v>
      </c>
      <c r="Y738" s="6"/>
      <c r="Z738" s="6">
        <f ca="1">('TUSD BE'!$AM$57+'TUSD BF'!$AM$57+'TUSD CVA'!$AM$57)*1</f>
        <v>1219.8615646283974</v>
      </c>
      <c r="AA738" s="6">
        <f>('TE BE'!$AB$38+'TE BF'!$AB$38+'TE CVA'!$AB$38)*1</f>
        <v>361.95264704220779</v>
      </c>
      <c r="AB738" s="6">
        <f>$K$738*$V$738</f>
        <v>0</v>
      </c>
      <c r="AC738" s="6">
        <f>$M$738*$W$738</f>
        <v>751.3703999999999</v>
      </c>
      <c r="AD738" s="6">
        <f>$O$738*$X$738</f>
        <v>281.90879999999999</v>
      </c>
      <c r="AE738" s="6">
        <f>$K$738*$Y$738</f>
        <v>0</v>
      </c>
      <c r="AF738" s="6">
        <f ca="1">$M$738*$Z$738</f>
        <v>878.30032653244609</v>
      </c>
      <c r="AG738" s="6">
        <f>$O$738*$AA$738</f>
        <v>260.60590587038962</v>
      </c>
    </row>
    <row r="739" spans="1:33" ht="11.25" customHeight="1" x14ac:dyDescent="0.3">
      <c r="A739" s="4" t="s">
        <v>21</v>
      </c>
      <c r="B739" s="4" t="s">
        <v>37</v>
      </c>
      <c r="C739" s="4" t="s">
        <v>33</v>
      </c>
      <c r="D739" s="4" t="s">
        <v>41</v>
      </c>
      <c r="E739" s="4" t="s">
        <v>25</v>
      </c>
      <c r="F739" s="4" t="s">
        <v>25</v>
      </c>
      <c r="G739" s="4" t="s">
        <v>25</v>
      </c>
      <c r="H739" s="4" t="s">
        <v>34</v>
      </c>
      <c r="I739" s="5">
        <v>44621</v>
      </c>
      <c r="J739" s="6">
        <v>0</v>
      </c>
      <c r="K739" s="6">
        <v>0</v>
      </c>
      <c r="L739" s="6">
        <v>0.59799999999999998</v>
      </c>
      <c r="M739" s="6">
        <v>0.59799999999999998</v>
      </c>
      <c r="N739" s="6">
        <v>0.59799999999999998</v>
      </c>
      <c r="O739" s="6">
        <v>0.59799999999999998</v>
      </c>
      <c r="P739" s="6">
        <v>0</v>
      </c>
      <c r="Q739" s="4" t="s">
        <v>26</v>
      </c>
      <c r="R739" s="4">
        <v>0</v>
      </c>
      <c r="S739" s="6">
        <v>0</v>
      </c>
      <c r="T739" s="6">
        <v>55</v>
      </c>
      <c r="U739" s="6">
        <v>96</v>
      </c>
      <c r="V739" s="6">
        <f>IF(ISERROR(VLOOKUP($S$739,'TAR FIN'!$A$1:$O$103,15,0)),0,VLOOKUP($S$739,'TAR FIN'!$A$1:$O$103,15,0))</f>
        <v>0</v>
      </c>
      <c r="W739" s="6">
        <f>IF(ISERROR(VLOOKUP($T$739,'TAR FIN'!$A$1:$O$103,15,0)),0,VLOOKUP($T$739,'TAR FIN'!$A$1:$O$103,15,0))</f>
        <v>1043.57</v>
      </c>
      <c r="X739" s="6">
        <f>IF(ISERROR(VLOOKUP($U$739,'TAR FIN'!$A$1:$O$103,15,0)),0,VLOOKUP($U$739,'TAR FIN'!$A$1:$O$103,15,0))</f>
        <v>391.54</v>
      </c>
      <c r="Y739" s="6"/>
      <c r="Z739" s="6">
        <f ca="1">('TUSD BE'!$AM$57+'TUSD BF'!$AM$57+'TUSD CVA'!$AM$57)*1</f>
        <v>1219.8615646283974</v>
      </c>
      <c r="AA739" s="6">
        <f>('TE BE'!$AB$38+'TE BF'!$AB$38+'TE CVA'!$AB$38)*1</f>
        <v>361.95264704220779</v>
      </c>
      <c r="AB739" s="6">
        <f>$K$739*$V$739</f>
        <v>0</v>
      </c>
      <c r="AC739" s="6">
        <f>$M$739*$W$739</f>
        <v>624.05485999999996</v>
      </c>
      <c r="AD739" s="6">
        <f>$O$739*$X$739</f>
        <v>234.14091999999999</v>
      </c>
      <c r="AE739" s="6">
        <f>$K$739*$Y$739</f>
        <v>0</v>
      </c>
      <c r="AF739" s="6">
        <f ca="1">$M$739*$Z$739</f>
        <v>729.47721564778169</v>
      </c>
      <c r="AG739" s="6">
        <f>$O$739*$AA$739</f>
        <v>216.44768293124025</v>
      </c>
    </row>
    <row r="740" spans="1:33" ht="11.25" customHeight="1" x14ac:dyDescent="0.3">
      <c r="A740" s="4" t="s">
        <v>21</v>
      </c>
      <c r="B740" s="4" t="s">
        <v>37</v>
      </c>
      <c r="C740" s="4" t="s">
        <v>33</v>
      </c>
      <c r="D740" s="4" t="s">
        <v>41</v>
      </c>
      <c r="E740" s="4" t="s">
        <v>25</v>
      </c>
      <c r="F740" s="4" t="s">
        <v>25</v>
      </c>
      <c r="G740" s="4" t="s">
        <v>25</v>
      </c>
      <c r="H740" s="4" t="s">
        <v>34</v>
      </c>
      <c r="I740" s="5">
        <v>44652</v>
      </c>
      <c r="J740" s="6">
        <v>0</v>
      </c>
      <c r="K740" s="6">
        <v>0</v>
      </c>
      <c r="L740" s="6">
        <v>0.82699999999999996</v>
      </c>
      <c r="M740" s="6">
        <v>0.82699999999999996</v>
      </c>
      <c r="N740" s="6">
        <v>0.82699999999999996</v>
      </c>
      <c r="O740" s="6">
        <v>0.82699999999999996</v>
      </c>
      <c r="P740" s="6">
        <v>0</v>
      </c>
      <c r="Q740" s="4" t="s">
        <v>26</v>
      </c>
      <c r="R740" s="4">
        <v>0</v>
      </c>
      <c r="S740" s="6">
        <v>0</v>
      </c>
      <c r="T740" s="6">
        <v>55</v>
      </c>
      <c r="U740" s="6">
        <v>96</v>
      </c>
      <c r="V740" s="6">
        <f>IF(ISERROR(VLOOKUP($S$740,'TAR FIN'!$A$1:$O$103,15,0)),0,VLOOKUP($S$740,'TAR FIN'!$A$1:$O$103,15,0))</f>
        <v>0</v>
      </c>
      <c r="W740" s="6">
        <f>IF(ISERROR(VLOOKUP($T$740,'TAR FIN'!$A$1:$O$103,15,0)),0,VLOOKUP($T$740,'TAR FIN'!$A$1:$O$103,15,0))</f>
        <v>1043.57</v>
      </c>
      <c r="X740" s="6">
        <f>IF(ISERROR(VLOOKUP($U$740,'TAR FIN'!$A$1:$O$103,15,0)),0,VLOOKUP($U$740,'TAR FIN'!$A$1:$O$103,15,0))</f>
        <v>391.54</v>
      </c>
      <c r="Y740" s="6"/>
      <c r="Z740" s="6">
        <f ca="1">('TUSD BE'!$AM$57+'TUSD BF'!$AM$57+'TUSD CVA'!$AM$57)*1</f>
        <v>1219.8615646283974</v>
      </c>
      <c r="AA740" s="6">
        <f>('TE BE'!$AB$38+'TE BF'!$AB$38+'TE CVA'!$AB$38)*1</f>
        <v>361.95264704220779</v>
      </c>
      <c r="AB740" s="6">
        <f>$K$740*$V$740</f>
        <v>0</v>
      </c>
      <c r="AC740" s="6">
        <f>$M$740*$W$740</f>
        <v>863.03238999999985</v>
      </c>
      <c r="AD740" s="6">
        <f>$O$740*$X$740</f>
        <v>323.80358000000001</v>
      </c>
      <c r="AE740" s="6">
        <f>$K$740*$Y$740</f>
        <v>0</v>
      </c>
      <c r="AF740" s="6">
        <f ca="1">$M$740*$Z$740</f>
        <v>1008.8255139476846</v>
      </c>
      <c r="AG740" s="6">
        <f>$O$740*$AA$740</f>
        <v>299.33483910390584</v>
      </c>
    </row>
    <row r="741" spans="1:33" ht="11.25" customHeight="1" x14ac:dyDescent="0.3">
      <c r="A741" s="4" t="s">
        <v>21</v>
      </c>
      <c r="B741" s="4" t="s">
        <v>37</v>
      </c>
      <c r="C741" s="4" t="s">
        <v>33</v>
      </c>
      <c r="D741" s="4" t="s">
        <v>41</v>
      </c>
      <c r="E741" s="4" t="s">
        <v>25</v>
      </c>
      <c r="F741" s="4" t="s">
        <v>25</v>
      </c>
      <c r="G741" s="4" t="s">
        <v>25</v>
      </c>
      <c r="H741" s="4" t="s">
        <v>34</v>
      </c>
      <c r="I741" s="5">
        <v>44682</v>
      </c>
      <c r="J741" s="6">
        <v>0</v>
      </c>
      <c r="K741" s="6">
        <v>0</v>
      </c>
      <c r="L741" s="6">
        <v>0.752</v>
      </c>
      <c r="M741" s="6">
        <v>0.752</v>
      </c>
      <c r="N741" s="6">
        <v>0.752</v>
      </c>
      <c r="O741" s="6">
        <v>0.752</v>
      </c>
      <c r="P741" s="6">
        <v>0</v>
      </c>
      <c r="Q741" s="4" t="s">
        <v>26</v>
      </c>
      <c r="R741" s="4">
        <v>0</v>
      </c>
      <c r="S741" s="6">
        <v>0</v>
      </c>
      <c r="T741" s="6">
        <v>55</v>
      </c>
      <c r="U741" s="6">
        <v>96</v>
      </c>
      <c r="V741" s="6">
        <f>IF(ISERROR(VLOOKUP($S$741,'TAR FIN'!$A$1:$O$103,15,0)),0,VLOOKUP($S$741,'TAR FIN'!$A$1:$O$103,15,0))</f>
        <v>0</v>
      </c>
      <c r="W741" s="6">
        <f>IF(ISERROR(VLOOKUP($T$741,'TAR FIN'!$A$1:$O$103,15,0)),0,VLOOKUP($T$741,'TAR FIN'!$A$1:$O$103,15,0))</f>
        <v>1043.57</v>
      </c>
      <c r="X741" s="6">
        <f>IF(ISERROR(VLOOKUP($U$741,'TAR FIN'!$A$1:$O$103,15,0)),0,VLOOKUP($U$741,'TAR FIN'!$A$1:$O$103,15,0))</f>
        <v>391.54</v>
      </c>
      <c r="Y741" s="6"/>
      <c r="Z741" s="6">
        <f ca="1">('TUSD BE'!$AM$57+'TUSD BF'!$AM$57+'TUSD CVA'!$AM$57)*1</f>
        <v>1219.8615646283974</v>
      </c>
      <c r="AA741" s="6">
        <f>('TE BE'!$AB$38+'TE BF'!$AB$38+'TE CVA'!$AB$38)*1</f>
        <v>361.95264704220779</v>
      </c>
      <c r="AB741" s="6">
        <f>$K$741*$V$741</f>
        <v>0</v>
      </c>
      <c r="AC741" s="6">
        <f>$M$741*$W$741</f>
        <v>784.76463999999999</v>
      </c>
      <c r="AD741" s="6">
        <f>$O$741*$X$741</f>
        <v>294.43808000000001</v>
      </c>
      <c r="AE741" s="6">
        <f>$K$741*$Y$741</f>
        <v>0</v>
      </c>
      <c r="AF741" s="6">
        <f ca="1">$M$741*$Z$741</f>
        <v>917.33589660055486</v>
      </c>
      <c r="AG741" s="6">
        <f>$O$741*$AA$741</f>
        <v>272.18839057574024</v>
      </c>
    </row>
    <row r="742" spans="1:33" ht="11.25" customHeight="1" x14ac:dyDescent="0.3">
      <c r="A742" s="4" t="s">
        <v>21</v>
      </c>
      <c r="B742" s="4" t="s">
        <v>37</v>
      </c>
      <c r="C742" s="4" t="s">
        <v>33</v>
      </c>
      <c r="D742" s="4" t="s">
        <v>41</v>
      </c>
      <c r="E742" s="4" t="s">
        <v>25</v>
      </c>
      <c r="F742" s="4" t="s">
        <v>25</v>
      </c>
      <c r="G742" s="4" t="s">
        <v>25</v>
      </c>
      <c r="H742" s="4" t="s">
        <v>34</v>
      </c>
      <c r="I742" s="5">
        <v>44713</v>
      </c>
      <c r="J742" s="6">
        <v>0</v>
      </c>
      <c r="K742" s="6">
        <v>0</v>
      </c>
      <c r="L742" s="6">
        <v>0.59899999999999998</v>
      </c>
      <c r="M742" s="6">
        <v>0.59899999999999998</v>
      </c>
      <c r="N742" s="6">
        <v>0.59899999999999998</v>
      </c>
      <c r="O742" s="6">
        <v>0.59899999999999998</v>
      </c>
      <c r="P742" s="6">
        <v>0</v>
      </c>
      <c r="Q742" s="4" t="s">
        <v>26</v>
      </c>
      <c r="R742" s="4">
        <v>0</v>
      </c>
      <c r="S742" s="6">
        <v>0</v>
      </c>
      <c r="T742" s="6">
        <v>55</v>
      </c>
      <c r="U742" s="6">
        <v>96</v>
      </c>
      <c r="V742" s="6">
        <f>IF(ISERROR(VLOOKUP($S$742,'TAR FIN'!$A$1:$O$103,15,0)),0,VLOOKUP($S$742,'TAR FIN'!$A$1:$O$103,15,0))</f>
        <v>0</v>
      </c>
      <c r="W742" s="6">
        <f>IF(ISERROR(VLOOKUP($T$742,'TAR FIN'!$A$1:$O$103,15,0)),0,VLOOKUP($T$742,'TAR FIN'!$A$1:$O$103,15,0))</f>
        <v>1043.57</v>
      </c>
      <c r="X742" s="6">
        <f>IF(ISERROR(VLOOKUP($U$742,'TAR FIN'!$A$1:$O$103,15,0)),0,VLOOKUP($U$742,'TAR FIN'!$A$1:$O$103,15,0))</f>
        <v>391.54</v>
      </c>
      <c r="Y742" s="6"/>
      <c r="Z742" s="6">
        <f ca="1">('TUSD BE'!$AM$57+'TUSD BF'!$AM$57+'TUSD CVA'!$AM$57)*1</f>
        <v>1219.8615646283974</v>
      </c>
      <c r="AA742" s="6">
        <f>('TE BE'!$AB$38+'TE BF'!$AB$38+'TE CVA'!$AB$38)*1</f>
        <v>361.95264704220779</v>
      </c>
      <c r="AB742" s="6">
        <f>$K$742*$V$742</f>
        <v>0</v>
      </c>
      <c r="AC742" s="6">
        <f>$M$742*$W$742</f>
        <v>625.09842999999989</v>
      </c>
      <c r="AD742" s="6">
        <f>$O$742*$X$742</f>
        <v>234.53246000000001</v>
      </c>
      <c r="AE742" s="6">
        <f>$K$742*$Y$742</f>
        <v>0</v>
      </c>
      <c r="AF742" s="6">
        <f ca="1">$M$742*$Z$742</f>
        <v>730.69707721241002</v>
      </c>
      <c r="AG742" s="6">
        <f>$O$742*$AA$742</f>
        <v>216.80963557828247</v>
      </c>
    </row>
    <row r="743" spans="1:33" ht="11.25" customHeight="1" x14ac:dyDescent="0.3">
      <c r="A743" s="4" t="s">
        <v>28</v>
      </c>
      <c r="B743" s="4" t="s">
        <v>37</v>
      </c>
      <c r="C743" s="4" t="s">
        <v>33</v>
      </c>
      <c r="D743" s="4" t="s">
        <v>41</v>
      </c>
      <c r="E743" s="4" t="s">
        <v>25</v>
      </c>
      <c r="F743" s="4" t="s">
        <v>25</v>
      </c>
      <c r="G743" s="4" t="s">
        <v>25</v>
      </c>
      <c r="H743" s="4" t="s">
        <v>34</v>
      </c>
      <c r="I743" s="5">
        <v>44713</v>
      </c>
      <c r="J743" s="6">
        <v>0</v>
      </c>
      <c r="K743" s="6">
        <v>0</v>
      </c>
      <c r="L743" s="6">
        <v>6.4000000000000001E-2</v>
      </c>
      <c r="M743" s="6">
        <v>6.4000000000000001E-2</v>
      </c>
      <c r="N743" s="6">
        <v>6.4000000000000001E-2</v>
      </c>
      <c r="O743" s="6">
        <v>6.4000000000000001E-2</v>
      </c>
      <c r="P743" s="6">
        <v>0</v>
      </c>
      <c r="Q743" s="4" t="s">
        <v>26</v>
      </c>
      <c r="R743" s="4">
        <v>0</v>
      </c>
      <c r="S743" s="6">
        <v>0</v>
      </c>
      <c r="T743" s="6">
        <v>55</v>
      </c>
      <c r="U743" s="6">
        <v>96</v>
      </c>
      <c r="V743" s="6">
        <f>IF(ISERROR(VLOOKUP($S$743,'TAR FIN'!$A$1:$O$103,15,0)),0,VLOOKUP($S$743,'TAR FIN'!$A$1:$O$103,15,0))</f>
        <v>0</v>
      </c>
      <c r="W743" s="6">
        <f>IF(ISERROR(VLOOKUP($T$743,'TAR FIN'!$A$1:$O$103,15,0)),0,VLOOKUP($T$743,'TAR FIN'!$A$1:$O$103,15,0))</f>
        <v>1043.57</v>
      </c>
      <c r="X743" s="6">
        <f>IF(ISERROR(VLOOKUP($U$743,'TAR FIN'!$A$1:$O$103,15,0)),0,VLOOKUP($U$743,'TAR FIN'!$A$1:$O$103,15,0))</f>
        <v>391.54</v>
      </c>
      <c r="Y743" s="6"/>
      <c r="Z743" s="6">
        <f ca="1">('TUSD BE'!$AM$57+'TUSD BF'!$AM$57+'TUSD CVA'!$AM$57)*1</f>
        <v>1219.8615646283974</v>
      </c>
      <c r="AA743" s="6">
        <f>('TE BE'!$AB$38+'TE BF'!$AB$38+'TE CVA'!$AB$38)*1</f>
        <v>361.95264704220779</v>
      </c>
      <c r="AB743" s="6">
        <f>$K$743*$V$743</f>
        <v>0</v>
      </c>
      <c r="AC743" s="6">
        <f>$M$743*$W$743</f>
        <v>66.788479999999993</v>
      </c>
      <c r="AD743" s="6">
        <f>$O$743*$X$743</f>
        <v>25.058560000000003</v>
      </c>
      <c r="AE743" s="6">
        <f>$K$743*$Y$743</f>
        <v>0</v>
      </c>
      <c r="AF743" s="6">
        <f ca="1">$M$743*$Z$743</f>
        <v>78.071140136217437</v>
      </c>
      <c r="AG743" s="6">
        <f>$O$743*$AA$743</f>
        <v>23.1649694107013</v>
      </c>
    </row>
    <row r="744" spans="1:33" ht="11.25" customHeight="1" x14ac:dyDescent="0.3">
      <c r="A744" s="4" t="s">
        <v>21</v>
      </c>
      <c r="B744" s="4" t="s">
        <v>37</v>
      </c>
      <c r="C744" s="4" t="s">
        <v>33</v>
      </c>
      <c r="D744" s="4" t="s">
        <v>41</v>
      </c>
      <c r="E744" s="4" t="s">
        <v>25</v>
      </c>
      <c r="F744" s="4" t="s">
        <v>25</v>
      </c>
      <c r="G744" s="4" t="s">
        <v>25</v>
      </c>
      <c r="H744" s="4" t="s">
        <v>34</v>
      </c>
      <c r="I744" s="5">
        <v>44743</v>
      </c>
      <c r="J744" s="6">
        <v>0</v>
      </c>
      <c r="K744" s="6">
        <v>0</v>
      </c>
      <c r="L744" s="6">
        <v>0.56699999999999995</v>
      </c>
      <c r="M744" s="6">
        <v>0.56699999999999995</v>
      </c>
      <c r="N744" s="6">
        <v>0.56699999999999995</v>
      </c>
      <c r="O744" s="6">
        <v>0.56699999999999995</v>
      </c>
      <c r="P744" s="6">
        <v>0</v>
      </c>
      <c r="Q744" s="4" t="s">
        <v>26</v>
      </c>
      <c r="R744" s="4">
        <v>0</v>
      </c>
      <c r="S744" s="6">
        <v>0</v>
      </c>
      <c r="T744" s="6">
        <v>55</v>
      </c>
      <c r="U744" s="6">
        <v>96</v>
      </c>
      <c r="V744" s="6">
        <f>IF(ISERROR(VLOOKUP($S$744,'TAR FIN'!$A$1:$O$103,15,0)),0,VLOOKUP($S$744,'TAR FIN'!$A$1:$O$103,15,0))</f>
        <v>0</v>
      </c>
      <c r="W744" s="6">
        <f>IF(ISERROR(VLOOKUP($T$744,'TAR FIN'!$A$1:$O$103,15,0)),0,VLOOKUP($T$744,'TAR FIN'!$A$1:$O$103,15,0))</f>
        <v>1043.57</v>
      </c>
      <c r="X744" s="6">
        <f>IF(ISERROR(VLOOKUP($U$744,'TAR FIN'!$A$1:$O$103,15,0)),0,VLOOKUP($U$744,'TAR FIN'!$A$1:$O$103,15,0))</f>
        <v>391.54</v>
      </c>
      <c r="Y744" s="6"/>
      <c r="Z744" s="6">
        <f ca="1">('TUSD BE'!$AM$57+'TUSD BF'!$AM$57+'TUSD CVA'!$AM$57)*1</f>
        <v>1219.8615646283974</v>
      </c>
      <c r="AA744" s="6">
        <f>('TE BE'!$AB$38+'TE BF'!$AB$38+'TE CVA'!$AB$38)*1</f>
        <v>361.95264704220779</v>
      </c>
      <c r="AB744" s="6">
        <f>$K$744*$V$744</f>
        <v>0</v>
      </c>
      <c r="AC744" s="6">
        <f>$M$744*$W$744</f>
        <v>591.70418999999993</v>
      </c>
      <c r="AD744" s="6">
        <f>$O$744*$X$744</f>
        <v>222.00317999999999</v>
      </c>
      <c r="AE744" s="6">
        <f>$K$744*$Y$744</f>
        <v>0</v>
      </c>
      <c r="AF744" s="6">
        <f ca="1">$M$744*$Z$744</f>
        <v>691.66150714430125</v>
      </c>
      <c r="AG744" s="6">
        <f>$O$744*$AA$744</f>
        <v>205.22715087293179</v>
      </c>
    </row>
    <row r="745" spans="1:33" ht="11.25" customHeight="1" x14ac:dyDescent="0.3">
      <c r="A745" s="4" t="s">
        <v>28</v>
      </c>
      <c r="B745" s="4" t="s">
        <v>37</v>
      </c>
      <c r="C745" s="4" t="s">
        <v>33</v>
      </c>
      <c r="D745" s="4" t="s">
        <v>41</v>
      </c>
      <c r="E745" s="4" t="s">
        <v>25</v>
      </c>
      <c r="F745" s="4" t="s">
        <v>25</v>
      </c>
      <c r="G745" s="4" t="s">
        <v>25</v>
      </c>
      <c r="H745" s="4" t="s">
        <v>34</v>
      </c>
      <c r="I745" s="5">
        <v>44743</v>
      </c>
      <c r="J745" s="6">
        <v>0</v>
      </c>
      <c r="K745" s="6">
        <v>0</v>
      </c>
      <c r="L745" s="6">
        <v>3.2000000000000001E-2</v>
      </c>
      <c r="M745" s="6">
        <v>3.2000000000000001E-2</v>
      </c>
      <c r="N745" s="6">
        <v>3.2000000000000001E-2</v>
      </c>
      <c r="O745" s="6">
        <v>3.2000000000000001E-2</v>
      </c>
      <c r="P745" s="6">
        <v>0</v>
      </c>
      <c r="Q745" s="4" t="s">
        <v>26</v>
      </c>
      <c r="R745" s="4">
        <v>0</v>
      </c>
      <c r="S745" s="6">
        <v>0</v>
      </c>
      <c r="T745" s="6">
        <v>55</v>
      </c>
      <c r="U745" s="6">
        <v>96</v>
      </c>
      <c r="V745" s="6">
        <f>IF(ISERROR(VLOOKUP($S$745,'TAR FIN'!$A$1:$O$103,15,0)),0,VLOOKUP($S$745,'TAR FIN'!$A$1:$O$103,15,0))</f>
        <v>0</v>
      </c>
      <c r="W745" s="6">
        <f>IF(ISERROR(VLOOKUP($T$745,'TAR FIN'!$A$1:$O$103,15,0)),0,VLOOKUP($T$745,'TAR FIN'!$A$1:$O$103,15,0))</f>
        <v>1043.57</v>
      </c>
      <c r="X745" s="6">
        <f>IF(ISERROR(VLOOKUP($U$745,'TAR FIN'!$A$1:$O$103,15,0)),0,VLOOKUP($U$745,'TAR FIN'!$A$1:$O$103,15,0))</f>
        <v>391.54</v>
      </c>
      <c r="Y745" s="6"/>
      <c r="Z745" s="6">
        <f ca="1">('TUSD BE'!$AM$57+'TUSD BF'!$AM$57+'TUSD CVA'!$AM$57)*1</f>
        <v>1219.8615646283974</v>
      </c>
      <c r="AA745" s="6">
        <f>('TE BE'!$AB$38+'TE BF'!$AB$38+'TE CVA'!$AB$38)*1</f>
        <v>361.95264704220779</v>
      </c>
      <c r="AB745" s="6">
        <f>$K$745*$V$745</f>
        <v>0</v>
      </c>
      <c r="AC745" s="6">
        <f>$M$745*$W$745</f>
        <v>33.394239999999996</v>
      </c>
      <c r="AD745" s="6">
        <f>$O$745*$X$745</f>
        <v>12.529280000000002</v>
      </c>
      <c r="AE745" s="6">
        <f>$K$745*$Y$745</f>
        <v>0</v>
      </c>
      <c r="AF745" s="6">
        <f ca="1">$M$745*$Z$745</f>
        <v>39.035570068108719</v>
      </c>
      <c r="AG745" s="6">
        <f>$O$745*$AA$745</f>
        <v>11.58248470535065</v>
      </c>
    </row>
    <row r="746" spans="1:33" ht="11.25" customHeight="1" x14ac:dyDescent="0.3">
      <c r="A746" s="4" t="s">
        <v>21</v>
      </c>
      <c r="B746" s="4" t="s">
        <v>37</v>
      </c>
      <c r="C746" s="4" t="s">
        <v>33</v>
      </c>
      <c r="D746" s="4" t="s">
        <v>41</v>
      </c>
      <c r="E746" s="4" t="s">
        <v>25</v>
      </c>
      <c r="F746" s="4" t="s">
        <v>25</v>
      </c>
      <c r="G746" s="4" t="s">
        <v>25</v>
      </c>
      <c r="H746" s="4" t="s">
        <v>34</v>
      </c>
      <c r="I746" s="5">
        <v>44774</v>
      </c>
      <c r="J746" s="6">
        <v>0</v>
      </c>
      <c r="K746" s="6">
        <v>0</v>
      </c>
      <c r="L746" s="6">
        <v>0.52400000000000002</v>
      </c>
      <c r="M746" s="6">
        <v>0.52400000000000002</v>
      </c>
      <c r="N746" s="6">
        <v>0.52400000000000002</v>
      </c>
      <c r="O746" s="6">
        <v>0.52400000000000002</v>
      </c>
      <c r="P746" s="6">
        <v>0</v>
      </c>
      <c r="Q746" s="4" t="s">
        <v>26</v>
      </c>
      <c r="R746" s="4">
        <v>0</v>
      </c>
      <c r="S746" s="6">
        <v>0</v>
      </c>
      <c r="T746" s="6">
        <v>55</v>
      </c>
      <c r="U746" s="6">
        <v>96</v>
      </c>
      <c r="V746" s="6">
        <f>IF(ISERROR(VLOOKUP($S$746,'TAR FIN'!$A$1:$O$103,15,0)),0,VLOOKUP($S$746,'TAR FIN'!$A$1:$O$103,15,0))</f>
        <v>0</v>
      </c>
      <c r="W746" s="6">
        <f>IF(ISERROR(VLOOKUP($T$746,'TAR FIN'!$A$1:$O$103,15,0)),0,VLOOKUP($T$746,'TAR FIN'!$A$1:$O$103,15,0))</f>
        <v>1043.57</v>
      </c>
      <c r="X746" s="6">
        <f>IF(ISERROR(VLOOKUP($U$746,'TAR FIN'!$A$1:$O$103,15,0)),0,VLOOKUP($U$746,'TAR FIN'!$A$1:$O$103,15,0))</f>
        <v>391.54</v>
      </c>
      <c r="Y746" s="6"/>
      <c r="Z746" s="6">
        <f ca="1">('TUSD BE'!$AM$57+'TUSD BF'!$AM$57+'TUSD CVA'!$AM$57)*1</f>
        <v>1219.8615646283974</v>
      </c>
      <c r="AA746" s="6">
        <f>('TE BE'!$AB$38+'TE BF'!$AB$38+'TE CVA'!$AB$38)*1</f>
        <v>361.95264704220779</v>
      </c>
      <c r="AB746" s="6">
        <f>$K$746*$V$746</f>
        <v>0</v>
      </c>
      <c r="AC746" s="6">
        <f>$M$746*$W$746</f>
        <v>546.83068000000003</v>
      </c>
      <c r="AD746" s="6">
        <f>$O$746*$X$746</f>
        <v>205.16696000000002</v>
      </c>
      <c r="AE746" s="6">
        <f>$K$746*$Y$746</f>
        <v>0</v>
      </c>
      <c r="AF746" s="6">
        <f ca="1">$M$746*$Z$746</f>
        <v>639.20745986528027</v>
      </c>
      <c r="AG746" s="6">
        <f>$O$746*$AA$746</f>
        <v>189.66318705011687</v>
      </c>
    </row>
    <row r="747" spans="1:33" ht="11.25" customHeight="1" x14ac:dyDescent="0.3">
      <c r="A747" s="4" t="s">
        <v>21</v>
      </c>
      <c r="B747" s="4" t="s">
        <v>37</v>
      </c>
      <c r="C747" s="4" t="s">
        <v>33</v>
      </c>
      <c r="D747" s="4" t="s">
        <v>41</v>
      </c>
      <c r="E747" s="4" t="s">
        <v>25</v>
      </c>
      <c r="F747" s="4" t="s">
        <v>25</v>
      </c>
      <c r="G747" s="4" t="s">
        <v>25</v>
      </c>
      <c r="H747" s="4" t="s">
        <v>34</v>
      </c>
      <c r="I747" s="5">
        <v>44805</v>
      </c>
      <c r="J747" s="6">
        <v>0</v>
      </c>
      <c r="K747" s="6">
        <v>0</v>
      </c>
      <c r="L747" s="6">
        <v>0.65200000000000002</v>
      </c>
      <c r="M747" s="6">
        <v>0.65200000000000002</v>
      </c>
      <c r="N747" s="6">
        <v>0.65200000000000002</v>
      </c>
      <c r="O747" s="6">
        <v>0.65200000000000002</v>
      </c>
      <c r="P747" s="6">
        <v>0</v>
      </c>
      <c r="Q747" s="4" t="s">
        <v>26</v>
      </c>
      <c r="R747" s="4">
        <v>0</v>
      </c>
      <c r="S747" s="6">
        <v>0</v>
      </c>
      <c r="T747" s="6">
        <v>55</v>
      </c>
      <c r="U747" s="6">
        <v>96</v>
      </c>
      <c r="V747" s="6">
        <f>IF(ISERROR(VLOOKUP($S$747,'TAR FIN'!$A$1:$O$103,15,0)),0,VLOOKUP($S$747,'TAR FIN'!$A$1:$O$103,15,0))</f>
        <v>0</v>
      </c>
      <c r="W747" s="6">
        <f>IF(ISERROR(VLOOKUP($T$747,'TAR FIN'!$A$1:$O$103,15,0)),0,VLOOKUP($T$747,'TAR FIN'!$A$1:$O$103,15,0))</f>
        <v>1043.57</v>
      </c>
      <c r="X747" s="6">
        <f>IF(ISERROR(VLOOKUP($U$747,'TAR FIN'!$A$1:$O$103,15,0)),0,VLOOKUP($U$747,'TAR FIN'!$A$1:$O$103,15,0))</f>
        <v>391.54</v>
      </c>
      <c r="Y747" s="6"/>
      <c r="Z747" s="6">
        <f ca="1">('TUSD BE'!$AM$57+'TUSD BF'!$AM$57+'TUSD CVA'!$AM$57)*1</f>
        <v>1219.8615646283974</v>
      </c>
      <c r="AA747" s="6">
        <f>('TE BE'!$AB$38+'TE BF'!$AB$38+'TE CVA'!$AB$38)*1</f>
        <v>361.95264704220779</v>
      </c>
      <c r="AB747" s="6">
        <f>$K$747*$V$747</f>
        <v>0</v>
      </c>
      <c r="AC747" s="6">
        <f>$M$747*$W$747</f>
        <v>680.40764000000001</v>
      </c>
      <c r="AD747" s="6">
        <f>$O$747*$X$747</f>
        <v>255.28408000000002</v>
      </c>
      <c r="AE747" s="6">
        <f>$K$747*$Y$747</f>
        <v>0</v>
      </c>
      <c r="AF747" s="6">
        <f ca="1">$M$747*$Z$747</f>
        <v>795.34974013771512</v>
      </c>
      <c r="AG747" s="6">
        <f>$O$747*$AA$747</f>
        <v>235.99312587151948</v>
      </c>
    </row>
    <row r="748" spans="1:33" ht="11.25" customHeight="1" x14ac:dyDescent="0.3">
      <c r="A748" s="4" t="s">
        <v>57</v>
      </c>
      <c r="B748" s="4" t="s">
        <v>37</v>
      </c>
      <c r="C748" s="4" t="s">
        <v>33</v>
      </c>
      <c r="D748" s="4" t="s">
        <v>41</v>
      </c>
      <c r="E748" s="4" t="s">
        <v>25</v>
      </c>
      <c r="F748" s="4" t="s">
        <v>25</v>
      </c>
      <c r="G748" s="4" t="s">
        <v>25</v>
      </c>
      <c r="H748" s="4" t="s">
        <v>34</v>
      </c>
      <c r="I748" s="5">
        <v>44835</v>
      </c>
      <c r="J748" s="6">
        <v>0</v>
      </c>
      <c r="K748" s="6">
        <v>0</v>
      </c>
      <c r="L748" s="6">
        <v>0.65200000000000002</v>
      </c>
      <c r="M748" s="6">
        <v>0.65200000000000002</v>
      </c>
      <c r="N748" s="6">
        <v>0.65200000000000002</v>
      </c>
      <c r="O748" s="6">
        <v>0.65200000000000002</v>
      </c>
      <c r="P748" s="6">
        <v>0</v>
      </c>
      <c r="Q748" s="4" t="s">
        <v>26</v>
      </c>
      <c r="R748" s="4">
        <v>0</v>
      </c>
      <c r="S748" s="6">
        <v>0</v>
      </c>
      <c r="T748" s="6">
        <v>55</v>
      </c>
      <c r="U748" s="6">
        <v>96</v>
      </c>
      <c r="V748" s="6">
        <f>IF(ISERROR(VLOOKUP($S$748,'TAR FIN'!$A$1:$O$103,15,0)),0,VLOOKUP($S$748,'TAR FIN'!$A$1:$O$103,15,0))</f>
        <v>0</v>
      </c>
      <c r="W748" s="6">
        <f>IF(ISERROR(VLOOKUP($T$748,'TAR FIN'!$A$1:$O$103,15,0)),0,VLOOKUP($T$748,'TAR FIN'!$A$1:$O$103,15,0))</f>
        <v>1043.57</v>
      </c>
      <c r="X748" s="6">
        <f>IF(ISERROR(VLOOKUP($U$748,'TAR FIN'!$A$1:$O$103,15,0)),0,VLOOKUP($U$748,'TAR FIN'!$A$1:$O$103,15,0))</f>
        <v>391.54</v>
      </c>
      <c r="Y748" s="6"/>
      <c r="Z748" s="6">
        <f ca="1">('TUSD BE'!$AM$57+'TUSD BF'!$AM$57+'TUSD CVA'!$AM$57)*1</f>
        <v>1219.8615646283974</v>
      </c>
      <c r="AA748" s="6">
        <f>('TE BE'!$AB$38+'TE BF'!$AB$38+'TE CVA'!$AB$38)*1</f>
        <v>361.95264704220779</v>
      </c>
      <c r="AB748" s="6">
        <f>$K$748*$V$748</f>
        <v>0</v>
      </c>
      <c r="AC748" s="6">
        <f>$M$748*$W$748</f>
        <v>680.40764000000001</v>
      </c>
      <c r="AD748" s="6">
        <f>$O$748*$X$748</f>
        <v>255.28408000000002</v>
      </c>
      <c r="AE748" s="6">
        <f>$K$748*$Y$748</f>
        <v>0</v>
      </c>
      <c r="AF748" s="6">
        <f ca="1">$M$748*$Z$748</f>
        <v>795.34974013771512</v>
      </c>
      <c r="AG748" s="6">
        <f>$O$748*$AA$748</f>
        <v>235.99312587151948</v>
      </c>
    </row>
    <row r="749" spans="1:33" ht="11.25" customHeight="1" x14ac:dyDescent="0.3">
      <c r="A749" s="4" t="s">
        <v>21</v>
      </c>
      <c r="B749" s="4" t="s">
        <v>37</v>
      </c>
      <c r="C749" s="4" t="s">
        <v>33</v>
      </c>
      <c r="D749" s="4" t="s">
        <v>46</v>
      </c>
      <c r="E749" s="4" t="s">
        <v>25</v>
      </c>
      <c r="F749" s="4" t="s">
        <v>25</v>
      </c>
      <c r="G749" s="4" t="s">
        <v>25</v>
      </c>
      <c r="H749" s="4" t="s">
        <v>35</v>
      </c>
      <c r="I749" s="5">
        <v>44501</v>
      </c>
      <c r="J749" s="6">
        <v>0</v>
      </c>
      <c r="K749" s="6">
        <v>0</v>
      </c>
      <c r="L749" s="6">
        <v>6.8019999999999996</v>
      </c>
      <c r="M749" s="6">
        <v>6.8019999999999996</v>
      </c>
      <c r="N749" s="6">
        <v>6.8019999999999996</v>
      </c>
      <c r="O749" s="6">
        <v>6.8019999999999996</v>
      </c>
      <c r="P749" s="6">
        <v>0</v>
      </c>
      <c r="Q749" s="4" t="s">
        <v>26</v>
      </c>
      <c r="R749" s="4">
        <v>0</v>
      </c>
      <c r="S749" s="6">
        <v>0</v>
      </c>
      <c r="T749" s="6">
        <v>57</v>
      </c>
      <c r="U749" s="6">
        <v>98</v>
      </c>
      <c r="V749" s="6">
        <f>IF(ISERROR(VLOOKUP($S$749,'TAR FIN'!$A$1:$O$103,15,0)),0,VLOOKUP($S$749,'TAR FIN'!$A$1:$O$103,15,0))</f>
        <v>0</v>
      </c>
      <c r="W749" s="6">
        <f>IF(ISERROR(VLOOKUP($T$749,'TAR FIN'!$A$1:$O$103,15,0)),0,VLOOKUP($T$749,'TAR FIN'!$A$1:$O$103,15,0))</f>
        <v>295.61</v>
      </c>
      <c r="X749" s="6">
        <f>IF(ISERROR(VLOOKUP($U$749,'TAR FIN'!$A$1:$O$103,15,0)),0,VLOOKUP($U$749,'TAR FIN'!$A$1:$O$103,15,0))</f>
        <v>242.77</v>
      </c>
      <c r="Y749" s="6"/>
      <c r="Z749" s="6">
        <f ca="1">('TUSD BE'!$AM$59+'TUSD BF'!$AM$59+'TUSD CVA'!$AM$59)*1</f>
        <v>388.71379858758462</v>
      </c>
      <c r="AA749" s="6">
        <f>('TE BE'!$AB$40+'TE BF'!$AB$40+'TE CVA'!$AB$40)*1</f>
        <v>222.39386487986414</v>
      </c>
      <c r="AB749" s="6">
        <f>$K$749*$V$749</f>
        <v>0</v>
      </c>
      <c r="AC749" s="6">
        <f>$M$749*$W$749</f>
        <v>2010.7392199999999</v>
      </c>
      <c r="AD749" s="6">
        <f>$O$749*$X$749</f>
        <v>1651.3215399999999</v>
      </c>
      <c r="AE749" s="6">
        <f>$K$749*$Y$749</f>
        <v>0</v>
      </c>
      <c r="AF749" s="6">
        <f ca="1">$M$749*$Z$749</f>
        <v>2644.0312579927504</v>
      </c>
      <c r="AG749" s="6">
        <f>$O$749*$AA$749</f>
        <v>1512.7230689128357</v>
      </c>
    </row>
    <row r="750" spans="1:33" ht="11.25" customHeight="1" x14ac:dyDescent="0.3">
      <c r="A750" s="4" t="s">
        <v>21</v>
      </c>
      <c r="B750" s="4" t="s">
        <v>37</v>
      </c>
      <c r="C750" s="4" t="s">
        <v>33</v>
      </c>
      <c r="D750" s="4" t="s">
        <v>46</v>
      </c>
      <c r="E750" s="4" t="s">
        <v>25</v>
      </c>
      <c r="F750" s="4" t="s">
        <v>25</v>
      </c>
      <c r="G750" s="4" t="s">
        <v>25</v>
      </c>
      <c r="H750" s="4" t="s">
        <v>35</v>
      </c>
      <c r="I750" s="5">
        <v>44531</v>
      </c>
      <c r="J750" s="6">
        <v>0</v>
      </c>
      <c r="K750" s="6">
        <v>0</v>
      </c>
      <c r="L750" s="6">
        <v>6.032</v>
      </c>
      <c r="M750" s="6">
        <v>6.032</v>
      </c>
      <c r="N750" s="6">
        <v>6.032</v>
      </c>
      <c r="O750" s="6">
        <v>6.032</v>
      </c>
      <c r="P750" s="6">
        <v>0</v>
      </c>
      <c r="Q750" s="4" t="s">
        <v>26</v>
      </c>
      <c r="R750" s="4">
        <v>0</v>
      </c>
      <c r="S750" s="6">
        <v>0</v>
      </c>
      <c r="T750" s="6">
        <v>57</v>
      </c>
      <c r="U750" s="6">
        <v>98</v>
      </c>
      <c r="V750" s="6">
        <f>IF(ISERROR(VLOOKUP($S$750,'TAR FIN'!$A$1:$O$103,15,0)),0,VLOOKUP($S$750,'TAR FIN'!$A$1:$O$103,15,0))</f>
        <v>0</v>
      </c>
      <c r="W750" s="6">
        <f>IF(ISERROR(VLOOKUP($T$750,'TAR FIN'!$A$1:$O$103,15,0)),0,VLOOKUP($T$750,'TAR FIN'!$A$1:$O$103,15,0))</f>
        <v>295.61</v>
      </c>
      <c r="X750" s="6">
        <f>IF(ISERROR(VLOOKUP($U$750,'TAR FIN'!$A$1:$O$103,15,0)),0,VLOOKUP($U$750,'TAR FIN'!$A$1:$O$103,15,0))</f>
        <v>242.77</v>
      </c>
      <c r="Y750" s="6"/>
      <c r="Z750" s="6">
        <f ca="1">('TUSD BE'!$AM$59+'TUSD BF'!$AM$59+'TUSD CVA'!$AM$59)*1</f>
        <v>388.71379858758462</v>
      </c>
      <c r="AA750" s="6">
        <f>('TE BE'!$AB$40+'TE BF'!$AB$40+'TE CVA'!$AB$40)*1</f>
        <v>222.39386487986414</v>
      </c>
      <c r="AB750" s="6">
        <f>$K$750*$V$750</f>
        <v>0</v>
      </c>
      <c r="AC750" s="6">
        <f>$M$750*$W$750</f>
        <v>1783.1195200000002</v>
      </c>
      <c r="AD750" s="6">
        <f>$O$750*$X$750</f>
        <v>1464.3886400000001</v>
      </c>
      <c r="AE750" s="6">
        <f>$K$750*$Y$750</f>
        <v>0</v>
      </c>
      <c r="AF750" s="6">
        <f ca="1">$M$750*$Z$750</f>
        <v>2344.7216330803103</v>
      </c>
      <c r="AG750" s="6">
        <f>$O$750*$AA$750</f>
        <v>1341.4797929553406</v>
      </c>
    </row>
    <row r="751" spans="1:33" ht="11.25" customHeight="1" x14ac:dyDescent="0.3">
      <c r="A751" s="4" t="s">
        <v>21</v>
      </c>
      <c r="B751" s="4" t="s">
        <v>37</v>
      </c>
      <c r="C751" s="4" t="s">
        <v>33</v>
      </c>
      <c r="D751" s="4" t="s">
        <v>46</v>
      </c>
      <c r="E751" s="4" t="s">
        <v>25</v>
      </c>
      <c r="F751" s="4" t="s">
        <v>25</v>
      </c>
      <c r="G751" s="4" t="s">
        <v>25</v>
      </c>
      <c r="H751" s="4" t="s">
        <v>35</v>
      </c>
      <c r="I751" s="5">
        <v>44562</v>
      </c>
      <c r="J751" s="6">
        <v>0</v>
      </c>
      <c r="K751" s="6">
        <v>0</v>
      </c>
      <c r="L751" s="6">
        <v>6.2839999999999998</v>
      </c>
      <c r="M751" s="6">
        <v>6.2839999999999998</v>
      </c>
      <c r="N751" s="6">
        <v>6.2839999999999998</v>
      </c>
      <c r="O751" s="6">
        <v>6.2839999999999998</v>
      </c>
      <c r="P751" s="6">
        <v>0</v>
      </c>
      <c r="Q751" s="4" t="s">
        <v>26</v>
      </c>
      <c r="R751" s="4">
        <v>0</v>
      </c>
      <c r="S751" s="6">
        <v>0</v>
      </c>
      <c r="T751" s="6">
        <v>57</v>
      </c>
      <c r="U751" s="6">
        <v>98</v>
      </c>
      <c r="V751" s="6">
        <f>IF(ISERROR(VLOOKUP($S$751,'TAR FIN'!$A$1:$O$103,15,0)),0,VLOOKUP($S$751,'TAR FIN'!$A$1:$O$103,15,0))</f>
        <v>0</v>
      </c>
      <c r="W751" s="6">
        <f>IF(ISERROR(VLOOKUP($T$751,'TAR FIN'!$A$1:$O$103,15,0)),0,VLOOKUP($T$751,'TAR FIN'!$A$1:$O$103,15,0))</f>
        <v>295.61</v>
      </c>
      <c r="X751" s="6">
        <f>IF(ISERROR(VLOOKUP($U$751,'TAR FIN'!$A$1:$O$103,15,0)),0,VLOOKUP($U$751,'TAR FIN'!$A$1:$O$103,15,0))</f>
        <v>242.77</v>
      </c>
      <c r="Y751" s="6"/>
      <c r="Z751" s="6">
        <f ca="1">('TUSD BE'!$AM$59+'TUSD BF'!$AM$59+'TUSD CVA'!$AM$59)*1</f>
        <v>388.71379858758462</v>
      </c>
      <c r="AA751" s="6">
        <f>('TE BE'!$AB$40+'TE BF'!$AB$40+'TE CVA'!$AB$40)*1</f>
        <v>222.39386487986414</v>
      </c>
      <c r="AB751" s="6">
        <f>$K$751*$V$751</f>
        <v>0</v>
      </c>
      <c r="AC751" s="6">
        <f>$M$751*$W$751</f>
        <v>1857.6132400000001</v>
      </c>
      <c r="AD751" s="6">
        <f>$O$751*$X$751</f>
        <v>1525.5666799999999</v>
      </c>
      <c r="AE751" s="6">
        <f>$K$751*$Y$751</f>
        <v>0</v>
      </c>
      <c r="AF751" s="6">
        <f ca="1">$M$751*$Z$751</f>
        <v>2442.6775103243817</v>
      </c>
      <c r="AG751" s="6">
        <f>$O$751*$AA$751</f>
        <v>1397.5230469050662</v>
      </c>
    </row>
    <row r="752" spans="1:33" ht="11.25" customHeight="1" x14ac:dyDescent="0.3">
      <c r="A752" s="4" t="s">
        <v>21</v>
      </c>
      <c r="B752" s="4" t="s">
        <v>37</v>
      </c>
      <c r="C752" s="4" t="s">
        <v>33</v>
      </c>
      <c r="D752" s="4" t="s">
        <v>46</v>
      </c>
      <c r="E752" s="4" t="s">
        <v>25</v>
      </c>
      <c r="F752" s="4" t="s">
        <v>25</v>
      </c>
      <c r="G752" s="4" t="s">
        <v>25</v>
      </c>
      <c r="H752" s="4" t="s">
        <v>35</v>
      </c>
      <c r="I752" s="5">
        <v>44593</v>
      </c>
      <c r="J752" s="6">
        <v>0</v>
      </c>
      <c r="K752" s="6">
        <v>0</v>
      </c>
      <c r="L752" s="6">
        <v>5.7450000000000001</v>
      </c>
      <c r="M752" s="6">
        <v>5.7450000000000001</v>
      </c>
      <c r="N752" s="6">
        <v>5.7450000000000001</v>
      </c>
      <c r="O752" s="6">
        <v>5.7450000000000001</v>
      </c>
      <c r="P752" s="6">
        <v>0</v>
      </c>
      <c r="Q752" s="4" t="s">
        <v>26</v>
      </c>
      <c r="R752" s="4">
        <v>0</v>
      </c>
      <c r="S752" s="6">
        <v>0</v>
      </c>
      <c r="T752" s="6">
        <v>57</v>
      </c>
      <c r="U752" s="6">
        <v>98</v>
      </c>
      <c r="V752" s="6">
        <f>IF(ISERROR(VLOOKUP($S$752,'TAR FIN'!$A$1:$O$103,15,0)),0,VLOOKUP($S$752,'TAR FIN'!$A$1:$O$103,15,0))</f>
        <v>0</v>
      </c>
      <c r="W752" s="6">
        <f>IF(ISERROR(VLOOKUP($T$752,'TAR FIN'!$A$1:$O$103,15,0)),0,VLOOKUP($T$752,'TAR FIN'!$A$1:$O$103,15,0))</f>
        <v>295.61</v>
      </c>
      <c r="X752" s="6">
        <f>IF(ISERROR(VLOOKUP($U$752,'TAR FIN'!$A$1:$O$103,15,0)),0,VLOOKUP($U$752,'TAR FIN'!$A$1:$O$103,15,0))</f>
        <v>242.77</v>
      </c>
      <c r="Y752" s="6"/>
      <c r="Z752" s="6">
        <f ca="1">('TUSD BE'!$AM$59+'TUSD BF'!$AM$59+'TUSD CVA'!$AM$59)*1</f>
        <v>388.71379858758462</v>
      </c>
      <c r="AA752" s="6">
        <f>('TE BE'!$AB$40+'TE BF'!$AB$40+'TE CVA'!$AB$40)*1</f>
        <v>222.39386487986414</v>
      </c>
      <c r="AB752" s="6">
        <f>$K$752*$V$752</f>
        <v>0</v>
      </c>
      <c r="AC752" s="6">
        <f>$M$752*$W$752</f>
        <v>1698.27945</v>
      </c>
      <c r="AD752" s="6">
        <f>$O$752*$X$752</f>
        <v>1394.7136500000001</v>
      </c>
      <c r="AE752" s="6">
        <f>$K$752*$Y$752</f>
        <v>0</v>
      </c>
      <c r="AF752" s="6">
        <f ca="1">$M$752*$Z$752</f>
        <v>2233.1607728856739</v>
      </c>
      <c r="AG752" s="6">
        <f>$O$752*$AA$752</f>
        <v>1277.6527537348195</v>
      </c>
    </row>
    <row r="753" spans="1:33" ht="11.25" customHeight="1" x14ac:dyDescent="0.3">
      <c r="A753" s="4" t="s">
        <v>21</v>
      </c>
      <c r="B753" s="4" t="s">
        <v>37</v>
      </c>
      <c r="C753" s="4" t="s">
        <v>33</v>
      </c>
      <c r="D753" s="4" t="s">
        <v>46</v>
      </c>
      <c r="E753" s="4" t="s">
        <v>25</v>
      </c>
      <c r="F753" s="4" t="s">
        <v>25</v>
      </c>
      <c r="G753" s="4" t="s">
        <v>25</v>
      </c>
      <c r="H753" s="4" t="s">
        <v>35</v>
      </c>
      <c r="I753" s="5">
        <v>44621</v>
      </c>
      <c r="J753" s="6">
        <v>0</v>
      </c>
      <c r="K753" s="6">
        <v>0</v>
      </c>
      <c r="L753" s="6">
        <v>4.883</v>
      </c>
      <c r="M753" s="6">
        <v>4.883</v>
      </c>
      <c r="N753" s="6">
        <v>4.883</v>
      </c>
      <c r="O753" s="6">
        <v>4.883</v>
      </c>
      <c r="P753" s="6">
        <v>0</v>
      </c>
      <c r="Q753" s="4" t="s">
        <v>26</v>
      </c>
      <c r="R753" s="4">
        <v>0</v>
      </c>
      <c r="S753" s="6">
        <v>0</v>
      </c>
      <c r="T753" s="6">
        <v>57</v>
      </c>
      <c r="U753" s="6">
        <v>98</v>
      </c>
      <c r="V753" s="6">
        <f>IF(ISERROR(VLOOKUP($S$753,'TAR FIN'!$A$1:$O$103,15,0)),0,VLOOKUP($S$753,'TAR FIN'!$A$1:$O$103,15,0))</f>
        <v>0</v>
      </c>
      <c r="W753" s="6">
        <f>IF(ISERROR(VLOOKUP($T$753,'TAR FIN'!$A$1:$O$103,15,0)),0,VLOOKUP($T$753,'TAR FIN'!$A$1:$O$103,15,0))</f>
        <v>295.61</v>
      </c>
      <c r="X753" s="6">
        <f>IF(ISERROR(VLOOKUP($U$753,'TAR FIN'!$A$1:$O$103,15,0)),0,VLOOKUP($U$753,'TAR FIN'!$A$1:$O$103,15,0))</f>
        <v>242.77</v>
      </c>
      <c r="Y753" s="6"/>
      <c r="Z753" s="6">
        <f ca="1">('TUSD BE'!$AM$59+'TUSD BF'!$AM$59+'TUSD CVA'!$AM$59)*1</f>
        <v>388.71379858758462</v>
      </c>
      <c r="AA753" s="6">
        <f>('TE BE'!$AB$40+'TE BF'!$AB$40+'TE CVA'!$AB$40)*1</f>
        <v>222.39386487986414</v>
      </c>
      <c r="AB753" s="6">
        <f>$K$753*$V$753</f>
        <v>0</v>
      </c>
      <c r="AC753" s="6">
        <f>$M$753*$W$753</f>
        <v>1443.46363</v>
      </c>
      <c r="AD753" s="6">
        <f>$O$753*$X$753</f>
        <v>1185.4459100000001</v>
      </c>
      <c r="AE753" s="6">
        <f>$K$753*$Y$753</f>
        <v>0</v>
      </c>
      <c r="AF753" s="6">
        <f ca="1">$M$753*$Z$753</f>
        <v>1898.0894785031758</v>
      </c>
      <c r="AG753" s="6">
        <f>$O$753*$AA$753</f>
        <v>1085.9492422083765</v>
      </c>
    </row>
    <row r="754" spans="1:33" ht="11.25" customHeight="1" x14ac:dyDescent="0.3">
      <c r="A754" s="4" t="s">
        <v>21</v>
      </c>
      <c r="B754" s="4" t="s">
        <v>37</v>
      </c>
      <c r="C754" s="4" t="s">
        <v>33</v>
      </c>
      <c r="D754" s="4" t="s">
        <v>46</v>
      </c>
      <c r="E754" s="4" t="s">
        <v>25</v>
      </c>
      <c r="F754" s="4" t="s">
        <v>25</v>
      </c>
      <c r="G754" s="4" t="s">
        <v>25</v>
      </c>
      <c r="H754" s="4" t="s">
        <v>35</v>
      </c>
      <c r="I754" s="5">
        <v>44652</v>
      </c>
      <c r="J754" s="6">
        <v>0</v>
      </c>
      <c r="K754" s="6">
        <v>0</v>
      </c>
      <c r="L754" s="6">
        <v>6.9420000000000002</v>
      </c>
      <c r="M754" s="6">
        <v>6.9420000000000002</v>
      </c>
      <c r="N754" s="6">
        <v>6.9420000000000002</v>
      </c>
      <c r="O754" s="6">
        <v>6.9420000000000002</v>
      </c>
      <c r="P754" s="6">
        <v>0</v>
      </c>
      <c r="Q754" s="4" t="s">
        <v>26</v>
      </c>
      <c r="R754" s="4">
        <v>0</v>
      </c>
      <c r="S754" s="6">
        <v>0</v>
      </c>
      <c r="T754" s="6">
        <v>57</v>
      </c>
      <c r="U754" s="6">
        <v>98</v>
      </c>
      <c r="V754" s="6">
        <f>IF(ISERROR(VLOOKUP($S$754,'TAR FIN'!$A$1:$O$103,15,0)),0,VLOOKUP($S$754,'TAR FIN'!$A$1:$O$103,15,0))</f>
        <v>0</v>
      </c>
      <c r="W754" s="6">
        <f>IF(ISERROR(VLOOKUP($T$754,'TAR FIN'!$A$1:$O$103,15,0)),0,VLOOKUP($T$754,'TAR FIN'!$A$1:$O$103,15,0))</f>
        <v>295.61</v>
      </c>
      <c r="X754" s="6">
        <f>IF(ISERROR(VLOOKUP($U$754,'TAR FIN'!$A$1:$O$103,15,0)),0,VLOOKUP($U$754,'TAR FIN'!$A$1:$O$103,15,0))</f>
        <v>242.77</v>
      </c>
      <c r="Y754" s="6"/>
      <c r="Z754" s="6">
        <f ca="1">('TUSD BE'!$AM$59+'TUSD BF'!$AM$59+'TUSD CVA'!$AM$59)*1</f>
        <v>388.71379858758462</v>
      </c>
      <c r="AA754" s="6">
        <f>('TE BE'!$AB$40+'TE BF'!$AB$40+'TE CVA'!$AB$40)*1</f>
        <v>222.39386487986414</v>
      </c>
      <c r="AB754" s="6">
        <f>$K$754*$V$754</f>
        <v>0</v>
      </c>
      <c r="AC754" s="6">
        <f>$M$754*$W$754</f>
        <v>2052.12462</v>
      </c>
      <c r="AD754" s="6">
        <f>$O$754*$X$754</f>
        <v>1685.30934</v>
      </c>
      <c r="AE754" s="6">
        <f>$K$754*$Y$754</f>
        <v>0</v>
      </c>
      <c r="AF754" s="6">
        <f ca="1">$M$754*$Z$754</f>
        <v>2698.4511897950124</v>
      </c>
      <c r="AG754" s="6">
        <f>$O$754*$AA$754</f>
        <v>1543.858209996017</v>
      </c>
    </row>
    <row r="755" spans="1:33" ht="11.25" customHeight="1" x14ac:dyDescent="0.3">
      <c r="A755" s="4" t="s">
        <v>21</v>
      </c>
      <c r="B755" s="4" t="s">
        <v>37</v>
      </c>
      <c r="C755" s="4" t="s">
        <v>33</v>
      </c>
      <c r="D755" s="4" t="s">
        <v>46</v>
      </c>
      <c r="E755" s="4" t="s">
        <v>25</v>
      </c>
      <c r="F755" s="4" t="s">
        <v>25</v>
      </c>
      <c r="G755" s="4" t="s">
        <v>25</v>
      </c>
      <c r="H755" s="4" t="s">
        <v>35</v>
      </c>
      <c r="I755" s="5">
        <v>44682</v>
      </c>
      <c r="J755" s="6">
        <v>0</v>
      </c>
      <c r="K755" s="6">
        <v>0</v>
      </c>
      <c r="L755" s="6">
        <v>6.66</v>
      </c>
      <c r="M755" s="6">
        <v>6.66</v>
      </c>
      <c r="N755" s="6">
        <v>6.66</v>
      </c>
      <c r="O755" s="6">
        <v>6.66</v>
      </c>
      <c r="P755" s="6">
        <v>0</v>
      </c>
      <c r="Q755" s="4" t="s">
        <v>26</v>
      </c>
      <c r="R755" s="4">
        <v>0</v>
      </c>
      <c r="S755" s="6">
        <v>0</v>
      </c>
      <c r="T755" s="6">
        <v>57</v>
      </c>
      <c r="U755" s="6">
        <v>98</v>
      </c>
      <c r="V755" s="6">
        <f>IF(ISERROR(VLOOKUP($S$755,'TAR FIN'!$A$1:$O$103,15,0)),0,VLOOKUP($S$755,'TAR FIN'!$A$1:$O$103,15,0))</f>
        <v>0</v>
      </c>
      <c r="W755" s="6">
        <f>IF(ISERROR(VLOOKUP($T$755,'TAR FIN'!$A$1:$O$103,15,0)),0,VLOOKUP($T$755,'TAR FIN'!$A$1:$O$103,15,0))</f>
        <v>295.61</v>
      </c>
      <c r="X755" s="6">
        <f>IF(ISERROR(VLOOKUP($U$755,'TAR FIN'!$A$1:$O$103,15,0)),0,VLOOKUP($U$755,'TAR FIN'!$A$1:$O$103,15,0))</f>
        <v>242.77</v>
      </c>
      <c r="Y755" s="6"/>
      <c r="Z755" s="6">
        <f ca="1">('TUSD BE'!$AM$59+'TUSD BF'!$AM$59+'TUSD CVA'!$AM$59)*1</f>
        <v>388.71379858758462</v>
      </c>
      <c r="AA755" s="6">
        <f>('TE BE'!$AB$40+'TE BF'!$AB$40+'TE CVA'!$AB$40)*1</f>
        <v>222.39386487986414</v>
      </c>
      <c r="AB755" s="6">
        <f>$K$755*$V$755</f>
        <v>0</v>
      </c>
      <c r="AC755" s="6">
        <f>$M$755*$W$755</f>
        <v>1968.7626</v>
      </c>
      <c r="AD755" s="6">
        <f>$O$755*$X$755</f>
        <v>1616.8482000000001</v>
      </c>
      <c r="AE755" s="6">
        <f>$K$755*$Y$755</f>
        <v>0</v>
      </c>
      <c r="AF755" s="6">
        <f ca="1">$M$755*$Z$755</f>
        <v>2588.8338985933137</v>
      </c>
      <c r="AG755" s="6">
        <f>$O$755*$AA$755</f>
        <v>1481.1431400998952</v>
      </c>
    </row>
    <row r="756" spans="1:33" ht="11.25" customHeight="1" x14ac:dyDescent="0.3">
      <c r="A756" s="4" t="s">
        <v>21</v>
      </c>
      <c r="B756" s="4" t="s">
        <v>37</v>
      </c>
      <c r="C756" s="4" t="s">
        <v>33</v>
      </c>
      <c r="D756" s="4" t="s">
        <v>46</v>
      </c>
      <c r="E756" s="4" t="s">
        <v>25</v>
      </c>
      <c r="F756" s="4" t="s">
        <v>25</v>
      </c>
      <c r="G756" s="4" t="s">
        <v>25</v>
      </c>
      <c r="H756" s="4" t="s">
        <v>35</v>
      </c>
      <c r="I756" s="5">
        <v>44713</v>
      </c>
      <c r="J756" s="6">
        <v>0</v>
      </c>
      <c r="K756" s="6">
        <v>0</v>
      </c>
      <c r="L756" s="6">
        <v>4.3639999999999999</v>
      </c>
      <c r="M756" s="6">
        <v>4.3639999999999999</v>
      </c>
      <c r="N756" s="6">
        <v>4.3639999999999999</v>
      </c>
      <c r="O756" s="6">
        <v>4.3639999999999999</v>
      </c>
      <c r="P756" s="6">
        <v>0</v>
      </c>
      <c r="Q756" s="4" t="s">
        <v>26</v>
      </c>
      <c r="R756" s="4">
        <v>0</v>
      </c>
      <c r="S756" s="6">
        <v>0</v>
      </c>
      <c r="T756" s="6">
        <v>57</v>
      </c>
      <c r="U756" s="6">
        <v>98</v>
      </c>
      <c r="V756" s="6">
        <f>IF(ISERROR(VLOOKUP($S$756,'TAR FIN'!$A$1:$O$103,15,0)),0,VLOOKUP($S$756,'TAR FIN'!$A$1:$O$103,15,0))</f>
        <v>0</v>
      </c>
      <c r="W756" s="6">
        <f>IF(ISERROR(VLOOKUP($T$756,'TAR FIN'!$A$1:$O$103,15,0)),0,VLOOKUP($T$756,'TAR FIN'!$A$1:$O$103,15,0))</f>
        <v>295.61</v>
      </c>
      <c r="X756" s="6">
        <f>IF(ISERROR(VLOOKUP($U$756,'TAR FIN'!$A$1:$O$103,15,0)),0,VLOOKUP($U$756,'TAR FIN'!$A$1:$O$103,15,0))</f>
        <v>242.77</v>
      </c>
      <c r="Y756" s="6"/>
      <c r="Z756" s="6">
        <f ca="1">('TUSD BE'!$AM$59+'TUSD BF'!$AM$59+'TUSD CVA'!$AM$59)*1</f>
        <v>388.71379858758462</v>
      </c>
      <c r="AA756" s="6">
        <f>('TE BE'!$AB$40+'TE BF'!$AB$40+'TE CVA'!$AB$40)*1</f>
        <v>222.39386487986414</v>
      </c>
      <c r="AB756" s="6">
        <f>$K$756*$V$756</f>
        <v>0</v>
      </c>
      <c r="AC756" s="6">
        <f>$M$756*$W$756</f>
        <v>1290.04204</v>
      </c>
      <c r="AD756" s="6">
        <f>$O$756*$X$756</f>
        <v>1059.4482800000001</v>
      </c>
      <c r="AE756" s="6">
        <f>$K$756*$Y$756</f>
        <v>0</v>
      </c>
      <c r="AF756" s="6">
        <f ca="1">$M$756*$Z$756</f>
        <v>1696.3470170362193</v>
      </c>
      <c r="AG756" s="6">
        <f>$O$756*$AA$756</f>
        <v>970.52682633572704</v>
      </c>
    </row>
    <row r="757" spans="1:33" ht="11.25" customHeight="1" x14ac:dyDescent="0.3">
      <c r="A757" s="4" t="s">
        <v>21</v>
      </c>
      <c r="B757" s="4" t="s">
        <v>37</v>
      </c>
      <c r="C757" s="4" t="s">
        <v>33</v>
      </c>
      <c r="D757" s="4" t="s">
        <v>46</v>
      </c>
      <c r="E757" s="4" t="s">
        <v>25</v>
      </c>
      <c r="F757" s="4" t="s">
        <v>25</v>
      </c>
      <c r="G757" s="4" t="s">
        <v>25</v>
      </c>
      <c r="H757" s="4" t="s">
        <v>35</v>
      </c>
      <c r="I757" s="5">
        <v>44743</v>
      </c>
      <c r="J757" s="6">
        <v>0</v>
      </c>
      <c r="K757" s="6">
        <v>0</v>
      </c>
      <c r="L757" s="6">
        <v>4.2699999999999996</v>
      </c>
      <c r="M757" s="6">
        <v>4.2699999999999996</v>
      </c>
      <c r="N757" s="6">
        <v>4.2699999999999996</v>
      </c>
      <c r="O757" s="6">
        <v>4.2699999999999996</v>
      </c>
      <c r="P757" s="6">
        <v>0</v>
      </c>
      <c r="Q757" s="4" t="s">
        <v>26</v>
      </c>
      <c r="R757" s="4">
        <v>0</v>
      </c>
      <c r="S757" s="6">
        <v>0</v>
      </c>
      <c r="T757" s="6">
        <v>57</v>
      </c>
      <c r="U757" s="6">
        <v>98</v>
      </c>
      <c r="V757" s="6">
        <f>IF(ISERROR(VLOOKUP($S$757,'TAR FIN'!$A$1:$O$103,15,0)),0,VLOOKUP($S$757,'TAR FIN'!$A$1:$O$103,15,0))</f>
        <v>0</v>
      </c>
      <c r="W757" s="6">
        <f>IF(ISERROR(VLOOKUP($T$757,'TAR FIN'!$A$1:$O$103,15,0)),0,VLOOKUP($T$757,'TAR FIN'!$A$1:$O$103,15,0))</f>
        <v>295.61</v>
      </c>
      <c r="X757" s="6">
        <f>IF(ISERROR(VLOOKUP($U$757,'TAR FIN'!$A$1:$O$103,15,0)),0,VLOOKUP($U$757,'TAR FIN'!$A$1:$O$103,15,0))</f>
        <v>242.77</v>
      </c>
      <c r="Y757" s="6"/>
      <c r="Z757" s="6">
        <f ca="1">('TUSD BE'!$AM$59+'TUSD BF'!$AM$59+'TUSD CVA'!$AM$59)*1</f>
        <v>388.71379858758462</v>
      </c>
      <c r="AA757" s="6">
        <f>('TE BE'!$AB$40+'TE BF'!$AB$40+'TE CVA'!$AB$40)*1</f>
        <v>222.39386487986414</v>
      </c>
      <c r="AB757" s="6">
        <f>$K$757*$V$757</f>
        <v>0</v>
      </c>
      <c r="AC757" s="6">
        <f>$M$757*$W$757</f>
        <v>1262.2547</v>
      </c>
      <c r="AD757" s="6">
        <f>$O$757*$X$757</f>
        <v>1036.6279</v>
      </c>
      <c r="AE757" s="6">
        <f>$K$757*$Y$757</f>
        <v>0</v>
      </c>
      <c r="AF757" s="6">
        <f ca="1">$M$757*$Z$757</f>
        <v>1659.8079199689862</v>
      </c>
      <c r="AG757" s="6">
        <f>$O$757*$AA$757</f>
        <v>949.62180303701973</v>
      </c>
    </row>
    <row r="758" spans="1:33" ht="11.25" customHeight="1" x14ac:dyDescent="0.3">
      <c r="A758" s="4" t="s">
        <v>21</v>
      </c>
      <c r="B758" s="4" t="s">
        <v>37</v>
      </c>
      <c r="C758" s="4" t="s">
        <v>33</v>
      </c>
      <c r="D758" s="4" t="s">
        <v>46</v>
      </c>
      <c r="E758" s="4" t="s">
        <v>25</v>
      </c>
      <c r="F758" s="4" t="s">
        <v>25</v>
      </c>
      <c r="G758" s="4" t="s">
        <v>25</v>
      </c>
      <c r="H758" s="4" t="s">
        <v>35</v>
      </c>
      <c r="I758" s="5">
        <v>44774</v>
      </c>
      <c r="J758" s="6">
        <v>0</v>
      </c>
      <c r="K758" s="6">
        <v>0</v>
      </c>
      <c r="L758" s="6">
        <v>3.8069999999999999</v>
      </c>
      <c r="M758" s="6">
        <v>3.8069999999999999</v>
      </c>
      <c r="N758" s="6">
        <v>3.8069999999999999</v>
      </c>
      <c r="O758" s="6">
        <v>3.8069999999999999</v>
      </c>
      <c r="P758" s="6">
        <v>0</v>
      </c>
      <c r="Q758" s="4" t="s">
        <v>26</v>
      </c>
      <c r="R758" s="4">
        <v>0</v>
      </c>
      <c r="S758" s="6">
        <v>0</v>
      </c>
      <c r="T758" s="6">
        <v>57</v>
      </c>
      <c r="U758" s="6">
        <v>98</v>
      </c>
      <c r="V758" s="6">
        <f>IF(ISERROR(VLOOKUP($S$758,'TAR FIN'!$A$1:$O$103,15,0)),0,VLOOKUP($S$758,'TAR FIN'!$A$1:$O$103,15,0))</f>
        <v>0</v>
      </c>
      <c r="W758" s="6">
        <f>IF(ISERROR(VLOOKUP($T$758,'TAR FIN'!$A$1:$O$103,15,0)),0,VLOOKUP($T$758,'TAR FIN'!$A$1:$O$103,15,0))</f>
        <v>295.61</v>
      </c>
      <c r="X758" s="6">
        <f>IF(ISERROR(VLOOKUP($U$758,'TAR FIN'!$A$1:$O$103,15,0)),0,VLOOKUP($U$758,'TAR FIN'!$A$1:$O$103,15,0))</f>
        <v>242.77</v>
      </c>
      <c r="Y758" s="6"/>
      <c r="Z758" s="6">
        <f ca="1">('TUSD BE'!$AM$59+'TUSD BF'!$AM$59+'TUSD CVA'!$AM$59)*1</f>
        <v>388.71379858758462</v>
      </c>
      <c r="AA758" s="6">
        <f>('TE BE'!$AB$40+'TE BF'!$AB$40+'TE CVA'!$AB$40)*1</f>
        <v>222.39386487986414</v>
      </c>
      <c r="AB758" s="6">
        <f>$K$758*$V$758</f>
        <v>0</v>
      </c>
      <c r="AC758" s="6">
        <f>$M$758*$W$758</f>
        <v>1125.3872699999999</v>
      </c>
      <c r="AD758" s="6">
        <f>$O$758*$X$758</f>
        <v>924.22539000000006</v>
      </c>
      <c r="AE758" s="6">
        <f>$K$758*$Y$758</f>
        <v>0</v>
      </c>
      <c r="AF758" s="6">
        <f ca="1">$M$758*$Z$758</f>
        <v>1479.8334312229347</v>
      </c>
      <c r="AG758" s="6">
        <f>$O$758*$AA$758</f>
        <v>846.65344359764276</v>
      </c>
    </row>
    <row r="759" spans="1:33" ht="11.25" customHeight="1" x14ac:dyDescent="0.3">
      <c r="A759" s="4" t="s">
        <v>21</v>
      </c>
      <c r="B759" s="4" t="s">
        <v>37</v>
      </c>
      <c r="C759" s="4" t="s">
        <v>33</v>
      </c>
      <c r="D759" s="4" t="s">
        <v>46</v>
      </c>
      <c r="E759" s="4" t="s">
        <v>25</v>
      </c>
      <c r="F759" s="4" t="s">
        <v>25</v>
      </c>
      <c r="G759" s="4" t="s">
        <v>25</v>
      </c>
      <c r="H759" s="4" t="s">
        <v>35</v>
      </c>
      <c r="I759" s="5">
        <v>44805</v>
      </c>
      <c r="J759" s="6">
        <v>0</v>
      </c>
      <c r="K759" s="6">
        <v>0</v>
      </c>
      <c r="L759" s="6">
        <v>5.13</v>
      </c>
      <c r="M759" s="6">
        <v>5.13</v>
      </c>
      <c r="N759" s="6">
        <v>5.13</v>
      </c>
      <c r="O759" s="6">
        <v>5.13</v>
      </c>
      <c r="P759" s="6">
        <v>0</v>
      </c>
      <c r="Q759" s="4" t="s">
        <v>26</v>
      </c>
      <c r="R759" s="4">
        <v>0</v>
      </c>
      <c r="S759" s="6">
        <v>0</v>
      </c>
      <c r="T759" s="6">
        <v>57</v>
      </c>
      <c r="U759" s="6">
        <v>98</v>
      </c>
      <c r="V759" s="6">
        <f>IF(ISERROR(VLOOKUP($S$759,'TAR FIN'!$A$1:$O$103,15,0)),0,VLOOKUP($S$759,'TAR FIN'!$A$1:$O$103,15,0))</f>
        <v>0</v>
      </c>
      <c r="W759" s="6">
        <f>IF(ISERROR(VLOOKUP($T$759,'TAR FIN'!$A$1:$O$103,15,0)),0,VLOOKUP($T$759,'TAR FIN'!$A$1:$O$103,15,0))</f>
        <v>295.61</v>
      </c>
      <c r="X759" s="6">
        <f>IF(ISERROR(VLOOKUP($U$759,'TAR FIN'!$A$1:$O$103,15,0)),0,VLOOKUP($U$759,'TAR FIN'!$A$1:$O$103,15,0))</f>
        <v>242.77</v>
      </c>
      <c r="Y759" s="6"/>
      <c r="Z759" s="6">
        <f ca="1">('TUSD BE'!$AM$59+'TUSD BF'!$AM$59+'TUSD CVA'!$AM$59)*1</f>
        <v>388.71379858758462</v>
      </c>
      <c r="AA759" s="6">
        <f>('TE BE'!$AB$40+'TE BF'!$AB$40+'TE CVA'!$AB$40)*1</f>
        <v>222.39386487986414</v>
      </c>
      <c r="AB759" s="6">
        <f>$K$759*$V$759</f>
        <v>0</v>
      </c>
      <c r="AC759" s="6">
        <f>$M$759*$W$759</f>
        <v>1516.4793</v>
      </c>
      <c r="AD759" s="6">
        <f>$O$759*$X$759</f>
        <v>1245.4101000000001</v>
      </c>
      <c r="AE759" s="6">
        <f>$K$759*$Y$759</f>
        <v>0</v>
      </c>
      <c r="AF759" s="6">
        <f ca="1">$M$759*$Z$759</f>
        <v>1994.1017867543092</v>
      </c>
      <c r="AG759" s="6">
        <f>$O$759*$AA$759</f>
        <v>1140.880526833703</v>
      </c>
    </row>
    <row r="760" spans="1:33" ht="11.25" customHeight="1" x14ac:dyDescent="0.3">
      <c r="A760" s="4" t="s">
        <v>57</v>
      </c>
      <c r="B760" s="4" t="s">
        <v>37</v>
      </c>
      <c r="C760" s="4" t="s">
        <v>33</v>
      </c>
      <c r="D760" s="4" t="s">
        <v>46</v>
      </c>
      <c r="E760" s="4" t="s">
        <v>25</v>
      </c>
      <c r="F760" s="4" t="s">
        <v>25</v>
      </c>
      <c r="G760" s="4" t="s">
        <v>25</v>
      </c>
      <c r="H760" s="4" t="s">
        <v>35</v>
      </c>
      <c r="I760" s="5">
        <v>44835</v>
      </c>
      <c r="J760" s="6">
        <v>0</v>
      </c>
      <c r="K760" s="6">
        <v>0</v>
      </c>
      <c r="L760" s="6">
        <v>5.13</v>
      </c>
      <c r="M760" s="6">
        <v>5.13</v>
      </c>
      <c r="N760" s="6">
        <v>5.13</v>
      </c>
      <c r="O760" s="6">
        <v>5.13</v>
      </c>
      <c r="P760" s="6">
        <v>0</v>
      </c>
      <c r="Q760" s="4" t="s">
        <v>26</v>
      </c>
      <c r="R760" s="4">
        <v>0</v>
      </c>
      <c r="S760" s="6">
        <v>0</v>
      </c>
      <c r="T760" s="6">
        <v>57</v>
      </c>
      <c r="U760" s="6">
        <v>98</v>
      </c>
      <c r="V760" s="6">
        <f>IF(ISERROR(VLOOKUP($S$760,'TAR FIN'!$A$1:$O$103,15,0)),0,VLOOKUP($S$760,'TAR FIN'!$A$1:$O$103,15,0))</f>
        <v>0</v>
      </c>
      <c r="W760" s="6">
        <f>IF(ISERROR(VLOOKUP($T$760,'TAR FIN'!$A$1:$O$103,15,0)),0,VLOOKUP($T$760,'TAR FIN'!$A$1:$O$103,15,0))</f>
        <v>295.61</v>
      </c>
      <c r="X760" s="6">
        <f>IF(ISERROR(VLOOKUP($U$760,'TAR FIN'!$A$1:$O$103,15,0)),0,VLOOKUP($U$760,'TAR FIN'!$A$1:$O$103,15,0))</f>
        <v>242.77</v>
      </c>
      <c r="Y760" s="6"/>
      <c r="Z760" s="6">
        <f ca="1">('TUSD BE'!$AM$59+'TUSD BF'!$AM$59+'TUSD CVA'!$AM$59)*1</f>
        <v>388.71379858758462</v>
      </c>
      <c r="AA760" s="6">
        <f>('TE BE'!$AB$40+'TE BF'!$AB$40+'TE CVA'!$AB$40)*1</f>
        <v>222.39386487986414</v>
      </c>
      <c r="AB760" s="6">
        <f>$K$760*$V$760</f>
        <v>0</v>
      </c>
      <c r="AC760" s="6">
        <f>$M$760*$W$760</f>
        <v>1516.4793</v>
      </c>
      <c r="AD760" s="6">
        <f>$O$760*$X$760</f>
        <v>1245.4101000000001</v>
      </c>
      <c r="AE760" s="6">
        <f>$K$760*$Y$760</f>
        <v>0</v>
      </c>
      <c r="AF760" s="6">
        <f ca="1">$M$760*$Z$760</f>
        <v>1994.1017867543092</v>
      </c>
      <c r="AG760" s="6">
        <f>$O$760*$AA$760</f>
        <v>1140.880526833703</v>
      </c>
    </row>
    <row r="761" spans="1:33" ht="11.25" customHeight="1" x14ac:dyDescent="0.3">
      <c r="A761" s="4" t="s">
        <v>21</v>
      </c>
      <c r="B761" s="4" t="s">
        <v>37</v>
      </c>
      <c r="C761" s="4" t="s">
        <v>33</v>
      </c>
      <c r="D761" s="4" t="s">
        <v>46</v>
      </c>
      <c r="E761" s="4" t="s">
        <v>25</v>
      </c>
      <c r="F761" s="4" t="s">
        <v>25</v>
      </c>
      <c r="G761" s="4" t="s">
        <v>25</v>
      </c>
      <c r="H761" s="4" t="s">
        <v>36</v>
      </c>
      <c r="I761" s="5">
        <v>44501</v>
      </c>
      <c r="J761" s="6">
        <v>0</v>
      </c>
      <c r="K761" s="6">
        <v>0</v>
      </c>
      <c r="L761" s="6">
        <v>0.36099999999999999</v>
      </c>
      <c r="M761" s="6">
        <v>0.36099999999999999</v>
      </c>
      <c r="N761" s="6">
        <v>0.36099999999999999</v>
      </c>
      <c r="O761" s="6">
        <v>0.36099999999999999</v>
      </c>
      <c r="P761" s="6">
        <v>0</v>
      </c>
      <c r="Q761" s="4" t="s">
        <v>26</v>
      </c>
      <c r="R761" s="4">
        <v>0</v>
      </c>
      <c r="S761" s="6">
        <v>0</v>
      </c>
      <c r="T761" s="6">
        <v>56</v>
      </c>
      <c r="U761" s="6">
        <v>97</v>
      </c>
      <c r="V761" s="6">
        <f>IF(ISERROR(VLOOKUP($S$761,'TAR FIN'!$A$1:$O$103,15,0)),0,VLOOKUP($S$761,'TAR FIN'!$A$1:$O$103,15,0))</f>
        <v>0</v>
      </c>
      <c r="W761" s="6">
        <f>IF(ISERROR(VLOOKUP($T$761,'TAR FIN'!$A$1:$O$103,15,0)),0,VLOOKUP($T$761,'TAR FIN'!$A$1:$O$103,15,0))</f>
        <v>669.59</v>
      </c>
      <c r="X761" s="6">
        <f>IF(ISERROR(VLOOKUP($U$761,'TAR FIN'!$A$1:$O$103,15,0)),0,VLOOKUP($U$761,'TAR FIN'!$A$1:$O$103,15,0))</f>
        <v>242.77</v>
      </c>
      <c r="Y761" s="6"/>
      <c r="Z761" s="6">
        <f ca="1">('TUSD BE'!$AM$58+'TUSD BF'!$AM$58+'TUSD CVA'!$AM$58)*1</f>
        <v>804.2876133682812</v>
      </c>
      <c r="AA761" s="6">
        <f>('TE BE'!$AB$39+'TE BF'!$AB$39+'TE CVA'!$AB$39)*1</f>
        <v>222.39386487986414</v>
      </c>
      <c r="AB761" s="6">
        <f>$K$761*$V$761</f>
        <v>0</v>
      </c>
      <c r="AC761" s="6">
        <f>$M$761*$W$761</f>
        <v>241.72199000000001</v>
      </c>
      <c r="AD761" s="6">
        <f>$O$761*$X$761</f>
        <v>87.639970000000005</v>
      </c>
      <c r="AE761" s="6">
        <f>$K$761*$Y$761</f>
        <v>0</v>
      </c>
      <c r="AF761" s="6">
        <f ca="1">$M$761*$Z$761</f>
        <v>290.3478284259495</v>
      </c>
      <c r="AG761" s="6">
        <f>$O$761*$AA$761</f>
        <v>80.284185221630949</v>
      </c>
    </row>
    <row r="762" spans="1:33" ht="11.25" customHeight="1" x14ac:dyDescent="0.3">
      <c r="A762" s="4" t="s">
        <v>21</v>
      </c>
      <c r="B762" s="4" t="s">
        <v>37</v>
      </c>
      <c r="C762" s="4" t="s">
        <v>33</v>
      </c>
      <c r="D762" s="4" t="s">
        <v>46</v>
      </c>
      <c r="E762" s="4" t="s">
        <v>25</v>
      </c>
      <c r="F762" s="4" t="s">
        <v>25</v>
      </c>
      <c r="G762" s="4" t="s">
        <v>25</v>
      </c>
      <c r="H762" s="4" t="s">
        <v>36</v>
      </c>
      <c r="I762" s="5">
        <v>44531</v>
      </c>
      <c r="J762" s="6">
        <v>0</v>
      </c>
      <c r="K762" s="6">
        <v>0</v>
      </c>
      <c r="L762" s="6">
        <v>0.29699999999999999</v>
      </c>
      <c r="M762" s="6">
        <v>0.29699999999999999</v>
      </c>
      <c r="N762" s="6">
        <v>0.29699999999999999</v>
      </c>
      <c r="O762" s="6">
        <v>0.29699999999999999</v>
      </c>
      <c r="P762" s="6">
        <v>0</v>
      </c>
      <c r="Q762" s="4" t="s">
        <v>26</v>
      </c>
      <c r="R762" s="4">
        <v>0</v>
      </c>
      <c r="S762" s="6">
        <v>0</v>
      </c>
      <c r="T762" s="6">
        <v>56</v>
      </c>
      <c r="U762" s="6">
        <v>97</v>
      </c>
      <c r="V762" s="6">
        <f>IF(ISERROR(VLOOKUP($S$762,'TAR FIN'!$A$1:$O$103,15,0)),0,VLOOKUP($S$762,'TAR FIN'!$A$1:$O$103,15,0))</f>
        <v>0</v>
      </c>
      <c r="W762" s="6">
        <f>IF(ISERROR(VLOOKUP($T$762,'TAR FIN'!$A$1:$O$103,15,0)),0,VLOOKUP($T$762,'TAR FIN'!$A$1:$O$103,15,0))</f>
        <v>669.59</v>
      </c>
      <c r="X762" s="6">
        <f>IF(ISERROR(VLOOKUP($U$762,'TAR FIN'!$A$1:$O$103,15,0)),0,VLOOKUP($U$762,'TAR FIN'!$A$1:$O$103,15,0))</f>
        <v>242.77</v>
      </c>
      <c r="Y762" s="6"/>
      <c r="Z762" s="6">
        <f ca="1">('TUSD BE'!$AM$58+'TUSD BF'!$AM$58+'TUSD CVA'!$AM$58)*1</f>
        <v>804.2876133682812</v>
      </c>
      <c r="AA762" s="6">
        <f>('TE BE'!$AB$39+'TE BF'!$AB$39+'TE CVA'!$AB$39)*1</f>
        <v>222.39386487986414</v>
      </c>
      <c r="AB762" s="6">
        <f>$K$762*$V$762</f>
        <v>0</v>
      </c>
      <c r="AC762" s="6">
        <f>$M$762*$W$762</f>
        <v>198.86823000000001</v>
      </c>
      <c r="AD762" s="6">
        <f>$O$762*$X$762</f>
        <v>72.102689999999996</v>
      </c>
      <c r="AE762" s="6">
        <f>$K$762*$Y$762</f>
        <v>0</v>
      </c>
      <c r="AF762" s="6">
        <f ca="1">$M$762*$Z$762</f>
        <v>238.87342117037952</v>
      </c>
      <c r="AG762" s="6">
        <f>$O$762*$AA$762</f>
        <v>66.050977869319652</v>
      </c>
    </row>
    <row r="763" spans="1:33" ht="11.25" customHeight="1" x14ac:dyDescent="0.3">
      <c r="A763" s="4" t="s">
        <v>21</v>
      </c>
      <c r="B763" s="4" t="s">
        <v>37</v>
      </c>
      <c r="C763" s="4" t="s">
        <v>33</v>
      </c>
      <c r="D763" s="4" t="s">
        <v>46</v>
      </c>
      <c r="E763" s="4" t="s">
        <v>25</v>
      </c>
      <c r="F763" s="4" t="s">
        <v>25</v>
      </c>
      <c r="G763" s="4" t="s">
        <v>25</v>
      </c>
      <c r="H763" s="4" t="s">
        <v>36</v>
      </c>
      <c r="I763" s="5">
        <v>44562</v>
      </c>
      <c r="J763" s="6">
        <v>0</v>
      </c>
      <c r="K763" s="6">
        <v>0</v>
      </c>
      <c r="L763" s="6">
        <v>0.316</v>
      </c>
      <c r="M763" s="6">
        <v>0.316</v>
      </c>
      <c r="N763" s="6">
        <v>0.316</v>
      </c>
      <c r="O763" s="6">
        <v>0.316</v>
      </c>
      <c r="P763" s="6">
        <v>0</v>
      </c>
      <c r="Q763" s="4" t="s">
        <v>26</v>
      </c>
      <c r="R763" s="4">
        <v>0</v>
      </c>
      <c r="S763" s="6">
        <v>0</v>
      </c>
      <c r="T763" s="6">
        <v>56</v>
      </c>
      <c r="U763" s="6">
        <v>97</v>
      </c>
      <c r="V763" s="6">
        <f>IF(ISERROR(VLOOKUP($S$763,'TAR FIN'!$A$1:$O$103,15,0)),0,VLOOKUP($S$763,'TAR FIN'!$A$1:$O$103,15,0))</f>
        <v>0</v>
      </c>
      <c r="W763" s="6">
        <f>IF(ISERROR(VLOOKUP($T$763,'TAR FIN'!$A$1:$O$103,15,0)),0,VLOOKUP($T$763,'TAR FIN'!$A$1:$O$103,15,0))</f>
        <v>669.59</v>
      </c>
      <c r="X763" s="6">
        <f>IF(ISERROR(VLOOKUP($U$763,'TAR FIN'!$A$1:$O$103,15,0)),0,VLOOKUP($U$763,'TAR FIN'!$A$1:$O$103,15,0))</f>
        <v>242.77</v>
      </c>
      <c r="Y763" s="6"/>
      <c r="Z763" s="6">
        <f ca="1">('TUSD BE'!$AM$58+'TUSD BF'!$AM$58+'TUSD CVA'!$AM$58)*1</f>
        <v>804.2876133682812</v>
      </c>
      <c r="AA763" s="6">
        <f>('TE BE'!$AB$39+'TE BF'!$AB$39+'TE CVA'!$AB$39)*1</f>
        <v>222.39386487986414</v>
      </c>
      <c r="AB763" s="6">
        <f>$K$763*$V$763</f>
        <v>0</v>
      </c>
      <c r="AC763" s="6">
        <f>$M$763*$W$763</f>
        <v>211.59044</v>
      </c>
      <c r="AD763" s="6">
        <f>$O$763*$X$763</f>
        <v>76.715320000000006</v>
      </c>
      <c r="AE763" s="6">
        <f>$K$763*$Y$763</f>
        <v>0</v>
      </c>
      <c r="AF763" s="6">
        <f ca="1">$M$763*$Z$763</f>
        <v>254.15488582437686</v>
      </c>
      <c r="AG763" s="6">
        <f>$O$763*$AA$763</f>
        <v>70.276461302037063</v>
      </c>
    </row>
    <row r="764" spans="1:33" ht="11.25" customHeight="1" x14ac:dyDescent="0.3">
      <c r="A764" s="4" t="s">
        <v>21</v>
      </c>
      <c r="B764" s="4" t="s">
        <v>37</v>
      </c>
      <c r="C764" s="4" t="s">
        <v>33</v>
      </c>
      <c r="D764" s="4" t="s">
        <v>46</v>
      </c>
      <c r="E764" s="4" t="s">
        <v>25</v>
      </c>
      <c r="F764" s="4" t="s">
        <v>25</v>
      </c>
      <c r="G764" s="4" t="s">
        <v>25</v>
      </c>
      <c r="H764" s="4" t="s">
        <v>36</v>
      </c>
      <c r="I764" s="5">
        <v>44593</v>
      </c>
      <c r="J764" s="6">
        <v>0</v>
      </c>
      <c r="K764" s="6">
        <v>0</v>
      </c>
      <c r="L764" s="6">
        <v>0.31900000000000001</v>
      </c>
      <c r="M764" s="6">
        <v>0.31900000000000001</v>
      </c>
      <c r="N764" s="6">
        <v>0.31900000000000001</v>
      </c>
      <c r="O764" s="6">
        <v>0.31900000000000001</v>
      </c>
      <c r="P764" s="6">
        <v>0</v>
      </c>
      <c r="Q764" s="4" t="s">
        <v>26</v>
      </c>
      <c r="R764" s="4">
        <v>0</v>
      </c>
      <c r="S764" s="6">
        <v>0</v>
      </c>
      <c r="T764" s="6">
        <v>56</v>
      </c>
      <c r="U764" s="6">
        <v>97</v>
      </c>
      <c r="V764" s="6">
        <f>IF(ISERROR(VLOOKUP($S$764,'TAR FIN'!$A$1:$O$103,15,0)),0,VLOOKUP($S$764,'TAR FIN'!$A$1:$O$103,15,0))</f>
        <v>0</v>
      </c>
      <c r="W764" s="6">
        <f>IF(ISERROR(VLOOKUP($T$764,'TAR FIN'!$A$1:$O$103,15,0)),0,VLOOKUP($T$764,'TAR FIN'!$A$1:$O$103,15,0))</f>
        <v>669.59</v>
      </c>
      <c r="X764" s="6">
        <f>IF(ISERROR(VLOOKUP($U$764,'TAR FIN'!$A$1:$O$103,15,0)),0,VLOOKUP($U$764,'TAR FIN'!$A$1:$O$103,15,0))</f>
        <v>242.77</v>
      </c>
      <c r="Y764" s="6"/>
      <c r="Z764" s="6">
        <f ca="1">('TUSD BE'!$AM$58+'TUSD BF'!$AM$58+'TUSD CVA'!$AM$58)*1</f>
        <v>804.2876133682812</v>
      </c>
      <c r="AA764" s="6">
        <f>('TE BE'!$AB$39+'TE BF'!$AB$39+'TE CVA'!$AB$39)*1</f>
        <v>222.39386487986414</v>
      </c>
      <c r="AB764" s="6">
        <f>$K$764*$V$764</f>
        <v>0</v>
      </c>
      <c r="AC764" s="6">
        <f>$M$764*$W$764</f>
        <v>213.59921000000003</v>
      </c>
      <c r="AD764" s="6">
        <f>$O$764*$X$764</f>
        <v>77.443629999999999</v>
      </c>
      <c r="AE764" s="6">
        <f>$K$764*$Y$764</f>
        <v>0</v>
      </c>
      <c r="AF764" s="6">
        <f ca="1">$M$764*$Z$764</f>
        <v>256.56774866448171</v>
      </c>
      <c r="AG764" s="6">
        <f>$O$764*$AA$764</f>
        <v>70.943642896676664</v>
      </c>
    </row>
    <row r="765" spans="1:33" ht="11.25" customHeight="1" x14ac:dyDescent="0.3">
      <c r="A765" s="4" t="s">
        <v>21</v>
      </c>
      <c r="B765" s="4" t="s">
        <v>37</v>
      </c>
      <c r="C765" s="4" t="s">
        <v>33</v>
      </c>
      <c r="D765" s="4" t="s">
        <v>46</v>
      </c>
      <c r="E765" s="4" t="s">
        <v>25</v>
      </c>
      <c r="F765" s="4" t="s">
        <v>25</v>
      </c>
      <c r="G765" s="4" t="s">
        <v>25</v>
      </c>
      <c r="H765" s="4" t="s">
        <v>36</v>
      </c>
      <c r="I765" s="5">
        <v>44621</v>
      </c>
      <c r="J765" s="6">
        <v>0</v>
      </c>
      <c r="K765" s="6">
        <v>0</v>
      </c>
      <c r="L765" s="6">
        <v>0.27800000000000002</v>
      </c>
      <c r="M765" s="6">
        <v>0.27800000000000002</v>
      </c>
      <c r="N765" s="6">
        <v>0.27800000000000002</v>
      </c>
      <c r="O765" s="6">
        <v>0.27800000000000002</v>
      </c>
      <c r="P765" s="6">
        <v>0</v>
      </c>
      <c r="Q765" s="4" t="s">
        <v>26</v>
      </c>
      <c r="R765" s="4">
        <v>0</v>
      </c>
      <c r="S765" s="6">
        <v>0</v>
      </c>
      <c r="T765" s="6">
        <v>56</v>
      </c>
      <c r="U765" s="6">
        <v>97</v>
      </c>
      <c r="V765" s="6">
        <f>IF(ISERROR(VLOOKUP($S$765,'TAR FIN'!$A$1:$O$103,15,0)),0,VLOOKUP($S$765,'TAR FIN'!$A$1:$O$103,15,0))</f>
        <v>0</v>
      </c>
      <c r="W765" s="6">
        <f>IF(ISERROR(VLOOKUP($T$765,'TAR FIN'!$A$1:$O$103,15,0)),0,VLOOKUP($T$765,'TAR FIN'!$A$1:$O$103,15,0))</f>
        <v>669.59</v>
      </c>
      <c r="X765" s="6">
        <f>IF(ISERROR(VLOOKUP($U$765,'TAR FIN'!$A$1:$O$103,15,0)),0,VLOOKUP($U$765,'TAR FIN'!$A$1:$O$103,15,0))</f>
        <v>242.77</v>
      </c>
      <c r="Y765" s="6"/>
      <c r="Z765" s="6">
        <f ca="1">('TUSD BE'!$AM$58+'TUSD BF'!$AM$58+'TUSD CVA'!$AM$58)*1</f>
        <v>804.2876133682812</v>
      </c>
      <c r="AA765" s="6">
        <f>('TE BE'!$AB$39+'TE BF'!$AB$39+'TE CVA'!$AB$39)*1</f>
        <v>222.39386487986414</v>
      </c>
      <c r="AB765" s="6">
        <f>$K$765*$V$765</f>
        <v>0</v>
      </c>
      <c r="AC765" s="6">
        <f>$M$765*$W$765</f>
        <v>186.14602000000002</v>
      </c>
      <c r="AD765" s="6">
        <f>$O$765*$X$765</f>
        <v>67.490060000000014</v>
      </c>
      <c r="AE765" s="6">
        <f>$K$765*$Y$765</f>
        <v>0</v>
      </c>
      <c r="AF765" s="6">
        <f ca="1">$M$765*$Z$765</f>
        <v>223.5919565163822</v>
      </c>
      <c r="AG765" s="6">
        <f>$O$765*$AA$765</f>
        <v>61.825494436602234</v>
      </c>
    </row>
    <row r="766" spans="1:33" ht="11.25" customHeight="1" x14ac:dyDescent="0.3">
      <c r="A766" s="4" t="s">
        <v>21</v>
      </c>
      <c r="B766" s="4" t="s">
        <v>37</v>
      </c>
      <c r="C766" s="4" t="s">
        <v>33</v>
      </c>
      <c r="D766" s="4" t="s">
        <v>46</v>
      </c>
      <c r="E766" s="4" t="s">
        <v>25</v>
      </c>
      <c r="F766" s="4" t="s">
        <v>25</v>
      </c>
      <c r="G766" s="4" t="s">
        <v>25</v>
      </c>
      <c r="H766" s="4" t="s">
        <v>36</v>
      </c>
      <c r="I766" s="5">
        <v>44652</v>
      </c>
      <c r="J766" s="6">
        <v>0</v>
      </c>
      <c r="K766" s="6">
        <v>0</v>
      </c>
      <c r="L766" s="6">
        <v>0.377</v>
      </c>
      <c r="M766" s="6">
        <v>0.377</v>
      </c>
      <c r="N766" s="6">
        <v>0.377</v>
      </c>
      <c r="O766" s="6">
        <v>0.377</v>
      </c>
      <c r="P766" s="6">
        <v>0</v>
      </c>
      <c r="Q766" s="4" t="s">
        <v>26</v>
      </c>
      <c r="R766" s="4">
        <v>0</v>
      </c>
      <c r="S766" s="6">
        <v>0</v>
      </c>
      <c r="T766" s="6">
        <v>56</v>
      </c>
      <c r="U766" s="6">
        <v>97</v>
      </c>
      <c r="V766" s="6">
        <f>IF(ISERROR(VLOOKUP($S$766,'TAR FIN'!$A$1:$O$103,15,0)),0,VLOOKUP($S$766,'TAR FIN'!$A$1:$O$103,15,0))</f>
        <v>0</v>
      </c>
      <c r="W766" s="6">
        <f>IF(ISERROR(VLOOKUP($T$766,'TAR FIN'!$A$1:$O$103,15,0)),0,VLOOKUP($T$766,'TAR FIN'!$A$1:$O$103,15,0))</f>
        <v>669.59</v>
      </c>
      <c r="X766" s="6">
        <f>IF(ISERROR(VLOOKUP($U$766,'TAR FIN'!$A$1:$O$103,15,0)),0,VLOOKUP($U$766,'TAR FIN'!$A$1:$O$103,15,0))</f>
        <v>242.77</v>
      </c>
      <c r="Y766" s="6"/>
      <c r="Z766" s="6">
        <f ca="1">('TUSD BE'!$AM$58+'TUSD BF'!$AM$58+'TUSD CVA'!$AM$58)*1</f>
        <v>804.2876133682812</v>
      </c>
      <c r="AA766" s="6">
        <f>('TE BE'!$AB$39+'TE BF'!$AB$39+'TE CVA'!$AB$39)*1</f>
        <v>222.39386487986414</v>
      </c>
      <c r="AB766" s="6">
        <f>$K$766*$V$766</f>
        <v>0</v>
      </c>
      <c r="AC766" s="6">
        <f>$M$766*$W$766</f>
        <v>252.43543000000003</v>
      </c>
      <c r="AD766" s="6">
        <f>$O$766*$X$766</f>
        <v>91.524290000000008</v>
      </c>
      <c r="AE766" s="6">
        <f>$K$766*$Y$766</f>
        <v>0</v>
      </c>
      <c r="AF766" s="6">
        <f ca="1">$M$766*$Z$766</f>
        <v>303.216430239842</v>
      </c>
      <c r="AG766" s="6">
        <f>$O$766*$AA$766</f>
        <v>83.842487059708787</v>
      </c>
    </row>
    <row r="767" spans="1:33" ht="11.25" customHeight="1" x14ac:dyDescent="0.3">
      <c r="A767" s="4" t="s">
        <v>21</v>
      </c>
      <c r="B767" s="4" t="s">
        <v>37</v>
      </c>
      <c r="C767" s="4" t="s">
        <v>33</v>
      </c>
      <c r="D767" s="4" t="s">
        <v>46</v>
      </c>
      <c r="E767" s="4" t="s">
        <v>25</v>
      </c>
      <c r="F767" s="4" t="s">
        <v>25</v>
      </c>
      <c r="G767" s="4" t="s">
        <v>25</v>
      </c>
      <c r="H767" s="4" t="s">
        <v>36</v>
      </c>
      <c r="I767" s="5">
        <v>44682</v>
      </c>
      <c r="J767" s="6">
        <v>0</v>
      </c>
      <c r="K767" s="6">
        <v>0</v>
      </c>
      <c r="L767" s="6">
        <v>0.307</v>
      </c>
      <c r="M767" s="6">
        <v>0.307</v>
      </c>
      <c r="N767" s="6">
        <v>0.307</v>
      </c>
      <c r="O767" s="6">
        <v>0.307</v>
      </c>
      <c r="P767" s="6">
        <v>0</v>
      </c>
      <c r="Q767" s="4" t="s">
        <v>26</v>
      </c>
      <c r="R767" s="4">
        <v>0</v>
      </c>
      <c r="S767" s="6">
        <v>0</v>
      </c>
      <c r="T767" s="6">
        <v>56</v>
      </c>
      <c r="U767" s="6">
        <v>97</v>
      </c>
      <c r="V767" s="6">
        <f>IF(ISERROR(VLOOKUP($S$767,'TAR FIN'!$A$1:$O$103,15,0)),0,VLOOKUP($S$767,'TAR FIN'!$A$1:$O$103,15,0))</f>
        <v>0</v>
      </c>
      <c r="W767" s="6">
        <f>IF(ISERROR(VLOOKUP($T$767,'TAR FIN'!$A$1:$O$103,15,0)),0,VLOOKUP($T$767,'TAR FIN'!$A$1:$O$103,15,0))</f>
        <v>669.59</v>
      </c>
      <c r="X767" s="6">
        <f>IF(ISERROR(VLOOKUP($U$767,'TAR FIN'!$A$1:$O$103,15,0)),0,VLOOKUP($U$767,'TAR FIN'!$A$1:$O$103,15,0))</f>
        <v>242.77</v>
      </c>
      <c r="Y767" s="6"/>
      <c r="Z767" s="6">
        <f ca="1">('TUSD BE'!$AM$58+'TUSD BF'!$AM$58+'TUSD CVA'!$AM$58)*1</f>
        <v>804.2876133682812</v>
      </c>
      <c r="AA767" s="6">
        <f>('TE BE'!$AB$39+'TE BF'!$AB$39+'TE CVA'!$AB$39)*1</f>
        <v>222.39386487986414</v>
      </c>
      <c r="AB767" s="6">
        <f>$K$767*$V$767</f>
        <v>0</v>
      </c>
      <c r="AC767" s="6">
        <f>$M$767*$W$767</f>
        <v>205.56413000000001</v>
      </c>
      <c r="AD767" s="6">
        <f>$O$767*$X$767</f>
        <v>74.530389999999997</v>
      </c>
      <c r="AE767" s="6">
        <f>$K$767*$Y$767</f>
        <v>0</v>
      </c>
      <c r="AF767" s="6">
        <f ca="1">$M$767*$Z$767</f>
        <v>246.91629730406231</v>
      </c>
      <c r="AG767" s="6">
        <f>$O$767*$AA$767</f>
        <v>68.274916518118289</v>
      </c>
    </row>
    <row r="768" spans="1:33" ht="11.25" customHeight="1" x14ac:dyDescent="0.3">
      <c r="A768" s="4" t="s">
        <v>21</v>
      </c>
      <c r="B768" s="4" t="s">
        <v>37</v>
      </c>
      <c r="C768" s="4" t="s">
        <v>33</v>
      </c>
      <c r="D768" s="4" t="s">
        <v>46</v>
      </c>
      <c r="E768" s="4" t="s">
        <v>25</v>
      </c>
      <c r="F768" s="4" t="s">
        <v>25</v>
      </c>
      <c r="G768" s="4" t="s">
        <v>25</v>
      </c>
      <c r="H768" s="4" t="s">
        <v>36</v>
      </c>
      <c r="I768" s="5">
        <v>44713</v>
      </c>
      <c r="J768" s="6">
        <v>0</v>
      </c>
      <c r="K768" s="6">
        <v>0</v>
      </c>
      <c r="L768" s="6">
        <v>0.23899999999999999</v>
      </c>
      <c r="M768" s="6">
        <v>0.23899999999999999</v>
      </c>
      <c r="N768" s="6">
        <v>0.23899999999999999</v>
      </c>
      <c r="O768" s="6">
        <v>0.23899999999999999</v>
      </c>
      <c r="P768" s="6">
        <v>0</v>
      </c>
      <c r="Q768" s="4" t="s">
        <v>26</v>
      </c>
      <c r="R768" s="4">
        <v>0</v>
      </c>
      <c r="S768" s="6">
        <v>0</v>
      </c>
      <c r="T768" s="6">
        <v>56</v>
      </c>
      <c r="U768" s="6">
        <v>97</v>
      </c>
      <c r="V768" s="6">
        <f>IF(ISERROR(VLOOKUP($S$768,'TAR FIN'!$A$1:$O$103,15,0)),0,VLOOKUP($S$768,'TAR FIN'!$A$1:$O$103,15,0))</f>
        <v>0</v>
      </c>
      <c r="W768" s="6">
        <f>IF(ISERROR(VLOOKUP($T$768,'TAR FIN'!$A$1:$O$103,15,0)),0,VLOOKUP($T$768,'TAR FIN'!$A$1:$O$103,15,0))</f>
        <v>669.59</v>
      </c>
      <c r="X768" s="6">
        <f>IF(ISERROR(VLOOKUP($U$768,'TAR FIN'!$A$1:$O$103,15,0)),0,VLOOKUP($U$768,'TAR FIN'!$A$1:$O$103,15,0))</f>
        <v>242.77</v>
      </c>
      <c r="Y768" s="6"/>
      <c r="Z768" s="6">
        <f ca="1">('TUSD BE'!$AM$58+'TUSD BF'!$AM$58+'TUSD CVA'!$AM$58)*1</f>
        <v>804.2876133682812</v>
      </c>
      <c r="AA768" s="6">
        <f>('TE BE'!$AB$39+'TE BF'!$AB$39+'TE CVA'!$AB$39)*1</f>
        <v>222.39386487986414</v>
      </c>
      <c r="AB768" s="6">
        <f>$K$768*$V$768</f>
        <v>0</v>
      </c>
      <c r="AC768" s="6">
        <f>$M$768*$W$768</f>
        <v>160.03201000000001</v>
      </c>
      <c r="AD768" s="6">
        <f>$O$768*$X$768</f>
        <v>58.022030000000001</v>
      </c>
      <c r="AE768" s="6">
        <f>$K$768*$Y$768</f>
        <v>0</v>
      </c>
      <c r="AF768" s="6">
        <f ca="1">$M$768*$Z$768</f>
        <v>192.2247395950192</v>
      </c>
      <c r="AG768" s="6">
        <f>$O$768*$AA$768</f>
        <v>53.152133706287529</v>
      </c>
    </row>
    <row r="769" spans="1:33" ht="11.25" customHeight="1" x14ac:dyDescent="0.3">
      <c r="A769" s="4" t="s">
        <v>21</v>
      </c>
      <c r="B769" s="4" t="s">
        <v>37</v>
      </c>
      <c r="C769" s="4" t="s">
        <v>33</v>
      </c>
      <c r="D769" s="4" t="s">
        <v>46</v>
      </c>
      <c r="E769" s="4" t="s">
        <v>25</v>
      </c>
      <c r="F769" s="4" t="s">
        <v>25</v>
      </c>
      <c r="G769" s="4" t="s">
        <v>25</v>
      </c>
      <c r="H769" s="4" t="s">
        <v>36</v>
      </c>
      <c r="I769" s="5">
        <v>44743</v>
      </c>
      <c r="J769" s="6">
        <v>0</v>
      </c>
      <c r="K769" s="6">
        <v>0</v>
      </c>
      <c r="L769" s="6">
        <v>0.26900000000000002</v>
      </c>
      <c r="M769" s="6">
        <v>0.26900000000000002</v>
      </c>
      <c r="N769" s="6">
        <v>0.26900000000000002</v>
      </c>
      <c r="O769" s="6">
        <v>0.26900000000000002</v>
      </c>
      <c r="P769" s="6">
        <v>0</v>
      </c>
      <c r="Q769" s="4" t="s">
        <v>26</v>
      </c>
      <c r="R769" s="4">
        <v>0</v>
      </c>
      <c r="S769" s="6">
        <v>0</v>
      </c>
      <c r="T769" s="6">
        <v>56</v>
      </c>
      <c r="U769" s="6">
        <v>97</v>
      </c>
      <c r="V769" s="6">
        <f>IF(ISERROR(VLOOKUP($S$769,'TAR FIN'!$A$1:$O$103,15,0)),0,VLOOKUP($S$769,'TAR FIN'!$A$1:$O$103,15,0))</f>
        <v>0</v>
      </c>
      <c r="W769" s="6">
        <f>IF(ISERROR(VLOOKUP($T$769,'TAR FIN'!$A$1:$O$103,15,0)),0,VLOOKUP($T$769,'TAR FIN'!$A$1:$O$103,15,0))</f>
        <v>669.59</v>
      </c>
      <c r="X769" s="6">
        <f>IF(ISERROR(VLOOKUP($U$769,'TAR FIN'!$A$1:$O$103,15,0)),0,VLOOKUP($U$769,'TAR FIN'!$A$1:$O$103,15,0))</f>
        <v>242.77</v>
      </c>
      <c r="Y769" s="6"/>
      <c r="Z769" s="6">
        <f ca="1">('TUSD BE'!$AM$58+'TUSD BF'!$AM$58+'TUSD CVA'!$AM$58)*1</f>
        <v>804.2876133682812</v>
      </c>
      <c r="AA769" s="6">
        <f>('TE BE'!$AB$39+'TE BF'!$AB$39+'TE CVA'!$AB$39)*1</f>
        <v>222.39386487986414</v>
      </c>
      <c r="AB769" s="6">
        <f>$K$769*$V$769</f>
        <v>0</v>
      </c>
      <c r="AC769" s="6">
        <f>$M$769*$W$769</f>
        <v>180.11971000000003</v>
      </c>
      <c r="AD769" s="6">
        <f>$O$769*$X$769</f>
        <v>65.305130000000005</v>
      </c>
      <c r="AE769" s="6">
        <f>$K$769*$Y$769</f>
        <v>0</v>
      </c>
      <c r="AF769" s="6">
        <f ca="1">$M$769*$Z$769</f>
        <v>216.35336799606765</v>
      </c>
      <c r="AG769" s="6">
        <f>$O$769*$AA$769</f>
        <v>59.82394965268346</v>
      </c>
    </row>
    <row r="770" spans="1:33" ht="11.25" customHeight="1" x14ac:dyDescent="0.3">
      <c r="A770" s="4" t="s">
        <v>21</v>
      </c>
      <c r="B770" s="4" t="s">
        <v>37</v>
      </c>
      <c r="C770" s="4" t="s">
        <v>33</v>
      </c>
      <c r="D770" s="4" t="s">
        <v>46</v>
      </c>
      <c r="E770" s="4" t="s">
        <v>25</v>
      </c>
      <c r="F770" s="4" t="s">
        <v>25</v>
      </c>
      <c r="G770" s="4" t="s">
        <v>25</v>
      </c>
      <c r="H770" s="4" t="s">
        <v>36</v>
      </c>
      <c r="I770" s="5">
        <v>44774</v>
      </c>
      <c r="J770" s="6">
        <v>0</v>
      </c>
      <c r="K770" s="6">
        <v>0</v>
      </c>
      <c r="L770" s="6">
        <v>0.26500000000000001</v>
      </c>
      <c r="M770" s="6">
        <v>0.26500000000000001</v>
      </c>
      <c r="N770" s="6">
        <v>0.26500000000000001</v>
      </c>
      <c r="O770" s="6">
        <v>0.26500000000000001</v>
      </c>
      <c r="P770" s="6">
        <v>0</v>
      </c>
      <c r="Q770" s="4" t="s">
        <v>26</v>
      </c>
      <c r="R770" s="4">
        <v>0</v>
      </c>
      <c r="S770" s="6">
        <v>0</v>
      </c>
      <c r="T770" s="6">
        <v>56</v>
      </c>
      <c r="U770" s="6">
        <v>97</v>
      </c>
      <c r="V770" s="6">
        <f>IF(ISERROR(VLOOKUP($S$770,'TAR FIN'!$A$1:$O$103,15,0)),0,VLOOKUP($S$770,'TAR FIN'!$A$1:$O$103,15,0))</f>
        <v>0</v>
      </c>
      <c r="W770" s="6">
        <f>IF(ISERROR(VLOOKUP($T$770,'TAR FIN'!$A$1:$O$103,15,0)),0,VLOOKUP($T$770,'TAR FIN'!$A$1:$O$103,15,0))</f>
        <v>669.59</v>
      </c>
      <c r="X770" s="6">
        <f>IF(ISERROR(VLOOKUP($U$770,'TAR FIN'!$A$1:$O$103,15,0)),0,VLOOKUP($U$770,'TAR FIN'!$A$1:$O$103,15,0))</f>
        <v>242.77</v>
      </c>
      <c r="Y770" s="6"/>
      <c r="Z770" s="6">
        <f ca="1">('TUSD BE'!$AM$58+'TUSD BF'!$AM$58+'TUSD CVA'!$AM$58)*1</f>
        <v>804.2876133682812</v>
      </c>
      <c r="AA770" s="6">
        <f>('TE BE'!$AB$39+'TE BF'!$AB$39+'TE CVA'!$AB$39)*1</f>
        <v>222.39386487986414</v>
      </c>
      <c r="AB770" s="6">
        <f>$K$770*$V$770</f>
        <v>0</v>
      </c>
      <c r="AC770" s="6">
        <f>$M$770*$W$770</f>
        <v>177.44135000000003</v>
      </c>
      <c r="AD770" s="6">
        <f>$O$770*$X$770</f>
        <v>64.334050000000005</v>
      </c>
      <c r="AE770" s="6">
        <f>$K$770*$Y$770</f>
        <v>0</v>
      </c>
      <c r="AF770" s="6">
        <f ca="1">$M$770*$Z$770</f>
        <v>213.13621754259452</v>
      </c>
      <c r="AG770" s="6">
        <f>$O$770*$AA$770</f>
        <v>58.934374193163997</v>
      </c>
    </row>
    <row r="771" spans="1:33" ht="11.25" customHeight="1" x14ac:dyDescent="0.3">
      <c r="A771" s="4" t="s">
        <v>21</v>
      </c>
      <c r="B771" s="4" t="s">
        <v>37</v>
      </c>
      <c r="C771" s="4" t="s">
        <v>33</v>
      </c>
      <c r="D771" s="4" t="s">
        <v>46</v>
      </c>
      <c r="E771" s="4" t="s">
        <v>25</v>
      </c>
      <c r="F771" s="4" t="s">
        <v>25</v>
      </c>
      <c r="G771" s="4" t="s">
        <v>25</v>
      </c>
      <c r="H771" s="4" t="s">
        <v>36</v>
      </c>
      <c r="I771" s="5">
        <v>44805</v>
      </c>
      <c r="J771" s="6">
        <v>0</v>
      </c>
      <c r="K771" s="6">
        <v>0</v>
      </c>
      <c r="L771" s="6">
        <v>0.27700000000000002</v>
      </c>
      <c r="M771" s="6">
        <v>0.27700000000000002</v>
      </c>
      <c r="N771" s="6">
        <v>0.27700000000000002</v>
      </c>
      <c r="O771" s="6">
        <v>0.27700000000000002</v>
      </c>
      <c r="P771" s="6">
        <v>0</v>
      </c>
      <c r="Q771" s="4" t="s">
        <v>26</v>
      </c>
      <c r="R771" s="4">
        <v>0</v>
      </c>
      <c r="S771" s="6">
        <v>0</v>
      </c>
      <c r="T771" s="6">
        <v>56</v>
      </c>
      <c r="U771" s="6">
        <v>97</v>
      </c>
      <c r="V771" s="6">
        <f>IF(ISERROR(VLOOKUP($S$771,'TAR FIN'!$A$1:$O$103,15,0)),0,VLOOKUP($S$771,'TAR FIN'!$A$1:$O$103,15,0))</f>
        <v>0</v>
      </c>
      <c r="W771" s="6">
        <f>IF(ISERROR(VLOOKUP($T$771,'TAR FIN'!$A$1:$O$103,15,0)),0,VLOOKUP($T$771,'TAR FIN'!$A$1:$O$103,15,0))</f>
        <v>669.59</v>
      </c>
      <c r="X771" s="6">
        <f>IF(ISERROR(VLOOKUP($U$771,'TAR FIN'!$A$1:$O$103,15,0)),0,VLOOKUP($U$771,'TAR FIN'!$A$1:$O$103,15,0))</f>
        <v>242.77</v>
      </c>
      <c r="Y771" s="6"/>
      <c r="Z771" s="6">
        <f ca="1">('TUSD BE'!$AM$58+'TUSD BF'!$AM$58+'TUSD CVA'!$AM$58)*1</f>
        <v>804.2876133682812</v>
      </c>
      <c r="AA771" s="6">
        <f>('TE BE'!$AB$39+'TE BF'!$AB$39+'TE CVA'!$AB$39)*1</f>
        <v>222.39386487986414</v>
      </c>
      <c r="AB771" s="6">
        <f>$K$771*$V$771</f>
        <v>0</v>
      </c>
      <c r="AC771" s="6">
        <f>$M$771*$W$771</f>
        <v>185.47643000000002</v>
      </c>
      <c r="AD771" s="6">
        <f>$O$771*$X$771</f>
        <v>67.247290000000007</v>
      </c>
      <c r="AE771" s="6">
        <f>$K$771*$Y$771</f>
        <v>0</v>
      </c>
      <c r="AF771" s="6">
        <f ca="1">$M$771*$Z$771</f>
        <v>222.78766890301392</v>
      </c>
      <c r="AG771" s="6">
        <f>$O$771*$AA$771</f>
        <v>61.603100571722372</v>
      </c>
    </row>
    <row r="772" spans="1:33" ht="11.25" customHeight="1" x14ac:dyDescent="0.3">
      <c r="A772" s="4" t="s">
        <v>57</v>
      </c>
      <c r="B772" s="4" t="s">
        <v>37</v>
      </c>
      <c r="C772" s="4" t="s">
        <v>33</v>
      </c>
      <c r="D772" s="4" t="s">
        <v>46</v>
      </c>
      <c r="E772" s="4" t="s">
        <v>25</v>
      </c>
      <c r="F772" s="4" t="s">
        <v>25</v>
      </c>
      <c r="G772" s="4" t="s">
        <v>25</v>
      </c>
      <c r="H772" s="4" t="s">
        <v>36</v>
      </c>
      <c r="I772" s="5">
        <v>44835</v>
      </c>
      <c r="J772" s="6">
        <v>0</v>
      </c>
      <c r="K772" s="6">
        <v>0</v>
      </c>
      <c r="L772" s="6">
        <v>0.27700000000000002</v>
      </c>
      <c r="M772" s="6">
        <v>0.27700000000000002</v>
      </c>
      <c r="N772" s="6">
        <v>0.27700000000000002</v>
      </c>
      <c r="O772" s="6">
        <v>0.27700000000000002</v>
      </c>
      <c r="P772" s="6">
        <v>0</v>
      </c>
      <c r="Q772" s="4" t="s">
        <v>26</v>
      </c>
      <c r="R772" s="4">
        <v>0</v>
      </c>
      <c r="S772" s="6">
        <v>0</v>
      </c>
      <c r="T772" s="6">
        <v>56</v>
      </c>
      <c r="U772" s="6">
        <v>97</v>
      </c>
      <c r="V772" s="6">
        <f>IF(ISERROR(VLOOKUP($S$772,'TAR FIN'!$A$1:$O$103,15,0)),0,VLOOKUP($S$772,'TAR FIN'!$A$1:$O$103,15,0))</f>
        <v>0</v>
      </c>
      <c r="W772" s="6">
        <f>IF(ISERROR(VLOOKUP($T$772,'TAR FIN'!$A$1:$O$103,15,0)),0,VLOOKUP($T$772,'TAR FIN'!$A$1:$O$103,15,0))</f>
        <v>669.59</v>
      </c>
      <c r="X772" s="6">
        <f>IF(ISERROR(VLOOKUP($U$772,'TAR FIN'!$A$1:$O$103,15,0)),0,VLOOKUP($U$772,'TAR FIN'!$A$1:$O$103,15,0))</f>
        <v>242.77</v>
      </c>
      <c r="Y772" s="6"/>
      <c r="Z772" s="6">
        <f ca="1">('TUSD BE'!$AM$58+'TUSD BF'!$AM$58+'TUSD CVA'!$AM$58)*1</f>
        <v>804.2876133682812</v>
      </c>
      <c r="AA772" s="6">
        <f>('TE BE'!$AB$39+'TE BF'!$AB$39+'TE CVA'!$AB$39)*1</f>
        <v>222.39386487986414</v>
      </c>
      <c r="AB772" s="6">
        <f>$K$772*$V$772</f>
        <v>0</v>
      </c>
      <c r="AC772" s="6">
        <f>$M$772*$W$772</f>
        <v>185.47643000000002</v>
      </c>
      <c r="AD772" s="6">
        <f>$O$772*$X$772</f>
        <v>67.247290000000007</v>
      </c>
      <c r="AE772" s="6">
        <f>$K$772*$Y$772</f>
        <v>0</v>
      </c>
      <c r="AF772" s="6">
        <f ca="1">$M$772*$Z$772</f>
        <v>222.78766890301392</v>
      </c>
      <c r="AG772" s="6">
        <f>$O$772*$AA$772</f>
        <v>61.603100571722372</v>
      </c>
    </row>
    <row r="773" spans="1:33" ht="11.25" customHeight="1" x14ac:dyDescent="0.3">
      <c r="A773" s="4" t="s">
        <v>21</v>
      </c>
      <c r="B773" s="4" t="s">
        <v>37</v>
      </c>
      <c r="C773" s="4" t="s">
        <v>33</v>
      </c>
      <c r="D773" s="4" t="s">
        <v>46</v>
      </c>
      <c r="E773" s="4" t="s">
        <v>25</v>
      </c>
      <c r="F773" s="4" t="s">
        <v>25</v>
      </c>
      <c r="G773" s="4" t="s">
        <v>25</v>
      </c>
      <c r="H773" s="4" t="s">
        <v>34</v>
      </c>
      <c r="I773" s="5">
        <v>44501</v>
      </c>
      <c r="J773" s="6">
        <v>0</v>
      </c>
      <c r="K773" s="6">
        <v>0</v>
      </c>
      <c r="L773" s="6">
        <v>0.21099999999999999</v>
      </c>
      <c r="M773" s="6">
        <v>0.21099999999999999</v>
      </c>
      <c r="N773" s="6">
        <v>0.21099999999999999</v>
      </c>
      <c r="O773" s="6">
        <v>0.21099999999999999</v>
      </c>
      <c r="P773" s="6">
        <v>0</v>
      </c>
      <c r="Q773" s="4" t="s">
        <v>26</v>
      </c>
      <c r="R773" s="4">
        <v>0</v>
      </c>
      <c r="S773" s="6">
        <v>0</v>
      </c>
      <c r="T773" s="6">
        <v>55</v>
      </c>
      <c r="U773" s="6">
        <v>96</v>
      </c>
      <c r="V773" s="6">
        <f>IF(ISERROR(VLOOKUP($S$773,'TAR FIN'!$A$1:$O$103,15,0)),0,VLOOKUP($S$773,'TAR FIN'!$A$1:$O$103,15,0))</f>
        <v>0</v>
      </c>
      <c r="W773" s="6">
        <f>IF(ISERROR(VLOOKUP($T$773,'TAR FIN'!$A$1:$O$103,15,0)),0,VLOOKUP($T$773,'TAR FIN'!$A$1:$O$103,15,0))</f>
        <v>1043.57</v>
      </c>
      <c r="X773" s="6">
        <f>IF(ISERROR(VLOOKUP($U$773,'TAR FIN'!$A$1:$O$103,15,0)),0,VLOOKUP($U$773,'TAR FIN'!$A$1:$O$103,15,0))</f>
        <v>391.54</v>
      </c>
      <c r="Y773" s="6"/>
      <c r="Z773" s="6">
        <f ca="1">('TUSD BE'!$AM$57+'TUSD BF'!$AM$57+'TUSD CVA'!$AM$57)*1</f>
        <v>1219.8615646283974</v>
      </c>
      <c r="AA773" s="6">
        <f>('TE BE'!$AB$38+'TE BF'!$AB$38+'TE CVA'!$AB$38)*1</f>
        <v>361.95264704220779</v>
      </c>
      <c r="AB773" s="6">
        <f>$K$773*$V$773</f>
        <v>0</v>
      </c>
      <c r="AC773" s="6">
        <f>$M$773*$W$773</f>
        <v>220.19326999999998</v>
      </c>
      <c r="AD773" s="6">
        <f>$O$773*$X$773</f>
        <v>82.614940000000004</v>
      </c>
      <c r="AE773" s="6">
        <f>$K$773*$Y$773</f>
        <v>0</v>
      </c>
      <c r="AF773" s="6">
        <f ca="1">$M$773*$Z$773</f>
        <v>257.39079013659187</v>
      </c>
      <c r="AG773" s="6">
        <f>$O$773*$AA$773</f>
        <v>76.372008525905841</v>
      </c>
    </row>
    <row r="774" spans="1:33" ht="11.25" customHeight="1" x14ac:dyDescent="0.3">
      <c r="A774" s="4" t="s">
        <v>21</v>
      </c>
      <c r="B774" s="4" t="s">
        <v>37</v>
      </c>
      <c r="C774" s="4" t="s">
        <v>33</v>
      </c>
      <c r="D774" s="4" t="s">
        <v>46</v>
      </c>
      <c r="E774" s="4" t="s">
        <v>25</v>
      </c>
      <c r="F774" s="4" t="s">
        <v>25</v>
      </c>
      <c r="G774" s="4" t="s">
        <v>25</v>
      </c>
      <c r="H774" s="4" t="s">
        <v>34</v>
      </c>
      <c r="I774" s="5">
        <v>44531</v>
      </c>
      <c r="J774" s="6">
        <v>0</v>
      </c>
      <c r="K774" s="6">
        <v>0</v>
      </c>
      <c r="L774" s="6">
        <v>0.2</v>
      </c>
      <c r="M774" s="6">
        <v>0.2</v>
      </c>
      <c r="N774" s="6">
        <v>0.2</v>
      </c>
      <c r="O774" s="6">
        <v>0.2</v>
      </c>
      <c r="P774" s="6">
        <v>0</v>
      </c>
      <c r="Q774" s="4" t="s">
        <v>26</v>
      </c>
      <c r="R774" s="4">
        <v>0</v>
      </c>
      <c r="S774" s="6">
        <v>0</v>
      </c>
      <c r="T774" s="6">
        <v>55</v>
      </c>
      <c r="U774" s="6">
        <v>96</v>
      </c>
      <c r="V774" s="6">
        <f>IF(ISERROR(VLOOKUP($S$774,'TAR FIN'!$A$1:$O$103,15,0)),0,VLOOKUP($S$774,'TAR FIN'!$A$1:$O$103,15,0))</f>
        <v>0</v>
      </c>
      <c r="W774" s="6">
        <f>IF(ISERROR(VLOOKUP($T$774,'TAR FIN'!$A$1:$O$103,15,0)),0,VLOOKUP($T$774,'TAR FIN'!$A$1:$O$103,15,0))</f>
        <v>1043.57</v>
      </c>
      <c r="X774" s="6">
        <f>IF(ISERROR(VLOOKUP($U$774,'TAR FIN'!$A$1:$O$103,15,0)),0,VLOOKUP($U$774,'TAR FIN'!$A$1:$O$103,15,0))</f>
        <v>391.54</v>
      </c>
      <c r="Y774" s="6"/>
      <c r="Z774" s="6">
        <f ca="1">('TUSD BE'!$AM$57+'TUSD BF'!$AM$57+'TUSD CVA'!$AM$57)*1</f>
        <v>1219.8615646283974</v>
      </c>
      <c r="AA774" s="6">
        <f>('TE BE'!$AB$38+'TE BF'!$AB$38+'TE CVA'!$AB$38)*1</f>
        <v>361.95264704220779</v>
      </c>
      <c r="AB774" s="6">
        <f>$K$774*$V$774</f>
        <v>0</v>
      </c>
      <c r="AC774" s="6">
        <f>$M$774*$W$774</f>
        <v>208.714</v>
      </c>
      <c r="AD774" s="6">
        <f>$O$774*$X$774</f>
        <v>78.308000000000007</v>
      </c>
      <c r="AE774" s="6">
        <f>$K$774*$Y$774</f>
        <v>0</v>
      </c>
      <c r="AF774" s="6">
        <f ca="1">$M$774*$Z$774</f>
        <v>243.97231292567949</v>
      </c>
      <c r="AG774" s="6">
        <f>$O$774*$AA$774</f>
        <v>72.390529408441566</v>
      </c>
    </row>
    <row r="775" spans="1:33" ht="11.25" customHeight="1" x14ac:dyDescent="0.3">
      <c r="A775" s="4" t="s">
        <v>21</v>
      </c>
      <c r="B775" s="4" t="s">
        <v>37</v>
      </c>
      <c r="C775" s="4" t="s">
        <v>33</v>
      </c>
      <c r="D775" s="4" t="s">
        <v>46</v>
      </c>
      <c r="E775" s="4" t="s">
        <v>25</v>
      </c>
      <c r="F775" s="4" t="s">
        <v>25</v>
      </c>
      <c r="G775" s="4" t="s">
        <v>25</v>
      </c>
      <c r="H775" s="4" t="s">
        <v>34</v>
      </c>
      <c r="I775" s="5">
        <v>44562</v>
      </c>
      <c r="J775" s="6">
        <v>0</v>
      </c>
      <c r="K775" s="6">
        <v>0</v>
      </c>
      <c r="L775" s="6">
        <v>0.21299999999999999</v>
      </c>
      <c r="M775" s="6">
        <v>0.21299999999999999</v>
      </c>
      <c r="N775" s="6">
        <v>0.21299999999999999</v>
      </c>
      <c r="O775" s="6">
        <v>0.21299999999999999</v>
      </c>
      <c r="P775" s="6">
        <v>0</v>
      </c>
      <c r="Q775" s="4" t="s">
        <v>26</v>
      </c>
      <c r="R775" s="4">
        <v>0</v>
      </c>
      <c r="S775" s="6">
        <v>0</v>
      </c>
      <c r="T775" s="6">
        <v>55</v>
      </c>
      <c r="U775" s="6">
        <v>96</v>
      </c>
      <c r="V775" s="6">
        <f>IF(ISERROR(VLOOKUP($S$775,'TAR FIN'!$A$1:$O$103,15,0)),0,VLOOKUP($S$775,'TAR FIN'!$A$1:$O$103,15,0))</f>
        <v>0</v>
      </c>
      <c r="W775" s="6">
        <f>IF(ISERROR(VLOOKUP($T$775,'TAR FIN'!$A$1:$O$103,15,0)),0,VLOOKUP($T$775,'TAR FIN'!$A$1:$O$103,15,0))</f>
        <v>1043.57</v>
      </c>
      <c r="X775" s="6">
        <f>IF(ISERROR(VLOOKUP($U$775,'TAR FIN'!$A$1:$O$103,15,0)),0,VLOOKUP($U$775,'TAR FIN'!$A$1:$O$103,15,0))</f>
        <v>391.54</v>
      </c>
      <c r="Y775" s="6"/>
      <c r="Z775" s="6">
        <f ca="1">('TUSD BE'!$AM$57+'TUSD BF'!$AM$57+'TUSD CVA'!$AM$57)*1</f>
        <v>1219.8615646283974</v>
      </c>
      <c r="AA775" s="6">
        <f>('TE BE'!$AB$38+'TE BF'!$AB$38+'TE CVA'!$AB$38)*1</f>
        <v>361.95264704220779</v>
      </c>
      <c r="AB775" s="6">
        <f>$K$775*$V$775</f>
        <v>0</v>
      </c>
      <c r="AC775" s="6">
        <f>$M$775*$W$775</f>
        <v>222.28040999999999</v>
      </c>
      <c r="AD775" s="6">
        <f>$O$775*$X$775</f>
        <v>83.398020000000002</v>
      </c>
      <c r="AE775" s="6">
        <f>$K$775*$Y$775</f>
        <v>0</v>
      </c>
      <c r="AF775" s="6">
        <f ca="1">$M$775*$Z$775</f>
        <v>259.83051326584865</v>
      </c>
      <c r="AG775" s="6">
        <f>$O$775*$AA$775</f>
        <v>77.095913819990258</v>
      </c>
    </row>
    <row r="776" spans="1:33" ht="11.25" customHeight="1" x14ac:dyDescent="0.3">
      <c r="A776" s="4" t="s">
        <v>21</v>
      </c>
      <c r="B776" s="4" t="s">
        <v>37</v>
      </c>
      <c r="C776" s="4" t="s">
        <v>33</v>
      </c>
      <c r="D776" s="4" t="s">
        <v>46</v>
      </c>
      <c r="E776" s="4" t="s">
        <v>25</v>
      </c>
      <c r="F776" s="4" t="s">
        <v>25</v>
      </c>
      <c r="G776" s="4" t="s">
        <v>25</v>
      </c>
      <c r="H776" s="4" t="s">
        <v>34</v>
      </c>
      <c r="I776" s="5">
        <v>44593</v>
      </c>
      <c r="J776" s="6">
        <v>0</v>
      </c>
      <c r="K776" s="6">
        <v>0</v>
      </c>
      <c r="L776" s="6">
        <v>0.28000000000000003</v>
      </c>
      <c r="M776" s="6">
        <v>0.28000000000000003</v>
      </c>
      <c r="N776" s="6">
        <v>0.28000000000000003</v>
      </c>
      <c r="O776" s="6">
        <v>0.28000000000000003</v>
      </c>
      <c r="P776" s="6">
        <v>0</v>
      </c>
      <c r="Q776" s="4" t="s">
        <v>26</v>
      </c>
      <c r="R776" s="4">
        <v>0</v>
      </c>
      <c r="S776" s="6">
        <v>0</v>
      </c>
      <c r="T776" s="6">
        <v>55</v>
      </c>
      <c r="U776" s="6">
        <v>96</v>
      </c>
      <c r="V776" s="6">
        <f>IF(ISERROR(VLOOKUP($S$776,'TAR FIN'!$A$1:$O$103,15,0)),0,VLOOKUP($S$776,'TAR FIN'!$A$1:$O$103,15,0))</f>
        <v>0</v>
      </c>
      <c r="W776" s="6">
        <f>IF(ISERROR(VLOOKUP($T$776,'TAR FIN'!$A$1:$O$103,15,0)),0,VLOOKUP($T$776,'TAR FIN'!$A$1:$O$103,15,0))</f>
        <v>1043.57</v>
      </c>
      <c r="X776" s="6">
        <f>IF(ISERROR(VLOOKUP($U$776,'TAR FIN'!$A$1:$O$103,15,0)),0,VLOOKUP($U$776,'TAR FIN'!$A$1:$O$103,15,0))</f>
        <v>391.54</v>
      </c>
      <c r="Y776" s="6"/>
      <c r="Z776" s="6">
        <f ca="1">('TUSD BE'!$AM$57+'TUSD BF'!$AM$57+'TUSD CVA'!$AM$57)*1</f>
        <v>1219.8615646283974</v>
      </c>
      <c r="AA776" s="6">
        <f>('TE BE'!$AB$38+'TE BF'!$AB$38+'TE CVA'!$AB$38)*1</f>
        <v>361.95264704220779</v>
      </c>
      <c r="AB776" s="6">
        <f>$K$776*$V$776</f>
        <v>0</v>
      </c>
      <c r="AC776" s="6">
        <f>$M$776*$W$776</f>
        <v>292.19960000000003</v>
      </c>
      <c r="AD776" s="6">
        <f>$O$776*$X$776</f>
        <v>109.63120000000002</v>
      </c>
      <c r="AE776" s="6">
        <f>$K$776*$Y$776</f>
        <v>0</v>
      </c>
      <c r="AF776" s="6">
        <f ca="1">$M$776*$Z$776</f>
        <v>341.5612380959513</v>
      </c>
      <c r="AG776" s="6">
        <f>$O$776*$AA$776</f>
        <v>101.34674117181819</v>
      </c>
    </row>
    <row r="777" spans="1:33" ht="11.25" customHeight="1" x14ac:dyDescent="0.3">
      <c r="A777" s="4" t="s">
        <v>21</v>
      </c>
      <c r="B777" s="4" t="s">
        <v>37</v>
      </c>
      <c r="C777" s="4" t="s">
        <v>33</v>
      </c>
      <c r="D777" s="4" t="s">
        <v>46</v>
      </c>
      <c r="E777" s="4" t="s">
        <v>25</v>
      </c>
      <c r="F777" s="4" t="s">
        <v>25</v>
      </c>
      <c r="G777" s="4" t="s">
        <v>25</v>
      </c>
      <c r="H777" s="4" t="s">
        <v>34</v>
      </c>
      <c r="I777" s="5">
        <v>44621</v>
      </c>
      <c r="J777" s="6">
        <v>0</v>
      </c>
      <c r="K777" s="6">
        <v>0</v>
      </c>
      <c r="L777" s="6">
        <v>0.17699999999999999</v>
      </c>
      <c r="M777" s="6">
        <v>0.17699999999999999</v>
      </c>
      <c r="N777" s="6">
        <v>0.17699999999999999</v>
      </c>
      <c r="O777" s="6">
        <v>0.17699999999999999</v>
      </c>
      <c r="P777" s="6">
        <v>0</v>
      </c>
      <c r="Q777" s="4" t="s">
        <v>26</v>
      </c>
      <c r="R777" s="4">
        <v>0</v>
      </c>
      <c r="S777" s="6">
        <v>0</v>
      </c>
      <c r="T777" s="6">
        <v>55</v>
      </c>
      <c r="U777" s="6">
        <v>96</v>
      </c>
      <c r="V777" s="6">
        <f>IF(ISERROR(VLOOKUP($S$777,'TAR FIN'!$A$1:$O$103,15,0)),0,VLOOKUP($S$777,'TAR FIN'!$A$1:$O$103,15,0))</f>
        <v>0</v>
      </c>
      <c r="W777" s="6">
        <f>IF(ISERROR(VLOOKUP($T$777,'TAR FIN'!$A$1:$O$103,15,0)),0,VLOOKUP($T$777,'TAR FIN'!$A$1:$O$103,15,0))</f>
        <v>1043.57</v>
      </c>
      <c r="X777" s="6">
        <f>IF(ISERROR(VLOOKUP($U$777,'TAR FIN'!$A$1:$O$103,15,0)),0,VLOOKUP($U$777,'TAR FIN'!$A$1:$O$103,15,0))</f>
        <v>391.54</v>
      </c>
      <c r="Y777" s="6"/>
      <c r="Z777" s="6">
        <f ca="1">('TUSD BE'!$AM$57+'TUSD BF'!$AM$57+'TUSD CVA'!$AM$57)*1</f>
        <v>1219.8615646283974</v>
      </c>
      <c r="AA777" s="6">
        <f>('TE BE'!$AB$38+'TE BF'!$AB$38+'TE CVA'!$AB$38)*1</f>
        <v>361.95264704220779</v>
      </c>
      <c r="AB777" s="6">
        <f>$K$777*$V$777</f>
        <v>0</v>
      </c>
      <c r="AC777" s="6">
        <f>$M$777*$W$777</f>
        <v>184.71188999999998</v>
      </c>
      <c r="AD777" s="6">
        <f>$O$777*$X$777</f>
        <v>69.302580000000006</v>
      </c>
      <c r="AE777" s="6">
        <f>$K$777*$Y$777</f>
        <v>0</v>
      </c>
      <c r="AF777" s="6">
        <f ca="1">$M$777*$Z$777</f>
        <v>215.91549693922633</v>
      </c>
      <c r="AG777" s="6">
        <f>$O$777*$AA$777</f>
        <v>64.065618526470772</v>
      </c>
    </row>
    <row r="778" spans="1:33" ht="11.25" customHeight="1" x14ac:dyDescent="0.3">
      <c r="A778" s="4" t="s">
        <v>21</v>
      </c>
      <c r="B778" s="4" t="s">
        <v>37</v>
      </c>
      <c r="C778" s="4" t="s">
        <v>33</v>
      </c>
      <c r="D778" s="4" t="s">
        <v>46</v>
      </c>
      <c r="E778" s="4" t="s">
        <v>25</v>
      </c>
      <c r="F778" s="4" t="s">
        <v>25</v>
      </c>
      <c r="G778" s="4" t="s">
        <v>25</v>
      </c>
      <c r="H778" s="4" t="s">
        <v>34</v>
      </c>
      <c r="I778" s="5">
        <v>44652</v>
      </c>
      <c r="J778" s="6">
        <v>0</v>
      </c>
      <c r="K778" s="6">
        <v>0</v>
      </c>
      <c r="L778" s="6">
        <v>0.20599999999999999</v>
      </c>
      <c r="M778" s="6">
        <v>0.20599999999999999</v>
      </c>
      <c r="N778" s="6">
        <v>0.20599999999999999</v>
      </c>
      <c r="O778" s="6">
        <v>0.20599999999999999</v>
      </c>
      <c r="P778" s="6">
        <v>0</v>
      </c>
      <c r="Q778" s="4" t="s">
        <v>26</v>
      </c>
      <c r="R778" s="4">
        <v>0</v>
      </c>
      <c r="S778" s="6">
        <v>0</v>
      </c>
      <c r="T778" s="6">
        <v>55</v>
      </c>
      <c r="U778" s="6">
        <v>96</v>
      </c>
      <c r="V778" s="6">
        <f>IF(ISERROR(VLOOKUP($S$778,'TAR FIN'!$A$1:$O$103,15,0)),0,VLOOKUP($S$778,'TAR FIN'!$A$1:$O$103,15,0))</f>
        <v>0</v>
      </c>
      <c r="W778" s="6">
        <f>IF(ISERROR(VLOOKUP($T$778,'TAR FIN'!$A$1:$O$103,15,0)),0,VLOOKUP($T$778,'TAR FIN'!$A$1:$O$103,15,0))</f>
        <v>1043.57</v>
      </c>
      <c r="X778" s="6">
        <f>IF(ISERROR(VLOOKUP($U$778,'TAR FIN'!$A$1:$O$103,15,0)),0,VLOOKUP($U$778,'TAR FIN'!$A$1:$O$103,15,0))</f>
        <v>391.54</v>
      </c>
      <c r="Y778" s="6"/>
      <c r="Z778" s="6">
        <f ca="1">('TUSD BE'!$AM$57+'TUSD BF'!$AM$57+'TUSD CVA'!$AM$57)*1</f>
        <v>1219.8615646283974</v>
      </c>
      <c r="AA778" s="6">
        <f>('TE BE'!$AB$38+'TE BF'!$AB$38+'TE CVA'!$AB$38)*1</f>
        <v>361.95264704220779</v>
      </c>
      <c r="AB778" s="6">
        <f>$K$778*$V$778</f>
        <v>0</v>
      </c>
      <c r="AC778" s="6">
        <f>$M$778*$W$778</f>
        <v>214.97541999999999</v>
      </c>
      <c r="AD778" s="6">
        <f>$O$778*$X$778</f>
        <v>80.657240000000002</v>
      </c>
      <c r="AE778" s="6">
        <f>$K$778*$Y$778</f>
        <v>0</v>
      </c>
      <c r="AF778" s="6">
        <f ca="1">$M$778*$Z$778</f>
        <v>251.29148231344985</v>
      </c>
      <c r="AG778" s="6">
        <f>$O$778*$AA$778</f>
        <v>74.562245290694804</v>
      </c>
    </row>
    <row r="779" spans="1:33" ht="11.25" customHeight="1" x14ac:dyDescent="0.3">
      <c r="A779" s="4" t="s">
        <v>21</v>
      </c>
      <c r="B779" s="4" t="s">
        <v>37</v>
      </c>
      <c r="C779" s="4" t="s">
        <v>33</v>
      </c>
      <c r="D779" s="4" t="s">
        <v>46</v>
      </c>
      <c r="E779" s="4" t="s">
        <v>25</v>
      </c>
      <c r="F779" s="4" t="s">
        <v>25</v>
      </c>
      <c r="G779" s="4" t="s">
        <v>25</v>
      </c>
      <c r="H779" s="4" t="s">
        <v>34</v>
      </c>
      <c r="I779" s="5">
        <v>44682</v>
      </c>
      <c r="J779" s="6">
        <v>0</v>
      </c>
      <c r="K779" s="6">
        <v>0</v>
      </c>
      <c r="L779" s="6">
        <v>0.19600000000000001</v>
      </c>
      <c r="M779" s="6">
        <v>0.19600000000000001</v>
      </c>
      <c r="N779" s="6">
        <v>0.19600000000000001</v>
      </c>
      <c r="O779" s="6">
        <v>0.19600000000000001</v>
      </c>
      <c r="P779" s="6">
        <v>0</v>
      </c>
      <c r="Q779" s="4" t="s">
        <v>26</v>
      </c>
      <c r="R779" s="4">
        <v>0</v>
      </c>
      <c r="S779" s="6">
        <v>0</v>
      </c>
      <c r="T779" s="6">
        <v>55</v>
      </c>
      <c r="U779" s="6">
        <v>96</v>
      </c>
      <c r="V779" s="6">
        <f>IF(ISERROR(VLOOKUP($S$779,'TAR FIN'!$A$1:$O$103,15,0)),0,VLOOKUP($S$779,'TAR FIN'!$A$1:$O$103,15,0))</f>
        <v>0</v>
      </c>
      <c r="W779" s="6">
        <f>IF(ISERROR(VLOOKUP($T$779,'TAR FIN'!$A$1:$O$103,15,0)),0,VLOOKUP($T$779,'TAR FIN'!$A$1:$O$103,15,0))</f>
        <v>1043.57</v>
      </c>
      <c r="X779" s="6">
        <f>IF(ISERROR(VLOOKUP($U$779,'TAR FIN'!$A$1:$O$103,15,0)),0,VLOOKUP($U$779,'TAR FIN'!$A$1:$O$103,15,0))</f>
        <v>391.54</v>
      </c>
      <c r="Y779" s="6"/>
      <c r="Z779" s="6">
        <f ca="1">('TUSD BE'!$AM$57+'TUSD BF'!$AM$57+'TUSD CVA'!$AM$57)*1</f>
        <v>1219.8615646283974</v>
      </c>
      <c r="AA779" s="6">
        <f>('TE BE'!$AB$38+'TE BF'!$AB$38+'TE CVA'!$AB$38)*1</f>
        <v>361.95264704220779</v>
      </c>
      <c r="AB779" s="6">
        <f>$K$779*$V$779</f>
        <v>0</v>
      </c>
      <c r="AC779" s="6">
        <f>$M$779*$W$779</f>
        <v>204.53971999999999</v>
      </c>
      <c r="AD779" s="6">
        <f>$O$779*$X$779</f>
        <v>76.74184000000001</v>
      </c>
      <c r="AE779" s="6">
        <f>$K$779*$Y$779</f>
        <v>0</v>
      </c>
      <c r="AF779" s="6">
        <f ca="1">$M$779*$Z$779</f>
        <v>239.09286666716591</v>
      </c>
      <c r="AG779" s="6">
        <f>$O$779*$AA$779</f>
        <v>70.942718820272731</v>
      </c>
    </row>
    <row r="780" spans="1:33" ht="11.25" customHeight="1" x14ac:dyDescent="0.3">
      <c r="A780" s="4" t="s">
        <v>21</v>
      </c>
      <c r="B780" s="4" t="s">
        <v>37</v>
      </c>
      <c r="C780" s="4" t="s">
        <v>33</v>
      </c>
      <c r="D780" s="4" t="s">
        <v>46</v>
      </c>
      <c r="E780" s="4" t="s">
        <v>25</v>
      </c>
      <c r="F780" s="4" t="s">
        <v>25</v>
      </c>
      <c r="G780" s="4" t="s">
        <v>25</v>
      </c>
      <c r="H780" s="4" t="s">
        <v>34</v>
      </c>
      <c r="I780" s="5">
        <v>44713</v>
      </c>
      <c r="J780" s="6">
        <v>0</v>
      </c>
      <c r="K780" s="6">
        <v>0</v>
      </c>
      <c r="L780" s="6">
        <v>0.183</v>
      </c>
      <c r="M780" s="6">
        <v>0.183</v>
      </c>
      <c r="N780" s="6">
        <v>0.183</v>
      </c>
      <c r="O780" s="6">
        <v>0.183</v>
      </c>
      <c r="P780" s="6">
        <v>0</v>
      </c>
      <c r="Q780" s="4" t="s">
        <v>26</v>
      </c>
      <c r="R780" s="4">
        <v>0</v>
      </c>
      <c r="S780" s="6">
        <v>0</v>
      </c>
      <c r="T780" s="6">
        <v>55</v>
      </c>
      <c r="U780" s="6">
        <v>96</v>
      </c>
      <c r="V780" s="6">
        <f>IF(ISERROR(VLOOKUP($S$780,'TAR FIN'!$A$1:$O$103,15,0)),0,VLOOKUP($S$780,'TAR FIN'!$A$1:$O$103,15,0))</f>
        <v>0</v>
      </c>
      <c r="W780" s="6">
        <f>IF(ISERROR(VLOOKUP($T$780,'TAR FIN'!$A$1:$O$103,15,0)),0,VLOOKUP($T$780,'TAR FIN'!$A$1:$O$103,15,0))</f>
        <v>1043.57</v>
      </c>
      <c r="X780" s="6">
        <f>IF(ISERROR(VLOOKUP($U$780,'TAR FIN'!$A$1:$O$103,15,0)),0,VLOOKUP($U$780,'TAR FIN'!$A$1:$O$103,15,0))</f>
        <v>391.54</v>
      </c>
      <c r="Y780" s="6"/>
      <c r="Z780" s="6">
        <f ca="1">('TUSD BE'!$AM$57+'TUSD BF'!$AM$57+'TUSD CVA'!$AM$57)*1</f>
        <v>1219.8615646283974</v>
      </c>
      <c r="AA780" s="6">
        <f>('TE BE'!$AB$38+'TE BF'!$AB$38+'TE CVA'!$AB$38)*1</f>
        <v>361.95264704220779</v>
      </c>
      <c r="AB780" s="6">
        <f>$K$780*$V$780</f>
        <v>0</v>
      </c>
      <c r="AC780" s="6">
        <f>$M$780*$W$780</f>
        <v>190.97331</v>
      </c>
      <c r="AD780" s="6">
        <f>$O$780*$X$780</f>
        <v>71.651820000000001</v>
      </c>
      <c r="AE780" s="6">
        <f>$K$780*$Y$780</f>
        <v>0</v>
      </c>
      <c r="AF780" s="6">
        <f ca="1">$M$780*$Z$780</f>
        <v>223.23466632699672</v>
      </c>
      <c r="AG780" s="6">
        <f>$O$780*$AA$780</f>
        <v>66.237334408724024</v>
      </c>
    </row>
    <row r="781" spans="1:33" ht="11.25" customHeight="1" x14ac:dyDescent="0.3">
      <c r="A781" s="4" t="s">
        <v>21</v>
      </c>
      <c r="B781" s="4" t="s">
        <v>37</v>
      </c>
      <c r="C781" s="4" t="s">
        <v>33</v>
      </c>
      <c r="D781" s="4" t="s">
        <v>46</v>
      </c>
      <c r="E781" s="4" t="s">
        <v>25</v>
      </c>
      <c r="F781" s="4" t="s">
        <v>25</v>
      </c>
      <c r="G781" s="4" t="s">
        <v>25</v>
      </c>
      <c r="H781" s="4" t="s">
        <v>34</v>
      </c>
      <c r="I781" s="5">
        <v>44743</v>
      </c>
      <c r="J781" s="6">
        <v>0</v>
      </c>
      <c r="K781" s="6">
        <v>0</v>
      </c>
      <c r="L781" s="6">
        <v>0.19500000000000001</v>
      </c>
      <c r="M781" s="6">
        <v>0.19500000000000001</v>
      </c>
      <c r="N781" s="6">
        <v>0.19500000000000001</v>
      </c>
      <c r="O781" s="6">
        <v>0.19500000000000001</v>
      </c>
      <c r="P781" s="6">
        <v>0</v>
      </c>
      <c r="Q781" s="4" t="s">
        <v>26</v>
      </c>
      <c r="R781" s="4">
        <v>0</v>
      </c>
      <c r="S781" s="6">
        <v>0</v>
      </c>
      <c r="T781" s="6">
        <v>55</v>
      </c>
      <c r="U781" s="6">
        <v>96</v>
      </c>
      <c r="V781" s="6">
        <f>IF(ISERROR(VLOOKUP($S$781,'TAR FIN'!$A$1:$O$103,15,0)),0,VLOOKUP($S$781,'TAR FIN'!$A$1:$O$103,15,0))</f>
        <v>0</v>
      </c>
      <c r="W781" s="6">
        <f>IF(ISERROR(VLOOKUP($T$781,'TAR FIN'!$A$1:$O$103,15,0)),0,VLOOKUP($T$781,'TAR FIN'!$A$1:$O$103,15,0))</f>
        <v>1043.57</v>
      </c>
      <c r="X781" s="6">
        <f>IF(ISERROR(VLOOKUP($U$781,'TAR FIN'!$A$1:$O$103,15,0)),0,VLOOKUP($U$781,'TAR FIN'!$A$1:$O$103,15,0))</f>
        <v>391.54</v>
      </c>
      <c r="Y781" s="6"/>
      <c r="Z781" s="6">
        <f ca="1">('TUSD BE'!$AM$57+'TUSD BF'!$AM$57+'TUSD CVA'!$AM$57)*1</f>
        <v>1219.8615646283974</v>
      </c>
      <c r="AA781" s="6">
        <f>('TE BE'!$AB$38+'TE BF'!$AB$38+'TE CVA'!$AB$38)*1</f>
        <v>361.95264704220779</v>
      </c>
      <c r="AB781" s="6">
        <f>$K$781*$V$781</f>
        <v>0</v>
      </c>
      <c r="AC781" s="6">
        <f>$M$781*$W$781</f>
        <v>203.49615</v>
      </c>
      <c r="AD781" s="6">
        <f>$O$781*$X$781</f>
        <v>76.350300000000004</v>
      </c>
      <c r="AE781" s="6">
        <f>$K$781*$Y$781</f>
        <v>0</v>
      </c>
      <c r="AF781" s="6">
        <f ca="1">$M$781*$Z$781</f>
        <v>237.87300510253752</v>
      </c>
      <c r="AG781" s="6">
        <f>$O$781*$AA$781</f>
        <v>70.580766173230515</v>
      </c>
    </row>
    <row r="782" spans="1:33" ht="11.25" customHeight="1" x14ac:dyDescent="0.3">
      <c r="A782" s="4" t="s">
        <v>21</v>
      </c>
      <c r="B782" s="4" t="s">
        <v>37</v>
      </c>
      <c r="C782" s="4" t="s">
        <v>33</v>
      </c>
      <c r="D782" s="4" t="s">
        <v>46</v>
      </c>
      <c r="E782" s="4" t="s">
        <v>25</v>
      </c>
      <c r="F782" s="4" t="s">
        <v>25</v>
      </c>
      <c r="G782" s="4" t="s">
        <v>25</v>
      </c>
      <c r="H782" s="4" t="s">
        <v>34</v>
      </c>
      <c r="I782" s="5">
        <v>44774</v>
      </c>
      <c r="J782" s="6">
        <v>0</v>
      </c>
      <c r="K782" s="6">
        <v>0</v>
      </c>
      <c r="L782" s="6">
        <v>0.223</v>
      </c>
      <c r="M782" s="6">
        <v>0.223</v>
      </c>
      <c r="N782" s="6">
        <v>0.223</v>
      </c>
      <c r="O782" s="6">
        <v>0.223</v>
      </c>
      <c r="P782" s="6">
        <v>0</v>
      </c>
      <c r="Q782" s="4" t="s">
        <v>26</v>
      </c>
      <c r="R782" s="4">
        <v>0</v>
      </c>
      <c r="S782" s="6">
        <v>0</v>
      </c>
      <c r="T782" s="6">
        <v>55</v>
      </c>
      <c r="U782" s="6">
        <v>96</v>
      </c>
      <c r="V782" s="6">
        <f>IF(ISERROR(VLOOKUP($S$782,'TAR FIN'!$A$1:$O$103,15,0)),0,VLOOKUP($S$782,'TAR FIN'!$A$1:$O$103,15,0))</f>
        <v>0</v>
      </c>
      <c r="W782" s="6">
        <f>IF(ISERROR(VLOOKUP($T$782,'TAR FIN'!$A$1:$O$103,15,0)),0,VLOOKUP($T$782,'TAR FIN'!$A$1:$O$103,15,0))</f>
        <v>1043.57</v>
      </c>
      <c r="X782" s="6">
        <f>IF(ISERROR(VLOOKUP($U$782,'TAR FIN'!$A$1:$O$103,15,0)),0,VLOOKUP($U$782,'TAR FIN'!$A$1:$O$103,15,0))</f>
        <v>391.54</v>
      </c>
      <c r="Y782" s="6"/>
      <c r="Z782" s="6">
        <f ca="1">('TUSD BE'!$AM$57+'TUSD BF'!$AM$57+'TUSD CVA'!$AM$57)*1</f>
        <v>1219.8615646283974</v>
      </c>
      <c r="AA782" s="6">
        <f>('TE BE'!$AB$38+'TE BF'!$AB$38+'TE CVA'!$AB$38)*1</f>
        <v>361.95264704220779</v>
      </c>
      <c r="AB782" s="6">
        <f>$K$782*$V$782</f>
        <v>0</v>
      </c>
      <c r="AC782" s="6">
        <f>$M$782*$W$782</f>
        <v>232.71610999999999</v>
      </c>
      <c r="AD782" s="6">
        <f>$O$782*$X$782</f>
        <v>87.313420000000008</v>
      </c>
      <c r="AE782" s="6">
        <f>$K$782*$Y$782</f>
        <v>0</v>
      </c>
      <c r="AF782" s="6">
        <f ca="1">$M$782*$Z$782</f>
        <v>272.02912891213265</v>
      </c>
      <c r="AG782" s="6">
        <f>$O$782*$AA$782</f>
        <v>80.715440290412332</v>
      </c>
    </row>
    <row r="783" spans="1:33" ht="11.25" customHeight="1" x14ac:dyDescent="0.3">
      <c r="A783" s="4" t="s">
        <v>21</v>
      </c>
      <c r="B783" s="4" t="s">
        <v>37</v>
      </c>
      <c r="C783" s="4" t="s">
        <v>33</v>
      </c>
      <c r="D783" s="4" t="s">
        <v>46</v>
      </c>
      <c r="E783" s="4" t="s">
        <v>25</v>
      </c>
      <c r="F783" s="4" t="s">
        <v>25</v>
      </c>
      <c r="G783" s="4" t="s">
        <v>25</v>
      </c>
      <c r="H783" s="4" t="s">
        <v>34</v>
      </c>
      <c r="I783" s="5">
        <v>44805</v>
      </c>
      <c r="J783" s="6">
        <v>0</v>
      </c>
      <c r="K783" s="6">
        <v>0</v>
      </c>
      <c r="L783" s="6">
        <v>0.20200000000000001</v>
      </c>
      <c r="M783" s="6">
        <v>0.20200000000000001</v>
      </c>
      <c r="N783" s="6">
        <v>0.20200000000000001</v>
      </c>
      <c r="O783" s="6">
        <v>0.20200000000000001</v>
      </c>
      <c r="P783" s="6">
        <v>0</v>
      </c>
      <c r="Q783" s="4" t="s">
        <v>26</v>
      </c>
      <c r="R783" s="4">
        <v>0</v>
      </c>
      <c r="S783" s="6">
        <v>0</v>
      </c>
      <c r="T783" s="6">
        <v>55</v>
      </c>
      <c r="U783" s="6">
        <v>96</v>
      </c>
      <c r="V783" s="6">
        <f>IF(ISERROR(VLOOKUP($S$783,'TAR FIN'!$A$1:$O$103,15,0)),0,VLOOKUP($S$783,'TAR FIN'!$A$1:$O$103,15,0))</f>
        <v>0</v>
      </c>
      <c r="W783" s="6">
        <f>IF(ISERROR(VLOOKUP($T$783,'TAR FIN'!$A$1:$O$103,15,0)),0,VLOOKUP($T$783,'TAR FIN'!$A$1:$O$103,15,0))</f>
        <v>1043.57</v>
      </c>
      <c r="X783" s="6">
        <f>IF(ISERROR(VLOOKUP($U$783,'TAR FIN'!$A$1:$O$103,15,0)),0,VLOOKUP($U$783,'TAR FIN'!$A$1:$O$103,15,0))</f>
        <v>391.54</v>
      </c>
      <c r="Y783" s="6"/>
      <c r="Z783" s="6">
        <f ca="1">('TUSD BE'!$AM$57+'TUSD BF'!$AM$57+'TUSD CVA'!$AM$57)*1</f>
        <v>1219.8615646283974</v>
      </c>
      <c r="AA783" s="6">
        <f>('TE BE'!$AB$38+'TE BF'!$AB$38+'TE CVA'!$AB$38)*1</f>
        <v>361.95264704220779</v>
      </c>
      <c r="AB783" s="6">
        <f>$K$783*$V$783</f>
        <v>0</v>
      </c>
      <c r="AC783" s="6">
        <f>$M$783*$W$783</f>
        <v>210.80114</v>
      </c>
      <c r="AD783" s="6">
        <f>$O$783*$X$783</f>
        <v>79.091080000000005</v>
      </c>
      <c r="AE783" s="6">
        <f>$K$783*$Y$783</f>
        <v>0</v>
      </c>
      <c r="AF783" s="6">
        <f ca="1">$M$783*$Z$783</f>
        <v>246.41203605493629</v>
      </c>
      <c r="AG783" s="6">
        <f>$O$783*$AA$783</f>
        <v>73.114434702525983</v>
      </c>
    </row>
    <row r="784" spans="1:33" ht="11.25" customHeight="1" x14ac:dyDescent="0.3">
      <c r="A784" s="4" t="s">
        <v>57</v>
      </c>
      <c r="B784" s="4" t="s">
        <v>37</v>
      </c>
      <c r="C784" s="4" t="s">
        <v>33</v>
      </c>
      <c r="D784" s="4" t="s">
        <v>46</v>
      </c>
      <c r="E784" s="4" t="s">
        <v>25</v>
      </c>
      <c r="F784" s="4" t="s">
        <v>25</v>
      </c>
      <c r="G784" s="4" t="s">
        <v>25</v>
      </c>
      <c r="H784" s="4" t="s">
        <v>34</v>
      </c>
      <c r="I784" s="5">
        <v>44835</v>
      </c>
      <c r="J784" s="6">
        <v>0</v>
      </c>
      <c r="K784" s="6">
        <v>0</v>
      </c>
      <c r="L784" s="6">
        <v>0.20200000000000001</v>
      </c>
      <c r="M784" s="6">
        <v>0.20200000000000001</v>
      </c>
      <c r="N784" s="6">
        <v>0.20200000000000001</v>
      </c>
      <c r="O784" s="6">
        <v>0.20200000000000001</v>
      </c>
      <c r="P784" s="6">
        <v>0</v>
      </c>
      <c r="Q784" s="4" t="s">
        <v>26</v>
      </c>
      <c r="R784" s="4">
        <v>0</v>
      </c>
      <c r="S784" s="6">
        <v>0</v>
      </c>
      <c r="T784" s="6">
        <v>55</v>
      </c>
      <c r="U784" s="6">
        <v>96</v>
      </c>
      <c r="V784" s="6">
        <f>IF(ISERROR(VLOOKUP($S$784,'TAR FIN'!$A$1:$O$103,15,0)),0,VLOOKUP($S$784,'TAR FIN'!$A$1:$O$103,15,0))</f>
        <v>0</v>
      </c>
      <c r="W784" s="6">
        <f>IF(ISERROR(VLOOKUP($T$784,'TAR FIN'!$A$1:$O$103,15,0)),0,VLOOKUP($T$784,'TAR FIN'!$A$1:$O$103,15,0))</f>
        <v>1043.57</v>
      </c>
      <c r="X784" s="6">
        <f>IF(ISERROR(VLOOKUP($U$784,'TAR FIN'!$A$1:$O$103,15,0)),0,VLOOKUP($U$784,'TAR FIN'!$A$1:$O$103,15,0))</f>
        <v>391.54</v>
      </c>
      <c r="Y784" s="6"/>
      <c r="Z784" s="6">
        <f ca="1">('TUSD BE'!$AM$57+'TUSD BF'!$AM$57+'TUSD CVA'!$AM$57)*1</f>
        <v>1219.8615646283974</v>
      </c>
      <c r="AA784" s="6">
        <f>('TE BE'!$AB$38+'TE BF'!$AB$38+'TE CVA'!$AB$38)*1</f>
        <v>361.95264704220779</v>
      </c>
      <c r="AB784" s="6">
        <f>$K$784*$V$784</f>
        <v>0</v>
      </c>
      <c r="AC784" s="6">
        <f>$M$784*$W$784</f>
        <v>210.80114</v>
      </c>
      <c r="AD784" s="6">
        <f>$O$784*$X$784</f>
        <v>79.091080000000005</v>
      </c>
      <c r="AE784" s="6">
        <f>$K$784*$Y$784</f>
        <v>0</v>
      </c>
      <c r="AF784" s="6">
        <f ca="1">$M$784*$Z$784</f>
        <v>246.41203605493629</v>
      </c>
      <c r="AG784" s="6">
        <f>$O$784*$AA$784</f>
        <v>73.114434702525983</v>
      </c>
    </row>
    <row r="785" spans="1:33" ht="11.25" customHeight="1" x14ac:dyDescent="0.3">
      <c r="A785" s="4" t="s">
        <v>21</v>
      </c>
      <c r="B785" s="4" t="s">
        <v>37</v>
      </c>
      <c r="C785" s="4" t="s">
        <v>23</v>
      </c>
      <c r="D785" s="4" t="s">
        <v>41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44501</v>
      </c>
      <c r="J785" s="6">
        <v>0</v>
      </c>
      <c r="K785" s="6">
        <v>0</v>
      </c>
      <c r="L785" s="6">
        <v>1412.8710000000001</v>
      </c>
      <c r="M785" s="6">
        <v>1412.8710000000001</v>
      </c>
      <c r="N785" s="6">
        <v>1412.8710000000001</v>
      </c>
      <c r="O785" s="6">
        <v>1412.8710000000001</v>
      </c>
      <c r="P785" s="6">
        <v>3152</v>
      </c>
      <c r="Q785" s="4" t="s">
        <v>26</v>
      </c>
      <c r="R785" s="4">
        <v>0</v>
      </c>
      <c r="S785" s="6">
        <v>0</v>
      </c>
      <c r="T785" s="6">
        <v>58</v>
      </c>
      <c r="U785" s="6">
        <v>99</v>
      </c>
      <c r="V785" s="6">
        <f>IF(ISERROR(VLOOKUP($S$785,'TAR FIN'!$A$1:$O$103,15,0)),0,VLOOKUP($S$785,'TAR FIN'!$A$1:$O$103,15,0))</f>
        <v>0</v>
      </c>
      <c r="W785" s="6">
        <f>IF(ISERROR(VLOOKUP($T$785,'TAR FIN'!$A$1:$O$103,15,0)),0,VLOOKUP($T$785,'TAR FIN'!$A$1:$O$103,15,0))</f>
        <v>379.62</v>
      </c>
      <c r="X785" s="6">
        <f>IF(ISERROR(VLOOKUP($U$785,'TAR FIN'!$A$1:$O$103,15,0)),0,VLOOKUP($U$785,'TAR FIN'!$A$1:$O$103,15,0))</f>
        <v>255.17</v>
      </c>
      <c r="Y785" s="6"/>
      <c r="Z785" s="6">
        <f ca="1">('TUSD BE'!$AM$60+'TUSD BF'!$AM$60+'TUSD CVA'!$AM$60)*1</f>
        <v>482.06736206829294</v>
      </c>
      <c r="AA785" s="6">
        <f>('TE BE'!$AB$41+'TE BF'!$AB$41+'TE CVA'!$AB$41)*1</f>
        <v>234.02376339339278</v>
      </c>
      <c r="AB785" s="6">
        <f>$K$785*$V$785</f>
        <v>0</v>
      </c>
      <c r="AC785" s="6">
        <f>$M$785*$W$785</f>
        <v>536354.08902000007</v>
      </c>
      <c r="AD785" s="6">
        <f>$O$785*$X$785</f>
        <v>360522.29307000001</v>
      </c>
      <c r="AE785" s="6">
        <f>$K$785*$Y$785</f>
        <v>0</v>
      </c>
      <c r="AF785" s="6">
        <f ca="1">$M$785*$Z$785</f>
        <v>681098.99591279111</v>
      </c>
      <c r="AG785" s="6">
        <f>$O$785*$AA$785</f>
        <v>330645.38860938628</v>
      </c>
    </row>
    <row r="786" spans="1:33" ht="11.25" customHeight="1" x14ac:dyDescent="0.3">
      <c r="A786" s="4" t="s">
        <v>28</v>
      </c>
      <c r="B786" s="4" t="s">
        <v>37</v>
      </c>
      <c r="C786" s="4" t="s">
        <v>23</v>
      </c>
      <c r="D786" s="4" t="s">
        <v>41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44501</v>
      </c>
      <c r="J786" s="6">
        <v>0</v>
      </c>
      <c r="K786" s="6">
        <v>0</v>
      </c>
      <c r="L786" s="6">
        <v>127.961</v>
      </c>
      <c r="M786" s="6">
        <v>127.961</v>
      </c>
      <c r="N786" s="6">
        <v>127.961</v>
      </c>
      <c r="O786" s="6">
        <v>127.961</v>
      </c>
      <c r="P786" s="6">
        <v>172</v>
      </c>
      <c r="Q786" s="4" t="s">
        <v>26</v>
      </c>
      <c r="R786" s="4">
        <v>0</v>
      </c>
      <c r="S786" s="6">
        <v>0</v>
      </c>
      <c r="T786" s="6">
        <v>58</v>
      </c>
      <c r="U786" s="6">
        <v>99</v>
      </c>
      <c r="V786" s="6">
        <f>IF(ISERROR(VLOOKUP($S$786,'TAR FIN'!$A$1:$O$103,15,0)),0,VLOOKUP($S$786,'TAR FIN'!$A$1:$O$103,15,0))</f>
        <v>0</v>
      </c>
      <c r="W786" s="6">
        <f>IF(ISERROR(VLOOKUP($T$786,'TAR FIN'!$A$1:$O$103,15,0)),0,VLOOKUP($T$786,'TAR FIN'!$A$1:$O$103,15,0))</f>
        <v>379.62</v>
      </c>
      <c r="X786" s="6">
        <f>IF(ISERROR(VLOOKUP($U$786,'TAR FIN'!$A$1:$O$103,15,0)),0,VLOOKUP($U$786,'TAR FIN'!$A$1:$O$103,15,0))</f>
        <v>255.17</v>
      </c>
      <c r="Y786" s="6"/>
      <c r="Z786" s="6">
        <f ca="1">('TUSD BE'!$AM$60+'TUSD BF'!$AM$60+'TUSD CVA'!$AM$60)*1</f>
        <v>482.06736206829294</v>
      </c>
      <c r="AA786" s="6">
        <f>('TE BE'!$AB$41+'TE BF'!$AB$41+'TE CVA'!$AB$41)*1</f>
        <v>234.02376339339278</v>
      </c>
      <c r="AB786" s="6">
        <f>$K$786*$V$786</f>
        <v>0</v>
      </c>
      <c r="AC786" s="6">
        <f>$M$786*$W$786</f>
        <v>48576.554819999998</v>
      </c>
      <c r="AD786" s="6">
        <f>$O$786*$X$786</f>
        <v>32651.808369999999</v>
      </c>
      <c r="AE786" s="6">
        <f>$K$786*$Y$786</f>
        <v>0</v>
      </c>
      <c r="AF786" s="6">
        <f ca="1">$M$786*$Z$786</f>
        <v>61685.821717620835</v>
      </c>
      <c r="AG786" s="6">
        <f>$O$786*$AA$786</f>
        <v>29945.914787581933</v>
      </c>
    </row>
    <row r="787" spans="1:33" ht="11.25" customHeight="1" x14ac:dyDescent="0.3">
      <c r="A787" s="4" t="s">
        <v>21</v>
      </c>
      <c r="B787" s="4" t="s">
        <v>37</v>
      </c>
      <c r="C787" s="4" t="s">
        <v>23</v>
      </c>
      <c r="D787" s="4" t="s">
        <v>41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44531</v>
      </c>
      <c r="J787" s="6">
        <v>0</v>
      </c>
      <c r="K787" s="6">
        <v>0</v>
      </c>
      <c r="L787" s="6">
        <v>1341.183</v>
      </c>
      <c r="M787" s="6">
        <v>1341.183</v>
      </c>
      <c r="N787" s="6">
        <v>1341.183</v>
      </c>
      <c r="O787" s="6">
        <v>1341.183</v>
      </c>
      <c r="P787" s="6">
        <v>3157</v>
      </c>
      <c r="Q787" s="4" t="s">
        <v>26</v>
      </c>
      <c r="R787" s="4">
        <v>0</v>
      </c>
      <c r="S787" s="6">
        <v>0</v>
      </c>
      <c r="T787" s="6">
        <v>58</v>
      </c>
      <c r="U787" s="6">
        <v>99</v>
      </c>
      <c r="V787" s="6">
        <f>IF(ISERROR(VLOOKUP($S$787,'TAR FIN'!$A$1:$O$103,15,0)),0,VLOOKUP($S$787,'TAR FIN'!$A$1:$O$103,15,0))</f>
        <v>0</v>
      </c>
      <c r="W787" s="6">
        <f>IF(ISERROR(VLOOKUP($T$787,'TAR FIN'!$A$1:$O$103,15,0)),0,VLOOKUP($T$787,'TAR FIN'!$A$1:$O$103,15,0))</f>
        <v>379.62</v>
      </c>
      <c r="X787" s="6">
        <f>IF(ISERROR(VLOOKUP($U$787,'TAR FIN'!$A$1:$O$103,15,0)),0,VLOOKUP($U$787,'TAR FIN'!$A$1:$O$103,15,0))</f>
        <v>255.17</v>
      </c>
      <c r="Y787" s="6"/>
      <c r="Z787" s="6">
        <f ca="1">('TUSD BE'!$AM$60+'TUSD BF'!$AM$60+'TUSD CVA'!$AM$60)*1</f>
        <v>482.06736206829294</v>
      </c>
      <c r="AA787" s="6">
        <f>('TE BE'!$AB$41+'TE BF'!$AB$41+'TE CVA'!$AB$41)*1</f>
        <v>234.02376339339278</v>
      </c>
      <c r="AB787" s="6">
        <f>$K$787*$V$787</f>
        <v>0</v>
      </c>
      <c r="AC787" s="6">
        <f>$M$787*$W$787</f>
        <v>509139.89046000002</v>
      </c>
      <c r="AD787" s="6">
        <f>$O$787*$X$787</f>
        <v>342229.66610999999</v>
      </c>
      <c r="AE787" s="6">
        <f>$K$787*$Y$787</f>
        <v>0</v>
      </c>
      <c r="AF787" s="6">
        <f ca="1">$M$787*$Z$787</f>
        <v>646540.55086083931</v>
      </c>
      <c r="AG787" s="6">
        <f>$O$787*$AA$787</f>
        <v>313868.6930592407</v>
      </c>
    </row>
    <row r="788" spans="1:33" ht="11.25" customHeight="1" x14ac:dyDescent="0.3">
      <c r="A788" s="4" t="s">
        <v>28</v>
      </c>
      <c r="B788" s="4" t="s">
        <v>37</v>
      </c>
      <c r="C788" s="4" t="s">
        <v>23</v>
      </c>
      <c r="D788" s="4" t="s">
        <v>41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44531</v>
      </c>
      <c r="J788" s="6">
        <v>0</v>
      </c>
      <c r="K788" s="6">
        <v>0</v>
      </c>
      <c r="L788" s="6">
        <v>135.56899999999999</v>
      </c>
      <c r="M788" s="6">
        <v>135.56899999999999</v>
      </c>
      <c r="N788" s="6">
        <v>135.56899999999999</v>
      </c>
      <c r="O788" s="6">
        <v>135.56899999999999</v>
      </c>
      <c r="P788" s="6">
        <v>178</v>
      </c>
      <c r="Q788" s="4" t="s">
        <v>26</v>
      </c>
      <c r="R788" s="4">
        <v>0</v>
      </c>
      <c r="S788" s="6">
        <v>0</v>
      </c>
      <c r="T788" s="6">
        <v>58</v>
      </c>
      <c r="U788" s="6">
        <v>99</v>
      </c>
      <c r="V788" s="6">
        <f>IF(ISERROR(VLOOKUP($S$788,'TAR FIN'!$A$1:$O$103,15,0)),0,VLOOKUP($S$788,'TAR FIN'!$A$1:$O$103,15,0))</f>
        <v>0</v>
      </c>
      <c r="W788" s="6">
        <f>IF(ISERROR(VLOOKUP($T$788,'TAR FIN'!$A$1:$O$103,15,0)),0,VLOOKUP($T$788,'TAR FIN'!$A$1:$O$103,15,0))</f>
        <v>379.62</v>
      </c>
      <c r="X788" s="6">
        <f>IF(ISERROR(VLOOKUP($U$788,'TAR FIN'!$A$1:$O$103,15,0)),0,VLOOKUP($U$788,'TAR FIN'!$A$1:$O$103,15,0))</f>
        <v>255.17</v>
      </c>
      <c r="Y788" s="6"/>
      <c r="Z788" s="6">
        <f ca="1">('TUSD BE'!$AM$60+'TUSD BF'!$AM$60+'TUSD CVA'!$AM$60)*1</f>
        <v>482.06736206829294</v>
      </c>
      <c r="AA788" s="6">
        <f>('TE BE'!$AB$41+'TE BF'!$AB$41+'TE CVA'!$AB$41)*1</f>
        <v>234.02376339339278</v>
      </c>
      <c r="AB788" s="6">
        <f>$K$788*$V$788</f>
        <v>0</v>
      </c>
      <c r="AC788" s="6">
        <f>$M$788*$W$788</f>
        <v>51464.703779999996</v>
      </c>
      <c r="AD788" s="6">
        <f>$O$788*$X$788</f>
        <v>34593.141729999996</v>
      </c>
      <c r="AE788" s="6">
        <f>$K$788*$Y$788</f>
        <v>0</v>
      </c>
      <c r="AF788" s="6">
        <f ca="1">$M$788*$Z$788</f>
        <v>65353.3902082364</v>
      </c>
      <c r="AG788" s="6">
        <f>$O$788*$AA$788</f>
        <v>31726.367579478865</v>
      </c>
    </row>
    <row r="789" spans="1:33" ht="11.25" customHeight="1" x14ac:dyDescent="0.3">
      <c r="A789" s="4" t="s">
        <v>21</v>
      </c>
      <c r="B789" s="4" t="s">
        <v>37</v>
      </c>
      <c r="C789" s="4" t="s">
        <v>23</v>
      </c>
      <c r="D789" s="4" t="s">
        <v>41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44562</v>
      </c>
      <c r="J789" s="6">
        <v>0</v>
      </c>
      <c r="K789" s="6">
        <v>0</v>
      </c>
      <c r="L789" s="6">
        <v>1364.8309999999999</v>
      </c>
      <c r="M789" s="6">
        <v>1364.8309999999999</v>
      </c>
      <c r="N789" s="6">
        <v>1364.8309999999999</v>
      </c>
      <c r="O789" s="6">
        <v>1364.8309999999999</v>
      </c>
      <c r="P789" s="6">
        <v>3143</v>
      </c>
      <c r="Q789" s="4" t="s">
        <v>26</v>
      </c>
      <c r="R789" s="4">
        <v>0</v>
      </c>
      <c r="S789" s="6">
        <v>0</v>
      </c>
      <c r="T789" s="6">
        <v>58</v>
      </c>
      <c r="U789" s="6">
        <v>99</v>
      </c>
      <c r="V789" s="6">
        <f>IF(ISERROR(VLOOKUP($S$789,'TAR FIN'!$A$1:$O$103,15,0)),0,VLOOKUP($S$789,'TAR FIN'!$A$1:$O$103,15,0))</f>
        <v>0</v>
      </c>
      <c r="W789" s="6">
        <f>IF(ISERROR(VLOOKUP($T$789,'TAR FIN'!$A$1:$O$103,15,0)),0,VLOOKUP($T$789,'TAR FIN'!$A$1:$O$103,15,0))</f>
        <v>379.62</v>
      </c>
      <c r="X789" s="6">
        <f>IF(ISERROR(VLOOKUP($U$789,'TAR FIN'!$A$1:$O$103,15,0)),0,VLOOKUP($U$789,'TAR FIN'!$A$1:$O$103,15,0))</f>
        <v>255.17</v>
      </c>
      <c r="Y789" s="6"/>
      <c r="Z789" s="6">
        <f ca="1">('TUSD BE'!$AM$60+'TUSD BF'!$AM$60+'TUSD CVA'!$AM$60)*1</f>
        <v>482.06736206829294</v>
      </c>
      <c r="AA789" s="6">
        <f>('TE BE'!$AB$41+'TE BF'!$AB$41+'TE CVA'!$AB$41)*1</f>
        <v>234.02376339339278</v>
      </c>
      <c r="AB789" s="6">
        <f>$K$789*$V$789</f>
        <v>0</v>
      </c>
      <c r="AC789" s="6">
        <f>$M$789*$W$789</f>
        <v>518117.14421999996</v>
      </c>
      <c r="AD789" s="6">
        <f>$O$789*$X$789</f>
        <v>348263.92626999994</v>
      </c>
      <c r="AE789" s="6">
        <f>$K$789*$Y$789</f>
        <v>0</v>
      </c>
      <c r="AF789" s="6">
        <f ca="1">$M$789*$Z$789</f>
        <v>657940.4798390303</v>
      </c>
      <c r="AG789" s="6">
        <f>$O$789*$AA$789</f>
        <v>319402.88701596763</v>
      </c>
    </row>
    <row r="790" spans="1:33" ht="11.25" customHeight="1" x14ac:dyDescent="0.3">
      <c r="A790" s="4" t="s">
        <v>28</v>
      </c>
      <c r="B790" s="4" t="s">
        <v>37</v>
      </c>
      <c r="C790" s="4" t="s">
        <v>23</v>
      </c>
      <c r="D790" s="4" t="s">
        <v>41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44562</v>
      </c>
      <c r="J790" s="6">
        <v>0</v>
      </c>
      <c r="K790" s="6">
        <v>0</v>
      </c>
      <c r="L790" s="6">
        <v>143.53</v>
      </c>
      <c r="M790" s="6">
        <v>143.53</v>
      </c>
      <c r="N790" s="6">
        <v>143.53</v>
      </c>
      <c r="O790" s="6">
        <v>143.53</v>
      </c>
      <c r="P790" s="6">
        <v>190</v>
      </c>
      <c r="Q790" s="4" t="s">
        <v>26</v>
      </c>
      <c r="R790" s="4">
        <v>0</v>
      </c>
      <c r="S790" s="6">
        <v>0</v>
      </c>
      <c r="T790" s="6">
        <v>58</v>
      </c>
      <c r="U790" s="6">
        <v>99</v>
      </c>
      <c r="V790" s="6">
        <f>IF(ISERROR(VLOOKUP($S$790,'TAR FIN'!$A$1:$O$103,15,0)),0,VLOOKUP($S$790,'TAR FIN'!$A$1:$O$103,15,0))</f>
        <v>0</v>
      </c>
      <c r="W790" s="6">
        <f>IF(ISERROR(VLOOKUP($T$790,'TAR FIN'!$A$1:$O$103,15,0)),0,VLOOKUP($T$790,'TAR FIN'!$A$1:$O$103,15,0))</f>
        <v>379.62</v>
      </c>
      <c r="X790" s="6">
        <f>IF(ISERROR(VLOOKUP($U$790,'TAR FIN'!$A$1:$O$103,15,0)),0,VLOOKUP($U$790,'TAR FIN'!$A$1:$O$103,15,0))</f>
        <v>255.17</v>
      </c>
      <c r="Y790" s="6"/>
      <c r="Z790" s="6">
        <f ca="1">('TUSD BE'!$AM$60+'TUSD BF'!$AM$60+'TUSD CVA'!$AM$60)*1</f>
        <v>482.06736206829294</v>
      </c>
      <c r="AA790" s="6">
        <f>('TE BE'!$AB$41+'TE BF'!$AB$41+'TE CVA'!$AB$41)*1</f>
        <v>234.02376339339278</v>
      </c>
      <c r="AB790" s="6">
        <f>$K$790*$V$790</f>
        <v>0</v>
      </c>
      <c r="AC790" s="6">
        <f>$M$790*$W$790</f>
        <v>54486.8586</v>
      </c>
      <c r="AD790" s="6">
        <f>$O$790*$X$790</f>
        <v>36624.5501</v>
      </c>
      <c r="AE790" s="6">
        <f>$K$790*$Y$790</f>
        <v>0</v>
      </c>
      <c r="AF790" s="6">
        <f ca="1">$M$790*$Z$790</f>
        <v>69191.128477662089</v>
      </c>
      <c r="AG790" s="6">
        <f>$O$790*$AA$790</f>
        <v>33589.430759853669</v>
      </c>
    </row>
    <row r="791" spans="1:33" ht="11.25" customHeight="1" x14ac:dyDescent="0.3">
      <c r="A791" s="4" t="s">
        <v>21</v>
      </c>
      <c r="B791" s="4" t="s">
        <v>37</v>
      </c>
      <c r="C791" s="4" t="s">
        <v>23</v>
      </c>
      <c r="D791" s="4" t="s">
        <v>41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44593</v>
      </c>
      <c r="J791" s="6">
        <v>0</v>
      </c>
      <c r="K791" s="6">
        <v>0</v>
      </c>
      <c r="L791" s="6">
        <v>1338.837</v>
      </c>
      <c r="M791" s="6">
        <v>1338.837</v>
      </c>
      <c r="N791" s="6">
        <v>1338.837</v>
      </c>
      <c r="O791" s="6">
        <v>1338.837</v>
      </c>
      <c r="P791" s="6">
        <v>3126</v>
      </c>
      <c r="Q791" s="4" t="s">
        <v>26</v>
      </c>
      <c r="R791" s="4">
        <v>0</v>
      </c>
      <c r="S791" s="6">
        <v>0</v>
      </c>
      <c r="T791" s="6">
        <v>58</v>
      </c>
      <c r="U791" s="6">
        <v>99</v>
      </c>
      <c r="V791" s="6">
        <f>IF(ISERROR(VLOOKUP($S$791,'TAR FIN'!$A$1:$O$103,15,0)),0,VLOOKUP($S$791,'TAR FIN'!$A$1:$O$103,15,0))</f>
        <v>0</v>
      </c>
      <c r="W791" s="6">
        <f>IF(ISERROR(VLOOKUP($T$791,'TAR FIN'!$A$1:$O$103,15,0)),0,VLOOKUP($T$791,'TAR FIN'!$A$1:$O$103,15,0))</f>
        <v>379.62</v>
      </c>
      <c r="X791" s="6">
        <f>IF(ISERROR(VLOOKUP($U$791,'TAR FIN'!$A$1:$O$103,15,0)),0,VLOOKUP($U$791,'TAR FIN'!$A$1:$O$103,15,0))</f>
        <v>255.17</v>
      </c>
      <c r="Y791" s="6"/>
      <c r="Z791" s="6">
        <f ca="1">('TUSD BE'!$AM$60+'TUSD BF'!$AM$60+'TUSD CVA'!$AM$60)*1</f>
        <v>482.06736206829294</v>
      </c>
      <c r="AA791" s="6">
        <f>('TE BE'!$AB$41+'TE BF'!$AB$41+'TE CVA'!$AB$41)*1</f>
        <v>234.02376339339278</v>
      </c>
      <c r="AB791" s="6">
        <f>$K$791*$V$791</f>
        <v>0</v>
      </c>
      <c r="AC791" s="6">
        <f>$M$791*$W$791</f>
        <v>508249.30193999998</v>
      </c>
      <c r="AD791" s="6">
        <f>$O$791*$X$791</f>
        <v>341631.03729000001</v>
      </c>
      <c r="AE791" s="6">
        <f>$K$791*$Y$791</f>
        <v>0</v>
      </c>
      <c r="AF791" s="6">
        <f ca="1">$M$791*$Z$791</f>
        <v>645409.62082942715</v>
      </c>
      <c r="AG791" s="6">
        <f>$O$791*$AA$791</f>
        <v>313319.67331031983</v>
      </c>
    </row>
    <row r="792" spans="1:33" ht="11.25" customHeight="1" x14ac:dyDescent="0.3">
      <c r="A792" s="4" t="s">
        <v>28</v>
      </c>
      <c r="B792" s="4" t="s">
        <v>37</v>
      </c>
      <c r="C792" s="4" t="s">
        <v>23</v>
      </c>
      <c r="D792" s="4" t="s">
        <v>41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44593</v>
      </c>
      <c r="J792" s="6">
        <v>0</v>
      </c>
      <c r="K792" s="6">
        <v>0</v>
      </c>
      <c r="L792" s="6">
        <v>117.672</v>
      </c>
      <c r="M792" s="6">
        <v>117.672</v>
      </c>
      <c r="N792" s="6">
        <v>117.672</v>
      </c>
      <c r="O792" s="6">
        <v>117.672</v>
      </c>
      <c r="P792" s="6">
        <v>206</v>
      </c>
      <c r="Q792" s="4" t="s">
        <v>26</v>
      </c>
      <c r="R792" s="4">
        <v>0</v>
      </c>
      <c r="S792" s="6">
        <v>0</v>
      </c>
      <c r="T792" s="6">
        <v>58</v>
      </c>
      <c r="U792" s="6">
        <v>99</v>
      </c>
      <c r="V792" s="6">
        <f>IF(ISERROR(VLOOKUP($S$792,'TAR FIN'!$A$1:$O$103,15,0)),0,VLOOKUP($S$792,'TAR FIN'!$A$1:$O$103,15,0))</f>
        <v>0</v>
      </c>
      <c r="W792" s="6">
        <f>IF(ISERROR(VLOOKUP($T$792,'TAR FIN'!$A$1:$O$103,15,0)),0,VLOOKUP($T$792,'TAR FIN'!$A$1:$O$103,15,0))</f>
        <v>379.62</v>
      </c>
      <c r="X792" s="6">
        <f>IF(ISERROR(VLOOKUP($U$792,'TAR FIN'!$A$1:$O$103,15,0)),0,VLOOKUP($U$792,'TAR FIN'!$A$1:$O$103,15,0))</f>
        <v>255.17</v>
      </c>
      <c r="Y792" s="6"/>
      <c r="Z792" s="6">
        <f ca="1">('TUSD BE'!$AM$60+'TUSD BF'!$AM$60+'TUSD CVA'!$AM$60)*1</f>
        <v>482.06736206829294</v>
      </c>
      <c r="AA792" s="6">
        <f>('TE BE'!$AB$41+'TE BF'!$AB$41+'TE CVA'!$AB$41)*1</f>
        <v>234.02376339339278</v>
      </c>
      <c r="AB792" s="6">
        <f>$K$792*$V$792</f>
        <v>0</v>
      </c>
      <c r="AC792" s="6">
        <f>$M$792*$W$792</f>
        <v>44670.644639999999</v>
      </c>
      <c r="AD792" s="6">
        <f>$O$792*$X$792</f>
        <v>30026.364239999999</v>
      </c>
      <c r="AE792" s="6">
        <f>$K$792*$Y$792</f>
        <v>0</v>
      </c>
      <c r="AF792" s="6">
        <f ca="1">$M$792*$Z$792</f>
        <v>56725.830629300166</v>
      </c>
      <c r="AG792" s="6">
        <f>$O$792*$AA$792</f>
        <v>27538.044286027314</v>
      </c>
    </row>
    <row r="793" spans="1:33" ht="11.25" customHeight="1" x14ac:dyDescent="0.3">
      <c r="A793" s="4" t="s">
        <v>21</v>
      </c>
      <c r="B793" s="4" t="s">
        <v>37</v>
      </c>
      <c r="C793" s="4" t="s">
        <v>23</v>
      </c>
      <c r="D793" s="4" t="s">
        <v>41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44621</v>
      </c>
      <c r="J793" s="6">
        <v>0</v>
      </c>
      <c r="K793" s="6">
        <v>0</v>
      </c>
      <c r="L793" s="6">
        <v>1231.1179999999999</v>
      </c>
      <c r="M793" s="6">
        <v>1231.1179999999999</v>
      </c>
      <c r="N793" s="6">
        <v>1231.1179999999999</v>
      </c>
      <c r="O793" s="6">
        <v>1231.1179999999999</v>
      </c>
      <c r="P793" s="6">
        <v>3135</v>
      </c>
      <c r="Q793" s="4" t="s">
        <v>26</v>
      </c>
      <c r="R793" s="4">
        <v>0</v>
      </c>
      <c r="S793" s="6">
        <v>0</v>
      </c>
      <c r="T793" s="6">
        <v>58</v>
      </c>
      <c r="U793" s="6">
        <v>99</v>
      </c>
      <c r="V793" s="6">
        <f>IF(ISERROR(VLOOKUP($S$793,'TAR FIN'!$A$1:$O$103,15,0)),0,VLOOKUP($S$793,'TAR FIN'!$A$1:$O$103,15,0))</f>
        <v>0</v>
      </c>
      <c r="W793" s="6">
        <f>IF(ISERROR(VLOOKUP($T$793,'TAR FIN'!$A$1:$O$103,15,0)),0,VLOOKUP($T$793,'TAR FIN'!$A$1:$O$103,15,0))</f>
        <v>379.62</v>
      </c>
      <c r="X793" s="6">
        <f>IF(ISERROR(VLOOKUP($U$793,'TAR FIN'!$A$1:$O$103,15,0)),0,VLOOKUP($U$793,'TAR FIN'!$A$1:$O$103,15,0))</f>
        <v>255.17</v>
      </c>
      <c r="Y793" s="6"/>
      <c r="Z793" s="6">
        <f ca="1">('TUSD BE'!$AM$60+'TUSD BF'!$AM$60+'TUSD CVA'!$AM$60)*1</f>
        <v>482.06736206829294</v>
      </c>
      <c r="AA793" s="6">
        <f>('TE BE'!$AB$41+'TE BF'!$AB$41+'TE CVA'!$AB$41)*1</f>
        <v>234.02376339339278</v>
      </c>
      <c r="AB793" s="6">
        <f>$K$793*$V$793</f>
        <v>0</v>
      </c>
      <c r="AC793" s="6">
        <f>$M$793*$W$793</f>
        <v>467357.01516000001</v>
      </c>
      <c r="AD793" s="6">
        <f>$O$793*$X$793</f>
        <v>314144.38006</v>
      </c>
      <c r="AE793" s="6">
        <f>$K$793*$Y$793</f>
        <v>0</v>
      </c>
      <c r="AF793" s="6">
        <f ca="1">$M$793*$Z$793</f>
        <v>593481.80665479263</v>
      </c>
      <c r="AG793" s="6">
        <f>$O$793*$AA$793</f>
        <v>288110.86754134693</v>
      </c>
    </row>
    <row r="794" spans="1:33" ht="11.25" customHeight="1" x14ac:dyDescent="0.3">
      <c r="A794" s="4" t="s">
        <v>28</v>
      </c>
      <c r="B794" s="4" t="s">
        <v>37</v>
      </c>
      <c r="C794" s="4" t="s">
        <v>23</v>
      </c>
      <c r="D794" s="4" t="s">
        <v>41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44621</v>
      </c>
      <c r="J794" s="6">
        <v>0</v>
      </c>
      <c r="K794" s="6">
        <v>0</v>
      </c>
      <c r="L794" s="6">
        <v>114.151</v>
      </c>
      <c r="M794" s="6">
        <v>114.151</v>
      </c>
      <c r="N794" s="6">
        <v>114.151</v>
      </c>
      <c r="O794" s="6">
        <v>114.151</v>
      </c>
      <c r="P794" s="6">
        <v>213</v>
      </c>
      <c r="Q794" s="4" t="s">
        <v>26</v>
      </c>
      <c r="R794" s="4">
        <v>0</v>
      </c>
      <c r="S794" s="6">
        <v>0</v>
      </c>
      <c r="T794" s="6">
        <v>58</v>
      </c>
      <c r="U794" s="6">
        <v>99</v>
      </c>
      <c r="V794" s="6">
        <f>IF(ISERROR(VLOOKUP($S$794,'TAR FIN'!$A$1:$O$103,15,0)),0,VLOOKUP($S$794,'TAR FIN'!$A$1:$O$103,15,0))</f>
        <v>0</v>
      </c>
      <c r="W794" s="6">
        <f>IF(ISERROR(VLOOKUP($T$794,'TAR FIN'!$A$1:$O$103,15,0)),0,VLOOKUP($T$794,'TAR FIN'!$A$1:$O$103,15,0))</f>
        <v>379.62</v>
      </c>
      <c r="X794" s="6">
        <f>IF(ISERROR(VLOOKUP($U$794,'TAR FIN'!$A$1:$O$103,15,0)),0,VLOOKUP($U$794,'TAR FIN'!$A$1:$O$103,15,0))</f>
        <v>255.17</v>
      </c>
      <c r="Y794" s="6"/>
      <c r="Z794" s="6">
        <f ca="1">('TUSD BE'!$AM$60+'TUSD BF'!$AM$60+'TUSD CVA'!$AM$60)*1</f>
        <v>482.06736206829294</v>
      </c>
      <c r="AA794" s="6">
        <f>('TE BE'!$AB$41+'TE BF'!$AB$41+'TE CVA'!$AB$41)*1</f>
        <v>234.02376339339278</v>
      </c>
      <c r="AB794" s="6">
        <f>$K$794*$V$794</f>
        <v>0</v>
      </c>
      <c r="AC794" s="6">
        <f>$M$794*$W$794</f>
        <v>43334.002619999999</v>
      </c>
      <c r="AD794" s="6">
        <f>$O$794*$X$794</f>
        <v>29127.910669999997</v>
      </c>
      <c r="AE794" s="6">
        <f>$K$794*$Y$794</f>
        <v>0</v>
      </c>
      <c r="AF794" s="6">
        <f ca="1">$M$794*$Z$794</f>
        <v>55028.471447457705</v>
      </c>
      <c r="AG794" s="6">
        <f>$O$794*$AA$794</f>
        <v>26714.046615119179</v>
      </c>
    </row>
    <row r="795" spans="1:33" ht="11.25" customHeight="1" x14ac:dyDescent="0.3">
      <c r="A795" s="4" t="s">
        <v>21</v>
      </c>
      <c r="B795" s="4" t="s">
        <v>37</v>
      </c>
      <c r="C795" s="4" t="s">
        <v>23</v>
      </c>
      <c r="D795" s="4" t="s">
        <v>41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44652</v>
      </c>
      <c r="J795" s="6">
        <v>0</v>
      </c>
      <c r="K795" s="6">
        <v>0</v>
      </c>
      <c r="L795" s="6">
        <v>1489.4559999999999</v>
      </c>
      <c r="M795" s="6">
        <v>1489.4559999999999</v>
      </c>
      <c r="N795" s="6">
        <v>1489.4559999999999</v>
      </c>
      <c r="O795" s="6">
        <v>1489.4559999999999</v>
      </c>
      <c r="P795" s="6">
        <v>3121</v>
      </c>
      <c r="Q795" s="4" t="s">
        <v>26</v>
      </c>
      <c r="R795" s="4">
        <v>0</v>
      </c>
      <c r="S795" s="6">
        <v>0</v>
      </c>
      <c r="T795" s="6">
        <v>58</v>
      </c>
      <c r="U795" s="6">
        <v>99</v>
      </c>
      <c r="V795" s="6">
        <f>IF(ISERROR(VLOOKUP($S$795,'TAR FIN'!$A$1:$O$103,15,0)),0,VLOOKUP($S$795,'TAR FIN'!$A$1:$O$103,15,0))</f>
        <v>0</v>
      </c>
      <c r="W795" s="6">
        <f>IF(ISERROR(VLOOKUP($T$795,'TAR FIN'!$A$1:$O$103,15,0)),0,VLOOKUP($T$795,'TAR FIN'!$A$1:$O$103,15,0))</f>
        <v>379.62</v>
      </c>
      <c r="X795" s="6">
        <f>IF(ISERROR(VLOOKUP($U$795,'TAR FIN'!$A$1:$O$103,15,0)),0,VLOOKUP($U$795,'TAR FIN'!$A$1:$O$103,15,0))</f>
        <v>255.17</v>
      </c>
      <c r="Y795" s="6"/>
      <c r="Z795" s="6">
        <f ca="1">('TUSD BE'!$AM$60+'TUSD BF'!$AM$60+'TUSD CVA'!$AM$60)*1</f>
        <v>482.06736206829294</v>
      </c>
      <c r="AA795" s="6">
        <f>('TE BE'!$AB$41+'TE BF'!$AB$41+'TE CVA'!$AB$41)*1</f>
        <v>234.02376339339278</v>
      </c>
      <c r="AB795" s="6">
        <f>$K$795*$V$795</f>
        <v>0</v>
      </c>
      <c r="AC795" s="6">
        <f>$M$795*$W$795</f>
        <v>565427.28671999997</v>
      </c>
      <c r="AD795" s="6">
        <f>$O$795*$X$795</f>
        <v>380064.48751999997</v>
      </c>
      <c r="AE795" s="6">
        <f>$K$795*$Y$795</f>
        <v>0</v>
      </c>
      <c r="AF795" s="6">
        <f ca="1">$M$795*$Z$795</f>
        <v>718018.12483679131</v>
      </c>
      <c r="AG795" s="6">
        <f>$O$795*$AA$795</f>
        <v>348568.09852886922</v>
      </c>
    </row>
    <row r="796" spans="1:33" ht="11.25" customHeight="1" x14ac:dyDescent="0.3">
      <c r="A796" s="4" t="s">
        <v>28</v>
      </c>
      <c r="B796" s="4" t="s">
        <v>37</v>
      </c>
      <c r="C796" s="4" t="s">
        <v>23</v>
      </c>
      <c r="D796" s="4" t="s">
        <v>41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44652</v>
      </c>
      <c r="J796" s="6">
        <v>0</v>
      </c>
      <c r="K796" s="6">
        <v>0</v>
      </c>
      <c r="L796" s="6">
        <v>126.386</v>
      </c>
      <c r="M796" s="6">
        <v>126.386</v>
      </c>
      <c r="N796" s="6">
        <v>126.386</v>
      </c>
      <c r="O796" s="6">
        <v>126.386</v>
      </c>
      <c r="P796" s="6">
        <v>230</v>
      </c>
      <c r="Q796" s="4" t="s">
        <v>26</v>
      </c>
      <c r="R796" s="4">
        <v>0</v>
      </c>
      <c r="S796" s="6">
        <v>0</v>
      </c>
      <c r="T796" s="6">
        <v>58</v>
      </c>
      <c r="U796" s="6">
        <v>99</v>
      </c>
      <c r="V796" s="6">
        <f>IF(ISERROR(VLOOKUP($S$796,'TAR FIN'!$A$1:$O$103,15,0)),0,VLOOKUP($S$796,'TAR FIN'!$A$1:$O$103,15,0))</f>
        <v>0</v>
      </c>
      <c r="W796" s="6">
        <f>IF(ISERROR(VLOOKUP($T$796,'TAR FIN'!$A$1:$O$103,15,0)),0,VLOOKUP($T$796,'TAR FIN'!$A$1:$O$103,15,0))</f>
        <v>379.62</v>
      </c>
      <c r="X796" s="6">
        <f>IF(ISERROR(VLOOKUP($U$796,'TAR FIN'!$A$1:$O$103,15,0)),0,VLOOKUP($U$796,'TAR FIN'!$A$1:$O$103,15,0))</f>
        <v>255.17</v>
      </c>
      <c r="Y796" s="6"/>
      <c r="Z796" s="6">
        <f ca="1">('TUSD BE'!$AM$60+'TUSD BF'!$AM$60+'TUSD CVA'!$AM$60)*1</f>
        <v>482.06736206829294</v>
      </c>
      <c r="AA796" s="6">
        <f>('TE BE'!$AB$41+'TE BF'!$AB$41+'TE CVA'!$AB$41)*1</f>
        <v>234.02376339339278</v>
      </c>
      <c r="AB796" s="6">
        <f>$K$796*$V$796</f>
        <v>0</v>
      </c>
      <c r="AC796" s="6">
        <f>$M$796*$W$796</f>
        <v>47978.653319999998</v>
      </c>
      <c r="AD796" s="6">
        <f>$O$796*$X$796</f>
        <v>32249.915619999996</v>
      </c>
      <c r="AE796" s="6">
        <f>$K$796*$Y$796</f>
        <v>0</v>
      </c>
      <c r="AF796" s="6">
        <f ca="1">$M$796*$Z$796</f>
        <v>60926.565622363269</v>
      </c>
      <c r="AG796" s="6">
        <f>$O$796*$AA$796</f>
        <v>29577.327360237341</v>
      </c>
    </row>
    <row r="797" spans="1:33" ht="11.25" customHeight="1" x14ac:dyDescent="0.3">
      <c r="A797" s="4" t="s">
        <v>21</v>
      </c>
      <c r="B797" s="4" t="s">
        <v>37</v>
      </c>
      <c r="C797" s="4" t="s">
        <v>23</v>
      </c>
      <c r="D797" s="4" t="s">
        <v>41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44682</v>
      </c>
      <c r="J797" s="6">
        <v>0</v>
      </c>
      <c r="K797" s="6">
        <v>0</v>
      </c>
      <c r="L797" s="6">
        <v>1390.402</v>
      </c>
      <c r="M797" s="6">
        <v>1390.402</v>
      </c>
      <c r="N797" s="6">
        <v>1390.402</v>
      </c>
      <c r="O797" s="6">
        <v>1390.402</v>
      </c>
      <c r="P797" s="6">
        <v>3120</v>
      </c>
      <c r="Q797" s="4" t="s">
        <v>26</v>
      </c>
      <c r="R797" s="4">
        <v>0</v>
      </c>
      <c r="S797" s="6">
        <v>0</v>
      </c>
      <c r="T797" s="6">
        <v>58</v>
      </c>
      <c r="U797" s="6">
        <v>99</v>
      </c>
      <c r="V797" s="6">
        <f>IF(ISERROR(VLOOKUP($S$797,'TAR FIN'!$A$1:$O$103,15,0)),0,VLOOKUP($S$797,'TAR FIN'!$A$1:$O$103,15,0))</f>
        <v>0</v>
      </c>
      <c r="W797" s="6">
        <f>IF(ISERROR(VLOOKUP($T$797,'TAR FIN'!$A$1:$O$103,15,0)),0,VLOOKUP($T$797,'TAR FIN'!$A$1:$O$103,15,0))</f>
        <v>379.62</v>
      </c>
      <c r="X797" s="6">
        <f>IF(ISERROR(VLOOKUP($U$797,'TAR FIN'!$A$1:$O$103,15,0)),0,VLOOKUP($U$797,'TAR FIN'!$A$1:$O$103,15,0))</f>
        <v>255.17</v>
      </c>
      <c r="Y797" s="6"/>
      <c r="Z797" s="6">
        <f ca="1">('TUSD BE'!$AM$60+'TUSD BF'!$AM$60+'TUSD CVA'!$AM$60)*1</f>
        <v>482.06736206829294</v>
      </c>
      <c r="AA797" s="6">
        <f>('TE BE'!$AB$41+'TE BF'!$AB$41+'TE CVA'!$AB$41)*1</f>
        <v>234.02376339339278</v>
      </c>
      <c r="AB797" s="6">
        <f>$K$797*$V$797</f>
        <v>0</v>
      </c>
      <c r="AC797" s="6">
        <f>$M$797*$W$797</f>
        <v>527824.40723999997</v>
      </c>
      <c r="AD797" s="6">
        <f>$O$797*$X$797</f>
        <v>354788.87834</v>
      </c>
      <c r="AE797" s="6">
        <f>$K$797*$Y$797</f>
        <v>0</v>
      </c>
      <c r="AF797" s="6">
        <f ca="1">$M$797*$Z$797</f>
        <v>670267.4243544786</v>
      </c>
      <c r="AG797" s="6">
        <f>$O$797*$AA$797</f>
        <v>325387.1086697001</v>
      </c>
    </row>
    <row r="798" spans="1:33" ht="11.25" customHeight="1" x14ac:dyDescent="0.3">
      <c r="A798" s="4" t="s">
        <v>28</v>
      </c>
      <c r="B798" s="4" t="s">
        <v>37</v>
      </c>
      <c r="C798" s="4" t="s">
        <v>23</v>
      </c>
      <c r="D798" s="4" t="s">
        <v>41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44682</v>
      </c>
      <c r="J798" s="6">
        <v>0</v>
      </c>
      <c r="K798" s="6">
        <v>0</v>
      </c>
      <c r="L798" s="6">
        <v>144.86600000000001</v>
      </c>
      <c r="M798" s="6">
        <v>144.86600000000001</v>
      </c>
      <c r="N798" s="6">
        <v>144.86600000000001</v>
      </c>
      <c r="O798" s="6">
        <v>144.86600000000001</v>
      </c>
      <c r="P798" s="6">
        <v>233</v>
      </c>
      <c r="Q798" s="4" t="s">
        <v>26</v>
      </c>
      <c r="R798" s="4">
        <v>0</v>
      </c>
      <c r="S798" s="6">
        <v>0</v>
      </c>
      <c r="T798" s="6">
        <v>58</v>
      </c>
      <c r="U798" s="6">
        <v>99</v>
      </c>
      <c r="V798" s="6">
        <f>IF(ISERROR(VLOOKUP($S$798,'TAR FIN'!$A$1:$O$103,15,0)),0,VLOOKUP($S$798,'TAR FIN'!$A$1:$O$103,15,0))</f>
        <v>0</v>
      </c>
      <c r="W798" s="6">
        <f>IF(ISERROR(VLOOKUP($T$798,'TAR FIN'!$A$1:$O$103,15,0)),0,VLOOKUP($T$798,'TAR FIN'!$A$1:$O$103,15,0))</f>
        <v>379.62</v>
      </c>
      <c r="X798" s="6">
        <f>IF(ISERROR(VLOOKUP($U$798,'TAR FIN'!$A$1:$O$103,15,0)),0,VLOOKUP($U$798,'TAR FIN'!$A$1:$O$103,15,0))</f>
        <v>255.17</v>
      </c>
      <c r="Y798" s="6"/>
      <c r="Z798" s="6">
        <f ca="1">('TUSD BE'!$AM$60+'TUSD BF'!$AM$60+'TUSD CVA'!$AM$60)*1</f>
        <v>482.06736206829294</v>
      </c>
      <c r="AA798" s="6">
        <f>('TE BE'!$AB$41+'TE BF'!$AB$41+'TE CVA'!$AB$41)*1</f>
        <v>234.02376339339278</v>
      </c>
      <c r="AB798" s="6">
        <f>$K$798*$V$798</f>
        <v>0</v>
      </c>
      <c r="AC798" s="6">
        <f>$M$798*$W$798</f>
        <v>54994.030920000005</v>
      </c>
      <c r="AD798" s="6">
        <f>$O$798*$X$798</f>
        <v>36965.457220000004</v>
      </c>
      <c r="AE798" s="6">
        <f>$K$798*$Y$798</f>
        <v>0</v>
      </c>
      <c r="AF798" s="6">
        <f ca="1">$M$798*$Z$798</f>
        <v>69835.170473385326</v>
      </c>
      <c r="AG798" s="6">
        <f>$O$798*$AA$798</f>
        <v>33902.086507747241</v>
      </c>
    </row>
    <row r="799" spans="1:33" ht="11.25" customHeight="1" x14ac:dyDescent="0.3">
      <c r="A799" s="4" t="s">
        <v>21</v>
      </c>
      <c r="B799" s="4" t="s">
        <v>37</v>
      </c>
      <c r="C799" s="4" t="s">
        <v>23</v>
      </c>
      <c r="D799" s="4" t="s">
        <v>41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44713</v>
      </c>
      <c r="J799" s="6">
        <v>0</v>
      </c>
      <c r="K799" s="6">
        <v>0</v>
      </c>
      <c r="L799" s="6">
        <v>1191.5650000000001</v>
      </c>
      <c r="M799" s="6">
        <v>1191.5650000000001</v>
      </c>
      <c r="N799" s="6">
        <v>1191.5650000000001</v>
      </c>
      <c r="O799" s="6">
        <v>1191.5650000000001</v>
      </c>
      <c r="P799" s="6">
        <v>3116</v>
      </c>
      <c r="Q799" s="4" t="s">
        <v>26</v>
      </c>
      <c r="R799" s="4">
        <v>0</v>
      </c>
      <c r="S799" s="6">
        <v>0</v>
      </c>
      <c r="T799" s="6">
        <v>58</v>
      </c>
      <c r="U799" s="6">
        <v>99</v>
      </c>
      <c r="V799" s="6">
        <f>IF(ISERROR(VLOOKUP($S$799,'TAR FIN'!$A$1:$O$103,15,0)),0,VLOOKUP($S$799,'TAR FIN'!$A$1:$O$103,15,0))</f>
        <v>0</v>
      </c>
      <c r="W799" s="6">
        <f>IF(ISERROR(VLOOKUP($T$799,'TAR FIN'!$A$1:$O$103,15,0)),0,VLOOKUP($T$799,'TAR FIN'!$A$1:$O$103,15,0))</f>
        <v>379.62</v>
      </c>
      <c r="X799" s="6">
        <f>IF(ISERROR(VLOOKUP($U$799,'TAR FIN'!$A$1:$O$103,15,0)),0,VLOOKUP($U$799,'TAR FIN'!$A$1:$O$103,15,0))</f>
        <v>255.17</v>
      </c>
      <c r="Y799" s="6"/>
      <c r="Z799" s="6">
        <f ca="1">('TUSD BE'!$AM$60+'TUSD BF'!$AM$60+'TUSD CVA'!$AM$60)*1</f>
        <v>482.06736206829294</v>
      </c>
      <c r="AA799" s="6">
        <f>('TE BE'!$AB$41+'TE BF'!$AB$41+'TE CVA'!$AB$41)*1</f>
        <v>234.02376339339278</v>
      </c>
      <c r="AB799" s="6">
        <f>$K$799*$V$799</f>
        <v>0</v>
      </c>
      <c r="AC799" s="6">
        <f>$M$799*$W$799</f>
        <v>452341.90530000004</v>
      </c>
      <c r="AD799" s="6">
        <f>$O$799*$X$799</f>
        <v>304051.64104999998</v>
      </c>
      <c r="AE799" s="6">
        <f>$K$799*$Y$799</f>
        <v>0</v>
      </c>
      <c r="AF799" s="6">
        <f ca="1">$M$799*$Z$799</f>
        <v>574414.59628290555</v>
      </c>
      <c r="AG799" s="6">
        <f>$O$799*$AA$799</f>
        <v>278854.52562784811</v>
      </c>
    </row>
    <row r="800" spans="1:33" ht="11.25" customHeight="1" x14ac:dyDescent="0.3">
      <c r="A800" s="4" t="s">
        <v>28</v>
      </c>
      <c r="B800" s="4" t="s">
        <v>37</v>
      </c>
      <c r="C800" s="4" t="s">
        <v>23</v>
      </c>
      <c r="D800" s="4" t="s">
        <v>41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44713</v>
      </c>
      <c r="J800" s="6">
        <v>0</v>
      </c>
      <c r="K800" s="6">
        <v>0</v>
      </c>
      <c r="L800" s="6">
        <v>123.622</v>
      </c>
      <c r="M800" s="6">
        <v>123.622</v>
      </c>
      <c r="N800" s="6">
        <v>123.622</v>
      </c>
      <c r="O800" s="6">
        <v>123.622</v>
      </c>
      <c r="P800" s="6">
        <v>236</v>
      </c>
      <c r="Q800" s="4" t="s">
        <v>26</v>
      </c>
      <c r="R800" s="4">
        <v>0</v>
      </c>
      <c r="S800" s="6">
        <v>0</v>
      </c>
      <c r="T800" s="6">
        <v>58</v>
      </c>
      <c r="U800" s="6">
        <v>99</v>
      </c>
      <c r="V800" s="6">
        <f>IF(ISERROR(VLOOKUP($S$800,'TAR FIN'!$A$1:$O$103,15,0)),0,VLOOKUP($S$800,'TAR FIN'!$A$1:$O$103,15,0))</f>
        <v>0</v>
      </c>
      <c r="W800" s="6">
        <f>IF(ISERROR(VLOOKUP($T$800,'TAR FIN'!$A$1:$O$103,15,0)),0,VLOOKUP($T$800,'TAR FIN'!$A$1:$O$103,15,0))</f>
        <v>379.62</v>
      </c>
      <c r="X800" s="6">
        <f>IF(ISERROR(VLOOKUP($U$800,'TAR FIN'!$A$1:$O$103,15,0)),0,VLOOKUP($U$800,'TAR FIN'!$A$1:$O$103,15,0))</f>
        <v>255.17</v>
      </c>
      <c r="Y800" s="6"/>
      <c r="Z800" s="6">
        <f ca="1">('TUSD BE'!$AM$60+'TUSD BF'!$AM$60+'TUSD CVA'!$AM$60)*1</f>
        <v>482.06736206829294</v>
      </c>
      <c r="AA800" s="6">
        <f>('TE BE'!$AB$41+'TE BF'!$AB$41+'TE CVA'!$AB$41)*1</f>
        <v>234.02376339339278</v>
      </c>
      <c r="AB800" s="6">
        <f>$K$800*$V$800</f>
        <v>0</v>
      </c>
      <c r="AC800" s="6">
        <f>$M$800*$W$800</f>
        <v>46929.38364</v>
      </c>
      <c r="AD800" s="6">
        <f>$O$800*$X$800</f>
        <v>31544.625739999999</v>
      </c>
      <c r="AE800" s="6">
        <f>$K$800*$Y$800</f>
        <v>0</v>
      </c>
      <c r="AF800" s="6">
        <f ca="1">$M$800*$Z$800</f>
        <v>59594.131433606512</v>
      </c>
      <c r="AG800" s="6">
        <f>$O$800*$AA$800</f>
        <v>28930.485678218003</v>
      </c>
    </row>
    <row r="801" spans="1:33" ht="11.25" customHeight="1" x14ac:dyDescent="0.3">
      <c r="A801" s="4" t="s">
        <v>21</v>
      </c>
      <c r="B801" s="4" t="s">
        <v>37</v>
      </c>
      <c r="C801" s="4" t="s">
        <v>23</v>
      </c>
      <c r="D801" s="4" t="s">
        <v>41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44743</v>
      </c>
      <c r="J801" s="6">
        <v>0</v>
      </c>
      <c r="K801" s="6">
        <v>0</v>
      </c>
      <c r="L801" s="6">
        <v>1218.107</v>
      </c>
      <c r="M801" s="6">
        <v>1218.107</v>
      </c>
      <c r="N801" s="6">
        <v>1218.107</v>
      </c>
      <c r="O801" s="6">
        <v>1218.107</v>
      </c>
      <c r="P801" s="6">
        <v>3101</v>
      </c>
      <c r="Q801" s="4" t="s">
        <v>26</v>
      </c>
      <c r="R801" s="4">
        <v>0</v>
      </c>
      <c r="S801" s="6">
        <v>0</v>
      </c>
      <c r="T801" s="6">
        <v>58</v>
      </c>
      <c r="U801" s="6">
        <v>99</v>
      </c>
      <c r="V801" s="6">
        <f>IF(ISERROR(VLOOKUP($S$801,'TAR FIN'!$A$1:$O$103,15,0)),0,VLOOKUP($S$801,'TAR FIN'!$A$1:$O$103,15,0))</f>
        <v>0</v>
      </c>
      <c r="W801" s="6">
        <f>IF(ISERROR(VLOOKUP($T$801,'TAR FIN'!$A$1:$O$103,15,0)),0,VLOOKUP($T$801,'TAR FIN'!$A$1:$O$103,15,0))</f>
        <v>379.62</v>
      </c>
      <c r="X801" s="6">
        <f>IF(ISERROR(VLOOKUP($U$801,'TAR FIN'!$A$1:$O$103,15,0)),0,VLOOKUP($U$801,'TAR FIN'!$A$1:$O$103,15,0))</f>
        <v>255.17</v>
      </c>
      <c r="Y801" s="6"/>
      <c r="Z801" s="6">
        <f ca="1">('TUSD BE'!$AM$60+'TUSD BF'!$AM$60+'TUSD CVA'!$AM$60)*1</f>
        <v>482.06736206829294</v>
      </c>
      <c r="AA801" s="6">
        <f>('TE BE'!$AB$41+'TE BF'!$AB$41+'TE CVA'!$AB$41)*1</f>
        <v>234.02376339339278</v>
      </c>
      <c r="AB801" s="6">
        <f>$K$801*$V$801</f>
        <v>0</v>
      </c>
      <c r="AC801" s="6">
        <f>$M$801*$W$801</f>
        <v>462417.77934000001</v>
      </c>
      <c r="AD801" s="6">
        <f>$O$801*$X$801</f>
        <v>310824.36319</v>
      </c>
      <c r="AE801" s="6">
        <f>$K$801*$Y$801</f>
        <v>0</v>
      </c>
      <c r="AF801" s="6">
        <f ca="1">$M$801*$Z$801</f>
        <v>587209.62820692209</v>
      </c>
      <c r="AG801" s="6">
        <f>$O$801*$AA$801</f>
        <v>285065.98435583548</v>
      </c>
    </row>
    <row r="802" spans="1:33" ht="11.25" customHeight="1" x14ac:dyDescent="0.3">
      <c r="A802" s="4" t="s">
        <v>28</v>
      </c>
      <c r="B802" s="4" t="s">
        <v>37</v>
      </c>
      <c r="C802" s="4" t="s">
        <v>23</v>
      </c>
      <c r="D802" s="4" t="s">
        <v>41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44743</v>
      </c>
      <c r="J802" s="6">
        <v>0</v>
      </c>
      <c r="K802" s="6">
        <v>0</v>
      </c>
      <c r="L802" s="6">
        <v>133.83799999999999</v>
      </c>
      <c r="M802" s="6">
        <v>133.83799999999999</v>
      </c>
      <c r="N802" s="6">
        <v>133.83799999999999</v>
      </c>
      <c r="O802" s="6">
        <v>133.83799999999999</v>
      </c>
      <c r="P802" s="6">
        <v>257</v>
      </c>
      <c r="Q802" s="4" t="s">
        <v>26</v>
      </c>
      <c r="R802" s="4">
        <v>0</v>
      </c>
      <c r="S802" s="6">
        <v>0</v>
      </c>
      <c r="T802" s="6">
        <v>58</v>
      </c>
      <c r="U802" s="6">
        <v>99</v>
      </c>
      <c r="V802" s="6">
        <f>IF(ISERROR(VLOOKUP($S$802,'TAR FIN'!$A$1:$O$103,15,0)),0,VLOOKUP($S$802,'TAR FIN'!$A$1:$O$103,15,0))</f>
        <v>0</v>
      </c>
      <c r="W802" s="6">
        <f>IF(ISERROR(VLOOKUP($T$802,'TAR FIN'!$A$1:$O$103,15,0)),0,VLOOKUP($T$802,'TAR FIN'!$A$1:$O$103,15,0))</f>
        <v>379.62</v>
      </c>
      <c r="X802" s="6">
        <f>IF(ISERROR(VLOOKUP($U$802,'TAR FIN'!$A$1:$O$103,15,0)),0,VLOOKUP($U$802,'TAR FIN'!$A$1:$O$103,15,0))</f>
        <v>255.17</v>
      </c>
      <c r="Y802" s="6"/>
      <c r="Z802" s="6">
        <f ca="1">('TUSD BE'!$AM$60+'TUSD BF'!$AM$60+'TUSD CVA'!$AM$60)*1</f>
        <v>482.06736206829294</v>
      </c>
      <c r="AA802" s="6">
        <f>('TE BE'!$AB$41+'TE BF'!$AB$41+'TE CVA'!$AB$41)*1</f>
        <v>234.02376339339278</v>
      </c>
      <c r="AB802" s="6">
        <f>$K$802*$V$802</f>
        <v>0</v>
      </c>
      <c r="AC802" s="6">
        <f>$M$802*$W$802</f>
        <v>50807.581559999999</v>
      </c>
      <c r="AD802" s="6">
        <f>$O$802*$X$802</f>
        <v>34151.442459999998</v>
      </c>
      <c r="AE802" s="6">
        <f>$K$802*$Y$802</f>
        <v>0</v>
      </c>
      <c r="AF802" s="6">
        <f ca="1">$M$802*$Z$802</f>
        <v>64518.931604496189</v>
      </c>
      <c r="AG802" s="6">
        <f>$O$802*$AA$802</f>
        <v>31321.272445044902</v>
      </c>
    </row>
    <row r="803" spans="1:33" ht="11.25" customHeight="1" x14ac:dyDescent="0.3">
      <c r="A803" s="4" t="s">
        <v>21</v>
      </c>
      <c r="B803" s="4" t="s">
        <v>37</v>
      </c>
      <c r="C803" s="4" t="s">
        <v>23</v>
      </c>
      <c r="D803" s="4" t="s">
        <v>41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44774</v>
      </c>
      <c r="J803" s="6">
        <v>0</v>
      </c>
      <c r="K803" s="6">
        <v>0</v>
      </c>
      <c r="L803" s="6">
        <v>1135.0899999999999</v>
      </c>
      <c r="M803" s="6">
        <v>1135.0899999999999</v>
      </c>
      <c r="N803" s="6">
        <v>1135.0899999999999</v>
      </c>
      <c r="O803" s="6">
        <v>1135.0899999999999</v>
      </c>
      <c r="P803" s="6">
        <v>3087</v>
      </c>
      <c r="Q803" s="4" t="s">
        <v>26</v>
      </c>
      <c r="R803" s="4">
        <v>0</v>
      </c>
      <c r="S803" s="6">
        <v>0</v>
      </c>
      <c r="T803" s="6">
        <v>58</v>
      </c>
      <c r="U803" s="6">
        <v>99</v>
      </c>
      <c r="V803" s="6">
        <f>IF(ISERROR(VLOOKUP($S$803,'TAR FIN'!$A$1:$O$103,15,0)),0,VLOOKUP($S$803,'TAR FIN'!$A$1:$O$103,15,0))</f>
        <v>0</v>
      </c>
      <c r="W803" s="6">
        <f>IF(ISERROR(VLOOKUP($T$803,'TAR FIN'!$A$1:$O$103,15,0)),0,VLOOKUP($T$803,'TAR FIN'!$A$1:$O$103,15,0))</f>
        <v>379.62</v>
      </c>
      <c r="X803" s="6">
        <f>IF(ISERROR(VLOOKUP($U$803,'TAR FIN'!$A$1:$O$103,15,0)),0,VLOOKUP($U$803,'TAR FIN'!$A$1:$O$103,15,0))</f>
        <v>255.17</v>
      </c>
      <c r="Y803" s="6"/>
      <c r="Z803" s="6">
        <f ca="1">('TUSD BE'!$AM$60+'TUSD BF'!$AM$60+'TUSD CVA'!$AM$60)*1</f>
        <v>482.06736206829294</v>
      </c>
      <c r="AA803" s="6">
        <f>('TE BE'!$AB$41+'TE BF'!$AB$41+'TE CVA'!$AB$41)*1</f>
        <v>234.02376339339278</v>
      </c>
      <c r="AB803" s="6">
        <f>$K$803*$V$803</f>
        <v>0</v>
      </c>
      <c r="AC803" s="6">
        <f>$M$803*$W$803</f>
        <v>430902.86579999997</v>
      </c>
      <c r="AD803" s="6">
        <f>$O$803*$X$803</f>
        <v>289640.91529999999</v>
      </c>
      <c r="AE803" s="6">
        <f>$K$803*$Y$803</f>
        <v>0</v>
      </c>
      <c r="AF803" s="6">
        <f ca="1">$M$803*$Z$803</f>
        <v>547189.84201009863</v>
      </c>
      <c r="AG803" s="6">
        <f>$O$803*$AA$803</f>
        <v>265638.03359020618</v>
      </c>
    </row>
    <row r="804" spans="1:33" ht="11.25" customHeight="1" x14ac:dyDescent="0.3">
      <c r="A804" s="4" t="s">
        <v>28</v>
      </c>
      <c r="B804" s="4" t="s">
        <v>37</v>
      </c>
      <c r="C804" s="4" t="s">
        <v>23</v>
      </c>
      <c r="D804" s="4" t="s">
        <v>41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44774</v>
      </c>
      <c r="J804" s="6">
        <v>0</v>
      </c>
      <c r="K804" s="6">
        <v>0</v>
      </c>
      <c r="L804" s="6">
        <v>116.259</v>
      </c>
      <c r="M804" s="6">
        <v>116.259</v>
      </c>
      <c r="N804" s="6">
        <v>116.259</v>
      </c>
      <c r="O804" s="6">
        <v>116.259</v>
      </c>
      <c r="P804" s="6">
        <v>265</v>
      </c>
      <c r="Q804" s="4" t="s">
        <v>26</v>
      </c>
      <c r="R804" s="4">
        <v>0</v>
      </c>
      <c r="S804" s="6">
        <v>0</v>
      </c>
      <c r="T804" s="6">
        <v>58</v>
      </c>
      <c r="U804" s="6">
        <v>99</v>
      </c>
      <c r="V804" s="6">
        <f>IF(ISERROR(VLOOKUP($S$804,'TAR FIN'!$A$1:$O$103,15,0)),0,VLOOKUP($S$804,'TAR FIN'!$A$1:$O$103,15,0))</f>
        <v>0</v>
      </c>
      <c r="W804" s="6">
        <f>IF(ISERROR(VLOOKUP($T$804,'TAR FIN'!$A$1:$O$103,15,0)),0,VLOOKUP($T$804,'TAR FIN'!$A$1:$O$103,15,0))</f>
        <v>379.62</v>
      </c>
      <c r="X804" s="6">
        <f>IF(ISERROR(VLOOKUP($U$804,'TAR FIN'!$A$1:$O$103,15,0)),0,VLOOKUP($U$804,'TAR FIN'!$A$1:$O$103,15,0))</f>
        <v>255.17</v>
      </c>
      <c r="Y804" s="6"/>
      <c r="Z804" s="6">
        <f ca="1">('TUSD BE'!$AM$60+'TUSD BF'!$AM$60+'TUSD CVA'!$AM$60)*1</f>
        <v>482.06736206829294</v>
      </c>
      <c r="AA804" s="6">
        <f>('TE BE'!$AB$41+'TE BF'!$AB$41+'TE CVA'!$AB$41)*1</f>
        <v>234.02376339339278</v>
      </c>
      <c r="AB804" s="6">
        <f>$K$804*$V$804</f>
        <v>0</v>
      </c>
      <c r="AC804" s="6">
        <f>$M$804*$W$804</f>
        <v>44134.241580000002</v>
      </c>
      <c r="AD804" s="6">
        <f>$O$804*$X$804</f>
        <v>29665.80903</v>
      </c>
      <c r="AE804" s="6">
        <f>$K$804*$Y$804</f>
        <v>0</v>
      </c>
      <c r="AF804" s="6">
        <f ca="1">$M$804*$Z$804</f>
        <v>56044.66944669767</v>
      </c>
      <c r="AG804" s="6">
        <f>$O$804*$AA$804</f>
        <v>27207.368708352453</v>
      </c>
    </row>
    <row r="805" spans="1:33" ht="11.25" customHeight="1" x14ac:dyDescent="0.3">
      <c r="A805" s="4" t="s">
        <v>21</v>
      </c>
      <c r="B805" s="4" t="s">
        <v>37</v>
      </c>
      <c r="C805" s="4" t="s">
        <v>23</v>
      </c>
      <c r="D805" s="4" t="s">
        <v>41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44805</v>
      </c>
      <c r="J805" s="6">
        <v>0</v>
      </c>
      <c r="K805" s="6">
        <v>0</v>
      </c>
      <c r="L805" s="6">
        <v>1354.8879999999999</v>
      </c>
      <c r="M805" s="6">
        <v>1354.8879999999999</v>
      </c>
      <c r="N805" s="6">
        <v>1354.8879999999999</v>
      </c>
      <c r="O805" s="6">
        <v>1354.8879999999999</v>
      </c>
      <c r="P805" s="6">
        <v>3096</v>
      </c>
      <c r="Q805" s="4" t="s">
        <v>26</v>
      </c>
      <c r="R805" s="4">
        <v>0</v>
      </c>
      <c r="S805" s="6">
        <v>0</v>
      </c>
      <c r="T805" s="6">
        <v>58</v>
      </c>
      <c r="U805" s="6">
        <v>99</v>
      </c>
      <c r="V805" s="6">
        <f>IF(ISERROR(VLOOKUP($S$805,'TAR FIN'!$A$1:$O$103,15,0)),0,VLOOKUP($S$805,'TAR FIN'!$A$1:$O$103,15,0))</f>
        <v>0</v>
      </c>
      <c r="W805" s="6">
        <f>IF(ISERROR(VLOOKUP($T$805,'TAR FIN'!$A$1:$O$103,15,0)),0,VLOOKUP($T$805,'TAR FIN'!$A$1:$O$103,15,0))</f>
        <v>379.62</v>
      </c>
      <c r="X805" s="6">
        <f>IF(ISERROR(VLOOKUP($U$805,'TAR FIN'!$A$1:$O$103,15,0)),0,VLOOKUP($U$805,'TAR FIN'!$A$1:$O$103,15,0))</f>
        <v>255.17</v>
      </c>
      <c r="Y805" s="6"/>
      <c r="Z805" s="6">
        <f ca="1">('TUSD BE'!$AM$60+'TUSD BF'!$AM$60+'TUSD CVA'!$AM$60)*1</f>
        <v>482.06736206829294</v>
      </c>
      <c r="AA805" s="6">
        <f>('TE BE'!$AB$41+'TE BF'!$AB$41+'TE CVA'!$AB$41)*1</f>
        <v>234.02376339339278</v>
      </c>
      <c r="AB805" s="6">
        <f>$K$805*$V$805</f>
        <v>0</v>
      </c>
      <c r="AC805" s="6">
        <f>$M$805*$W$805</f>
        <v>514342.58255999995</v>
      </c>
      <c r="AD805" s="6">
        <f>$O$805*$X$805</f>
        <v>345726.77095999994</v>
      </c>
      <c r="AE805" s="6">
        <f>$K$805*$Y$805</f>
        <v>0</v>
      </c>
      <c r="AF805" s="6">
        <f ca="1">$M$805*$Z$805</f>
        <v>653147.28405798529</v>
      </c>
      <c r="AG805" s="6">
        <f>$O$805*$AA$805</f>
        <v>317075.98873654712</v>
      </c>
    </row>
    <row r="806" spans="1:33" ht="11.25" customHeight="1" x14ac:dyDescent="0.3">
      <c r="A806" s="4" t="s">
        <v>28</v>
      </c>
      <c r="B806" s="4" t="s">
        <v>37</v>
      </c>
      <c r="C806" s="4" t="s">
        <v>23</v>
      </c>
      <c r="D806" s="4" t="s">
        <v>41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44805</v>
      </c>
      <c r="J806" s="6">
        <v>0</v>
      </c>
      <c r="K806" s="6">
        <v>0</v>
      </c>
      <c r="L806" s="6">
        <v>130.71199999999999</v>
      </c>
      <c r="M806" s="6">
        <v>130.71199999999999</v>
      </c>
      <c r="N806" s="6">
        <v>130.71199999999999</v>
      </c>
      <c r="O806" s="6">
        <v>130.71199999999999</v>
      </c>
      <c r="P806" s="6">
        <v>273</v>
      </c>
      <c r="Q806" s="4" t="s">
        <v>26</v>
      </c>
      <c r="R806" s="4">
        <v>0</v>
      </c>
      <c r="S806" s="6">
        <v>0</v>
      </c>
      <c r="T806" s="6">
        <v>58</v>
      </c>
      <c r="U806" s="6">
        <v>99</v>
      </c>
      <c r="V806" s="6">
        <f>IF(ISERROR(VLOOKUP($S$806,'TAR FIN'!$A$1:$O$103,15,0)),0,VLOOKUP($S$806,'TAR FIN'!$A$1:$O$103,15,0))</f>
        <v>0</v>
      </c>
      <c r="W806" s="6">
        <f>IF(ISERROR(VLOOKUP($T$806,'TAR FIN'!$A$1:$O$103,15,0)),0,VLOOKUP($T$806,'TAR FIN'!$A$1:$O$103,15,0))</f>
        <v>379.62</v>
      </c>
      <c r="X806" s="6">
        <f>IF(ISERROR(VLOOKUP($U$806,'TAR FIN'!$A$1:$O$103,15,0)),0,VLOOKUP($U$806,'TAR FIN'!$A$1:$O$103,15,0))</f>
        <v>255.17</v>
      </c>
      <c r="Y806" s="6"/>
      <c r="Z806" s="6">
        <f ca="1">('TUSD BE'!$AM$60+'TUSD BF'!$AM$60+'TUSD CVA'!$AM$60)*1</f>
        <v>482.06736206829294</v>
      </c>
      <c r="AA806" s="6">
        <f>('TE BE'!$AB$41+'TE BF'!$AB$41+'TE CVA'!$AB$41)*1</f>
        <v>234.02376339339278</v>
      </c>
      <c r="AB806" s="6">
        <f>$K$806*$V$806</f>
        <v>0</v>
      </c>
      <c r="AC806" s="6">
        <f>$M$806*$W$806</f>
        <v>49620.889439999999</v>
      </c>
      <c r="AD806" s="6">
        <f>$O$806*$X$806</f>
        <v>33353.781039999994</v>
      </c>
      <c r="AE806" s="6">
        <f>$K$806*$Y$806</f>
        <v>0</v>
      </c>
      <c r="AF806" s="6">
        <f ca="1">$M$806*$Z$806</f>
        <v>63011.989030670702</v>
      </c>
      <c r="AG806" s="6">
        <f>$O$806*$AA$806</f>
        <v>30589.714160677155</v>
      </c>
    </row>
    <row r="807" spans="1:33" ht="11.25" customHeight="1" x14ac:dyDescent="0.3">
      <c r="A807" s="4" t="s">
        <v>57</v>
      </c>
      <c r="B807" s="4" t="s">
        <v>37</v>
      </c>
      <c r="C807" s="4" t="s">
        <v>23</v>
      </c>
      <c r="D807" s="4" t="s">
        <v>41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44835</v>
      </c>
      <c r="J807" s="6">
        <v>0</v>
      </c>
      <c r="K807" s="6">
        <v>0</v>
      </c>
      <c r="L807" s="6">
        <v>1354.8879999999999</v>
      </c>
      <c r="M807" s="6">
        <v>1354.8879999999999</v>
      </c>
      <c r="N807" s="6">
        <v>1354.8879999999999</v>
      </c>
      <c r="O807" s="6">
        <v>1354.8879999999999</v>
      </c>
      <c r="P807" s="6">
        <v>3096</v>
      </c>
      <c r="Q807" s="4" t="s">
        <v>26</v>
      </c>
      <c r="R807" s="4">
        <v>0</v>
      </c>
      <c r="S807" s="6">
        <v>0</v>
      </c>
      <c r="T807" s="6">
        <v>58</v>
      </c>
      <c r="U807" s="6">
        <v>99</v>
      </c>
      <c r="V807" s="6">
        <f>IF(ISERROR(VLOOKUP($S$807,'TAR FIN'!$A$1:$O$103,15,0)),0,VLOOKUP($S$807,'TAR FIN'!$A$1:$O$103,15,0))</f>
        <v>0</v>
      </c>
      <c r="W807" s="6">
        <f>IF(ISERROR(VLOOKUP($T$807,'TAR FIN'!$A$1:$O$103,15,0)),0,VLOOKUP($T$807,'TAR FIN'!$A$1:$O$103,15,0))</f>
        <v>379.62</v>
      </c>
      <c r="X807" s="6">
        <f>IF(ISERROR(VLOOKUP($U$807,'TAR FIN'!$A$1:$O$103,15,0)),0,VLOOKUP($U$807,'TAR FIN'!$A$1:$O$103,15,0))</f>
        <v>255.17</v>
      </c>
      <c r="Y807" s="6"/>
      <c r="Z807" s="6">
        <f ca="1">('TUSD BE'!$AM$60+'TUSD BF'!$AM$60+'TUSD CVA'!$AM$60)*1</f>
        <v>482.06736206829294</v>
      </c>
      <c r="AA807" s="6">
        <f>('TE BE'!$AB$41+'TE BF'!$AB$41+'TE CVA'!$AB$41)*1</f>
        <v>234.02376339339278</v>
      </c>
      <c r="AB807" s="6">
        <f>$K$807*$V$807</f>
        <v>0</v>
      </c>
      <c r="AC807" s="6">
        <f>$M$807*$W$807</f>
        <v>514342.58255999995</v>
      </c>
      <c r="AD807" s="6">
        <f>$O$807*$X$807</f>
        <v>345726.77095999994</v>
      </c>
      <c r="AE807" s="6">
        <f>$K$807*$Y$807</f>
        <v>0</v>
      </c>
      <c r="AF807" s="6">
        <f ca="1">$M$807*$Z$807</f>
        <v>653147.28405798529</v>
      </c>
      <c r="AG807" s="6">
        <f>$O$807*$AA$807</f>
        <v>317075.98873654712</v>
      </c>
    </row>
    <row r="808" spans="1:33" ht="11.25" customHeight="1" x14ac:dyDescent="0.3">
      <c r="A808" s="4" t="s">
        <v>57</v>
      </c>
      <c r="B808" s="4" t="s">
        <v>37</v>
      </c>
      <c r="C808" s="4" t="s">
        <v>23</v>
      </c>
      <c r="D808" s="4" t="s">
        <v>41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44835</v>
      </c>
      <c r="J808" s="6">
        <v>0</v>
      </c>
      <c r="K808" s="6">
        <v>0</v>
      </c>
      <c r="L808" s="6">
        <v>130.71199999999999</v>
      </c>
      <c r="M808" s="6">
        <v>130.71199999999999</v>
      </c>
      <c r="N808" s="6">
        <v>130.71199999999999</v>
      </c>
      <c r="O808" s="6">
        <v>130.71199999999999</v>
      </c>
      <c r="P808" s="6">
        <v>273</v>
      </c>
      <c r="Q808" s="4" t="s">
        <v>26</v>
      </c>
      <c r="R808" s="4">
        <v>0</v>
      </c>
      <c r="S808" s="6">
        <v>0</v>
      </c>
      <c r="T808" s="6">
        <v>58</v>
      </c>
      <c r="U808" s="6">
        <v>99</v>
      </c>
      <c r="V808" s="6">
        <f>IF(ISERROR(VLOOKUP($S$808,'TAR FIN'!$A$1:$O$103,15,0)),0,VLOOKUP($S$808,'TAR FIN'!$A$1:$O$103,15,0))</f>
        <v>0</v>
      </c>
      <c r="W808" s="6">
        <f>IF(ISERROR(VLOOKUP($T$808,'TAR FIN'!$A$1:$O$103,15,0)),0,VLOOKUP($T$808,'TAR FIN'!$A$1:$O$103,15,0))</f>
        <v>379.62</v>
      </c>
      <c r="X808" s="6">
        <f>IF(ISERROR(VLOOKUP($U$808,'TAR FIN'!$A$1:$O$103,15,0)),0,VLOOKUP($U$808,'TAR FIN'!$A$1:$O$103,15,0))</f>
        <v>255.17</v>
      </c>
      <c r="Y808" s="6"/>
      <c r="Z808" s="6">
        <f ca="1">('TUSD BE'!$AM$60+'TUSD BF'!$AM$60+'TUSD CVA'!$AM$60)*1</f>
        <v>482.06736206829294</v>
      </c>
      <c r="AA808" s="6">
        <f>('TE BE'!$AB$41+'TE BF'!$AB$41+'TE CVA'!$AB$41)*1</f>
        <v>234.02376339339278</v>
      </c>
      <c r="AB808" s="6">
        <f>$K$808*$V$808</f>
        <v>0</v>
      </c>
      <c r="AC808" s="6">
        <f>$M$808*$W$808</f>
        <v>49620.889439999999</v>
      </c>
      <c r="AD808" s="6">
        <f>$O$808*$X$808</f>
        <v>33353.781039999994</v>
      </c>
      <c r="AE808" s="6">
        <f>$K$808*$Y$808</f>
        <v>0</v>
      </c>
      <c r="AF808" s="6">
        <f ca="1">$M$808*$Z$808</f>
        <v>63011.989030670702</v>
      </c>
      <c r="AG808" s="6">
        <f>$O$808*$AA$808</f>
        <v>30589.714160677155</v>
      </c>
    </row>
    <row r="809" spans="1:33" ht="11.25" customHeight="1" x14ac:dyDescent="0.3">
      <c r="A809" s="4" t="s">
        <v>21</v>
      </c>
      <c r="B809" s="4" t="s">
        <v>37</v>
      </c>
      <c r="C809" s="4" t="s">
        <v>23</v>
      </c>
      <c r="D809" s="4" t="s">
        <v>52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44501</v>
      </c>
      <c r="J809" s="6">
        <v>0</v>
      </c>
      <c r="K809" s="6">
        <v>0</v>
      </c>
      <c r="L809" s="6">
        <v>15.702999999999999</v>
      </c>
      <c r="M809" s="6">
        <v>15.702999999999999</v>
      </c>
      <c r="N809" s="6">
        <v>15.702999999999999</v>
      </c>
      <c r="O809" s="6">
        <v>15.702999999999999</v>
      </c>
      <c r="P809" s="6">
        <v>11</v>
      </c>
      <c r="Q809" s="4" t="s">
        <v>26</v>
      </c>
      <c r="R809" s="4">
        <v>0</v>
      </c>
      <c r="S809" s="6">
        <v>0</v>
      </c>
      <c r="T809" s="6">
        <v>58</v>
      </c>
      <c r="U809" s="6">
        <v>99</v>
      </c>
      <c r="V809" s="6">
        <f>IF(ISERROR(VLOOKUP($S$809,'TAR FIN'!$A$1:$O$103,15,0)),0,VLOOKUP($S$809,'TAR FIN'!$A$1:$O$103,15,0))</f>
        <v>0</v>
      </c>
      <c r="W809" s="6">
        <f>IF(ISERROR(VLOOKUP($T$809,'TAR FIN'!$A$1:$O$103,15,0)),0,VLOOKUP($T$809,'TAR FIN'!$A$1:$O$103,15,0))</f>
        <v>379.62</v>
      </c>
      <c r="X809" s="6">
        <f>IF(ISERROR(VLOOKUP($U$809,'TAR FIN'!$A$1:$O$103,15,0)),0,VLOOKUP($U$809,'TAR FIN'!$A$1:$O$103,15,0))</f>
        <v>255.17</v>
      </c>
      <c r="Y809" s="6"/>
      <c r="Z809" s="6">
        <f ca="1">('TUSD BE'!$AM$60+'TUSD BF'!$AM$60+'TUSD CVA'!$AM$60)*1</f>
        <v>482.06736206829294</v>
      </c>
      <c r="AA809" s="6">
        <f>('TE BE'!$AB$41+'TE BF'!$AB$41+'TE CVA'!$AB$41)*1</f>
        <v>234.02376339339278</v>
      </c>
      <c r="AB809" s="6">
        <f>$K$809*$V$809</f>
        <v>0</v>
      </c>
      <c r="AC809" s="6">
        <f>$M$809*$W$809</f>
        <v>5961.1728599999997</v>
      </c>
      <c r="AD809" s="6">
        <f>$O$809*$X$809</f>
        <v>4006.9345099999996</v>
      </c>
      <c r="AE809" s="6">
        <f>$K$809*$Y$809</f>
        <v>0</v>
      </c>
      <c r="AF809" s="6">
        <f ca="1">$M$809*$Z$809</f>
        <v>7569.9037865584041</v>
      </c>
      <c r="AG809" s="6">
        <f>$O$809*$AA$809</f>
        <v>3674.8751565664465</v>
      </c>
    </row>
    <row r="810" spans="1:33" ht="11.25" customHeight="1" x14ac:dyDescent="0.3">
      <c r="A810" s="4" t="s">
        <v>21</v>
      </c>
      <c r="B810" s="4" t="s">
        <v>37</v>
      </c>
      <c r="C810" s="4" t="s">
        <v>23</v>
      </c>
      <c r="D810" s="4" t="s">
        <v>52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44531</v>
      </c>
      <c r="J810" s="6">
        <v>0</v>
      </c>
      <c r="K810" s="6">
        <v>0</v>
      </c>
      <c r="L810" s="6">
        <v>15.512</v>
      </c>
      <c r="M810" s="6">
        <v>15.512</v>
      </c>
      <c r="N810" s="6">
        <v>15.512</v>
      </c>
      <c r="O810" s="6">
        <v>15.512</v>
      </c>
      <c r="P810" s="6">
        <v>11</v>
      </c>
      <c r="Q810" s="4" t="s">
        <v>26</v>
      </c>
      <c r="R810" s="4">
        <v>0</v>
      </c>
      <c r="S810" s="6">
        <v>0</v>
      </c>
      <c r="T810" s="6">
        <v>58</v>
      </c>
      <c r="U810" s="6">
        <v>99</v>
      </c>
      <c r="V810" s="6">
        <f>IF(ISERROR(VLOOKUP($S$810,'TAR FIN'!$A$1:$O$103,15,0)),0,VLOOKUP($S$810,'TAR FIN'!$A$1:$O$103,15,0))</f>
        <v>0</v>
      </c>
      <c r="W810" s="6">
        <f>IF(ISERROR(VLOOKUP($T$810,'TAR FIN'!$A$1:$O$103,15,0)),0,VLOOKUP($T$810,'TAR FIN'!$A$1:$O$103,15,0))</f>
        <v>379.62</v>
      </c>
      <c r="X810" s="6">
        <f>IF(ISERROR(VLOOKUP($U$810,'TAR FIN'!$A$1:$O$103,15,0)),0,VLOOKUP($U$810,'TAR FIN'!$A$1:$O$103,15,0))</f>
        <v>255.17</v>
      </c>
      <c r="Y810" s="6"/>
      <c r="Z810" s="6">
        <f ca="1">('TUSD BE'!$AM$60+'TUSD BF'!$AM$60+'TUSD CVA'!$AM$60)*1</f>
        <v>482.06736206829294</v>
      </c>
      <c r="AA810" s="6">
        <f>('TE BE'!$AB$41+'TE BF'!$AB$41+'TE CVA'!$AB$41)*1</f>
        <v>234.02376339339278</v>
      </c>
      <c r="AB810" s="6">
        <f>$K$810*$V$810</f>
        <v>0</v>
      </c>
      <c r="AC810" s="6">
        <f>$M$810*$W$810</f>
        <v>5888.6654400000007</v>
      </c>
      <c r="AD810" s="6">
        <f>$O$810*$X$810</f>
        <v>3958.19704</v>
      </c>
      <c r="AE810" s="6">
        <f>$K$810*$Y$810</f>
        <v>0</v>
      </c>
      <c r="AF810" s="6">
        <f ca="1">$M$810*$Z$810</f>
        <v>7477.8289204033599</v>
      </c>
      <c r="AG810" s="6">
        <f>$O$810*$AA$810</f>
        <v>3630.176617758309</v>
      </c>
    </row>
    <row r="811" spans="1:33" ht="11.25" customHeight="1" x14ac:dyDescent="0.3">
      <c r="A811" s="4" t="s">
        <v>21</v>
      </c>
      <c r="B811" s="4" t="s">
        <v>37</v>
      </c>
      <c r="C811" s="4" t="s">
        <v>23</v>
      </c>
      <c r="D811" s="4" t="s">
        <v>52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44562</v>
      </c>
      <c r="J811" s="6">
        <v>0</v>
      </c>
      <c r="K811" s="6">
        <v>0</v>
      </c>
      <c r="L811" s="6">
        <v>13.901</v>
      </c>
      <c r="M811" s="6">
        <v>13.901</v>
      </c>
      <c r="N811" s="6">
        <v>13.901</v>
      </c>
      <c r="O811" s="6">
        <v>13.901</v>
      </c>
      <c r="P811" s="6">
        <v>11</v>
      </c>
      <c r="Q811" s="4" t="s">
        <v>26</v>
      </c>
      <c r="R811" s="4">
        <v>0</v>
      </c>
      <c r="S811" s="6">
        <v>0</v>
      </c>
      <c r="T811" s="6">
        <v>58</v>
      </c>
      <c r="U811" s="6">
        <v>99</v>
      </c>
      <c r="V811" s="6">
        <f>IF(ISERROR(VLOOKUP($S$811,'TAR FIN'!$A$1:$O$103,15,0)),0,VLOOKUP($S$811,'TAR FIN'!$A$1:$O$103,15,0))</f>
        <v>0</v>
      </c>
      <c r="W811" s="6">
        <f>IF(ISERROR(VLOOKUP($T$811,'TAR FIN'!$A$1:$O$103,15,0)),0,VLOOKUP($T$811,'TAR FIN'!$A$1:$O$103,15,0))</f>
        <v>379.62</v>
      </c>
      <c r="X811" s="6">
        <f>IF(ISERROR(VLOOKUP($U$811,'TAR FIN'!$A$1:$O$103,15,0)),0,VLOOKUP($U$811,'TAR FIN'!$A$1:$O$103,15,0))</f>
        <v>255.17</v>
      </c>
      <c r="Y811" s="6"/>
      <c r="Z811" s="6">
        <f ca="1">('TUSD BE'!$AM$60+'TUSD BF'!$AM$60+'TUSD CVA'!$AM$60)*1</f>
        <v>482.06736206829294</v>
      </c>
      <c r="AA811" s="6">
        <f>('TE BE'!$AB$41+'TE BF'!$AB$41+'TE CVA'!$AB$41)*1</f>
        <v>234.02376339339278</v>
      </c>
      <c r="AB811" s="6">
        <f>$K$811*$V$811</f>
        <v>0</v>
      </c>
      <c r="AC811" s="6">
        <f>$M$811*$W$811</f>
        <v>5277.0976199999996</v>
      </c>
      <c r="AD811" s="6">
        <f>$O$811*$X$811</f>
        <v>3547.1181699999997</v>
      </c>
      <c r="AE811" s="6">
        <f>$K$811*$Y$811</f>
        <v>0</v>
      </c>
      <c r="AF811" s="6">
        <f ca="1">$M$811*$Z$811</f>
        <v>6701.2184001113401</v>
      </c>
      <c r="AG811" s="6">
        <f>$O$811*$AA$811</f>
        <v>3253.1643349315532</v>
      </c>
    </row>
    <row r="812" spans="1:33" ht="11.25" customHeight="1" x14ac:dyDescent="0.3">
      <c r="A812" s="4" t="s">
        <v>21</v>
      </c>
      <c r="B812" s="4" t="s">
        <v>37</v>
      </c>
      <c r="C812" s="4" t="s">
        <v>23</v>
      </c>
      <c r="D812" s="4" t="s">
        <v>52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44593</v>
      </c>
      <c r="J812" s="6">
        <v>0</v>
      </c>
      <c r="K812" s="6">
        <v>0</v>
      </c>
      <c r="L812" s="6">
        <v>15.327999999999999</v>
      </c>
      <c r="M812" s="6">
        <v>15.327999999999999</v>
      </c>
      <c r="N812" s="6">
        <v>15.327999999999999</v>
      </c>
      <c r="O812" s="6">
        <v>15.327999999999999</v>
      </c>
      <c r="P812" s="6">
        <v>11</v>
      </c>
      <c r="Q812" s="4" t="s">
        <v>26</v>
      </c>
      <c r="R812" s="4">
        <v>0</v>
      </c>
      <c r="S812" s="6">
        <v>0</v>
      </c>
      <c r="T812" s="6">
        <v>58</v>
      </c>
      <c r="U812" s="6">
        <v>99</v>
      </c>
      <c r="V812" s="6">
        <f>IF(ISERROR(VLOOKUP($S$812,'TAR FIN'!$A$1:$O$103,15,0)),0,VLOOKUP($S$812,'TAR FIN'!$A$1:$O$103,15,0))</f>
        <v>0</v>
      </c>
      <c r="W812" s="6">
        <f>IF(ISERROR(VLOOKUP($T$812,'TAR FIN'!$A$1:$O$103,15,0)),0,VLOOKUP($T$812,'TAR FIN'!$A$1:$O$103,15,0))</f>
        <v>379.62</v>
      </c>
      <c r="X812" s="6">
        <f>IF(ISERROR(VLOOKUP($U$812,'TAR FIN'!$A$1:$O$103,15,0)),0,VLOOKUP($U$812,'TAR FIN'!$A$1:$O$103,15,0))</f>
        <v>255.17</v>
      </c>
      <c r="Y812" s="6"/>
      <c r="Z812" s="6">
        <f ca="1">('TUSD BE'!$AM$60+'TUSD BF'!$AM$60+'TUSD CVA'!$AM$60)*1</f>
        <v>482.06736206829294</v>
      </c>
      <c r="AA812" s="6">
        <f>('TE BE'!$AB$41+'TE BF'!$AB$41+'TE CVA'!$AB$41)*1</f>
        <v>234.02376339339278</v>
      </c>
      <c r="AB812" s="6">
        <f>$K$812*$V$812</f>
        <v>0</v>
      </c>
      <c r="AC812" s="6">
        <f>$M$812*$W$812</f>
        <v>5818.8153599999996</v>
      </c>
      <c r="AD812" s="6">
        <f>$O$812*$X$812</f>
        <v>3911.2457599999998</v>
      </c>
      <c r="AE812" s="6">
        <f>$K$812*$Y$812</f>
        <v>0</v>
      </c>
      <c r="AF812" s="6">
        <f ca="1">$M$812*$Z$812</f>
        <v>7389.128525782794</v>
      </c>
      <c r="AG812" s="6">
        <f>$O$812*$AA$812</f>
        <v>3587.1162452939243</v>
      </c>
    </row>
    <row r="813" spans="1:33" ht="11.25" customHeight="1" x14ac:dyDescent="0.3">
      <c r="A813" s="4" t="s">
        <v>21</v>
      </c>
      <c r="B813" s="4" t="s">
        <v>37</v>
      </c>
      <c r="C813" s="4" t="s">
        <v>23</v>
      </c>
      <c r="D813" s="4" t="s">
        <v>52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44621</v>
      </c>
      <c r="J813" s="6">
        <v>0</v>
      </c>
      <c r="K813" s="6">
        <v>0</v>
      </c>
      <c r="L813" s="6">
        <v>14.196999999999999</v>
      </c>
      <c r="M813" s="6">
        <v>14.196999999999999</v>
      </c>
      <c r="N813" s="6">
        <v>14.196999999999999</v>
      </c>
      <c r="O813" s="6">
        <v>14.196999999999999</v>
      </c>
      <c r="P813" s="6">
        <v>11</v>
      </c>
      <c r="Q813" s="4" t="s">
        <v>26</v>
      </c>
      <c r="R813" s="4">
        <v>0</v>
      </c>
      <c r="S813" s="6">
        <v>0</v>
      </c>
      <c r="T813" s="6">
        <v>58</v>
      </c>
      <c r="U813" s="6">
        <v>99</v>
      </c>
      <c r="V813" s="6">
        <f>IF(ISERROR(VLOOKUP($S$813,'TAR FIN'!$A$1:$O$103,15,0)),0,VLOOKUP($S$813,'TAR FIN'!$A$1:$O$103,15,0))</f>
        <v>0</v>
      </c>
      <c r="W813" s="6">
        <f>IF(ISERROR(VLOOKUP($T$813,'TAR FIN'!$A$1:$O$103,15,0)),0,VLOOKUP($T$813,'TAR FIN'!$A$1:$O$103,15,0))</f>
        <v>379.62</v>
      </c>
      <c r="X813" s="6">
        <f>IF(ISERROR(VLOOKUP($U$813,'TAR FIN'!$A$1:$O$103,15,0)),0,VLOOKUP($U$813,'TAR FIN'!$A$1:$O$103,15,0))</f>
        <v>255.17</v>
      </c>
      <c r="Y813" s="6"/>
      <c r="Z813" s="6">
        <f ca="1">('TUSD BE'!$AM$60+'TUSD BF'!$AM$60+'TUSD CVA'!$AM$60)*1</f>
        <v>482.06736206829294</v>
      </c>
      <c r="AA813" s="6">
        <f>('TE BE'!$AB$41+'TE BF'!$AB$41+'TE CVA'!$AB$41)*1</f>
        <v>234.02376339339278</v>
      </c>
      <c r="AB813" s="6">
        <f>$K$813*$V$813</f>
        <v>0</v>
      </c>
      <c r="AC813" s="6">
        <f>$M$813*$W$813</f>
        <v>5389.4651399999993</v>
      </c>
      <c r="AD813" s="6">
        <f>$O$813*$X$813</f>
        <v>3622.6484899999996</v>
      </c>
      <c r="AE813" s="6">
        <f>$K$813*$Y$813</f>
        <v>0</v>
      </c>
      <c r="AF813" s="6">
        <f ca="1">$M$813*$Z$813</f>
        <v>6843.9103392835541</v>
      </c>
      <c r="AG813" s="6">
        <f>$O$813*$AA$813</f>
        <v>3322.4353688959973</v>
      </c>
    </row>
    <row r="814" spans="1:33" ht="11.25" customHeight="1" x14ac:dyDescent="0.3">
      <c r="A814" s="4" t="s">
        <v>21</v>
      </c>
      <c r="B814" s="4" t="s">
        <v>37</v>
      </c>
      <c r="C814" s="4" t="s">
        <v>23</v>
      </c>
      <c r="D814" s="4" t="s">
        <v>52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44652</v>
      </c>
      <c r="J814" s="6">
        <v>0</v>
      </c>
      <c r="K814" s="6">
        <v>0</v>
      </c>
      <c r="L814" s="6">
        <v>17.297000000000001</v>
      </c>
      <c r="M814" s="6">
        <v>17.297000000000001</v>
      </c>
      <c r="N814" s="6">
        <v>17.297000000000001</v>
      </c>
      <c r="O814" s="6">
        <v>17.297000000000001</v>
      </c>
      <c r="P814" s="6">
        <v>11</v>
      </c>
      <c r="Q814" s="4" t="s">
        <v>26</v>
      </c>
      <c r="R814" s="4">
        <v>0</v>
      </c>
      <c r="S814" s="6">
        <v>0</v>
      </c>
      <c r="T814" s="6">
        <v>58</v>
      </c>
      <c r="U814" s="6">
        <v>99</v>
      </c>
      <c r="V814" s="6">
        <f>IF(ISERROR(VLOOKUP($S$814,'TAR FIN'!$A$1:$O$103,15,0)),0,VLOOKUP($S$814,'TAR FIN'!$A$1:$O$103,15,0))</f>
        <v>0</v>
      </c>
      <c r="W814" s="6">
        <f>IF(ISERROR(VLOOKUP($T$814,'TAR FIN'!$A$1:$O$103,15,0)),0,VLOOKUP($T$814,'TAR FIN'!$A$1:$O$103,15,0))</f>
        <v>379.62</v>
      </c>
      <c r="X814" s="6">
        <f>IF(ISERROR(VLOOKUP($U$814,'TAR FIN'!$A$1:$O$103,15,0)),0,VLOOKUP($U$814,'TAR FIN'!$A$1:$O$103,15,0))</f>
        <v>255.17</v>
      </c>
      <c r="Y814" s="6"/>
      <c r="Z814" s="6">
        <f ca="1">('TUSD BE'!$AM$60+'TUSD BF'!$AM$60+'TUSD CVA'!$AM$60)*1</f>
        <v>482.06736206829294</v>
      </c>
      <c r="AA814" s="6">
        <f>('TE BE'!$AB$41+'TE BF'!$AB$41+'TE CVA'!$AB$41)*1</f>
        <v>234.02376339339278</v>
      </c>
      <c r="AB814" s="6">
        <f>$K$814*$V$814</f>
        <v>0</v>
      </c>
      <c r="AC814" s="6">
        <f>$M$814*$W$814</f>
        <v>6566.2871400000004</v>
      </c>
      <c r="AD814" s="6">
        <f>$O$814*$X$814</f>
        <v>4413.6754899999996</v>
      </c>
      <c r="AE814" s="6">
        <f>$K$814*$Y$814</f>
        <v>0</v>
      </c>
      <c r="AF814" s="6">
        <f ca="1">$M$814*$Z$814</f>
        <v>8338.3191616952627</v>
      </c>
      <c r="AG814" s="6">
        <f>$O$814*$AA$814</f>
        <v>4047.9090354155151</v>
      </c>
    </row>
    <row r="815" spans="1:33" ht="11.25" customHeight="1" x14ac:dyDescent="0.3">
      <c r="A815" s="4" t="s">
        <v>21</v>
      </c>
      <c r="B815" s="4" t="s">
        <v>37</v>
      </c>
      <c r="C815" s="4" t="s">
        <v>23</v>
      </c>
      <c r="D815" s="4" t="s">
        <v>52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44682</v>
      </c>
      <c r="J815" s="6">
        <v>0</v>
      </c>
      <c r="K815" s="6">
        <v>0</v>
      </c>
      <c r="L815" s="6">
        <v>15.887</v>
      </c>
      <c r="M815" s="6">
        <v>15.887</v>
      </c>
      <c r="N815" s="6">
        <v>15.887</v>
      </c>
      <c r="O815" s="6">
        <v>15.887</v>
      </c>
      <c r="P815" s="6">
        <v>11</v>
      </c>
      <c r="Q815" s="4" t="s">
        <v>26</v>
      </c>
      <c r="R815" s="4">
        <v>0</v>
      </c>
      <c r="S815" s="6">
        <v>0</v>
      </c>
      <c r="T815" s="6">
        <v>58</v>
      </c>
      <c r="U815" s="6">
        <v>99</v>
      </c>
      <c r="V815" s="6">
        <f>IF(ISERROR(VLOOKUP($S$815,'TAR FIN'!$A$1:$O$103,15,0)),0,VLOOKUP($S$815,'TAR FIN'!$A$1:$O$103,15,0))</f>
        <v>0</v>
      </c>
      <c r="W815" s="6">
        <f>IF(ISERROR(VLOOKUP($T$815,'TAR FIN'!$A$1:$O$103,15,0)),0,VLOOKUP($T$815,'TAR FIN'!$A$1:$O$103,15,0))</f>
        <v>379.62</v>
      </c>
      <c r="X815" s="6">
        <f>IF(ISERROR(VLOOKUP($U$815,'TAR FIN'!$A$1:$O$103,15,0)),0,VLOOKUP($U$815,'TAR FIN'!$A$1:$O$103,15,0))</f>
        <v>255.17</v>
      </c>
      <c r="Y815" s="6"/>
      <c r="Z815" s="6">
        <f ca="1">('TUSD BE'!$AM$60+'TUSD BF'!$AM$60+'TUSD CVA'!$AM$60)*1</f>
        <v>482.06736206829294</v>
      </c>
      <c r="AA815" s="6">
        <f>('TE BE'!$AB$41+'TE BF'!$AB$41+'TE CVA'!$AB$41)*1</f>
        <v>234.02376339339278</v>
      </c>
      <c r="AB815" s="6">
        <f>$K$815*$V$815</f>
        <v>0</v>
      </c>
      <c r="AC815" s="6">
        <f>$M$815*$W$815</f>
        <v>6031.0229399999998</v>
      </c>
      <c r="AD815" s="6">
        <f>$O$815*$X$815</f>
        <v>4053.8857899999998</v>
      </c>
      <c r="AE815" s="6">
        <f>$K$815*$Y$815</f>
        <v>0</v>
      </c>
      <c r="AF815" s="6">
        <f ca="1">$M$815*$Z$815</f>
        <v>7658.6041811789701</v>
      </c>
      <c r="AG815" s="6">
        <f>$O$815*$AA$815</f>
        <v>3717.9355290308313</v>
      </c>
    </row>
    <row r="816" spans="1:33" ht="11.25" customHeight="1" x14ac:dyDescent="0.3">
      <c r="A816" s="4" t="s">
        <v>21</v>
      </c>
      <c r="B816" s="4" t="s">
        <v>37</v>
      </c>
      <c r="C816" s="4" t="s">
        <v>23</v>
      </c>
      <c r="D816" s="4" t="s">
        <v>52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44713</v>
      </c>
      <c r="J816" s="6">
        <v>0</v>
      </c>
      <c r="K816" s="6">
        <v>0</v>
      </c>
      <c r="L816" s="6">
        <v>12.807</v>
      </c>
      <c r="M816" s="6">
        <v>12.807</v>
      </c>
      <c r="N816" s="6">
        <v>12.807</v>
      </c>
      <c r="O816" s="6">
        <v>12.807</v>
      </c>
      <c r="P816" s="6">
        <v>11</v>
      </c>
      <c r="Q816" s="4" t="s">
        <v>26</v>
      </c>
      <c r="R816" s="4">
        <v>0</v>
      </c>
      <c r="S816" s="6">
        <v>0</v>
      </c>
      <c r="T816" s="6">
        <v>58</v>
      </c>
      <c r="U816" s="6">
        <v>99</v>
      </c>
      <c r="V816" s="6">
        <f>IF(ISERROR(VLOOKUP($S$816,'TAR FIN'!$A$1:$O$103,15,0)),0,VLOOKUP($S$816,'TAR FIN'!$A$1:$O$103,15,0))</f>
        <v>0</v>
      </c>
      <c r="W816" s="6">
        <f>IF(ISERROR(VLOOKUP($T$816,'TAR FIN'!$A$1:$O$103,15,0)),0,VLOOKUP($T$816,'TAR FIN'!$A$1:$O$103,15,0))</f>
        <v>379.62</v>
      </c>
      <c r="X816" s="6">
        <f>IF(ISERROR(VLOOKUP($U$816,'TAR FIN'!$A$1:$O$103,15,0)),0,VLOOKUP($U$816,'TAR FIN'!$A$1:$O$103,15,0))</f>
        <v>255.17</v>
      </c>
      <c r="Y816" s="6"/>
      <c r="Z816" s="6">
        <f ca="1">('TUSD BE'!$AM$60+'TUSD BF'!$AM$60+'TUSD CVA'!$AM$60)*1</f>
        <v>482.06736206829294</v>
      </c>
      <c r="AA816" s="6">
        <f>('TE BE'!$AB$41+'TE BF'!$AB$41+'TE CVA'!$AB$41)*1</f>
        <v>234.02376339339278</v>
      </c>
      <c r="AB816" s="6">
        <f>$K$816*$V$816</f>
        <v>0</v>
      </c>
      <c r="AC816" s="6">
        <f>$M$816*$W$816</f>
        <v>4861.7933400000002</v>
      </c>
      <c r="AD816" s="6">
        <f>$O$816*$X$816</f>
        <v>3267.9621899999997</v>
      </c>
      <c r="AE816" s="6">
        <f>$K$816*$Y$816</f>
        <v>0</v>
      </c>
      <c r="AF816" s="6">
        <f ca="1">$M$816*$Z$816</f>
        <v>6173.8367060086275</v>
      </c>
      <c r="AG816" s="6">
        <f>$O$816*$AA$816</f>
        <v>2997.1423377791816</v>
      </c>
    </row>
    <row r="817" spans="1:33" ht="11.25" customHeight="1" x14ac:dyDescent="0.3">
      <c r="A817" s="4" t="s">
        <v>21</v>
      </c>
      <c r="B817" s="4" t="s">
        <v>37</v>
      </c>
      <c r="C817" s="4" t="s">
        <v>23</v>
      </c>
      <c r="D817" s="4" t="s">
        <v>52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44743</v>
      </c>
      <c r="J817" s="6">
        <v>0</v>
      </c>
      <c r="K817" s="6">
        <v>0</v>
      </c>
      <c r="L817" s="6">
        <v>13.413</v>
      </c>
      <c r="M817" s="6">
        <v>13.413</v>
      </c>
      <c r="N817" s="6">
        <v>13.413</v>
      </c>
      <c r="O817" s="6">
        <v>13.413</v>
      </c>
      <c r="P817" s="6">
        <v>11</v>
      </c>
      <c r="Q817" s="4" t="s">
        <v>26</v>
      </c>
      <c r="R817" s="4">
        <v>0</v>
      </c>
      <c r="S817" s="6">
        <v>0</v>
      </c>
      <c r="T817" s="6">
        <v>58</v>
      </c>
      <c r="U817" s="6">
        <v>99</v>
      </c>
      <c r="V817" s="6">
        <f>IF(ISERROR(VLOOKUP($S$817,'TAR FIN'!$A$1:$O$103,15,0)),0,VLOOKUP($S$817,'TAR FIN'!$A$1:$O$103,15,0))</f>
        <v>0</v>
      </c>
      <c r="W817" s="6">
        <f>IF(ISERROR(VLOOKUP($T$817,'TAR FIN'!$A$1:$O$103,15,0)),0,VLOOKUP($T$817,'TAR FIN'!$A$1:$O$103,15,0))</f>
        <v>379.62</v>
      </c>
      <c r="X817" s="6">
        <f>IF(ISERROR(VLOOKUP($U$817,'TAR FIN'!$A$1:$O$103,15,0)),0,VLOOKUP($U$817,'TAR FIN'!$A$1:$O$103,15,0))</f>
        <v>255.17</v>
      </c>
      <c r="Y817" s="6"/>
      <c r="Z817" s="6">
        <f ca="1">('TUSD BE'!$AM$60+'TUSD BF'!$AM$60+'TUSD CVA'!$AM$60)*1</f>
        <v>482.06736206829294</v>
      </c>
      <c r="AA817" s="6">
        <f>('TE BE'!$AB$41+'TE BF'!$AB$41+'TE CVA'!$AB$41)*1</f>
        <v>234.02376339339278</v>
      </c>
      <c r="AB817" s="6">
        <f>$K$817*$V$817</f>
        <v>0</v>
      </c>
      <c r="AC817" s="6">
        <f>$M$817*$W$817</f>
        <v>5091.8430600000002</v>
      </c>
      <c r="AD817" s="6">
        <f>$O$817*$X$817</f>
        <v>3422.59521</v>
      </c>
      <c r="AE817" s="6">
        <f>$K$817*$Y$817</f>
        <v>0</v>
      </c>
      <c r="AF817" s="6">
        <f ca="1">$M$817*$Z$817</f>
        <v>6465.969527422013</v>
      </c>
      <c r="AG817" s="6">
        <f>$O$817*$AA$817</f>
        <v>3138.9607383955777</v>
      </c>
    </row>
    <row r="818" spans="1:33" ht="11.25" customHeight="1" x14ac:dyDescent="0.3">
      <c r="A818" s="4" t="s">
        <v>21</v>
      </c>
      <c r="B818" s="4" t="s">
        <v>37</v>
      </c>
      <c r="C818" s="4" t="s">
        <v>23</v>
      </c>
      <c r="D818" s="4" t="s">
        <v>52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44774</v>
      </c>
      <c r="J818" s="6">
        <v>0</v>
      </c>
      <c r="K818" s="6">
        <v>0</v>
      </c>
      <c r="L818" s="6">
        <v>12.808</v>
      </c>
      <c r="M818" s="6">
        <v>12.808</v>
      </c>
      <c r="N818" s="6">
        <v>12.808</v>
      </c>
      <c r="O818" s="6">
        <v>12.808</v>
      </c>
      <c r="P818" s="6">
        <v>11</v>
      </c>
      <c r="Q818" s="4" t="s">
        <v>26</v>
      </c>
      <c r="R818" s="4">
        <v>0</v>
      </c>
      <c r="S818" s="6">
        <v>0</v>
      </c>
      <c r="T818" s="6">
        <v>58</v>
      </c>
      <c r="U818" s="6">
        <v>99</v>
      </c>
      <c r="V818" s="6">
        <f>IF(ISERROR(VLOOKUP($S$818,'TAR FIN'!$A$1:$O$103,15,0)),0,VLOOKUP($S$818,'TAR FIN'!$A$1:$O$103,15,0))</f>
        <v>0</v>
      </c>
      <c r="W818" s="6">
        <f>IF(ISERROR(VLOOKUP($T$818,'TAR FIN'!$A$1:$O$103,15,0)),0,VLOOKUP($T$818,'TAR FIN'!$A$1:$O$103,15,0))</f>
        <v>379.62</v>
      </c>
      <c r="X818" s="6">
        <f>IF(ISERROR(VLOOKUP($U$818,'TAR FIN'!$A$1:$O$103,15,0)),0,VLOOKUP($U$818,'TAR FIN'!$A$1:$O$103,15,0))</f>
        <v>255.17</v>
      </c>
      <c r="Y818" s="6"/>
      <c r="Z818" s="6">
        <f ca="1">('TUSD BE'!$AM$60+'TUSD BF'!$AM$60+'TUSD CVA'!$AM$60)*1</f>
        <v>482.06736206829294</v>
      </c>
      <c r="AA818" s="6">
        <f>('TE BE'!$AB$41+'TE BF'!$AB$41+'TE CVA'!$AB$41)*1</f>
        <v>234.02376339339278</v>
      </c>
      <c r="AB818" s="6">
        <f>$K$818*$V$818</f>
        <v>0</v>
      </c>
      <c r="AC818" s="6">
        <f>$M$818*$W$818</f>
        <v>4862.1729599999999</v>
      </c>
      <c r="AD818" s="6">
        <f>$O$818*$X$818</f>
        <v>3268.2173599999996</v>
      </c>
      <c r="AE818" s="6">
        <f>$K$818*$Y$818</f>
        <v>0</v>
      </c>
      <c r="AF818" s="6">
        <f ca="1">$M$818*$Z$818</f>
        <v>6174.3187733706955</v>
      </c>
      <c r="AG818" s="6">
        <f>$O$818*$AA$818</f>
        <v>2997.3763615425746</v>
      </c>
    </row>
    <row r="819" spans="1:33" ht="11.25" customHeight="1" x14ac:dyDescent="0.3">
      <c r="A819" s="4" t="s">
        <v>21</v>
      </c>
      <c r="B819" s="4" t="s">
        <v>37</v>
      </c>
      <c r="C819" s="4" t="s">
        <v>23</v>
      </c>
      <c r="D819" s="4" t="s">
        <v>52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44805</v>
      </c>
      <c r="J819" s="6">
        <v>0</v>
      </c>
      <c r="K819" s="6">
        <v>0</v>
      </c>
      <c r="L819" s="6">
        <v>16.094999999999999</v>
      </c>
      <c r="M819" s="6">
        <v>16.094999999999999</v>
      </c>
      <c r="N819" s="6">
        <v>16.094999999999999</v>
      </c>
      <c r="O819" s="6">
        <v>16.094999999999999</v>
      </c>
      <c r="P819" s="6">
        <v>11</v>
      </c>
      <c r="Q819" s="4" t="s">
        <v>26</v>
      </c>
      <c r="R819" s="4">
        <v>0</v>
      </c>
      <c r="S819" s="6">
        <v>0</v>
      </c>
      <c r="T819" s="6">
        <v>58</v>
      </c>
      <c r="U819" s="6">
        <v>99</v>
      </c>
      <c r="V819" s="6">
        <f>IF(ISERROR(VLOOKUP($S$819,'TAR FIN'!$A$1:$O$103,15,0)),0,VLOOKUP($S$819,'TAR FIN'!$A$1:$O$103,15,0))</f>
        <v>0</v>
      </c>
      <c r="W819" s="6">
        <f>IF(ISERROR(VLOOKUP($T$819,'TAR FIN'!$A$1:$O$103,15,0)),0,VLOOKUP($T$819,'TAR FIN'!$A$1:$O$103,15,0))</f>
        <v>379.62</v>
      </c>
      <c r="X819" s="6">
        <f>IF(ISERROR(VLOOKUP($U$819,'TAR FIN'!$A$1:$O$103,15,0)),0,VLOOKUP($U$819,'TAR FIN'!$A$1:$O$103,15,0))</f>
        <v>255.17</v>
      </c>
      <c r="Y819" s="6"/>
      <c r="Z819" s="6">
        <f ca="1">('TUSD BE'!$AM$60+'TUSD BF'!$AM$60+'TUSD CVA'!$AM$60)*1</f>
        <v>482.06736206829294</v>
      </c>
      <c r="AA819" s="6">
        <f>('TE BE'!$AB$41+'TE BF'!$AB$41+'TE CVA'!$AB$41)*1</f>
        <v>234.02376339339278</v>
      </c>
      <c r="AB819" s="6">
        <f>$K$819*$V$819</f>
        <v>0</v>
      </c>
      <c r="AC819" s="6">
        <f>$M$819*$W$819</f>
        <v>6109.9838999999993</v>
      </c>
      <c r="AD819" s="6">
        <f>$O$819*$X$819</f>
        <v>4106.9611499999992</v>
      </c>
      <c r="AE819" s="6">
        <f>$K$819*$Y$819</f>
        <v>0</v>
      </c>
      <c r="AF819" s="6">
        <f ca="1">$M$819*$Z$819</f>
        <v>7758.8741924891747</v>
      </c>
      <c r="AG819" s="6">
        <f>$O$819*$AA$819</f>
        <v>3766.6124718166566</v>
      </c>
    </row>
    <row r="820" spans="1:33" ht="11.25" customHeight="1" x14ac:dyDescent="0.3">
      <c r="A820" s="4" t="s">
        <v>57</v>
      </c>
      <c r="B820" s="4" t="s">
        <v>37</v>
      </c>
      <c r="C820" s="4" t="s">
        <v>23</v>
      </c>
      <c r="D820" s="4" t="s">
        <v>52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44835</v>
      </c>
      <c r="J820" s="6">
        <v>0</v>
      </c>
      <c r="K820" s="6">
        <v>0</v>
      </c>
      <c r="L820" s="6">
        <v>16.094999999999999</v>
      </c>
      <c r="M820" s="6">
        <v>16.094999999999999</v>
      </c>
      <c r="N820" s="6">
        <v>16.094999999999999</v>
      </c>
      <c r="O820" s="6">
        <v>16.094999999999999</v>
      </c>
      <c r="P820" s="6">
        <v>11</v>
      </c>
      <c r="Q820" s="4" t="s">
        <v>26</v>
      </c>
      <c r="R820" s="4">
        <v>0</v>
      </c>
      <c r="S820" s="6">
        <v>0</v>
      </c>
      <c r="T820" s="6">
        <v>58</v>
      </c>
      <c r="U820" s="6">
        <v>99</v>
      </c>
      <c r="V820" s="6">
        <f>IF(ISERROR(VLOOKUP($S$820,'TAR FIN'!$A$1:$O$103,15,0)),0,VLOOKUP($S$820,'TAR FIN'!$A$1:$O$103,15,0))</f>
        <v>0</v>
      </c>
      <c r="W820" s="6">
        <f>IF(ISERROR(VLOOKUP($T$820,'TAR FIN'!$A$1:$O$103,15,0)),0,VLOOKUP($T$820,'TAR FIN'!$A$1:$O$103,15,0))</f>
        <v>379.62</v>
      </c>
      <c r="X820" s="6">
        <f>IF(ISERROR(VLOOKUP($U$820,'TAR FIN'!$A$1:$O$103,15,0)),0,VLOOKUP($U$820,'TAR FIN'!$A$1:$O$103,15,0))</f>
        <v>255.17</v>
      </c>
      <c r="Y820" s="6"/>
      <c r="Z820" s="6">
        <f ca="1">('TUSD BE'!$AM$60+'TUSD BF'!$AM$60+'TUSD CVA'!$AM$60)*1</f>
        <v>482.06736206829294</v>
      </c>
      <c r="AA820" s="6">
        <f>('TE BE'!$AB$41+'TE BF'!$AB$41+'TE CVA'!$AB$41)*1</f>
        <v>234.02376339339278</v>
      </c>
      <c r="AB820" s="6">
        <f>$K$820*$V$820</f>
        <v>0</v>
      </c>
      <c r="AC820" s="6">
        <f>$M$820*$W$820</f>
        <v>6109.9838999999993</v>
      </c>
      <c r="AD820" s="6">
        <f>$O$820*$X$820</f>
        <v>4106.9611499999992</v>
      </c>
      <c r="AE820" s="6">
        <f>$K$820*$Y$820</f>
        <v>0</v>
      </c>
      <c r="AF820" s="6">
        <f ca="1">$M$820*$Z$820</f>
        <v>7758.8741924891747</v>
      </c>
      <c r="AG820" s="6">
        <f>$O$820*$AA$820</f>
        <v>3766.6124718166566</v>
      </c>
    </row>
    <row r="821" spans="1:33" ht="11.25" customHeight="1" x14ac:dyDescent="0.3">
      <c r="A821" s="4" t="s">
        <v>21</v>
      </c>
      <c r="B821" s="4" t="s">
        <v>37</v>
      </c>
      <c r="C821" s="4" t="s">
        <v>23</v>
      </c>
      <c r="D821" s="4" t="s">
        <v>38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44501</v>
      </c>
      <c r="J821" s="6">
        <v>0</v>
      </c>
      <c r="K821" s="6">
        <v>0</v>
      </c>
      <c r="L821" s="6">
        <v>48.664999999999999</v>
      </c>
      <c r="M821" s="6">
        <v>48.664999999999999</v>
      </c>
      <c r="N821" s="6">
        <v>48.664999999999999</v>
      </c>
      <c r="O821" s="6">
        <v>48.664999999999999</v>
      </c>
      <c r="P821" s="6">
        <v>44</v>
      </c>
      <c r="Q821" s="4" t="s">
        <v>26</v>
      </c>
      <c r="R821" s="4">
        <v>0</v>
      </c>
      <c r="S821" s="6">
        <v>0</v>
      </c>
      <c r="T821" s="6">
        <v>58</v>
      </c>
      <c r="U821" s="6">
        <v>99</v>
      </c>
      <c r="V821" s="6">
        <f>IF(ISERROR(VLOOKUP($S$821,'TAR FIN'!$A$1:$O$103,15,0)),0,VLOOKUP($S$821,'TAR FIN'!$A$1:$O$103,15,0))</f>
        <v>0</v>
      </c>
      <c r="W821" s="6">
        <f>IF(ISERROR(VLOOKUP($T$821,'TAR FIN'!$A$1:$O$103,15,0)),0,VLOOKUP($T$821,'TAR FIN'!$A$1:$O$103,15,0))</f>
        <v>379.62</v>
      </c>
      <c r="X821" s="6">
        <f>IF(ISERROR(VLOOKUP($U$821,'TAR FIN'!$A$1:$O$103,15,0)),0,VLOOKUP($U$821,'TAR FIN'!$A$1:$O$103,15,0))</f>
        <v>255.17</v>
      </c>
      <c r="Y821" s="6"/>
      <c r="Z821" s="6">
        <f ca="1">('TUSD BE'!$AM$60+'TUSD BF'!$AM$60+'TUSD CVA'!$AM$60)*1</f>
        <v>482.06736206829294</v>
      </c>
      <c r="AA821" s="6">
        <f>('TE BE'!$AB$41+'TE BF'!$AB$41+'TE CVA'!$AB$41)*1</f>
        <v>234.02376339339278</v>
      </c>
      <c r="AB821" s="6">
        <f>$K$821*$V$821</f>
        <v>0</v>
      </c>
      <c r="AC821" s="6">
        <f>$M$821*$W$821</f>
        <v>18474.207299999998</v>
      </c>
      <c r="AD821" s="6">
        <f>$O$821*$X$821</f>
        <v>12417.848049999999</v>
      </c>
      <c r="AE821" s="6">
        <f>$K$821*$Y$821</f>
        <v>0</v>
      </c>
      <c r="AF821" s="6">
        <f ca="1">$M$821*$Z$821</f>
        <v>23459.808175053477</v>
      </c>
      <c r="AG821" s="6">
        <f>$O$821*$AA$821</f>
        <v>11388.766445539459</v>
      </c>
    </row>
    <row r="822" spans="1:33" ht="11.25" customHeight="1" x14ac:dyDescent="0.3">
      <c r="A822" s="4" t="s">
        <v>28</v>
      </c>
      <c r="B822" s="4" t="s">
        <v>37</v>
      </c>
      <c r="C822" s="4" t="s">
        <v>23</v>
      </c>
      <c r="D822" s="4" t="s">
        <v>38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44501</v>
      </c>
      <c r="J822" s="6">
        <v>0</v>
      </c>
      <c r="K822" s="6">
        <v>0</v>
      </c>
      <c r="L822" s="6">
        <v>1.589</v>
      </c>
      <c r="M822" s="6">
        <v>1.589</v>
      </c>
      <c r="N822" s="6">
        <v>1.589</v>
      </c>
      <c r="O822" s="6">
        <v>1.589</v>
      </c>
      <c r="P822" s="6">
        <v>3</v>
      </c>
      <c r="Q822" s="4" t="s">
        <v>26</v>
      </c>
      <c r="R822" s="4">
        <v>0</v>
      </c>
      <c r="S822" s="6">
        <v>0</v>
      </c>
      <c r="T822" s="6">
        <v>58</v>
      </c>
      <c r="U822" s="6">
        <v>99</v>
      </c>
      <c r="V822" s="6">
        <f>IF(ISERROR(VLOOKUP($S$822,'TAR FIN'!$A$1:$O$103,15,0)),0,VLOOKUP($S$822,'TAR FIN'!$A$1:$O$103,15,0))</f>
        <v>0</v>
      </c>
      <c r="W822" s="6">
        <f>IF(ISERROR(VLOOKUP($T$822,'TAR FIN'!$A$1:$O$103,15,0)),0,VLOOKUP($T$822,'TAR FIN'!$A$1:$O$103,15,0))</f>
        <v>379.62</v>
      </c>
      <c r="X822" s="6">
        <f>IF(ISERROR(VLOOKUP($U$822,'TAR FIN'!$A$1:$O$103,15,0)),0,VLOOKUP($U$822,'TAR FIN'!$A$1:$O$103,15,0))</f>
        <v>255.17</v>
      </c>
      <c r="Y822" s="6"/>
      <c r="Z822" s="6">
        <f ca="1">('TUSD BE'!$AM$60+'TUSD BF'!$AM$60+'TUSD CVA'!$AM$60)*1</f>
        <v>482.06736206829294</v>
      </c>
      <c r="AA822" s="6">
        <f>('TE BE'!$AB$41+'TE BF'!$AB$41+'TE CVA'!$AB$41)*1</f>
        <v>234.02376339339278</v>
      </c>
      <c r="AB822" s="6">
        <f>$K$822*$V$822</f>
        <v>0</v>
      </c>
      <c r="AC822" s="6">
        <f>$M$822*$W$822</f>
        <v>603.21618000000001</v>
      </c>
      <c r="AD822" s="6">
        <f>$O$822*$X$822</f>
        <v>405.46512999999999</v>
      </c>
      <c r="AE822" s="6">
        <f>$K$822*$Y$822</f>
        <v>0</v>
      </c>
      <c r="AF822" s="6">
        <f ca="1">$M$822*$Z$822</f>
        <v>766.00503832651748</v>
      </c>
      <c r="AG822" s="6">
        <f>$O$822*$AA$822</f>
        <v>371.86376003210114</v>
      </c>
    </row>
    <row r="823" spans="1:33" ht="11.25" customHeight="1" x14ac:dyDescent="0.3">
      <c r="A823" s="4" t="s">
        <v>21</v>
      </c>
      <c r="B823" s="4" t="s">
        <v>37</v>
      </c>
      <c r="C823" s="4" t="s">
        <v>23</v>
      </c>
      <c r="D823" s="4" t="s">
        <v>38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44531</v>
      </c>
      <c r="J823" s="6">
        <v>0</v>
      </c>
      <c r="K823" s="6">
        <v>0</v>
      </c>
      <c r="L823" s="6">
        <v>43.027999999999999</v>
      </c>
      <c r="M823" s="6">
        <v>43.027999999999999</v>
      </c>
      <c r="N823" s="6">
        <v>43.027999999999999</v>
      </c>
      <c r="O823" s="6">
        <v>43.027999999999999</v>
      </c>
      <c r="P823" s="6">
        <v>44</v>
      </c>
      <c r="Q823" s="4" t="s">
        <v>26</v>
      </c>
      <c r="R823" s="4">
        <v>0</v>
      </c>
      <c r="S823" s="6">
        <v>0</v>
      </c>
      <c r="T823" s="6">
        <v>58</v>
      </c>
      <c r="U823" s="6">
        <v>99</v>
      </c>
      <c r="V823" s="6">
        <f>IF(ISERROR(VLOOKUP($S$823,'TAR FIN'!$A$1:$O$103,15,0)),0,VLOOKUP($S$823,'TAR FIN'!$A$1:$O$103,15,0))</f>
        <v>0</v>
      </c>
      <c r="W823" s="6">
        <f>IF(ISERROR(VLOOKUP($T$823,'TAR FIN'!$A$1:$O$103,15,0)),0,VLOOKUP($T$823,'TAR FIN'!$A$1:$O$103,15,0))</f>
        <v>379.62</v>
      </c>
      <c r="X823" s="6">
        <f>IF(ISERROR(VLOOKUP($U$823,'TAR FIN'!$A$1:$O$103,15,0)),0,VLOOKUP($U$823,'TAR FIN'!$A$1:$O$103,15,0))</f>
        <v>255.17</v>
      </c>
      <c r="Y823" s="6"/>
      <c r="Z823" s="6">
        <f ca="1">('TUSD BE'!$AM$60+'TUSD BF'!$AM$60+'TUSD CVA'!$AM$60)*1</f>
        <v>482.06736206829294</v>
      </c>
      <c r="AA823" s="6">
        <f>('TE BE'!$AB$41+'TE BF'!$AB$41+'TE CVA'!$AB$41)*1</f>
        <v>234.02376339339278</v>
      </c>
      <c r="AB823" s="6">
        <f>$K$823*$V$823</f>
        <v>0</v>
      </c>
      <c r="AC823" s="6">
        <f>$M$823*$W$823</f>
        <v>16334.289359999999</v>
      </c>
      <c r="AD823" s="6">
        <f>$O$823*$X$823</f>
        <v>10979.454759999999</v>
      </c>
      <c r="AE823" s="6">
        <f>$K$823*$Y$823</f>
        <v>0</v>
      </c>
      <c r="AF823" s="6">
        <f ca="1">$M$823*$Z$823</f>
        <v>20742.394455074507</v>
      </c>
      <c r="AG823" s="6">
        <f>$O$823*$AA$823</f>
        <v>10069.574491290905</v>
      </c>
    </row>
    <row r="824" spans="1:33" ht="11.25" customHeight="1" x14ac:dyDescent="0.3">
      <c r="A824" s="4" t="s">
        <v>28</v>
      </c>
      <c r="B824" s="4" t="s">
        <v>37</v>
      </c>
      <c r="C824" s="4" t="s">
        <v>23</v>
      </c>
      <c r="D824" s="4" t="s">
        <v>38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44531</v>
      </c>
      <c r="J824" s="6">
        <v>0</v>
      </c>
      <c r="K824" s="6">
        <v>0</v>
      </c>
      <c r="L824" s="6">
        <v>1.998</v>
      </c>
      <c r="M824" s="6">
        <v>1.998</v>
      </c>
      <c r="N824" s="6">
        <v>1.998</v>
      </c>
      <c r="O824" s="6">
        <v>1.998</v>
      </c>
      <c r="P824" s="6">
        <v>3</v>
      </c>
      <c r="Q824" s="4" t="s">
        <v>26</v>
      </c>
      <c r="R824" s="4">
        <v>0</v>
      </c>
      <c r="S824" s="6">
        <v>0</v>
      </c>
      <c r="T824" s="6">
        <v>58</v>
      </c>
      <c r="U824" s="6">
        <v>99</v>
      </c>
      <c r="V824" s="6">
        <f>IF(ISERROR(VLOOKUP($S$824,'TAR FIN'!$A$1:$O$103,15,0)),0,VLOOKUP($S$824,'TAR FIN'!$A$1:$O$103,15,0))</f>
        <v>0</v>
      </c>
      <c r="W824" s="6">
        <f>IF(ISERROR(VLOOKUP($T$824,'TAR FIN'!$A$1:$O$103,15,0)),0,VLOOKUP($T$824,'TAR FIN'!$A$1:$O$103,15,0))</f>
        <v>379.62</v>
      </c>
      <c r="X824" s="6">
        <f>IF(ISERROR(VLOOKUP($U$824,'TAR FIN'!$A$1:$O$103,15,0)),0,VLOOKUP($U$824,'TAR FIN'!$A$1:$O$103,15,0))</f>
        <v>255.17</v>
      </c>
      <c r="Y824" s="6"/>
      <c r="Z824" s="6">
        <f ca="1">('TUSD BE'!$AM$60+'TUSD BF'!$AM$60+'TUSD CVA'!$AM$60)*1</f>
        <v>482.06736206829294</v>
      </c>
      <c r="AA824" s="6">
        <f>('TE BE'!$AB$41+'TE BF'!$AB$41+'TE CVA'!$AB$41)*1</f>
        <v>234.02376339339278</v>
      </c>
      <c r="AB824" s="6">
        <f>$K$824*$V$824</f>
        <v>0</v>
      </c>
      <c r="AC824" s="6">
        <f>$M$824*$W$824</f>
        <v>758.48076000000003</v>
      </c>
      <c r="AD824" s="6">
        <f>$O$824*$X$824</f>
        <v>509.82965999999999</v>
      </c>
      <c r="AE824" s="6">
        <f>$K$824*$Y$824</f>
        <v>0</v>
      </c>
      <c r="AF824" s="6">
        <f ca="1">$M$824*$Z$824</f>
        <v>963.17058941244932</v>
      </c>
      <c r="AG824" s="6">
        <f>$O$824*$AA$824</f>
        <v>467.57947925999878</v>
      </c>
    </row>
    <row r="825" spans="1:33" ht="11.25" customHeight="1" x14ac:dyDescent="0.3">
      <c r="A825" s="4" t="s">
        <v>21</v>
      </c>
      <c r="B825" s="4" t="s">
        <v>37</v>
      </c>
      <c r="C825" s="4" t="s">
        <v>23</v>
      </c>
      <c r="D825" s="4" t="s">
        <v>38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44562</v>
      </c>
      <c r="J825" s="6">
        <v>0</v>
      </c>
      <c r="K825" s="6">
        <v>0</v>
      </c>
      <c r="L825" s="6">
        <v>44.354999999999997</v>
      </c>
      <c r="M825" s="6">
        <v>44.354999999999997</v>
      </c>
      <c r="N825" s="6">
        <v>44.354999999999997</v>
      </c>
      <c r="O825" s="6">
        <v>44.354999999999997</v>
      </c>
      <c r="P825" s="6">
        <v>44</v>
      </c>
      <c r="Q825" s="4" t="s">
        <v>26</v>
      </c>
      <c r="R825" s="4">
        <v>0</v>
      </c>
      <c r="S825" s="6">
        <v>0</v>
      </c>
      <c r="T825" s="6">
        <v>58</v>
      </c>
      <c r="U825" s="6">
        <v>99</v>
      </c>
      <c r="V825" s="6">
        <f>IF(ISERROR(VLOOKUP($S$825,'TAR FIN'!$A$1:$O$103,15,0)),0,VLOOKUP($S$825,'TAR FIN'!$A$1:$O$103,15,0))</f>
        <v>0</v>
      </c>
      <c r="W825" s="6">
        <f>IF(ISERROR(VLOOKUP($T$825,'TAR FIN'!$A$1:$O$103,15,0)),0,VLOOKUP($T$825,'TAR FIN'!$A$1:$O$103,15,0))</f>
        <v>379.62</v>
      </c>
      <c r="X825" s="6">
        <f>IF(ISERROR(VLOOKUP($U$825,'TAR FIN'!$A$1:$O$103,15,0)),0,VLOOKUP($U$825,'TAR FIN'!$A$1:$O$103,15,0))</f>
        <v>255.17</v>
      </c>
      <c r="Y825" s="6"/>
      <c r="Z825" s="6">
        <f ca="1">('TUSD BE'!$AM$60+'TUSD BF'!$AM$60+'TUSD CVA'!$AM$60)*1</f>
        <v>482.06736206829294</v>
      </c>
      <c r="AA825" s="6">
        <f>('TE BE'!$AB$41+'TE BF'!$AB$41+'TE CVA'!$AB$41)*1</f>
        <v>234.02376339339278</v>
      </c>
      <c r="AB825" s="6">
        <f>$K$825*$V$825</f>
        <v>0</v>
      </c>
      <c r="AC825" s="6">
        <f>$M$825*$W$825</f>
        <v>16838.045099999999</v>
      </c>
      <c r="AD825" s="6">
        <f>$O$825*$X$825</f>
        <v>11318.065349999999</v>
      </c>
      <c r="AE825" s="6">
        <f>$K$825*$Y$825</f>
        <v>0</v>
      </c>
      <c r="AF825" s="6">
        <f ca="1">$M$825*$Z$825</f>
        <v>21382.09784453913</v>
      </c>
      <c r="AG825" s="6">
        <f>$O$825*$AA$825</f>
        <v>10380.124025313937</v>
      </c>
    </row>
    <row r="826" spans="1:33" ht="11.25" customHeight="1" x14ac:dyDescent="0.3">
      <c r="A826" s="4" t="s">
        <v>28</v>
      </c>
      <c r="B826" s="4" t="s">
        <v>37</v>
      </c>
      <c r="C826" s="4" t="s">
        <v>23</v>
      </c>
      <c r="D826" s="4" t="s">
        <v>38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44562</v>
      </c>
      <c r="J826" s="6">
        <v>0</v>
      </c>
      <c r="K826" s="6">
        <v>0</v>
      </c>
      <c r="L826" s="6">
        <v>1.978</v>
      </c>
      <c r="M826" s="6">
        <v>1.978</v>
      </c>
      <c r="N826" s="6">
        <v>1.978</v>
      </c>
      <c r="O826" s="6">
        <v>1.978</v>
      </c>
      <c r="P826" s="6">
        <v>3</v>
      </c>
      <c r="Q826" s="4" t="s">
        <v>26</v>
      </c>
      <c r="R826" s="4">
        <v>0</v>
      </c>
      <c r="S826" s="6">
        <v>0</v>
      </c>
      <c r="T826" s="6">
        <v>58</v>
      </c>
      <c r="U826" s="6">
        <v>99</v>
      </c>
      <c r="V826" s="6">
        <f>IF(ISERROR(VLOOKUP($S$826,'TAR FIN'!$A$1:$O$103,15,0)),0,VLOOKUP($S$826,'TAR FIN'!$A$1:$O$103,15,0))</f>
        <v>0</v>
      </c>
      <c r="W826" s="6">
        <f>IF(ISERROR(VLOOKUP($T$826,'TAR FIN'!$A$1:$O$103,15,0)),0,VLOOKUP($T$826,'TAR FIN'!$A$1:$O$103,15,0))</f>
        <v>379.62</v>
      </c>
      <c r="X826" s="6">
        <f>IF(ISERROR(VLOOKUP($U$826,'TAR FIN'!$A$1:$O$103,15,0)),0,VLOOKUP($U$826,'TAR FIN'!$A$1:$O$103,15,0))</f>
        <v>255.17</v>
      </c>
      <c r="Y826" s="6"/>
      <c r="Z826" s="6">
        <f ca="1">('TUSD BE'!$AM$60+'TUSD BF'!$AM$60+'TUSD CVA'!$AM$60)*1</f>
        <v>482.06736206829294</v>
      </c>
      <c r="AA826" s="6">
        <f>('TE BE'!$AB$41+'TE BF'!$AB$41+'TE CVA'!$AB$41)*1</f>
        <v>234.02376339339278</v>
      </c>
      <c r="AB826" s="6">
        <f>$K$826*$V$826</f>
        <v>0</v>
      </c>
      <c r="AC826" s="6">
        <f>$M$826*$W$826</f>
        <v>750.88836000000003</v>
      </c>
      <c r="AD826" s="6">
        <f>$O$826*$X$826</f>
        <v>504.72625999999997</v>
      </c>
      <c r="AE826" s="6">
        <f>$K$826*$Y$826</f>
        <v>0</v>
      </c>
      <c r="AF826" s="6">
        <f ca="1">$M$826*$Z$826</f>
        <v>953.52924217108341</v>
      </c>
      <c r="AG826" s="6">
        <f>$O$826*$AA$826</f>
        <v>462.89900399213093</v>
      </c>
    </row>
    <row r="827" spans="1:33" ht="11.25" customHeight="1" x14ac:dyDescent="0.3">
      <c r="A827" s="4" t="s">
        <v>21</v>
      </c>
      <c r="B827" s="4" t="s">
        <v>37</v>
      </c>
      <c r="C827" s="4" t="s">
        <v>23</v>
      </c>
      <c r="D827" s="4" t="s">
        <v>38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44593</v>
      </c>
      <c r="J827" s="6">
        <v>0</v>
      </c>
      <c r="K827" s="6">
        <v>0</v>
      </c>
      <c r="L827" s="6">
        <v>44.408000000000001</v>
      </c>
      <c r="M827" s="6">
        <v>44.408000000000001</v>
      </c>
      <c r="N827" s="6">
        <v>44.408000000000001</v>
      </c>
      <c r="O827" s="6">
        <v>44.408000000000001</v>
      </c>
      <c r="P827" s="6">
        <v>42</v>
      </c>
      <c r="Q827" s="4" t="s">
        <v>26</v>
      </c>
      <c r="R827" s="4">
        <v>0</v>
      </c>
      <c r="S827" s="6">
        <v>0</v>
      </c>
      <c r="T827" s="6">
        <v>58</v>
      </c>
      <c r="U827" s="6">
        <v>99</v>
      </c>
      <c r="V827" s="6">
        <f>IF(ISERROR(VLOOKUP($S$827,'TAR FIN'!$A$1:$O$103,15,0)),0,VLOOKUP($S$827,'TAR FIN'!$A$1:$O$103,15,0))</f>
        <v>0</v>
      </c>
      <c r="W827" s="6">
        <f>IF(ISERROR(VLOOKUP($T$827,'TAR FIN'!$A$1:$O$103,15,0)),0,VLOOKUP($T$827,'TAR FIN'!$A$1:$O$103,15,0))</f>
        <v>379.62</v>
      </c>
      <c r="X827" s="6">
        <f>IF(ISERROR(VLOOKUP($U$827,'TAR FIN'!$A$1:$O$103,15,0)),0,VLOOKUP($U$827,'TAR FIN'!$A$1:$O$103,15,0))</f>
        <v>255.17</v>
      </c>
      <c r="Y827" s="6"/>
      <c r="Z827" s="6">
        <f ca="1">('TUSD BE'!$AM$60+'TUSD BF'!$AM$60+'TUSD CVA'!$AM$60)*1</f>
        <v>482.06736206829294</v>
      </c>
      <c r="AA827" s="6">
        <f>('TE BE'!$AB$41+'TE BF'!$AB$41+'TE CVA'!$AB$41)*1</f>
        <v>234.02376339339278</v>
      </c>
      <c r="AB827" s="6">
        <f>$K$827*$V$827</f>
        <v>0</v>
      </c>
      <c r="AC827" s="6">
        <f>$M$827*$W$827</f>
        <v>16858.164960000002</v>
      </c>
      <c r="AD827" s="6">
        <f>$O$827*$X$827</f>
        <v>11331.58936</v>
      </c>
      <c r="AE827" s="6">
        <f>$K$827*$Y$827</f>
        <v>0</v>
      </c>
      <c r="AF827" s="6">
        <f ca="1">$M$827*$Z$827</f>
        <v>21407.647414728752</v>
      </c>
      <c r="AG827" s="6">
        <f>$O$827*$AA$827</f>
        <v>10392.527284773787</v>
      </c>
    </row>
    <row r="828" spans="1:33" ht="11.25" customHeight="1" x14ac:dyDescent="0.3">
      <c r="A828" s="4" t="s">
        <v>28</v>
      </c>
      <c r="B828" s="4" t="s">
        <v>37</v>
      </c>
      <c r="C828" s="4" t="s">
        <v>23</v>
      </c>
      <c r="D828" s="4" t="s">
        <v>38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44593</v>
      </c>
      <c r="J828" s="6">
        <v>0</v>
      </c>
      <c r="K828" s="6">
        <v>0</v>
      </c>
      <c r="L828" s="6">
        <v>0.71199999999999997</v>
      </c>
      <c r="M828" s="6">
        <v>0.71199999999999997</v>
      </c>
      <c r="N828" s="6">
        <v>0.71199999999999997</v>
      </c>
      <c r="O828" s="6">
        <v>0.71199999999999997</v>
      </c>
      <c r="P828" s="6">
        <v>3</v>
      </c>
      <c r="Q828" s="4" t="s">
        <v>26</v>
      </c>
      <c r="R828" s="4">
        <v>0</v>
      </c>
      <c r="S828" s="6">
        <v>0</v>
      </c>
      <c r="T828" s="6">
        <v>58</v>
      </c>
      <c r="U828" s="6">
        <v>99</v>
      </c>
      <c r="V828" s="6">
        <f>IF(ISERROR(VLOOKUP($S$828,'TAR FIN'!$A$1:$O$103,15,0)),0,VLOOKUP($S$828,'TAR FIN'!$A$1:$O$103,15,0))</f>
        <v>0</v>
      </c>
      <c r="W828" s="6">
        <f>IF(ISERROR(VLOOKUP($T$828,'TAR FIN'!$A$1:$O$103,15,0)),0,VLOOKUP($T$828,'TAR FIN'!$A$1:$O$103,15,0))</f>
        <v>379.62</v>
      </c>
      <c r="X828" s="6">
        <f>IF(ISERROR(VLOOKUP($U$828,'TAR FIN'!$A$1:$O$103,15,0)),0,VLOOKUP($U$828,'TAR FIN'!$A$1:$O$103,15,0))</f>
        <v>255.17</v>
      </c>
      <c r="Y828" s="6"/>
      <c r="Z828" s="6">
        <f ca="1">('TUSD BE'!$AM$60+'TUSD BF'!$AM$60+'TUSD CVA'!$AM$60)*1</f>
        <v>482.06736206829294</v>
      </c>
      <c r="AA828" s="6">
        <f>('TE BE'!$AB$41+'TE BF'!$AB$41+'TE CVA'!$AB$41)*1</f>
        <v>234.02376339339278</v>
      </c>
      <c r="AB828" s="6">
        <f>$K$828*$V$828</f>
        <v>0</v>
      </c>
      <c r="AC828" s="6">
        <f>$M$828*$W$828</f>
        <v>270.28944000000001</v>
      </c>
      <c r="AD828" s="6">
        <f>$O$828*$X$828</f>
        <v>181.68104</v>
      </c>
      <c r="AE828" s="6">
        <f>$K$828*$Y$828</f>
        <v>0</v>
      </c>
      <c r="AF828" s="6">
        <f ca="1">$M$828*$Z$828</f>
        <v>343.23196179262453</v>
      </c>
      <c r="AG828" s="6">
        <f>$O$828*$AA$828</f>
        <v>166.62491953609566</v>
      </c>
    </row>
    <row r="829" spans="1:33" ht="11.25" customHeight="1" x14ac:dyDescent="0.3">
      <c r="A829" s="4" t="s">
        <v>21</v>
      </c>
      <c r="B829" s="4" t="s">
        <v>37</v>
      </c>
      <c r="C829" s="4" t="s">
        <v>23</v>
      </c>
      <c r="D829" s="4" t="s">
        <v>38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44621</v>
      </c>
      <c r="J829" s="6">
        <v>0</v>
      </c>
      <c r="K829" s="6">
        <v>0</v>
      </c>
      <c r="L829" s="6">
        <v>43.771000000000001</v>
      </c>
      <c r="M829" s="6">
        <v>43.771000000000001</v>
      </c>
      <c r="N829" s="6">
        <v>43.771000000000001</v>
      </c>
      <c r="O829" s="6">
        <v>43.771000000000001</v>
      </c>
      <c r="P829" s="6">
        <v>42</v>
      </c>
      <c r="Q829" s="4" t="s">
        <v>26</v>
      </c>
      <c r="R829" s="4">
        <v>0</v>
      </c>
      <c r="S829" s="6">
        <v>0</v>
      </c>
      <c r="T829" s="6">
        <v>58</v>
      </c>
      <c r="U829" s="6">
        <v>99</v>
      </c>
      <c r="V829" s="6">
        <f>IF(ISERROR(VLOOKUP($S$829,'TAR FIN'!$A$1:$O$103,15,0)),0,VLOOKUP($S$829,'TAR FIN'!$A$1:$O$103,15,0))</f>
        <v>0</v>
      </c>
      <c r="W829" s="6">
        <f>IF(ISERROR(VLOOKUP($T$829,'TAR FIN'!$A$1:$O$103,15,0)),0,VLOOKUP($T$829,'TAR FIN'!$A$1:$O$103,15,0))</f>
        <v>379.62</v>
      </c>
      <c r="X829" s="6">
        <f>IF(ISERROR(VLOOKUP($U$829,'TAR FIN'!$A$1:$O$103,15,0)),0,VLOOKUP($U$829,'TAR FIN'!$A$1:$O$103,15,0))</f>
        <v>255.17</v>
      </c>
      <c r="Y829" s="6"/>
      <c r="Z829" s="6">
        <f ca="1">('TUSD BE'!$AM$60+'TUSD BF'!$AM$60+'TUSD CVA'!$AM$60)*1</f>
        <v>482.06736206829294</v>
      </c>
      <c r="AA829" s="6">
        <f>('TE BE'!$AB$41+'TE BF'!$AB$41+'TE CVA'!$AB$41)*1</f>
        <v>234.02376339339278</v>
      </c>
      <c r="AB829" s="6">
        <f>$K$829*$V$829</f>
        <v>0</v>
      </c>
      <c r="AC829" s="6">
        <f>$M$829*$W$829</f>
        <v>16616.347020000001</v>
      </c>
      <c r="AD829" s="6">
        <f>$O$829*$X$829</f>
        <v>11169.04607</v>
      </c>
      <c r="AE829" s="6">
        <f>$K$829*$Y$829</f>
        <v>0</v>
      </c>
      <c r="AF829" s="6">
        <f ca="1">$M$829*$Z$829</f>
        <v>21100.570505091251</v>
      </c>
      <c r="AG829" s="6">
        <f>$O$829*$AA$829</f>
        <v>10243.454147492195</v>
      </c>
    </row>
    <row r="830" spans="1:33" ht="11.25" customHeight="1" x14ac:dyDescent="0.3">
      <c r="A830" s="4" t="s">
        <v>28</v>
      </c>
      <c r="B830" s="4" t="s">
        <v>37</v>
      </c>
      <c r="C830" s="4" t="s">
        <v>23</v>
      </c>
      <c r="D830" s="4" t="s">
        <v>38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44621</v>
      </c>
      <c r="J830" s="6">
        <v>0</v>
      </c>
      <c r="K830" s="6">
        <v>0</v>
      </c>
      <c r="L830" s="6">
        <v>0.6</v>
      </c>
      <c r="M830" s="6">
        <v>0.6</v>
      </c>
      <c r="N830" s="6">
        <v>0.6</v>
      </c>
      <c r="O830" s="6">
        <v>0.6</v>
      </c>
      <c r="P830" s="6">
        <v>3</v>
      </c>
      <c r="Q830" s="4" t="s">
        <v>26</v>
      </c>
      <c r="R830" s="4">
        <v>0</v>
      </c>
      <c r="S830" s="6">
        <v>0</v>
      </c>
      <c r="T830" s="6">
        <v>58</v>
      </c>
      <c r="U830" s="6">
        <v>99</v>
      </c>
      <c r="V830" s="6">
        <f>IF(ISERROR(VLOOKUP($S$830,'TAR FIN'!$A$1:$O$103,15,0)),0,VLOOKUP($S$830,'TAR FIN'!$A$1:$O$103,15,0))</f>
        <v>0</v>
      </c>
      <c r="W830" s="6">
        <f>IF(ISERROR(VLOOKUP($T$830,'TAR FIN'!$A$1:$O$103,15,0)),0,VLOOKUP($T$830,'TAR FIN'!$A$1:$O$103,15,0))</f>
        <v>379.62</v>
      </c>
      <c r="X830" s="6">
        <f>IF(ISERROR(VLOOKUP($U$830,'TAR FIN'!$A$1:$O$103,15,0)),0,VLOOKUP($U$830,'TAR FIN'!$A$1:$O$103,15,0))</f>
        <v>255.17</v>
      </c>
      <c r="Y830" s="6"/>
      <c r="Z830" s="6">
        <f ca="1">('TUSD BE'!$AM$60+'TUSD BF'!$AM$60+'TUSD CVA'!$AM$60)*1</f>
        <v>482.06736206829294</v>
      </c>
      <c r="AA830" s="6">
        <f>('TE BE'!$AB$41+'TE BF'!$AB$41+'TE CVA'!$AB$41)*1</f>
        <v>234.02376339339278</v>
      </c>
      <c r="AB830" s="6">
        <f>$K$830*$V$830</f>
        <v>0</v>
      </c>
      <c r="AC830" s="6">
        <f>$M$830*$W$830</f>
        <v>227.77199999999999</v>
      </c>
      <c r="AD830" s="6">
        <f>$O$830*$X$830</f>
        <v>153.10199999999998</v>
      </c>
      <c r="AE830" s="6">
        <f>$K$830*$Y$830</f>
        <v>0</v>
      </c>
      <c r="AF830" s="6">
        <f ca="1">$M$830*$Z$830</f>
        <v>289.24041724097577</v>
      </c>
      <c r="AG830" s="6">
        <f>$O$830*$AA$830</f>
        <v>140.41425803603568</v>
      </c>
    </row>
    <row r="831" spans="1:33" ht="11.25" customHeight="1" x14ac:dyDescent="0.3">
      <c r="A831" s="4" t="s">
        <v>21</v>
      </c>
      <c r="B831" s="4" t="s">
        <v>37</v>
      </c>
      <c r="C831" s="4" t="s">
        <v>23</v>
      </c>
      <c r="D831" s="4" t="s">
        <v>38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44652</v>
      </c>
      <c r="J831" s="6">
        <v>0</v>
      </c>
      <c r="K831" s="6">
        <v>0</v>
      </c>
      <c r="L831" s="6">
        <v>47.892000000000003</v>
      </c>
      <c r="M831" s="6">
        <v>47.892000000000003</v>
      </c>
      <c r="N831" s="6">
        <v>47.892000000000003</v>
      </c>
      <c r="O831" s="6">
        <v>47.892000000000003</v>
      </c>
      <c r="P831" s="6">
        <v>42</v>
      </c>
      <c r="Q831" s="4" t="s">
        <v>26</v>
      </c>
      <c r="R831" s="4">
        <v>0</v>
      </c>
      <c r="S831" s="6">
        <v>0</v>
      </c>
      <c r="T831" s="6">
        <v>58</v>
      </c>
      <c r="U831" s="6">
        <v>99</v>
      </c>
      <c r="V831" s="6">
        <f>IF(ISERROR(VLOOKUP($S$831,'TAR FIN'!$A$1:$O$103,15,0)),0,VLOOKUP($S$831,'TAR FIN'!$A$1:$O$103,15,0))</f>
        <v>0</v>
      </c>
      <c r="W831" s="6">
        <f>IF(ISERROR(VLOOKUP($T$831,'TAR FIN'!$A$1:$O$103,15,0)),0,VLOOKUP($T$831,'TAR FIN'!$A$1:$O$103,15,0))</f>
        <v>379.62</v>
      </c>
      <c r="X831" s="6">
        <f>IF(ISERROR(VLOOKUP($U$831,'TAR FIN'!$A$1:$O$103,15,0)),0,VLOOKUP($U$831,'TAR FIN'!$A$1:$O$103,15,0))</f>
        <v>255.17</v>
      </c>
      <c r="Y831" s="6"/>
      <c r="Z831" s="6">
        <f ca="1">('TUSD BE'!$AM$60+'TUSD BF'!$AM$60+'TUSD CVA'!$AM$60)*1</f>
        <v>482.06736206829294</v>
      </c>
      <c r="AA831" s="6">
        <f>('TE BE'!$AB$41+'TE BF'!$AB$41+'TE CVA'!$AB$41)*1</f>
        <v>234.02376339339278</v>
      </c>
      <c r="AB831" s="6">
        <f>$K$831*$V$831</f>
        <v>0</v>
      </c>
      <c r="AC831" s="6">
        <f>$M$831*$W$831</f>
        <v>18180.761040000001</v>
      </c>
      <c r="AD831" s="6">
        <f>$O$831*$X$831</f>
        <v>12220.601640000001</v>
      </c>
      <c r="AE831" s="6">
        <f>$K$831*$Y$831</f>
        <v>0</v>
      </c>
      <c r="AF831" s="6">
        <f ca="1">$M$831*$Z$831</f>
        <v>23087.170104174686</v>
      </c>
      <c r="AG831" s="6">
        <f>$O$831*$AA$831</f>
        <v>11207.866076436369</v>
      </c>
    </row>
    <row r="832" spans="1:33" ht="11.25" customHeight="1" x14ac:dyDescent="0.3">
      <c r="A832" s="4" t="s">
        <v>28</v>
      </c>
      <c r="B832" s="4" t="s">
        <v>37</v>
      </c>
      <c r="C832" s="4" t="s">
        <v>23</v>
      </c>
      <c r="D832" s="4" t="s">
        <v>38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44652</v>
      </c>
      <c r="J832" s="6">
        <v>0</v>
      </c>
      <c r="K832" s="6">
        <v>0</v>
      </c>
      <c r="L832" s="6">
        <v>0.47399999999999998</v>
      </c>
      <c r="M832" s="6">
        <v>0.47399999999999998</v>
      </c>
      <c r="N832" s="6">
        <v>0.47399999999999998</v>
      </c>
      <c r="O832" s="6">
        <v>0.47399999999999998</v>
      </c>
      <c r="P832" s="6">
        <v>3</v>
      </c>
      <c r="Q832" s="4" t="s">
        <v>26</v>
      </c>
      <c r="R832" s="4">
        <v>0</v>
      </c>
      <c r="S832" s="6">
        <v>0</v>
      </c>
      <c r="T832" s="6">
        <v>58</v>
      </c>
      <c r="U832" s="6">
        <v>99</v>
      </c>
      <c r="V832" s="6">
        <f>IF(ISERROR(VLOOKUP($S$832,'TAR FIN'!$A$1:$O$103,15,0)),0,VLOOKUP($S$832,'TAR FIN'!$A$1:$O$103,15,0))</f>
        <v>0</v>
      </c>
      <c r="W832" s="6">
        <f>IF(ISERROR(VLOOKUP($T$832,'TAR FIN'!$A$1:$O$103,15,0)),0,VLOOKUP($T$832,'TAR FIN'!$A$1:$O$103,15,0))</f>
        <v>379.62</v>
      </c>
      <c r="X832" s="6">
        <f>IF(ISERROR(VLOOKUP($U$832,'TAR FIN'!$A$1:$O$103,15,0)),0,VLOOKUP($U$832,'TAR FIN'!$A$1:$O$103,15,0))</f>
        <v>255.17</v>
      </c>
      <c r="Y832" s="6"/>
      <c r="Z832" s="6">
        <f ca="1">('TUSD BE'!$AM$60+'TUSD BF'!$AM$60+'TUSD CVA'!$AM$60)*1</f>
        <v>482.06736206829294</v>
      </c>
      <c r="AA832" s="6">
        <f>('TE BE'!$AB$41+'TE BF'!$AB$41+'TE CVA'!$AB$41)*1</f>
        <v>234.02376339339278</v>
      </c>
      <c r="AB832" s="6">
        <f>$K$832*$V$832</f>
        <v>0</v>
      </c>
      <c r="AC832" s="6">
        <f>$M$832*$W$832</f>
        <v>179.93987999999999</v>
      </c>
      <c r="AD832" s="6">
        <f>$O$832*$X$832</f>
        <v>120.95057999999999</v>
      </c>
      <c r="AE832" s="6">
        <f>$K$832*$Y$832</f>
        <v>0</v>
      </c>
      <c r="AF832" s="6">
        <f ca="1">$M$832*$Z$832</f>
        <v>228.49992962037084</v>
      </c>
      <c r="AG832" s="6">
        <f>$O$832*$AA$832</f>
        <v>110.92726384846817</v>
      </c>
    </row>
    <row r="833" spans="1:33" ht="11.25" customHeight="1" x14ac:dyDescent="0.3">
      <c r="A833" s="4" t="s">
        <v>21</v>
      </c>
      <c r="B833" s="4" t="s">
        <v>37</v>
      </c>
      <c r="C833" s="4" t="s">
        <v>23</v>
      </c>
      <c r="D833" s="4" t="s">
        <v>38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44682</v>
      </c>
      <c r="J833" s="6">
        <v>0</v>
      </c>
      <c r="K833" s="6">
        <v>0</v>
      </c>
      <c r="L833" s="6">
        <v>41.951000000000001</v>
      </c>
      <c r="M833" s="6">
        <v>41.951000000000001</v>
      </c>
      <c r="N833" s="6">
        <v>41.951000000000001</v>
      </c>
      <c r="O833" s="6">
        <v>41.951000000000001</v>
      </c>
      <c r="P833" s="6">
        <v>43</v>
      </c>
      <c r="Q833" s="4" t="s">
        <v>26</v>
      </c>
      <c r="R833" s="4">
        <v>0</v>
      </c>
      <c r="S833" s="6">
        <v>0</v>
      </c>
      <c r="T833" s="6">
        <v>58</v>
      </c>
      <c r="U833" s="6">
        <v>99</v>
      </c>
      <c r="V833" s="6">
        <f>IF(ISERROR(VLOOKUP($S$833,'TAR FIN'!$A$1:$O$103,15,0)),0,VLOOKUP($S$833,'TAR FIN'!$A$1:$O$103,15,0))</f>
        <v>0</v>
      </c>
      <c r="W833" s="6">
        <f>IF(ISERROR(VLOOKUP($T$833,'TAR FIN'!$A$1:$O$103,15,0)),0,VLOOKUP($T$833,'TAR FIN'!$A$1:$O$103,15,0))</f>
        <v>379.62</v>
      </c>
      <c r="X833" s="6">
        <f>IF(ISERROR(VLOOKUP($U$833,'TAR FIN'!$A$1:$O$103,15,0)),0,VLOOKUP($U$833,'TAR FIN'!$A$1:$O$103,15,0))</f>
        <v>255.17</v>
      </c>
      <c r="Y833" s="6"/>
      <c r="Z833" s="6">
        <f ca="1">('TUSD BE'!$AM$60+'TUSD BF'!$AM$60+'TUSD CVA'!$AM$60)*1</f>
        <v>482.06736206829294</v>
      </c>
      <c r="AA833" s="6">
        <f>('TE BE'!$AB$41+'TE BF'!$AB$41+'TE CVA'!$AB$41)*1</f>
        <v>234.02376339339278</v>
      </c>
      <c r="AB833" s="6">
        <f>$K$833*$V$833</f>
        <v>0</v>
      </c>
      <c r="AC833" s="6">
        <f>$M$833*$W$833</f>
        <v>15925.438620000001</v>
      </c>
      <c r="AD833" s="6">
        <f>$O$833*$X$833</f>
        <v>10704.63667</v>
      </c>
      <c r="AE833" s="6">
        <f>$K$833*$Y$833</f>
        <v>0</v>
      </c>
      <c r="AF833" s="6">
        <f ca="1">$M$833*$Z$833</f>
        <v>20223.207906126958</v>
      </c>
      <c r="AG833" s="6">
        <f>$O$833*$AA$833</f>
        <v>9817.5308981162216</v>
      </c>
    </row>
    <row r="834" spans="1:33" ht="11.25" customHeight="1" x14ac:dyDescent="0.3">
      <c r="A834" s="4" t="s">
        <v>28</v>
      </c>
      <c r="B834" s="4" t="s">
        <v>37</v>
      </c>
      <c r="C834" s="4" t="s">
        <v>23</v>
      </c>
      <c r="D834" s="4" t="s">
        <v>38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44682</v>
      </c>
      <c r="J834" s="6">
        <v>0</v>
      </c>
      <c r="K834" s="6">
        <v>0</v>
      </c>
      <c r="L834" s="6">
        <v>1.8620000000000001</v>
      </c>
      <c r="M834" s="6">
        <v>1.8620000000000001</v>
      </c>
      <c r="N834" s="6">
        <v>1.8620000000000001</v>
      </c>
      <c r="O834" s="6">
        <v>1.8620000000000001</v>
      </c>
      <c r="P834" s="6">
        <v>3</v>
      </c>
      <c r="Q834" s="4" t="s">
        <v>26</v>
      </c>
      <c r="R834" s="4">
        <v>0</v>
      </c>
      <c r="S834" s="6">
        <v>0</v>
      </c>
      <c r="T834" s="6">
        <v>58</v>
      </c>
      <c r="U834" s="6">
        <v>99</v>
      </c>
      <c r="V834" s="6">
        <f>IF(ISERROR(VLOOKUP($S$834,'TAR FIN'!$A$1:$O$103,15,0)),0,VLOOKUP($S$834,'TAR FIN'!$A$1:$O$103,15,0))</f>
        <v>0</v>
      </c>
      <c r="W834" s="6">
        <f>IF(ISERROR(VLOOKUP($T$834,'TAR FIN'!$A$1:$O$103,15,0)),0,VLOOKUP($T$834,'TAR FIN'!$A$1:$O$103,15,0))</f>
        <v>379.62</v>
      </c>
      <c r="X834" s="6">
        <f>IF(ISERROR(VLOOKUP($U$834,'TAR FIN'!$A$1:$O$103,15,0)),0,VLOOKUP($U$834,'TAR FIN'!$A$1:$O$103,15,0))</f>
        <v>255.17</v>
      </c>
      <c r="Y834" s="6"/>
      <c r="Z834" s="6">
        <f ca="1">('TUSD BE'!$AM$60+'TUSD BF'!$AM$60+'TUSD CVA'!$AM$60)*1</f>
        <v>482.06736206829294</v>
      </c>
      <c r="AA834" s="6">
        <f>('TE BE'!$AB$41+'TE BF'!$AB$41+'TE CVA'!$AB$41)*1</f>
        <v>234.02376339339278</v>
      </c>
      <c r="AB834" s="6">
        <f>$K$834*$V$834</f>
        <v>0</v>
      </c>
      <c r="AC834" s="6">
        <f>$M$834*$W$834</f>
        <v>706.85244</v>
      </c>
      <c r="AD834" s="6">
        <f>$O$834*$X$834</f>
        <v>475.12653999999998</v>
      </c>
      <c r="AE834" s="6">
        <f>$K$834*$Y$834</f>
        <v>0</v>
      </c>
      <c r="AF834" s="6">
        <f ca="1">$M$834*$Z$834</f>
        <v>897.60942817116154</v>
      </c>
      <c r="AG834" s="6">
        <f>$O$834*$AA$834</f>
        <v>435.75224743849736</v>
      </c>
    </row>
    <row r="835" spans="1:33" ht="11.25" customHeight="1" x14ac:dyDescent="0.3">
      <c r="A835" s="4" t="s">
        <v>21</v>
      </c>
      <c r="B835" s="4" t="s">
        <v>37</v>
      </c>
      <c r="C835" s="4" t="s">
        <v>23</v>
      </c>
      <c r="D835" s="4" t="s">
        <v>38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44713</v>
      </c>
      <c r="J835" s="6">
        <v>0</v>
      </c>
      <c r="K835" s="6">
        <v>0</v>
      </c>
      <c r="L835" s="6">
        <v>48.308999999999997</v>
      </c>
      <c r="M835" s="6">
        <v>48.308999999999997</v>
      </c>
      <c r="N835" s="6">
        <v>48.308999999999997</v>
      </c>
      <c r="O835" s="6">
        <v>48.308999999999997</v>
      </c>
      <c r="P835" s="6">
        <v>42</v>
      </c>
      <c r="Q835" s="4" t="s">
        <v>26</v>
      </c>
      <c r="R835" s="4">
        <v>0</v>
      </c>
      <c r="S835" s="6">
        <v>0</v>
      </c>
      <c r="T835" s="6">
        <v>58</v>
      </c>
      <c r="U835" s="6">
        <v>99</v>
      </c>
      <c r="V835" s="6">
        <f>IF(ISERROR(VLOOKUP($S$835,'TAR FIN'!$A$1:$O$103,15,0)),0,VLOOKUP($S$835,'TAR FIN'!$A$1:$O$103,15,0))</f>
        <v>0</v>
      </c>
      <c r="W835" s="6">
        <f>IF(ISERROR(VLOOKUP($T$835,'TAR FIN'!$A$1:$O$103,15,0)),0,VLOOKUP($T$835,'TAR FIN'!$A$1:$O$103,15,0))</f>
        <v>379.62</v>
      </c>
      <c r="X835" s="6">
        <f>IF(ISERROR(VLOOKUP($U$835,'TAR FIN'!$A$1:$O$103,15,0)),0,VLOOKUP($U$835,'TAR FIN'!$A$1:$O$103,15,0))</f>
        <v>255.17</v>
      </c>
      <c r="Y835" s="6"/>
      <c r="Z835" s="6">
        <f ca="1">('TUSD BE'!$AM$60+'TUSD BF'!$AM$60+'TUSD CVA'!$AM$60)*1</f>
        <v>482.06736206829294</v>
      </c>
      <c r="AA835" s="6">
        <f>('TE BE'!$AB$41+'TE BF'!$AB$41+'TE CVA'!$AB$41)*1</f>
        <v>234.02376339339278</v>
      </c>
      <c r="AB835" s="6">
        <f>$K$835*$V$835</f>
        <v>0</v>
      </c>
      <c r="AC835" s="6">
        <f>$M$835*$W$835</f>
        <v>18339.062579999998</v>
      </c>
      <c r="AD835" s="6">
        <f>$O$835*$X$835</f>
        <v>12327.007529999999</v>
      </c>
      <c r="AE835" s="6">
        <f>$K$835*$Y$835</f>
        <v>0</v>
      </c>
      <c r="AF835" s="6">
        <f ca="1">$M$835*$Z$835</f>
        <v>23288.192194157164</v>
      </c>
      <c r="AG835" s="6">
        <f>$O$835*$AA$835</f>
        <v>11305.453985771412</v>
      </c>
    </row>
    <row r="836" spans="1:33" ht="11.25" customHeight="1" x14ac:dyDescent="0.3">
      <c r="A836" s="4" t="s">
        <v>28</v>
      </c>
      <c r="B836" s="4" t="s">
        <v>37</v>
      </c>
      <c r="C836" s="4" t="s">
        <v>23</v>
      </c>
      <c r="D836" s="4" t="s">
        <v>38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44713</v>
      </c>
      <c r="J836" s="6">
        <v>0</v>
      </c>
      <c r="K836" s="6">
        <v>0</v>
      </c>
      <c r="L836" s="6">
        <v>1.448</v>
      </c>
      <c r="M836" s="6">
        <v>1.448</v>
      </c>
      <c r="N836" s="6">
        <v>1.448</v>
      </c>
      <c r="O836" s="6">
        <v>1.448</v>
      </c>
      <c r="P836" s="6">
        <v>3</v>
      </c>
      <c r="Q836" s="4" t="s">
        <v>26</v>
      </c>
      <c r="R836" s="4">
        <v>0</v>
      </c>
      <c r="S836" s="6">
        <v>0</v>
      </c>
      <c r="T836" s="6">
        <v>58</v>
      </c>
      <c r="U836" s="6">
        <v>99</v>
      </c>
      <c r="V836" s="6">
        <f>IF(ISERROR(VLOOKUP($S$836,'TAR FIN'!$A$1:$O$103,15,0)),0,VLOOKUP($S$836,'TAR FIN'!$A$1:$O$103,15,0))</f>
        <v>0</v>
      </c>
      <c r="W836" s="6">
        <f>IF(ISERROR(VLOOKUP($T$836,'TAR FIN'!$A$1:$O$103,15,0)),0,VLOOKUP($T$836,'TAR FIN'!$A$1:$O$103,15,0))</f>
        <v>379.62</v>
      </c>
      <c r="X836" s="6">
        <f>IF(ISERROR(VLOOKUP($U$836,'TAR FIN'!$A$1:$O$103,15,0)),0,VLOOKUP($U$836,'TAR FIN'!$A$1:$O$103,15,0))</f>
        <v>255.17</v>
      </c>
      <c r="Y836" s="6"/>
      <c r="Z836" s="6">
        <f ca="1">('TUSD BE'!$AM$60+'TUSD BF'!$AM$60+'TUSD CVA'!$AM$60)*1</f>
        <v>482.06736206829294</v>
      </c>
      <c r="AA836" s="6">
        <f>('TE BE'!$AB$41+'TE BF'!$AB$41+'TE CVA'!$AB$41)*1</f>
        <v>234.02376339339278</v>
      </c>
      <c r="AB836" s="6">
        <f>$K$836*$V$836</f>
        <v>0</v>
      </c>
      <c r="AC836" s="6">
        <f>$M$836*$W$836</f>
        <v>549.68975999999998</v>
      </c>
      <c r="AD836" s="6">
        <f>$O$836*$X$836</f>
        <v>369.48615999999998</v>
      </c>
      <c r="AE836" s="6">
        <f>$K$836*$Y$836</f>
        <v>0</v>
      </c>
      <c r="AF836" s="6">
        <f ca="1">$M$836*$Z$836</f>
        <v>698.0335402748882</v>
      </c>
      <c r="AG836" s="6">
        <f>$O$836*$AA$836</f>
        <v>338.86640939363275</v>
      </c>
    </row>
    <row r="837" spans="1:33" ht="11.25" customHeight="1" x14ac:dyDescent="0.3">
      <c r="A837" s="4" t="s">
        <v>21</v>
      </c>
      <c r="B837" s="4" t="s">
        <v>37</v>
      </c>
      <c r="C837" s="4" t="s">
        <v>23</v>
      </c>
      <c r="D837" s="4" t="s">
        <v>38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44743</v>
      </c>
      <c r="J837" s="6">
        <v>0</v>
      </c>
      <c r="K837" s="6">
        <v>0</v>
      </c>
      <c r="L837" s="6">
        <v>59.238</v>
      </c>
      <c r="M837" s="6">
        <v>59.238</v>
      </c>
      <c r="N837" s="6">
        <v>59.238</v>
      </c>
      <c r="O837" s="6">
        <v>59.238</v>
      </c>
      <c r="P837" s="6">
        <v>42</v>
      </c>
      <c r="Q837" s="4" t="s">
        <v>26</v>
      </c>
      <c r="R837" s="4">
        <v>0</v>
      </c>
      <c r="S837" s="6">
        <v>0</v>
      </c>
      <c r="T837" s="6">
        <v>58</v>
      </c>
      <c r="U837" s="6">
        <v>99</v>
      </c>
      <c r="V837" s="6">
        <f>IF(ISERROR(VLOOKUP($S$837,'TAR FIN'!$A$1:$O$103,15,0)),0,VLOOKUP($S$837,'TAR FIN'!$A$1:$O$103,15,0))</f>
        <v>0</v>
      </c>
      <c r="W837" s="6">
        <f>IF(ISERROR(VLOOKUP($T$837,'TAR FIN'!$A$1:$O$103,15,0)),0,VLOOKUP($T$837,'TAR FIN'!$A$1:$O$103,15,0))</f>
        <v>379.62</v>
      </c>
      <c r="X837" s="6">
        <f>IF(ISERROR(VLOOKUP($U$837,'TAR FIN'!$A$1:$O$103,15,0)),0,VLOOKUP($U$837,'TAR FIN'!$A$1:$O$103,15,0))</f>
        <v>255.17</v>
      </c>
      <c r="Y837" s="6"/>
      <c r="Z837" s="6">
        <f ca="1">('TUSD BE'!$AM$60+'TUSD BF'!$AM$60+'TUSD CVA'!$AM$60)*1</f>
        <v>482.06736206829294</v>
      </c>
      <c r="AA837" s="6">
        <f>('TE BE'!$AB$41+'TE BF'!$AB$41+'TE CVA'!$AB$41)*1</f>
        <v>234.02376339339278</v>
      </c>
      <c r="AB837" s="6">
        <f>$K$837*$V$837</f>
        <v>0</v>
      </c>
      <c r="AC837" s="6">
        <f>$M$837*$W$837</f>
        <v>22487.92956</v>
      </c>
      <c r="AD837" s="6">
        <f>$O$837*$X$837</f>
        <v>15115.76046</v>
      </c>
      <c r="AE837" s="6">
        <f>$K$837*$Y$837</f>
        <v>0</v>
      </c>
      <c r="AF837" s="6">
        <f ca="1">$M$837*$Z$837</f>
        <v>28556.706394201537</v>
      </c>
      <c r="AG837" s="6">
        <f>$O$837*$AA$837</f>
        <v>13863.099695897801</v>
      </c>
    </row>
    <row r="838" spans="1:33" ht="11.25" customHeight="1" x14ac:dyDescent="0.3">
      <c r="A838" s="4" t="s">
        <v>28</v>
      </c>
      <c r="B838" s="4" t="s">
        <v>37</v>
      </c>
      <c r="C838" s="4" t="s">
        <v>23</v>
      </c>
      <c r="D838" s="4" t="s">
        <v>38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44743</v>
      </c>
      <c r="J838" s="6">
        <v>0</v>
      </c>
      <c r="K838" s="6">
        <v>0</v>
      </c>
      <c r="L838" s="6">
        <v>1.8420000000000001</v>
      </c>
      <c r="M838" s="6">
        <v>1.8420000000000001</v>
      </c>
      <c r="N838" s="6">
        <v>1.8420000000000001</v>
      </c>
      <c r="O838" s="6">
        <v>1.8420000000000001</v>
      </c>
      <c r="P838" s="6">
        <v>3</v>
      </c>
      <c r="Q838" s="4" t="s">
        <v>26</v>
      </c>
      <c r="R838" s="4">
        <v>0</v>
      </c>
      <c r="S838" s="6">
        <v>0</v>
      </c>
      <c r="T838" s="6">
        <v>58</v>
      </c>
      <c r="U838" s="6">
        <v>99</v>
      </c>
      <c r="V838" s="6">
        <f>IF(ISERROR(VLOOKUP($S$838,'TAR FIN'!$A$1:$O$103,15,0)),0,VLOOKUP($S$838,'TAR FIN'!$A$1:$O$103,15,0))</f>
        <v>0</v>
      </c>
      <c r="W838" s="6">
        <f>IF(ISERROR(VLOOKUP($T$838,'TAR FIN'!$A$1:$O$103,15,0)),0,VLOOKUP($T$838,'TAR FIN'!$A$1:$O$103,15,0))</f>
        <v>379.62</v>
      </c>
      <c r="X838" s="6">
        <f>IF(ISERROR(VLOOKUP($U$838,'TAR FIN'!$A$1:$O$103,15,0)),0,VLOOKUP($U$838,'TAR FIN'!$A$1:$O$103,15,0))</f>
        <v>255.17</v>
      </c>
      <c r="Y838" s="6"/>
      <c r="Z838" s="6">
        <f ca="1">('TUSD BE'!$AM$60+'TUSD BF'!$AM$60+'TUSD CVA'!$AM$60)*1</f>
        <v>482.06736206829294</v>
      </c>
      <c r="AA838" s="6">
        <f>('TE BE'!$AB$41+'TE BF'!$AB$41+'TE CVA'!$AB$41)*1</f>
        <v>234.02376339339278</v>
      </c>
      <c r="AB838" s="6">
        <f>$K$838*$V$838</f>
        <v>0</v>
      </c>
      <c r="AC838" s="6">
        <f>$M$838*$W$838</f>
        <v>699.26004</v>
      </c>
      <c r="AD838" s="6">
        <f>$O$838*$X$838</f>
        <v>470.02314000000001</v>
      </c>
      <c r="AE838" s="6">
        <f>$K$838*$Y$838</f>
        <v>0</v>
      </c>
      <c r="AF838" s="6">
        <f ca="1">$M$838*$Z$838</f>
        <v>887.96808092979563</v>
      </c>
      <c r="AG838" s="6">
        <f>$O$838*$AA$838</f>
        <v>431.07177217062952</v>
      </c>
    </row>
    <row r="839" spans="1:33" ht="11.25" customHeight="1" x14ac:dyDescent="0.3">
      <c r="A839" s="4" t="s">
        <v>21</v>
      </c>
      <c r="B839" s="4" t="s">
        <v>37</v>
      </c>
      <c r="C839" s="4" t="s">
        <v>23</v>
      </c>
      <c r="D839" s="4" t="s">
        <v>38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44774</v>
      </c>
      <c r="J839" s="6">
        <v>0</v>
      </c>
      <c r="K839" s="6">
        <v>0</v>
      </c>
      <c r="L839" s="6">
        <v>52.244999999999997</v>
      </c>
      <c r="M839" s="6">
        <v>52.244999999999997</v>
      </c>
      <c r="N839" s="6">
        <v>52.244999999999997</v>
      </c>
      <c r="O839" s="6">
        <v>52.244999999999997</v>
      </c>
      <c r="P839" s="6">
        <v>38</v>
      </c>
      <c r="Q839" s="4" t="s">
        <v>26</v>
      </c>
      <c r="R839" s="4">
        <v>0</v>
      </c>
      <c r="S839" s="6">
        <v>0</v>
      </c>
      <c r="T839" s="6">
        <v>58</v>
      </c>
      <c r="U839" s="6">
        <v>99</v>
      </c>
      <c r="V839" s="6">
        <f>IF(ISERROR(VLOOKUP($S$839,'TAR FIN'!$A$1:$O$103,15,0)),0,VLOOKUP($S$839,'TAR FIN'!$A$1:$O$103,15,0))</f>
        <v>0</v>
      </c>
      <c r="W839" s="6">
        <f>IF(ISERROR(VLOOKUP($T$839,'TAR FIN'!$A$1:$O$103,15,0)),0,VLOOKUP($T$839,'TAR FIN'!$A$1:$O$103,15,0))</f>
        <v>379.62</v>
      </c>
      <c r="X839" s="6">
        <f>IF(ISERROR(VLOOKUP($U$839,'TAR FIN'!$A$1:$O$103,15,0)),0,VLOOKUP($U$839,'TAR FIN'!$A$1:$O$103,15,0))</f>
        <v>255.17</v>
      </c>
      <c r="Y839" s="6"/>
      <c r="Z839" s="6">
        <f ca="1">('TUSD BE'!$AM$60+'TUSD BF'!$AM$60+'TUSD CVA'!$AM$60)*1</f>
        <v>482.06736206829294</v>
      </c>
      <c r="AA839" s="6">
        <f>('TE BE'!$AB$41+'TE BF'!$AB$41+'TE CVA'!$AB$41)*1</f>
        <v>234.02376339339278</v>
      </c>
      <c r="AB839" s="6">
        <f>$K$839*$V$839</f>
        <v>0</v>
      </c>
      <c r="AC839" s="6">
        <f>$M$839*$W$839</f>
        <v>19833.246899999998</v>
      </c>
      <c r="AD839" s="6">
        <f>$O$839*$X$839</f>
        <v>13331.356649999998</v>
      </c>
      <c r="AE839" s="6">
        <f>$K$839*$Y$839</f>
        <v>0</v>
      </c>
      <c r="AF839" s="6">
        <f ca="1">$M$839*$Z$839</f>
        <v>25185.609331257961</v>
      </c>
      <c r="AG839" s="6">
        <f>$O$839*$AA$839</f>
        <v>12226.571518487804</v>
      </c>
    </row>
    <row r="840" spans="1:33" ht="11.25" customHeight="1" x14ac:dyDescent="0.3">
      <c r="A840" s="4" t="s">
        <v>28</v>
      </c>
      <c r="B840" s="4" t="s">
        <v>37</v>
      </c>
      <c r="C840" s="4" t="s">
        <v>23</v>
      </c>
      <c r="D840" s="4" t="s">
        <v>38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44774</v>
      </c>
      <c r="J840" s="6">
        <v>0</v>
      </c>
      <c r="K840" s="6">
        <v>0</v>
      </c>
      <c r="L840" s="6">
        <v>1.1379999999999999</v>
      </c>
      <c r="M840" s="6">
        <v>1.1379999999999999</v>
      </c>
      <c r="N840" s="6">
        <v>1.1379999999999999</v>
      </c>
      <c r="O840" s="6">
        <v>1.1379999999999999</v>
      </c>
      <c r="P840" s="6">
        <v>3</v>
      </c>
      <c r="Q840" s="4" t="s">
        <v>26</v>
      </c>
      <c r="R840" s="4">
        <v>0</v>
      </c>
      <c r="S840" s="6">
        <v>0</v>
      </c>
      <c r="T840" s="6">
        <v>58</v>
      </c>
      <c r="U840" s="6">
        <v>99</v>
      </c>
      <c r="V840" s="6">
        <f>IF(ISERROR(VLOOKUP($S$840,'TAR FIN'!$A$1:$O$103,15,0)),0,VLOOKUP($S$840,'TAR FIN'!$A$1:$O$103,15,0))</f>
        <v>0</v>
      </c>
      <c r="W840" s="6">
        <f>IF(ISERROR(VLOOKUP($T$840,'TAR FIN'!$A$1:$O$103,15,0)),0,VLOOKUP($T$840,'TAR FIN'!$A$1:$O$103,15,0))</f>
        <v>379.62</v>
      </c>
      <c r="X840" s="6">
        <f>IF(ISERROR(VLOOKUP($U$840,'TAR FIN'!$A$1:$O$103,15,0)),0,VLOOKUP($U$840,'TAR FIN'!$A$1:$O$103,15,0))</f>
        <v>255.17</v>
      </c>
      <c r="Y840" s="6"/>
      <c r="Z840" s="6">
        <f ca="1">('TUSD BE'!$AM$60+'TUSD BF'!$AM$60+'TUSD CVA'!$AM$60)*1</f>
        <v>482.06736206829294</v>
      </c>
      <c r="AA840" s="6">
        <f>('TE BE'!$AB$41+'TE BF'!$AB$41+'TE CVA'!$AB$41)*1</f>
        <v>234.02376339339278</v>
      </c>
      <c r="AB840" s="6">
        <f>$K$840*$V$840</f>
        <v>0</v>
      </c>
      <c r="AC840" s="6">
        <f>$M$840*$W$840</f>
        <v>432.00755999999996</v>
      </c>
      <c r="AD840" s="6">
        <f>$O$840*$X$840</f>
        <v>290.38345999999996</v>
      </c>
      <c r="AE840" s="6">
        <f>$K$840*$Y$840</f>
        <v>0</v>
      </c>
      <c r="AF840" s="6">
        <f ca="1">$M$840*$Z$840</f>
        <v>548.59265803371727</v>
      </c>
      <c r="AG840" s="6">
        <f>$O$840*$AA$840</f>
        <v>266.31904274168096</v>
      </c>
    </row>
    <row r="841" spans="1:33" ht="11.25" customHeight="1" x14ac:dyDescent="0.3">
      <c r="A841" s="4" t="s">
        <v>21</v>
      </c>
      <c r="B841" s="4" t="s">
        <v>37</v>
      </c>
      <c r="C841" s="4" t="s">
        <v>23</v>
      </c>
      <c r="D841" s="4" t="s">
        <v>38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44805</v>
      </c>
      <c r="J841" s="6">
        <v>0</v>
      </c>
      <c r="K841" s="6">
        <v>0</v>
      </c>
      <c r="L841" s="6">
        <v>56.640999999999998</v>
      </c>
      <c r="M841" s="6">
        <v>56.640999999999998</v>
      </c>
      <c r="N841" s="6">
        <v>56.640999999999998</v>
      </c>
      <c r="O841" s="6">
        <v>56.640999999999998</v>
      </c>
      <c r="P841" s="6">
        <v>37</v>
      </c>
      <c r="Q841" s="4" t="s">
        <v>26</v>
      </c>
      <c r="R841" s="4">
        <v>0</v>
      </c>
      <c r="S841" s="6">
        <v>0</v>
      </c>
      <c r="T841" s="6">
        <v>58</v>
      </c>
      <c r="U841" s="6">
        <v>99</v>
      </c>
      <c r="V841" s="6">
        <f>IF(ISERROR(VLOOKUP($S$841,'TAR FIN'!$A$1:$O$103,15,0)),0,VLOOKUP($S$841,'TAR FIN'!$A$1:$O$103,15,0))</f>
        <v>0</v>
      </c>
      <c r="W841" s="6">
        <f>IF(ISERROR(VLOOKUP($T$841,'TAR FIN'!$A$1:$O$103,15,0)),0,VLOOKUP($T$841,'TAR FIN'!$A$1:$O$103,15,0))</f>
        <v>379.62</v>
      </c>
      <c r="X841" s="6">
        <f>IF(ISERROR(VLOOKUP($U$841,'TAR FIN'!$A$1:$O$103,15,0)),0,VLOOKUP($U$841,'TAR FIN'!$A$1:$O$103,15,0))</f>
        <v>255.17</v>
      </c>
      <c r="Y841" s="6"/>
      <c r="Z841" s="6">
        <f ca="1">('TUSD BE'!$AM$60+'TUSD BF'!$AM$60+'TUSD CVA'!$AM$60)*1</f>
        <v>482.06736206829294</v>
      </c>
      <c r="AA841" s="6">
        <f>('TE BE'!$AB$41+'TE BF'!$AB$41+'TE CVA'!$AB$41)*1</f>
        <v>234.02376339339278</v>
      </c>
      <c r="AB841" s="6">
        <f>$K$841*$V$841</f>
        <v>0</v>
      </c>
      <c r="AC841" s="6">
        <f>$M$841*$W$841</f>
        <v>21502.056420000001</v>
      </c>
      <c r="AD841" s="6">
        <f>$O$841*$X$841</f>
        <v>14453.08397</v>
      </c>
      <c r="AE841" s="6">
        <f>$K$841*$Y$841</f>
        <v>0</v>
      </c>
      <c r="AF841" s="6">
        <f ca="1">$M$841*$Z$841</f>
        <v>27304.777454910178</v>
      </c>
      <c r="AG841" s="6">
        <f>$O$841*$AA$841</f>
        <v>13255.33998236516</v>
      </c>
    </row>
    <row r="842" spans="1:33" ht="11.25" customHeight="1" x14ac:dyDescent="0.3">
      <c r="A842" s="4" t="s">
        <v>28</v>
      </c>
      <c r="B842" s="4" t="s">
        <v>37</v>
      </c>
      <c r="C842" s="4" t="s">
        <v>23</v>
      </c>
      <c r="D842" s="4" t="s">
        <v>38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44805</v>
      </c>
      <c r="J842" s="6">
        <v>0</v>
      </c>
      <c r="K842" s="6">
        <v>0</v>
      </c>
      <c r="L842" s="6">
        <v>1.889</v>
      </c>
      <c r="M842" s="6">
        <v>1.889</v>
      </c>
      <c r="N842" s="6">
        <v>1.889</v>
      </c>
      <c r="O842" s="6">
        <v>1.889</v>
      </c>
      <c r="P842" s="6">
        <v>3</v>
      </c>
      <c r="Q842" s="4" t="s">
        <v>26</v>
      </c>
      <c r="R842" s="4">
        <v>0</v>
      </c>
      <c r="S842" s="6">
        <v>0</v>
      </c>
      <c r="T842" s="6">
        <v>58</v>
      </c>
      <c r="U842" s="6">
        <v>99</v>
      </c>
      <c r="V842" s="6">
        <f>IF(ISERROR(VLOOKUP($S$842,'TAR FIN'!$A$1:$O$103,15,0)),0,VLOOKUP($S$842,'TAR FIN'!$A$1:$O$103,15,0))</f>
        <v>0</v>
      </c>
      <c r="W842" s="6">
        <f>IF(ISERROR(VLOOKUP($T$842,'TAR FIN'!$A$1:$O$103,15,0)),0,VLOOKUP($T$842,'TAR FIN'!$A$1:$O$103,15,0))</f>
        <v>379.62</v>
      </c>
      <c r="X842" s="6">
        <f>IF(ISERROR(VLOOKUP($U$842,'TAR FIN'!$A$1:$O$103,15,0)),0,VLOOKUP($U$842,'TAR FIN'!$A$1:$O$103,15,0))</f>
        <v>255.17</v>
      </c>
      <c r="Y842" s="6"/>
      <c r="Z842" s="6">
        <f ca="1">('TUSD BE'!$AM$60+'TUSD BF'!$AM$60+'TUSD CVA'!$AM$60)*1</f>
        <v>482.06736206829294</v>
      </c>
      <c r="AA842" s="6">
        <f>('TE BE'!$AB$41+'TE BF'!$AB$41+'TE CVA'!$AB$41)*1</f>
        <v>234.02376339339278</v>
      </c>
      <c r="AB842" s="6">
        <f>$K$842*$V$842</f>
        <v>0</v>
      </c>
      <c r="AC842" s="6">
        <f>$M$842*$W$842</f>
        <v>717.10217999999998</v>
      </c>
      <c r="AD842" s="6">
        <f>$O$842*$X$842</f>
        <v>482.01612999999998</v>
      </c>
      <c r="AE842" s="6">
        <f>$K$842*$Y$842</f>
        <v>0</v>
      </c>
      <c r="AF842" s="6">
        <f ca="1">$M$842*$Z$842</f>
        <v>910.62524694700539</v>
      </c>
      <c r="AG842" s="6">
        <f>$O$842*$AA$842</f>
        <v>442.07088905011898</v>
      </c>
    </row>
    <row r="843" spans="1:33" ht="11.25" customHeight="1" x14ac:dyDescent="0.3">
      <c r="A843" s="4" t="s">
        <v>57</v>
      </c>
      <c r="B843" s="4" t="s">
        <v>37</v>
      </c>
      <c r="C843" s="4" t="s">
        <v>23</v>
      </c>
      <c r="D843" s="4" t="s">
        <v>38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44835</v>
      </c>
      <c r="J843" s="6">
        <v>0</v>
      </c>
      <c r="K843" s="6">
        <v>0</v>
      </c>
      <c r="L843" s="6">
        <v>56.640999999999998</v>
      </c>
      <c r="M843" s="6">
        <v>56.640999999999998</v>
      </c>
      <c r="N843" s="6">
        <v>56.640999999999998</v>
      </c>
      <c r="O843" s="6">
        <v>56.640999999999998</v>
      </c>
      <c r="P843" s="6">
        <v>37</v>
      </c>
      <c r="Q843" s="4" t="s">
        <v>26</v>
      </c>
      <c r="R843" s="4">
        <v>0</v>
      </c>
      <c r="S843" s="6">
        <v>0</v>
      </c>
      <c r="T843" s="6">
        <v>58</v>
      </c>
      <c r="U843" s="6">
        <v>99</v>
      </c>
      <c r="V843" s="6">
        <f>IF(ISERROR(VLOOKUP($S$843,'TAR FIN'!$A$1:$O$103,15,0)),0,VLOOKUP($S$843,'TAR FIN'!$A$1:$O$103,15,0))</f>
        <v>0</v>
      </c>
      <c r="W843" s="6">
        <f>IF(ISERROR(VLOOKUP($T$843,'TAR FIN'!$A$1:$O$103,15,0)),0,VLOOKUP($T$843,'TAR FIN'!$A$1:$O$103,15,0))</f>
        <v>379.62</v>
      </c>
      <c r="X843" s="6">
        <f>IF(ISERROR(VLOOKUP($U$843,'TAR FIN'!$A$1:$O$103,15,0)),0,VLOOKUP($U$843,'TAR FIN'!$A$1:$O$103,15,0))</f>
        <v>255.17</v>
      </c>
      <c r="Y843" s="6"/>
      <c r="Z843" s="6">
        <f ca="1">('TUSD BE'!$AM$60+'TUSD BF'!$AM$60+'TUSD CVA'!$AM$60)*1</f>
        <v>482.06736206829294</v>
      </c>
      <c r="AA843" s="6">
        <f>('TE BE'!$AB$41+'TE BF'!$AB$41+'TE CVA'!$AB$41)*1</f>
        <v>234.02376339339278</v>
      </c>
      <c r="AB843" s="6">
        <f>$K$843*$V$843</f>
        <v>0</v>
      </c>
      <c r="AC843" s="6">
        <f>$M$843*$W$843</f>
        <v>21502.056420000001</v>
      </c>
      <c r="AD843" s="6">
        <f>$O$843*$X$843</f>
        <v>14453.08397</v>
      </c>
      <c r="AE843" s="6">
        <f>$K$843*$Y$843</f>
        <v>0</v>
      </c>
      <c r="AF843" s="6">
        <f ca="1">$M$843*$Z$843</f>
        <v>27304.777454910178</v>
      </c>
      <c r="AG843" s="6">
        <f>$O$843*$AA$843</f>
        <v>13255.33998236516</v>
      </c>
    </row>
    <row r="844" spans="1:33" ht="11.25" customHeight="1" x14ac:dyDescent="0.3">
      <c r="A844" s="4" t="s">
        <v>57</v>
      </c>
      <c r="B844" s="4" t="s">
        <v>37</v>
      </c>
      <c r="C844" s="4" t="s">
        <v>23</v>
      </c>
      <c r="D844" s="4" t="s">
        <v>38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44835</v>
      </c>
      <c r="J844" s="6">
        <v>0</v>
      </c>
      <c r="K844" s="6">
        <v>0</v>
      </c>
      <c r="L844" s="6">
        <v>1.889</v>
      </c>
      <c r="M844" s="6">
        <v>1.889</v>
      </c>
      <c r="N844" s="6">
        <v>1.889</v>
      </c>
      <c r="O844" s="6">
        <v>1.889</v>
      </c>
      <c r="P844" s="6">
        <v>3</v>
      </c>
      <c r="Q844" s="4" t="s">
        <v>26</v>
      </c>
      <c r="R844" s="4">
        <v>0</v>
      </c>
      <c r="S844" s="6">
        <v>0</v>
      </c>
      <c r="T844" s="6">
        <v>58</v>
      </c>
      <c r="U844" s="6">
        <v>99</v>
      </c>
      <c r="V844" s="6">
        <f>IF(ISERROR(VLOOKUP($S$844,'TAR FIN'!$A$1:$O$103,15,0)),0,VLOOKUP($S$844,'TAR FIN'!$A$1:$O$103,15,0))</f>
        <v>0</v>
      </c>
      <c r="W844" s="6">
        <f>IF(ISERROR(VLOOKUP($T$844,'TAR FIN'!$A$1:$O$103,15,0)),0,VLOOKUP($T$844,'TAR FIN'!$A$1:$O$103,15,0))</f>
        <v>379.62</v>
      </c>
      <c r="X844" s="6">
        <f>IF(ISERROR(VLOOKUP($U$844,'TAR FIN'!$A$1:$O$103,15,0)),0,VLOOKUP($U$844,'TAR FIN'!$A$1:$O$103,15,0))</f>
        <v>255.17</v>
      </c>
      <c r="Y844" s="6"/>
      <c r="Z844" s="6">
        <f ca="1">('TUSD BE'!$AM$60+'TUSD BF'!$AM$60+'TUSD CVA'!$AM$60)*1</f>
        <v>482.06736206829294</v>
      </c>
      <c r="AA844" s="6">
        <f>('TE BE'!$AB$41+'TE BF'!$AB$41+'TE CVA'!$AB$41)*1</f>
        <v>234.02376339339278</v>
      </c>
      <c r="AB844" s="6">
        <f>$K$844*$V$844</f>
        <v>0</v>
      </c>
      <c r="AC844" s="6">
        <f>$M$844*$W$844</f>
        <v>717.10217999999998</v>
      </c>
      <c r="AD844" s="6">
        <f>$O$844*$X$844</f>
        <v>482.01612999999998</v>
      </c>
      <c r="AE844" s="6">
        <f>$K$844*$Y$844</f>
        <v>0</v>
      </c>
      <c r="AF844" s="6">
        <f ca="1">$M$844*$Z$844</f>
        <v>910.62524694700539</v>
      </c>
      <c r="AG844" s="6">
        <f>$O$844*$AA$844</f>
        <v>442.07088905011898</v>
      </c>
    </row>
    <row r="845" spans="1:33" ht="11.25" customHeight="1" x14ac:dyDescent="0.3">
      <c r="A845" s="4" t="s">
        <v>21</v>
      </c>
      <c r="B845" s="4" t="s">
        <v>37</v>
      </c>
      <c r="C845" s="4" t="s">
        <v>23</v>
      </c>
      <c r="D845" s="4" t="s">
        <v>46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44501</v>
      </c>
      <c r="J845" s="6">
        <v>0</v>
      </c>
      <c r="K845" s="6">
        <v>0</v>
      </c>
      <c r="L845" s="6">
        <v>394.25700000000001</v>
      </c>
      <c r="M845" s="6">
        <v>394.25700000000001</v>
      </c>
      <c r="N845" s="6">
        <v>394.25700000000001</v>
      </c>
      <c r="O845" s="6">
        <v>394.25700000000001</v>
      </c>
      <c r="P845" s="6">
        <v>451</v>
      </c>
      <c r="Q845" s="4" t="s">
        <v>26</v>
      </c>
      <c r="R845" s="4">
        <v>0</v>
      </c>
      <c r="S845" s="6">
        <v>0</v>
      </c>
      <c r="T845" s="6">
        <v>58</v>
      </c>
      <c r="U845" s="6">
        <v>99</v>
      </c>
      <c r="V845" s="6">
        <f>IF(ISERROR(VLOOKUP($S$845,'TAR FIN'!$A$1:$O$103,15,0)),0,VLOOKUP($S$845,'TAR FIN'!$A$1:$O$103,15,0))</f>
        <v>0</v>
      </c>
      <c r="W845" s="6">
        <f>IF(ISERROR(VLOOKUP($T$845,'TAR FIN'!$A$1:$O$103,15,0)),0,VLOOKUP($T$845,'TAR FIN'!$A$1:$O$103,15,0))</f>
        <v>379.62</v>
      </c>
      <c r="X845" s="6">
        <f>IF(ISERROR(VLOOKUP($U$845,'TAR FIN'!$A$1:$O$103,15,0)),0,VLOOKUP($U$845,'TAR FIN'!$A$1:$O$103,15,0))</f>
        <v>255.17</v>
      </c>
      <c r="Y845" s="6"/>
      <c r="Z845" s="6">
        <f ca="1">('TUSD BE'!$AM$60+'TUSD BF'!$AM$60+'TUSD CVA'!$AM$60)*1</f>
        <v>482.06736206829294</v>
      </c>
      <c r="AA845" s="6">
        <f>('TE BE'!$AB$41+'TE BF'!$AB$41+'TE CVA'!$AB$41)*1</f>
        <v>234.02376339339278</v>
      </c>
      <c r="AB845" s="6">
        <f>$K$845*$V$845</f>
        <v>0</v>
      </c>
      <c r="AC845" s="6">
        <f>$M$845*$W$845</f>
        <v>149667.84234</v>
      </c>
      <c r="AD845" s="6">
        <f>$O$845*$X$845</f>
        <v>100602.55868999999</v>
      </c>
      <c r="AE845" s="6">
        <f>$K$845*$Y$845</f>
        <v>0</v>
      </c>
      <c r="AF845" s="6">
        <f ca="1">$M$845*$Z$845</f>
        <v>190058.43196695897</v>
      </c>
      <c r="AG845" s="6">
        <f>$O$845*$AA$845</f>
        <v>92265.506884188857</v>
      </c>
    </row>
    <row r="846" spans="1:33" ht="11.25" customHeight="1" x14ac:dyDescent="0.3">
      <c r="A846" s="4" t="s">
        <v>21</v>
      </c>
      <c r="B846" s="4" t="s">
        <v>37</v>
      </c>
      <c r="C846" s="4" t="s">
        <v>23</v>
      </c>
      <c r="D846" s="4" t="s">
        <v>46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44531</v>
      </c>
      <c r="J846" s="6">
        <v>0</v>
      </c>
      <c r="K846" s="6">
        <v>0</v>
      </c>
      <c r="L846" s="6">
        <v>392.77600000000001</v>
      </c>
      <c r="M846" s="6">
        <v>392.77600000000001</v>
      </c>
      <c r="N846" s="6">
        <v>392.77600000000001</v>
      </c>
      <c r="O846" s="6">
        <v>392.77600000000001</v>
      </c>
      <c r="P846" s="6">
        <v>451</v>
      </c>
      <c r="Q846" s="4" t="s">
        <v>26</v>
      </c>
      <c r="R846" s="4">
        <v>0</v>
      </c>
      <c r="S846" s="6">
        <v>0</v>
      </c>
      <c r="T846" s="6">
        <v>58</v>
      </c>
      <c r="U846" s="6">
        <v>99</v>
      </c>
      <c r="V846" s="6">
        <f>IF(ISERROR(VLOOKUP($S$846,'TAR FIN'!$A$1:$O$103,15,0)),0,VLOOKUP($S$846,'TAR FIN'!$A$1:$O$103,15,0))</f>
        <v>0</v>
      </c>
      <c r="W846" s="6">
        <f>IF(ISERROR(VLOOKUP($T$846,'TAR FIN'!$A$1:$O$103,15,0)),0,VLOOKUP($T$846,'TAR FIN'!$A$1:$O$103,15,0))</f>
        <v>379.62</v>
      </c>
      <c r="X846" s="6">
        <f>IF(ISERROR(VLOOKUP($U$846,'TAR FIN'!$A$1:$O$103,15,0)),0,VLOOKUP($U$846,'TAR FIN'!$A$1:$O$103,15,0))</f>
        <v>255.17</v>
      </c>
      <c r="Y846" s="6"/>
      <c r="Z846" s="6">
        <f ca="1">('TUSD BE'!$AM$60+'TUSD BF'!$AM$60+'TUSD CVA'!$AM$60)*1</f>
        <v>482.06736206829294</v>
      </c>
      <c r="AA846" s="6">
        <f>('TE BE'!$AB$41+'TE BF'!$AB$41+'TE CVA'!$AB$41)*1</f>
        <v>234.02376339339278</v>
      </c>
      <c r="AB846" s="6">
        <f>$K$846*$V$846</f>
        <v>0</v>
      </c>
      <c r="AC846" s="6">
        <f>$M$846*$W$846</f>
        <v>149105.62512000001</v>
      </c>
      <c r="AD846" s="6">
        <f>$O$846*$X$846</f>
        <v>100224.65192</v>
      </c>
      <c r="AE846" s="6">
        <f>$K$846*$Y$846</f>
        <v>0</v>
      </c>
      <c r="AF846" s="6">
        <f ca="1">$M$846*$Z$846</f>
        <v>189344.49020373583</v>
      </c>
      <c r="AG846" s="6">
        <f>$O$846*$AA$846</f>
        <v>91918.917690603252</v>
      </c>
    </row>
    <row r="847" spans="1:33" ht="11.25" customHeight="1" x14ac:dyDescent="0.3">
      <c r="A847" s="4" t="s">
        <v>21</v>
      </c>
      <c r="B847" s="4" t="s">
        <v>37</v>
      </c>
      <c r="C847" s="4" t="s">
        <v>23</v>
      </c>
      <c r="D847" s="4" t="s">
        <v>46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44562</v>
      </c>
      <c r="J847" s="6">
        <v>0</v>
      </c>
      <c r="K847" s="6">
        <v>0</v>
      </c>
      <c r="L847" s="6">
        <v>336.15199999999999</v>
      </c>
      <c r="M847" s="6">
        <v>336.15199999999999</v>
      </c>
      <c r="N847" s="6">
        <v>336.15199999999999</v>
      </c>
      <c r="O847" s="6">
        <v>336.15199999999999</v>
      </c>
      <c r="P847" s="6">
        <v>457</v>
      </c>
      <c r="Q847" s="4" t="s">
        <v>26</v>
      </c>
      <c r="R847" s="4">
        <v>0</v>
      </c>
      <c r="S847" s="6">
        <v>0</v>
      </c>
      <c r="T847" s="6">
        <v>58</v>
      </c>
      <c r="U847" s="6">
        <v>99</v>
      </c>
      <c r="V847" s="6">
        <f>IF(ISERROR(VLOOKUP($S$847,'TAR FIN'!$A$1:$O$103,15,0)),0,VLOOKUP($S$847,'TAR FIN'!$A$1:$O$103,15,0))</f>
        <v>0</v>
      </c>
      <c r="W847" s="6">
        <f>IF(ISERROR(VLOOKUP($T$847,'TAR FIN'!$A$1:$O$103,15,0)),0,VLOOKUP($T$847,'TAR FIN'!$A$1:$O$103,15,0))</f>
        <v>379.62</v>
      </c>
      <c r="X847" s="6">
        <f>IF(ISERROR(VLOOKUP($U$847,'TAR FIN'!$A$1:$O$103,15,0)),0,VLOOKUP($U$847,'TAR FIN'!$A$1:$O$103,15,0))</f>
        <v>255.17</v>
      </c>
      <c r="Y847" s="6"/>
      <c r="Z847" s="6">
        <f ca="1">('TUSD BE'!$AM$60+'TUSD BF'!$AM$60+'TUSD CVA'!$AM$60)*1</f>
        <v>482.06736206829294</v>
      </c>
      <c r="AA847" s="6">
        <f>('TE BE'!$AB$41+'TE BF'!$AB$41+'TE CVA'!$AB$41)*1</f>
        <v>234.02376339339278</v>
      </c>
      <c r="AB847" s="6">
        <f>$K$847*$V$847</f>
        <v>0</v>
      </c>
      <c r="AC847" s="6">
        <f>$M$847*$W$847</f>
        <v>127610.02223999999</v>
      </c>
      <c r="AD847" s="6">
        <f>$O$847*$X$847</f>
        <v>85775.905839999992</v>
      </c>
      <c r="AE847" s="6">
        <f>$K$847*$Y$847</f>
        <v>0</v>
      </c>
      <c r="AF847" s="6">
        <f ca="1">$M$847*$Z$847</f>
        <v>162047.9078939808</v>
      </c>
      <c r="AG847" s="6">
        <f>$O$847*$AA$847</f>
        <v>78667.556112215767</v>
      </c>
    </row>
    <row r="848" spans="1:33" ht="11.25" customHeight="1" x14ac:dyDescent="0.3">
      <c r="A848" s="4" t="s">
        <v>21</v>
      </c>
      <c r="B848" s="4" t="s">
        <v>37</v>
      </c>
      <c r="C848" s="4" t="s">
        <v>23</v>
      </c>
      <c r="D848" s="4" t="s">
        <v>46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44593</v>
      </c>
      <c r="J848" s="6">
        <v>0</v>
      </c>
      <c r="K848" s="6">
        <v>0</v>
      </c>
      <c r="L848" s="6">
        <v>365.01900000000001</v>
      </c>
      <c r="M848" s="6">
        <v>365.01900000000001</v>
      </c>
      <c r="N848" s="6">
        <v>365.01900000000001</v>
      </c>
      <c r="O848" s="6">
        <v>365.01900000000001</v>
      </c>
      <c r="P848" s="6">
        <v>452</v>
      </c>
      <c r="Q848" s="4" t="s">
        <v>26</v>
      </c>
      <c r="R848" s="4">
        <v>0</v>
      </c>
      <c r="S848" s="6">
        <v>0</v>
      </c>
      <c r="T848" s="6">
        <v>58</v>
      </c>
      <c r="U848" s="6">
        <v>99</v>
      </c>
      <c r="V848" s="6">
        <f>IF(ISERROR(VLOOKUP($S$848,'TAR FIN'!$A$1:$O$103,15,0)),0,VLOOKUP($S$848,'TAR FIN'!$A$1:$O$103,15,0))</f>
        <v>0</v>
      </c>
      <c r="W848" s="6">
        <f>IF(ISERROR(VLOOKUP($T$848,'TAR FIN'!$A$1:$O$103,15,0)),0,VLOOKUP($T$848,'TAR FIN'!$A$1:$O$103,15,0))</f>
        <v>379.62</v>
      </c>
      <c r="X848" s="6">
        <f>IF(ISERROR(VLOOKUP($U$848,'TAR FIN'!$A$1:$O$103,15,0)),0,VLOOKUP($U$848,'TAR FIN'!$A$1:$O$103,15,0))</f>
        <v>255.17</v>
      </c>
      <c r="Y848" s="6"/>
      <c r="Z848" s="6">
        <f ca="1">('TUSD BE'!$AM$60+'TUSD BF'!$AM$60+'TUSD CVA'!$AM$60)*1</f>
        <v>482.06736206829294</v>
      </c>
      <c r="AA848" s="6">
        <f>('TE BE'!$AB$41+'TE BF'!$AB$41+'TE CVA'!$AB$41)*1</f>
        <v>234.02376339339278</v>
      </c>
      <c r="AB848" s="6">
        <f>$K$848*$V$848</f>
        <v>0</v>
      </c>
      <c r="AC848" s="6">
        <f>$M$848*$W$848</f>
        <v>138568.51277999999</v>
      </c>
      <c r="AD848" s="6">
        <f>$O$848*$X$848</f>
        <v>93141.898229999992</v>
      </c>
      <c r="AE848" s="6">
        <f>$K$848*$Y$848</f>
        <v>0</v>
      </c>
      <c r="AF848" s="6">
        <f ca="1">$M$848*$Z$848</f>
        <v>175963.74643480623</v>
      </c>
      <c r="AG848" s="6">
        <f>$O$848*$AA$848</f>
        <v>85423.120090092838</v>
      </c>
    </row>
    <row r="849" spans="1:33" ht="11.25" customHeight="1" x14ac:dyDescent="0.3">
      <c r="A849" s="4" t="s">
        <v>21</v>
      </c>
      <c r="B849" s="4" t="s">
        <v>37</v>
      </c>
      <c r="C849" s="4" t="s">
        <v>23</v>
      </c>
      <c r="D849" s="4" t="s">
        <v>46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44621</v>
      </c>
      <c r="J849" s="6">
        <v>0</v>
      </c>
      <c r="K849" s="6">
        <v>0</v>
      </c>
      <c r="L849" s="6">
        <v>355.18400000000003</v>
      </c>
      <c r="M849" s="6">
        <v>355.18400000000003</v>
      </c>
      <c r="N849" s="6">
        <v>355.18400000000003</v>
      </c>
      <c r="O849" s="6">
        <v>355.18400000000003</v>
      </c>
      <c r="P849" s="6">
        <v>453</v>
      </c>
      <c r="Q849" s="4" t="s">
        <v>26</v>
      </c>
      <c r="R849" s="4">
        <v>0</v>
      </c>
      <c r="S849" s="6">
        <v>0</v>
      </c>
      <c r="T849" s="6">
        <v>58</v>
      </c>
      <c r="U849" s="6">
        <v>99</v>
      </c>
      <c r="V849" s="6">
        <f>IF(ISERROR(VLOOKUP($S$849,'TAR FIN'!$A$1:$O$103,15,0)),0,VLOOKUP($S$849,'TAR FIN'!$A$1:$O$103,15,0))</f>
        <v>0</v>
      </c>
      <c r="W849" s="6">
        <f>IF(ISERROR(VLOOKUP($T$849,'TAR FIN'!$A$1:$O$103,15,0)),0,VLOOKUP($T$849,'TAR FIN'!$A$1:$O$103,15,0))</f>
        <v>379.62</v>
      </c>
      <c r="X849" s="6">
        <f>IF(ISERROR(VLOOKUP($U$849,'TAR FIN'!$A$1:$O$103,15,0)),0,VLOOKUP($U$849,'TAR FIN'!$A$1:$O$103,15,0))</f>
        <v>255.17</v>
      </c>
      <c r="Y849" s="6"/>
      <c r="Z849" s="6">
        <f ca="1">('TUSD BE'!$AM$60+'TUSD BF'!$AM$60+'TUSD CVA'!$AM$60)*1</f>
        <v>482.06736206829294</v>
      </c>
      <c r="AA849" s="6">
        <f>('TE BE'!$AB$41+'TE BF'!$AB$41+'TE CVA'!$AB$41)*1</f>
        <v>234.02376339339278</v>
      </c>
      <c r="AB849" s="6">
        <f>$K$849*$V$849</f>
        <v>0</v>
      </c>
      <c r="AC849" s="6">
        <f>$M$849*$W$849</f>
        <v>134834.95008000001</v>
      </c>
      <c r="AD849" s="6">
        <f>$O$849*$X$849</f>
        <v>90632.30128</v>
      </c>
      <c r="AE849" s="6">
        <f>$K$849*$Y$849</f>
        <v>0</v>
      </c>
      <c r="AF849" s="6">
        <f ca="1">$M$849*$Z$849</f>
        <v>171222.61392886456</v>
      </c>
      <c r="AG849" s="6">
        <f>$O$849*$AA$849</f>
        <v>83121.496377118834</v>
      </c>
    </row>
    <row r="850" spans="1:33" ht="11.25" customHeight="1" x14ac:dyDescent="0.3">
      <c r="A850" s="4" t="s">
        <v>21</v>
      </c>
      <c r="B850" s="4" t="s">
        <v>37</v>
      </c>
      <c r="C850" s="4" t="s">
        <v>23</v>
      </c>
      <c r="D850" s="4" t="s">
        <v>46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44652</v>
      </c>
      <c r="J850" s="6">
        <v>0</v>
      </c>
      <c r="K850" s="6">
        <v>0</v>
      </c>
      <c r="L850" s="6">
        <v>475.65499999999997</v>
      </c>
      <c r="M850" s="6">
        <v>475.65499999999997</v>
      </c>
      <c r="N850" s="6">
        <v>475.65499999999997</v>
      </c>
      <c r="O850" s="6">
        <v>475.65499999999997</v>
      </c>
      <c r="P850" s="6">
        <v>451</v>
      </c>
      <c r="Q850" s="4" t="s">
        <v>26</v>
      </c>
      <c r="R850" s="4">
        <v>0</v>
      </c>
      <c r="S850" s="6">
        <v>0</v>
      </c>
      <c r="T850" s="6">
        <v>58</v>
      </c>
      <c r="U850" s="6">
        <v>99</v>
      </c>
      <c r="V850" s="6">
        <f>IF(ISERROR(VLOOKUP($S$850,'TAR FIN'!$A$1:$O$103,15,0)),0,VLOOKUP($S$850,'TAR FIN'!$A$1:$O$103,15,0))</f>
        <v>0</v>
      </c>
      <c r="W850" s="6">
        <f>IF(ISERROR(VLOOKUP($T$850,'TAR FIN'!$A$1:$O$103,15,0)),0,VLOOKUP($T$850,'TAR FIN'!$A$1:$O$103,15,0))</f>
        <v>379.62</v>
      </c>
      <c r="X850" s="6">
        <f>IF(ISERROR(VLOOKUP($U$850,'TAR FIN'!$A$1:$O$103,15,0)),0,VLOOKUP($U$850,'TAR FIN'!$A$1:$O$103,15,0))</f>
        <v>255.17</v>
      </c>
      <c r="Y850" s="6"/>
      <c r="Z850" s="6">
        <f ca="1">('TUSD BE'!$AM$60+'TUSD BF'!$AM$60+'TUSD CVA'!$AM$60)*1</f>
        <v>482.06736206829294</v>
      </c>
      <c r="AA850" s="6">
        <f>('TE BE'!$AB$41+'TE BF'!$AB$41+'TE CVA'!$AB$41)*1</f>
        <v>234.02376339339278</v>
      </c>
      <c r="AB850" s="6">
        <f>$K$850*$V$850</f>
        <v>0</v>
      </c>
      <c r="AC850" s="6">
        <f>$M$850*$W$850</f>
        <v>180568.15109999999</v>
      </c>
      <c r="AD850" s="6">
        <f>$O$850*$X$850</f>
        <v>121372.88634999999</v>
      </c>
      <c r="AE850" s="6">
        <f>$K$850*$Y$850</f>
        <v>0</v>
      </c>
      <c r="AF850" s="6">
        <f ca="1">$M$850*$Z$850</f>
        <v>229297.75110459386</v>
      </c>
      <c r="AG850" s="6">
        <f>$O$850*$AA$850</f>
        <v>111314.57317688424</v>
      </c>
    </row>
    <row r="851" spans="1:33" ht="11.25" customHeight="1" x14ac:dyDescent="0.3">
      <c r="A851" s="4" t="s">
        <v>21</v>
      </c>
      <c r="B851" s="4" t="s">
        <v>37</v>
      </c>
      <c r="C851" s="4" t="s">
        <v>23</v>
      </c>
      <c r="D851" s="4" t="s">
        <v>46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44682</v>
      </c>
      <c r="J851" s="6">
        <v>0</v>
      </c>
      <c r="K851" s="6">
        <v>0</v>
      </c>
      <c r="L851" s="6">
        <v>418.78199999999998</v>
      </c>
      <c r="M851" s="6">
        <v>418.78199999999998</v>
      </c>
      <c r="N851" s="6">
        <v>418.78199999999998</v>
      </c>
      <c r="O851" s="6">
        <v>418.78199999999998</v>
      </c>
      <c r="P851" s="6">
        <v>450</v>
      </c>
      <c r="Q851" s="4" t="s">
        <v>26</v>
      </c>
      <c r="R851" s="4">
        <v>0</v>
      </c>
      <c r="S851" s="6">
        <v>0</v>
      </c>
      <c r="T851" s="6">
        <v>58</v>
      </c>
      <c r="U851" s="6">
        <v>99</v>
      </c>
      <c r="V851" s="6">
        <f>IF(ISERROR(VLOOKUP($S$851,'TAR FIN'!$A$1:$O$103,15,0)),0,VLOOKUP($S$851,'TAR FIN'!$A$1:$O$103,15,0))</f>
        <v>0</v>
      </c>
      <c r="W851" s="6">
        <f>IF(ISERROR(VLOOKUP($T$851,'TAR FIN'!$A$1:$O$103,15,0)),0,VLOOKUP($T$851,'TAR FIN'!$A$1:$O$103,15,0))</f>
        <v>379.62</v>
      </c>
      <c r="X851" s="6">
        <f>IF(ISERROR(VLOOKUP($U$851,'TAR FIN'!$A$1:$O$103,15,0)),0,VLOOKUP($U$851,'TAR FIN'!$A$1:$O$103,15,0))</f>
        <v>255.17</v>
      </c>
      <c r="Y851" s="6"/>
      <c r="Z851" s="6">
        <f ca="1">('TUSD BE'!$AM$60+'TUSD BF'!$AM$60+'TUSD CVA'!$AM$60)*1</f>
        <v>482.06736206829294</v>
      </c>
      <c r="AA851" s="6">
        <f>('TE BE'!$AB$41+'TE BF'!$AB$41+'TE CVA'!$AB$41)*1</f>
        <v>234.02376339339278</v>
      </c>
      <c r="AB851" s="6">
        <f>$K$851*$V$851</f>
        <v>0</v>
      </c>
      <c r="AC851" s="6">
        <f>$M$851*$W$851</f>
        <v>158978.02283999999</v>
      </c>
      <c r="AD851" s="6">
        <f>$O$851*$X$851</f>
        <v>106860.60294</v>
      </c>
      <c r="AE851" s="6">
        <f>$K$851*$Y$851</f>
        <v>0</v>
      </c>
      <c r="AF851" s="6">
        <f ca="1">$M$851*$Z$851</f>
        <v>201881.13402168386</v>
      </c>
      <c r="AG851" s="6">
        <f>$O$851*$AA$851</f>
        <v>98004.939681411808</v>
      </c>
    </row>
    <row r="852" spans="1:33" ht="11.25" customHeight="1" x14ac:dyDescent="0.3">
      <c r="A852" s="4" t="s">
        <v>28</v>
      </c>
      <c r="B852" s="4" t="s">
        <v>37</v>
      </c>
      <c r="C852" s="4" t="s">
        <v>23</v>
      </c>
      <c r="D852" s="4" t="s">
        <v>46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44682</v>
      </c>
      <c r="J852" s="6">
        <v>0</v>
      </c>
      <c r="K852" s="6">
        <v>0</v>
      </c>
      <c r="L852" s="6">
        <v>0.107</v>
      </c>
      <c r="M852" s="6">
        <v>0.107</v>
      </c>
      <c r="N852" s="6">
        <v>0.107</v>
      </c>
      <c r="O852" s="6">
        <v>0.107</v>
      </c>
      <c r="P852" s="6">
        <v>1</v>
      </c>
      <c r="Q852" s="4" t="s">
        <v>26</v>
      </c>
      <c r="R852" s="4">
        <v>0</v>
      </c>
      <c r="S852" s="6">
        <v>0</v>
      </c>
      <c r="T852" s="6">
        <v>58</v>
      </c>
      <c r="U852" s="6">
        <v>99</v>
      </c>
      <c r="V852" s="6">
        <f>IF(ISERROR(VLOOKUP($S$852,'TAR FIN'!$A$1:$O$103,15,0)),0,VLOOKUP($S$852,'TAR FIN'!$A$1:$O$103,15,0))</f>
        <v>0</v>
      </c>
      <c r="W852" s="6">
        <f>IF(ISERROR(VLOOKUP($T$852,'TAR FIN'!$A$1:$O$103,15,0)),0,VLOOKUP($T$852,'TAR FIN'!$A$1:$O$103,15,0))</f>
        <v>379.62</v>
      </c>
      <c r="X852" s="6">
        <f>IF(ISERROR(VLOOKUP($U$852,'TAR FIN'!$A$1:$O$103,15,0)),0,VLOOKUP($U$852,'TAR FIN'!$A$1:$O$103,15,0))</f>
        <v>255.17</v>
      </c>
      <c r="Y852" s="6"/>
      <c r="Z852" s="6">
        <f ca="1">('TUSD BE'!$AM$60+'TUSD BF'!$AM$60+'TUSD CVA'!$AM$60)*1</f>
        <v>482.06736206829294</v>
      </c>
      <c r="AA852" s="6">
        <f>('TE BE'!$AB$41+'TE BF'!$AB$41+'TE CVA'!$AB$41)*1</f>
        <v>234.02376339339278</v>
      </c>
      <c r="AB852" s="6">
        <f>$K$852*$V$852</f>
        <v>0</v>
      </c>
      <c r="AC852" s="6">
        <f>$M$852*$W$852</f>
        <v>40.619340000000001</v>
      </c>
      <c r="AD852" s="6">
        <f>$O$852*$X$852</f>
        <v>27.303189999999997</v>
      </c>
      <c r="AE852" s="6">
        <f>$K$852*$Y$852</f>
        <v>0</v>
      </c>
      <c r="AF852" s="6">
        <f ca="1">$M$852*$Z$852</f>
        <v>51.581207741307345</v>
      </c>
      <c r="AG852" s="6">
        <f>$O$852*$AA$852</f>
        <v>25.040542683093026</v>
      </c>
    </row>
    <row r="853" spans="1:33" ht="11.25" customHeight="1" x14ac:dyDescent="0.3">
      <c r="A853" s="4" t="s">
        <v>21</v>
      </c>
      <c r="B853" s="4" t="s">
        <v>37</v>
      </c>
      <c r="C853" s="4" t="s">
        <v>23</v>
      </c>
      <c r="D853" s="4" t="s">
        <v>46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44713</v>
      </c>
      <c r="J853" s="6">
        <v>0</v>
      </c>
      <c r="K853" s="6">
        <v>0</v>
      </c>
      <c r="L853" s="6">
        <v>314.72800000000001</v>
      </c>
      <c r="M853" s="6">
        <v>314.72800000000001</v>
      </c>
      <c r="N853" s="6">
        <v>314.72800000000001</v>
      </c>
      <c r="O853" s="6">
        <v>314.72800000000001</v>
      </c>
      <c r="P853" s="6">
        <v>451</v>
      </c>
      <c r="Q853" s="4" t="s">
        <v>26</v>
      </c>
      <c r="R853" s="4">
        <v>0</v>
      </c>
      <c r="S853" s="6">
        <v>0</v>
      </c>
      <c r="T853" s="6">
        <v>58</v>
      </c>
      <c r="U853" s="6">
        <v>99</v>
      </c>
      <c r="V853" s="6">
        <f>IF(ISERROR(VLOOKUP($S$853,'TAR FIN'!$A$1:$O$103,15,0)),0,VLOOKUP($S$853,'TAR FIN'!$A$1:$O$103,15,0))</f>
        <v>0</v>
      </c>
      <c r="W853" s="6">
        <f>IF(ISERROR(VLOOKUP($T$853,'TAR FIN'!$A$1:$O$103,15,0)),0,VLOOKUP($T$853,'TAR FIN'!$A$1:$O$103,15,0))</f>
        <v>379.62</v>
      </c>
      <c r="X853" s="6">
        <f>IF(ISERROR(VLOOKUP($U$853,'TAR FIN'!$A$1:$O$103,15,0)),0,VLOOKUP($U$853,'TAR FIN'!$A$1:$O$103,15,0))</f>
        <v>255.17</v>
      </c>
      <c r="Y853" s="6"/>
      <c r="Z853" s="6">
        <f ca="1">('TUSD BE'!$AM$60+'TUSD BF'!$AM$60+'TUSD CVA'!$AM$60)*1</f>
        <v>482.06736206829294</v>
      </c>
      <c r="AA853" s="6">
        <f>('TE BE'!$AB$41+'TE BF'!$AB$41+'TE CVA'!$AB$41)*1</f>
        <v>234.02376339339278</v>
      </c>
      <c r="AB853" s="6">
        <f>$K$853*$V$853</f>
        <v>0</v>
      </c>
      <c r="AC853" s="6">
        <f>$M$853*$W$853</f>
        <v>119477.04336000001</v>
      </c>
      <c r="AD853" s="6">
        <f>$O$853*$X$853</f>
        <v>80309.143759999992</v>
      </c>
      <c r="AE853" s="6">
        <f>$K$853*$Y$853</f>
        <v>0</v>
      </c>
      <c r="AF853" s="6">
        <f ca="1">$M$853*$Z$853</f>
        <v>151720.0967290297</v>
      </c>
      <c r="AG853" s="6">
        <f>$O$853*$AA$853</f>
        <v>73653.83100527573</v>
      </c>
    </row>
    <row r="854" spans="1:33" ht="11.25" customHeight="1" x14ac:dyDescent="0.3">
      <c r="A854" s="4" t="s">
        <v>28</v>
      </c>
      <c r="B854" s="4" t="s">
        <v>37</v>
      </c>
      <c r="C854" s="4" t="s">
        <v>23</v>
      </c>
      <c r="D854" s="4" t="s">
        <v>46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44713</v>
      </c>
      <c r="J854" s="6">
        <v>0</v>
      </c>
      <c r="K854" s="6">
        <v>0</v>
      </c>
      <c r="L854" s="6">
        <v>1.3220000000000001</v>
      </c>
      <c r="M854" s="6">
        <v>1.3220000000000001</v>
      </c>
      <c r="N854" s="6">
        <v>1.3220000000000001</v>
      </c>
      <c r="O854" s="6">
        <v>1.3220000000000001</v>
      </c>
      <c r="P854" s="6">
        <v>1</v>
      </c>
      <c r="Q854" s="4" t="s">
        <v>26</v>
      </c>
      <c r="R854" s="4">
        <v>0</v>
      </c>
      <c r="S854" s="6">
        <v>0</v>
      </c>
      <c r="T854" s="6">
        <v>58</v>
      </c>
      <c r="U854" s="6">
        <v>99</v>
      </c>
      <c r="V854" s="6">
        <f>IF(ISERROR(VLOOKUP($S$854,'TAR FIN'!$A$1:$O$103,15,0)),0,VLOOKUP($S$854,'TAR FIN'!$A$1:$O$103,15,0))</f>
        <v>0</v>
      </c>
      <c r="W854" s="6">
        <f>IF(ISERROR(VLOOKUP($T$854,'TAR FIN'!$A$1:$O$103,15,0)),0,VLOOKUP($T$854,'TAR FIN'!$A$1:$O$103,15,0))</f>
        <v>379.62</v>
      </c>
      <c r="X854" s="6">
        <f>IF(ISERROR(VLOOKUP($U$854,'TAR FIN'!$A$1:$O$103,15,0)),0,VLOOKUP($U$854,'TAR FIN'!$A$1:$O$103,15,0))</f>
        <v>255.17</v>
      </c>
      <c r="Y854" s="6"/>
      <c r="Z854" s="6">
        <f ca="1">('TUSD BE'!$AM$60+'TUSD BF'!$AM$60+'TUSD CVA'!$AM$60)*1</f>
        <v>482.06736206829294</v>
      </c>
      <c r="AA854" s="6">
        <f>('TE BE'!$AB$41+'TE BF'!$AB$41+'TE CVA'!$AB$41)*1</f>
        <v>234.02376339339278</v>
      </c>
      <c r="AB854" s="6">
        <f>$K$854*$V$854</f>
        <v>0</v>
      </c>
      <c r="AC854" s="6">
        <f>$M$854*$W$854</f>
        <v>501.85764</v>
      </c>
      <c r="AD854" s="6">
        <f>$O$854*$X$854</f>
        <v>337.33474000000001</v>
      </c>
      <c r="AE854" s="6">
        <f>$K$854*$Y$854</f>
        <v>0</v>
      </c>
      <c r="AF854" s="6">
        <f ca="1">$M$854*$Z$854</f>
        <v>637.29305265428331</v>
      </c>
      <c r="AG854" s="6">
        <f>$O$854*$AA$854</f>
        <v>309.37941520606529</v>
      </c>
    </row>
    <row r="855" spans="1:33" ht="11.25" customHeight="1" x14ac:dyDescent="0.3">
      <c r="A855" s="4" t="s">
        <v>21</v>
      </c>
      <c r="B855" s="4" t="s">
        <v>37</v>
      </c>
      <c r="C855" s="4" t="s">
        <v>23</v>
      </c>
      <c r="D855" s="4" t="s">
        <v>46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44743</v>
      </c>
      <c r="J855" s="6">
        <v>0</v>
      </c>
      <c r="K855" s="6">
        <v>0</v>
      </c>
      <c r="L855" s="6">
        <v>295.98200000000003</v>
      </c>
      <c r="M855" s="6">
        <v>295.98200000000003</v>
      </c>
      <c r="N855" s="6">
        <v>295.98200000000003</v>
      </c>
      <c r="O855" s="6">
        <v>295.98200000000003</v>
      </c>
      <c r="P855" s="6">
        <v>451</v>
      </c>
      <c r="Q855" s="4" t="s">
        <v>26</v>
      </c>
      <c r="R855" s="4">
        <v>0</v>
      </c>
      <c r="S855" s="6">
        <v>0</v>
      </c>
      <c r="T855" s="6">
        <v>58</v>
      </c>
      <c r="U855" s="6">
        <v>99</v>
      </c>
      <c r="V855" s="6">
        <f>IF(ISERROR(VLOOKUP($S$855,'TAR FIN'!$A$1:$O$103,15,0)),0,VLOOKUP($S$855,'TAR FIN'!$A$1:$O$103,15,0))</f>
        <v>0</v>
      </c>
      <c r="W855" s="6">
        <f>IF(ISERROR(VLOOKUP($T$855,'TAR FIN'!$A$1:$O$103,15,0)),0,VLOOKUP($T$855,'TAR FIN'!$A$1:$O$103,15,0))</f>
        <v>379.62</v>
      </c>
      <c r="X855" s="6">
        <f>IF(ISERROR(VLOOKUP($U$855,'TAR FIN'!$A$1:$O$103,15,0)),0,VLOOKUP($U$855,'TAR FIN'!$A$1:$O$103,15,0))</f>
        <v>255.17</v>
      </c>
      <c r="Y855" s="6"/>
      <c r="Z855" s="6">
        <f ca="1">('TUSD BE'!$AM$60+'TUSD BF'!$AM$60+'TUSD CVA'!$AM$60)*1</f>
        <v>482.06736206829294</v>
      </c>
      <c r="AA855" s="6">
        <f>('TE BE'!$AB$41+'TE BF'!$AB$41+'TE CVA'!$AB$41)*1</f>
        <v>234.02376339339278</v>
      </c>
      <c r="AB855" s="6">
        <f>$K$855*$V$855</f>
        <v>0</v>
      </c>
      <c r="AC855" s="6">
        <f>$M$855*$W$855</f>
        <v>112360.68684000001</v>
      </c>
      <c r="AD855" s="6">
        <f>$O$855*$X$855</f>
        <v>75525.726940000008</v>
      </c>
      <c r="AE855" s="6">
        <f>$K$855*$Y$855</f>
        <v>0</v>
      </c>
      <c r="AF855" s="6">
        <f ca="1">$M$855*$Z$855</f>
        <v>142683.2619596975</v>
      </c>
      <c r="AG855" s="6">
        <f>$O$855*$AA$855</f>
        <v>69266.821536703195</v>
      </c>
    </row>
    <row r="856" spans="1:33" ht="11.25" customHeight="1" x14ac:dyDescent="0.3">
      <c r="A856" s="4" t="s">
        <v>28</v>
      </c>
      <c r="B856" s="4" t="s">
        <v>37</v>
      </c>
      <c r="C856" s="4" t="s">
        <v>23</v>
      </c>
      <c r="D856" s="4" t="s">
        <v>46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44743</v>
      </c>
      <c r="J856" s="6">
        <v>0</v>
      </c>
      <c r="K856" s="6">
        <v>0</v>
      </c>
      <c r="L856" s="6">
        <v>2.2280000000000002</v>
      </c>
      <c r="M856" s="6">
        <v>2.2280000000000002</v>
      </c>
      <c r="N856" s="6">
        <v>2.2280000000000002</v>
      </c>
      <c r="O856" s="6">
        <v>2.2280000000000002</v>
      </c>
      <c r="P856" s="6">
        <v>1</v>
      </c>
      <c r="Q856" s="4" t="s">
        <v>26</v>
      </c>
      <c r="R856" s="4">
        <v>0</v>
      </c>
      <c r="S856" s="6">
        <v>0</v>
      </c>
      <c r="T856" s="6">
        <v>58</v>
      </c>
      <c r="U856" s="6">
        <v>99</v>
      </c>
      <c r="V856" s="6">
        <f>IF(ISERROR(VLOOKUP($S$856,'TAR FIN'!$A$1:$O$103,15,0)),0,VLOOKUP($S$856,'TAR FIN'!$A$1:$O$103,15,0))</f>
        <v>0</v>
      </c>
      <c r="W856" s="6">
        <f>IF(ISERROR(VLOOKUP($T$856,'TAR FIN'!$A$1:$O$103,15,0)),0,VLOOKUP($T$856,'TAR FIN'!$A$1:$O$103,15,0))</f>
        <v>379.62</v>
      </c>
      <c r="X856" s="6">
        <f>IF(ISERROR(VLOOKUP($U$856,'TAR FIN'!$A$1:$O$103,15,0)),0,VLOOKUP($U$856,'TAR FIN'!$A$1:$O$103,15,0))</f>
        <v>255.17</v>
      </c>
      <c r="Y856" s="6"/>
      <c r="Z856" s="6">
        <f ca="1">('TUSD BE'!$AM$60+'TUSD BF'!$AM$60+'TUSD CVA'!$AM$60)*1</f>
        <v>482.06736206829294</v>
      </c>
      <c r="AA856" s="6">
        <f>('TE BE'!$AB$41+'TE BF'!$AB$41+'TE CVA'!$AB$41)*1</f>
        <v>234.02376339339278</v>
      </c>
      <c r="AB856" s="6">
        <f>$K$856*$V$856</f>
        <v>0</v>
      </c>
      <c r="AC856" s="6">
        <f>$M$856*$W$856</f>
        <v>845.79336000000012</v>
      </c>
      <c r="AD856" s="6">
        <f>$O$856*$X$856</f>
        <v>568.51876000000004</v>
      </c>
      <c r="AE856" s="6">
        <f>$K$856*$Y$856</f>
        <v>0</v>
      </c>
      <c r="AF856" s="6">
        <f ca="1">$M$856*$Z$856</f>
        <v>1074.0460826881567</v>
      </c>
      <c r="AG856" s="6">
        <f>$O$856*$AA$856</f>
        <v>521.40494484047917</v>
      </c>
    </row>
    <row r="857" spans="1:33" ht="11.25" customHeight="1" x14ac:dyDescent="0.3">
      <c r="A857" s="4" t="s">
        <v>21</v>
      </c>
      <c r="B857" s="4" t="s">
        <v>37</v>
      </c>
      <c r="C857" s="4" t="s">
        <v>23</v>
      </c>
      <c r="D857" s="4" t="s">
        <v>46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44774</v>
      </c>
      <c r="J857" s="6">
        <v>0</v>
      </c>
      <c r="K857" s="6">
        <v>0</v>
      </c>
      <c r="L857" s="6">
        <v>278.72300000000001</v>
      </c>
      <c r="M857" s="6">
        <v>278.72300000000001</v>
      </c>
      <c r="N857" s="6">
        <v>278.72300000000001</v>
      </c>
      <c r="O857" s="6">
        <v>278.72300000000001</v>
      </c>
      <c r="P857" s="6">
        <v>450</v>
      </c>
      <c r="Q857" s="4" t="s">
        <v>26</v>
      </c>
      <c r="R857" s="4">
        <v>0</v>
      </c>
      <c r="S857" s="6">
        <v>0</v>
      </c>
      <c r="T857" s="6">
        <v>58</v>
      </c>
      <c r="U857" s="6">
        <v>99</v>
      </c>
      <c r="V857" s="6">
        <f>IF(ISERROR(VLOOKUP($S$857,'TAR FIN'!$A$1:$O$103,15,0)),0,VLOOKUP($S$857,'TAR FIN'!$A$1:$O$103,15,0))</f>
        <v>0</v>
      </c>
      <c r="W857" s="6">
        <f>IF(ISERROR(VLOOKUP($T$857,'TAR FIN'!$A$1:$O$103,15,0)),0,VLOOKUP($T$857,'TAR FIN'!$A$1:$O$103,15,0))</f>
        <v>379.62</v>
      </c>
      <c r="X857" s="6">
        <f>IF(ISERROR(VLOOKUP($U$857,'TAR FIN'!$A$1:$O$103,15,0)),0,VLOOKUP($U$857,'TAR FIN'!$A$1:$O$103,15,0))</f>
        <v>255.17</v>
      </c>
      <c r="Y857" s="6"/>
      <c r="Z857" s="6">
        <f ca="1">('TUSD BE'!$AM$60+'TUSD BF'!$AM$60+'TUSD CVA'!$AM$60)*1</f>
        <v>482.06736206829294</v>
      </c>
      <c r="AA857" s="6">
        <f>('TE BE'!$AB$41+'TE BF'!$AB$41+'TE CVA'!$AB$41)*1</f>
        <v>234.02376339339278</v>
      </c>
      <c r="AB857" s="6">
        <f>$K$857*$V$857</f>
        <v>0</v>
      </c>
      <c r="AC857" s="6">
        <f>$M$857*$W$857</f>
        <v>105808.82526000001</v>
      </c>
      <c r="AD857" s="6">
        <f>$O$857*$X$857</f>
        <v>71121.747910000006</v>
      </c>
      <c r="AE857" s="6">
        <f>$K$857*$Y$857</f>
        <v>0</v>
      </c>
      <c r="AF857" s="6">
        <f ca="1">$M$857*$Z$857</f>
        <v>134363.26135776081</v>
      </c>
      <c r="AG857" s="6">
        <f>$O$857*$AA$857</f>
        <v>65227.805404296618</v>
      </c>
    </row>
    <row r="858" spans="1:33" ht="11.25" customHeight="1" x14ac:dyDescent="0.3">
      <c r="A858" s="4" t="s">
        <v>28</v>
      </c>
      <c r="B858" s="4" t="s">
        <v>37</v>
      </c>
      <c r="C858" s="4" t="s">
        <v>23</v>
      </c>
      <c r="D858" s="4" t="s">
        <v>46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44774</v>
      </c>
      <c r="J858" s="6">
        <v>0</v>
      </c>
      <c r="K858" s="6">
        <v>0</v>
      </c>
      <c r="L858" s="6">
        <v>2.2320000000000002</v>
      </c>
      <c r="M858" s="6">
        <v>2.2320000000000002</v>
      </c>
      <c r="N858" s="6">
        <v>2.2320000000000002</v>
      </c>
      <c r="O858" s="6">
        <v>2.2320000000000002</v>
      </c>
      <c r="P858" s="6">
        <v>1</v>
      </c>
      <c r="Q858" s="4" t="s">
        <v>26</v>
      </c>
      <c r="R858" s="4">
        <v>0</v>
      </c>
      <c r="S858" s="6">
        <v>0</v>
      </c>
      <c r="T858" s="6">
        <v>58</v>
      </c>
      <c r="U858" s="6">
        <v>99</v>
      </c>
      <c r="V858" s="6">
        <f>IF(ISERROR(VLOOKUP($S$858,'TAR FIN'!$A$1:$O$103,15,0)),0,VLOOKUP($S$858,'TAR FIN'!$A$1:$O$103,15,0))</f>
        <v>0</v>
      </c>
      <c r="W858" s="6">
        <f>IF(ISERROR(VLOOKUP($T$858,'TAR FIN'!$A$1:$O$103,15,0)),0,VLOOKUP($T$858,'TAR FIN'!$A$1:$O$103,15,0))</f>
        <v>379.62</v>
      </c>
      <c r="X858" s="6">
        <f>IF(ISERROR(VLOOKUP($U$858,'TAR FIN'!$A$1:$O$103,15,0)),0,VLOOKUP($U$858,'TAR FIN'!$A$1:$O$103,15,0))</f>
        <v>255.17</v>
      </c>
      <c r="Y858" s="6"/>
      <c r="Z858" s="6">
        <f ca="1">('TUSD BE'!$AM$60+'TUSD BF'!$AM$60+'TUSD CVA'!$AM$60)*1</f>
        <v>482.06736206829294</v>
      </c>
      <c r="AA858" s="6">
        <f>('TE BE'!$AB$41+'TE BF'!$AB$41+'TE CVA'!$AB$41)*1</f>
        <v>234.02376339339278</v>
      </c>
      <c r="AB858" s="6">
        <f>$K$858*$V$858</f>
        <v>0</v>
      </c>
      <c r="AC858" s="6">
        <f>$M$858*$W$858</f>
        <v>847.31184000000007</v>
      </c>
      <c r="AD858" s="6">
        <f>$O$858*$X$858</f>
        <v>569.53944000000001</v>
      </c>
      <c r="AE858" s="6">
        <f>$K$858*$Y$858</f>
        <v>0</v>
      </c>
      <c r="AF858" s="6">
        <f ca="1">$M$858*$Z$858</f>
        <v>1075.9743521364298</v>
      </c>
      <c r="AG858" s="6">
        <f>$O$858*$AA$858</f>
        <v>522.34103989405276</v>
      </c>
    </row>
    <row r="859" spans="1:33" ht="11.25" customHeight="1" x14ac:dyDescent="0.3">
      <c r="A859" s="4" t="s">
        <v>21</v>
      </c>
      <c r="B859" s="4" t="s">
        <v>37</v>
      </c>
      <c r="C859" s="4" t="s">
        <v>23</v>
      </c>
      <c r="D859" s="4" t="s">
        <v>46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44805</v>
      </c>
      <c r="J859" s="6">
        <v>0</v>
      </c>
      <c r="K859" s="6">
        <v>0</v>
      </c>
      <c r="L859" s="6">
        <v>418.947</v>
      </c>
      <c r="M859" s="6">
        <v>418.947</v>
      </c>
      <c r="N859" s="6">
        <v>418.947</v>
      </c>
      <c r="O859" s="6">
        <v>418.947</v>
      </c>
      <c r="P859" s="6">
        <v>451</v>
      </c>
      <c r="Q859" s="4" t="s">
        <v>26</v>
      </c>
      <c r="R859" s="4">
        <v>0</v>
      </c>
      <c r="S859" s="6">
        <v>0</v>
      </c>
      <c r="T859" s="6">
        <v>58</v>
      </c>
      <c r="U859" s="6">
        <v>99</v>
      </c>
      <c r="V859" s="6">
        <f>IF(ISERROR(VLOOKUP($S$859,'TAR FIN'!$A$1:$O$103,15,0)),0,VLOOKUP($S$859,'TAR FIN'!$A$1:$O$103,15,0))</f>
        <v>0</v>
      </c>
      <c r="W859" s="6">
        <f>IF(ISERROR(VLOOKUP($T$859,'TAR FIN'!$A$1:$O$103,15,0)),0,VLOOKUP($T$859,'TAR FIN'!$A$1:$O$103,15,0))</f>
        <v>379.62</v>
      </c>
      <c r="X859" s="6">
        <f>IF(ISERROR(VLOOKUP($U$859,'TAR FIN'!$A$1:$O$103,15,0)),0,VLOOKUP($U$859,'TAR FIN'!$A$1:$O$103,15,0))</f>
        <v>255.17</v>
      </c>
      <c r="Y859" s="6"/>
      <c r="Z859" s="6">
        <f ca="1">('TUSD BE'!$AM$60+'TUSD BF'!$AM$60+'TUSD CVA'!$AM$60)*1</f>
        <v>482.06736206829294</v>
      </c>
      <c r="AA859" s="6">
        <f>('TE BE'!$AB$41+'TE BF'!$AB$41+'TE CVA'!$AB$41)*1</f>
        <v>234.02376339339278</v>
      </c>
      <c r="AB859" s="6">
        <f>$K$859*$V$859</f>
        <v>0</v>
      </c>
      <c r="AC859" s="6">
        <f>$M$859*$W$859</f>
        <v>159040.66013999999</v>
      </c>
      <c r="AD859" s="6">
        <f>$O$859*$X$859</f>
        <v>106902.70599</v>
      </c>
      <c r="AE859" s="6">
        <f>$K$859*$Y$859</f>
        <v>0</v>
      </c>
      <c r="AF859" s="6">
        <f ca="1">$M$859*$Z$859</f>
        <v>201960.67513642512</v>
      </c>
      <c r="AG859" s="6">
        <f>$O$859*$AA$859</f>
        <v>98043.553602371729</v>
      </c>
    </row>
    <row r="860" spans="1:33" ht="11.25" customHeight="1" x14ac:dyDescent="0.3">
      <c r="A860" s="4" t="s">
        <v>28</v>
      </c>
      <c r="B860" s="4" t="s">
        <v>37</v>
      </c>
      <c r="C860" s="4" t="s">
        <v>23</v>
      </c>
      <c r="D860" s="4" t="s">
        <v>46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44805</v>
      </c>
      <c r="J860" s="6">
        <v>0</v>
      </c>
      <c r="K860" s="6">
        <v>0</v>
      </c>
      <c r="L860" s="6">
        <v>0.623</v>
      </c>
      <c r="M860" s="6">
        <v>0.623</v>
      </c>
      <c r="N860" s="6">
        <v>0.623</v>
      </c>
      <c r="O860" s="6">
        <v>0.623</v>
      </c>
      <c r="P860" s="6">
        <v>1</v>
      </c>
      <c r="Q860" s="4" t="s">
        <v>26</v>
      </c>
      <c r="R860" s="4">
        <v>0</v>
      </c>
      <c r="S860" s="6">
        <v>0</v>
      </c>
      <c r="T860" s="6">
        <v>58</v>
      </c>
      <c r="U860" s="6">
        <v>99</v>
      </c>
      <c r="V860" s="6">
        <f>IF(ISERROR(VLOOKUP($S$860,'TAR FIN'!$A$1:$O$103,15,0)),0,VLOOKUP($S$860,'TAR FIN'!$A$1:$O$103,15,0))</f>
        <v>0</v>
      </c>
      <c r="W860" s="6">
        <f>IF(ISERROR(VLOOKUP($T$860,'TAR FIN'!$A$1:$O$103,15,0)),0,VLOOKUP($T$860,'TAR FIN'!$A$1:$O$103,15,0))</f>
        <v>379.62</v>
      </c>
      <c r="X860" s="6">
        <f>IF(ISERROR(VLOOKUP($U$860,'TAR FIN'!$A$1:$O$103,15,0)),0,VLOOKUP($U$860,'TAR FIN'!$A$1:$O$103,15,0))</f>
        <v>255.17</v>
      </c>
      <c r="Y860" s="6"/>
      <c r="Z860" s="6">
        <f ca="1">('TUSD BE'!$AM$60+'TUSD BF'!$AM$60+'TUSD CVA'!$AM$60)*1</f>
        <v>482.06736206829294</v>
      </c>
      <c r="AA860" s="6">
        <f>('TE BE'!$AB$41+'TE BF'!$AB$41+'TE CVA'!$AB$41)*1</f>
        <v>234.02376339339278</v>
      </c>
      <c r="AB860" s="6">
        <f>$K$860*$V$860</f>
        <v>0</v>
      </c>
      <c r="AC860" s="6">
        <f>$M$860*$W$860</f>
        <v>236.50326000000001</v>
      </c>
      <c r="AD860" s="6">
        <f>$O$860*$X$860</f>
        <v>158.97091</v>
      </c>
      <c r="AE860" s="6">
        <f>$K$860*$Y$860</f>
        <v>0</v>
      </c>
      <c r="AF860" s="6">
        <f ca="1">$M$860*$Z$860</f>
        <v>300.32796656854651</v>
      </c>
      <c r="AG860" s="6">
        <f>$O$860*$AA$860</f>
        <v>145.79680459408371</v>
      </c>
    </row>
    <row r="861" spans="1:33" ht="11.25" customHeight="1" x14ac:dyDescent="0.3">
      <c r="A861" s="4" t="s">
        <v>57</v>
      </c>
      <c r="B861" s="4" t="s">
        <v>37</v>
      </c>
      <c r="C861" s="4" t="s">
        <v>23</v>
      </c>
      <c r="D861" s="4" t="s">
        <v>46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44835</v>
      </c>
      <c r="J861" s="6">
        <v>0</v>
      </c>
      <c r="K861" s="6">
        <v>0</v>
      </c>
      <c r="L861" s="6">
        <v>418.947</v>
      </c>
      <c r="M861" s="6">
        <v>418.947</v>
      </c>
      <c r="N861" s="6">
        <v>418.947</v>
      </c>
      <c r="O861" s="6">
        <v>418.947</v>
      </c>
      <c r="P861" s="6">
        <v>451</v>
      </c>
      <c r="Q861" s="4" t="s">
        <v>26</v>
      </c>
      <c r="R861" s="4">
        <v>0</v>
      </c>
      <c r="S861" s="6">
        <v>0</v>
      </c>
      <c r="T861" s="6">
        <v>58</v>
      </c>
      <c r="U861" s="6">
        <v>99</v>
      </c>
      <c r="V861" s="6">
        <f>IF(ISERROR(VLOOKUP($S$861,'TAR FIN'!$A$1:$O$103,15,0)),0,VLOOKUP($S$861,'TAR FIN'!$A$1:$O$103,15,0))</f>
        <v>0</v>
      </c>
      <c r="W861" s="6">
        <f>IF(ISERROR(VLOOKUP($T$861,'TAR FIN'!$A$1:$O$103,15,0)),0,VLOOKUP($T$861,'TAR FIN'!$A$1:$O$103,15,0))</f>
        <v>379.62</v>
      </c>
      <c r="X861" s="6">
        <f>IF(ISERROR(VLOOKUP($U$861,'TAR FIN'!$A$1:$O$103,15,0)),0,VLOOKUP($U$861,'TAR FIN'!$A$1:$O$103,15,0))</f>
        <v>255.17</v>
      </c>
      <c r="Y861" s="6"/>
      <c r="Z861" s="6">
        <f ca="1">('TUSD BE'!$AM$60+'TUSD BF'!$AM$60+'TUSD CVA'!$AM$60)*1</f>
        <v>482.06736206829294</v>
      </c>
      <c r="AA861" s="6">
        <f>('TE BE'!$AB$41+'TE BF'!$AB$41+'TE CVA'!$AB$41)*1</f>
        <v>234.02376339339278</v>
      </c>
      <c r="AB861" s="6">
        <f>$K$861*$V$861</f>
        <v>0</v>
      </c>
      <c r="AC861" s="6">
        <f>$M$861*$W$861</f>
        <v>159040.66013999999</v>
      </c>
      <c r="AD861" s="6">
        <f>$O$861*$X$861</f>
        <v>106902.70599</v>
      </c>
      <c r="AE861" s="6">
        <f>$K$861*$Y$861</f>
        <v>0</v>
      </c>
      <c r="AF861" s="6">
        <f ca="1">$M$861*$Z$861</f>
        <v>201960.67513642512</v>
      </c>
      <c r="AG861" s="6">
        <f>$O$861*$AA$861</f>
        <v>98043.553602371729</v>
      </c>
    </row>
    <row r="862" spans="1:33" ht="11.25" customHeight="1" x14ac:dyDescent="0.3">
      <c r="A862" s="4" t="s">
        <v>57</v>
      </c>
      <c r="B862" s="4" t="s">
        <v>37</v>
      </c>
      <c r="C862" s="4" t="s">
        <v>23</v>
      </c>
      <c r="D862" s="4" t="s">
        <v>46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44835</v>
      </c>
      <c r="J862" s="6">
        <v>0</v>
      </c>
      <c r="K862" s="6">
        <v>0</v>
      </c>
      <c r="L862" s="6">
        <v>0.623</v>
      </c>
      <c r="M862" s="6">
        <v>0.623</v>
      </c>
      <c r="N862" s="6">
        <v>0.623</v>
      </c>
      <c r="O862" s="6">
        <v>0.623</v>
      </c>
      <c r="P862" s="6">
        <v>1</v>
      </c>
      <c r="Q862" s="4" t="s">
        <v>26</v>
      </c>
      <c r="R862" s="4">
        <v>0</v>
      </c>
      <c r="S862" s="6">
        <v>0</v>
      </c>
      <c r="T862" s="6">
        <v>58</v>
      </c>
      <c r="U862" s="6">
        <v>99</v>
      </c>
      <c r="V862" s="6">
        <f>IF(ISERROR(VLOOKUP($S$862,'TAR FIN'!$A$1:$O$103,15,0)),0,VLOOKUP($S$862,'TAR FIN'!$A$1:$O$103,15,0))</f>
        <v>0</v>
      </c>
      <c r="W862" s="6">
        <f>IF(ISERROR(VLOOKUP($T$862,'TAR FIN'!$A$1:$O$103,15,0)),0,VLOOKUP($T$862,'TAR FIN'!$A$1:$O$103,15,0))</f>
        <v>379.62</v>
      </c>
      <c r="X862" s="6">
        <f>IF(ISERROR(VLOOKUP($U$862,'TAR FIN'!$A$1:$O$103,15,0)),0,VLOOKUP($U$862,'TAR FIN'!$A$1:$O$103,15,0))</f>
        <v>255.17</v>
      </c>
      <c r="Y862" s="6"/>
      <c r="Z862" s="6">
        <f ca="1">('TUSD BE'!$AM$60+'TUSD BF'!$AM$60+'TUSD CVA'!$AM$60)*1</f>
        <v>482.06736206829294</v>
      </c>
      <c r="AA862" s="6">
        <f>('TE BE'!$AB$41+'TE BF'!$AB$41+'TE CVA'!$AB$41)*1</f>
        <v>234.02376339339278</v>
      </c>
      <c r="AB862" s="6">
        <f>$K$862*$V$862</f>
        <v>0</v>
      </c>
      <c r="AC862" s="6">
        <f>$M$862*$W$862</f>
        <v>236.50326000000001</v>
      </c>
      <c r="AD862" s="6">
        <f>$O$862*$X$862</f>
        <v>158.97091</v>
      </c>
      <c r="AE862" s="6">
        <f>$K$862*$Y$862</f>
        <v>0</v>
      </c>
      <c r="AF862" s="6">
        <f ca="1">$M$862*$Z$862</f>
        <v>300.32796656854651</v>
      </c>
      <c r="AG862" s="6">
        <f>$O$862*$AA$862</f>
        <v>145.79680459408371</v>
      </c>
    </row>
    <row r="863" spans="1:33" ht="11.25" customHeight="1" x14ac:dyDescent="0.3">
      <c r="A863" s="4" t="s">
        <v>21</v>
      </c>
      <c r="B863" s="4" t="s">
        <v>37</v>
      </c>
      <c r="C863" s="4" t="s">
        <v>23</v>
      </c>
      <c r="D863" s="4" t="s">
        <v>50</v>
      </c>
      <c r="E863" s="4" t="s">
        <v>51</v>
      </c>
      <c r="F863" s="4" t="s">
        <v>25</v>
      </c>
      <c r="G863" s="4" t="s">
        <v>25</v>
      </c>
      <c r="H863" s="4" t="s">
        <v>25</v>
      </c>
      <c r="I863" s="5">
        <v>44501</v>
      </c>
      <c r="J863" s="6">
        <v>0</v>
      </c>
      <c r="K863" s="52">
        <v>0</v>
      </c>
      <c r="L863" s="6">
        <v>136.46199999999999</v>
      </c>
      <c r="M863" s="52">
        <v>136.46199999999999</v>
      </c>
      <c r="N863" s="6">
        <v>136.46199999999999</v>
      </c>
      <c r="O863" s="52">
        <v>136.46199999999999</v>
      </c>
      <c r="P863" s="6">
        <v>60</v>
      </c>
      <c r="Q863" s="4" t="s">
        <v>26</v>
      </c>
      <c r="R863" s="4">
        <v>0</v>
      </c>
      <c r="S863" s="6">
        <v>0</v>
      </c>
      <c r="T863" s="6">
        <v>58</v>
      </c>
      <c r="U863" s="6">
        <v>99</v>
      </c>
      <c r="V863" s="52">
        <f>IF(ISERROR(VLOOKUP($S$863,'TAR FIN'!$A$1:$O$103,15,0)),0,VLOOKUP($S$863,'TAR FIN'!$A$1:$O$103,15,0))</f>
        <v>0</v>
      </c>
      <c r="W863" s="52">
        <f>IF(ISERROR(VLOOKUP($T$863,'TAR FIN'!$A$1:$O$103,15,0)),0,VLOOKUP($T$863,'TAR FIN'!$A$1:$O$103,15,0))*(1-0.06)</f>
        <v>356.84280000000001</v>
      </c>
      <c r="X863" s="52">
        <f>IF(ISERROR(VLOOKUP($U$863,'TAR FIN'!$A$1:$O$103,15,0)),0,VLOOKUP($U$863,'TAR FIN'!$A$1:$O$103,15,0))*(1-0.06)</f>
        <v>239.85979999999998</v>
      </c>
      <c r="Y863" s="52"/>
      <c r="Z863" s="52">
        <f ca="1">('TUSD BE'!$AM$60+'TUSD BF'!$AM$60+'TUSD CVA'!$AM$60)*1*(1-0.03)</f>
        <v>467.60534120624413</v>
      </c>
      <c r="AA863" s="52">
        <f>('TE BE'!$AB$41+'TE BF'!$AB$41+'TE CVA'!$AB$41)*1*(1-0.03)</f>
        <v>227.00305049159098</v>
      </c>
      <c r="AB863" s="6">
        <f>$K$863*$V$863</f>
        <v>0</v>
      </c>
      <c r="AC863" s="6">
        <f>$M$863*$W$863</f>
        <v>48695.482173599994</v>
      </c>
      <c r="AD863" s="6">
        <f>$O$863*$X$863</f>
        <v>32731.748027599995</v>
      </c>
      <c r="AE863" s="6">
        <f>$K$863*$Y$863</f>
        <v>0</v>
      </c>
      <c r="AF863" s="6">
        <f ca="1">$M$863*$Z$863</f>
        <v>63810.360071686482</v>
      </c>
      <c r="AG863" s="6">
        <f>$O$863*$AA$863</f>
        <v>30977.290276183485</v>
      </c>
    </row>
    <row r="864" spans="1:33" ht="11.25" customHeight="1" x14ac:dyDescent="0.3">
      <c r="A864" s="4" t="s">
        <v>21</v>
      </c>
      <c r="B864" s="4" t="s">
        <v>37</v>
      </c>
      <c r="C864" s="4" t="s">
        <v>23</v>
      </c>
      <c r="D864" s="4" t="s">
        <v>50</v>
      </c>
      <c r="E864" s="4" t="s">
        <v>51</v>
      </c>
      <c r="F864" s="4" t="s">
        <v>25</v>
      </c>
      <c r="G864" s="4" t="s">
        <v>25</v>
      </c>
      <c r="H864" s="4" t="s">
        <v>25</v>
      </c>
      <c r="I864" s="5">
        <v>44531</v>
      </c>
      <c r="J864" s="6">
        <v>0</v>
      </c>
      <c r="K864" s="52">
        <v>0</v>
      </c>
      <c r="L864" s="6">
        <v>126.931</v>
      </c>
      <c r="M864" s="52">
        <v>126.931</v>
      </c>
      <c r="N864" s="6">
        <v>126.931</v>
      </c>
      <c r="O864" s="52">
        <v>126.931</v>
      </c>
      <c r="P864" s="6">
        <v>60</v>
      </c>
      <c r="Q864" s="4" t="s">
        <v>26</v>
      </c>
      <c r="R864" s="4">
        <v>0</v>
      </c>
      <c r="S864" s="6">
        <v>0</v>
      </c>
      <c r="T864" s="6">
        <v>58</v>
      </c>
      <c r="U864" s="6">
        <v>99</v>
      </c>
      <c r="V864" s="52">
        <f>IF(ISERROR(VLOOKUP($S$864,'TAR FIN'!$A$1:$O$103,15,0)),0,VLOOKUP($S$864,'TAR FIN'!$A$1:$O$103,15,0))</f>
        <v>0</v>
      </c>
      <c r="W864" s="52">
        <f>IF(ISERROR(VLOOKUP($T$864,'TAR FIN'!$A$1:$O$103,15,0)),0,VLOOKUP($T$864,'TAR FIN'!$A$1:$O$103,15,0))*(1-0.06)</f>
        <v>356.84280000000001</v>
      </c>
      <c r="X864" s="52">
        <f>IF(ISERROR(VLOOKUP($U$864,'TAR FIN'!$A$1:$O$103,15,0)),0,VLOOKUP($U$864,'TAR FIN'!$A$1:$O$103,15,0))*(1-0.06)</f>
        <v>239.85979999999998</v>
      </c>
      <c r="Y864" s="52"/>
      <c r="Z864" s="52">
        <f ca="1">('TUSD BE'!$AM$60+'TUSD BF'!$AM$60+'TUSD CVA'!$AM$60)*1*(1-0.03)</f>
        <v>467.60534120624413</v>
      </c>
      <c r="AA864" s="52">
        <f>('TE BE'!$AB$41+'TE BF'!$AB$41+'TE CVA'!$AB$41)*1*(1-0.03)</f>
        <v>227.00305049159098</v>
      </c>
      <c r="AB864" s="6">
        <f>$K$864*$V$864</f>
        <v>0</v>
      </c>
      <c r="AC864" s="6">
        <f>$M$864*$W$864</f>
        <v>45294.413446799997</v>
      </c>
      <c r="AD864" s="6">
        <f>$O$864*$X$864</f>
        <v>30445.644273799997</v>
      </c>
      <c r="AE864" s="6">
        <f>$K$864*$Y$864</f>
        <v>0</v>
      </c>
      <c r="AF864" s="6">
        <f ca="1">$M$864*$Z$864</f>
        <v>59353.613564649771</v>
      </c>
      <c r="AG864" s="6">
        <f>$O$864*$AA$864</f>
        <v>28813.724201948135</v>
      </c>
    </row>
    <row r="865" spans="1:33" ht="11.25" customHeight="1" x14ac:dyDescent="0.3">
      <c r="A865" s="4" t="s">
        <v>21</v>
      </c>
      <c r="B865" s="4" t="s">
        <v>37</v>
      </c>
      <c r="C865" s="4" t="s">
        <v>23</v>
      </c>
      <c r="D865" s="4" t="s">
        <v>50</v>
      </c>
      <c r="E865" s="4" t="s">
        <v>51</v>
      </c>
      <c r="F865" s="4" t="s">
        <v>25</v>
      </c>
      <c r="G865" s="4" t="s">
        <v>25</v>
      </c>
      <c r="H865" s="4" t="s">
        <v>25</v>
      </c>
      <c r="I865" s="5">
        <v>44562</v>
      </c>
      <c r="J865" s="6">
        <v>0</v>
      </c>
      <c r="K865" s="52">
        <v>0</v>
      </c>
      <c r="L865" s="6">
        <v>127.96</v>
      </c>
      <c r="M865" s="52">
        <v>127.96</v>
      </c>
      <c r="N865" s="6">
        <v>127.96</v>
      </c>
      <c r="O865" s="52">
        <v>127.96</v>
      </c>
      <c r="P865" s="6">
        <v>60</v>
      </c>
      <c r="Q865" s="4" t="s">
        <v>26</v>
      </c>
      <c r="R865" s="4">
        <v>0</v>
      </c>
      <c r="S865" s="6">
        <v>0</v>
      </c>
      <c r="T865" s="6">
        <v>58</v>
      </c>
      <c r="U865" s="6">
        <v>99</v>
      </c>
      <c r="V865" s="52">
        <f>IF(ISERROR(VLOOKUP($S$865,'TAR FIN'!$A$1:$O$103,15,0)),0,VLOOKUP($S$865,'TAR FIN'!$A$1:$O$103,15,0))</f>
        <v>0</v>
      </c>
      <c r="W865" s="52">
        <f>IF(ISERROR(VLOOKUP($T$865,'TAR FIN'!$A$1:$O$103,15,0)),0,VLOOKUP($T$865,'TAR FIN'!$A$1:$O$103,15,0))*(1-0.06)</f>
        <v>356.84280000000001</v>
      </c>
      <c r="X865" s="52">
        <f>IF(ISERROR(VLOOKUP($U$865,'TAR FIN'!$A$1:$O$103,15,0)),0,VLOOKUP($U$865,'TAR FIN'!$A$1:$O$103,15,0))*(1-0.06)</f>
        <v>239.85979999999998</v>
      </c>
      <c r="Y865" s="52"/>
      <c r="Z865" s="52">
        <f ca="1">('TUSD BE'!$AM$60+'TUSD BF'!$AM$60+'TUSD CVA'!$AM$60)*1*(1-0.03)</f>
        <v>467.60534120624413</v>
      </c>
      <c r="AA865" s="52">
        <f>('TE BE'!$AB$41+'TE BF'!$AB$41+'TE CVA'!$AB$41)*1*(1-0.03)</f>
        <v>227.00305049159098</v>
      </c>
      <c r="AB865" s="6">
        <f>$K$865*$V$865</f>
        <v>0</v>
      </c>
      <c r="AC865" s="6">
        <f>$M$865*$W$865</f>
        <v>45661.604687999999</v>
      </c>
      <c r="AD865" s="6">
        <f>$O$865*$X$865</f>
        <v>30692.460007999995</v>
      </c>
      <c r="AE865" s="6">
        <f>$K$865*$Y$865</f>
        <v>0</v>
      </c>
      <c r="AF865" s="6">
        <f ca="1">$M$865*$Z$865</f>
        <v>59834.779460750993</v>
      </c>
      <c r="AG865" s="6">
        <f>$O$865*$AA$865</f>
        <v>29047.31034090398</v>
      </c>
    </row>
    <row r="866" spans="1:33" ht="11.25" customHeight="1" x14ac:dyDescent="0.3">
      <c r="A866" s="4" t="s">
        <v>21</v>
      </c>
      <c r="B866" s="4" t="s">
        <v>37</v>
      </c>
      <c r="C866" s="4" t="s">
        <v>23</v>
      </c>
      <c r="D866" s="4" t="s">
        <v>50</v>
      </c>
      <c r="E866" s="4" t="s">
        <v>51</v>
      </c>
      <c r="F866" s="4" t="s">
        <v>25</v>
      </c>
      <c r="G866" s="4" t="s">
        <v>25</v>
      </c>
      <c r="H866" s="4" t="s">
        <v>25</v>
      </c>
      <c r="I866" s="5">
        <v>44593</v>
      </c>
      <c r="J866" s="6">
        <v>0</v>
      </c>
      <c r="K866" s="52">
        <v>0</v>
      </c>
      <c r="L866" s="6">
        <v>119.953</v>
      </c>
      <c r="M866" s="52">
        <v>119.953</v>
      </c>
      <c r="N866" s="6">
        <v>119.953</v>
      </c>
      <c r="O866" s="52">
        <v>119.953</v>
      </c>
      <c r="P866" s="6">
        <v>60</v>
      </c>
      <c r="Q866" s="4" t="s">
        <v>26</v>
      </c>
      <c r="R866" s="4">
        <v>0</v>
      </c>
      <c r="S866" s="6">
        <v>0</v>
      </c>
      <c r="T866" s="6">
        <v>58</v>
      </c>
      <c r="U866" s="6">
        <v>99</v>
      </c>
      <c r="V866" s="52">
        <f>IF(ISERROR(VLOOKUP($S$866,'TAR FIN'!$A$1:$O$103,15,0)),0,VLOOKUP($S$866,'TAR FIN'!$A$1:$O$103,15,0))</f>
        <v>0</v>
      </c>
      <c r="W866" s="52">
        <f>IF(ISERROR(VLOOKUP($T$866,'TAR FIN'!$A$1:$O$103,15,0)),0,VLOOKUP($T$866,'TAR FIN'!$A$1:$O$103,15,0))*(1-0.06)</f>
        <v>356.84280000000001</v>
      </c>
      <c r="X866" s="52">
        <f>IF(ISERROR(VLOOKUP($U$866,'TAR FIN'!$A$1:$O$103,15,0)),0,VLOOKUP($U$866,'TAR FIN'!$A$1:$O$103,15,0))*(1-0.06)</f>
        <v>239.85979999999998</v>
      </c>
      <c r="Y866" s="52"/>
      <c r="Z866" s="52">
        <f ca="1">('TUSD BE'!$AM$60+'TUSD BF'!$AM$60+'TUSD CVA'!$AM$60)*1*(1-0.03)</f>
        <v>467.60534120624413</v>
      </c>
      <c r="AA866" s="52">
        <f>('TE BE'!$AB$41+'TE BF'!$AB$41+'TE CVA'!$AB$41)*1*(1-0.03)</f>
        <v>227.00305049159098</v>
      </c>
      <c r="AB866" s="6">
        <f>$K$866*$V$866</f>
        <v>0</v>
      </c>
      <c r="AC866" s="6">
        <f>$M$866*$W$866</f>
        <v>42804.364388400005</v>
      </c>
      <c r="AD866" s="6">
        <f>$O$866*$X$866</f>
        <v>28771.902589399997</v>
      </c>
      <c r="AE866" s="6">
        <f>$K$866*$Y$866</f>
        <v>0</v>
      </c>
      <c r="AF866" s="6">
        <f ca="1">$M$866*$Z$866</f>
        <v>56090.663493712607</v>
      </c>
      <c r="AG866" s="6">
        <f>$O$866*$AA$866</f>
        <v>27229.696915617813</v>
      </c>
    </row>
    <row r="867" spans="1:33" ht="11.25" customHeight="1" x14ac:dyDescent="0.3">
      <c r="A867" s="4" t="s">
        <v>21</v>
      </c>
      <c r="B867" s="4" t="s">
        <v>37</v>
      </c>
      <c r="C867" s="4" t="s">
        <v>23</v>
      </c>
      <c r="D867" s="4" t="s">
        <v>50</v>
      </c>
      <c r="E867" s="4" t="s">
        <v>51</v>
      </c>
      <c r="F867" s="4" t="s">
        <v>25</v>
      </c>
      <c r="G867" s="4" t="s">
        <v>25</v>
      </c>
      <c r="H867" s="4" t="s">
        <v>25</v>
      </c>
      <c r="I867" s="5">
        <v>44621</v>
      </c>
      <c r="J867" s="6">
        <v>0</v>
      </c>
      <c r="K867" s="52">
        <v>0</v>
      </c>
      <c r="L867" s="6">
        <v>113.24</v>
      </c>
      <c r="M867" s="52">
        <v>113.24</v>
      </c>
      <c r="N867" s="6">
        <v>113.24</v>
      </c>
      <c r="O867" s="52">
        <v>113.24</v>
      </c>
      <c r="P867" s="6">
        <v>60</v>
      </c>
      <c r="Q867" s="4" t="s">
        <v>26</v>
      </c>
      <c r="R867" s="4">
        <v>0</v>
      </c>
      <c r="S867" s="6">
        <v>0</v>
      </c>
      <c r="T867" s="6">
        <v>58</v>
      </c>
      <c r="U867" s="6">
        <v>99</v>
      </c>
      <c r="V867" s="52">
        <f>IF(ISERROR(VLOOKUP($S$867,'TAR FIN'!$A$1:$O$103,15,0)),0,VLOOKUP($S$867,'TAR FIN'!$A$1:$O$103,15,0))</f>
        <v>0</v>
      </c>
      <c r="W867" s="52">
        <f>IF(ISERROR(VLOOKUP($T$867,'TAR FIN'!$A$1:$O$103,15,0)),0,VLOOKUP($T$867,'TAR FIN'!$A$1:$O$103,15,0))*(1-0.06)</f>
        <v>356.84280000000001</v>
      </c>
      <c r="X867" s="52">
        <f>IF(ISERROR(VLOOKUP($U$867,'TAR FIN'!$A$1:$O$103,15,0)),0,VLOOKUP($U$867,'TAR FIN'!$A$1:$O$103,15,0))*(1-0.06)</f>
        <v>239.85979999999998</v>
      </c>
      <c r="Y867" s="52"/>
      <c r="Z867" s="52">
        <f ca="1">('TUSD BE'!$AM$60+'TUSD BF'!$AM$60+'TUSD CVA'!$AM$60)*1*(1-0.03)</f>
        <v>467.60534120624413</v>
      </c>
      <c r="AA867" s="52">
        <f>('TE BE'!$AB$41+'TE BF'!$AB$41+'TE CVA'!$AB$41)*1*(1-0.03)</f>
        <v>227.00305049159098</v>
      </c>
      <c r="AB867" s="6">
        <f>$K$867*$V$867</f>
        <v>0</v>
      </c>
      <c r="AC867" s="6">
        <f>$M$867*$W$867</f>
        <v>40408.878671999999</v>
      </c>
      <c r="AD867" s="6">
        <f>$O$867*$X$867</f>
        <v>27161.723751999998</v>
      </c>
      <c r="AE867" s="6">
        <f>$K$867*$Y$867</f>
        <v>0</v>
      </c>
      <c r="AF867" s="6">
        <f ca="1">$M$867*$Z$867</f>
        <v>52951.62883819508</v>
      </c>
      <c r="AG867" s="6">
        <f>$O$867*$AA$867</f>
        <v>25705.825437667761</v>
      </c>
    </row>
    <row r="868" spans="1:33" ht="11.25" customHeight="1" x14ac:dyDescent="0.3">
      <c r="A868" s="4" t="s">
        <v>21</v>
      </c>
      <c r="B868" s="4" t="s">
        <v>37</v>
      </c>
      <c r="C868" s="4" t="s">
        <v>23</v>
      </c>
      <c r="D868" s="4" t="s">
        <v>50</v>
      </c>
      <c r="E868" s="4" t="s">
        <v>51</v>
      </c>
      <c r="F868" s="4" t="s">
        <v>25</v>
      </c>
      <c r="G868" s="4" t="s">
        <v>25</v>
      </c>
      <c r="H868" s="4" t="s">
        <v>25</v>
      </c>
      <c r="I868" s="5">
        <v>44652</v>
      </c>
      <c r="J868" s="6">
        <v>0</v>
      </c>
      <c r="K868" s="52">
        <v>0</v>
      </c>
      <c r="L868" s="6">
        <v>128.71899999999999</v>
      </c>
      <c r="M868" s="52">
        <v>128.71899999999999</v>
      </c>
      <c r="N868" s="6">
        <v>128.71899999999999</v>
      </c>
      <c r="O868" s="52">
        <v>128.71899999999999</v>
      </c>
      <c r="P868" s="6">
        <v>60</v>
      </c>
      <c r="Q868" s="4" t="s">
        <v>26</v>
      </c>
      <c r="R868" s="4">
        <v>0</v>
      </c>
      <c r="S868" s="6">
        <v>0</v>
      </c>
      <c r="T868" s="6">
        <v>58</v>
      </c>
      <c r="U868" s="6">
        <v>99</v>
      </c>
      <c r="V868" s="52">
        <f>IF(ISERROR(VLOOKUP($S$868,'TAR FIN'!$A$1:$O$103,15,0)),0,VLOOKUP($S$868,'TAR FIN'!$A$1:$O$103,15,0))</f>
        <v>0</v>
      </c>
      <c r="W868" s="52">
        <f>IF(ISERROR(VLOOKUP($T$868,'TAR FIN'!$A$1:$O$103,15,0)),0,VLOOKUP($T$868,'TAR FIN'!$A$1:$O$103,15,0))*(1-0.06)</f>
        <v>356.84280000000001</v>
      </c>
      <c r="X868" s="52">
        <f>IF(ISERROR(VLOOKUP($U$868,'TAR FIN'!$A$1:$O$103,15,0)),0,VLOOKUP($U$868,'TAR FIN'!$A$1:$O$103,15,0))*(1-0.06)</f>
        <v>239.85979999999998</v>
      </c>
      <c r="Y868" s="52"/>
      <c r="Z868" s="52">
        <f ca="1">('TUSD BE'!$AM$60+'TUSD BF'!$AM$60+'TUSD CVA'!$AM$60)*1*(1-0.03)</f>
        <v>467.60534120624413</v>
      </c>
      <c r="AA868" s="52">
        <f>('TE BE'!$AB$41+'TE BF'!$AB$41+'TE CVA'!$AB$41)*1*(1-0.03)</f>
        <v>227.00305049159098</v>
      </c>
      <c r="AB868" s="6">
        <f>$K$868*$V$868</f>
        <v>0</v>
      </c>
      <c r="AC868" s="6">
        <f>$M$868*$W$868</f>
        <v>45932.448373200001</v>
      </c>
      <c r="AD868" s="6">
        <f>$O$868*$X$868</f>
        <v>30874.513596199995</v>
      </c>
      <c r="AE868" s="6">
        <f>$K$868*$Y$868</f>
        <v>0</v>
      </c>
      <c r="AF868" s="6">
        <f ca="1">$M$868*$Z$868</f>
        <v>60189.691914726536</v>
      </c>
      <c r="AG868" s="6">
        <f>$O$868*$AA$868</f>
        <v>29219.605656227097</v>
      </c>
    </row>
    <row r="869" spans="1:33" ht="11.25" customHeight="1" x14ac:dyDescent="0.3">
      <c r="A869" s="4" t="s">
        <v>21</v>
      </c>
      <c r="B869" s="4" t="s">
        <v>37</v>
      </c>
      <c r="C869" s="4" t="s">
        <v>23</v>
      </c>
      <c r="D869" s="4" t="s">
        <v>50</v>
      </c>
      <c r="E869" s="4" t="s">
        <v>51</v>
      </c>
      <c r="F869" s="4" t="s">
        <v>25</v>
      </c>
      <c r="G869" s="4" t="s">
        <v>25</v>
      </c>
      <c r="H869" s="4" t="s">
        <v>25</v>
      </c>
      <c r="I869" s="5">
        <v>44682</v>
      </c>
      <c r="J869" s="6">
        <v>0</v>
      </c>
      <c r="K869" s="52">
        <v>0</v>
      </c>
      <c r="L869" s="6">
        <v>136.97</v>
      </c>
      <c r="M869" s="52">
        <v>136.97</v>
      </c>
      <c r="N869" s="6">
        <v>136.97</v>
      </c>
      <c r="O869" s="52">
        <v>136.97</v>
      </c>
      <c r="P869" s="6">
        <v>60</v>
      </c>
      <c r="Q869" s="4" t="s">
        <v>26</v>
      </c>
      <c r="R869" s="4">
        <v>0</v>
      </c>
      <c r="S869" s="6">
        <v>0</v>
      </c>
      <c r="T869" s="6">
        <v>58</v>
      </c>
      <c r="U869" s="6">
        <v>99</v>
      </c>
      <c r="V869" s="52">
        <f>IF(ISERROR(VLOOKUP($S$869,'TAR FIN'!$A$1:$O$103,15,0)),0,VLOOKUP($S$869,'TAR FIN'!$A$1:$O$103,15,0))</f>
        <v>0</v>
      </c>
      <c r="W869" s="52">
        <f>IF(ISERROR(VLOOKUP($T$869,'TAR FIN'!$A$1:$O$103,15,0)),0,VLOOKUP($T$869,'TAR FIN'!$A$1:$O$103,15,0))*(1-0.06)</f>
        <v>356.84280000000001</v>
      </c>
      <c r="X869" s="52">
        <f>IF(ISERROR(VLOOKUP($U$869,'TAR FIN'!$A$1:$O$103,15,0)),0,VLOOKUP($U$869,'TAR FIN'!$A$1:$O$103,15,0))*(1-0.06)</f>
        <v>239.85979999999998</v>
      </c>
      <c r="Y869" s="52"/>
      <c r="Z869" s="52">
        <f ca="1">('TUSD BE'!$AM$60+'TUSD BF'!$AM$60+'TUSD CVA'!$AM$60)*1*(1-0.03)</f>
        <v>467.60534120624413</v>
      </c>
      <c r="AA869" s="52">
        <f>('TE BE'!$AB$41+'TE BF'!$AB$41+'TE CVA'!$AB$41)*1*(1-0.03)</f>
        <v>227.00305049159098</v>
      </c>
      <c r="AB869" s="6">
        <f>$K$869*$V$869</f>
        <v>0</v>
      </c>
      <c r="AC869" s="6">
        <f>$M$869*$W$869</f>
        <v>48876.758315999999</v>
      </c>
      <c r="AD869" s="6">
        <f>$O$869*$X$869</f>
        <v>32853.596805999994</v>
      </c>
      <c r="AE869" s="6">
        <f>$K$869*$Y$869</f>
        <v>0</v>
      </c>
      <c r="AF869" s="6">
        <f ca="1">$M$869*$Z$869</f>
        <v>64047.903585019259</v>
      </c>
      <c r="AG869" s="6">
        <f>$O$869*$AA$869</f>
        <v>31092.607825833216</v>
      </c>
    </row>
    <row r="870" spans="1:33" ht="11.25" customHeight="1" x14ac:dyDescent="0.3">
      <c r="A870" s="4" t="s">
        <v>21</v>
      </c>
      <c r="B870" s="4" t="s">
        <v>37</v>
      </c>
      <c r="C870" s="4" t="s">
        <v>23</v>
      </c>
      <c r="D870" s="4" t="s">
        <v>50</v>
      </c>
      <c r="E870" s="4" t="s">
        <v>51</v>
      </c>
      <c r="F870" s="4" t="s">
        <v>25</v>
      </c>
      <c r="G870" s="4" t="s">
        <v>25</v>
      </c>
      <c r="H870" s="4" t="s">
        <v>25</v>
      </c>
      <c r="I870" s="5">
        <v>44713</v>
      </c>
      <c r="J870" s="6">
        <v>0</v>
      </c>
      <c r="K870" s="52">
        <v>0</v>
      </c>
      <c r="L870" s="6">
        <v>121.28700000000001</v>
      </c>
      <c r="M870" s="52">
        <v>121.28700000000001</v>
      </c>
      <c r="N870" s="6">
        <v>121.28700000000001</v>
      </c>
      <c r="O870" s="52">
        <v>121.28700000000001</v>
      </c>
      <c r="P870" s="6">
        <v>60</v>
      </c>
      <c r="Q870" s="4" t="s">
        <v>26</v>
      </c>
      <c r="R870" s="4">
        <v>0</v>
      </c>
      <c r="S870" s="6">
        <v>0</v>
      </c>
      <c r="T870" s="6">
        <v>58</v>
      </c>
      <c r="U870" s="6">
        <v>99</v>
      </c>
      <c r="V870" s="52">
        <f>IF(ISERROR(VLOOKUP($S$870,'TAR FIN'!$A$1:$O$103,15,0)),0,VLOOKUP($S$870,'TAR FIN'!$A$1:$O$103,15,0))</f>
        <v>0</v>
      </c>
      <c r="W870" s="52">
        <f>IF(ISERROR(VLOOKUP($T$870,'TAR FIN'!$A$1:$O$103,15,0)),0,VLOOKUP($T$870,'TAR FIN'!$A$1:$O$103,15,0))*(1-0.06)</f>
        <v>356.84280000000001</v>
      </c>
      <c r="X870" s="52">
        <f>IF(ISERROR(VLOOKUP($U$870,'TAR FIN'!$A$1:$O$103,15,0)),0,VLOOKUP($U$870,'TAR FIN'!$A$1:$O$103,15,0))*(1-0.06)</f>
        <v>239.85979999999998</v>
      </c>
      <c r="Y870" s="52"/>
      <c r="Z870" s="52">
        <f ca="1">('TUSD BE'!$AM$60+'TUSD BF'!$AM$60+'TUSD CVA'!$AM$60)*1*(1-0.03)</f>
        <v>467.60534120624413</v>
      </c>
      <c r="AA870" s="52">
        <f>('TE BE'!$AB$41+'TE BF'!$AB$41+'TE CVA'!$AB$41)*1*(1-0.03)</f>
        <v>227.00305049159098</v>
      </c>
      <c r="AB870" s="6">
        <f>$K$870*$V$870</f>
        <v>0</v>
      </c>
      <c r="AC870" s="6">
        <f>$M$870*$W$870</f>
        <v>43280.392683600003</v>
      </c>
      <c r="AD870" s="6">
        <f>$O$870*$X$870</f>
        <v>29091.875562599998</v>
      </c>
      <c r="AE870" s="6">
        <f>$K$870*$Y$870</f>
        <v>0</v>
      </c>
      <c r="AF870" s="6">
        <f ca="1">$M$870*$Z$870</f>
        <v>56714.449018881736</v>
      </c>
      <c r="AG870" s="6">
        <f>$O$870*$AA$870</f>
        <v>27532.518984973598</v>
      </c>
    </row>
    <row r="871" spans="1:33" ht="11.25" customHeight="1" x14ac:dyDescent="0.3">
      <c r="A871" s="4" t="s">
        <v>21</v>
      </c>
      <c r="B871" s="4" t="s">
        <v>37</v>
      </c>
      <c r="C871" s="4" t="s">
        <v>23</v>
      </c>
      <c r="D871" s="4" t="s">
        <v>50</v>
      </c>
      <c r="E871" s="4" t="s">
        <v>51</v>
      </c>
      <c r="F871" s="4" t="s">
        <v>25</v>
      </c>
      <c r="G871" s="4" t="s">
        <v>25</v>
      </c>
      <c r="H871" s="4" t="s">
        <v>25</v>
      </c>
      <c r="I871" s="5">
        <v>44743</v>
      </c>
      <c r="J871" s="6">
        <v>0</v>
      </c>
      <c r="K871" s="52">
        <v>0</v>
      </c>
      <c r="L871" s="6">
        <v>134.69</v>
      </c>
      <c r="M871" s="52">
        <v>134.69</v>
      </c>
      <c r="N871" s="6">
        <v>134.69</v>
      </c>
      <c r="O871" s="52">
        <v>134.69</v>
      </c>
      <c r="P871" s="6">
        <v>60</v>
      </c>
      <c r="Q871" s="4" t="s">
        <v>26</v>
      </c>
      <c r="R871" s="4">
        <v>0</v>
      </c>
      <c r="S871" s="6">
        <v>0</v>
      </c>
      <c r="T871" s="6">
        <v>58</v>
      </c>
      <c r="U871" s="6">
        <v>99</v>
      </c>
      <c r="V871" s="52">
        <f>IF(ISERROR(VLOOKUP($S$871,'TAR FIN'!$A$1:$O$103,15,0)),0,VLOOKUP($S$871,'TAR FIN'!$A$1:$O$103,15,0))</f>
        <v>0</v>
      </c>
      <c r="W871" s="52">
        <f>IF(ISERROR(VLOOKUP($T$871,'TAR FIN'!$A$1:$O$103,15,0)),0,VLOOKUP($T$871,'TAR FIN'!$A$1:$O$103,15,0))*(1-0.06)</f>
        <v>356.84280000000001</v>
      </c>
      <c r="X871" s="52">
        <f>IF(ISERROR(VLOOKUP($U$871,'TAR FIN'!$A$1:$O$103,15,0)),0,VLOOKUP($U$871,'TAR FIN'!$A$1:$O$103,15,0))*(1-0.06)</f>
        <v>239.85979999999998</v>
      </c>
      <c r="Y871" s="52"/>
      <c r="Z871" s="52">
        <f ca="1">('TUSD BE'!$AM$60+'TUSD BF'!$AM$60+'TUSD CVA'!$AM$60)*1*(1-0.03)</f>
        <v>467.60534120624413</v>
      </c>
      <c r="AA871" s="52">
        <f>('TE BE'!$AB$41+'TE BF'!$AB$41+'TE CVA'!$AB$41)*1*(1-0.03)</f>
        <v>227.00305049159098</v>
      </c>
      <c r="AB871" s="6">
        <f>$K$871*$V$871</f>
        <v>0</v>
      </c>
      <c r="AC871" s="6">
        <f>$M$871*$W$871</f>
        <v>48063.156732000003</v>
      </c>
      <c r="AD871" s="6">
        <f>$O$871*$X$871</f>
        <v>32306.716461999997</v>
      </c>
      <c r="AE871" s="6">
        <f>$K$871*$Y$871</f>
        <v>0</v>
      </c>
      <c r="AF871" s="6">
        <f ca="1">$M$871*$Z$871</f>
        <v>62981.763407069018</v>
      </c>
      <c r="AG871" s="6">
        <f>$O$871*$AA$871</f>
        <v>30575.04087071239</v>
      </c>
    </row>
    <row r="872" spans="1:33" ht="11.25" customHeight="1" x14ac:dyDescent="0.3">
      <c r="A872" s="4" t="s">
        <v>21</v>
      </c>
      <c r="B872" s="4" t="s">
        <v>37</v>
      </c>
      <c r="C872" s="4" t="s">
        <v>23</v>
      </c>
      <c r="D872" s="4" t="s">
        <v>50</v>
      </c>
      <c r="E872" s="4" t="s">
        <v>51</v>
      </c>
      <c r="F872" s="4" t="s">
        <v>25</v>
      </c>
      <c r="G872" s="4" t="s">
        <v>25</v>
      </c>
      <c r="H872" s="4" t="s">
        <v>25</v>
      </c>
      <c r="I872" s="5">
        <v>44774</v>
      </c>
      <c r="J872" s="6">
        <v>0</v>
      </c>
      <c r="K872" s="52">
        <v>0</v>
      </c>
      <c r="L872" s="6">
        <v>135.35599999999999</v>
      </c>
      <c r="M872" s="52">
        <v>135.35599999999999</v>
      </c>
      <c r="N872" s="6">
        <v>135.35599999999999</v>
      </c>
      <c r="O872" s="52">
        <v>135.35599999999999</v>
      </c>
      <c r="P872" s="6">
        <v>60</v>
      </c>
      <c r="Q872" s="4" t="s">
        <v>26</v>
      </c>
      <c r="R872" s="4">
        <v>0</v>
      </c>
      <c r="S872" s="6">
        <v>0</v>
      </c>
      <c r="T872" s="6">
        <v>58</v>
      </c>
      <c r="U872" s="6">
        <v>99</v>
      </c>
      <c r="V872" s="52">
        <f>IF(ISERROR(VLOOKUP($S$872,'TAR FIN'!$A$1:$O$103,15,0)),0,VLOOKUP($S$872,'TAR FIN'!$A$1:$O$103,15,0))</f>
        <v>0</v>
      </c>
      <c r="W872" s="52">
        <f>IF(ISERROR(VLOOKUP($T$872,'TAR FIN'!$A$1:$O$103,15,0)),0,VLOOKUP($T$872,'TAR FIN'!$A$1:$O$103,15,0))*(1-0.06)</f>
        <v>356.84280000000001</v>
      </c>
      <c r="X872" s="52">
        <f>IF(ISERROR(VLOOKUP($U$872,'TAR FIN'!$A$1:$O$103,15,0)),0,VLOOKUP($U$872,'TAR FIN'!$A$1:$O$103,15,0))*(1-0.06)</f>
        <v>239.85979999999998</v>
      </c>
      <c r="Y872" s="52"/>
      <c r="Z872" s="52">
        <f ca="1">('TUSD BE'!$AM$60+'TUSD BF'!$AM$60+'TUSD CVA'!$AM$60)*1*(1-0.03)</f>
        <v>467.60534120624413</v>
      </c>
      <c r="AA872" s="52">
        <f>('TE BE'!$AB$41+'TE BF'!$AB$41+'TE CVA'!$AB$41)*1*(1-0.03)</f>
        <v>227.00305049159098</v>
      </c>
      <c r="AB872" s="6">
        <f>$K$872*$V$872</f>
        <v>0</v>
      </c>
      <c r="AC872" s="6">
        <f>$M$872*$W$872</f>
        <v>48300.814036800002</v>
      </c>
      <c r="AD872" s="6">
        <f>$O$872*$X$872</f>
        <v>32466.463088799996</v>
      </c>
      <c r="AE872" s="6">
        <f>$K$872*$Y$872</f>
        <v>0</v>
      </c>
      <c r="AF872" s="6">
        <f ca="1">$M$872*$Z$872</f>
        <v>63293.188564312375</v>
      </c>
      <c r="AG872" s="6">
        <f>$O$872*$AA$872</f>
        <v>30726.224902339789</v>
      </c>
    </row>
    <row r="873" spans="1:33" ht="11.25" customHeight="1" x14ac:dyDescent="0.3">
      <c r="A873" s="4" t="s">
        <v>21</v>
      </c>
      <c r="B873" s="4" t="s">
        <v>37</v>
      </c>
      <c r="C873" s="4" t="s">
        <v>23</v>
      </c>
      <c r="D873" s="4" t="s">
        <v>50</v>
      </c>
      <c r="E873" s="4" t="s">
        <v>51</v>
      </c>
      <c r="F873" s="4" t="s">
        <v>25</v>
      </c>
      <c r="G873" s="4" t="s">
        <v>25</v>
      </c>
      <c r="H873" s="4" t="s">
        <v>25</v>
      </c>
      <c r="I873" s="5">
        <v>44805</v>
      </c>
      <c r="J873" s="6">
        <v>0</v>
      </c>
      <c r="K873" s="52">
        <v>0</v>
      </c>
      <c r="L873" s="6">
        <v>140.65799999999999</v>
      </c>
      <c r="M873" s="52">
        <v>140.65799999999999</v>
      </c>
      <c r="N873" s="6">
        <v>140.65799999999999</v>
      </c>
      <c r="O873" s="52">
        <v>140.65799999999999</v>
      </c>
      <c r="P873" s="6">
        <v>60</v>
      </c>
      <c r="Q873" s="4" t="s">
        <v>26</v>
      </c>
      <c r="R873" s="4">
        <v>0</v>
      </c>
      <c r="S873" s="6">
        <v>0</v>
      </c>
      <c r="T873" s="6">
        <v>58</v>
      </c>
      <c r="U873" s="6">
        <v>99</v>
      </c>
      <c r="V873" s="52">
        <f>IF(ISERROR(VLOOKUP($S$873,'TAR FIN'!$A$1:$O$103,15,0)),0,VLOOKUP($S$873,'TAR FIN'!$A$1:$O$103,15,0))</f>
        <v>0</v>
      </c>
      <c r="W873" s="52">
        <f>IF(ISERROR(VLOOKUP($T$873,'TAR FIN'!$A$1:$O$103,15,0)),0,VLOOKUP($T$873,'TAR FIN'!$A$1:$O$103,15,0))*(1-0.06)</f>
        <v>356.84280000000001</v>
      </c>
      <c r="X873" s="52">
        <f>IF(ISERROR(VLOOKUP($U$873,'TAR FIN'!$A$1:$O$103,15,0)),0,VLOOKUP($U$873,'TAR FIN'!$A$1:$O$103,15,0))*(1-0.06)</f>
        <v>239.85979999999998</v>
      </c>
      <c r="Y873" s="52"/>
      <c r="Z873" s="52">
        <f ca="1">('TUSD BE'!$AM$60+'TUSD BF'!$AM$60+'TUSD CVA'!$AM$60)*1*(1-0.03)</f>
        <v>467.60534120624413</v>
      </c>
      <c r="AA873" s="52">
        <f>('TE BE'!$AB$41+'TE BF'!$AB$41+'TE CVA'!$AB$41)*1*(1-0.03)</f>
        <v>227.00305049159098</v>
      </c>
      <c r="AB873" s="6">
        <f>$K$873*$V$873</f>
        <v>0</v>
      </c>
      <c r="AC873" s="6">
        <f>$M$873*$W$873</f>
        <v>50192.794562399999</v>
      </c>
      <c r="AD873" s="6">
        <f>$O$873*$X$873</f>
        <v>33738.199748399995</v>
      </c>
      <c r="AE873" s="6">
        <f>$K$873*$Y$873</f>
        <v>0</v>
      </c>
      <c r="AF873" s="6">
        <f ca="1">$M$873*$Z$873</f>
        <v>65772.432083387888</v>
      </c>
      <c r="AG873" s="6">
        <f>$O$873*$AA$873</f>
        <v>31929.795076046201</v>
      </c>
    </row>
    <row r="874" spans="1:33" ht="11.25" customHeight="1" x14ac:dyDescent="0.3">
      <c r="A874" s="4" t="s">
        <v>57</v>
      </c>
      <c r="B874" s="4" t="s">
        <v>37</v>
      </c>
      <c r="C874" s="4" t="s">
        <v>23</v>
      </c>
      <c r="D874" s="4" t="s">
        <v>50</v>
      </c>
      <c r="E874" s="4" t="s">
        <v>51</v>
      </c>
      <c r="F874" s="4" t="s">
        <v>25</v>
      </c>
      <c r="G874" s="4" t="s">
        <v>25</v>
      </c>
      <c r="H874" s="4" t="s">
        <v>25</v>
      </c>
      <c r="I874" s="5">
        <v>44835</v>
      </c>
      <c r="J874" s="6">
        <v>0</v>
      </c>
      <c r="K874" s="52">
        <v>0</v>
      </c>
      <c r="L874" s="6">
        <v>140.65799999999999</v>
      </c>
      <c r="M874" s="52">
        <v>140.65799999999999</v>
      </c>
      <c r="N874" s="6">
        <v>140.65799999999999</v>
      </c>
      <c r="O874" s="52">
        <v>140.65799999999999</v>
      </c>
      <c r="P874" s="6">
        <v>60</v>
      </c>
      <c r="Q874" s="4" t="s">
        <v>26</v>
      </c>
      <c r="R874" s="4">
        <v>0</v>
      </c>
      <c r="S874" s="6">
        <v>0</v>
      </c>
      <c r="T874" s="6">
        <v>58</v>
      </c>
      <c r="U874" s="6">
        <v>99</v>
      </c>
      <c r="V874" s="52">
        <f>IF(ISERROR(VLOOKUP($S$874,'TAR FIN'!$A$1:$O$103,15,0)),0,VLOOKUP($S$874,'TAR FIN'!$A$1:$O$103,15,0))</f>
        <v>0</v>
      </c>
      <c r="W874" s="52">
        <f>IF(ISERROR(VLOOKUP($T$874,'TAR FIN'!$A$1:$O$103,15,0)),0,VLOOKUP($T$874,'TAR FIN'!$A$1:$O$103,15,0))*(1-0.06)</f>
        <v>356.84280000000001</v>
      </c>
      <c r="X874" s="52">
        <f>IF(ISERROR(VLOOKUP($U$874,'TAR FIN'!$A$1:$O$103,15,0)),0,VLOOKUP($U$874,'TAR FIN'!$A$1:$O$103,15,0))*(1-0.06)</f>
        <v>239.85979999999998</v>
      </c>
      <c r="Y874" s="52"/>
      <c r="Z874" s="52">
        <f ca="1">('TUSD BE'!$AM$60+'TUSD BF'!$AM$60+'TUSD CVA'!$AM$60)*1*(1-0.03)</f>
        <v>467.60534120624413</v>
      </c>
      <c r="AA874" s="52">
        <f>('TE BE'!$AB$41+'TE BF'!$AB$41+'TE CVA'!$AB$41)*1*(1-0.03)</f>
        <v>227.00305049159098</v>
      </c>
      <c r="AB874" s="6">
        <f>$K$874*$V$874</f>
        <v>0</v>
      </c>
      <c r="AC874" s="6">
        <f>$M$874*$W$874</f>
        <v>50192.794562399999</v>
      </c>
      <c r="AD874" s="6">
        <f>$O$874*$X$874</f>
        <v>33738.199748399995</v>
      </c>
      <c r="AE874" s="6">
        <f>$K$874*$Y$874</f>
        <v>0</v>
      </c>
      <c r="AF874" s="6">
        <f ca="1">$M$874*$Z$874</f>
        <v>65772.432083387888</v>
      </c>
      <c r="AG874" s="6">
        <f>$O$874*$AA$874</f>
        <v>31929.795076046201</v>
      </c>
    </row>
    <row r="875" spans="1:33" ht="11.25" customHeight="1" x14ac:dyDescent="0.3">
      <c r="A875" s="4" t="s">
        <v>21</v>
      </c>
      <c r="B875" s="4" t="s">
        <v>47</v>
      </c>
      <c r="C875" s="4" t="s">
        <v>23</v>
      </c>
      <c r="D875" s="4" t="s">
        <v>48</v>
      </c>
      <c r="E875" s="4" t="s">
        <v>49</v>
      </c>
      <c r="F875" s="4" t="s">
        <v>25</v>
      </c>
      <c r="G875" s="4" t="s">
        <v>25</v>
      </c>
      <c r="H875" s="4" t="s">
        <v>25</v>
      </c>
      <c r="I875" s="5">
        <v>44501</v>
      </c>
      <c r="J875" s="6">
        <v>0</v>
      </c>
      <c r="K875" s="6">
        <v>0</v>
      </c>
      <c r="L875" s="6">
        <v>388.404</v>
      </c>
      <c r="M875" s="6">
        <v>388.404</v>
      </c>
      <c r="N875" s="6">
        <v>388.404</v>
      </c>
      <c r="O875" s="6">
        <v>388.404</v>
      </c>
      <c r="P875" s="6">
        <v>10</v>
      </c>
      <c r="Q875" s="4" t="s">
        <v>26</v>
      </c>
      <c r="R875" s="4">
        <v>0</v>
      </c>
      <c r="S875" s="6">
        <v>0</v>
      </c>
      <c r="T875" s="6">
        <v>60</v>
      </c>
      <c r="U875" s="6">
        <v>101</v>
      </c>
      <c r="V875" s="6">
        <f>IF(ISERROR(VLOOKUP($S$875,'TAR FIN'!$A$1:$O$103,15,0)),0,VLOOKUP($S$875,'TAR FIN'!$A$1:$O$103,15,0))</f>
        <v>0</v>
      </c>
      <c r="W875" s="6">
        <f>IF(ISERROR(VLOOKUP($T$875,'TAR FIN'!$A$1:$O$103,15,0)),0,VLOOKUP($T$875,'TAR FIN'!$A$1:$O$103,15,0))</f>
        <v>208.79</v>
      </c>
      <c r="X875" s="6">
        <f>IF(ISERROR(VLOOKUP($U$875,'TAR FIN'!$A$1:$O$103,15,0)),0,VLOOKUP($U$875,'TAR FIN'!$A$1:$O$103,15,0))</f>
        <v>140.34</v>
      </c>
      <c r="Y875" s="6"/>
      <c r="Z875" s="6">
        <f ca="1">('TUSD BE'!$AM$62+'TUSD BF'!$AM$62+'TUSD CVA'!$AM$62)*1</f>
        <v>265.13704913756112</v>
      </c>
      <c r="AA875" s="6">
        <f>('TE BE'!$AB$43+'TE BF'!$AB$43+'TE CVA'!$AB$43)*1</f>
        <v>128.71306986636603</v>
      </c>
      <c r="AB875" s="6">
        <f>$K$875*$V$875</f>
        <v>0</v>
      </c>
      <c r="AC875" s="6">
        <f>$M$875*$W$875</f>
        <v>81094.871159999995</v>
      </c>
      <c r="AD875" s="6">
        <f>$O$875*$X$875</f>
        <v>54508.617360000004</v>
      </c>
      <c r="AE875" s="6">
        <f>$K$875*$Y$875</f>
        <v>0</v>
      </c>
      <c r="AF875" s="6">
        <f ca="1">$M$875*$Z$875</f>
        <v>102980.29043322529</v>
      </c>
      <c r="AG875" s="6">
        <f>$O$875*$AA$875</f>
        <v>49992.671188376029</v>
      </c>
    </row>
    <row r="876" spans="1:33" ht="11.25" customHeight="1" x14ac:dyDescent="0.3">
      <c r="A876" s="4" t="s">
        <v>21</v>
      </c>
      <c r="B876" s="4" t="s">
        <v>47</v>
      </c>
      <c r="C876" s="4" t="s">
        <v>23</v>
      </c>
      <c r="D876" s="4" t="s">
        <v>48</v>
      </c>
      <c r="E876" s="4" t="s">
        <v>49</v>
      </c>
      <c r="F876" s="4" t="s">
        <v>25</v>
      </c>
      <c r="G876" s="4" t="s">
        <v>25</v>
      </c>
      <c r="H876" s="4" t="s">
        <v>25</v>
      </c>
      <c r="I876" s="5">
        <v>44531</v>
      </c>
      <c r="J876" s="6">
        <v>0</v>
      </c>
      <c r="K876" s="6">
        <v>0</v>
      </c>
      <c r="L876" s="6">
        <v>392.16199999999998</v>
      </c>
      <c r="M876" s="6">
        <v>392.16199999999998</v>
      </c>
      <c r="N876" s="6">
        <v>392.16199999999998</v>
      </c>
      <c r="O876" s="6">
        <v>392.16199999999998</v>
      </c>
      <c r="P876" s="6">
        <v>10</v>
      </c>
      <c r="Q876" s="4" t="s">
        <v>26</v>
      </c>
      <c r="R876" s="4">
        <v>0</v>
      </c>
      <c r="S876" s="6">
        <v>0</v>
      </c>
      <c r="T876" s="6">
        <v>60</v>
      </c>
      <c r="U876" s="6">
        <v>101</v>
      </c>
      <c r="V876" s="6">
        <f>IF(ISERROR(VLOOKUP($S$876,'TAR FIN'!$A$1:$O$103,15,0)),0,VLOOKUP($S$876,'TAR FIN'!$A$1:$O$103,15,0))</f>
        <v>0</v>
      </c>
      <c r="W876" s="6">
        <f>IF(ISERROR(VLOOKUP($T$876,'TAR FIN'!$A$1:$O$103,15,0)),0,VLOOKUP($T$876,'TAR FIN'!$A$1:$O$103,15,0))</f>
        <v>208.79</v>
      </c>
      <c r="X876" s="6">
        <f>IF(ISERROR(VLOOKUP($U$876,'TAR FIN'!$A$1:$O$103,15,0)),0,VLOOKUP($U$876,'TAR FIN'!$A$1:$O$103,15,0))</f>
        <v>140.34</v>
      </c>
      <c r="Y876" s="6"/>
      <c r="Z876" s="6">
        <f ca="1">('TUSD BE'!$AM$62+'TUSD BF'!$AM$62+'TUSD CVA'!$AM$62)*1</f>
        <v>265.13704913756112</v>
      </c>
      <c r="AA876" s="6">
        <f>('TE BE'!$AB$43+'TE BF'!$AB$43+'TE CVA'!$AB$43)*1</f>
        <v>128.71306986636603</v>
      </c>
      <c r="AB876" s="6">
        <f>$K$876*$V$876</f>
        <v>0</v>
      </c>
      <c r="AC876" s="6">
        <f>$M$876*$W$876</f>
        <v>81879.503979999994</v>
      </c>
      <c r="AD876" s="6">
        <f>$O$876*$X$876</f>
        <v>55036.015079999997</v>
      </c>
      <c r="AE876" s="6">
        <f>$K$876*$Y$876</f>
        <v>0</v>
      </c>
      <c r="AF876" s="6">
        <f ca="1">$M$876*$Z$876</f>
        <v>103976.67546388424</v>
      </c>
      <c r="AG876" s="6">
        <f>$O$876*$AA$876</f>
        <v>50476.374904933829</v>
      </c>
    </row>
    <row r="877" spans="1:33" ht="11.25" customHeight="1" x14ac:dyDescent="0.3">
      <c r="A877" s="4" t="s">
        <v>21</v>
      </c>
      <c r="B877" s="4" t="s">
        <v>47</v>
      </c>
      <c r="C877" s="4" t="s">
        <v>23</v>
      </c>
      <c r="D877" s="4" t="s">
        <v>48</v>
      </c>
      <c r="E877" s="4" t="s">
        <v>49</v>
      </c>
      <c r="F877" s="4" t="s">
        <v>25</v>
      </c>
      <c r="G877" s="4" t="s">
        <v>25</v>
      </c>
      <c r="H877" s="4" t="s">
        <v>25</v>
      </c>
      <c r="I877" s="5">
        <v>44562</v>
      </c>
      <c r="J877" s="6">
        <v>0</v>
      </c>
      <c r="K877" s="6">
        <v>0</v>
      </c>
      <c r="L877" s="6">
        <v>398.52600000000001</v>
      </c>
      <c r="M877" s="6">
        <v>398.52600000000001</v>
      </c>
      <c r="N877" s="6">
        <v>398.52600000000001</v>
      </c>
      <c r="O877" s="6">
        <v>398.52600000000001</v>
      </c>
      <c r="P877" s="6">
        <v>10</v>
      </c>
      <c r="Q877" s="4" t="s">
        <v>26</v>
      </c>
      <c r="R877" s="4">
        <v>0</v>
      </c>
      <c r="S877" s="6">
        <v>0</v>
      </c>
      <c r="T877" s="6">
        <v>60</v>
      </c>
      <c r="U877" s="6">
        <v>101</v>
      </c>
      <c r="V877" s="6">
        <f>IF(ISERROR(VLOOKUP($S$877,'TAR FIN'!$A$1:$O$103,15,0)),0,VLOOKUP($S$877,'TAR FIN'!$A$1:$O$103,15,0))</f>
        <v>0</v>
      </c>
      <c r="W877" s="6">
        <f>IF(ISERROR(VLOOKUP($T$877,'TAR FIN'!$A$1:$O$103,15,0)),0,VLOOKUP($T$877,'TAR FIN'!$A$1:$O$103,15,0))</f>
        <v>208.79</v>
      </c>
      <c r="X877" s="6">
        <f>IF(ISERROR(VLOOKUP($U$877,'TAR FIN'!$A$1:$O$103,15,0)),0,VLOOKUP($U$877,'TAR FIN'!$A$1:$O$103,15,0))</f>
        <v>140.34</v>
      </c>
      <c r="Y877" s="6"/>
      <c r="Z877" s="6">
        <f ca="1">('TUSD BE'!$AM$62+'TUSD BF'!$AM$62+'TUSD CVA'!$AM$62)*1</f>
        <v>265.13704913756112</v>
      </c>
      <c r="AA877" s="6">
        <f>('TE BE'!$AB$43+'TE BF'!$AB$43+'TE CVA'!$AB$43)*1</f>
        <v>128.71306986636603</v>
      </c>
      <c r="AB877" s="6">
        <f>$K$877*$V$877</f>
        <v>0</v>
      </c>
      <c r="AC877" s="6">
        <f>$M$877*$W$877</f>
        <v>83208.243539999996</v>
      </c>
      <c r="AD877" s="6">
        <f>$O$877*$X$877</f>
        <v>55929.13884</v>
      </c>
      <c r="AE877" s="6">
        <f>$K$877*$Y$877</f>
        <v>0</v>
      </c>
      <c r="AF877" s="6">
        <f ca="1">$M$877*$Z$877</f>
        <v>105664.00764459568</v>
      </c>
      <c r="AG877" s="6">
        <f>$O$877*$AA$877</f>
        <v>51295.504881563385</v>
      </c>
    </row>
    <row r="878" spans="1:33" ht="11.25" customHeight="1" x14ac:dyDescent="0.3">
      <c r="A878" s="4" t="s">
        <v>21</v>
      </c>
      <c r="B878" s="4" t="s">
        <v>47</v>
      </c>
      <c r="C878" s="4" t="s">
        <v>23</v>
      </c>
      <c r="D878" s="4" t="s">
        <v>48</v>
      </c>
      <c r="E878" s="4" t="s">
        <v>49</v>
      </c>
      <c r="F878" s="4" t="s">
        <v>25</v>
      </c>
      <c r="G878" s="4" t="s">
        <v>25</v>
      </c>
      <c r="H878" s="4" t="s">
        <v>25</v>
      </c>
      <c r="I878" s="5">
        <v>44593</v>
      </c>
      <c r="J878" s="6">
        <v>0</v>
      </c>
      <c r="K878" s="6">
        <v>0</v>
      </c>
      <c r="L878" s="6">
        <v>372.46199999999999</v>
      </c>
      <c r="M878" s="6">
        <v>372.46199999999999</v>
      </c>
      <c r="N878" s="6">
        <v>372.46199999999999</v>
      </c>
      <c r="O878" s="6">
        <v>372.46199999999999</v>
      </c>
      <c r="P878" s="6">
        <v>10</v>
      </c>
      <c r="Q878" s="4" t="s">
        <v>26</v>
      </c>
      <c r="R878" s="4">
        <v>0</v>
      </c>
      <c r="S878" s="6">
        <v>0</v>
      </c>
      <c r="T878" s="6">
        <v>60</v>
      </c>
      <c r="U878" s="6">
        <v>101</v>
      </c>
      <c r="V878" s="6">
        <f>IF(ISERROR(VLOOKUP($S$878,'TAR FIN'!$A$1:$O$103,15,0)),0,VLOOKUP($S$878,'TAR FIN'!$A$1:$O$103,15,0))</f>
        <v>0</v>
      </c>
      <c r="W878" s="6">
        <f>IF(ISERROR(VLOOKUP($T$878,'TAR FIN'!$A$1:$O$103,15,0)),0,VLOOKUP($T$878,'TAR FIN'!$A$1:$O$103,15,0))</f>
        <v>208.79</v>
      </c>
      <c r="X878" s="6">
        <f>IF(ISERROR(VLOOKUP($U$878,'TAR FIN'!$A$1:$O$103,15,0)),0,VLOOKUP($U$878,'TAR FIN'!$A$1:$O$103,15,0))</f>
        <v>140.34</v>
      </c>
      <c r="Y878" s="6"/>
      <c r="Z878" s="6">
        <f ca="1">('TUSD BE'!$AM$62+'TUSD BF'!$AM$62+'TUSD CVA'!$AM$62)*1</f>
        <v>265.13704913756112</v>
      </c>
      <c r="AA878" s="6">
        <f>('TE BE'!$AB$43+'TE BF'!$AB$43+'TE CVA'!$AB$43)*1</f>
        <v>128.71306986636603</v>
      </c>
      <c r="AB878" s="6">
        <f>$K$878*$V$878</f>
        <v>0</v>
      </c>
      <c r="AC878" s="6">
        <f>$M$878*$W$878</f>
        <v>77766.340979999994</v>
      </c>
      <c r="AD878" s="6">
        <f>$O$878*$X$878</f>
        <v>52271.317080000001</v>
      </c>
      <c r="AE878" s="6">
        <f>$K$878*$Y$878</f>
        <v>0</v>
      </c>
      <c r="AF878" s="6">
        <f ca="1">$M$878*$Z$878</f>
        <v>98753.47559587429</v>
      </c>
      <c r="AG878" s="6">
        <f>$O$878*$AA$878</f>
        <v>47940.727428566424</v>
      </c>
    </row>
    <row r="879" spans="1:33" ht="11.25" customHeight="1" x14ac:dyDescent="0.3">
      <c r="A879" s="4" t="s">
        <v>21</v>
      </c>
      <c r="B879" s="4" t="s">
        <v>47</v>
      </c>
      <c r="C879" s="4" t="s">
        <v>23</v>
      </c>
      <c r="D879" s="4" t="s">
        <v>48</v>
      </c>
      <c r="E879" s="4" t="s">
        <v>49</v>
      </c>
      <c r="F879" s="4" t="s">
        <v>25</v>
      </c>
      <c r="G879" s="4" t="s">
        <v>25</v>
      </c>
      <c r="H879" s="4" t="s">
        <v>25</v>
      </c>
      <c r="I879" s="5">
        <v>44621</v>
      </c>
      <c r="J879" s="6">
        <v>0</v>
      </c>
      <c r="K879" s="6">
        <v>0</v>
      </c>
      <c r="L879" s="6">
        <v>428.50099999999998</v>
      </c>
      <c r="M879" s="6">
        <v>428.50099999999998</v>
      </c>
      <c r="N879" s="6">
        <v>428.50099999999998</v>
      </c>
      <c r="O879" s="6">
        <v>428.50099999999998</v>
      </c>
      <c r="P879" s="6">
        <v>10</v>
      </c>
      <c r="Q879" s="4" t="s">
        <v>26</v>
      </c>
      <c r="R879" s="4">
        <v>0</v>
      </c>
      <c r="S879" s="6">
        <v>0</v>
      </c>
      <c r="T879" s="6">
        <v>60</v>
      </c>
      <c r="U879" s="6">
        <v>101</v>
      </c>
      <c r="V879" s="6">
        <f>IF(ISERROR(VLOOKUP($S$879,'TAR FIN'!$A$1:$O$103,15,0)),0,VLOOKUP($S$879,'TAR FIN'!$A$1:$O$103,15,0))</f>
        <v>0</v>
      </c>
      <c r="W879" s="6">
        <f>IF(ISERROR(VLOOKUP($T$879,'TAR FIN'!$A$1:$O$103,15,0)),0,VLOOKUP($T$879,'TAR FIN'!$A$1:$O$103,15,0))</f>
        <v>208.79</v>
      </c>
      <c r="X879" s="6">
        <f>IF(ISERROR(VLOOKUP($U$879,'TAR FIN'!$A$1:$O$103,15,0)),0,VLOOKUP($U$879,'TAR FIN'!$A$1:$O$103,15,0))</f>
        <v>140.34</v>
      </c>
      <c r="Y879" s="6"/>
      <c r="Z879" s="6">
        <f ca="1">('TUSD BE'!$AM$62+'TUSD BF'!$AM$62+'TUSD CVA'!$AM$62)*1</f>
        <v>265.13704913756112</v>
      </c>
      <c r="AA879" s="6">
        <f>('TE BE'!$AB$43+'TE BF'!$AB$43+'TE CVA'!$AB$43)*1</f>
        <v>128.71306986636603</v>
      </c>
      <c r="AB879" s="6">
        <f>$K$879*$V$879</f>
        <v>0</v>
      </c>
      <c r="AC879" s="6">
        <f>$M$879*$W$879</f>
        <v>89466.723789999989</v>
      </c>
      <c r="AD879" s="6">
        <f>$O$879*$X$879</f>
        <v>60135.83034</v>
      </c>
      <c r="AE879" s="6">
        <f>$K$879*$Y$879</f>
        <v>0</v>
      </c>
      <c r="AF879" s="6">
        <f ca="1">$M$879*$Z$879</f>
        <v>113611.49069249407</v>
      </c>
      <c r="AG879" s="6">
        <f>$O$879*$AA$879</f>
        <v>55153.679150807708</v>
      </c>
    </row>
    <row r="880" spans="1:33" ht="11.25" customHeight="1" x14ac:dyDescent="0.3">
      <c r="A880" s="4" t="s">
        <v>21</v>
      </c>
      <c r="B880" s="4" t="s">
        <v>47</v>
      </c>
      <c r="C880" s="4" t="s">
        <v>23</v>
      </c>
      <c r="D880" s="4" t="s">
        <v>48</v>
      </c>
      <c r="E880" s="4" t="s">
        <v>49</v>
      </c>
      <c r="F880" s="4" t="s">
        <v>25</v>
      </c>
      <c r="G880" s="4" t="s">
        <v>25</v>
      </c>
      <c r="H880" s="4" t="s">
        <v>25</v>
      </c>
      <c r="I880" s="5">
        <v>44652</v>
      </c>
      <c r="J880" s="6">
        <v>0</v>
      </c>
      <c r="K880" s="6">
        <v>0</v>
      </c>
      <c r="L880" s="6">
        <v>430.83100000000002</v>
      </c>
      <c r="M880" s="6">
        <v>430.83100000000002</v>
      </c>
      <c r="N880" s="6">
        <v>430.83100000000002</v>
      </c>
      <c r="O880" s="6">
        <v>430.83100000000002</v>
      </c>
      <c r="P880" s="6">
        <v>10</v>
      </c>
      <c r="Q880" s="4" t="s">
        <v>26</v>
      </c>
      <c r="R880" s="4">
        <v>0</v>
      </c>
      <c r="S880" s="6">
        <v>0</v>
      </c>
      <c r="T880" s="6">
        <v>60</v>
      </c>
      <c r="U880" s="6">
        <v>101</v>
      </c>
      <c r="V880" s="6">
        <f>IF(ISERROR(VLOOKUP($S$880,'TAR FIN'!$A$1:$O$103,15,0)),0,VLOOKUP($S$880,'TAR FIN'!$A$1:$O$103,15,0))</f>
        <v>0</v>
      </c>
      <c r="W880" s="6">
        <f>IF(ISERROR(VLOOKUP($T$880,'TAR FIN'!$A$1:$O$103,15,0)),0,VLOOKUP($T$880,'TAR FIN'!$A$1:$O$103,15,0))</f>
        <v>208.79</v>
      </c>
      <c r="X880" s="6">
        <f>IF(ISERROR(VLOOKUP($U$880,'TAR FIN'!$A$1:$O$103,15,0)),0,VLOOKUP($U$880,'TAR FIN'!$A$1:$O$103,15,0))</f>
        <v>140.34</v>
      </c>
      <c r="Y880" s="6"/>
      <c r="Z880" s="6">
        <f ca="1">('TUSD BE'!$AM$62+'TUSD BF'!$AM$62+'TUSD CVA'!$AM$62)*1</f>
        <v>265.13704913756112</v>
      </c>
      <c r="AA880" s="6">
        <f>('TE BE'!$AB$43+'TE BF'!$AB$43+'TE CVA'!$AB$43)*1</f>
        <v>128.71306986636603</v>
      </c>
      <c r="AB880" s="6">
        <f>$K$880*$V$880</f>
        <v>0</v>
      </c>
      <c r="AC880" s="6">
        <f>$M$880*$W$880</f>
        <v>89953.204490000004</v>
      </c>
      <c r="AD880" s="6">
        <f>$O$880*$X$880</f>
        <v>60462.822540000001</v>
      </c>
      <c r="AE880" s="6">
        <f>$K$880*$Y$880</f>
        <v>0</v>
      </c>
      <c r="AF880" s="6">
        <f ca="1">$M$880*$Z$880</f>
        <v>114229.2600169846</v>
      </c>
      <c r="AG880" s="6">
        <f>$O$880*$AA$880</f>
        <v>55453.580603596347</v>
      </c>
    </row>
    <row r="881" spans="1:33" ht="11.25" customHeight="1" x14ac:dyDescent="0.3">
      <c r="A881" s="4" t="s">
        <v>21</v>
      </c>
      <c r="B881" s="4" t="s">
        <v>47</v>
      </c>
      <c r="C881" s="4" t="s">
        <v>23</v>
      </c>
      <c r="D881" s="4" t="s">
        <v>48</v>
      </c>
      <c r="E881" s="4" t="s">
        <v>49</v>
      </c>
      <c r="F881" s="4" t="s">
        <v>25</v>
      </c>
      <c r="G881" s="4" t="s">
        <v>25</v>
      </c>
      <c r="H881" s="4" t="s">
        <v>25</v>
      </c>
      <c r="I881" s="5">
        <v>44682</v>
      </c>
      <c r="J881" s="6">
        <v>0</v>
      </c>
      <c r="K881" s="6">
        <v>0</v>
      </c>
      <c r="L881" s="6">
        <v>457.91300000000001</v>
      </c>
      <c r="M881" s="6">
        <v>457.91300000000001</v>
      </c>
      <c r="N881" s="6">
        <v>457.91300000000001</v>
      </c>
      <c r="O881" s="6">
        <v>457.91300000000001</v>
      </c>
      <c r="P881" s="6">
        <v>10</v>
      </c>
      <c r="Q881" s="4" t="s">
        <v>26</v>
      </c>
      <c r="R881" s="4">
        <v>0</v>
      </c>
      <c r="S881" s="6">
        <v>0</v>
      </c>
      <c r="T881" s="6">
        <v>60</v>
      </c>
      <c r="U881" s="6">
        <v>101</v>
      </c>
      <c r="V881" s="6">
        <f>IF(ISERROR(VLOOKUP($S$881,'TAR FIN'!$A$1:$O$103,15,0)),0,VLOOKUP($S$881,'TAR FIN'!$A$1:$O$103,15,0))</f>
        <v>0</v>
      </c>
      <c r="W881" s="6">
        <f>IF(ISERROR(VLOOKUP($T$881,'TAR FIN'!$A$1:$O$103,15,0)),0,VLOOKUP($T$881,'TAR FIN'!$A$1:$O$103,15,0))</f>
        <v>208.79</v>
      </c>
      <c r="X881" s="6">
        <f>IF(ISERROR(VLOOKUP($U$881,'TAR FIN'!$A$1:$O$103,15,0)),0,VLOOKUP($U$881,'TAR FIN'!$A$1:$O$103,15,0))</f>
        <v>140.34</v>
      </c>
      <c r="Y881" s="6"/>
      <c r="Z881" s="6">
        <f ca="1">('TUSD BE'!$AM$62+'TUSD BF'!$AM$62+'TUSD CVA'!$AM$62)*1</f>
        <v>265.13704913756112</v>
      </c>
      <c r="AA881" s="6">
        <f>('TE BE'!$AB$43+'TE BF'!$AB$43+'TE CVA'!$AB$43)*1</f>
        <v>128.71306986636603</v>
      </c>
      <c r="AB881" s="6">
        <f>$K$881*$V$881</f>
        <v>0</v>
      </c>
      <c r="AC881" s="6">
        <f>$M$881*$W$881</f>
        <v>95607.655270000003</v>
      </c>
      <c r="AD881" s="6">
        <f>$O$881*$X$881</f>
        <v>64263.510420000006</v>
      </c>
      <c r="AE881" s="6">
        <f>$K$881*$Y$881</f>
        <v>0</v>
      </c>
      <c r="AF881" s="6">
        <f ca="1">$M$881*$Z$881</f>
        <v>121409.70158172803</v>
      </c>
      <c r="AG881" s="6">
        <f>$O$881*$AA$881</f>
        <v>58939.387961717264</v>
      </c>
    </row>
    <row r="882" spans="1:33" ht="11.25" customHeight="1" x14ac:dyDescent="0.3">
      <c r="A882" s="4" t="s">
        <v>21</v>
      </c>
      <c r="B882" s="4" t="s">
        <v>47</v>
      </c>
      <c r="C882" s="4" t="s">
        <v>23</v>
      </c>
      <c r="D882" s="4" t="s">
        <v>48</v>
      </c>
      <c r="E882" s="4" t="s">
        <v>49</v>
      </c>
      <c r="F882" s="4" t="s">
        <v>25</v>
      </c>
      <c r="G882" s="4" t="s">
        <v>25</v>
      </c>
      <c r="H882" s="4" t="s">
        <v>25</v>
      </c>
      <c r="I882" s="5">
        <v>44713</v>
      </c>
      <c r="J882" s="6">
        <v>0</v>
      </c>
      <c r="K882" s="6">
        <v>0</v>
      </c>
      <c r="L882" s="6">
        <v>450.31200000000001</v>
      </c>
      <c r="M882" s="6">
        <v>450.31200000000001</v>
      </c>
      <c r="N882" s="6">
        <v>450.31200000000001</v>
      </c>
      <c r="O882" s="6">
        <v>450.31200000000001</v>
      </c>
      <c r="P882" s="6">
        <v>10</v>
      </c>
      <c r="Q882" s="4" t="s">
        <v>26</v>
      </c>
      <c r="R882" s="4">
        <v>0</v>
      </c>
      <c r="S882" s="6">
        <v>0</v>
      </c>
      <c r="T882" s="6">
        <v>60</v>
      </c>
      <c r="U882" s="6">
        <v>101</v>
      </c>
      <c r="V882" s="6">
        <f>IF(ISERROR(VLOOKUP($S$882,'TAR FIN'!$A$1:$O$103,15,0)),0,VLOOKUP($S$882,'TAR FIN'!$A$1:$O$103,15,0))</f>
        <v>0</v>
      </c>
      <c r="W882" s="6">
        <f>IF(ISERROR(VLOOKUP($T$882,'TAR FIN'!$A$1:$O$103,15,0)),0,VLOOKUP($T$882,'TAR FIN'!$A$1:$O$103,15,0))</f>
        <v>208.79</v>
      </c>
      <c r="X882" s="6">
        <f>IF(ISERROR(VLOOKUP($U$882,'TAR FIN'!$A$1:$O$103,15,0)),0,VLOOKUP($U$882,'TAR FIN'!$A$1:$O$103,15,0))</f>
        <v>140.34</v>
      </c>
      <c r="Y882" s="6"/>
      <c r="Z882" s="6">
        <f ca="1">('TUSD BE'!$AM$62+'TUSD BF'!$AM$62+'TUSD CVA'!$AM$62)*1</f>
        <v>265.13704913756112</v>
      </c>
      <c r="AA882" s="6">
        <f>('TE BE'!$AB$43+'TE BF'!$AB$43+'TE CVA'!$AB$43)*1</f>
        <v>128.71306986636603</v>
      </c>
      <c r="AB882" s="6">
        <f>$K$882*$V$882</f>
        <v>0</v>
      </c>
      <c r="AC882" s="6">
        <f>$M$882*$W$882</f>
        <v>94020.642479999995</v>
      </c>
      <c r="AD882" s="6">
        <f>$O$882*$X$882</f>
        <v>63196.786080000005</v>
      </c>
      <c r="AE882" s="6">
        <f>$K$882*$Y$882</f>
        <v>0</v>
      </c>
      <c r="AF882" s="6">
        <f ca="1">$M$882*$Z$882</f>
        <v>119394.39487123342</v>
      </c>
      <c r="AG882" s="6">
        <f>$O$882*$AA$882</f>
        <v>57961.039917663016</v>
      </c>
    </row>
    <row r="883" spans="1:33" ht="11.25" customHeight="1" x14ac:dyDescent="0.3">
      <c r="A883" s="4" t="s">
        <v>21</v>
      </c>
      <c r="B883" s="4" t="s">
        <v>47</v>
      </c>
      <c r="C883" s="4" t="s">
        <v>23</v>
      </c>
      <c r="D883" s="4" t="s">
        <v>48</v>
      </c>
      <c r="E883" s="4" t="s">
        <v>49</v>
      </c>
      <c r="F883" s="4" t="s">
        <v>25</v>
      </c>
      <c r="G883" s="4" t="s">
        <v>25</v>
      </c>
      <c r="H883" s="4" t="s">
        <v>25</v>
      </c>
      <c r="I883" s="5">
        <v>44743</v>
      </c>
      <c r="J883" s="6">
        <v>0</v>
      </c>
      <c r="K883" s="6">
        <v>0</v>
      </c>
      <c r="L883" s="6">
        <v>467.81</v>
      </c>
      <c r="M883" s="6">
        <v>467.81</v>
      </c>
      <c r="N883" s="6">
        <v>467.81</v>
      </c>
      <c r="O883" s="6">
        <v>467.81</v>
      </c>
      <c r="P883" s="6">
        <v>10</v>
      </c>
      <c r="Q883" s="4" t="s">
        <v>26</v>
      </c>
      <c r="R883" s="4">
        <v>0</v>
      </c>
      <c r="S883" s="6">
        <v>0</v>
      </c>
      <c r="T883" s="6">
        <v>60</v>
      </c>
      <c r="U883" s="6">
        <v>101</v>
      </c>
      <c r="V883" s="6">
        <f>IF(ISERROR(VLOOKUP($S$883,'TAR FIN'!$A$1:$O$103,15,0)),0,VLOOKUP($S$883,'TAR FIN'!$A$1:$O$103,15,0))</f>
        <v>0</v>
      </c>
      <c r="W883" s="6">
        <f>IF(ISERROR(VLOOKUP($T$883,'TAR FIN'!$A$1:$O$103,15,0)),0,VLOOKUP($T$883,'TAR FIN'!$A$1:$O$103,15,0))</f>
        <v>208.79</v>
      </c>
      <c r="X883" s="6">
        <f>IF(ISERROR(VLOOKUP($U$883,'TAR FIN'!$A$1:$O$103,15,0)),0,VLOOKUP($U$883,'TAR FIN'!$A$1:$O$103,15,0))</f>
        <v>140.34</v>
      </c>
      <c r="Y883" s="6"/>
      <c r="Z883" s="6">
        <f ca="1">('TUSD BE'!$AM$62+'TUSD BF'!$AM$62+'TUSD CVA'!$AM$62)*1</f>
        <v>265.13704913756112</v>
      </c>
      <c r="AA883" s="6">
        <f>('TE BE'!$AB$43+'TE BF'!$AB$43+'TE CVA'!$AB$43)*1</f>
        <v>128.71306986636603</v>
      </c>
      <c r="AB883" s="6">
        <f>$K$883*$V$883</f>
        <v>0</v>
      </c>
      <c r="AC883" s="6">
        <f>$M$883*$W$883</f>
        <v>97674.049899999998</v>
      </c>
      <c r="AD883" s="6">
        <f>$O$883*$X$883</f>
        <v>65652.455400000006</v>
      </c>
      <c r="AE883" s="6">
        <f>$K$883*$Y$883</f>
        <v>0</v>
      </c>
      <c r="AF883" s="6">
        <f ca="1">$M$883*$Z$883</f>
        <v>124033.76295704246</v>
      </c>
      <c r="AG883" s="6">
        <f>$O$883*$AA$883</f>
        <v>60213.261214184691</v>
      </c>
    </row>
    <row r="884" spans="1:33" ht="11.25" customHeight="1" x14ac:dyDescent="0.3">
      <c r="A884" s="4" t="s">
        <v>21</v>
      </c>
      <c r="B884" s="4" t="s">
        <v>47</v>
      </c>
      <c r="C884" s="4" t="s">
        <v>23</v>
      </c>
      <c r="D884" s="4" t="s">
        <v>48</v>
      </c>
      <c r="E884" s="4" t="s">
        <v>49</v>
      </c>
      <c r="F884" s="4" t="s">
        <v>25</v>
      </c>
      <c r="G884" s="4" t="s">
        <v>25</v>
      </c>
      <c r="H884" s="4" t="s">
        <v>25</v>
      </c>
      <c r="I884" s="5">
        <v>44774</v>
      </c>
      <c r="J884" s="6">
        <v>0</v>
      </c>
      <c r="K884" s="6">
        <v>0</v>
      </c>
      <c r="L884" s="6">
        <v>459.02600000000001</v>
      </c>
      <c r="M884" s="6">
        <v>459.02600000000001</v>
      </c>
      <c r="N884" s="6">
        <v>459.02600000000001</v>
      </c>
      <c r="O884" s="6">
        <v>459.02600000000001</v>
      </c>
      <c r="P884" s="6">
        <v>10</v>
      </c>
      <c r="Q884" s="4" t="s">
        <v>26</v>
      </c>
      <c r="R884" s="4">
        <v>0</v>
      </c>
      <c r="S884" s="6">
        <v>0</v>
      </c>
      <c r="T884" s="6">
        <v>60</v>
      </c>
      <c r="U884" s="6">
        <v>101</v>
      </c>
      <c r="V884" s="6">
        <f>IF(ISERROR(VLOOKUP($S$884,'TAR FIN'!$A$1:$O$103,15,0)),0,VLOOKUP($S$884,'TAR FIN'!$A$1:$O$103,15,0))</f>
        <v>0</v>
      </c>
      <c r="W884" s="6">
        <f>IF(ISERROR(VLOOKUP($T$884,'TAR FIN'!$A$1:$O$103,15,0)),0,VLOOKUP($T$884,'TAR FIN'!$A$1:$O$103,15,0))</f>
        <v>208.79</v>
      </c>
      <c r="X884" s="6">
        <f>IF(ISERROR(VLOOKUP($U$884,'TAR FIN'!$A$1:$O$103,15,0)),0,VLOOKUP($U$884,'TAR FIN'!$A$1:$O$103,15,0))</f>
        <v>140.34</v>
      </c>
      <c r="Y884" s="6"/>
      <c r="Z884" s="6">
        <f ca="1">('TUSD BE'!$AM$62+'TUSD BF'!$AM$62+'TUSD CVA'!$AM$62)*1</f>
        <v>265.13704913756112</v>
      </c>
      <c r="AA884" s="6">
        <f>('TE BE'!$AB$43+'TE BF'!$AB$43+'TE CVA'!$AB$43)*1</f>
        <v>128.71306986636603</v>
      </c>
      <c r="AB884" s="6">
        <f>$K$884*$V$884</f>
        <v>0</v>
      </c>
      <c r="AC884" s="6">
        <f>$M$884*$W$884</f>
        <v>95840.038539999994</v>
      </c>
      <c r="AD884" s="6">
        <f>$O$884*$X$884</f>
        <v>64419.708840000007</v>
      </c>
      <c r="AE884" s="6">
        <f>$K$884*$Y$884</f>
        <v>0</v>
      </c>
      <c r="AF884" s="6">
        <f ca="1">$M$884*$Z$884</f>
        <v>121704.79911741814</v>
      </c>
      <c r="AG884" s="6">
        <f>$O$884*$AA$884</f>
        <v>59082.645608478531</v>
      </c>
    </row>
    <row r="885" spans="1:33" ht="11.25" customHeight="1" x14ac:dyDescent="0.3">
      <c r="A885" s="4" t="s">
        <v>21</v>
      </c>
      <c r="B885" s="4" t="s">
        <v>47</v>
      </c>
      <c r="C885" s="4" t="s">
        <v>23</v>
      </c>
      <c r="D885" s="4" t="s">
        <v>48</v>
      </c>
      <c r="E885" s="4" t="s">
        <v>49</v>
      </c>
      <c r="F885" s="4" t="s">
        <v>25</v>
      </c>
      <c r="G885" s="4" t="s">
        <v>25</v>
      </c>
      <c r="H885" s="4" t="s">
        <v>25</v>
      </c>
      <c r="I885" s="5">
        <v>44805</v>
      </c>
      <c r="J885" s="6">
        <v>0</v>
      </c>
      <c r="K885" s="6">
        <v>0</v>
      </c>
      <c r="L885" s="6">
        <v>429.27</v>
      </c>
      <c r="M885" s="6">
        <v>429.27</v>
      </c>
      <c r="N885" s="6">
        <v>429.27</v>
      </c>
      <c r="O885" s="6">
        <v>429.27</v>
      </c>
      <c r="P885" s="6">
        <v>10</v>
      </c>
      <c r="Q885" s="4" t="s">
        <v>26</v>
      </c>
      <c r="R885" s="4">
        <v>0</v>
      </c>
      <c r="S885" s="6">
        <v>0</v>
      </c>
      <c r="T885" s="6">
        <v>60</v>
      </c>
      <c r="U885" s="6">
        <v>101</v>
      </c>
      <c r="V885" s="6">
        <f>IF(ISERROR(VLOOKUP($S$885,'TAR FIN'!$A$1:$O$103,15,0)),0,VLOOKUP($S$885,'TAR FIN'!$A$1:$O$103,15,0))</f>
        <v>0</v>
      </c>
      <c r="W885" s="6">
        <f>IF(ISERROR(VLOOKUP($T$885,'TAR FIN'!$A$1:$O$103,15,0)),0,VLOOKUP($T$885,'TAR FIN'!$A$1:$O$103,15,0))</f>
        <v>208.79</v>
      </c>
      <c r="X885" s="6">
        <f>IF(ISERROR(VLOOKUP($U$885,'TAR FIN'!$A$1:$O$103,15,0)),0,VLOOKUP($U$885,'TAR FIN'!$A$1:$O$103,15,0))</f>
        <v>140.34</v>
      </c>
      <c r="Y885" s="6"/>
      <c r="Z885" s="6">
        <f ca="1">('TUSD BE'!$AM$62+'TUSD BF'!$AM$62+'TUSD CVA'!$AM$62)*1</f>
        <v>265.13704913756112</v>
      </c>
      <c r="AA885" s="6">
        <f>('TE BE'!$AB$43+'TE BF'!$AB$43+'TE CVA'!$AB$43)*1</f>
        <v>128.71306986636603</v>
      </c>
      <c r="AB885" s="6">
        <f>$K$885*$V$885</f>
        <v>0</v>
      </c>
      <c r="AC885" s="6">
        <f>$M$885*$W$885</f>
        <v>89627.283299999996</v>
      </c>
      <c r="AD885" s="6">
        <f>$O$885*$X$885</f>
        <v>60243.751799999998</v>
      </c>
      <c r="AE885" s="6">
        <f>$K$885*$Y$885</f>
        <v>0</v>
      </c>
      <c r="AF885" s="6">
        <f ca="1">$M$885*$Z$885</f>
        <v>113815.38108328085</v>
      </c>
      <c r="AG885" s="6">
        <f>$O$885*$AA$885</f>
        <v>55252.659501534945</v>
      </c>
    </row>
    <row r="886" spans="1:33" ht="11.25" customHeight="1" x14ac:dyDescent="0.3">
      <c r="A886" s="4" t="s">
        <v>57</v>
      </c>
      <c r="B886" s="4" t="s">
        <v>47</v>
      </c>
      <c r="C886" s="4" t="s">
        <v>23</v>
      </c>
      <c r="D886" s="4" t="s">
        <v>48</v>
      </c>
      <c r="E886" s="4" t="s">
        <v>49</v>
      </c>
      <c r="F886" s="4" t="s">
        <v>25</v>
      </c>
      <c r="G886" s="4" t="s">
        <v>25</v>
      </c>
      <c r="H886" s="4" t="s">
        <v>25</v>
      </c>
      <c r="I886" s="5">
        <v>44835</v>
      </c>
      <c r="J886" s="6">
        <v>0</v>
      </c>
      <c r="K886" s="6">
        <v>0</v>
      </c>
      <c r="L886" s="6">
        <v>429.27</v>
      </c>
      <c r="M886" s="6">
        <v>429.27</v>
      </c>
      <c r="N886" s="6">
        <v>429.27</v>
      </c>
      <c r="O886" s="6">
        <v>429.27</v>
      </c>
      <c r="P886" s="6">
        <v>10</v>
      </c>
      <c r="Q886" s="4" t="s">
        <v>26</v>
      </c>
      <c r="R886" s="4">
        <v>0</v>
      </c>
      <c r="S886" s="6">
        <v>0</v>
      </c>
      <c r="T886" s="6">
        <v>60</v>
      </c>
      <c r="U886" s="6">
        <v>101</v>
      </c>
      <c r="V886" s="6">
        <f>IF(ISERROR(VLOOKUP($S$886,'TAR FIN'!$A$1:$O$103,15,0)),0,VLOOKUP($S$886,'TAR FIN'!$A$1:$O$103,15,0))</f>
        <v>0</v>
      </c>
      <c r="W886" s="6">
        <f>IF(ISERROR(VLOOKUP($T$886,'TAR FIN'!$A$1:$O$103,15,0)),0,VLOOKUP($T$886,'TAR FIN'!$A$1:$O$103,15,0))</f>
        <v>208.79</v>
      </c>
      <c r="X886" s="6">
        <f>IF(ISERROR(VLOOKUP($U$886,'TAR FIN'!$A$1:$O$103,15,0)),0,VLOOKUP($U$886,'TAR FIN'!$A$1:$O$103,15,0))</f>
        <v>140.34</v>
      </c>
      <c r="Y886" s="6"/>
      <c r="Z886" s="6">
        <f ca="1">('TUSD BE'!$AM$62+'TUSD BF'!$AM$62+'TUSD CVA'!$AM$62)*1</f>
        <v>265.13704913756112</v>
      </c>
      <c r="AA886" s="6">
        <f>('TE BE'!$AB$43+'TE BF'!$AB$43+'TE CVA'!$AB$43)*1</f>
        <v>128.71306986636603</v>
      </c>
      <c r="AB886" s="6">
        <f>$K$886*$V$886</f>
        <v>0</v>
      </c>
      <c r="AC886" s="6">
        <f>$M$886*$W$886</f>
        <v>89627.283299999996</v>
      </c>
      <c r="AD886" s="6">
        <f>$O$886*$X$886</f>
        <v>60243.751799999998</v>
      </c>
      <c r="AE886" s="6">
        <f>$K$886*$Y$886</f>
        <v>0</v>
      </c>
      <c r="AF886" s="6">
        <f ca="1">$M$886*$Z$886</f>
        <v>113815.38108328085</v>
      </c>
      <c r="AG886" s="6">
        <f>$O$886*$AA$886</f>
        <v>55252.659501534945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482EB-9E6F-42F1-8684-67883455A979}">
  <sheetPr codeName="Planilha17"/>
  <dimension ref="A1:AJ887"/>
  <sheetViews>
    <sheetView showGridLines="0" topLeftCell="AC1" workbookViewId="0">
      <selection activeCell="AJ9" sqref="AJ9"/>
    </sheetView>
  </sheetViews>
  <sheetFormatPr defaultRowHeight="11.25" customHeight="1" x14ac:dyDescent="0.3"/>
  <cols>
    <col min="1" max="1" width="18.5546875" style="4" bestFit="1" customWidth="1"/>
    <col min="2" max="2" width="12.88671875" style="4" bestFit="1" customWidth="1"/>
    <col min="3" max="3" width="14.109375" style="4" bestFit="1" customWidth="1"/>
    <col min="4" max="4" width="11.21875" style="4" bestFit="1" customWidth="1"/>
    <col min="5" max="5" width="24.44140625" style="4" bestFit="1" customWidth="1"/>
    <col min="6" max="6" width="12.88671875" style="4" bestFit="1" customWidth="1"/>
    <col min="7" max="7" width="37.88671875" style="4" bestFit="1" customWidth="1"/>
    <col min="8" max="8" width="10" style="4" bestFit="1" customWidth="1"/>
    <col min="9" max="9" width="11.77734375" style="5" bestFit="1" customWidth="1"/>
    <col min="10" max="10" width="6.77734375" style="6" bestFit="1" customWidth="1"/>
    <col min="11" max="11" width="7.6640625" style="6" bestFit="1" customWidth="1"/>
    <col min="12" max="12" width="11" style="6" bestFit="1" customWidth="1"/>
    <col min="13" max="13" width="12.21875" style="6" bestFit="1" customWidth="1"/>
    <col min="14" max="14" width="8.88671875" style="6" bestFit="1" customWidth="1"/>
    <col min="15" max="15" width="10.109375" style="6" bestFit="1" customWidth="1"/>
    <col min="16" max="16" width="7.6640625" style="6" bestFit="1" customWidth="1"/>
    <col min="17" max="17" width="10.77734375" style="4" bestFit="1" customWidth="1"/>
    <col min="18" max="18" width="12.77734375" style="4" bestFit="1" customWidth="1"/>
    <col min="19" max="19" width="22.33203125" style="4" bestFit="1" customWidth="1"/>
    <col min="20" max="20" width="23.77734375" style="4" bestFit="1" customWidth="1"/>
    <col min="21" max="21" width="21.6640625" style="4" bestFit="1" customWidth="1"/>
    <col min="22" max="22" width="15.44140625" style="4" bestFit="1" customWidth="1"/>
    <col min="23" max="23" width="16.77734375" style="4" bestFit="1" customWidth="1"/>
    <col min="24" max="24" width="14.6640625" style="4" bestFit="1" customWidth="1"/>
    <col min="25" max="25" width="20.21875" style="4" bestFit="1" customWidth="1"/>
    <col min="26" max="26" width="21.77734375" style="4" bestFit="1" customWidth="1"/>
    <col min="27" max="27" width="19.5546875" style="4" bestFit="1" customWidth="1"/>
    <col min="28" max="28" width="18.5546875" style="4" bestFit="1" customWidth="1"/>
    <col min="29" max="29" width="20" style="4" bestFit="1" customWidth="1"/>
    <col min="30" max="30" width="18.44140625" style="4" bestFit="1" customWidth="1"/>
    <col min="31" max="31" width="19.88671875" style="4" bestFit="1" customWidth="1"/>
    <col min="32" max="32" width="31.6640625" style="4" bestFit="1" customWidth="1"/>
    <col min="33" max="33" width="8.88671875" style="4"/>
    <col min="34" max="34" width="31.6640625" style="4" bestFit="1" customWidth="1"/>
    <col min="35" max="35" width="9.6640625" style="4" bestFit="1" customWidth="1"/>
    <col min="36" max="36" width="10.5546875" style="4" bestFit="1" customWidth="1"/>
    <col min="37" max="16384" width="8.88671875" style="4"/>
  </cols>
  <sheetData>
    <row r="1" spans="1:36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763</v>
      </c>
      <c r="W1" s="1" t="s">
        <v>764</v>
      </c>
      <c r="X1" s="1" t="s">
        <v>765</v>
      </c>
      <c r="Y1" s="1" t="s">
        <v>766</v>
      </c>
      <c r="Z1" s="1" t="s">
        <v>767</v>
      </c>
      <c r="AA1" s="1" t="s">
        <v>768</v>
      </c>
      <c r="AB1" s="1" t="s">
        <v>806</v>
      </c>
      <c r="AC1" s="1" t="s">
        <v>807</v>
      </c>
      <c r="AD1" s="1" t="s">
        <v>808</v>
      </c>
      <c r="AE1" s="1" t="s">
        <v>809</v>
      </c>
      <c r="AF1" s="1" t="s">
        <v>810</v>
      </c>
      <c r="AH1" s="34" t="s">
        <v>810</v>
      </c>
      <c r="AI1" s="34" t="s">
        <v>817</v>
      </c>
      <c r="AJ1" s="34" t="s">
        <v>818</v>
      </c>
    </row>
    <row r="2" spans="1:36" ht="11.25" customHeight="1" x14ac:dyDescent="0.3">
      <c r="A2" s="4" t="s">
        <v>21</v>
      </c>
      <c r="B2" s="4" t="s">
        <v>45</v>
      </c>
      <c r="C2" s="4" t="s">
        <v>42</v>
      </c>
      <c r="D2" s="4" t="s">
        <v>44</v>
      </c>
      <c r="E2" s="4" t="s">
        <v>53</v>
      </c>
      <c r="F2" s="4" t="s">
        <v>55</v>
      </c>
      <c r="G2" s="4" t="s">
        <v>25</v>
      </c>
      <c r="H2" s="4" t="s">
        <v>35</v>
      </c>
      <c r="I2" s="5">
        <v>44713</v>
      </c>
      <c r="J2" s="6">
        <v>0</v>
      </c>
      <c r="K2" s="6">
        <v>0</v>
      </c>
      <c r="L2" s="6">
        <v>169.28800000000001</v>
      </c>
      <c r="M2" s="6">
        <v>33.857599999999998</v>
      </c>
      <c r="N2" s="6">
        <v>169.28800000000001</v>
      </c>
      <c r="O2" s="6">
        <v>33.857599999999998</v>
      </c>
      <c r="P2" s="6">
        <v>0</v>
      </c>
      <c r="Q2" s="4" t="s">
        <v>26</v>
      </c>
      <c r="R2" s="4">
        <v>0</v>
      </c>
      <c r="S2" s="4">
        <v>0</v>
      </c>
      <c r="T2" s="4">
        <v>6</v>
      </c>
      <c r="U2" s="4">
        <v>63</v>
      </c>
      <c r="V2" s="6">
        <f>IF(ISERROR(VLOOKUP($S$2,'TAR FIN'!$A$1:$O$103,15,0)),0,VLOOKUP($S$2,'TAR FIN'!$A$1:$O$103,15,0))</f>
        <v>0</v>
      </c>
      <c r="W2" s="6">
        <f>IF(ISERROR(VLOOKUP($T$2,'TAR FIN'!$A$1:$O$103,15,0)),0,VLOOKUP($T$2,'TAR FIN'!$A$1:$O$103,15,0))</f>
        <v>84.99</v>
      </c>
      <c r="X2" s="6">
        <f>IF(ISERROR(VLOOKUP($U$2,'TAR FIN'!$A$1:$O$103,15,0)),0,VLOOKUP($U$2,'TAR FIN'!$A$1:$O$103,15,0))</f>
        <v>242.77</v>
      </c>
      <c r="Y2" s="6">
        <f ca="1">('TUSD BE'!$AM$6+'TUSD BF'!$AM$6+'TUSD CVA'!$AM$6)*1</f>
        <v>21.369338625624472</v>
      </c>
      <c r="Z2" s="6">
        <f ca="1">('TUSD BE'!$AM$7+'TUSD BF'!$AM$7+'TUSD CVA'!$AM$7)*1</f>
        <v>145.72237393634796</v>
      </c>
      <c r="AA2" s="6">
        <f>('TE BE'!$AB$6+'TE BF'!$AB$6+'TE CVA'!$AB$6)*1</f>
        <v>222.39386487986414</v>
      </c>
      <c r="AB2" s="6">
        <f t="shared" ref="AB2:AB40" si="0">(J2-K2)*V2</f>
        <v>0</v>
      </c>
      <c r="AC2" s="6">
        <f t="shared" ref="AC2:AC40" si="1">(L2-M2)*W2+(N2-O2)*X2</f>
        <v>44388.667904000009</v>
      </c>
      <c r="AD2" s="6">
        <f t="shared" ref="AD2:AD40" ca="1" si="2">(J2-K2)*Y2</f>
        <v>0</v>
      </c>
      <c r="AE2" s="6">
        <f t="shared" ref="AE2:AE40" ca="1" si="3">(L2-M2)*Z2+(N2-O2)*AA2</f>
        <v>49854.129469375141</v>
      </c>
      <c r="AF2" s="4" t="s">
        <v>812</v>
      </c>
      <c r="AH2" s="35" t="s">
        <v>815</v>
      </c>
      <c r="AI2" s="36">
        <f t="shared" ref="AI2:AI9" si="4">SUMIF($AF$2:$AF$887,AH2,$AB$2:$AB$887)+SUMIF($AF$2:$AF$887,AH2,$AC$2:$AC$887)</f>
        <v>405765.39069421584</v>
      </c>
      <c r="AJ2" s="36">
        <f t="shared" ref="AJ2:AJ8" ca="1" si="5">SUMIF($AF$2:$AF$887,AH2,$AD$2:$AD$887)+SUMIF($AF$2:$AF$887,AH2,$AE$2:$AE$887)</f>
        <v>463175.37755036767</v>
      </c>
    </row>
    <row r="3" spans="1:36" ht="11.25" customHeight="1" x14ac:dyDescent="0.3">
      <c r="A3" s="4" t="s">
        <v>21</v>
      </c>
      <c r="B3" s="4" t="s">
        <v>45</v>
      </c>
      <c r="C3" s="4" t="s">
        <v>42</v>
      </c>
      <c r="D3" s="4" t="s">
        <v>44</v>
      </c>
      <c r="E3" s="4" t="s">
        <v>53</v>
      </c>
      <c r="F3" s="4" t="s">
        <v>55</v>
      </c>
      <c r="G3" s="4" t="s">
        <v>25</v>
      </c>
      <c r="H3" s="4" t="s">
        <v>35</v>
      </c>
      <c r="I3" s="5">
        <v>44743</v>
      </c>
      <c r="J3" s="6">
        <v>0</v>
      </c>
      <c r="K3" s="6">
        <v>0</v>
      </c>
      <c r="L3" s="6">
        <v>169.28800000000001</v>
      </c>
      <c r="M3" s="6">
        <v>33.857599999999998</v>
      </c>
      <c r="N3" s="6">
        <v>169.28800000000001</v>
      </c>
      <c r="O3" s="6">
        <v>33.857599999999998</v>
      </c>
      <c r="P3" s="6">
        <v>0</v>
      </c>
      <c r="Q3" s="4" t="s">
        <v>26</v>
      </c>
      <c r="R3" s="4">
        <v>0</v>
      </c>
      <c r="S3" s="4">
        <v>0</v>
      </c>
      <c r="T3" s="4">
        <v>6</v>
      </c>
      <c r="U3" s="4">
        <v>63</v>
      </c>
      <c r="V3" s="6">
        <f>IF(ISERROR(VLOOKUP($S$3,'TAR FIN'!$A$1:$O$103,15,0)),0,VLOOKUP($S$3,'TAR FIN'!$A$1:$O$103,15,0))</f>
        <v>0</v>
      </c>
      <c r="W3" s="6">
        <f>IF(ISERROR(VLOOKUP($T$3,'TAR FIN'!$A$1:$O$103,15,0)),0,VLOOKUP($T$3,'TAR FIN'!$A$1:$O$103,15,0))</f>
        <v>84.99</v>
      </c>
      <c r="X3" s="6">
        <f>IF(ISERROR(VLOOKUP($U$3,'TAR FIN'!$A$1:$O$103,15,0)),0,VLOOKUP($U$3,'TAR FIN'!$A$1:$O$103,15,0))</f>
        <v>242.77</v>
      </c>
      <c r="Y3" s="6">
        <f ca="1">('TUSD BE'!$AM$6+'TUSD BF'!$AM$6+'TUSD CVA'!$AM$6)*1</f>
        <v>21.369338625624472</v>
      </c>
      <c r="Z3" s="6">
        <f ca="1">('TUSD BE'!$AM$7+'TUSD BF'!$AM$7+'TUSD CVA'!$AM$7)*1</f>
        <v>145.72237393634796</v>
      </c>
      <c r="AA3" s="6">
        <f>('TE BE'!$AB$6+'TE BF'!$AB$6+'TE CVA'!$AB$6)*1</f>
        <v>222.39386487986414</v>
      </c>
      <c r="AB3" s="6">
        <f t="shared" si="0"/>
        <v>0</v>
      </c>
      <c r="AC3" s="6">
        <f t="shared" si="1"/>
        <v>44388.667904000009</v>
      </c>
      <c r="AD3" s="6">
        <f t="shared" ca="1" si="2"/>
        <v>0</v>
      </c>
      <c r="AE3" s="6">
        <f t="shared" ca="1" si="3"/>
        <v>49854.129469375141</v>
      </c>
      <c r="AF3" s="4" t="s">
        <v>812</v>
      </c>
      <c r="AH3" s="35" t="s">
        <v>813</v>
      </c>
      <c r="AI3" s="36">
        <f t="shared" si="4"/>
        <v>0</v>
      </c>
      <c r="AJ3" s="36">
        <f t="shared" ca="1" si="5"/>
        <v>0</v>
      </c>
    </row>
    <row r="4" spans="1:36" ht="11.25" customHeight="1" x14ac:dyDescent="0.3">
      <c r="A4" s="4" t="s">
        <v>21</v>
      </c>
      <c r="B4" s="4" t="s">
        <v>45</v>
      </c>
      <c r="C4" s="4" t="s">
        <v>42</v>
      </c>
      <c r="D4" s="4" t="s">
        <v>44</v>
      </c>
      <c r="E4" s="4" t="s">
        <v>53</v>
      </c>
      <c r="F4" s="4" t="s">
        <v>55</v>
      </c>
      <c r="G4" s="4" t="s">
        <v>25</v>
      </c>
      <c r="H4" s="4" t="s">
        <v>35</v>
      </c>
      <c r="I4" s="5">
        <v>44774</v>
      </c>
      <c r="J4" s="6">
        <v>0</v>
      </c>
      <c r="K4" s="6">
        <v>0</v>
      </c>
      <c r="L4" s="6">
        <v>498.92200000000003</v>
      </c>
      <c r="M4" s="6">
        <v>99.784400000000005</v>
      </c>
      <c r="N4" s="6">
        <v>498.92200000000003</v>
      </c>
      <c r="O4" s="6">
        <v>99.784400000000005</v>
      </c>
      <c r="P4" s="6">
        <v>0</v>
      </c>
      <c r="Q4" s="4" t="s">
        <v>26</v>
      </c>
      <c r="R4" s="4">
        <v>0</v>
      </c>
      <c r="S4" s="4">
        <v>0</v>
      </c>
      <c r="T4" s="4">
        <v>6</v>
      </c>
      <c r="U4" s="4">
        <v>63</v>
      </c>
      <c r="V4" s="6">
        <f>IF(ISERROR(VLOOKUP($S$4,'TAR FIN'!$A$1:$O$103,15,0)),0,VLOOKUP($S$4,'TAR FIN'!$A$1:$O$103,15,0))</f>
        <v>0</v>
      </c>
      <c r="W4" s="6">
        <f>IF(ISERROR(VLOOKUP($T$4,'TAR FIN'!$A$1:$O$103,15,0)),0,VLOOKUP($T$4,'TAR FIN'!$A$1:$O$103,15,0))</f>
        <v>84.99</v>
      </c>
      <c r="X4" s="6">
        <f>IF(ISERROR(VLOOKUP($U$4,'TAR FIN'!$A$1:$O$103,15,0)),0,VLOOKUP($U$4,'TAR FIN'!$A$1:$O$103,15,0))</f>
        <v>242.77</v>
      </c>
      <c r="Y4" s="6">
        <f ca="1">('TUSD BE'!$AM$6+'TUSD BF'!$AM$6+'TUSD CVA'!$AM$6)*1</f>
        <v>21.369338625624472</v>
      </c>
      <c r="Z4" s="6">
        <f ca="1">('TUSD BE'!$AM$7+'TUSD BF'!$AM$7+'TUSD CVA'!$AM$7)*1</f>
        <v>145.72237393634796</v>
      </c>
      <c r="AA4" s="6">
        <f>('TE BE'!$AB$6+'TE BF'!$AB$6+'TE CVA'!$AB$6)*1</f>
        <v>222.39386487986414</v>
      </c>
      <c r="AB4" s="6">
        <f t="shared" si="0"/>
        <v>0</v>
      </c>
      <c r="AC4" s="6">
        <f t="shared" si="1"/>
        <v>130821.33977600001</v>
      </c>
      <c r="AD4" s="6">
        <f t="shared" ca="1" si="2"/>
        <v>0</v>
      </c>
      <c r="AE4" s="6">
        <f t="shared" ca="1" si="3"/>
        <v>146929.03208212974</v>
      </c>
      <c r="AF4" s="4" t="s">
        <v>812</v>
      </c>
      <c r="AH4" s="35" t="s">
        <v>819</v>
      </c>
      <c r="AI4" s="36">
        <f t="shared" si="4"/>
        <v>0</v>
      </c>
      <c r="AJ4" s="36">
        <f t="shared" si="5"/>
        <v>0</v>
      </c>
    </row>
    <row r="5" spans="1:36" ht="11.25" customHeight="1" x14ac:dyDescent="0.3">
      <c r="A5" s="4" t="s">
        <v>21</v>
      </c>
      <c r="B5" s="4" t="s">
        <v>45</v>
      </c>
      <c r="C5" s="4" t="s">
        <v>42</v>
      </c>
      <c r="D5" s="4" t="s">
        <v>44</v>
      </c>
      <c r="E5" s="4" t="s">
        <v>53</v>
      </c>
      <c r="F5" s="4" t="s">
        <v>25</v>
      </c>
      <c r="G5" s="4" t="s">
        <v>25</v>
      </c>
      <c r="H5" s="4" t="s">
        <v>35</v>
      </c>
      <c r="I5" s="5">
        <v>44501</v>
      </c>
      <c r="J5" s="6">
        <v>114</v>
      </c>
      <c r="K5" s="52">
        <v>114</v>
      </c>
      <c r="L5" s="6">
        <v>0</v>
      </c>
      <c r="M5" s="52">
        <v>0</v>
      </c>
      <c r="N5" s="6">
        <v>0</v>
      </c>
      <c r="O5" s="52">
        <v>0</v>
      </c>
      <c r="P5" s="6">
        <v>0</v>
      </c>
      <c r="Q5" s="4" t="s">
        <v>26</v>
      </c>
      <c r="R5" s="4">
        <v>0</v>
      </c>
      <c r="S5" s="4">
        <v>3</v>
      </c>
      <c r="T5" s="4">
        <v>0</v>
      </c>
      <c r="U5" s="4">
        <v>0</v>
      </c>
      <c r="V5" s="52">
        <f>IF(ISERROR(VLOOKUP($S$5,'TAR FIN'!$A$1:$O$103,15,0)),0,VLOOKUP($S$5,'TAR FIN'!$A$1:$O$103,15,0))*(1-0.04)</f>
        <v>18.1632</v>
      </c>
      <c r="W5" s="52">
        <f>IF(ISERROR(VLOOKUP($T$5,'TAR FIN'!$A$1:$O$103,15,0)),0,VLOOKUP($T$5,'TAR FIN'!$A$1:$O$103,15,0))*(1-0.04)</f>
        <v>0</v>
      </c>
      <c r="X5" s="52">
        <f>IF(ISERROR(VLOOKUP($U$5,'TAR FIN'!$A$1:$O$103,15,0)),0,VLOOKUP($U$5,'TAR FIN'!$A$1:$O$103,15,0))*(1-0.04)</f>
        <v>0</v>
      </c>
      <c r="Y5" s="52">
        <f ca="1">('TUSD BE'!$AM$6+'TUSD BF'!$AM$6+'TUSD CVA'!$AM$6)*1*(1-0.02)</f>
        <v>20.941951853111981</v>
      </c>
      <c r="Z5" s="52">
        <f ca="1">('TUSD BE'!$AM$7+'TUSD BF'!$AM$7+'TUSD CVA'!$AM$7)*1*(1-0.02)</f>
        <v>142.80792645762099</v>
      </c>
      <c r="AA5" s="52">
        <f>('TE BE'!$AB$6+'TE BF'!$AB$6+'TE CVA'!$AB$6)*1*(1-0.02)</f>
        <v>217.94598758226687</v>
      </c>
      <c r="AB5" s="52">
        <f>(SUBSIDIO!$J$5*SUBSIDIO!$V$5)*(0.04)/(1-0.04)</f>
        <v>86.275200000000012</v>
      </c>
      <c r="AC5" s="52">
        <f>((SUBSIDIO!$L$5*SUBSIDIO!$W$5)+(SUBSIDIO!$N$5*SUBSIDIO!$X$5))*(0.04)/(1-0.04)</f>
        <v>0</v>
      </c>
      <c r="AD5" s="52">
        <f ca="1">(SUBSIDIO!$J$5*SUBSIDIO!$Y$5)*(0.02)/(1-0.02)</f>
        <v>48.722092066423791</v>
      </c>
      <c r="AE5" s="52">
        <f ca="1">((SUBSIDIO!$L$5*SUBSIDIO!$Z$5)+(SUBSIDIO!$N$5*SUBSIDIO!$AA$5))*(0.02)/(1-0.02)</f>
        <v>0</v>
      </c>
      <c r="AF5" s="4" t="s">
        <v>811</v>
      </c>
      <c r="AH5" s="35" t="s">
        <v>814</v>
      </c>
      <c r="AI5" s="36">
        <f t="shared" si="4"/>
        <v>147767.72010299997</v>
      </c>
      <c r="AJ5" s="36">
        <f t="shared" ca="1" si="5"/>
        <v>82815.274388765509</v>
      </c>
    </row>
    <row r="6" spans="1:36" ht="11.25" customHeight="1" x14ac:dyDescent="0.3">
      <c r="A6" s="4" t="s">
        <v>21</v>
      </c>
      <c r="B6" s="4" t="s">
        <v>45</v>
      </c>
      <c r="C6" s="4" t="s">
        <v>42</v>
      </c>
      <c r="D6" s="4" t="s">
        <v>44</v>
      </c>
      <c r="E6" s="4" t="s">
        <v>53</v>
      </c>
      <c r="F6" s="4" t="s">
        <v>25</v>
      </c>
      <c r="G6" s="4" t="s">
        <v>25</v>
      </c>
      <c r="H6" s="4" t="s">
        <v>35</v>
      </c>
      <c r="I6" s="5">
        <v>44531</v>
      </c>
      <c r="J6" s="6">
        <v>114</v>
      </c>
      <c r="K6" s="52">
        <v>114</v>
      </c>
      <c r="L6" s="6">
        <v>0</v>
      </c>
      <c r="M6" s="52">
        <v>0</v>
      </c>
      <c r="N6" s="6">
        <v>0</v>
      </c>
      <c r="O6" s="52">
        <v>0</v>
      </c>
      <c r="P6" s="6">
        <v>0</v>
      </c>
      <c r="Q6" s="4" t="s">
        <v>26</v>
      </c>
      <c r="R6" s="4">
        <v>0</v>
      </c>
      <c r="S6" s="4">
        <v>3</v>
      </c>
      <c r="T6" s="4">
        <v>0</v>
      </c>
      <c r="U6" s="4">
        <v>0</v>
      </c>
      <c r="V6" s="52">
        <f>IF(ISERROR(VLOOKUP($S$6,'TAR FIN'!$A$1:$O$103,15,0)),0,VLOOKUP($S$6,'TAR FIN'!$A$1:$O$103,15,0))*(1-0.04)</f>
        <v>18.1632</v>
      </c>
      <c r="W6" s="52">
        <f>IF(ISERROR(VLOOKUP($T$6,'TAR FIN'!$A$1:$O$103,15,0)),0,VLOOKUP($T$6,'TAR FIN'!$A$1:$O$103,15,0))*(1-0.04)</f>
        <v>0</v>
      </c>
      <c r="X6" s="52">
        <f>IF(ISERROR(VLOOKUP($U$6,'TAR FIN'!$A$1:$O$103,15,0)),0,VLOOKUP($U$6,'TAR FIN'!$A$1:$O$103,15,0))*(1-0.04)</f>
        <v>0</v>
      </c>
      <c r="Y6" s="52">
        <f ca="1">('TUSD BE'!$AM$6+'TUSD BF'!$AM$6+'TUSD CVA'!$AM$6)*1*(1-0.02)</f>
        <v>20.941951853111981</v>
      </c>
      <c r="Z6" s="52">
        <f ca="1">('TUSD BE'!$AM$7+'TUSD BF'!$AM$7+'TUSD CVA'!$AM$7)*1*(1-0.02)</f>
        <v>142.80792645762099</v>
      </c>
      <c r="AA6" s="52">
        <f>('TE BE'!$AB$6+'TE BF'!$AB$6+'TE CVA'!$AB$6)*1*(1-0.02)</f>
        <v>217.94598758226687</v>
      </c>
      <c r="AB6" s="52">
        <f>(SUBSIDIO!$J$6*SUBSIDIO!$V$6)*(0.04)/(1-0.04)</f>
        <v>86.275200000000012</v>
      </c>
      <c r="AC6" s="52">
        <f>((SUBSIDIO!$L$6*SUBSIDIO!$W$6)+(SUBSIDIO!$N$6*SUBSIDIO!$X$6))*(0.04)/(1-0.04)</f>
        <v>0</v>
      </c>
      <c r="AD6" s="52">
        <f ca="1">(SUBSIDIO!$J$6*SUBSIDIO!$Y$6)*(0.02)/(1-0.02)</f>
        <v>48.722092066423791</v>
      </c>
      <c r="AE6" s="52">
        <f ca="1">((SUBSIDIO!$L$6*SUBSIDIO!$Z$6)+(SUBSIDIO!$N$6*SUBSIDIO!$AA$6))*(0.02)/(1-0.02)</f>
        <v>0</v>
      </c>
      <c r="AF6" s="4" t="s">
        <v>811</v>
      </c>
      <c r="AH6" s="35" t="s">
        <v>811</v>
      </c>
      <c r="AI6" s="36">
        <f t="shared" si="4"/>
        <v>1310087.7985283993</v>
      </c>
      <c r="AJ6" s="36">
        <f t="shared" ca="1" si="5"/>
        <v>738856.9733555736</v>
      </c>
    </row>
    <row r="7" spans="1:36" ht="11.25" customHeight="1" x14ac:dyDescent="0.3">
      <c r="A7" s="4" t="s">
        <v>21</v>
      </c>
      <c r="B7" s="4" t="s">
        <v>45</v>
      </c>
      <c r="C7" s="4" t="s">
        <v>42</v>
      </c>
      <c r="D7" s="4" t="s">
        <v>44</v>
      </c>
      <c r="E7" s="4" t="s">
        <v>53</v>
      </c>
      <c r="F7" s="4" t="s">
        <v>25</v>
      </c>
      <c r="G7" s="4" t="s">
        <v>25</v>
      </c>
      <c r="H7" s="4" t="s">
        <v>35</v>
      </c>
      <c r="I7" s="5">
        <v>44593</v>
      </c>
      <c r="J7" s="6">
        <v>114</v>
      </c>
      <c r="K7" s="52">
        <v>114</v>
      </c>
      <c r="L7" s="6">
        <v>0</v>
      </c>
      <c r="M7" s="52">
        <v>0</v>
      </c>
      <c r="N7" s="6">
        <v>0</v>
      </c>
      <c r="O7" s="52">
        <v>0</v>
      </c>
      <c r="P7" s="6">
        <v>0</v>
      </c>
      <c r="Q7" s="4" t="s">
        <v>26</v>
      </c>
      <c r="R7" s="4">
        <v>0</v>
      </c>
      <c r="S7" s="4">
        <v>3</v>
      </c>
      <c r="T7" s="4">
        <v>0</v>
      </c>
      <c r="U7" s="4">
        <v>0</v>
      </c>
      <c r="V7" s="52">
        <f>IF(ISERROR(VLOOKUP($S$7,'TAR FIN'!$A$1:$O$103,15,0)),0,VLOOKUP($S$7,'TAR FIN'!$A$1:$O$103,15,0))*(1-0.04)</f>
        <v>18.1632</v>
      </c>
      <c r="W7" s="52">
        <f>IF(ISERROR(VLOOKUP($T$7,'TAR FIN'!$A$1:$O$103,15,0)),0,VLOOKUP($T$7,'TAR FIN'!$A$1:$O$103,15,0))*(1-0.04)</f>
        <v>0</v>
      </c>
      <c r="X7" s="52">
        <f>IF(ISERROR(VLOOKUP($U$7,'TAR FIN'!$A$1:$O$103,15,0)),0,VLOOKUP($U$7,'TAR FIN'!$A$1:$O$103,15,0))*(1-0.04)</f>
        <v>0</v>
      </c>
      <c r="Y7" s="52">
        <f ca="1">('TUSD BE'!$AM$6+'TUSD BF'!$AM$6+'TUSD CVA'!$AM$6)*1*(1-0.02)</f>
        <v>20.941951853111981</v>
      </c>
      <c r="Z7" s="52">
        <f ca="1">('TUSD BE'!$AM$7+'TUSD BF'!$AM$7+'TUSD CVA'!$AM$7)*1*(1-0.02)</f>
        <v>142.80792645762099</v>
      </c>
      <c r="AA7" s="52">
        <f>('TE BE'!$AB$6+'TE BF'!$AB$6+'TE CVA'!$AB$6)*1*(1-0.02)</f>
        <v>217.94598758226687</v>
      </c>
      <c r="AB7" s="52">
        <f>(SUBSIDIO!$J$7*SUBSIDIO!$V$7)*(0.04)/(1-0.04)</f>
        <v>86.275200000000012</v>
      </c>
      <c r="AC7" s="52">
        <f>((SUBSIDIO!$L$7*SUBSIDIO!$W$7)+(SUBSIDIO!$N$7*SUBSIDIO!$X$7))*(0.04)/(1-0.04)</f>
        <v>0</v>
      </c>
      <c r="AD7" s="52">
        <f ca="1">(SUBSIDIO!$J$7*SUBSIDIO!$Y$7)*(0.02)/(1-0.02)</f>
        <v>48.722092066423791</v>
      </c>
      <c r="AE7" s="52">
        <f ca="1">((SUBSIDIO!$L$7*SUBSIDIO!$Z$7)+(SUBSIDIO!$N$7*SUBSIDIO!$AA$7))*(0.02)/(1-0.02)</f>
        <v>0</v>
      </c>
      <c r="AF7" s="4" t="s">
        <v>811</v>
      </c>
      <c r="AH7" s="35" t="s">
        <v>812</v>
      </c>
      <c r="AI7" s="36">
        <f t="shared" si="4"/>
        <v>979182.65098120004</v>
      </c>
      <c r="AJ7" s="36">
        <f t="shared" ca="1" si="5"/>
        <v>1087152.8364770405</v>
      </c>
    </row>
    <row r="8" spans="1:36" ht="11.25" customHeight="1" x14ac:dyDescent="0.3">
      <c r="A8" s="4" t="s">
        <v>21</v>
      </c>
      <c r="B8" s="4" t="s">
        <v>45</v>
      </c>
      <c r="C8" s="4" t="s">
        <v>42</v>
      </c>
      <c r="D8" s="4" t="s">
        <v>44</v>
      </c>
      <c r="E8" s="4" t="s">
        <v>53</v>
      </c>
      <c r="F8" s="4" t="s">
        <v>25</v>
      </c>
      <c r="G8" s="4" t="s">
        <v>25</v>
      </c>
      <c r="H8" s="4" t="s">
        <v>35</v>
      </c>
      <c r="I8" s="5">
        <v>44621</v>
      </c>
      <c r="J8" s="6">
        <v>114</v>
      </c>
      <c r="K8" s="52">
        <v>114</v>
      </c>
      <c r="L8" s="6">
        <v>0</v>
      </c>
      <c r="M8" s="52">
        <v>0</v>
      </c>
      <c r="N8" s="6">
        <v>0</v>
      </c>
      <c r="O8" s="52">
        <v>0</v>
      </c>
      <c r="P8" s="6">
        <v>0</v>
      </c>
      <c r="Q8" s="4" t="s">
        <v>26</v>
      </c>
      <c r="R8" s="4">
        <v>0</v>
      </c>
      <c r="S8" s="4">
        <v>3</v>
      </c>
      <c r="T8" s="4">
        <v>0</v>
      </c>
      <c r="U8" s="4">
        <v>0</v>
      </c>
      <c r="V8" s="52">
        <f>IF(ISERROR(VLOOKUP($S$8,'TAR FIN'!$A$1:$O$103,15,0)),0,VLOOKUP($S$8,'TAR FIN'!$A$1:$O$103,15,0))*(1-0.04)</f>
        <v>18.1632</v>
      </c>
      <c r="W8" s="52">
        <f>IF(ISERROR(VLOOKUP($T$8,'TAR FIN'!$A$1:$O$103,15,0)),0,VLOOKUP($T$8,'TAR FIN'!$A$1:$O$103,15,0))*(1-0.04)</f>
        <v>0</v>
      </c>
      <c r="X8" s="52">
        <f>IF(ISERROR(VLOOKUP($U$8,'TAR FIN'!$A$1:$O$103,15,0)),0,VLOOKUP($U$8,'TAR FIN'!$A$1:$O$103,15,0))*(1-0.04)</f>
        <v>0</v>
      </c>
      <c r="Y8" s="52">
        <f ca="1">('TUSD BE'!$AM$6+'TUSD BF'!$AM$6+'TUSD CVA'!$AM$6)*1*(1-0.02)</f>
        <v>20.941951853111981</v>
      </c>
      <c r="Z8" s="52">
        <f ca="1">('TUSD BE'!$AM$7+'TUSD BF'!$AM$7+'TUSD CVA'!$AM$7)*1*(1-0.02)</f>
        <v>142.80792645762099</v>
      </c>
      <c r="AA8" s="52">
        <f>('TE BE'!$AB$6+'TE BF'!$AB$6+'TE CVA'!$AB$6)*1*(1-0.02)</f>
        <v>217.94598758226687</v>
      </c>
      <c r="AB8" s="52">
        <f>(SUBSIDIO!$J$8*SUBSIDIO!$V$8)*(0.04)/(1-0.04)</f>
        <v>86.275200000000012</v>
      </c>
      <c r="AC8" s="52">
        <f>((SUBSIDIO!$L$8*SUBSIDIO!$W$8)+(SUBSIDIO!$N$8*SUBSIDIO!$X$8))*(0.04)/(1-0.04)</f>
        <v>0</v>
      </c>
      <c r="AD8" s="52">
        <f ca="1">(SUBSIDIO!$J$8*SUBSIDIO!$Y$8)*(0.02)/(1-0.02)</f>
        <v>48.722092066423791</v>
      </c>
      <c r="AE8" s="52">
        <f ca="1">((SUBSIDIO!$L$8*SUBSIDIO!$Z$8)+(SUBSIDIO!$N$8*SUBSIDIO!$AA$8))*(0.02)/(1-0.02)</f>
        <v>0</v>
      </c>
      <c r="AF8" s="4" t="s">
        <v>811</v>
      </c>
      <c r="AH8" s="35" t="s">
        <v>816</v>
      </c>
      <c r="AI8" s="36">
        <f t="shared" si="4"/>
        <v>992078.28364499996</v>
      </c>
      <c r="AJ8" s="36">
        <f t="shared" ca="1" si="5"/>
        <v>1004789.3499308267</v>
      </c>
    </row>
    <row r="9" spans="1:36" ht="11.25" customHeight="1" x14ac:dyDescent="0.3">
      <c r="A9" s="4" t="s">
        <v>21</v>
      </c>
      <c r="B9" s="4" t="s">
        <v>45</v>
      </c>
      <c r="C9" s="4" t="s">
        <v>42</v>
      </c>
      <c r="D9" s="4" t="s">
        <v>44</v>
      </c>
      <c r="E9" s="4" t="s">
        <v>53</v>
      </c>
      <c r="F9" s="4" t="s">
        <v>25</v>
      </c>
      <c r="G9" s="4" t="s">
        <v>25</v>
      </c>
      <c r="H9" s="4" t="s">
        <v>35</v>
      </c>
      <c r="I9" s="5">
        <v>44652</v>
      </c>
      <c r="J9" s="6">
        <v>114</v>
      </c>
      <c r="K9" s="52">
        <v>114</v>
      </c>
      <c r="L9" s="6">
        <v>0</v>
      </c>
      <c r="M9" s="52">
        <v>0</v>
      </c>
      <c r="N9" s="6">
        <v>0</v>
      </c>
      <c r="O9" s="52">
        <v>0</v>
      </c>
      <c r="P9" s="6">
        <v>0</v>
      </c>
      <c r="Q9" s="4" t="s">
        <v>26</v>
      </c>
      <c r="R9" s="4">
        <v>0</v>
      </c>
      <c r="S9" s="4">
        <v>3</v>
      </c>
      <c r="T9" s="4">
        <v>0</v>
      </c>
      <c r="U9" s="4">
        <v>0</v>
      </c>
      <c r="V9" s="52">
        <f>IF(ISERROR(VLOOKUP($S$9,'TAR FIN'!$A$1:$O$103,15,0)),0,VLOOKUP($S$9,'TAR FIN'!$A$1:$O$103,15,0))*(1-0.04)</f>
        <v>18.1632</v>
      </c>
      <c r="W9" s="52">
        <f>IF(ISERROR(VLOOKUP($T$9,'TAR FIN'!$A$1:$O$103,15,0)),0,VLOOKUP($T$9,'TAR FIN'!$A$1:$O$103,15,0))*(1-0.04)</f>
        <v>0</v>
      </c>
      <c r="X9" s="52">
        <f>IF(ISERROR(VLOOKUP($U$9,'TAR FIN'!$A$1:$O$103,15,0)),0,VLOOKUP($U$9,'TAR FIN'!$A$1:$O$103,15,0))*(1-0.04)</f>
        <v>0</v>
      </c>
      <c r="Y9" s="52">
        <f ca="1">('TUSD BE'!$AM$6+'TUSD BF'!$AM$6+'TUSD CVA'!$AM$6)*1*(1-0.02)</f>
        <v>20.941951853111981</v>
      </c>
      <c r="Z9" s="52">
        <f ca="1">('TUSD BE'!$AM$7+'TUSD BF'!$AM$7+'TUSD CVA'!$AM$7)*1*(1-0.02)</f>
        <v>142.80792645762099</v>
      </c>
      <c r="AA9" s="52">
        <f>('TE BE'!$AB$6+'TE BF'!$AB$6+'TE CVA'!$AB$6)*1*(1-0.02)</f>
        <v>217.94598758226687</v>
      </c>
      <c r="AB9" s="52">
        <f>(SUBSIDIO!$J$9*SUBSIDIO!$V$9)*(0.04)/(1-0.04)</f>
        <v>86.275200000000012</v>
      </c>
      <c r="AC9" s="52">
        <f>((SUBSIDIO!$L$9*SUBSIDIO!$W$9)+(SUBSIDIO!$N$9*SUBSIDIO!$X$9))*(0.04)/(1-0.04)</f>
        <v>0</v>
      </c>
      <c r="AD9" s="52">
        <f ca="1">(SUBSIDIO!$J$9*SUBSIDIO!$Y$9)*(0.02)/(1-0.02)</f>
        <v>48.722092066423791</v>
      </c>
      <c r="AE9" s="52">
        <f ca="1">((SUBSIDIO!$L$9*SUBSIDIO!$Z$9)+(SUBSIDIO!$N$9*SUBSIDIO!$AA$9))*(0.02)/(1-0.02)</f>
        <v>0</v>
      </c>
      <c r="AF9" s="4" t="s">
        <v>811</v>
      </c>
      <c r="AH9" s="35" t="s">
        <v>984</v>
      </c>
      <c r="AI9" s="36">
        <f t="shared" si="4"/>
        <v>0</v>
      </c>
      <c r="AJ9" s="36">
        <f ca="1">EFEITO!$AU$10 - EFEITO_350!$AU$10</f>
        <v>4139683.0911486447</v>
      </c>
    </row>
    <row r="10" spans="1:36" ht="11.25" customHeight="1" x14ac:dyDescent="0.3">
      <c r="A10" s="4" t="s">
        <v>21</v>
      </c>
      <c r="B10" s="4" t="s">
        <v>45</v>
      </c>
      <c r="C10" s="4" t="s">
        <v>42</v>
      </c>
      <c r="D10" s="4" t="s">
        <v>44</v>
      </c>
      <c r="E10" s="4" t="s">
        <v>53</v>
      </c>
      <c r="F10" s="4" t="s">
        <v>25</v>
      </c>
      <c r="G10" s="4" t="s">
        <v>25</v>
      </c>
      <c r="H10" s="4" t="s">
        <v>35</v>
      </c>
      <c r="I10" s="5">
        <v>44682</v>
      </c>
      <c r="J10" s="6">
        <v>114</v>
      </c>
      <c r="K10" s="52">
        <v>114</v>
      </c>
      <c r="L10" s="6">
        <v>0</v>
      </c>
      <c r="M10" s="52">
        <v>0</v>
      </c>
      <c r="N10" s="6">
        <v>0</v>
      </c>
      <c r="O10" s="52">
        <v>0</v>
      </c>
      <c r="P10" s="6">
        <v>0</v>
      </c>
      <c r="Q10" s="4" t="s">
        <v>26</v>
      </c>
      <c r="R10" s="4">
        <v>0</v>
      </c>
      <c r="S10" s="4">
        <v>3</v>
      </c>
      <c r="T10" s="4">
        <v>0</v>
      </c>
      <c r="U10" s="4">
        <v>0</v>
      </c>
      <c r="V10" s="52">
        <f>IF(ISERROR(VLOOKUP($S$10,'TAR FIN'!$A$1:$O$103,15,0)),0,VLOOKUP($S$10,'TAR FIN'!$A$1:$O$103,15,0))*(1-0.04)</f>
        <v>18.1632</v>
      </c>
      <c r="W10" s="52">
        <f>IF(ISERROR(VLOOKUP($T$10,'TAR FIN'!$A$1:$O$103,15,0)),0,VLOOKUP($T$10,'TAR FIN'!$A$1:$O$103,15,0))*(1-0.04)</f>
        <v>0</v>
      </c>
      <c r="X10" s="52">
        <f>IF(ISERROR(VLOOKUP($U$10,'TAR FIN'!$A$1:$O$103,15,0)),0,VLOOKUP($U$10,'TAR FIN'!$A$1:$O$103,15,0))*(1-0.04)</f>
        <v>0</v>
      </c>
      <c r="Y10" s="52">
        <f ca="1">('TUSD BE'!$AM$6+'TUSD BF'!$AM$6+'TUSD CVA'!$AM$6)*1*(1-0.02)</f>
        <v>20.941951853111981</v>
      </c>
      <c r="Z10" s="52">
        <f ca="1">('TUSD BE'!$AM$7+'TUSD BF'!$AM$7+'TUSD CVA'!$AM$7)*1*(1-0.02)</f>
        <v>142.80792645762099</v>
      </c>
      <c r="AA10" s="52">
        <f>('TE BE'!$AB$6+'TE BF'!$AB$6+'TE CVA'!$AB$6)*1*(1-0.02)</f>
        <v>217.94598758226687</v>
      </c>
      <c r="AB10" s="52">
        <f>(SUBSIDIO!$J$10*SUBSIDIO!$V$10)*(0.04)/(1-0.04)</f>
        <v>86.275200000000012</v>
      </c>
      <c r="AC10" s="52">
        <f>((SUBSIDIO!$L$10*SUBSIDIO!$W$10)+(SUBSIDIO!$N$10*SUBSIDIO!$X$10))*(0.04)/(1-0.04)</f>
        <v>0</v>
      </c>
      <c r="AD10" s="52">
        <f ca="1">(SUBSIDIO!$J$10*SUBSIDIO!$Y$10)*(0.02)/(1-0.02)</f>
        <v>48.722092066423791</v>
      </c>
      <c r="AE10" s="52">
        <f ca="1">((SUBSIDIO!$L$10*SUBSIDIO!$Z$10)+(SUBSIDIO!$N$10*SUBSIDIO!$AA$10))*(0.02)/(1-0.02)</f>
        <v>0</v>
      </c>
      <c r="AF10" s="4" t="s">
        <v>811</v>
      </c>
    </row>
    <row r="11" spans="1:36" ht="11.25" customHeight="1" x14ac:dyDescent="0.3">
      <c r="A11" s="4" t="s">
        <v>21</v>
      </c>
      <c r="B11" s="4" t="s">
        <v>45</v>
      </c>
      <c r="C11" s="4" t="s">
        <v>42</v>
      </c>
      <c r="D11" s="4" t="s">
        <v>44</v>
      </c>
      <c r="E11" s="4" t="s">
        <v>53</v>
      </c>
      <c r="F11" s="4" t="s">
        <v>25</v>
      </c>
      <c r="G11" s="4" t="s">
        <v>25</v>
      </c>
      <c r="H11" s="4" t="s">
        <v>35</v>
      </c>
      <c r="I11" s="5">
        <v>44713</v>
      </c>
      <c r="J11" s="6">
        <v>1100</v>
      </c>
      <c r="K11" s="52">
        <v>1100</v>
      </c>
      <c r="L11" s="6">
        <v>249.721</v>
      </c>
      <c r="M11" s="52">
        <v>249.721</v>
      </c>
      <c r="N11" s="6">
        <v>249.721</v>
      </c>
      <c r="O11" s="52">
        <v>249.721</v>
      </c>
      <c r="P11" s="6">
        <v>0</v>
      </c>
      <c r="Q11" s="4" t="s">
        <v>26</v>
      </c>
      <c r="R11" s="4">
        <v>0</v>
      </c>
      <c r="S11" s="4">
        <v>3</v>
      </c>
      <c r="T11" s="4">
        <v>6</v>
      </c>
      <c r="U11" s="4">
        <v>63</v>
      </c>
      <c r="V11" s="52">
        <f>IF(ISERROR(VLOOKUP($S$11,'TAR FIN'!$A$1:$O$103,15,0)),0,VLOOKUP($S$11,'TAR FIN'!$A$1:$O$103,15,0))*(1-0.04)</f>
        <v>18.1632</v>
      </c>
      <c r="W11" s="52">
        <f>IF(ISERROR(VLOOKUP($T$11,'TAR FIN'!$A$1:$O$103,15,0)),0,VLOOKUP($T$11,'TAR FIN'!$A$1:$O$103,15,0))*(1-0.04)</f>
        <v>81.590399999999988</v>
      </c>
      <c r="X11" s="52">
        <f>IF(ISERROR(VLOOKUP($U$11,'TAR FIN'!$A$1:$O$103,15,0)),0,VLOOKUP($U$11,'TAR FIN'!$A$1:$O$103,15,0))*(1-0.04)</f>
        <v>233.0592</v>
      </c>
      <c r="Y11" s="52">
        <f ca="1">('TUSD BE'!$AM$6+'TUSD BF'!$AM$6+'TUSD CVA'!$AM$6)*1*(1-0.02)</f>
        <v>20.941951853111981</v>
      </c>
      <c r="Z11" s="52">
        <f ca="1">('TUSD BE'!$AM$7+'TUSD BF'!$AM$7+'TUSD CVA'!$AM$7)*1*(1-0.02)</f>
        <v>142.80792645762099</v>
      </c>
      <c r="AA11" s="52">
        <f>('TE BE'!$AB$6+'TE BF'!$AB$6+'TE CVA'!$AB$6)*1*(1-0.02)</f>
        <v>217.94598758226687</v>
      </c>
      <c r="AB11" s="52">
        <f>(SUBSIDIO!$J$11*SUBSIDIO!$V$11)*(0.04)/(1-0.04)</f>
        <v>832.48000000000013</v>
      </c>
      <c r="AC11" s="52">
        <f>((SUBSIDIO!$L$11*SUBSIDIO!$W$11)+(SUBSIDIO!$N$11*SUBSIDIO!$X$11))*(0.04)/(1-0.04)</f>
        <v>3273.9421984000005</v>
      </c>
      <c r="AD11" s="52">
        <f ca="1">(SUBSIDIO!$J$11*SUBSIDIO!$Y$11)*(0.02)/(1-0.02)</f>
        <v>470.1254497637384</v>
      </c>
      <c r="AE11" s="52">
        <f ca="1">((SUBSIDIO!$L$11*SUBSIDIO!$Z$11)+(SUBSIDIO!$N$11*SUBSIDIO!$AA$11))*(0.02)/(1-0.02)</f>
        <v>1838.5271054684663</v>
      </c>
      <c r="AF11" s="4" t="s">
        <v>811</v>
      </c>
      <c r="AI11" s="6">
        <f>SUM(AI2:AI10)</f>
        <v>3834881.8439518148</v>
      </c>
      <c r="AJ11" s="6">
        <f ca="1">SUM(AJ2:AJ10)</f>
        <v>7516472.9028512184</v>
      </c>
    </row>
    <row r="12" spans="1:36" ht="11.25" customHeight="1" x14ac:dyDescent="0.3">
      <c r="A12" s="4" t="s">
        <v>21</v>
      </c>
      <c r="B12" s="4" t="s">
        <v>45</v>
      </c>
      <c r="C12" s="4" t="s">
        <v>42</v>
      </c>
      <c r="D12" s="4" t="s">
        <v>44</v>
      </c>
      <c r="E12" s="4" t="s">
        <v>53</v>
      </c>
      <c r="F12" s="4" t="s">
        <v>25</v>
      </c>
      <c r="G12" s="4" t="s">
        <v>25</v>
      </c>
      <c r="H12" s="4" t="s">
        <v>35</v>
      </c>
      <c r="I12" s="5">
        <v>44743</v>
      </c>
      <c r="J12" s="6">
        <v>1100</v>
      </c>
      <c r="K12" s="52">
        <v>1100</v>
      </c>
      <c r="L12" s="6">
        <v>249.721</v>
      </c>
      <c r="M12" s="52">
        <v>249.721</v>
      </c>
      <c r="N12" s="6">
        <v>249.721</v>
      </c>
      <c r="O12" s="52">
        <v>249.721</v>
      </c>
      <c r="P12" s="6">
        <v>0</v>
      </c>
      <c r="Q12" s="4" t="s">
        <v>26</v>
      </c>
      <c r="R12" s="4">
        <v>0</v>
      </c>
      <c r="S12" s="4">
        <v>3</v>
      </c>
      <c r="T12" s="4">
        <v>6</v>
      </c>
      <c r="U12" s="4">
        <v>63</v>
      </c>
      <c r="V12" s="52">
        <f>IF(ISERROR(VLOOKUP($S$12,'TAR FIN'!$A$1:$O$103,15,0)),0,VLOOKUP($S$12,'TAR FIN'!$A$1:$O$103,15,0))*(1-0.04)</f>
        <v>18.1632</v>
      </c>
      <c r="W12" s="52">
        <f>IF(ISERROR(VLOOKUP($T$12,'TAR FIN'!$A$1:$O$103,15,0)),0,VLOOKUP($T$12,'TAR FIN'!$A$1:$O$103,15,0))*(1-0.04)</f>
        <v>81.590399999999988</v>
      </c>
      <c r="X12" s="52">
        <f>IF(ISERROR(VLOOKUP($U$12,'TAR FIN'!$A$1:$O$103,15,0)),0,VLOOKUP($U$12,'TAR FIN'!$A$1:$O$103,15,0))*(1-0.04)</f>
        <v>233.0592</v>
      </c>
      <c r="Y12" s="52">
        <f ca="1">('TUSD BE'!$AM$6+'TUSD BF'!$AM$6+'TUSD CVA'!$AM$6)*1*(1-0.02)</f>
        <v>20.941951853111981</v>
      </c>
      <c r="Z12" s="52">
        <f ca="1">('TUSD BE'!$AM$7+'TUSD BF'!$AM$7+'TUSD CVA'!$AM$7)*1*(1-0.02)</f>
        <v>142.80792645762099</v>
      </c>
      <c r="AA12" s="52">
        <f>('TE BE'!$AB$6+'TE BF'!$AB$6+'TE CVA'!$AB$6)*1*(1-0.02)</f>
        <v>217.94598758226687</v>
      </c>
      <c r="AB12" s="52">
        <f>(SUBSIDIO!$J$12*SUBSIDIO!$V$12)*(0.04)/(1-0.04)</f>
        <v>832.48000000000013</v>
      </c>
      <c r="AC12" s="52">
        <f>((SUBSIDIO!$L$12*SUBSIDIO!$W$12)+(SUBSIDIO!$N$12*SUBSIDIO!$X$12))*(0.04)/(1-0.04)</f>
        <v>3273.9421984000005</v>
      </c>
      <c r="AD12" s="52">
        <f ca="1">(SUBSIDIO!$J$12*SUBSIDIO!$Y$12)*(0.02)/(1-0.02)</f>
        <v>470.1254497637384</v>
      </c>
      <c r="AE12" s="52">
        <f ca="1">((SUBSIDIO!$L$12*SUBSIDIO!$Z$12)+(SUBSIDIO!$N$12*SUBSIDIO!$AA$12))*(0.02)/(1-0.02)</f>
        <v>1838.5271054684663</v>
      </c>
      <c r="AF12" s="4" t="s">
        <v>811</v>
      </c>
    </row>
    <row r="13" spans="1:36" ht="11.25" customHeight="1" x14ac:dyDescent="0.3">
      <c r="A13" s="4" t="s">
        <v>21</v>
      </c>
      <c r="B13" s="4" t="s">
        <v>45</v>
      </c>
      <c r="C13" s="4" t="s">
        <v>42</v>
      </c>
      <c r="D13" s="4" t="s">
        <v>44</v>
      </c>
      <c r="E13" s="4" t="s">
        <v>53</v>
      </c>
      <c r="F13" s="4" t="s">
        <v>25</v>
      </c>
      <c r="G13" s="4" t="s">
        <v>25</v>
      </c>
      <c r="H13" s="4" t="s">
        <v>35</v>
      </c>
      <c r="I13" s="5">
        <v>44774</v>
      </c>
      <c r="J13" s="6">
        <v>1100</v>
      </c>
      <c r="K13" s="52">
        <v>1100</v>
      </c>
      <c r="L13" s="6">
        <v>422.24400000000003</v>
      </c>
      <c r="M13" s="52">
        <v>422.24400000000003</v>
      </c>
      <c r="N13" s="6">
        <v>422.24400000000003</v>
      </c>
      <c r="O13" s="52">
        <v>422.24400000000003</v>
      </c>
      <c r="P13" s="6">
        <v>0</v>
      </c>
      <c r="Q13" s="4" t="s">
        <v>26</v>
      </c>
      <c r="R13" s="4">
        <v>0</v>
      </c>
      <c r="S13" s="4">
        <v>3</v>
      </c>
      <c r="T13" s="4">
        <v>6</v>
      </c>
      <c r="U13" s="4">
        <v>63</v>
      </c>
      <c r="V13" s="52">
        <f>IF(ISERROR(VLOOKUP($S$13,'TAR FIN'!$A$1:$O$103,15,0)),0,VLOOKUP($S$13,'TAR FIN'!$A$1:$O$103,15,0))*(1-0.04)</f>
        <v>18.1632</v>
      </c>
      <c r="W13" s="52">
        <f>IF(ISERROR(VLOOKUP($T$13,'TAR FIN'!$A$1:$O$103,15,0)),0,VLOOKUP($T$13,'TAR FIN'!$A$1:$O$103,15,0))*(1-0.04)</f>
        <v>81.590399999999988</v>
      </c>
      <c r="X13" s="52">
        <f>IF(ISERROR(VLOOKUP($U$13,'TAR FIN'!$A$1:$O$103,15,0)),0,VLOOKUP($U$13,'TAR FIN'!$A$1:$O$103,15,0))*(1-0.04)</f>
        <v>233.0592</v>
      </c>
      <c r="Y13" s="52">
        <f ca="1">('TUSD BE'!$AM$6+'TUSD BF'!$AM$6+'TUSD CVA'!$AM$6)*1*(1-0.02)</f>
        <v>20.941951853111981</v>
      </c>
      <c r="Z13" s="52">
        <f ca="1">('TUSD BE'!$AM$7+'TUSD BF'!$AM$7+'TUSD CVA'!$AM$7)*1*(1-0.02)</f>
        <v>142.80792645762099</v>
      </c>
      <c r="AA13" s="52">
        <f>('TE BE'!$AB$6+'TE BF'!$AB$6+'TE CVA'!$AB$6)*1*(1-0.02)</f>
        <v>217.94598758226687</v>
      </c>
      <c r="AB13" s="52">
        <f>(SUBSIDIO!$J$13*SUBSIDIO!$V$13)*(0.04)/(1-0.04)</f>
        <v>832.48000000000013</v>
      </c>
      <c r="AC13" s="52">
        <f>((SUBSIDIO!$L$13*SUBSIDIO!$W$13)+(SUBSIDIO!$N$13*SUBSIDIO!$X$13))*(0.04)/(1-0.04)</f>
        <v>5535.7877376000015</v>
      </c>
      <c r="AD13" s="52">
        <f ca="1">(SUBSIDIO!$J$13*SUBSIDIO!$Y$13)*(0.02)/(1-0.02)</f>
        <v>470.1254497637384</v>
      </c>
      <c r="AE13" s="52">
        <f ca="1">((SUBSIDIO!$L$13*SUBSIDIO!$Z$13)+(SUBSIDIO!$N$13*SUBSIDIO!$AA$13))*(0.02)/(1-0.02)</f>
        <v>3108.6974628542534</v>
      </c>
      <c r="AF13" s="4" t="s">
        <v>811</v>
      </c>
    </row>
    <row r="14" spans="1:36" ht="11.25" customHeight="1" x14ac:dyDescent="0.3">
      <c r="A14" s="4" t="s">
        <v>21</v>
      </c>
      <c r="B14" s="4" t="s">
        <v>45</v>
      </c>
      <c r="C14" s="4" t="s">
        <v>42</v>
      </c>
      <c r="D14" s="4" t="s">
        <v>44</v>
      </c>
      <c r="E14" s="4" t="s">
        <v>53</v>
      </c>
      <c r="F14" s="4" t="s">
        <v>25</v>
      </c>
      <c r="G14" s="4" t="s">
        <v>25</v>
      </c>
      <c r="H14" s="4" t="s">
        <v>35</v>
      </c>
      <c r="I14" s="5">
        <v>44805</v>
      </c>
      <c r="J14" s="6">
        <v>110</v>
      </c>
      <c r="K14" s="52">
        <v>110</v>
      </c>
      <c r="L14" s="6">
        <v>0</v>
      </c>
      <c r="M14" s="52">
        <v>0</v>
      </c>
      <c r="N14" s="6">
        <v>0</v>
      </c>
      <c r="O14" s="52">
        <v>0</v>
      </c>
      <c r="P14" s="6">
        <v>0</v>
      </c>
      <c r="Q14" s="4" t="s">
        <v>26</v>
      </c>
      <c r="R14" s="4">
        <v>0</v>
      </c>
      <c r="S14" s="4">
        <v>3</v>
      </c>
      <c r="T14" s="4">
        <v>0</v>
      </c>
      <c r="U14" s="4">
        <v>0</v>
      </c>
      <c r="V14" s="52">
        <f>IF(ISERROR(VLOOKUP($S$14,'TAR FIN'!$A$1:$O$103,15,0)),0,VLOOKUP($S$14,'TAR FIN'!$A$1:$O$103,15,0))*(1-0.04)</f>
        <v>18.1632</v>
      </c>
      <c r="W14" s="52">
        <f>IF(ISERROR(VLOOKUP($T$14,'TAR FIN'!$A$1:$O$103,15,0)),0,VLOOKUP($T$14,'TAR FIN'!$A$1:$O$103,15,0))*(1-0.04)</f>
        <v>0</v>
      </c>
      <c r="X14" s="52">
        <f>IF(ISERROR(VLOOKUP($U$14,'TAR FIN'!$A$1:$O$103,15,0)),0,VLOOKUP($U$14,'TAR FIN'!$A$1:$O$103,15,0))*(1-0.04)</f>
        <v>0</v>
      </c>
      <c r="Y14" s="52">
        <f ca="1">('TUSD BE'!$AM$6+'TUSD BF'!$AM$6+'TUSD CVA'!$AM$6)*1*(1-0.02)</f>
        <v>20.941951853111981</v>
      </c>
      <c r="Z14" s="52">
        <f ca="1">('TUSD BE'!$AM$7+'TUSD BF'!$AM$7+'TUSD CVA'!$AM$7)*1*(1-0.02)</f>
        <v>142.80792645762099</v>
      </c>
      <c r="AA14" s="52">
        <f>('TE BE'!$AB$6+'TE BF'!$AB$6+'TE CVA'!$AB$6)*1*(1-0.02)</f>
        <v>217.94598758226687</v>
      </c>
      <c r="AB14" s="52">
        <f>(SUBSIDIO!$J$14*SUBSIDIO!$V$14)*(0.04)/(1-0.04)</f>
        <v>83.248000000000005</v>
      </c>
      <c r="AC14" s="52">
        <f>((SUBSIDIO!$L$14*SUBSIDIO!$W$14)+(SUBSIDIO!$N$14*SUBSIDIO!$X$14))*(0.04)/(1-0.04)</f>
        <v>0</v>
      </c>
      <c r="AD14" s="52">
        <f ca="1">(SUBSIDIO!$J$14*SUBSIDIO!$Y$14)*(0.02)/(1-0.02)</f>
        <v>47.012544976373832</v>
      </c>
      <c r="AE14" s="52">
        <f ca="1">((SUBSIDIO!$L$14*SUBSIDIO!$Z$14)+(SUBSIDIO!$N$14*SUBSIDIO!$AA$14))*(0.02)/(1-0.02)</f>
        <v>0</v>
      </c>
      <c r="AF14" s="4" t="s">
        <v>811</v>
      </c>
    </row>
    <row r="15" spans="1:36" ht="11.25" customHeight="1" x14ac:dyDescent="0.3">
      <c r="A15" s="4" t="s">
        <v>57</v>
      </c>
      <c r="B15" s="4" t="s">
        <v>45</v>
      </c>
      <c r="C15" s="4" t="s">
        <v>42</v>
      </c>
      <c r="D15" s="4" t="s">
        <v>44</v>
      </c>
      <c r="E15" s="4" t="s">
        <v>53</v>
      </c>
      <c r="F15" s="4" t="s">
        <v>25</v>
      </c>
      <c r="G15" s="4" t="s">
        <v>25</v>
      </c>
      <c r="H15" s="4" t="s">
        <v>35</v>
      </c>
      <c r="I15" s="5">
        <v>44835</v>
      </c>
      <c r="J15" s="6">
        <v>110</v>
      </c>
      <c r="K15" s="52">
        <v>110</v>
      </c>
      <c r="L15" s="6">
        <v>0</v>
      </c>
      <c r="M15" s="52">
        <v>0</v>
      </c>
      <c r="N15" s="6">
        <v>0</v>
      </c>
      <c r="O15" s="52">
        <v>0</v>
      </c>
      <c r="P15" s="6">
        <v>0</v>
      </c>
      <c r="Q15" s="4" t="s">
        <v>26</v>
      </c>
      <c r="R15" s="4">
        <v>0</v>
      </c>
      <c r="S15" s="4">
        <v>3</v>
      </c>
      <c r="T15" s="4">
        <v>0</v>
      </c>
      <c r="U15" s="4">
        <v>0</v>
      </c>
      <c r="V15" s="52">
        <f>IF(ISERROR(VLOOKUP($S$15,'TAR FIN'!$A$1:$O$103,15,0)),0,VLOOKUP($S$15,'TAR FIN'!$A$1:$O$103,15,0))*(1-0.04)</f>
        <v>18.1632</v>
      </c>
      <c r="W15" s="52">
        <f>IF(ISERROR(VLOOKUP($T$15,'TAR FIN'!$A$1:$O$103,15,0)),0,VLOOKUP($T$15,'TAR FIN'!$A$1:$O$103,15,0))*(1-0.04)</f>
        <v>0</v>
      </c>
      <c r="X15" s="52">
        <f>IF(ISERROR(VLOOKUP($U$15,'TAR FIN'!$A$1:$O$103,15,0)),0,VLOOKUP($U$15,'TAR FIN'!$A$1:$O$103,15,0))*(1-0.04)</f>
        <v>0</v>
      </c>
      <c r="Y15" s="52">
        <f ca="1">('TUSD BE'!$AM$6+'TUSD BF'!$AM$6+'TUSD CVA'!$AM$6)*1*(1-0.02)</f>
        <v>20.941951853111981</v>
      </c>
      <c r="Z15" s="52">
        <f ca="1">('TUSD BE'!$AM$7+'TUSD BF'!$AM$7+'TUSD CVA'!$AM$7)*1*(1-0.02)</f>
        <v>142.80792645762099</v>
      </c>
      <c r="AA15" s="52">
        <f>('TE BE'!$AB$6+'TE BF'!$AB$6+'TE CVA'!$AB$6)*1*(1-0.02)</f>
        <v>217.94598758226687</v>
      </c>
      <c r="AB15" s="52">
        <f>(SUBSIDIO!$J$15*SUBSIDIO!$V$15)*(0.04)/(1-0.04)</f>
        <v>83.248000000000005</v>
      </c>
      <c r="AC15" s="52">
        <f>((SUBSIDIO!$L$15*SUBSIDIO!$W$15)+(SUBSIDIO!$N$15*SUBSIDIO!$X$15))*(0.04)/(1-0.04)</f>
        <v>0</v>
      </c>
      <c r="AD15" s="52">
        <f ca="1">(SUBSIDIO!$J$15*SUBSIDIO!$Y$15)*(0.02)/(1-0.02)</f>
        <v>47.012544976373832</v>
      </c>
      <c r="AE15" s="52">
        <f ca="1">((SUBSIDIO!$L$15*SUBSIDIO!$Z$15)+(SUBSIDIO!$N$15*SUBSIDIO!$AA$15))*(0.02)/(1-0.02)</f>
        <v>0</v>
      </c>
      <c r="AF15" s="4" t="s">
        <v>811</v>
      </c>
    </row>
    <row r="16" spans="1:36" ht="11.25" customHeight="1" x14ac:dyDescent="0.3">
      <c r="A16" s="4" t="s">
        <v>21</v>
      </c>
      <c r="B16" s="4" t="s">
        <v>45</v>
      </c>
      <c r="C16" s="4" t="s">
        <v>42</v>
      </c>
      <c r="D16" s="4" t="s">
        <v>44</v>
      </c>
      <c r="E16" s="4" t="s">
        <v>53</v>
      </c>
      <c r="F16" s="4" t="s">
        <v>25</v>
      </c>
      <c r="G16" s="4" t="s">
        <v>25</v>
      </c>
      <c r="H16" s="4" t="s">
        <v>34</v>
      </c>
      <c r="I16" s="5">
        <v>44501</v>
      </c>
      <c r="J16" s="6">
        <v>111</v>
      </c>
      <c r="K16" s="52">
        <v>111</v>
      </c>
      <c r="L16" s="6">
        <v>0</v>
      </c>
      <c r="M16" s="52">
        <v>0</v>
      </c>
      <c r="N16" s="6">
        <v>0</v>
      </c>
      <c r="O16" s="52">
        <v>0</v>
      </c>
      <c r="P16" s="6">
        <v>0</v>
      </c>
      <c r="Q16" s="4" t="s">
        <v>26</v>
      </c>
      <c r="R16" s="4">
        <v>0</v>
      </c>
      <c r="S16" s="4">
        <v>1</v>
      </c>
      <c r="T16" s="4">
        <v>0</v>
      </c>
      <c r="U16" s="4">
        <v>0</v>
      </c>
      <c r="V16" s="52">
        <f>IF(ISERROR(VLOOKUP($S$16,'TAR FIN'!$A$1:$O$103,15,0)),0,VLOOKUP($S$16,'TAR FIN'!$A$1:$O$103,15,0))*(1-0.04)</f>
        <v>43.900799999999997</v>
      </c>
      <c r="W16" s="52">
        <f>IF(ISERROR(VLOOKUP($T$16,'TAR FIN'!$A$1:$O$103,15,0)),0,VLOOKUP($T$16,'TAR FIN'!$A$1:$O$103,15,0))*(1-0.04)</f>
        <v>0</v>
      </c>
      <c r="X16" s="52">
        <f>IF(ISERROR(VLOOKUP($U$16,'TAR FIN'!$A$1:$O$103,15,0)),0,VLOOKUP($U$16,'TAR FIN'!$A$1:$O$103,15,0))*(1-0.04)</f>
        <v>0</v>
      </c>
      <c r="Y16" s="52">
        <f ca="1">('TUSD BE'!$AM$5+'TUSD BF'!$AM$5+'TUSD CVA'!$AM$5)*1*(1-0.02)</f>
        <v>50.018664763216471</v>
      </c>
      <c r="Z16" s="52">
        <f ca="1">('TUSD BE'!$AM$7+'TUSD BF'!$AM$7+'TUSD CVA'!$AM$7)*1*(1-0.02)</f>
        <v>142.80792645762099</v>
      </c>
      <c r="AA16" s="52">
        <f>('TE BE'!$AB$5+'TE BF'!$AB$5+'TE CVA'!$AB$5)*1*(1-0.02)</f>
        <v>354.71359410136364</v>
      </c>
      <c r="AB16" s="52">
        <f>(SUBSIDIO!$J$16*SUBSIDIO!$V$16)*(0.04)/(1-0.04)</f>
        <v>203.04120000000003</v>
      </c>
      <c r="AC16" s="52">
        <f>((SUBSIDIO!$L$16*SUBSIDIO!$W$16)+(SUBSIDIO!$N$16*SUBSIDIO!$X$16))*(0.04)/(1-0.04)</f>
        <v>0</v>
      </c>
      <c r="AD16" s="52">
        <f ca="1">(SUBSIDIO!$J$16*SUBSIDIO!$Y$16)*(0.02)/(1-0.02)</f>
        <v>113.30758752483732</v>
      </c>
      <c r="AE16" s="52">
        <f ca="1">((SUBSIDIO!$L$16*SUBSIDIO!$Z$16)+(SUBSIDIO!$N$16*SUBSIDIO!$AA$16))*(0.02)/(1-0.02)</f>
        <v>0</v>
      </c>
      <c r="AF16" s="4" t="s">
        <v>811</v>
      </c>
    </row>
    <row r="17" spans="1:32" ht="11.25" customHeight="1" x14ac:dyDescent="0.3">
      <c r="A17" s="4" t="s">
        <v>21</v>
      </c>
      <c r="B17" s="4" t="s">
        <v>45</v>
      </c>
      <c r="C17" s="4" t="s">
        <v>42</v>
      </c>
      <c r="D17" s="4" t="s">
        <v>44</v>
      </c>
      <c r="E17" s="4" t="s">
        <v>53</v>
      </c>
      <c r="F17" s="4" t="s">
        <v>25</v>
      </c>
      <c r="G17" s="4" t="s">
        <v>25</v>
      </c>
      <c r="H17" s="4" t="s">
        <v>34</v>
      </c>
      <c r="I17" s="5">
        <v>44531</v>
      </c>
      <c r="J17" s="6">
        <v>111</v>
      </c>
      <c r="K17" s="52">
        <v>111</v>
      </c>
      <c r="L17" s="6">
        <v>0</v>
      </c>
      <c r="M17" s="52">
        <v>0</v>
      </c>
      <c r="N17" s="6">
        <v>0</v>
      </c>
      <c r="O17" s="52">
        <v>0</v>
      </c>
      <c r="P17" s="6">
        <v>0</v>
      </c>
      <c r="Q17" s="4" t="s">
        <v>26</v>
      </c>
      <c r="R17" s="4">
        <v>0</v>
      </c>
      <c r="S17" s="4">
        <v>1</v>
      </c>
      <c r="T17" s="4">
        <v>0</v>
      </c>
      <c r="U17" s="4">
        <v>0</v>
      </c>
      <c r="V17" s="52">
        <f>IF(ISERROR(VLOOKUP($S$17,'TAR FIN'!$A$1:$O$103,15,0)),0,VLOOKUP($S$17,'TAR FIN'!$A$1:$O$103,15,0))*(1-0.04)</f>
        <v>43.900799999999997</v>
      </c>
      <c r="W17" s="52">
        <f>IF(ISERROR(VLOOKUP($T$17,'TAR FIN'!$A$1:$O$103,15,0)),0,VLOOKUP($T$17,'TAR FIN'!$A$1:$O$103,15,0))*(1-0.04)</f>
        <v>0</v>
      </c>
      <c r="X17" s="52">
        <f>IF(ISERROR(VLOOKUP($U$17,'TAR FIN'!$A$1:$O$103,15,0)),0,VLOOKUP($U$17,'TAR FIN'!$A$1:$O$103,15,0))*(1-0.04)</f>
        <v>0</v>
      </c>
      <c r="Y17" s="52">
        <f ca="1">('TUSD BE'!$AM$5+'TUSD BF'!$AM$5+'TUSD CVA'!$AM$5)*1*(1-0.02)</f>
        <v>50.018664763216471</v>
      </c>
      <c r="Z17" s="52">
        <f ca="1">('TUSD BE'!$AM$7+'TUSD BF'!$AM$7+'TUSD CVA'!$AM$7)*1*(1-0.02)</f>
        <v>142.80792645762099</v>
      </c>
      <c r="AA17" s="52">
        <f>('TE BE'!$AB$5+'TE BF'!$AB$5+'TE CVA'!$AB$5)*1*(1-0.02)</f>
        <v>354.71359410136364</v>
      </c>
      <c r="AB17" s="52">
        <f>(SUBSIDIO!$J$17*SUBSIDIO!$V$17)*(0.04)/(1-0.04)</f>
        <v>203.04120000000003</v>
      </c>
      <c r="AC17" s="52">
        <f>((SUBSIDIO!$L$17*SUBSIDIO!$W$17)+(SUBSIDIO!$N$17*SUBSIDIO!$X$17))*(0.04)/(1-0.04)</f>
        <v>0</v>
      </c>
      <c r="AD17" s="52">
        <f ca="1">(SUBSIDIO!$J$17*SUBSIDIO!$Y$17)*(0.02)/(1-0.02)</f>
        <v>113.30758752483732</v>
      </c>
      <c r="AE17" s="52">
        <f ca="1">((SUBSIDIO!$L$17*SUBSIDIO!$Z$17)+(SUBSIDIO!$N$17*SUBSIDIO!$AA$17))*(0.02)/(1-0.02)</f>
        <v>0</v>
      </c>
      <c r="AF17" s="4" t="s">
        <v>811</v>
      </c>
    </row>
    <row r="18" spans="1:32" ht="11.25" customHeight="1" x14ac:dyDescent="0.3">
      <c r="A18" s="4" t="s">
        <v>21</v>
      </c>
      <c r="B18" s="4" t="s">
        <v>45</v>
      </c>
      <c r="C18" s="4" t="s">
        <v>42</v>
      </c>
      <c r="D18" s="4" t="s">
        <v>44</v>
      </c>
      <c r="E18" s="4" t="s">
        <v>53</v>
      </c>
      <c r="F18" s="4" t="s">
        <v>25</v>
      </c>
      <c r="G18" s="4" t="s">
        <v>25</v>
      </c>
      <c r="H18" s="4" t="s">
        <v>34</v>
      </c>
      <c r="I18" s="5">
        <v>44593</v>
      </c>
      <c r="J18" s="6">
        <v>111</v>
      </c>
      <c r="K18" s="52">
        <v>111</v>
      </c>
      <c r="L18" s="6">
        <v>0</v>
      </c>
      <c r="M18" s="52">
        <v>0</v>
      </c>
      <c r="N18" s="6">
        <v>0</v>
      </c>
      <c r="O18" s="52">
        <v>0</v>
      </c>
      <c r="P18" s="6">
        <v>0</v>
      </c>
      <c r="Q18" s="4" t="s">
        <v>26</v>
      </c>
      <c r="R18" s="4">
        <v>0</v>
      </c>
      <c r="S18" s="4">
        <v>1</v>
      </c>
      <c r="T18" s="4">
        <v>0</v>
      </c>
      <c r="U18" s="4">
        <v>0</v>
      </c>
      <c r="V18" s="52">
        <f>IF(ISERROR(VLOOKUP($S$18,'TAR FIN'!$A$1:$O$103,15,0)),0,VLOOKUP($S$18,'TAR FIN'!$A$1:$O$103,15,0))*(1-0.04)</f>
        <v>43.900799999999997</v>
      </c>
      <c r="W18" s="52">
        <f>IF(ISERROR(VLOOKUP($T$18,'TAR FIN'!$A$1:$O$103,15,0)),0,VLOOKUP($T$18,'TAR FIN'!$A$1:$O$103,15,0))*(1-0.04)</f>
        <v>0</v>
      </c>
      <c r="X18" s="52">
        <f>IF(ISERROR(VLOOKUP($U$18,'TAR FIN'!$A$1:$O$103,15,0)),0,VLOOKUP($U$18,'TAR FIN'!$A$1:$O$103,15,0))*(1-0.04)</f>
        <v>0</v>
      </c>
      <c r="Y18" s="52">
        <f ca="1">('TUSD BE'!$AM$5+'TUSD BF'!$AM$5+'TUSD CVA'!$AM$5)*1*(1-0.02)</f>
        <v>50.018664763216471</v>
      </c>
      <c r="Z18" s="52">
        <f ca="1">('TUSD BE'!$AM$7+'TUSD BF'!$AM$7+'TUSD CVA'!$AM$7)*1*(1-0.02)</f>
        <v>142.80792645762099</v>
      </c>
      <c r="AA18" s="52">
        <f>('TE BE'!$AB$5+'TE BF'!$AB$5+'TE CVA'!$AB$5)*1*(1-0.02)</f>
        <v>354.71359410136364</v>
      </c>
      <c r="AB18" s="52">
        <f>(SUBSIDIO!$J$18*SUBSIDIO!$V$18)*(0.04)/(1-0.04)</f>
        <v>203.04120000000003</v>
      </c>
      <c r="AC18" s="52">
        <f>((SUBSIDIO!$L$18*SUBSIDIO!$W$18)+(SUBSIDIO!$N$18*SUBSIDIO!$X$18))*(0.04)/(1-0.04)</f>
        <v>0</v>
      </c>
      <c r="AD18" s="52">
        <f ca="1">(SUBSIDIO!$J$18*SUBSIDIO!$Y$18)*(0.02)/(1-0.02)</f>
        <v>113.30758752483732</v>
      </c>
      <c r="AE18" s="52">
        <f ca="1">((SUBSIDIO!$L$18*SUBSIDIO!$Z$18)+(SUBSIDIO!$N$18*SUBSIDIO!$AA$18))*(0.02)/(1-0.02)</f>
        <v>0</v>
      </c>
      <c r="AF18" s="4" t="s">
        <v>811</v>
      </c>
    </row>
    <row r="19" spans="1:32" ht="11.25" customHeight="1" x14ac:dyDescent="0.3">
      <c r="A19" s="4" t="s">
        <v>21</v>
      </c>
      <c r="B19" s="4" t="s">
        <v>45</v>
      </c>
      <c r="C19" s="4" t="s">
        <v>42</v>
      </c>
      <c r="D19" s="4" t="s">
        <v>44</v>
      </c>
      <c r="E19" s="4" t="s">
        <v>53</v>
      </c>
      <c r="F19" s="4" t="s">
        <v>25</v>
      </c>
      <c r="G19" s="4" t="s">
        <v>25</v>
      </c>
      <c r="H19" s="4" t="s">
        <v>34</v>
      </c>
      <c r="I19" s="5">
        <v>44621</v>
      </c>
      <c r="J19" s="6">
        <v>111</v>
      </c>
      <c r="K19" s="52">
        <v>111</v>
      </c>
      <c r="L19" s="6">
        <v>0</v>
      </c>
      <c r="M19" s="52">
        <v>0</v>
      </c>
      <c r="N19" s="6">
        <v>0</v>
      </c>
      <c r="O19" s="52">
        <v>0</v>
      </c>
      <c r="P19" s="6">
        <v>0</v>
      </c>
      <c r="Q19" s="4" t="s">
        <v>26</v>
      </c>
      <c r="R19" s="4">
        <v>0</v>
      </c>
      <c r="S19" s="4">
        <v>1</v>
      </c>
      <c r="T19" s="4">
        <v>0</v>
      </c>
      <c r="U19" s="4">
        <v>0</v>
      </c>
      <c r="V19" s="52">
        <f>IF(ISERROR(VLOOKUP($S$19,'TAR FIN'!$A$1:$O$103,15,0)),0,VLOOKUP($S$19,'TAR FIN'!$A$1:$O$103,15,0))*(1-0.04)</f>
        <v>43.900799999999997</v>
      </c>
      <c r="W19" s="52">
        <f>IF(ISERROR(VLOOKUP($T$19,'TAR FIN'!$A$1:$O$103,15,0)),0,VLOOKUP($T$19,'TAR FIN'!$A$1:$O$103,15,0))*(1-0.04)</f>
        <v>0</v>
      </c>
      <c r="X19" s="52">
        <f>IF(ISERROR(VLOOKUP($U$19,'TAR FIN'!$A$1:$O$103,15,0)),0,VLOOKUP($U$19,'TAR FIN'!$A$1:$O$103,15,0))*(1-0.04)</f>
        <v>0</v>
      </c>
      <c r="Y19" s="52">
        <f ca="1">('TUSD BE'!$AM$5+'TUSD BF'!$AM$5+'TUSD CVA'!$AM$5)*1*(1-0.02)</f>
        <v>50.018664763216471</v>
      </c>
      <c r="Z19" s="52">
        <f ca="1">('TUSD BE'!$AM$7+'TUSD BF'!$AM$7+'TUSD CVA'!$AM$7)*1*(1-0.02)</f>
        <v>142.80792645762099</v>
      </c>
      <c r="AA19" s="52">
        <f>('TE BE'!$AB$5+'TE BF'!$AB$5+'TE CVA'!$AB$5)*1*(1-0.02)</f>
        <v>354.71359410136364</v>
      </c>
      <c r="AB19" s="52">
        <f>(SUBSIDIO!$J$19*SUBSIDIO!$V$19)*(0.04)/(1-0.04)</f>
        <v>203.04120000000003</v>
      </c>
      <c r="AC19" s="52">
        <f>((SUBSIDIO!$L$19*SUBSIDIO!$W$19)+(SUBSIDIO!$N$19*SUBSIDIO!$X$19))*(0.04)/(1-0.04)</f>
        <v>0</v>
      </c>
      <c r="AD19" s="52">
        <f ca="1">(SUBSIDIO!$J$19*SUBSIDIO!$Y$19)*(0.02)/(1-0.02)</f>
        <v>113.30758752483732</v>
      </c>
      <c r="AE19" s="52">
        <f ca="1">((SUBSIDIO!$L$19*SUBSIDIO!$Z$19)+(SUBSIDIO!$N$19*SUBSIDIO!$AA$19))*(0.02)/(1-0.02)</f>
        <v>0</v>
      </c>
      <c r="AF19" s="4" t="s">
        <v>811</v>
      </c>
    </row>
    <row r="20" spans="1:32" ht="11.25" customHeight="1" x14ac:dyDescent="0.3">
      <c r="A20" s="4" t="s">
        <v>21</v>
      </c>
      <c r="B20" s="4" t="s">
        <v>45</v>
      </c>
      <c r="C20" s="4" t="s">
        <v>42</v>
      </c>
      <c r="D20" s="4" t="s">
        <v>44</v>
      </c>
      <c r="E20" s="4" t="s">
        <v>53</v>
      </c>
      <c r="F20" s="4" t="s">
        <v>25</v>
      </c>
      <c r="G20" s="4" t="s">
        <v>25</v>
      </c>
      <c r="H20" s="4" t="s">
        <v>34</v>
      </c>
      <c r="I20" s="5">
        <v>44652</v>
      </c>
      <c r="J20" s="6">
        <v>111</v>
      </c>
      <c r="K20" s="52">
        <v>111</v>
      </c>
      <c r="L20" s="6">
        <v>0</v>
      </c>
      <c r="M20" s="52">
        <v>0</v>
      </c>
      <c r="N20" s="6">
        <v>0</v>
      </c>
      <c r="O20" s="52">
        <v>0</v>
      </c>
      <c r="P20" s="6">
        <v>0</v>
      </c>
      <c r="Q20" s="4" t="s">
        <v>26</v>
      </c>
      <c r="R20" s="4">
        <v>0</v>
      </c>
      <c r="S20" s="4">
        <v>1</v>
      </c>
      <c r="T20" s="4">
        <v>0</v>
      </c>
      <c r="U20" s="4">
        <v>0</v>
      </c>
      <c r="V20" s="52">
        <f>IF(ISERROR(VLOOKUP($S$20,'TAR FIN'!$A$1:$O$103,15,0)),0,VLOOKUP($S$20,'TAR FIN'!$A$1:$O$103,15,0))*(1-0.04)</f>
        <v>43.900799999999997</v>
      </c>
      <c r="W20" s="52">
        <f>IF(ISERROR(VLOOKUP($T$20,'TAR FIN'!$A$1:$O$103,15,0)),0,VLOOKUP($T$20,'TAR FIN'!$A$1:$O$103,15,0))*(1-0.04)</f>
        <v>0</v>
      </c>
      <c r="X20" s="52">
        <f>IF(ISERROR(VLOOKUP($U$20,'TAR FIN'!$A$1:$O$103,15,0)),0,VLOOKUP($U$20,'TAR FIN'!$A$1:$O$103,15,0))*(1-0.04)</f>
        <v>0</v>
      </c>
      <c r="Y20" s="52">
        <f ca="1">('TUSD BE'!$AM$5+'TUSD BF'!$AM$5+'TUSD CVA'!$AM$5)*1*(1-0.02)</f>
        <v>50.018664763216471</v>
      </c>
      <c r="Z20" s="52">
        <f ca="1">('TUSD BE'!$AM$7+'TUSD BF'!$AM$7+'TUSD CVA'!$AM$7)*1*(1-0.02)</f>
        <v>142.80792645762099</v>
      </c>
      <c r="AA20" s="52">
        <f>('TE BE'!$AB$5+'TE BF'!$AB$5+'TE CVA'!$AB$5)*1*(1-0.02)</f>
        <v>354.71359410136364</v>
      </c>
      <c r="AB20" s="52">
        <f>(SUBSIDIO!$J$20*SUBSIDIO!$V$20)*(0.04)/(1-0.04)</f>
        <v>203.04120000000003</v>
      </c>
      <c r="AC20" s="52">
        <f>((SUBSIDIO!$L$20*SUBSIDIO!$W$20)+(SUBSIDIO!$N$20*SUBSIDIO!$X$20))*(0.04)/(1-0.04)</f>
        <v>0</v>
      </c>
      <c r="AD20" s="52">
        <f ca="1">(SUBSIDIO!$J$20*SUBSIDIO!$Y$20)*(0.02)/(1-0.02)</f>
        <v>113.30758752483732</v>
      </c>
      <c r="AE20" s="52">
        <f ca="1">((SUBSIDIO!$L$20*SUBSIDIO!$Z$20)+(SUBSIDIO!$N$20*SUBSIDIO!$AA$20))*(0.02)/(1-0.02)</f>
        <v>0</v>
      </c>
      <c r="AF20" s="4" t="s">
        <v>811</v>
      </c>
    </row>
    <row r="21" spans="1:32" ht="11.25" customHeight="1" x14ac:dyDescent="0.3">
      <c r="A21" s="4" t="s">
        <v>21</v>
      </c>
      <c r="B21" s="4" t="s">
        <v>45</v>
      </c>
      <c r="C21" s="4" t="s">
        <v>42</v>
      </c>
      <c r="D21" s="4" t="s">
        <v>44</v>
      </c>
      <c r="E21" s="4" t="s">
        <v>53</v>
      </c>
      <c r="F21" s="4" t="s">
        <v>25</v>
      </c>
      <c r="G21" s="4" t="s">
        <v>25</v>
      </c>
      <c r="H21" s="4" t="s">
        <v>34</v>
      </c>
      <c r="I21" s="5">
        <v>44682</v>
      </c>
      <c r="J21" s="6">
        <v>111</v>
      </c>
      <c r="K21" s="52">
        <v>111</v>
      </c>
      <c r="L21" s="6">
        <v>0</v>
      </c>
      <c r="M21" s="52">
        <v>0</v>
      </c>
      <c r="N21" s="6">
        <v>0</v>
      </c>
      <c r="O21" s="52">
        <v>0</v>
      </c>
      <c r="P21" s="6">
        <v>0</v>
      </c>
      <c r="Q21" s="4" t="s">
        <v>26</v>
      </c>
      <c r="R21" s="4">
        <v>0</v>
      </c>
      <c r="S21" s="4">
        <v>1</v>
      </c>
      <c r="T21" s="4">
        <v>0</v>
      </c>
      <c r="U21" s="4">
        <v>0</v>
      </c>
      <c r="V21" s="52">
        <f>IF(ISERROR(VLOOKUP($S$21,'TAR FIN'!$A$1:$O$103,15,0)),0,VLOOKUP($S$21,'TAR FIN'!$A$1:$O$103,15,0))*(1-0.04)</f>
        <v>43.900799999999997</v>
      </c>
      <c r="W21" s="52">
        <f>IF(ISERROR(VLOOKUP($T$21,'TAR FIN'!$A$1:$O$103,15,0)),0,VLOOKUP($T$21,'TAR FIN'!$A$1:$O$103,15,0))*(1-0.04)</f>
        <v>0</v>
      </c>
      <c r="X21" s="52">
        <f>IF(ISERROR(VLOOKUP($U$21,'TAR FIN'!$A$1:$O$103,15,0)),0,VLOOKUP($U$21,'TAR FIN'!$A$1:$O$103,15,0))*(1-0.04)</f>
        <v>0</v>
      </c>
      <c r="Y21" s="52">
        <f ca="1">('TUSD BE'!$AM$5+'TUSD BF'!$AM$5+'TUSD CVA'!$AM$5)*1*(1-0.02)</f>
        <v>50.018664763216471</v>
      </c>
      <c r="Z21" s="52">
        <f ca="1">('TUSD BE'!$AM$7+'TUSD BF'!$AM$7+'TUSD CVA'!$AM$7)*1*(1-0.02)</f>
        <v>142.80792645762099</v>
      </c>
      <c r="AA21" s="52">
        <f>('TE BE'!$AB$5+'TE BF'!$AB$5+'TE CVA'!$AB$5)*1*(1-0.02)</f>
        <v>354.71359410136364</v>
      </c>
      <c r="AB21" s="52">
        <f>(SUBSIDIO!$J$21*SUBSIDIO!$V$21)*(0.04)/(1-0.04)</f>
        <v>203.04120000000003</v>
      </c>
      <c r="AC21" s="52">
        <f>((SUBSIDIO!$L$21*SUBSIDIO!$W$21)+(SUBSIDIO!$N$21*SUBSIDIO!$X$21))*(0.04)/(1-0.04)</f>
        <v>0</v>
      </c>
      <c r="AD21" s="52">
        <f ca="1">(SUBSIDIO!$J$21*SUBSIDIO!$Y$21)*(0.02)/(1-0.02)</f>
        <v>113.30758752483732</v>
      </c>
      <c r="AE21" s="52">
        <f ca="1">((SUBSIDIO!$L$21*SUBSIDIO!$Z$21)+(SUBSIDIO!$N$21*SUBSIDIO!$AA$21))*(0.02)/(1-0.02)</f>
        <v>0</v>
      </c>
      <c r="AF21" s="4" t="s">
        <v>811</v>
      </c>
    </row>
    <row r="22" spans="1:32" ht="11.25" customHeight="1" x14ac:dyDescent="0.3">
      <c r="A22" s="4" t="s">
        <v>21</v>
      </c>
      <c r="B22" s="4" t="s">
        <v>45</v>
      </c>
      <c r="C22" s="4" t="s">
        <v>42</v>
      </c>
      <c r="D22" s="4" t="s">
        <v>44</v>
      </c>
      <c r="E22" s="4" t="s">
        <v>53</v>
      </c>
      <c r="F22" s="4" t="s">
        <v>25</v>
      </c>
      <c r="G22" s="4" t="s">
        <v>25</v>
      </c>
      <c r="H22" s="4" t="s">
        <v>34</v>
      </c>
      <c r="I22" s="5">
        <v>44713</v>
      </c>
      <c r="J22" s="6">
        <v>1100</v>
      </c>
      <c r="K22" s="52">
        <v>1100</v>
      </c>
      <c r="L22" s="6">
        <v>0.437</v>
      </c>
      <c r="M22" s="52">
        <v>0.437</v>
      </c>
      <c r="N22" s="6">
        <v>0.437</v>
      </c>
      <c r="O22" s="52">
        <v>0.437</v>
      </c>
      <c r="P22" s="6">
        <v>0</v>
      </c>
      <c r="Q22" s="4" t="s">
        <v>26</v>
      </c>
      <c r="R22" s="4">
        <v>0</v>
      </c>
      <c r="S22" s="4">
        <v>1</v>
      </c>
      <c r="T22" s="4">
        <v>6</v>
      </c>
      <c r="U22" s="4">
        <v>62</v>
      </c>
      <c r="V22" s="52">
        <f>IF(ISERROR(VLOOKUP($S$22,'TAR FIN'!$A$1:$O$103,15,0)),0,VLOOKUP($S$22,'TAR FIN'!$A$1:$O$103,15,0))*(1-0.04)</f>
        <v>43.900799999999997</v>
      </c>
      <c r="W22" s="52">
        <f>IF(ISERROR(VLOOKUP($T$22,'TAR FIN'!$A$1:$O$103,15,0)),0,VLOOKUP($T$22,'TAR FIN'!$A$1:$O$103,15,0))*(1-0.04)</f>
        <v>81.590399999999988</v>
      </c>
      <c r="X22" s="52">
        <f>IF(ISERROR(VLOOKUP($U$22,'TAR FIN'!$A$1:$O$103,15,0)),0,VLOOKUP($U$22,'TAR FIN'!$A$1:$O$103,15,0))*(1-0.04)</f>
        <v>375.8784</v>
      </c>
      <c r="Y22" s="52">
        <f ca="1">('TUSD BE'!$AM$5+'TUSD BF'!$AM$5+'TUSD CVA'!$AM$5)*1*(1-0.02)</f>
        <v>50.018664763216471</v>
      </c>
      <c r="Z22" s="52">
        <f ca="1">('TUSD BE'!$AM$7+'TUSD BF'!$AM$7+'TUSD CVA'!$AM$7)*1*(1-0.02)</f>
        <v>142.80792645762099</v>
      </c>
      <c r="AA22" s="52">
        <f>('TE BE'!$AB$5+'TE BF'!$AB$5+'TE CVA'!$AB$5)*1*(1-0.02)</f>
        <v>354.71359410136364</v>
      </c>
      <c r="AB22" s="52">
        <f>(SUBSIDIO!$J$22*SUBSIDIO!$V$22)*(0.04)/(1-0.04)</f>
        <v>2012.1200000000001</v>
      </c>
      <c r="AC22" s="52">
        <f>((SUBSIDIO!$L$22*SUBSIDIO!$W$22)+(SUBSIDIO!$N$22*SUBSIDIO!$X$22))*(0.04)/(1-0.04)</f>
        <v>8.3297444000000009</v>
      </c>
      <c r="AD22" s="52">
        <f ca="1">(SUBSIDIO!$J$22*SUBSIDIO!$Y$22)*(0.02)/(1-0.02)</f>
        <v>1122.8679844803696</v>
      </c>
      <c r="AE22" s="52">
        <f ca="1">((SUBSIDIO!$L$22*SUBSIDIO!$Z$22)+(SUBSIDIO!$N$22*SUBSIDIO!$AA$22))*(0.02)/(1-0.02)</f>
        <v>4.437079683352577</v>
      </c>
      <c r="AF22" s="4" t="s">
        <v>811</v>
      </c>
    </row>
    <row r="23" spans="1:32" ht="11.25" customHeight="1" x14ac:dyDescent="0.3">
      <c r="A23" s="4" t="s">
        <v>21</v>
      </c>
      <c r="B23" s="4" t="s">
        <v>45</v>
      </c>
      <c r="C23" s="4" t="s">
        <v>42</v>
      </c>
      <c r="D23" s="4" t="s">
        <v>44</v>
      </c>
      <c r="E23" s="4" t="s">
        <v>53</v>
      </c>
      <c r="F23" s="4" t="s">
        <v>25</v>
      </c>
      <c r="G23" s="4" t="s">
        <v>25</v>
      </c>
      <c r="H23" s="4" t="s">
        <v>34</v>
      </c>
      <c r="I23" s="5">
        <v>44743</v>
      </c>
      <c r="J23" s="6">
        <v>1100</v>
      </c>
      <c r="K23" s="52">
        <v>1100</v>
      </c>
      <c r="L23" s="6">
        <v>0.437</v>
      </c>
      <c r="M23" s="52">
        <v>0.437</v>
      </c>
      <c r="N23" s="6">
        <v>0.437</v>
      </c>
      <c r="O23" s="52">
        <v>0.437</v>
      </c>
      <c r="P23" s="6">
        <v>0</v>
      </c>
      <c r="Q23" s="4" t="s">
        <v>26</v>
      </c>
      <c r="R23" s="4">
        <v>0</v>
      </c>
      <c r="S23" s="4">
        <v>1</v>
      </c>
      <c r="T23" s="4">
        <v>6</v>
      </c>
      <c r="U23" s="4">
        <v>62</v>
      </c>
      <c r="V23" s="52">
        <f>IF(ISERROR(VLOOKUP($S$23,'TAR FIN'!$A$1:$O$103,15,0)),0,VLOOKUP($S$23,'TAR FIN'!$A$1:$O$103,15,0))*(1-0.04)</f>
        <v>43.900799999999997</v>
      </c>
      <c r="W23" s="52">
        <f>IF(ISERROR(VLOOKUP($T$23,'TAR FIN'!$A$1:$O$103,15,0)),0,VLOOKUP($T$23,'TAR FIN'!$A$1:$O$103,15,0))*(1-0.04)</f>
        <v>81.590399999999988</v>
      </c>
      <c r="X23" s="52">
        <f>IF(ISERROR(VLOOKUP($U$23,'TAR FIN'!$A$1:$O$103,15,0)),0,VLOOKUP($U$23,'TAR FIN'!$A$1:$O$103,15,0))*(1-0.04)</f>
        <v>375.8784</v>
      </c>
      <c r="Y23" s="52">
        <f ca="1">('TUSD BE'!$AM$5+'TUSD BF'!$AM$5+'TUSD CVA'!$AM$5)*1*(1-0.02)</f>
        <v>50.018664763216471</v>
      </c>
      <c r="Z23" s="52">
        <f ca="1">('TUSD BE'!$AM$7+'TUSD BF'!$AM$7+'TUSD CVA'!$AM$7)*1*(1-0.02)</f>
        <v>142.80792645762099</v>
      </c>
      <c r="AA23" s="52">
        <f>('TE BE'!$AB$5+'TE BF'!$AB$5+'TE CVA'!$AB$5)*1*(1-0.02)</f>
        <v>354.71359410136364</v>
      </c>
      <c r="AB23" s="52">
        <f>(SUBSIDIO!$J$23*SUBSIDIO!$V$23)*(0.04)/(1-0.04)</f>
        <v>2012.1200000000001</v>
      </c>
      <c r="AC23" s="52">
        <f>((SUBSIDIO!$L$23*SUBSIDIO!$W$23)+(SUBSIDIO!$N$23*SUBSIDIO!$X$23))*(0.04)/(1-0.04)</f>
        <v>8.3297444000000009</v>
      </c>
      <c r="AD23" s="52">
        <f ca="1">(SUBSIDIO!$J$23*SUBSIDIO!$Y$23)*(0.02)/(1-0.02)</f>
        <v>1122.8679844803696</v>
      </c>
      <c r="AE23" s="52">
        <f ca="1">((SUBSIDIO!$L$23*SUBSIDIO!$Z$23)+(SUBSIDIO!$N$23*SUBSIDIO!$AA$23))*(0.02)/(1-0.02)</f>
        <v>4.437079683352577</v>
      </c>
      <c r="AF23" s="4" t="s">
        <v>811</v>
      </c>
    </row>
    <row r="24" spans="1:32" ht="11.25" customHeight="1" x14ac:dyDescent="0.3">
      <c r="A24" s="4" t="s">
        <v>21</v>
      </c>
      <c r="B24" s="4" t="s">
        <v>45</v>
      </c>
      <c r="C24" s="4" t="s">
        <v>42</v>
      </c>
      <c r="D24" s="4" t="s">
        <v>44</v>
      </c>
      <c r="E24" s="4" t="s">
        <v>53</v>
      </c>
      <c r="F24" s="4" t="s">
        <v>25</v>
      </c>
      <c r="G24" s="4" t="s">
        <v>25</v>
      </c>
      <c r="H24" s="4" t="s">
        <v>34</v>
      </c>
      <c r="I24" s="5">
        <v>44774</v>
      </c>
      <c r="J24" s="6">
        <v>1100</v>
      </c>
      <c r="K24" s="52">
        <v>1100</v>
      </c>
      <c r="L24" s="6">
        <v>5.5E-2</v>
      </c>
      <c r="M24" s="52">
        <v>5.5E-2</v>
      </c>
      <c r="N24" s="6">
        <v>5.5E-2</v>
      </c>
      <c r="O24" s="52">
        <v>5.5E-2</v>
      </c>
      <c r="P24" s="6">
        <v>0</v>
      </c>
      <c r="Q24" s="4" t="s">
        <v>26</v>
      </c>
      <c r="R24" s="4">
        <v>0</v>
      </c>
      <c r="S24" s="4">
        <v>1</v>
      </c>
      <c r="T24" s="4">
        <v>6</v>
      </c>
      <c r="U24" s="4">
        <v>62</v>
      </c>
      <c r="V24" s="52">
        <f>IF(ISERROR(VLOOKUP($S$24,'TAR FIN'!$A$1:$O$103,15,0)),0,VLOOKUP($S$24,'TAR FIN'!$A$1:$O$103,15,0))*(1-0.04)</f>
        <v>43.900799999999997</v>
      </c>
      <c r="W24" s="52">
        <f>IF(ISERROR(VLOOKUP($T$24,'TAR FIN'!$A$1:$O$103,15,0)),0,VLOOKUP($T$24,'TAR FIN'!$A$1:$O$103,15,0))*(1-0.04)</f>
        <v>81.590399999999988</v>
      </c>
      <c r="X24" s="52">
        <f>IF(ISERROR(VLOOKUP($U$24,'TAR FIN'!$A$1:$O$103,15,0)),0,VLOOKUP($U$24,'TAR FIN'!$A$1:$O$103,15,0))*(1-0.04)</f>
        <v>375.8784</v>
      </c>
      <c r="Y24" s="52">
        <f ca="1">('TUSD BE'!$AM$5+'TUSD BF'!$AM$5+'TUSD CVA'!$AM$5)*1*(1-0.02)</f>
        <v>50.018664763216471</v>
      </c>
      <c r="Z24" s="52">
        <f ca="1">('TUSD BE'!$AM$7+'TUSD BF'!$AM$7+'TUSD CVA'!$AM$7)*1*(1-0.02)</f>
        <v>142.80792645762099</v>
      </c>
      <c r="AA24" s="52">
        <f>('TE BE'!$AB$5+'TE BF'!$AB$5+'TE CVA'!$AB$5)*1*(1-0.02)</f>
        <v>354.71359410136364</v>
      </c>
      <c r="AB24" s="52">
        <f>(SUBSIDIO!$J$24*SUBSIDIO!$V$24)*(0.04)/(1-0.04)</f>
        <v>2012.1200000000001</v>
      </c>
      <c r="AC24" s="52">
        <f>((SUBSIDIO!$L$24*SUBSIDIO!$W$24)+(SUBSIDIO!$N$24*SUBSIDIO!$X$24))*(0.04)/(1-0.04)</f>
        <v>1.0483660000000001</v>
      </c>
      <c r="AD24" s="52">
        <f ca="1">(SUBSIDIO!$J$24*SUBSIDIO!$Y$24)*(0.02)/(1-0.02)</f>
        <v>1122.8679844803696</v>
      </c>
      <c r="AE24" s="52">
        <f ca="1">((SUBSIDIO!$L$24*SUBSIDIO!$Z$24)+(SUBSIDIO!$N$24*SUBSIDIO!$AA$24))*(0.02)/(1-0.02)</f>
        <v>0.5584425230764114</v>
      </c>
      <c r="AF24" s="4" t="s">
        <v>811</v>
      </c>
    </row>
    <row r="25" spans="1:32" ht="11.25" customHeight="1" x14ac:dyDescent="0.3">
      <c r="A25" s="4" t="s">
        <v>21</v>
      </c>
      <c r="B25" s="4" t="s">
        <v>45</v>
      </c>
      <c r="C25" s="4" t="s">
        <v>42</v>
      </c>
      <c r="D25" s="4" t="s">
        <v>44</v>
      </c>
      <c r="E25" s="4" t="s">
        <v>53</v>
      </c>
      <c r="F25" s="4" t="s">
        <v>25</v>
      </c>
      <c r="G25" s="4" t="s">
        <v>25</v>
      </c>
      <c r="H25" s="4" t="s">
        <v>34</v>
      </c>
      <c r="I25" s="5">
        <v>44805</v>
      </c>
      <c r="J25" s="6">
        <v>110</v>
      </c>
      <c r="K25" s="52">
        <v>110</v>
      </c>
      <c r="L25" s="6">
        <v>0</v>
      </c>
      <c r="M25" s="52">
        <v>0</v>
      </c>
      <c r="N25" s="6">
        <v>0</v>
      </c>
      <c r="O25" s="52">
        <v>0</v>
      </c>
      <c r="P25" s="6">
        <v>0</v>
      </c>
      <c r="Q25" s="4" t="s">
        <v>26</v>
      </c>
      <c r="R25" s="4">
        <v>0</v>
      </c>
      <c r="S25" s="4">
        <v>1</v>
      </c>
      <c r="T25" s="4">
        <v>0</v>
      </c>
      <c r="U25" s="4">
        <v>0</v>
      </c>
      <c r="V25" s="52">
        <f>IF(ISERROR(VLOOKUP($S$25,'TAR FIN'!$A$1:$O$103,15,0)),0,VLOOKUP($S$25,'TAR FIN'!$A$1:$O$103,15,0))*(1-0.04)</f>
        <v>43.900799999999997</v>
      </c>
      <c r="W25" s="52">
        <f>IF(ISERROR(VLOOKUP($T$25,'TAR FIN'!$A$1:$O$103,15,0)),0,VLOOKUP($T$25,'TAR FIN'!$A$1:$O$103,15,0))*(1-0.04)</f>
        <v>0</v>
      </c>
      <c r="X25" s="52">
        <f>IF(ISERROR(VLOOKUP($U$25,'TAR FIN'!$A$1:$O$103,15,0)),0,VLOOKUP($U$25,'TAR FIN'!$A$1:$O$103,15,0))*(1-0.04)</f>
        <v>0</v>
      </c>
      <c r="Y25" s="52">
        <f ca="1">('TUSD BE'!$AM$5+'TUSD BF'!$AM$5+'TUSD CVA'!$AM$5)*1*(1-0.02)</f>
        <v>50.018664763216471</v>
      </c>
      <c r="Z25" s="52">
        <f ca="1">('TUSD BE'!$AM$7+'TUSD BF'!$AM$7+'TUSD CVA'!$AM$7)*1*(1-0.02)</f>
        <v>142.80792645762099</v>
      </c>
      <c r="AA25" s="52">
        <f>('TE BE'!$AB$5+'TE BF'!$AB$5+'TE CVA'!$AB$5)*1*(1-0.02)</f>
        <v>354.71359410136364</v>
      </c>
      <c r="AB25" s="52">
        <f>(SUBSIDIO!$J$25*SUBSIDIO!$V$25)*(0.04)/(1-0.04)</f>
        <v>201.21200000000002</v>
      </c>
      <c r="AC25" s="52">
        <f>((SUBSIDIO!$L$25*SUBSIDIO!$W$25)+(SUBSIDIO!$N$25*SUBSIDIO!$X$25))*(0.04)/(1-0.04)</f>
        <v>0</v>
      </c>
      <c r="AD25" s="52">
        <f ca="1">(SUBSIDIO!$J$25*SUBSIDIO!$Y$25)*(0.02)/(1-0.02)</f>
        <v>112.28679844803698</v>
      </c>
      <c r="AE25" s="52">
        <f ca="1">((SUBSIDIO!$L$25*SUBSIDIO!$Z$25)+(SUBSIDIO!$N$25*SUBSIDIO!$AA$25))*(0.02)/(1-0.02)</f>
        <v>0</v>
      </c>
      <c r="AF25" s="4" t="s">
        <v>811</v>
      </c>
    </row>
    <row r="26" spans="1:32" ht="11.25" customHeight="1" x14ac:dyDescent="0.3">
      <c r="A26" s="4" t="s">
        <v>57</v>
      </c>
      <c r="B26" s="4" t="s">
        <v>45</v>
      </c>
      <c r="C26" s="4" t="s">
        <v>42</v>
      </c>
      <c r="D26" s="4" t="s">
        <v>44</v>
      </c>
      <c r="E26" s="4" t="s">
        <v>53</v>
      </c>
      <c r="F26" s="4" t="s">
        <v>25</v>
      </c>
      <c r="G26" s="4" t="s">
        <v>25</v>
      </c>
      <c r="H26" s="4" t="s">
        <v>34</v>
      </c>
      <c r="I26" s="5">
        <v>44835</v>
      </c>
      <c r="J26" s="6">
        <v>110</v>
      </c>
      <c r="K26" s="52">
        <v>110</v>
      </c>
      <c r="L26" s="6">
        <v>0</v>
      </c>
      <c r="M26" s="52">
        <v>0</v>
      </c>
      <c r="N26" s="6">
        <v>0</v>
      </c>
      <c r="O26" s="52">
        <v>0</v>
      </c>
      <c r="P26" s="6">
        <v>0</v>
      </c>
      <c r="Q26" s="4" t="s">
        <v>26</v>
      </c>
      <c r="R26" s="4">
        <v>0</v>
      </c>
      <c r="S26" s="4">
        <v>1</v>
      </c>
      <c r="T26" s="4">
        <v>0</v>
      </c>
      <c r="U26" s="4">
        <v>0</v>
      </c>
      <c r="V26" s="52">
        <f>IF(ISERROR(VLOOKUP($S$26,'TAR FIN'!$A$1:$O$103,15,0)),0,VLOOKUP($S$26,'TAR FIN'!$A$1:$O$103,15,0))*(1-0.04)</f>
        <v>43.900799999999997</v>
      </c>
      <c r="W26" s="52">
        <f>IF(ISERROR(VLOOKUP($T$26,'TAR FIN'!$A$1:$O$103,15,0)),0,VLOOKUP($T$26,'TAR FIN'!$A$1:$O$103,15,0))*(1-0.04)</f>
        <v>0</v>
      </c>
      <c r="X26" s="52">
        <f>IF(ISERROR(VLOOKUP($U$26,'TAR FIN'!$A$1:$O$103,15,0)),0,VLOOKUP($U$26,'TAR FIN'!$A$1:$O$103,15,0))*(1-0.04)</f>
        <v>0</v>
      </c>
      <c r="Y26" s="52">
        <f ca="1">('TUSD BE'!$AM$5+'TUSD BF'!$AM$5+'TUSD CVA'!$AM$5)*1*(1-0.02)</f>
        <v>50.018664763216471</v>
      </c>
      <c r="Z26" s="52">
        <f ca="1">('TUSD BE'!$AM$7+'TUSD BF'!$AM$7+'TUSD CVA'!$AM$7)*1*(1-0.02)</f>
        <v>142.80792645762099</v>
      </c>
      <c r="AA26" s="52">
        <f>('TE BE'!$AB$5+'TE BF'!$AB$5+'TE CVA'!$AB$5)*1*(1-0.02)</f>
        <v>354.71359410136364</v>
      </c>
      <c r="AB26" s="52">
        <f>(SUBSIDIO!$J$26*SUBSIDIO!$V$26)*(0.04)/(1-0.04)</f>
        <v>201.21200000000002</v>
      </c>
      <c r="AC26" s="52">
        <f>((SUBSIDIO!$L$26*SUBSIDIO!$W$26)+(SUBSIDIO!$N$26*SUBSIDIO!$X$26))*(0.04)/(1-0.04)</f>
        <v>0</v>
      </c>
      <c r="AD26" s="52">
        <f ca="1">(SUBSIDIO!$J$26*SUBSIDIO!$Y$26)*(0.02)/(1-0.02)</f>
        <v>112.28679844803698</v>
      </c>
      <c r="AE26" s="52">
        <f ca="1">((SUBSIDIO!$L$26*SUBSIDIO!$Z$26)+(SUBSIDIO!$N$26*SUBSIDIO!$AA$26))*(0.02)/(1-0.02)</f>
        <v>0</v>
      </c>
      <c r="AF26" s="4" t="s">
        <v>811</v>
      </c>
    </row>
    <row r="27" spans="1:32" ht="11.25" customHeight="1" x14ac:dyDescent="0.3">
      <c r="A27" s="4" t="s">
        <v>21</v>
      </c>
      <c r="B27" s="4" t="s">
        <v>45</v>
      </c>
      <c r="C27" s="4" t="s">
        <v>60</v>
      </c>
      <c r="D27" s="4" t="s">
        <v>25</v>
      </c>
      <c r="E27" s="4" t="s">
        <v>25</v>
      </c>
      <c r="F27" s="4" t="s">
        <v>25</v>
      </c>
      <c r="G27" s="4" t="s">
        <v>61</v>
      </c>
      <c r="H27" s="4" t="s">
        <v>25</v>
      </c>
      <c r="I27" s="5">
        <v>44501</v>
      </c>
      <c r="J27" s="6">
        <v>3010</v>
      </c>
      <c r="K27" s="6">
        <v>3010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62</v>
      </c>
      <c r="R27" s="4">
        <v>26879</v>
      </c>
      <c r="S27" s="4">
        <v>10</v>
      </c>
      <c r="T27" s="4">
        <v>0</v>
      </c>
      <c r="U27" s="4">
        <v>0</v>
      </c>
      <c r="V27" s="6">
        <f>IF(ISERROR(VLOOKUP($S$27,'TAR FIN'!$A$1:$O$103,15,0)),0,VLOOKUP($S$27,'TAR FIN'!$A$1:$O$103,15,0))</f>
        <v>11.48</v>
      </c>
      <c r="W27" s="6">
        <f>IF(ISERROR(VLOOKUP($T$27,'TAR FIN'!$A$1:$O$103,15,0)),0,VLOOKUP($T$27,'TAR FIN'!$A$1:$O$103,15,0))</f>
        <v>0</v>
      </c>
      <c r="X27" s="6">
        <f>IF(ISERROR(VLOOKUP($U$27,'TAR FIN'!$A$1:$O$103,15,0)),0,VLOOKUP($U$27,'TAR FIN'!$A$1:$O$103,15,0))</f>
        <v>0</v>
      </c>
      <c r="Y27" s="6">
        <f ca="1">('TUSD BE'!$AM$9+'TUSD BF'!$AM$9+'TUSD CVA'!$AM$9)*1</f>
        <v>12.436759261643918</v>
      </c>
      <c r="Z27" s="6"/>
      <c r="AA27" s="6"/>
      <c r="AB27" s="6">
        <f t="shared" si="0"/>
        <v>0</v>
      </c>
      <c r="AC27" s="6">
        <f t="shared" si="1"/>
        <v>0</v>
      </c>
      <c r="AD27" s="6">
        <f t="shared" ca="1" si="2"/>
        <v>0</v>
      </c>
      <c r="AE27" s="6">
        <f t="shared" si="3"/>
        <v>0</v>
      </c>
      <c r="AF27" s="4" t="s">
        <v>813</v>
      </c>
    </row>
    <row r="28" spans="1:32" ht="11.25" customHeight="1" x14ac:dyDescent="0.3">
      <c r="A28" s="4" t="s">
        <v>21</v>
      </c>
      <c r="B28" s="4" t="s">
        <v>45</v>
      </c>
      <c r="C28" s="4" t="s">
        <v>60</v>
      </c>
      <c r="D28" s="4" t="s">
        <v>25</v>
      </c>
      <c r="E28" s="4" t="s">
        <v>25</v>
      </c>
      <c r="F28" s="4" t="s">
        <v>25</v>
      </c>
      <c r="G28" s="4" t="s">
        <v>61</v>
      </c>
      <c r="H28" s="4" t="s">
        <v>25</v>
      </c>
      <c r="I28" s="5">
        <v>44531</v>
      </c>
      <c r="J28" s="6">
        <v>3010</v>
      </c>
      <c r="K28" s="6">
        <v>3010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62</v>
      </c>
      <c r="R28" s="4">
        <v>26879</v>
      </c>
      <c r="S28" s="4">
        <v>10</v>
      </c>
      <c r="T28" s="4">
        <v>0</v>
      </c>
      <c r="U28" s="4">
        <v>0</v>
      </c>
      <c r="V28" s="6">
        <f>IF(ISERROR(VLOOKUP($S$28,'TAR FIN'!$A$1:$O$103,15,0)),0,VLOOKUP($S$28,'TAR FIN'!$A$1:$O$103,15,0))</f>
        <v>11.48</v>
      </c>
      <c r="W28" s="6">
        <f>IF(ISERROR(VLOOKUP($T$28,'TAR FIN'!$A$1:$O$103,15,0)),0,VLOOKUP($T$28,'TAR FIN'!$A$1:$O$103,15,0))</f>
        <v>0</v>
      </c>
      <c r="X28" s="6">
        <f>IF(ISERROR(VLOOKUP($U$28,'TAR FIN'!$A$1:$O$103,15,0)),0,VLOOKUP($U$28,'TAR FIN'!$A$1:$O$103,15,0))</f>
        <v>0</v>
      </c>
      <c r="Y28" s="6">
        <f ca="1">('TUSD BE'!$AM$9+'TUSD BF'!$AM$9+'TUSD CVA'!$AM$9)*1</f>
        <v>12.436759261643918</v>
      </c>
      <c r="Z28" s="6"/>
      <c r="AA28" s="6"/>
      <c r="AB28" s="6">
        <f t="shared" si="0"/>
        <v>0</v>
      </c>
      <c r="AC28" s="6">
        <f t="shared" si="1"/>
        <v>0</v>
      </c>
      <c r="AD28" s="6">
        <f t="shared" ca="1" si="2"/>
        <v>0</v>
      </c>
      <c r="AE28" s="6">
        <f t="shared" si="3"/>
        <v>0</v>
      </c>
      <c r="AF28" s="4" t="s">
        <v>813</v>
      </c>
    </row>
    <row r="29" spans="1:32" ht="11.25" customHeight="1" x14ac:dyDescent="0.3">
      <c r="A29" s="4" t="s">
        <v>21</v>
      </c>
      <c r="B29" s="4" t="s">
        <v>45</v>
      </c>
      <c r="C29" s="4" t="s">
        <v>60</v>
      </c>
      <c r="D29" s="4" t="s">
        <v>25</v>
      </c>
      <c r="E29" s="4" t="s">
        <v>25</v>
      </c>
      <c r="F29" s="4" t="s">
        <v>25</v>
      </c>
      <c r="G29" s="4" t="s">
        <v>61</v>
      </c>
      <c r="H29" s="4" t="s">
        <v>25</v>
      </c>
      <c r="I29" s="5">
        <v>44562</v>
      </c>
      <c r="J29" s="6">
        <v>3010</v>
      </c>
      <c r="K29" s="6">
        <v>3010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62</v>
      </c>
      <c r="R29" s="4">
        <v>26879</v>
      </c>
      <c r="S29" s="4">
        <v>10</v>
      </c>
      <c r="T29" s="4">
        <v>0</v>
      </c>
      <c r="U29" s="4">
        <v>0</v>
      </c>
      <c r="V29" s="6">
        <f>IF(ISERROR(VLOOKUP($S$29,'TAR FIN'!$A$1:$O$103,15,0)),0,VLOOKUP($S$29,'TAR FIN'!$A$1:$O$103,15,0))</f>
        <v>11.48</v>
      </c>
      <c r="W29" s="6">
        <f>IF(ISERROR(VLOOKUP($T$29,'TAR FIN'!$A$1:$O$103,15,0)),0,VLOOKUP($T$29,'TAR FIN'!$A$1:$O$103,15,0))</f>
        <v>0</v>
      </c>
      <c r="X29" s="6">
        <f>IF(ISERROR(VLOOKUP($U$29,'TAR FIN'!$A$1:$O$103,15,0)),0,VLOOKUP($U$29,'TAR FIN'!$A$1:$O$103,15,0))</f>
        <v>0</v>
      </c>
      <c r="Y29" s="6">
        <f ca="1">('TUSD BE'!$AM$9+'TUSD BF'!$AM$9+'TUSD CVA'!$AM$9)*1</f>
        <v>12.436759261643918</v>
      </c>
      <c r="Z29" s="6"/>
      <c r="AA29" s="6"/>
      <c r="AB29" s="6">
        <f t="shared" si="0"/>
        <v>0</v>
      </c>
      <c r="AC29" s="6">
        <f t="shared" si="1"/>
        <v>0</v>
      </c>
      <c r="AD29" s="6">
        <f t="shared" ca="1" si="2"/>
        <v>0</v>
      </c>
      <c r="AE29" s="6">
        <f t="shared" si="3"/>
        <v>0</v>
      </c>
      <c r="AF29" s="4" t="s">
        <v>813</v>
      </c>
    </row>
    <row r="30" spans="1:32" ht="11.25" customHeight="1" x14ac:dyDescent="0.3">
      <c r="A30" s="4" t="s">
        <v>21</v>
      </c>
      <c r="B30" s="4" t="s">
        <v>45</v>
      </c>
      <c r="C30" s="4" t="s">
        <v>60</v>
      </c>
      <c r="D30" s="4" t="s">
        <v>25</v>
      </c>
      <c r="E30" s="4" t="s">
        <v>25</v>
      </c>
      <c r="F30" s="4" t="s">
        <v>25</v>
      </c>
      <c r="G30" s="4" t="s">
        <v>61</v>
      </c>
      <c r="H30" s="4" t="s">
        <v>25</v>
      </c>
      <c r="I30" s="5">
        <v>44593</v>
      </c>
      <c r="J30" s="6">
        <v>3010</v>
      </c>
      <c r="K30" s="6">
        <v>3010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62</v>
      </c>
      <c r="R30" s="4">
        <v>26879</v>
      </c>
      <c r="S30" s="4">
        <v>10</v>
      </c>
      <c r="T30" s="4">
        <v>0</v>
      </c>
      <c r="U30" s="4">
        <v>0</v>
      </c>
      <c r="V30" s="6">
        <f>IF(ISERROR(VLOOKUP($S$30,'TAR FIN'!$A$1:$O$103,15,0)),0,VLOOKUP($S$30,'TAR FIN'!$A$1:$O$103,15,0))</f>
        <v>11.48</v>
      </c>
      <c r="W30" s="6">
        <f>IF(ISERROR(VLOOKUP($T$30,'TAR FIN'!$A$1:$O$103,15,0)),0,VLOOKUP($T$30,'TAR FIN'!$A$1:$O$103,15,0))</f>
        <v>0</v>
      </c>
      <c r="X30" s="6">
        <f>IF(ISERROR(VLOOKUP($U$30,'TAR FIN'!$A$1:$O$103,15,0)),0,VLOOKUP($U$30,'TAR FIN'!$A$1:$O$103,15,0))</f>
        <v>0</v>
      </c>
      <c r="Y30" s="6">
        <f ca="1">('TUSD BE'!$AM$9+'TUSD BF'!$AM$9+'TUSD CVA'!$AM$9)*1</f>
        <v>12.436759261643918</v>
      </c>
      <c r="Z30" s="6"/>
      <c r="AA30" s="6"/>
      <c r="AB30" s="6">
        <f t="shared" si="0"/>
        <v>0</v>
      </c>
      <c r="AC30" s="6">
        <f t="shared" si="1"/>
        <v>0</v>
      </c>
      <c r="AD30" s="6">
        <f t="shared" ca="1" si="2"/>
        <v>0</v>
      </c>
      <c r="AE30" s="6">
        <f t="shared" si="3"/>
        <v>0</v>
      </c>
      <c r="AF30" s="4" t="s">
        <v>813</v>
      </c>
    </row>
    <row r="31" spans="1:32" ht="11.25" customHeight="1" x14ac:dyDescent="0.3">
      <c r="A31" s="4" t="s">
        <v>21</v>
      </c>
      <c r="B31" s="4" t="s">
        <v>45</v>
      </c>
      <c r="C31" s="4" t="s">
        <v>60</v>
      </c>
      <c r="D31" s="4" t="s">
        <v>25</v>
      </c>
      <c r="E31" s="4" t="s">
        <v>25</v>
      </c>
      <c r="F31" s="4" t="s">
        <v>25</v>
      </c>
      <c r="G31" s="4" t="s">
        <v>61</v>
      </c>
      <c r="H31" s="4" t="s">
        <v>25</v>
      </c>
      <c r="I31" s="5">
        <v>44621</v>
      </c>
      <c r="J31" s="6">
        <v>3010</v>
      </c>
      <c r="K31" s="6">
        <v>3010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62</v>
      </c>
      <c r="R31" s="4">
        <v>26879</v>
      </c>
      <c r="S31" s="4">
        <v>10</v>
      </c>
      <c r="T31" s="4">
        <v>0</v>
      </c>
      <c r="U31" s="4">
        <v>0</v>
      </c>
      <c r="V31" s="6">
        <f>IF(ISERROR(VLOOKUP($S$31,'TAR FIN'!$A$1:$O$103,15,0)),0,VLOOKUP($S$31,'TAR FIN'!$A$1:$O$103,15,0))</f>
        <v>11.48</v>
      </c>
      <c r="W31" s="6">
        <f>IF(ISERROR(VLOOKUP($T$31,'TAR FIN'!$A$1:$O$103,15,0)),0,VLOOKUP($T$31,'TAR FIN'!$A$1:$O$103,15,0))</f>
        <v>0</v>
      </c>
      <c r="X31" s="6">
        <f>IF(ISERROR(VLOOKUP($U$31,'TAR FIN'!$A$1:$O$103,15,0)),0,VLOOKUP($U$31,'TAR FIN'!$A$1:$O$103,15,0))</f>
        <v>0</v>
      </c>
      <c r="Y31" s="6">
        <f ca="1">('TUSD BE'!$AM$9+'TUSD BF'!$AM$9+'TUSD CVA'!$AM$9)*1</f>
        <v>12.436759261643918</v>
      </c>
      <c r="Z31" s="6"/>
      <c r="AA31" s="6"/>
      <c r="AB31" s="6">
        <f t="shared" si="0"/>
        <v>0</v>
      </c>
      <c r="AC31" s="6">
        <f t="shared" si="1"/>
        <v>0</v>
      </c>
      <c r="AD31" s="6">
        <f t="shared" ca="1" si="2"/>
        <v>0</v>
      </c>
      <c r="AE31" s="6">
        <f t="shared" si="3"/>
        <v>0</v>
      </c>
      <c r="AF31" s="4" t="s">
        <v>813</v>
      </c>
    </row>
    <row r="32" spans="1:32" ht="11.25" customHeight="1" x14ac:dyDescent="0.3">
      <c r="A32" s="4" t="s">
        <v>21</v>
      </c>
      <c r="B32" s="4" t="s">
        <v>45</v>
      </c>
      <c r="C32" s="4" t="s">
        <v>60</v>
      </c>
      <c r="D32" s="4" t="s">
        <v>25</v>
      </c>
      <c r="E32" s="4" t="s">
        <v>25</v>
      </c>
      <c r="F32" s="4" t="s">
        <v>25</v>
      </c>
      <c r="G32" s="4" t="s">
        <v>61</v>
      </c>
      <c r="H32" s="4" t="s">
        <v>25</v>
      </c>
      <c r="I32" s="5">
        <v>44652</v>
      </c>
      <c r="J32" s="6">
        <v>3010</v>
      </c>
      <c r="K32" s="6">
        <v>3010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62</v>
      </c>
      <c r="R32" s="4">
        <v>26879</v>
      </c>
      <c r="S32" s="4">
        <v>10</v>
      </c>
      <c r="T32" s="4">
        <v>0</v>
      </c>
      <c r="U32" s="4">
        <v>0</v>
      </c>
      <c r="V32" s="6">
        <f>IF(ISERROR(VLOOKUP($S$32,'TAR FIN'!$A$1:$O$103,15,0)),0,VLOOKUP($S$32,'TAR FIN'!$A$1:$O$103,15,0))</f>
        <v>11.48</v>
      </c>
      <c r="W32" s="6">
        <f>IF(ISERROR(VLOOKUP($T$32,'TAR FIN'!$A$1:$O$103,15,0)),0,VLOOKUP($T$32,'TAR FIN'!$A$1:$O$103,15,0))</f>
        <v>0</v>
      </c>
      <c r="X32" s="6">
        <f>IF(ISERROR(VLOOKUP($U$32,'TAR FIN'!$A$1:$O$103,15,0)),0,VLOOKUP($U$32,'TAR FIN'!$A$1:$O$103,15,0))</f>
        <v>0</v>
      </c>
      <c r="Y32" s="6">
        <f ca="1">('TUSD BE'!$AM$9+'TUSD BF'!$AM$9+'TUSD CVA'!$AM$9)*1</f>
        <v>12.436759261643918</v>
      </c>
      <c r="Z32" s="6"/>
      <c r="AA32" s="6"/>
      <c r="AB32" s="6">
        <f t="shared" si="0"/>
        <v>0</v>
      </c>
      <c r="AC32" s="6">
        <f t="shared" si="1"/>
        <v>0</v>
      </c>
      <c r="AD32" s="6">
        <f t="shared" ca="1" si="2"/>
        <v>0</v>
      </c>
      <c r="AE32" s="6">
        <f t="shared" si="3"/>
        <v>0</v>
      </c>
      <c r="AF32" s="4" t="s">
        <v>813</v>
      </c>
    </row>
    <row r="33" spans="1:32" ht="11.25" customHeight="1" x14ac:dyDescent="0.3">
      <c r="A33" s="4" t="s">
        <v>21</v>
      </c>
      <c r="B33" s="4" t="s">
        <v>45</v>
      </c>
      <c r="C33" s="4" t="s">
        <v>60</v>
      </c>
      <c r="D33" s="4" t="s">
        <v>25</v>
      </c>
      <c r="E33" s="4" t="s">
        <v>25</v>
      </c>
      <c r="F33" s="4" t="s">
        <v>25</v>
      </c>
      <c r="G33" s="4" t="s">
        <v>61</v>
      </c>
      <c r="H33" s="4" t="s">
        <v>25</v>
      </c>
      <c r="I33" s="5">
        <v>44682</v>
      </c>
      <c r="J33" s="6">
        <v>3010</v>
      </c>
      <c r="K33" s="6">
        <v>3010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62</v>
      </c>
      <c r="R33" s="4">
        <v>26879</v>
      </c>
      <c r="S33" s="4">
        <v>10</v>
      </c>
      <c r="T33" s="4">
        <v>0</v>
      </c>
      <c r="U33" s="4">
        <v>0</v>
      </c>
      <c r="V33" s="6">
        <f>IF(ISERROR(VLOOKUP($S$33,'TAR FIN'!$A$1:$O$103,15,0)),0,VLOOKUP($S$33,'TAR FIN'!$A$1:$O$103,15,0))</f>
        <v>11.48</v>
      </c>
      <c r="W33" s="6">
        <f>IF(ISERROR(VLOOKUP($T$33,'TAR FIN'!$A$1:$O$103,15,0)),0,VLOOKUP($T$33,'TAR FIN'!$A$1:$O$103,15,0))</f>
        <v>0</v>
      </c>
      <c r="X33" s="6">
        <f>IF(ISERROR(VLOOKUP($U$33,'TAR FIN'!$A$1:$O$103,15,0)),0,VLOOKUP($U$33,'TAR FIN'!$A$1:$O$103,15,0))</f>
        <v>0</v>
      </c>
      <c r="Y33" s="6">
        <f ca="1">('TUSD BE'!$AM$9+'TUSD BF'!$AM$9+'TUSD CVA'!$AM$9)*1</f>
        <v>12.436759261643918</v>
      </c>
      <c r="Z33" s="6"/>
      <c r="AA33" s="6"/>
      <c r="AB33" s="6">
        <f t="shared" si="0"/>
        <v>0</v>
      </c>
      <c r="AC33" s="6">
        <f t="shared" si="1"/>
        <v>0</v>
      </c>
      <c r="AD33" s="6">
        <f t="shared" ca="1" si="2"/>
        <v>0</v>
      </c>
      <c r="AE33" s="6">
        <f t="shared" si="3"/>
        <v>0</v>
      </c>
      <c r="AF33" s="4" t="s">
        <v>813</v>
      </c>
    </row>
    <row r="34" spans="1:32" ht="11.25" customHeight="1" x14ac:dyDescent="0.3">
      <c r="A34" s="4" t="s">
        <v>21</v>
      </c>
      <c r="B34" s="4" t="s">
        <v>45</v>
      </c>
      <c r="C34" s="4" t="s">
        <v>60</v>
      </c>
      <c r="D34" s="4" t="s">
        <v>25</v>
      </c>
      <c r="E34" s="4" t="s">
        <v>25</v>
      </c>
      <c r="F34" s="4" t="s">
        <v>25</v>
      </c>
      <c r="G34" s="4" t="s">
        <v>61</v>
      </c>
      <c r="H34" s="4" t="s">
        <v>25</v>
      </c>
      <c r="I34" s="5">
        <v>44713</v>
      </c>
      <c r="J34" s="6">
        <v>3010</v>
      </c>
      <c r="K34" s="6">
        <v>3010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62</v>
      </c>
      <c r="R34" s="4">
        <v>26879</v>
      </c>
      <c r="S34" s="4">
        <v>10</v>
      </c>
      <c r="T34" s="4">
        <v>0</v>
      </c>
      <c r="U34" s="4">
        <v>0</v>
      </c>
      <c r="V34" s="6">
        <f>IF(ISERROR(VLOOKUP($S$34,'TAR FIN'!$A$1:$O$103,15,0)),0,VLOOKUP($S$34,'TAR FIN'!$A$1:$O$103,15,0))</f>
        <v>11.48</v>
      </c>
      <c r="W34" s="6">
        <f>IF(ISERROR(VLOOKUP($T$34,'TAR FIN'!$A$1:$O$103,15,0)),0,VLOOKUP($T$34,'TAR FIN'!$A$1:$O$103,15,0))</f>
        <v>0</v>
      </c>
      <c r="X34" s="6">
        <f>IF(ISERROR(VLOOKUP($U$34,'TAR FIN'!$A$1:$O$103,15,0)),0,VLOOKUP($U$34,'TAR FIN'!$A$1:$O$103,15,0))</f>
        <v>0</v>
      </c>
      <c r="Y34" s="6">
        <f ca="1">('TUSD BE'!$AM$9+'TUSD BF'!$AM$9+'TUSD CVA'!$AM$9)*1</f>
        <v>12.436759261643918</v>
      </c>
      <c r="Z34" s="6"/>
      <c r="AA34" s="6"/>
      <c r="AB34" s="6">
        <f t="shared" si="0"/>
        <v>0</v>
      </c>
      <c r="AC34" s="6">
        <f t="shared" si="1"/>
        <v>0</v>
      </c>
      <c r="AD34" s="6">
        <f t="shared" ca="1" si="2"/>
        <v>0</v>
      </c>
      <c r="AE34" s="6">
        <f t="shared" si="3"/>
        <v>0</v>
      </c>
      <c r="AF34" s="4" t="s">
        <v>813</v>
      </c>
    </row>
    <row r="35" spans="1:32" ht="11.25" customHeight="1" x14ac:dyDescent="0.3">
      <c r="A35" s="4" t="s">
        <v>21</v>
      </c>
      <c r="B35" s="4" t="s">
        <v>45</v>
      </c>
      <c r="C35" s="4" t="s">
        <v>60</v>
      </c>
      <c r="D35" s="4" t="s">
        <v>25</v>
      </c>
      <c r="E35" s="4" t="s">
        <v>25</v>
      </c>
      <c r="F35" s="4" t="s">
        <v>25</v>
      </c>
      <c r="G35" s="4" t="s">
        <v>61</v>
      </c>
      <c r="H35" s="4" t="s">
        <v>25</v>
      </c>
      <c r="I35" s="5">
        <v>44743</v>
      </c>
      <c r="J35" s="6">
        <v>3010</v>
      </c>
      <c r="K35" s="6">
        <v>3010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62</v>
      </c>
      <c r="R35" s="4">
        <v>26879</v>
      </c>
      <c r="S35" s="4">
        <v>10</v>
      </c>
      <c r="T35" s="4">
        <v>0</v>
      </c>
      <c r="U35" s="4">
        <v>0</v>
      </c>
      <c r="V35" s="6">
        <f>IF(ISERROR(VLOOKUP($S$35,'TAR FIN'!$A$1:$O$103,15,0)),0,VLOOKUP($S$35,'TAR FIN'!$A$1:$O$103,15,0))</f>
        <v>11.48</v>
      </c>
      <c r="W35" s="6">
        <f>IF(ISERROR(VLOOKUP($T$35,'TAR FIN'!$A$1:$O$103,15,0)),0,VLOOKUP($T$35,'TAR FIN'!$A$1:$O$103,15,0))</f>
        <v>0</v>
      </c>
      <c r="X35" s="6">
        <f>IF(ISERROR(VLOOKUP($U$35,'TAR FIN'!$A$1:$O$103,15,0)),0,VLOOKUP($U$35,'TAR FIN'!$A$1:$O$103,15,0))</f>
        <v>0</v>
      </c>
      <c r="Y35" s="6">
        <f ca="1">('TUSD BE'!$AM$9+'TUSD BF'!$AM$9+'TUSD CVA'!$AM$9)*1</f>
        <v>12.436759261643918</v>
      </c>
      <c r="Z35" s="6"/>
      <c r="AA35" s="6"/>
      <c r="AB35" s="6">
        <f t="shared" si="0"/>
        <v>0</v>
      </c>
      <c r="AC35" s="6">
        <f t="shared" si="1"/>
        <v>0</v>
      </c>
      <c r="AD35" s="6">
        <f t="shared" ca="1" si="2"/>
        <v>0</v>
      </c>
      <c r="AE35" s="6">
        <f t="shared" si="3"/>
        <v>0</v>
      </c>
      <c r="AF35" s="4" t="s">
        <v>813</v>
      </c>
    </row>
    <row r="36" spans="1:32" ht="11.25" customHeight="1" x14ac:dyDescent="0.3">
      <c r="A36" s="4" t="s">
        <v>21</v>
      </c>
      <c r="B36" s="4" t="s">
        <v>45</v>
      </c>
      <c r="C36" s="4" t="s">
        <v>60</v>
      </c>
      <c r="D36" s="4" t="s">
        <v>25</v>
      </c>
      <c r="E36" s="4" t="s">
        <v>25</v>
      </c>
      <c r="F36" s="4" t="s">
        <v>25</v>
      </c>
      <c r="G36" s="4" t="s">
        <v>61</v>
      </c>
      <c r="H36" s="4" t="s">
        <v>25</v>
      </c>
      <c r="I36" s="5">
        <v>44774</v>
      </c>
      <c r="J36" s="6">
        <v>3010</v>
      </c>
      <c r="K36" s="6">
        <v>3010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62</v>
      </c>
      <c r="R36" s="4">
        <v>26879</v>
      </c>
      <c r="S36" s="4">
        <v>10</v>
      </c>
      <c r="T36" s="4">
        <v>0</v>
      </c>
      <c r="U36" s="4">
        <v>0</v>
      </c>
      <c r="V36" s="6">
        <f>IF(ISERROR(VLOOKUP($S$36,'TAR FIN'!$A$1:$O$103,15,0)),0,VLOOKUP($S$36,'TAR FIN'!$A$1:$O$103,15,0))</f>
        <v>11.48</v>
      </c>
      <c r="W36" s="6">
        <f>IF(ISERROR(VLOOKUP($T$36,'TAR FIN'!$A$1:$O$103,15,0)),0,VLOOKUP($T$36,'TAR FIN'!$A$1:$O$103,15,0))</f>
        <v>0</v>
      </c>
      <c r="X36" s="6">
        <f>IF(ISERROR(VLOOKUP($U$36,'TAR FIN'!$A$1:$O$103,15,0)),0,VLOOKUP($U$36,'TAR FIN'!$A$1:$O$103,15,0))</f>
        <v>0</v>
      </c>
      <c r="Y36" s="6">
        <f ca="1">('TUSD BE'!$AM$9+'TUSD BF'!$AM$9+'TUSD CVA'!$AM$9)*1</f>
        <v>12.436759261643918</v>
      </c>
      <c r="Z36" s="6"/>
      <c r="AA36" s="6"/>
      <c r="AB36" s="6">
        <f t="shared" si="0"/>
        <v>0</v>
      </c>
      <c r="AC36" s="6">
        <f t="shared" si="1"/>
        <v>0</v>
      </c>
      <c r="AD36" s="6">
        <f t="shared" ca="1" si="2"/>
        <v>0</v>
      </c>
      <c r="AE36" s="6">
        <f t="shared" si="3"/>
        <v>0</v>
      </c>
      <c r="AF36" s="4" t="s">
        <v>813</v>
      </c>
    </row>
    <row r="37" spans="1:32" ht="11.25" customHeight="1" x14ac:dyDescent="0.3">
      <c r="A37" s="4" t="s">
        <v>21</v>
      </c>
      <c r="B37" s="4" t="s">
        <v>45</v>
      </c>
      <c r="C37" s="4" t="s">
        <v>60</v>
      </c>
      <c r="D37" s="4" t="s">
        <v>25</v>
      </c>
      <c r="E37" s="4" t="s">
        <v>25</v>
      </c>
      <c r="F37" s="4" t="s">
        <v>25</v>
      </c>
      <c r="G37" s="4" t="s">
        <v>61</v>
      </c>
      <c r="H37" s="4" t="s">
        <v>25</v>
      </c>
      <c r="I37" s="5">
        <v>44805</v>
      </c>
      <c r="J37" s="6">
        <v>3010</v>
      </c>
      <c r="K37" s="6">
        <v>3010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62</v>
      </c>
      <c r="R37" s="4">
        <v>26879</v>
      </c>
      <c r="S37" s="4">
        <v>10</v>
      </c>
      <c r="T37" s="4">
        <v>0</v>
      </c>
      <c r="U37" s="4">
        <v>0</v>
      </c>
      <c r="V37" s="6">
        <f>IF(ISERROR(VLOOKUP($S$37,'TAR FIN'!$A$1:$O$103,15,0)),0,VLOOKUP($S$37,'TAR FIN'!$A$1:$O$103,15,0))</f>
        <v>11.48</v>
      </c>
      <c r="W37" s="6">
        <f>IF(ISERROR(VLOOKUP($T$37,'TAR FIN'!$A$1:$O$103,15,0)),0,VLOOKUP($T$37,'TAR FIN'!$A$1:$O$103,15,0))</f>
        <v>0</v>
      </c>
      <c r="X37" s="6">
        <f>IF(ISERROR(VLOOKUP($U$37,'TAR FIN'!$A$1:$O$103,15,0)),0,VLOOKUP($U$37,'TAR FIN'!$A$1:$O$103,15,0))</f>
        <v>0</v>
      </c>
      <c r="Y37" s="6">
        <f ca="1">('TUSD BE'!$AM$9+'TUSD BF'!$AM$9+'TUSD CVA'!$AM$9)*1</f>
        <v>12.436759261643918</v>
      </c>
      <c r="Z37" s="6"/>
      <c r="AA37" s="6"/>
      <c r="AB37" s="6">
        <f t="shared" si="0"/>
        <v>0</v>
      </c>
      <c r="AC37" s="6">
        <f t="shared" si="1"/>
        <v>0</v>
      </c>
      <c r="AD37" s="6">
        <f t="shared" ca="1" si="2"/>
        <v>0</v>
      </c>
      <c r="AE37" s="6">
        <f t="shared" si="3"/>
        <v>0</v>
      </c>
      <c r="AF37" s="4" t="s">
        <v>813</v>
      </c>
    </row>
    <row r="38" spans="1:32" ht="11.25" customHeight="1" x14ac:dyDescent="0.3">
      <c r="A38" s="4" t="s">
        <v>57</v>
      </c>
      <c r="B38" s="4" t="s">
        <v>45</v>
      </c>
      <c r="C38" s="4" t="s">
        <v>60</v>
      </c>
      <c r="D38" s="4" t="s">
        <v>25</v>
      </c>
      <c r="E38" s="4" t="s">
        <v>25</v>
      </c>
      <c r="F38" s="4" t="s">
        <v>25</v>
      </c>
      <c r="G38" s="4" t="s">
        <v>61</v>
      </c>
      <c r="H38" s="4" t="s">
        <v>25</v>
      </c>
      <c r="I38" s="5">
        <v>44835</v>
      </c>
      <c r="J38" s="6">
        <v>3010</v>
      </c>
      <c r="K38" s="6">
        <v>3010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62</v>
      </c>
      <c r="R38" s="4">
        <v>26879</v>
      </c>
      <c r="S38" s="4">
        <v>10</v>
      </c>
      <c r="T38" s="4">
        <v>0</v>
      </c>
      <c r="U38" s="4">
        <v>0</v>
      </c>
      <c r="V38" s="6">
        <f>IF(ISERROR(VLOOKUP($S$38,'TAR FIN'!$A$1:$O$103,15,0)),0,VLOOKUP($S$38,'TAR FIN'!$A$1:$O$103,15,0))</f>
        <v>11.48</v>
      </c>
      <c r="W38" s="6">
        <f>IF(ISERROR(VLOOKUP($T$38,'TAR FIN'!$A$1:$O$103,15,0)),0,VLOOKUP($T$38,'TAR FIN'!$A$1:$O$103,15,0))</f>
        <v>0</v>
      </c>
      <c r="X38" s="6">
        <f>IF(ISERROR(VLOOKUP($U$38,'TAR FIN'!$A$1:$O$103,15,0)),0,VLOOKUP($U$38,'TAR FIN'!$A$1:$O$103,15,0))</f>
        <v>0</v>
      </c>
      <c r="Y38" s="6">
        <f ca="1">('TUSD BE'!$AM$9+'TUSD BF'!$AM$9+'TUSD CVA'!$AM$9)*1</f>
        <v>12.436759261643918</v>
      </c>
      <c r="Z38" s="6"/>
      <c r="AA38" s="6"/>
      <c r="AB38" s="6">
        <f t="shared" si="0"/>
        <v>0</v>
      </c>
      <c r="AC38" s="6">
        <f t="shared" si="1"/>
        <v>0</v>
      </c>
      <c r="AD38" s="6">
        <f t="shared" ca="1" si="2"/>
        <v>0</v>
      </c>
      <c r="AE38" s="6">
        <f t="shared" si="3"/>
        <v>0</v>
      </c>
      <c r="AF38" s="4" t="s">
        <v>813</v>
      </c>
    </row>
    <row r="39" spans="1:32" ht="11.25" customHeight="1" x14ac:dyDescent="0.3">
      <c r="A39" s="4" t="s">
        <v>21</v>
      </c>
      <c r="B39" s="4" t="s">
        <v>45</v>
      </c>
      <c r="C39" s="4" t="s">
        <v>40</v>
      </c>
      <c r="D39" s="4" t="s">
        <v>44</v>
      </c>
      <c r="E39" s="4" t="s">
        <v>53</v>
      </c>
      <c r="F39" s="4" t="s">
        <v>55</v>
      </c>
      <c r="G39" s="4" t="s">
        <v>25</v>
      </c>
      <c r="H39" s="4" t="s">
        <v>35</v>
      </c>
      <c r="I39" s="5">
        <v>44805</v>
      </c>
      <c r="J39" s="6">
        <v>0</v>
      </c>
      <c r="K39" s="6">
        <v>0</v>
      </c>
      <c r="L39" s="6">
        <v>5.2069999999999999</v>
      </c>
      <c r="M39" s="6">
        <v>1.0414000000000001</v>
      </c>
      <c r="N39" s="6">
        <v>5.2069999999999999</v>
      </c>
      <c r="O39" s="6">
        <v>1.0414000000000001</v>
      </c>
      <c r="P39" s="6">
        <v>0</v>
      </c>
      <c r="Q39" s="4" t="s">
        <v>26</v>
      </c>
      <c r="R39" s="4">
        <v>0</v>
      </c>
      <c r="S39" s="4">
        <v>0</v>
      </c>
      <c r="T39" s="4">
        <v>16</v>
      </c>
      <c r="U39" s="4">
        <v>63</v>
      </c>
      <c r="V39" s="6">
        <f>IF(ISERROR(VLOOKUP($S$39,'TAR FIN'!$A$1:$O$103,15,0)),0,VLOOKUP($S$39,'TAR FIN'!$A$1:$O$103,15,0))</f>
        <v>0</v>
      </c>
      <c r="W39" s="6">
        <f>IF(ISERROR(VLOOKUP($T$39,'TAR FIN'!$A$1:$O$103,15,0)),0,VLOOKUP($T$39,'TAR FIN'!$A$1:$O$103,15,0))</f>
        <v>84.99</v>
      </c>
      <c r="X39" s="6">
        <f>IF(ISERROR(VLOOKUP($U$39,'TAR FIN'!$A$1:$O$103,15,0)),0,VLOOKUP($U$39,'TAR FIN'!$A$1:$O$103,15,0))</f>
        <v>242.77</v>
      </c>
      <c r="Y39" s="6"/>
      <c r="Z39" s="6">
        <f ca="1">('TUSD BE'!$AM$12+'TUSD BF'!$AM$12+'TUSD CVA'!$AM$12)*1</f>
        <v>145.72237393634796</v>
      </c>
      <c r="AA39" s="6">
        <f>('TE BE'!$AB$6+'TE BF'!$AB$6+'TE CVA'!$AB$6)*1</f>
        <v>222.39386487986414</v>
      </c>
      <c r="AB39" s="6">
        <f t="shared" si="0"/>
        <v>0</v>
      </c>
      <c r="AC39" s="6">
        <f t="shared" si="1"/>
        <v>1365.3170559999999</v>
      </c>
      <c r="AD39" s="6">
        <f t="shared" si="2"/>
        <v>0</v>
      </c>
      <c r="AE39" s="6">
        <f t="shared" ca="1" si="3"/>
        <v>1533.425004412813</v>
      </c>
      <c r="AF39" s="4" t="s">
        <v>812</v>
      </c>
    </row>
    <row r="40" spans="1:32" ht="11.25" customHeight="1" x14ac:dyDescent="0.3">
      <c r="A40" s="4" t="s">
        <v>57</v>
      </c>
      <c r="B40" s="4" t="s">
        <v>45</v>
      </c>
      <c r="C40" s="4" t="s">
        <v>40</v>
      </c>
      <c r="D40" s="4" t="s">
        <v>44</v>
      </c>
      <c r="E40" s="4" t="s">
        <v>53</v>
      </c>
      <c r="F40" s="4" t="s">
        <v>55</v>
      </c>
      <c r="G40" s="4" t="s">
        <v>25</v>
      </c>
      <c r="H40" s="4" t="s">
        <v>35</v>
      </c>
      <c r="I40" s="5">
        <v>44835</v>
      </c>
      <c r="J40" s="6">
        <v>0</v>
      </c>
      <c r="K40" s="6">
        <v>0</v>
      </c>
      <c r="L40" s="6">
        <v>5.2069999999999999</v>
      </c>
      <c r="M40" s="6">
        <v>1.0414000000000001</v>
      </c>
      <c r="N40" s="6">
        <v>5.2069999999999999</v>
      </c>
      <c r="O40" s="6">
        <v>1.0414000000000001</v>
      </c>
      <c r="P40" s="6">
        <v>0</v>
      </c>
      <c r="Q40" s="4" t="s">
        <v>26</v>
      </c>
      <c r="R40" s="4">
        <v>0</v>
      </c>
      <c r="S40" s="4">
        <v>0</v>
      </c>
      <c r="T40" s="4">
        <v>16</v>
      </c>
      <c r="U40" s="4">
        <v>63</v>
      </c>
      <c r="V40" s="6">
        <f>IF(ISERROR(VLOOKUP($S$40,'TAR FIN'!$A$1:$O$103,15,0)),0,VLOOKUP($S$40,'TAR FIN'!$A$1:$O$103,15,0))</f>
        <v>0</v>
      </c>
      <c r="W40" s="6">
        <f>IF(ISERROR(VLOOKUP($T$40,'TAR FIN'!$A$1:$O$103,15,0)),0,VLOOKUP($T$40,'TAR FIN'!$A$1:$O$103,15,0))</f>
        <v>84.99</v>
      </c>
      <c r="X40" s="6">
        <f>IF(ISERROR(VLOOKUP($U$40,'TAR FIN'!$A$1:$O$103,15,0)),0,VLOOKUP($U$40,'TAR FIN'!$A$1:$O$103,15,0))</f>
        <v>242.77</v>
      </c>
      <c r="Y40" s="6"/>
      <c r="Z40" s="6">
        <f ca="1">('TUSD BE'!$AM$12+'TUSD BF'!$AM$12+'TUSD CVA'!$AM$12)*1</f>
        <v>145.72237393634796</v>
      </c>
      <c r="AA40" s="6">
        <f>('TE BE'!$AB$6+'TE BF'!$AB$6+'TE CVA'!$AB$6)*1</f>
        <v>222.39386487986414</v>
      </c>
      <c r="AB40" s="6">
        <f t="shared" si="0"/>
        <v>0</v>
      </c>
      <c r="AC40" s="6">
        <f t="shared" si="1"/>
        <v>1365.3170559999999</v>
      </c>
      <c r="AD40" s="6">
        <f t="shared" si="2"/>
        <v>0</v>
      </c>
      <c r="AE40" s="6">
        <f t="shared" ca="1" si="3"/>
        <v>1533.425004412813</v>
      </c>
      <c r="AF40" s="4" t="s">
        <v>812</v>
      </c>
    </row>
    <row r="41" spans="1:32" ht="11.25" customHeight="1" x14ac:dyDescent="0.3">
      <c r="A41" s="4" t="s">
        <v>21</v>
      </c>
      <c r="B41" s="4" t="s">
        <v>45</v>
      </c>
      <c r="C41" s="4" t="s">
        <v>40</v>
      </c>
      <c r="D41" s="4" t="s">
        <v>44</v>
      </c>
      <c r="E41" s="4" t="s">
        <v>53</v>
      </c>
      <c r="F41" s="4" t="s">
        <v>25</v>
      </c>
      <c r="G41" s="4" t="s">
        <v>25</v>
      </c>
      <c r="H41" s="4" t="s">
        <v>35</v>
      </c>
      <c r="I41" s="5">
        <v>44805</v>
      </c>
      <c r="J41" s="6">
        <v>0</v>
      </c>
      <c r="K41" s="52">
        <v>0</v>
      </c>
      <c r="L41" s="6">
        <v>9.7170000000000005</v>
      </c>
      <c r="M41" s="52">
        <v>9.7170000000000005</v>
      </c>
      <c r="N41" s="6">
        <v>9.7170000000000005</v>
      </c>
      <c r="O41" s="52">
        <v>9.7170000000000005</v>
      </c>
      <c r="P41" s="6">
        <v>0</v>
      </c>
      <c r="Q41" s="4" t="s">
        <v>26</v>
      </c>
      <c r="R41" s="4">
        <v>0</v>
      </c>
      <c r="S41" s="4">
        <v>0</v>
      </c>
      <c r="T41" s="4">
        <v>16</v>
      </c>
      <c r="U41" s="4">
        <v>63</v>
      </c>
      <c r="V41" s="52">
        <f>IF(ISERROR(VLOOKUP($S$41,'TAR FIN'!$A$1:$O$103,15,0)),0,VLOOKUP($S$41,'TAR FIN'!$A$1:$O$103,15,0))</f>
        <v>0</v>
      </c>
      <c r="W41" s="52">
        <f>IF(ISERROR(VLOOKUP($T$41,'TAR FIN'!$A$1:$O$103,15,0)),0,VLOOKUP($T$41,'TAR FIN'!$A$1:$O$103,15,0))*(1-0.04)</f>
        <v>81.590399999999988</v>
      </c>
      <c r="X41" s="52">
        <f>IF(ISERROR(VLOOKUP($U$41,'TAR FIN'!$A$1:$O$103,15,0)),0,VLOOKUP($U$41,'TAR FIN'!$A$1:$O$103,15,0))*(1-0.04)</f>
        <v>233.0592</v>
      </c>
      <c r="Y41" s="52"/>
      <c r="Z41" s="52">
        <f ca="1">('TUSD BE'!$AM$12+'TUSD BF'!$AM$12+'TUSD CVA'!$AM$12)*1*(1-0.02)</f>
        <v>142.80792645762099</v>
      </c>
      <c r="AA41" s="52">
        <f>('TE BE'!$AB$6+'TE BF'!$AB$6+'TE CVA'!$AB$6)*1*(1-0.02)</f>
        <v>217.94598758226687</v>
      </c>
      <c r="AB41" s="52">
        <f>(SUBSIDIO!$J$41*SUBSIDIO!$V$41)*(0.04)/(1-0.04)</f>
        <v>0</v>
      </c>
      <c r="AC41" s="52">
        <f>((SUBSIDIO!$L$41*SUBSIDIO!$W$41)+(SUBSIDIO!$N$41*SUBSIDIO!$X$41))*(0.04)/(1-0.04)</f>
        <v>127.39375680000001</v>
      </c>
      <c r="AD41" s="52">
        <f>(SUBSIDIO!$J$41*SUBSIDIO!$Y$41)*(0.02)/(1-0.02)</f>
        <v>0</v>
      </c>
      <c r="AE41" s="52">
        <f ca="1">((SUBSIDIO!$L$41*SUBSIDIO!$Z$41)+(SUBSIDIO!$N$41*SUBSIDIO!$AA$41))*(0.02)/(1-0.02)</f>
        <v>71.539709851542668</v>
      </c>
      <c r="AF41" s="4" t="s">
        <v>811</v>
      </c>
    </row>
    <row r="42" spans="1:32" ht="11.25" customHeight="1" x14ac:dyDescent="0.3">
      <c r="A42" s="4" t="s">
        <v>57</v>
      </c>
      <c r="B42" s="4" t="s">
        <v>45</v>
      </c>
      <c r="C42" s="4" t="s">
        <v>40</v>
      </c>
      <c r="D42" s="4" t="s">
        <v>44</v>
      </c>
      <c r="E42" s="4" t="s">
        <v>53</v>
      </c>
      <c r="F42" s="4" t="s">
        <v>25</v>
      </c>
      <c r="G42" s="4" t="s">
        <v>25</v>
      </c>
      <c r="H42" s="4" t="s">
        <v>35</v>
      </c>
      <c r="I42" s="5">
        <v>44835</v>
      </c>
      <c r="J42" s="6">
        <v>0</v>
      </c>
      <c r="K42" s="52">
        <v>0</v>
      </c>
      <c r="L42" s="6">
        <v>9.7170000000000005</v>
      </c>
      <c r="M42" s="52">
        <v>9.7170000000000005</v>
      </c>
      <c r="N42" s="6">
        <v>9.7170000000000005</v>
      </c>
      <c r="O42" s="52">
        <v>9.7170000000000005</v>
      </c>
      <c r="P42" s="6">
        <v>0</v>
      </c>
      <c r="Q42" s="4" t="s">
        <v>26</v>
      </c>
      <c r="R42" s="4">
        <v>0</v>
      </c>
      <c r="S42" s="4">
        <v>0</v>
      </c>
      <c r="T42" s="4">
        <v>16</v>
      </c>
      <c r="U42" s="4">
        <v>63</v>
      </c>
      <c r="V42" s="52">
        <f>IF(ISERROR(VLOOKUP($S$42,'TAR FIN'!$A$1:$O$103,15,0)),0,VLOOKUP($S$42,'TAR FIN'!$A$1:$O$103,15,0))</f>
        <v>0</v>
      </c>
      <c r="W42" s="52">
        <f>IF(ISERROR(VLOOKUP($T$42,'TAR FIN'!$A$1:$O$103,15,0)),0,VLOOKUP($T$42,'TAR FIN'!$A$1:$O$103,15,0))*(1-0.04)</f>
        <v>81.590399999999988</v>
      </c>
      <c r="X42" s="52">
        <f>IF(ISERROR(VLOOKUP($U$42,'TAR FIN'!$A$1:$O$103,15,0)),0,VLOOKUP($U$42,'TAR FIN'!$A$1:$O$103,15,0))*(1-0.04)</f>
        <v>233.0592</v>
      </c>
      <c r="Y42" s="52"/>
      <c r="Z42" s="52">
        <f ca="1">('TUSD BE'!$AM$12+'TUSD BF'!$AM$12+'TUSD CVA'!$AM$12)*1*(1-0.02)</f>
        <v>142.80792645762099</v>
      </c>
      <c r="AA42" s="52">
        <f>('TE BE'!$AB$6+'TE BF'!$AB$6+'TE CVA'!$AB$6)*1*(1-0.02)</f>
        <v>217.94598758226687</v>
      </c>
      <c r="AB42" s="52">
        <f>(SUBSIDIO!$J$42*SUBSIDIO!$V$42)*(0.04)/(1-0.04)</f>
        <v>0</v>
      </c>
      <c r="AC42" s="52">
        <f>((SUBSIDIO!$L$42*SUBSIDIO!$W$42)+(SUBSIDIO!$N$42*SUBSIDIO!$X$42))*(0.04)/(1-0.04)</f>
        <v>127.39375680000001</v>
      </c>
      <c r="AD42" s="52">
        <f>(SUBSIDIO!$J$42*SUBSIDIO!$Y$42)*(0.02)/(1-0.02)</f>
        <v>0</v>
      </c>
      <c r="AE42" s="52">
        <f ca="1">((SUBSIDIO!$L$42*SUBSIDIO!$Z$42)+(SUBSIDIO!$N$42*SUBSIDIO!$AA$42))*(0.02)/(1-0.02)</f>
        <v>71.539709851542668</v>
      </c>
      <c r="AF42" s="4" t="s">
        <v>811</v>
      </c>
    </row>
    <row r="43" spans="1:32" ht="11.25" customHeight="1" x14ac:dyDescent="0.3">
      <c r="A43" s="4" t="s">
        <v>21</v>
      </c>
      <c r="B43" s="4" t="s">
        <v>45</v>
      </c>
      <c r="C43" s="4" t="s">
        <v>40</v>
      </c>
      <c r="D43" s="4" t="s">
        <v>44</v>
      </c>
      <c r="E43" s="4" t="s">
        <v>53</v>
      </c>
      <c r="F43" s="4" t="s">
        <v>25</v>
      </c>
      <c r="G43" s="4" t="s">
        <v>25</v>
      </c>
      <c r="H43" s="4" t="s">
        <v>25</v>
      </c>
      <c r="I43" s="5">
        <v>44805</v>
      </c>
      <c r="J43" s="6">
        <v>106</v>
      </c>
      <c r="K43" s="52">
        <v>106</v>
      </c>
      <c r="L43" s="6">
        <v>0</v>
      </c>
      <c r="M43" s="52">
        <v>0</v>
      </c>
      <c r="N43" s="6">
        <v>0</v>
      </c>
      <c r="O43" s="52">
        <v>0</v>
      </c>
      <c r="P43" s="6">
        <v>1</v>
      </c>
      <c r="Q43" s="4" t="s">
        <v>26</v>
      </c>
      <c r="R43" s="4">
        <v>0</v>
      </c>
      <c r="S43" s="4">
        <v>11</v>
      </c>
      <c r="T43" s="4">
        <v>0</v>
      </c>
      <c r="U43" s="4">
        <v>0</v>
      </c>
      <c r="V43" s="52">
        <f>IF(ISERROR(VLOOKUP($S$43,'TAR FIN'!$A$1:$O$103,15,0)),0,VLOOKUP($S$43,'TAR FIN'!$A$1:$O$103,15,0))*(1-0.04)</f>
        <v>18.1632</v>
      </c>
      <c r="W43" s="52">
        <f>IF(ISERROR(VLOOKUP($T$43,'TAR FIN'!$A$1:$O$103,15,0)),0,VLOOKUP($T$43,'TAR FIN'!$A$1:$O$103,15,0))</f>
        <v>0</v>
      </c>
      <c r="X43" s="52">
        <f>IF(ISERROR(VLOOKUP($U$43,'TAR FIN'!$A$1:$O$103,15,0)),0,VLOOKUP($U$43,'TAR FIN'!$A$1:$O$103,15,0))</f>
        <v>0</v>
      </c>
      <c r="Y43" s="52">
        <f ca="1">('TUSD BE'!$AM$10+'TUSD BF'!$AM$10+'TUSD CVA'!$AM$10)*1*(1-0.02)</f>
        <v>20.941951853111981</v>
      </c>
      <c r="Z43" s="52"/>
      <c r="AA43" s="52"/>
      <c r="AB43" s="52">
        <f>(SUBSIDIO!$J$43*SUBSIDIO!$V$43)*(0.04)/(1-0.04)</f>
        <v>80.220799999999997</v>
      </c>
      <c r="AC43" s="52">
        <f>((SUBSIDIO!$L$43*SUBSIDIO!$W$43)+(SUBSIDIO!$N$43*SUBSIDIO!$X$43))*(0.04)/(1-0.04)</f>
        <v>0</v>
      </c>
      <c r="AD43" s="52">
        <f ca="1">(SUBSIDIO!$J$43*SUBSIDIO!$Y$43)*(0.02)/(1-0.02)</f>
        <v>45.30299788632388</v>
      </c>
      <c r="AE43" s="52">
        <f>((SUBSIDIO!$L$43*SUBSIDIO!$Z$43)+(SUBSIDIO!$N$43*SUBSIDIO!$AA$43))*(0.02)/(1-0.02)</f>
        <v>0</v>
      </c>
      <c r="AF43" s="4" t="s">
        <v>811</v>
      </c>
    </row>
    <row r="44" spans="1:32" ht="11.25" customHeight="1" x14ac:dyDescent="0.3">
      <c r="A44" s="4" t="s">
        <v>57</v>
      </c>
      <c r="B44" s="4" t="s">
        <v>45</v>
      </c>
      <c r="C44" s="4" t="s">
        <v>40</v>
      </c>
      <c r="D44" s="4" t="s">
        <v>44</v>
      </c>
      <c r="E44" s="4" t="s">
        <v>53</v>
      </c>
      <c r="F44" s="4" t="s">
        <v>25</v>
      </c>
      <c r="G44" s="4" t="s">
        <v>25</v>
      </c>
      <c r="H44" s="4" t="s">
        <v>25</v>
      </c>
      <c r="I44" s="5">
        <v>44835</v>
      </c>
      <c r="J44" s="6">
        <v>106</v>
      </c>
      <c r="K44" s="52">
        <v>106</v>
      </c>
      <c r="L44" s="6">
        <v>0</v>
      </c>
      <c r="M44" s="52">
        <v>0</v>
      </c>
      <c r="N44" s="6">
        <v>0</v>
      </c>
      <c r="O44" s="52">
        <v>0</v>
      </c>
      <c r="P44" s="6">
        <v>1</v>
      </c>
      <c r="Q44" s="4" t="s">
        <v>26</v>
      </c>
      <c r="R44" s="4">
        <v>0</v>
      </c>
      <c r="S44" s="4">
        <v>11</v>
      </c>
      <c r="T44" s="4">
        <v>0</v>
      </c>
      <c r="U44" s="4">
        <v>0</v>
      </c>
      <c r="V44" s="52">
        <f>IF(ISERROR(VLOOKUP($S$44,'TAR FIN'!$A$1:$O$103,15,0)),0,VLOOKUP($S$44,'TAR FIN'!$A$1:$O$103,15,0))*(1-0.04)</f>
        <v>18.1632</v>
      </c>
      <c r="W44" s="52">
        <f>IF(ISERROR(VLOOKUP($T$44,'TAR FIN'!$A$1:$O$103,15,0)),0,VLOOKUP($T$44,'TAR FIN'!$A$1:$O$103,15,0))</f>
        <v>0</v>
      </c>
      <c r="X44" s="52">
        <f>IF(ISERROR(VLOOKUP($U$44,'TAR FIN'!$A$1:$O$103,15,0)),0,VLOOKUP($U$44,'TAR FIN'!$A$1:$O$103,15,0))</f>
        <v>0</v>
      </c>
      <c r="Y44" s="52">
        <f ca="1">('TUSD BE'!$AM$10+'TUSD BF'!$AM$10+'TUSD CVA'!$AM$10)*1*(1-0.02)</f>
        <v>20.941951853111981</v>
      </c>
      <c r="Z44" s="52"/>
      <c r="AA44" s="52"/>
      <c r="AB44" s="52">
        <f>(SUBSIDIO!$J$44*SUBSIDIO!$V$44)*(0.04)/(1-0.04)</f>
        <v>80.220799999999997</v>
      </c>
      <c r="AC44" s="52">
        <f>((SUBSIDIO!$L$44*SUBSIDIO!$W$44)+(SUBSIDIO!$N$44*SUBSIDIO!$X$44))*(0.04)/(1-0.04)</f>
        <v>0</v>
      </c>
      <c r="AD44" s="52">
        <f ca="1">(SUBSIDIO!$J$44*SUBSIDIO!$Y$44)*(0.02)/(1-0.02)</f>
        <v>45.30299788632388</v>
      </c>
      <c r="AE44" s="52">
        <f>((SUBSIDIO!$L$44*SUBSIDIO!$Z$44)+(SUBSIDIO!$N$44*SUBSIDIO!$AA$44))*(0.02)/(1-0.02)</f>
        <v>0</v>
      </c>
      <c r="AF44" s="4" t="s">
        <v>811</v>
      </c>
    </row>
    <row r="45" spans="1:32" ht="11.25" customHeight="1" x14ac:dyDescent="0.3">
      <c r="A45" s="4" t="s">
        <v>21</v>
      </c>
      <c r="B45" s="4" t="s">
        <v>45</v>
      </c>
      <c r="C45" s="4" t="s">
        <v>40</v>
      </c>
      <c r="D45" s="4" t="s">
        <v>44</v>
      </c>
      <c r="E45" s="4" t="s">
        <v>53</v>
      </c>
      <c r="F45" s="4" t="s">
        <v>25</v>
      </c>
      <c r="G45" s="4" t="s">
        <v>25</v>
      </c>
      <c r="H45" s="4" t="s">
        <v>34</v>
      </c>
      <c r="I45" s="5">
        <v>44805</v>
      </c>
      <c r="J45" s="6">
        <v>0</v>
      </c>
      <c r="K45" s="52">
        <v>0</v>
      </c>
      <c r="L45" s="6">
        <v>1.8859999999999999</v>
      </c>
      <c r="M45" s="52">
        <v>1.8859999999999999</v>
      </c>
      <c r="N45" s="6">
        <v>1.8859999999999999</v>
      </c>
      <c r="O45" s="52">
        <v>1.8859999999999999</v>
      </c>
      <c r="P45" s="6">
        <v>0</v>
      </c>
      <c r="Q45" s="4" t="s">
        <v>26</v>
      </c>
      <c r="R45" s="4">
        <v>0</v>
      </c>
      <c r="S45" s="4">
        <v>0</v>
      </c>
      <c r="T45" s="4">
        <v>14</v>
      </c>
      <c r="U45" s="4">
        <v>62</v>
      </c>
      <c r="V45" s="52">
        <f>IF(ISERROR(VLOOKUP($S$45,'TAR FIN'!$A$1:$O$103,15,0)),0,VLOOKUP($S$45,'TAR FIN'!$A$1:$O$103,15,0))</f>
        <v>0</v>
      </c>
      <c r="W45" s="52">
        <f>IF(ISERROR(VLOOKUP($T$45,'TAR FIN'!$A$1:$O$103,15,0)),0,VLOOKUP($T$45,'TAR FIN'!$A$1:$O$103,15,0))*(1-0.04)</f>
        <v>1147.9871999999998</v>
      </c>
      <c r="X45" s="52">
        <f>IF(ISERROR(VLOOKUP($U$45,'TAR FIN'!$A$1:$O$103,15,0)),0,VLOOKUP($U$45,'TAR FIN'!$A$1:$O$103,15,0))*(1-0.04)</f>
        <v>375.8784</v>
      </c>
      <c r="Y45" s="52"/>
      <c r="Z45" s="52">
        <f ca="1">('TUSD BE'!$AM$11+'TUSD BF'!$AM$11+'TUSD CVA'!$AM$11)*1*(1-0.02)</f>
        <v>1357.7878188473314</v>
      </c>
      <c r="AA45" s="52">
        <f>('TE BE'!$AB$5+'TE BF'!$AB$5+'TE CVA'!$AB$5)*1*(1-0.02)</f>
        <v>354.71359410136364</v>
      </c>
      <c r="AB45" s="52">
        <f>(SUBSIDIO!$J$45*SUBSIDIO!$V$45)*(0.04)/(1-0.04)</f>
        <v>0</v>
      </c>
      <c r="AC45" s="52">
        <f>((SUBSIDIO!$L$45*SUBSIDIO!$W$45)+(SUBSIDIO!$N$45*SUBSIDIO!$X$45))*(0.04)/(1-0.04)</f>
        <v>119.75043839999998</v>
      </c>
      <c r="AD45" s="52">
        <f>(SUBSIDIO!$J$45*SUBSIDIO!$Y$45)*(0.02)/(1-0.02)</f>
        <v>0</v>
      </c>
      <c r="AE45" s="52">
        <f ca="1">((SUBSIDIO!$L$45*SUBSIDIO!$Z$45)+(SUBSIDIO!$N$45*SUBSIDIO!$AA$45))*(0.02)/(1-0.02)</f>
        <v>65.913829894311007</v>
      </c>
      <c r="AF45" s="4" t="s">
        <v>811</v>
      </c>
    </row>
    <row r="46" spans="1:32" ht="11.25" customHeight="1" x14ac:dyDescent="0.3">
      <c r="A46" s="4" t="s">
        <v>57</v>
      </c>
      <c r="B46" s="4" t="s">
        <v>45</v>
      </c>
      <c r="C46" s="4" t="s">
        <v>40</v>
      </c>
      <c r="D46" s="4" t="s">
        <v>44</v>
      </c>
      <c r="E46" s="4" t="s">
        <v>53</v>
      </c>
      <c r="F46" s="4" t="s">
        <v>25</v>
      </c>
      <c r="G46" s="4" t="s">
        <v>25</v>
      </c>
      <c r="H46" s="4" t="s">
        <v>34</v>
      </c>
      <c r="I46" s="5">
        <v>44835</v>
      </c>
      <c r="J46" s="6">
        <v>0</v>
      </c>
      <c r="K46" s="52">
        <v>0</v>
      </c>
      <c r="L46" s="6">
        <v>1.8859999999999999</v>
      </c>
      <c r="M46" s="52">
        <v>1.8859999999999999</v>
      </c>
      <c r="N46" s="6">
        <v>1.8859999999999999</v>
      </c>
      <c r="O46" s="52">
        <v>1.8859999999999999</v>
      </c>
      <c r="P46" s="6">
        <v>0</v>
      </c>
      <c r="Q46" s="4" t="s">
        <v>26</v>
      </c>
      <c r="R46" s="4">
        <v>0</v>
      </c>
      <c r="S46" s="4">
        <v>0</v>
      </c>
      <c r="T46" s="4">
        <v>14</v>
      </c>
      <c r="U46" s="4">
        <v>62</v>
      </c>
      <c r="V46" s="52">
        <f>IF(ISERROR(VLOOKUP($S$46,'TAR FIN'!$A$1:$O$103,15,0)),0,VLOOKUP($S$46,'TAR FIN'!$A$1:$O$103,15,0))</f>
        <v>0</v>
      </c>
      <c r="W46" s="52">
        <f>IF(ISERROR(VLOOKUP($T$46,'TAR FIN'!$A$1:$O$103,15,0)),0,VLOOKUP($T$46,'TAR FIN'!$A$1:$O$103,15,0))*(1-0.04)</f>
        <v>1147.9871999999998</v>
      </c>
      <c r="X46" s="52">
        <f>IF(ISERROR(VLOOKUP($U$46,'TAR FIN'!$A$1:$O$103,15,0)),0,VLOOKUP($U$46,'TAR FIN'!$A$1:$O$103,15,0))*(1-0.04)</f>
        <v>375.8784</v>
      </c>
      <c r="Y46" s="52"/>
      <c r="Z46" s="52">
        <f ca="1">('TUSD BE'!$AM$11+'TUSD BF'!$AM$11+'TUSD CVA'!$AM$11)*1*(1-0.02)</f>
        <v>1357.7878188473314</v>
      </c>
      <c r="AA46" s="52">
        <f>('TE BE'!$AB$5+'TE BF'!$AB$5+'TE CVA'!$AB$5)*1*(1-0.02)</f>
        <v>354.71359410136364</v>
      </c>
      <c r="AB46" s="52">
        <f>(SUBSIDIO!$J$46*SUBSIDIO!$V$46)*(0.04)/(1-0.04)</f>
        <v>0</v>
      </c>
      <c r="AC46" s="52">
        <f>((SUBSIDIO!$L$46*SUBSIDIO!$W$46)+(SUBSIDIO!$N$46*SUBSIDIO!$X$46))*(0.04)/(1-0.04)</f>
        <v>119.75043839999998</v>
      </c>
      <c r="AD46" s="52">
        <f>(SUBSIDIO!$J$46*SUBSIDIO!$Y$46)*(0.02)/(1-0.02)</f>
        <v>0</v>
      </c>
      <c r="AE46" s="52">
        <f ca="1">((SUBSIDIO!$L$46*SUBSIDIO!$Z$46)+(SUBSIDIO!$N$46*SUBSIDIO!$AA$46))*(0.02)/(1-0.02)</f>
        <v>65.913829894311007</v>
      </c>
      <c r="AF46" s="4" t="s">
        <v>811</v>
      </c>
    </row>
    <row r="47" spans="1:32" ht="11.25" customHeight="1" x14ac:dyDescent="0.3">
      <c r="A47" s="4" t="s">
        <v>21</v>
      </c>
      <c r="B47" s="4" t="s">
        <v>45</v>
      </c>
      <c r="C47" s="4" t="s">
        <v>40</v>
      </c>
      <c r="D47" s="4" t="s">
        <v>44</v>
      </c>
      <c r="E47" s="4" t="s">
        <v>56</v>
      </c>
      <c r="F47" s="4" t="s">
        <v>25</v>
      </c>
      <c r="G47" s="4" t="s">
        <v>25</v>
      </c>
      <c r="H47" s="4" t="s">
        <v>35</v>
      </c>
      <c r="I47" s="5">
        <v>44593</v>
      </c>
      <c r="J47" s="6">
        <v>0</v>
      </c>
      <c r="K47" s="52">
        <v>0</v>
      </c>
      <c r="L47" s="6">
        <v>0.42099999999999999</v>
      </c>
      <c r="M47" s="52">
        <v>0.42099999999999999</v>
      </c>
      <c r="N47" s="6">
        <v>0.42099999999999999</v>
      </c>
      <c r="O47" s="52">
        <v>0.42099999999999999</v>
      </c>
      <c r="P47" s="6">
        <v>0</v>
      </c>
      <c r="Q47" s="4" t="s">
        <v>26</v>
      </c>
      <c r="R47" s="4">
        <v>0</v>
      </c>
      <c r="S47" s="4">
        <v>0</v>
      </c>
      <c r="T47" s="4">
        <v>16</v>
      </c>
      <c r="U47" s="4">
        <v>63</v>
      </c>
      <c r="V47" s="52">
        <f>IF(ISERROR(VLOOKUP($S$47,'TAR FIN'!$A$1:$O$103,15,0)),0,VLOOKUP($S$47,'TAR FIN'!$A$1:$O$103,15,0))</f>
        <v>0</v>
      </c>
      <c r="W47" s="52">
        <f>IF(ISERROR(VLOOKUP($T$47,'TAR FIN'!$A$1:$O$103,15,0)),0,VLOOKUP($T$47,'TAR FIN'!$A$1:$O$103,15,0))*(1-0.04)</f>
        <v>81.590399999999988</v>
      </c>
      <c r="X47" s="52">
        <f>IF(ISERROR(VLOOKUP($U$47,'TAR FIN'!$A$1:$O$103,15,0)),0,VLOOKUP($U$47,'TAR FIN'!$A$1:$O$103,15,0))*(1-0.04)</f>
        <v>233.0592</v>
      </c>
      <c r="Y47" s="52"/>
      <c r="Z47" s="52">
        <f ca="1">('TUSD BE'!$AM$12+'TUSD BF'!$AM$12+'TUSD CVA'!$AM$12)*1*(1-0.02)</f>
        <v>142.80792645762099</v>
      </c>
      <c r="AA47" s="52">
        <f>('TE BE'!$AB$6+'TE BF'!$AB$6+'TE CVA'!$AB$6)*1*(1-0.02)</f>
        <v>217.94598758226687</v>
      </c>
      <c r="AB47" s="52">
        <f>(SUBSIDIO!$J$47*SUBSIDIO!$V$47)*(0.04)/(1-0.04)</f>
        <v>0</v>
      </c>
      <c r="AC47" s="52">
        <f>((SUBSIDIO!$L$47*SUBSIDIO!$W$47)+(SUBSIDIO!$N$47*SUBSIDIO!$X$47))*(0.04)/(1-0.04)</f>
        <v>5.5194783999999997</v>
      </c>
      <c r="AD47" s="52">
        <f>(SUBSIDIO!$J$47*SUBSIDIO!$Y$47)*(0.02)/(1-0.02)</f>
        <v>0</v>
      </c>
      <c r="AE47" s="52">
        <f ca="1">((SUBSIDIO!$L$47*SUBSIDIO!$Z$47)+(SUBSIDIO!$N$47*SUBSIDIO!$AA$47))*(0.02)/(1-0.02)</f>
        <v>3.099538730832506</v>
      </c>
      <c r="AF47" s="4" t="s">
        <v>811</v>
      </c>
    </row>
    <row r="48" spans="1:32" ht="11.25" customHeight="1" x14ac:dyDescent="0.3">
      <c r="A48" s="4" t="s">
        <v>21</v>
      </c>
      <c r="B48" s="4" t="s">
        <v>45</v>
      </c>
      <c r="C48" s="4" t="s">
        <v>40</v>
      </c>
      <c r="D48" s="4" t="s">
        <v>44</v>
      </c>
      <c r="E48" s="4" t="s">
        <v>56</v>
      </c>
      <c r="F48" s="4" t="s">
        <v>25</v>
      </c>
      <c r="G48" s="4" t="s">
        <v>25</v>
      </c>
      <c r="H48" s="4" t="s">
        <v>35</v>
      </c>
      <c r="I48" s="5">
        <v>44621</v>
      </c>
      <c r="J48" s="6">
        <v>0</v>
      </c>
      <c r="K48" s="52">
        <v>0</v>
      </c>
      <c r="L48" s="6">
        <v>0.45</v>
      </c>
      <c r="M48" s="52">
        <v>0.45</v>
      </c>
      <c r="N48" s="6">
        <v>0.45</v>
      </c>
      <c r="O48" s="52">
        <v>0.45</v>
      </c>
      <c r="P48" s="6">
        <v>0</v>
      </c>
      <c r="Q48" s="4" t="s">
        <v>26</v>
      </c>
      <c r="R48" s="4">
        <v>0</v>
      </c>
      <c r="S48" s="4">
        <v>0</v>
      </c>
      <c r="T48" s="4">
        <v>16</v>
      </c>
      <c r="U48" s="4">
        <v>63</v>
      </c>
      <c r="V48" s="52">
        <f>IF(ISERROR(VLOOKUP($S$48,'TAR FIN'!$A$1:$O$103,15,0)),0,VLOOKUP($S$48,'TAR FIN'!$A$1:$O$103,15,0))</f>
        <v>0</v>
      </c>
      <c r="W48" s="52">
        <f>IF(ISERROR(VLOOKUP($T$48,'TAR FIN'!$A$1:$O$103,15,0)),0,VLOOKUP($T$48,'TAR FIN'!$A$1:$O$103,15,0))*(1-0.04)</f>
        <v>81.590399999999988</v>
      </c>
      <c r="X48" s="52">
        <f>IF(ISERROR(VLOOKUP($U$48,'TAR FIN'!$A$1:$O$103,15,0)),0,VLOOKUP($U$48,'TAR FIN'!$A$1:$O$103,15,0))*(1-0.04)</f>
        <v>233.0592</v>
      </c>
      <c r="Y48" s="52"/>
      <c r="Z48" s="52">
        <f ca="1">('TUSD BE'!$AM$12+'TUSD BF'!$AM$12+'TUSD CVA'!$AM$12)*1*(1-0.02)</f>
        <v>142.80792645762099</v>
      </c>
      <c r="AA48" s="52">
        <f>('TE BE'!$AB$6+'TE BF'!$AB$6+'TE CVA'!$AB$6)*1*(1-0.02)</f>
        <v>217.94598758226687</v>
      </c>
      <c r="AB48" s="52">
        <f>(SUBSIDIO!$J$48*SUBSIDIO!$V$48)*(0.04)/(1-0.04)</f>
        <v>0</v>
      </c>
      <c r="AC48" s="52">
        <f>((SUBSIDIO!$L$48*SUBSIDIO!$W$48)+(SUBSIDIO!$N$48*SUBSIDIO!$X$48))*(0.04)/(1-0.04)</f>
        <v>5.89968</v>
      </c>
      <c r="AD48" s="52">
        <f>(SUBSIDIO!$J$48*SUBSIDIO!$Y$48)*(0.02)/(1-0.02)</f>
        <v>0</v>
      </c>
      <c r="AE48" s="52">
        <f ca="1">((SUBSIDIO!$L$48*SUBSIDIO!$Z$48)+(SUBSIDIO!$N$48*SUBSIDIO!$AA$48))*(0.02)/(1-0.02)</f>
        <v>3.3130461493459089</v>
      </c>
      <c r="AF48" s="4" t="s">
        <v>811</v>
      </c>
    </row>
    <row r="49" spans="1:32" ht="11.25" customHeight="1" x14ac:dyDescent="0.3">
      <c r="A49" s="4" t="s">
        <v>21</v>
      </c>
      <c r="B49" s="4" t="s">
        <v>45</v>
      </c>
      <c r="C49" s="4" t="s">
        <v>40</v>
      </c>
      <c r="D49" s="4" t="s">
        <v>44</v>
      </c>
      <c r="E49" s="4" t="s">
        <v>56</v>
      </c>
      <c r="F49" s="4" t="s">
        <v>25</v>
      </c>
      <c r="G49" s="4" t="s">
        <v>25</v>
      </c>
      <c r="H49" s="4" t="s">
        <v>35</v>
      </c>
      <c r="I49" s="5">
        <v>44652</v>
      </c>
      <c r="J49" s="6">
        <v>0</v>
      </c>
      <c r="K49" s="52">
        <v>0</v>
      </c>
      <c r="L49" s="6">
        <v>0.48299999999999998</v>
      </c>
      <c r="M49" s="52">
        <v>0.48299999999999998</v>
      </c>
      <c r="N49" s="6">
        <v>0.48299999999999998</v>
      </c>
      <c r="O49" s="52">
        <v>0.48299999999999998</v>
      </c>
      <c r="P49" s="6">
        <v>0</v>
      </c>
      <c r="Q49" s="4" t="s">
        <v>26</v>
      </c>
      <c r="R49" s="4">
        <v>0</v>
      </c>
      <c r="S49" s="4">
        <v>0</v>
      </c>
      <c r="T49" s="4">
        <v>16</v>
      </c>
      <c r="U49" s="4">
        <v>63</v>
      </c>
      <c r="V49" s="52">
        <f>IF(ISERROR(VLOOKUP($S$49,'TAR FIN'!$A$1:$O$103,15,0)),0,VLOOKUP($S$49,'TAR FIN'!$A$1:$O$103,15,0))</f>
        <v>0</v>
      </c>
      <c r="W49" s="52">
        <f>IF(ISERROR(VLOOKUP($T$49,'TAR FIN'!$A$1:$O$103,15,0)),0,VLOOKUP($T$49,'TAR FIN'!$A$1:$O$103,15,0))*(1-0.04)</f>
        <v>81.590399999999988</v>
      </c>
      <c r="X49" s="52">
        <f>IF(ISERROR(VLOOKUP($U$49,'TAR FIN'!$A$1:$O$103,15,0)),0,VLOOKUP($U$49,'TAR FIN'!$A$1:$O$103,15,0))*(1-0.04)</f>
        <v>233.0592</v>
      </c>
      <c r="Y49" s="52"/>
      <c r="Z49" s="52">
        <f ca="1">('TUSD BE'!$AM$12+'TUSD BF'!$AM$12+'TUSD CVA'!$AM$12)*1*(1-0.02)</f>
        <v>142.80792645762099</v>
      </c>
      <c r="AA49" s="52">
        <f>('TE BE'!$AB$6+'TE BF'!$AB$6+'TE CVA'!$AB$6)*1*(1-0.02)</f>
        <v>217.94598758226687</v>
      </c>
      <c r="AB49" s="52">
        <f>(SUBSIDIO!$J$49*SUBSIDIO!$V$49)*(0.04)/(1-0.04)</f>
        <v>0</v>
      </c>
      <c r="AC49" s="52">
        <f>((SUBSIDIO!$L$49*SUBSIDIO!$W$49)+(SUBSIDIO!$N$49*SUBSIDIO!$X$49))*(0.04)/(1-0.04)</f>
        <v>6.3323232000000003</v>
      </c>
      <c r="AD49" s="52">
        <f>(SUBSIDIO!$J$49*SUBSIDIO!$Y$49)*(0.02)/(1-0.02)</f>
        <v>0</v>
      </c>
      <c r="AE49" s="52">
        <f ca="1">((SUBSIDIO!$L$49*SUBSIDIO!$Z$49)+(SUBSIDIO!$N$49*SUBSIDIO!$AA$49))*(0.02)/(1-0.02)</f>
        <v>3.5560028669646089</v>
      </c>
      <c r="AF49" s="4" t="s">
        <v>811</v>
      </c>
    </row>
    <row r="50" spans="1:32" ht="11.25" customHeight="1" x14ac:dyDescent="0.3">
      <c r="A50" s="4" t="s">
        <v>21</v>
      </c>
      <c r="B50" s="4" t="s">
        <v>45</v>
      </c>
      <c r="C50" s="4" t="s">
        <v>40</v>
      </c>
      <c r="D50" s="4" t="s">
        <v>44</v>
      </c>
      <c r="E50" s="4" t="s">
        <v>56</v>
      </c>
      <c r="F50" s="4" t="s">
        <v>25</v>
      </c>
      <c r="G50" s="4" t="s">
        <v>25</v>
      </c>
      <c r="H50" s="4" t="s">
        <v>35</v>
      </c>
      <c r="I50" s="5">
        <v>44682</v>
      </c>
      <c r="J50" s="6">
        <v>0</v>
      </c>
      <c r="K50" s="52">
        <v>0</v>
      </c>
      <c r="L50" s="6">
        <v>0.58699999999999997</v>
      </c>
      <c r="M50" s="52">
        <v>0.58699999999999997</v>
      </c>
      <c r="N50" s="6">
        <v>0.58699999999999997</v>
      </c>
      <c r="O50" s="52">
        <v>0.58699999999999997</v>
      </c>
      <c r="P50" s="6">
        <v>0</v>
      </c>
      <c r="Q50" s="4" t="s">
        <v>26</v>
      </c>
      <c r="R50" s="4">
        <v>0</v>
      </c>
      <c r="S50" s="4">
        <v>0</v>
      </c>
      <c r="T50" s="4">
        <v>16</v>
      </c>
      <c r="U50" s="4">
        <v>63</v>
      </c>
      <c r="V50" s="52">
        <f>IF(ISERROR(VLOOKUP($S$50,'TAR FIN'!$A$1:$O$103,15,0)),0,VLOOKUP($S$50,'TAR FIN'!$A$1:$O$103,15,0))</f>
        <v>0</v>
      </c>
      <c r="W50" s="52">
        <f>IF(ISERROR(VLOOKUP($T$50,'TAR FIN'!$A$1:$O$103,15,0)),0,VLOOKUP($T$50,'TAR FIN'!$A$1:$O$103,15,0))*(1-0.04)</f>
        <v>81.590399999999988</v>
      </c>
      <c r="X50" s="52">
        <f>IF(ISERROR(VLOOKUP($U$50,'TAR FIN'!$A$1:$O$103,15,0)),0,VLOOKUP($U$50,'TAR FIN'!$A$1:$O$103,15,0))*(1-0.04)</f>
        <v>233.0592</v>
      </c>
      <c r="Y50" s="52"/>
      <c r="Z50" s="52">
        <f ca="1">('TUSD BE'!$AM$12+'TUSD BF'!$AM$12+'TUSD CVA'!$AM$12)*1*(1-0.02)</f>
        <v>142.80792645762099</v>
      </c>
      <c r="AA50" s="52">
        <f>('TE BE'!$AB$6+'TE BF'!$AB$6+'TE CVA'!$AB$6)*1*(1-0.02)</f>
        <v>217.94598758226687</v>
      </c>
      <c r="AB50" s="52">
        <f>(SUBSIDIO!$J$50*SUBSIDIO!$V$50)*(0.04)/(1-0.04)</f>
        <v>0</v>
      </c>
      <c r="AC50" s="52">
        <f>((SUBSIDIO!$L$50*SUBSIDIO!$W$50)+(SUBSIDIO!$N$50*SUBSIDIO!$X$50))*(0.04)/(1-0.04)</f>
        <v>7.6958048000000003</v>
      </c>
      <c r="AD50" s="52">
        <f>(SUBSIDIO!$J$50*SUBSIDIO!$Y$50)*(0.02)/(1-0.02)</f>
        <v>0</v>
      </c>
      <c r="AE50" s="52">
        <f ca="1">((SUBSIDIO!$L$50*SUBSIDIO!$Z$50)+(SUBSIDIO!$N$50*SUBSIDIO!$AA$50))*(0.02)/(1-0.02)</f>
        <v>4.32168464370233</v>
      </c>
      <c r="AF50" s="4" t="s">
        <v>811</v>
      </c>
    </row>
    <row r="51" spans="1:32" ht="11.25" customHeight="1" x14ac:dyDescent="0.3">
      <c r="A51" s="4" t="s">
        <v>21</v>
      </c>
      <c r="B51" s="4" t="s">
        <v>45</v>
      </c>
      <c r="C51" s="4" t="s">
        <v>40</v>
      </c>
      <c r="D51" s="4" t="s">
        <v>44</v>
      </c>
      <c r="E51" s="4" t="s">
        <v>56</v>
      </c>
      <c r="F51" s="4" t="s">
        <v>25</v>
      </c>
      <c r="G51" s="4" t="s">
        <v>25</v>
      </c>
      <c r="H51" s="4" t="s">
        <v>35</v>
      </c>
      <c r="I51" s="5">
        <v>44713</v>
      </c>
      <c r="J51" s="6">
        <v>0</v>
      </c>
      <c r="K51" s="52">
        <v>0</v>
      </c>
      <c r="L51" s="6">
        <v>0.55700000000000005</v>
      </c>
      <c r="M51" s="52">
        <v>0.55700000000000005</v>
      </c>
      <c r="N51" s="6">
        <v>0.55700000000000005</v>
      </c>
      <c r="O51" s="52">
        <v>0.55700000000000005</v>
      </c>
      <c r="P51" s="6">
        <v>0</v>
      </c>
      <c r="Q51" s="4" t="s">
        <v>26</v>
      </c>
      <c r="R51" s="4">
        <v>0</v>
      </c>
      <c r="S51" s="4">
        <v>0</v>
      </c>
      <c r="T51" s="4">
        <v>16</v>
      </c>
      <c r="U51" s="4">
        <v>63</v>
      </c>
      <c r="V51" s="52">
        <f>IF(ISERROR(VLOOKUP($S$51,'TAR FIN'!$A$1:$O$103,15,0)),0,VLOOKUP($S$51,'TAR FIN'!$A$1:$O$103,15,0))</f>
        <v>0</v>
      </c>
      <c r="W51" s="52">
        <f>IF(ISERROR(VLOOKUP($T$51,'TAR FIN'!$A$1:$O$103,15,0)),0,VLOOKUP($T$51,'TAR FIN'!$A$1:$O$103,15,0))*(1-0.04)</f>
        <v>81.590399999999988</v>
      </c>
      <c r="X51" s="52">
        <f>IF(ISERROR(VLOOKUP($U$51,'TAR FIN'!$A$1:$O$103,15,0)),0,VLOOKUP($U$51,'TAR FIN'!$A$1:$O$103,15,0))*(1-0.04)</f>
        <v>233.0592</v>
      </c>
      <c r="Y51" s="52"/>
      <c r="Z51" s="52">
        <f ca="1">('TUSD BE'!$AM$12+'TUSD BF'!$AM$12+'TUSD CVA'!$AM$12)*1*(1-0.02)</f>
        <v>142.80792645762099</v>
      </c>
      <c r="AA51" s="52">
        <f>('TE BE'!$AB$6+'TE BF'!$AB$6+'TE CVA'!$AB$6)*1*(1-0.02)</f>
        <v>217.94598758226687</v>
      </c>
      <c r="AB51" s="52">
        <f>(SUBSIDIO!$J$51*SUBSIDIO!$V$51)*(0.04)/(1-0.04)</f>
        <v>0</v>
      </c>
      <c r="AC51" s="52">
        <f>((SUBSIDIO!$L$51*SUBSIDIO!$W$51)+(SUBSIDIO!$N$51*SUBSIDIO!$X$51))*(0.04)/(1-0.04)</f>
        <v>7.3024928000000013</v>
      </c>
      <c r="AD51" s="52">
        <f>(SUBSIDIO!$J$51*SUBSIDIO!$Y$51)*(0.02)/(1-0.02)</f>
        <v>0</v>
      </c>
      <c r="AE51" s="52">
        <f ca="1">((SUBSIDIO!$L$51*SUBSIDIO!$Z$51)+(SUBSIDIO!$N$51*SUBSIDIO!$AA$51))*(0.02)/(1-0.02)</f>
        <v>4.1008149004126029</v>
      </c>
      <c r="AF51" s="4" t="s">
        <v>811</v>
      </c>
    </row>
    <row r="52" spans="1:32" ht="11.25" customHeight="1" x14ac:dyDescent="0.3">
      <c r="A52" s="4" t="s">
        <v>21</v>
      </c>
      <c r="B52" s="4" t="s">
        <v>45</v>
      </c>
      <c r="C52" s="4" t="s">
        <v>40</v>
      </c>
      <c r="D52" s="4" t="s">
        <v>44</v>
      </c>
      <c r="E52" s="4" t="s">
        <v>56</v>
      </c>
      <c r="F52" s="4" t="s">
        <v>25</v>
      </c>
      <c r="G52" s="4" t="s">
        <v>25</v>
      </c>
      <c r="H52" s="4" t="s">
        <v>35</v>
      </c>
      <c r="I52" s="5">
        <v>44743</v>
      </c>
      <c r="J52" s="6">
        <v>0</v>
      </c>
      <c r="K52" s="52">
        <v>0</v>
      </c>
      <c r="L52" s="6">
        <v>0.94299999999999995</v>
      </c>
      <c r="M52" s="52">
        <v>0.94299999999999995</v>
      </c>
      <c r="N52" s="6">
        <v>0.94299999999999995</v>
      </c>
      <c r="O52" s="52">
        <v>0.94299999999999995</v>
      </c>
      <c r="P52" s="6">
        <v>0</v>
      </c>
      <c r="Q52" s="4" t="s">
        <v>26</v>
      </c>
      <c r="R52" s="4">
        <v>0</v>
      </c>
      <c r="S52" s="4">
        <v>0</v>
      </c>
      <c r="T52" s="4">
        <v>16</v>
      </c>
      <c r="U52" s="4">
        <v>63</v>
      </c>
      <c r="V52" s="52">
        <f>IF(ISERROR(VLOOKUP($S$52,'TAR FIN'!$A$1:$O$103,15,0)),0,VLOOKUP($S$52,'TAR FIN'!$A$1:$O$103,15,0))</f>
        <v>0</v>
      </c>
      <c r="W52" s="52">
        <f>IF(ISERROR(VLOOKUP($T$52,'TAR FIN'!$A$1:$O$103,15,0)),0,VLOOKUP($T$52,'TAR FIN'!$A$1:$O$103,15,0))*(1-0.04)</f>
        <v>81.590399999999988</v>
      </c>
      <c r="X52" s="52">
        <f>IF(ISERROR(VLOOKUP($U$52,'TAR FIN'!$A$1:$O$103,15,0)),0,VLOOKUP($U$52,'TAR FIN'!$A$1:$O$103,15,0))*(1-0.04)</f>
        <v>233.0592</v>
      </c>
      <c r="Y52" s="52"/>
      <c r="Z52" s="52">
        <f ca="1">('TUSD BE'!$AM$12+'TUSD BF'!$AM$12+'TUSD CVA'!$AM$12)*1*(1-0.02)</f>
        <v>142.80792645762099</v>
      </c>
      <c r="AA52" s="52">
        <f>('TE BE'!$AB$6+'TE BF'!$AB$6+'TE CVA'!$AB$6)*1*(1-0.02)</f>
        <v>217.94598758226687</v>
      </c>
      <c r="AB52" s="52">
        <f>(SUBSIDIO!$J$52*SUBSIDIO!$V$52)*(0.04)/(1-0.04)</f>
        <v>0</v>
      </c>
      <c r="AC52" s="52">
        <f>((SUBSIDIO!$L$52*SUBSIDIO!$W$52)+(SUBSIDIO!$N$52*SUBSIDIO!$X$52))*(0.04)/(1-0.04)</f>
        <v>12.3631072</v>
      </c>
      <c r="AD52" s="52">
        <f>(SUBSIDIO!$J$52*SUBSIDIO!$Y$52)*(0.02)/(1-0.02)</f>
        <v>0</v>
      </c>
      <c r="AE52" s="52">
        <f ca="1">((SUBSIDIO!$L$52*SUBSIDIO!$Z$52)+(SUBSIDIO!$N$52*SUBSIDIO!$AA$52))*(0.02)/(1-0.02)</f>
        <v>6.942672264073761</v>
      </c>
      <c r="AF52" s="4" t="s">
        <v>811</v>
      </c>
    </row>
    <row r="53" spans="1:32" ht="11.25" customHeight="1" x14ac:dyDescent="0.3">
      <c r="A53" s="4" t="s">
        <v>21</v>
      </c>
      <c r="B53" s="4" t="s">
        <v>45</v>
      </c>
      <c r="C53" s="4" t="s">
        <v>40</v>
      </c>
      <c r="D53" s="4" t="s">
        <v>44</v>
      </c>
      <c r="E53" s="4" t="s">
        <v>56</v>
      </c>
      <c r="F53" s="4" t="s">
        <v>25</v>
      </c>
      <c r="G53" s="4" t="s">
        <v>25</v>
      </c>
      <c r="H53" s="4" t="s">
        <v>35</v>
      </c>
      <c r="I53" s="5">
        <v>44774</v>
      </c>
      <c r="J53" s="6">
        <v>0</v>
      </c>
      <c r="K53" s="52">
        <v>0</v>
      </c>
      <c r="L53" s="6">
        <v>2.7690000000000001</v>
      </c>
      <c r="M53" s="52">
        <v>2.7690000000000001</v>
      </c>
      <c r="N53" s="6">
        <v>2.7690000000000001</v>
      </c>
      <c r="O53" s="52">
        <v>2.7690000000000001</v>
      </c>
      <c r="P53" s="6">
        <v>0</v>
      </c>
      <c r="Q53" s="4" t="s">
        <v>26</v>
      </c>
      <c r="R53" s="4">
        <v>0</v>
      </c>
      <c r="S53" s="4">
        <v>0</v>
      </c>
      <c r="T53" s="4">
        <v>16</v>
      </c>
      <c r="U53" s="4">
        <v>63</v>
      </c>
      <c r="V53" s="52">
        <f>IF(ISERROR(VLOOKUP($S$53,'TAR FIN'!$A$1:$O$103,15,0)),0,VLOOKUP($S$53,'TAR FIN'!$A$1:$O$103,15,0))</f>
        <v>0</v>
      </c>
      <c r="W53" s="52">
        <f>IF(ISERROR(VLOOKUP($T$53,'TAR FIN'!$A$1:$O$103,15,0)),0,VLOOKUP($T$53,'TAR FIN'!$A$1:$O$103,15,0))*(1-0.04)</f>
        <v>81.590399999999988</v>
      </c>
      <c r="X53" s="52">
        <f>IF(ISERROR(VLOOKUP($U$53,'TAR FIN'!$A$1:$O$103,15,0)),0,VLOOKUP($U$53,'TAR FIN'!$A$1:$O$103,15,0))*(1-0.04)</f>
        <v>233.0592</v>
      </c>
      <c r="Y53" s="52"/>
      <c r="Z53" s="52">
        <f ca="1">('TUSD BE'!$AM$12+'TUSD BF'!$AM$12+'TUSD CVA'!$AM$12)*1*(1-0.02)</f>
        <v>142.80792645762099</v>
      </c>
      <c r="AA53" s="52">
        <f>('TE BE'!$AB$6+'TE BF'!$AB$6+'TE CVA'!$AB$6)*1*(1-0.02)</f>
        <v>217.94598758226687</v>
      </c>
      <c r="AB53" s="52">
        <f>(SUBSIDIO!$J$53*SUBSIDIO!$V$53)*(0.04)/(1-0.04)</f>
        <v>0</v>
      </c>
      <c r="AC53" s="52">
        <f>((SUBSIDIO!$L$53*SUBSIDIO!$W$53)+(SUBSIDIO!$N$53*SUBSIDIO!$X$53))*(0.04)/(1-0.04)</f>
        <v>36.302697600000002</v>
      </c>
      <c r="AD53" s="52">
        <f>(SUBSIDIO!$J$53*SUBSIDIO!$Y$53)*(0.02)/(1-0.02)</f>
        <v>0</v>
      </c>
      <c r="AE53" s="52">
        <f ca="1">((SUBSIDIO!$L$53*SUBSIDIO!$Z$53)+(SUBSIDIO!$N$53*SUBSIDIO!$AA$53))*(0.02)/(1-0.02)</f>
        <v>20.386277305641826</v>
      </c>
      <c r="AF53" s="4" t="s">
        <v>811</v>
      </c>
    </row>
    <row r="54" spans="1:32" ht="11.25" customHeight="1" x14ac:dyDescent="0.3">
      <c r="A54" s="4" t="s">
        <v>21</v>
      </c>
      <c r="B54" s="4" t="s">
        <v>45</v>
      </c>
      <c r="C54" s="4" t="s">
        <v>40</v>
      </c>
      <c r="D54" s="4" t="s">
        <v>44</v>
      </c>
      <c r="E54" s="4" t="s">
        <v>56</v>
      </c>
      <c r="F54" s="4" t="s">
        <v>25</v>
      </c>
      <c r="G54" s="4" t="s">
        <v>25</v>
      </c>
      <c r="H54" s="4" t="s">
        <v>35</v>
      </c>
      <c r="I54" s="5">
        <v>44805</v>
      </c>
      <c r="J54" s="6">
        <v>0</v>
      </c>
      <c r="K54" s="52">
        <v>0</v>
      </c>
      <c r="L54" s="6">
        <v>5.2640000000000002</v>
      </c>
      <c r="M54" s="52">
        <v>5.2640000000000002</v>
      </c>
      <c r="N54" s="6">
        <v>5.2640000000000002</v>
      </c>
      <c r="O54" s="52">
        <v>5.2640000000000002</v>
      </c>
      <c r="P54" s="6">
        <v>0</v>
      </c>
      <c r="Q54" s="4" t="s">
        <v>26</v>
      </c>
      <c r="R54" s="4">
        <v>0</v>
      </c>
      <c r="S54" s="4">
        <v>0</v>
      </c>
      <c r="T54" s="4">
        <v>16</v>
      </c>
      <c r="U54" s="4">
        <v>63</v>
      </c>
      <c r="V54" s="52">
        <f>IF(ISERROR(VLOOKUP($S$54,'TAR FIN'!$A$1:$O$103,15,0)),0,VLOOKUP($S$54,'TAR FIN'!$A$1:$O$103,15,0))</f>
        <v>0</v>
      </c>
      <c r="W54" s="52">
        <f>IF(ISERROR(VLOOKUP($T$54,'TAR FIN'!$A$1:$O$103,15,0)),0,VLOOKUP($T$54,'TAR FIN'!$A$1:$O$103,15,0))*(1-0.04)</f>
        <v>81.590399999999988</v>
      </c>
      <c r="X54" s="52">
        <f>IF(ISERROR(VLOOKUP($U$54,'TAR FIN'!$A$1:$O$103,15,0)),0,VLOOKUP($U$54,'TAR FIN'!$A$1:$O$103,15,0))*(1-0.04)</f>
        <v>233.0592</v>
      </c>
      <c r="Y54" s="52"/>
      <c r="Z54" s="52">
        <f ca="1">('TUSD BE'!$AM$12+'TUSD BF'!$AM$12+'TUSD CVA'!$AM$12)*1*(1-0.02)</f>
        <v>142.80792645762099</v>
      </c>
      <c r="AA54" s="52">
        <f>('TE BE'!$AB$6+'TE BF'!$AB$6+'TE CVA'!$AB$6)*1*(1-0.02)</f>
        <v>217.94598758226687</v>
      </c>
      <c r="AB54" s="52">
        <f>(SUBSIDIO!$J$54*SUBSIDIO!$V$54)*(0.04)/(1-0.04)</f>
        <v>0</v>
      </c>
      <c r="AC54" s="52">
        <f>((SUBSIDIO!$L$54*SUBSIDIO!$W$54)+(SUBSIDIO!$N$54*SUBSIDIO!$X$54))*(0.04)/(1-0.04)</f>
        <v>69.013145600000001</v>
      </c>
      <c r="AD54" s="52">
        <f>(SUBSIDIO!$J$54*SUBSIDIO!$Y$54)*(0.02)/(1-0.02)</f>
        <v>0</v>
      </c>
      <c r="AE54" s="52">
        <f ca="1">((SUBSIDIO!$L$54*SUBSIDIO!$Z$54)+(SUBSIDIO!$N$54*SUBSIDIO!$AA$54))*(0.02)/(1-0.02)</f>
        <v>38.755277622570816</v>
      </c>
      <c r="AF54" s="4" t="s">
        <v>811</v>
      </c>
    </row>
    <row r="55" spans="1:32" ht="11.25" customHeight="1" x14ac:dyDescent="0.3">
      <c r="A55" s="4" t="s">
        <v>57</v>
      </c>
      <c r="B55" s="4" t="s">
        <v>45</v>
      </c>
      <c r="C55" s="4" t="s">
        <v>40</v>
      </c>
      <c r="D55" s="4" t="s">
        <v>44</v>
      </c>
      <c r="E55" s="4" t="s">
        <v>56</v>
      </c>
      <c r="F55" s="4" t="s">
        <v>25</v>
      </c>
      <c r="G55" s="4" t="s">
        <v>25</v>
      </c>
      <c r="H55" s="4" t="s">
        <v>35</v>
      </c>
      <c r="I55" s="5">
        <v>44835</v>
      </c>
      <c r="J55" s="6">
        <v>0</v>
      </c>
      <c r="K55" s="52">
        <v>0</v>
      </c>
      <c r="L55" s="6">
        <v>5.2640000000000002</v>
      </c>
      <c r="M55" s="52">
        <v>5.2640000000000002</v>
      </c>
      <c r="N55" s="6">
        <v>5.2640000000000002</v>
      </c>
      <c r="O55" s="52">
        <v>5.2640000000000002</v>
      </c>
      <c r="P55" s="6">
        <v>0</v>
      </c>
      <c r="Q55" s="4" t="s">
        <v>26</v>
      </c>
      <c r="R55" s="4">
        <v>0</v>
      </c>
      <c r="S55" s="4">
        <v>0</v>
      </c>
      <c r="T55" s="4">
        <v>16</v>
      </c>
      <c r="U55" s="4">
        <v>63</v>
      </c>
      <c r="V55" s="52">
        <f>IF(ISERROR(VLOOKUP($S$55,'TAR FIN'!$A$1:$O$103,15,0)),0,VLOOKUP($S$55,'TAR FIN'!$A$1:$O$103,15,0))</f>
        <v>0</v>
      </c>
      <c r="W55" s="52">
        <f>IF(ISERROR(VLOOKUP($T$55,'TAR FIN'!$A$1:$O$103,15,0)),0,VLOOKUP($T$55,'TAR FIN'!$A$1:$O$103,15,0))*(1-0.04)</f>
        <v>81.590399999999988</v>
      </c>
      <c r="X55" s="52">
        <f>IF(ISERROR(VLOOKUP($U$55,'TAR FIN'!$A$1:$O$103,15,0)),0,VLOOKUP($U$55,'TAR FIN'!$A$1:$O$103,15,0))*(1-0.04)</f>
        <v>233.0592</v>
      </c>
      <c r="Y55" s="52"/>
      <c r="Z55" s="52">
        <f ca="1">('TUSD BE'!$AM$12+'TUSD BF'!$AM$12+'TUSD CVA'!$AM$12)*1*(1-0.02)</f>
        <v>142.80792645762099</v>
      </c>
      <c r="AA55" s="52">
        <f>('TE BE'!$AB$6+'TE BF'!$AB$6+'TE CVA'!$AB$6)*1*(1-0.02)</f>
        <v>217.94598758226687</v>
      </c>
      <c r="AB55" s="52">
        <f>(SUBSIDIO!$J$55*SUBSIDIO!$V$55)*(0.04)/(1-0.04)</f>
        <v>0</v>
      </c>
      <c r="AC55" s="52">
        <f>((SUBSIDIO!$L$55*SUBSIDIO!$W$55)+(SUBSIDIO!$N$55*SUBSIDIO!$X$55))*(0.04)/(1-0.04)</f>
        <v>69.013145600000001</v>
      </c>
      <c r="AD55" s="52">
        <f>(SUBSIDIO!$J$55*SUBSIDIO!$Y$55)*(0.02)/(1-0.02)</f>
        <v>0</v>
      </c>
      <c r="AE55" s="52">
        <f ca="1">((SUBSIDIO!$L$55*SUBSIDIO!$Z$55)+(SUBSIDIO!$N$55*SUBSIDIO!$AA$55))*(0.02)/(1-0.02)</f>
        <v>38.755277622570816</v>
      </c>
      <c r="AF55" s="4" t="s">
        <v>811</v>
      </c>
    </row>
    <row r="56" spans="1:32" ht="11.25" customHeight="1" x14ac:dyDescent="0.3">
      <c r="A56" s="4" t="s">
        <v>21</v>
      </c>
      <c r="B56" s="4" t="s">
        <v>45</v>
      </c>
      <c r="C56" s="4" t="s">
        <v>40</v>
      </c>
      <c r="D56" s="4" t="s">
        <v>44</v>
      </c>
      <c r="E56" s="4" t="s">
        <v>56</v>
      </c>
      <c r="F56" s="4" t="s">
        <v>25</v>
      </c>
      <c r="G56" s="4" t="s">
        <v>25</v>
      </c>
      <c r="H56" s="4" t="s">
        <v>25</v>
      </c>
      <c r="I56" s="5">
        <v>44593</v>
      </c>
      <c r="J56" s="6">
        <v>1</v>
      </c>
      <c r="K56" s="52">
        <v>1</v>
      </c>
      <c r="L56" s="6">
        <v>0</v>
      </c>
      <c r="M56" s="52">
        <v>0</v>
      </c>
      <c r="N56" s="6">
        <v>0</v>
      </c>
      <c r="O56" s="52">
        <v>0</v>
      </c>
      <c r="P56" s="6">
        <v>1</v>
      </c>
      <c r="Q56" s="4" t="s">
        <v>26</v>
      </c>
      <c r="R56" s="4">
        <v>0</v>
      </c>
      <c r="S56" s="4">
        <v>11</v>
      </c>
      <c r="T56" s="4">
        <v>0</v>
      </c>
      <c r="U56" s="4">
        <v>0</v>
      </c>
      <c r="V56" s="52">
        <f>IF(ISERROR(VLOOKUP($S$56,'TAR FIN'!$A$1:$O$103,15,0)),0,VLOOKUP($S$56,'TAR FIN'!$A$1:$O$103,15,0))*(1-0.04)</f>
        <v>18.1632</v>
      </c>
      <c r="W56" s="52">
        <f>IF(ISERROR(VLOOKUP($T$56,'TAR FIN'!$A$1:$O$103,15,0)),0,VLOOKUP($T$56,'TAR FIN'!$A$1:$O$103,15,0))</f>
        <v>0</v>
      </c>
      <c r="X56" s="52">
        <f>IF(ISERROR(VLOOKUP($U$56,'TAR FIN'!$A$1:$O$103,15,0)),0,VLOOKUP($U$56,'TAR FIN'!$A$1:$O$103,15,0))</f>
        <v>0</v>
      </c>
      <c r="Y56" s="52">
        <f ca="1">('TUSD BE'!$AM$10+'TUSD BF'!$AM$10+'TUSD CVA'!$AM$10)*1*(1-0.02)</f>
        <v>20.941951853111981</v>
      </c>
      <c r="Z56" s="52"/>
      <c r="AA56" s="52"/>
      <c r="AB56" s="52">
        <f>(SUBSIDIO!$J$56*SUBSIDIO!$V$56)*(0.04)/(1-0.04)</f>
        <v>0.75680000000000003</v>
      </c>
      <c r="AC56" s="52">
        <f>((SUBSIDIO!$L$56*SUBSIDIO!$W$56)+(SUBSIDIO!$N$56*SUBSIDIO!$X$56))*(0.04)/(1-0.04)</f>
        <v>0</v>
      </c>
      <c r="AD56" s="52">
        <f ca="1">(SUBSIDIO!$J$56*SUBSIDIO!$Y$56)*(0.02)/(1-0.02)</f>
        <v>0.42738677251248941</v>
      </c>
      <c r="AE56" s="52">
        <f>((SUBSIDIO!$L$56*SUBSIDIO!$Z$56)+(SUBSIDIO!$N$56*SUBSIDIO!$AA$56))*(0.02)/(1-0.02)</f>
        <v>0</v>
      </c>
      <c r="AF56" s="4" t="s">
        <v>811</v>
      </c>
    </row>
    <row r="57" spans="1:32" ht="11.25" customHeight="1" x14ac:dyDescent="0.3">
      <c r="A57" s="4" t="s">
        <v>21</v>
      </c>
      <c r="B57" s="4" t="s">
        <v>45</v>
      </c>
      <c r="C57" s="4" t="s">
        <v>40</v>
      </c>
      <c r="D57" s="4" t="s">
        <v>44</v>
      </c>
      <c r="E57" s="4" t="s">
        <v>56</v>
      </c>
      <c r="F57" s="4" t="s">
        <v>25</v>
      </c>
      <c r="G57" s="4" t="s">
        <v>25</v>
      </c>
      <c r="H57" s="4" t="s">
        <v>25</v>
      </c>
      <c r="I57" s="5">
        <v>44621</v>
      </c>
      <c r="J57" s="6">
        <v>1</v>
      </c>
      <c r="K57" s="52">
        <v>1</v>
      </c>
      <c r="L57" s="6">
        <v>0</v>
      </c>
      <c r="M57" s="52">
        <v>0</v>
      </c>
      <c r="N57" s="6">
        <v>0</v>
      </c>
      <c r="O57" s="52">
        <v>0</v>
      </c>
      <c r="P57" s="6">
        <v>2</v>
      </c>
      <c r="Q57" s="4" t="s">
        <v>26</v>
      </c>
      <c r="R57" s="4">
        <v>0</v>
      </c>
      <c r="S57" s="4">
        <v>11</v>
      </c>
      <c r="T57" s="4">
        <v>0</v>
      </c>
      <c r="U57" s="4">
        <v>0</v>
      </c>
      <c r="V57" s="52">
        <f>IF(ISERROR(VLOOKUP($S$57,'TAR FIN'!$A$1:$O$103,15,0)),0,VLOOKUP($S$57,'TAR FIN'!$A$1:$O$103,15,0))*(1-0.04)</f>
        <v>18.1632</v>
      </c>
      <c r="W57" s="52">
        <f>IF(ISERROR(VLOOKUP($T$57,'TAR FIN'!$A$1:$O$103,15,0)),0,VLOOKUP($T$57,'TAR FIN'!$A$1:$O$103,15,0))</f>
        <v>0</v>
      </c>
      <c r="X57" s="52">
        <f>IF(ISERROR(VLOOKUP($U$57,'TAR FIN'!$A$1:$O$103,15,0)),0,VLOOKUP($U$57,'TAR FIN'!$A$1:$O$103,15,0))</f>
        <v>0</v>
      </c>
      <c r="Y57" s="52">
        <f ca="1">('TUSD BE'!$AM$10+'TUSD BF'!$AM$10+'TUSD CVA'!$AM$10)*1*(1-0.02)</f>
        <v>20.941951853111981</v>
      </c>
      <c r="Z57" s="52"/>
      <c r="AA57" s="52"/>
      <c r="AB57" s="52">
        <f>(SUBSIDIO!$J$57*SUBSIDIO!$V$57)*(0.04)/(1-0.04)</f>
        <v>0.75680000000000003</v>
      </c>
      <c r="AC57" s="52">
        <f>((SUBSIDIO!$L$57*SUBSIDIO!$W$57)+(SUBSIDIO!$N$57*SUBSIDIO!$X$57))*(0.04)/(1-0.04)</f>
        <v>0</v>
      </c>
      <c r="AD57" s="52">
        <f ca="1">(SUBSIDIO!$J$57*SUBSIDIO!$Y$57)*(0.02)/(1-0.02)</f>
        <v>0.42738677251248941</v>
      </c>
      <c r="AE57" s="52">
        <f>((SUBSIDIO!$L$57*SUBSIDIO!$Z$57)+(SUBSIDIO!$N$57*SUBSIDIO!$AA$57))*(0.02)/(1-0.02)</f>
        <v>0</v>
      </c>
      <c r="AF57" s="4" t="s">
        <v>811</v>
      </c>
    </row>
    <row r="58" spans="1:32" ht="11.25" customHeight="1" x14ac:dyDescent="0.3">
      <c r="A58" s="4" t="s">
        <v>21</v>
      </c>
      <c r="B58" s="4" t="s">
        <v>45</v>
      </c>
      <c r="C58" s="4" t="s">
        <v>40</v>
      </c>
      <c r="D58" s="4" t="s">
        <v>44</v>
      </c>
      <c r="E58" s="4" t="s">
        <v>56</v>
      </c>
      <c r="F58" s="4" t="s">
        <v>25</v>
      </c>
      <c r="G58" s="4" t="s">
        <v>25</v>
      </c>
      <c r="H58" s="4" t="s">
        <v>25</v>
      </c>
      <c r="I58" s="5">
        <v>44652</v>
      </c>
      <c r="J58" s="6">
        <v>3</v>
      </c>
      <c r="K58" s="52">
        <v>3</v>
      </c>
      <c r="L58" s="6">
        <v>0</v>
      </c>
      <c r="M58" s="52">
        <v>0</v>
      </c>
      <c r="N58" s="6">
        <v>0</v>
      </c>
      <c r="O58" s="52">
        <v>0</v>
      </c>
      <c r="P58" s="6">
        <v>2</v>
      </c>
      <c r="Q58" s="4" t="s">
        <v>26</v>
      </c>
      <c r="R58" s="4">
        <v>0</v>
      </c>
      <c r="S58" s="4">
        <v>11</v>
      </c>
      <c r="T58" s="4">
        <v>0</v>
      </c>
      <c r="U58" s="4">
        <v>0</v>
      </c>
      <c r="V58" s="52">
        <f>IF(ISERROR(VLOOKUP($S$58,'TAR FIN'!$A$1:$O$103,15,0)),0,VLOOKUP($S$58,'TAR FIN'!$A$1:$O$103,15,0))*(1-0.04)</f>
        <v>18.1632</v>
      </c>
      <c r="W58" s="52">
        <f>IF(ISERROR(VLOOKUP($T$58,'TAR FIN'!$A$1:$O$103,15,0)),0,VLOOKUP($T$58,'TAR FIN'!$A$1:$O$103,15,0))</f>
        <v>0</v>
      </c>
      <c r="X58" s="52">
        <f>IF(ISERROR(VLOOKUP($U$58,'TAR FIN'!$A$1:$O$103,15,0)),0,VLOOKUP($U$58,'TAR FIN'!$A$1:$O$103,15,0))</f>
        <v>0</v>
      </c>
      <c r="Y58" s="52">
        <f ca="1">('TUSD BE'!$AM$10+'TUSD BF'!$AM$10+'TUSD CVA'!$AM$10)*1*(1-0.02)</f>
        <v>20.941951853111981</v>
      </c>
      <c r="Z58" s="52"/>
      <c r="AA58" s="52"/>
      <c r="AB58" s="52">
        <f>(SUBSIDIO!$J$58*SUBSIDIO!$V$58)*(0.04)/(1-0.04)</f>
        <v>2.2704</v>
      </c>
      <c r="AC58" s="52">
        <f>((SUBSIDIO!$L$58*SUBSIDIO!$W$58)+(SUBSIDIO!$N$58*SUBSIDIO!$X$58))*(0.04)/(1-0.04)</f>
        <v>0</v>
      </c>
      <c r="AD58" s="52">
        <f ca="1">(SUBSIDIO!$J$58*SUBSIDIO!$Y$58)*(0.02)/(1-0.02)</f>
        <v>1.2821603175374683</v>
      </c>
      <c r="AE58" s="52">
        <f>((SUBSIDIO!$L$58*SUBSIDIO!$Z$58)+(SUBSIDIO!$N$58*SUBSIDIO!$AA$58))*(0.02)/(1-0.02)</f>
        <v>0</v>
      </c>
      <c r="AF58" s="4" t="s">
        <v>811</v>
      </c>
    </row>
    <row r="59" spans="1:32" ht="11.25" customHeight="1" x14ac:dyDescent="0.3">
      <c r="A59" s="4" t="s">
        <v>21</v>
      </c>
      <c r="B59" s="4" t="s">
        <v>45</v>
      </c>
      <c r="C59" s="4" t="s">
        <v>40</v>
      </c>
      <c r="D59" s="4" t="s">
        <v>44</v>
      </c>
      <c r="E59" s="4" t="s">
        <v>56</v>
      </c>
      <c r="F59" s="4" t="s">
        <v>25</v>
      </c>
      <c r="G59" s="4" t="s">
        <v>25</v>
      </c>
      <c r="H59" s="4" t="s">
        <v>25</v>
      </c>
      <c r="I59" s="5">
        <v>44682</v>
      </c>
      <c r="J59" s="6">
        <v>3</v>
      </c>
      <c r="K59" s="52">
        <v>3</v>
      </c>
      <c r="L59" s="6">
        <v>0</v>
      </c>
      <c r="M59" s="52">
        <v>0</v>
      </c>
      <c r="N59" s="6">
        <v>0</v>
      </c>
      <c r="O59" s="52">
        <v>0</v>
      </c>
      <c r="P59" s="6">
        <v>2</v>
      </c>
      <c r="Q59" s="4" t="s">
        <v>26</v>
      </c>
      <c r="R59" s="4">
        <v>0</v>
      </c>
      <c r="S59" s="4">
        <v>11</v>
      </c>
      <c r="T59" s="4">
        <v>0</v>
      </c>
      <c r="U59" s="4">
        <v>0</v>
      </c>
      <c r="V59" s="52">
        <f>IF(ISERROR(VLOOKUP($S$59,'TAR FIN'!$A$1:$O$103,15,0)),0,VLOOKUP($S$59,'TAR FIN'!$A$1:$O$103,15,0))*(1-0.04)</f>
        <v>18.1632</v>
      </c>
      <c r="W59" s="52">
        <f>IF(ISERROR(VLOOKUP($T$59,'TAR FIN'!$A$1:$O$103,15,0)),0,VLOOKUP($T$59,'TAR FIN'!$A$1:$O$103,15,0))</f>
        <v>0</v>
      </c>
      <c r="X59" s="52">
        <f>IF(ISERROR(VLOOKUP($U$59,'TAR FIN'!$A$1:$O$103,15,0)),0,VLOOKUP($U$59,'TAR FIN'!$A$1:$O$103,15,0))</f>
        <v>0</v>
      </c>
      <c r="Y59" s="52">
        <f ca="1">('TUSD BE'!$AM$10+'TUSD BF'!$AM$10+'TUSD CVA'!$AM$10)*1*(1-0.02)</f>
        <v>20.941951853111981</v>
      </c>
      <c r="Z59" s="52"/>
      <c r="AA59" s="52"/>
      <c r="AB59" s="52">
        <f>(SUBSIDIO!$J$59*SUBSIDIO!$V$59)*(0.04)/(1-0.04)</f>
        <v>2.2704</v>
      </c>
      <c r="AC59" s="52">
        <f>((SUBSIDIO!$L$59*SUBSIDIO!$W$59)+(SUBSIDIO!$N$59*SUBSIDIO!$X$59))*(0.04)/(1-0.04)</f>
        <v>0</v>
      </c>
      <c r="AD59" s="52">
        <f ca="1">(SUBSIDIO!$J$59*SUBSIDIO!$Y$59)*(0.02)/(1-0.02)</f>
        <v>1.2821603175374683</v>
      </c>
      <c r="AE59" s="52">
        <f>((SUBSIDIO!$L$59*SUBSIDIO!$Z$59)+(SUBSIDIO!$N$59*SUBSIDIO!$AA$59))*(0.02)/(1-0.02)</f>
        <v>0</v>
      </c>
      <c r="AF59" s="4" t="s">
        <v>811</v>
      </c>
    </row>
    <row r="60" spans="1:32" ht="11.25" customHeight="1" x14ac:dyDescent="0.3">
      <c r="A60" s="4" t="s">
        <v>21</v>
      </c>
      <c r="B60" s="4" t="s">
        <v>45</v>
      </c>
      <c r="C60" s="4" t="s">
        <v>40</v>
      </c>
      <c r="D60" s="4" t="s">
        <v>44</v>
      </c>
      <c r="E60" s="4" t="s">
        <v>56</v>
      </c>
      <c r="F60" s="4" t="s">
        <v>25</v>
      </c>
      <c r="G60" s="4" t="s">
        <v>25</v>
      </c>
      <c r="H60" s="4" t="s">
        <v>25</v>
      </c>
      <c r="I60" s="5">
        <v>44713</v>
      </c>
      <c r="J60" s="6">
        <v>3</v>
      </c>
      <c r="K60" s="52">
        <v>3</v>
      </c>
      <c r="L60" s="6">
        <v>0</v>
      </c>
      <c r="M60" s="52">
        <v>0</v>
      </c>
      <c r="N60" s="6">
        <v>0</v>
      </c>
      <c r="O60" s="52">
        <v>0</v>
      </c>
      <c r="P60" s="6">
        <v>2</v>
      </c>
      <c r="Q60" s="4" t="s">
        <v>26</v>
      </c>
      <c r="R60" s="4">
        <v>0</v>
      </c>
      <c r="S60" s="4">
        <v>11</v>
      </c>
      <c r="T60" s="4">
        <v>0</v>
      </c>
      <c r="U60" s="4">
        <v>0</v>
      </c>
      <c r="V60" s="52">
        <f>IF(ISERROR(VLOOKUP($S$60,'TAR FIN'!$A$1:$O$103,15,0)),0,VLOOKUP($S$60,'TAR FIN'!$A$1:$O$103,15,0))*(1-0.04)</f>
        <v>18.1632</v>
      </c>
      <c r="W60" s="52">
        <f>IF(ISERROR(VLOOKUP($T$60,'TAR FIN'!$A$1:$O$103,15,0)),0,VLOOKUP($T$60,'TAR FIN'!$A$1:$O$103,15,0))</f>
        <v>0</v>
      </c>
      <c r="X60" s="52">
        <f>IF(ISERROR(VLOOKUP($U$60,'TAR FIN'!$A$1:$O$103,15,0)),0,VLOOKUP($U$60,'TAR FIN'!$A$1:$O$103,15,0))</f>
        <v>0</v>
      </c>
      <c r="Y60" s="52">
        <f ca="1">('TUSD BE'!$AM$10+'TUSD BF'!$AM$10+'TUSD CVA'!$AM$10)*1*(1-0.02)</f>
        <v>20.941951853111981</v>
      </c>
      <c r="Z60" s="52"/>
      <c r="AA60" s="52"/>
      <c r="AB60" s="52">
        <f>(SUBSIDIO!$J$60*SUBSIDIO!$V$60)*(0.04)/(1-0.04)</f>
        <v>2.2704</v>
      </c>
      <c r="AC60" s="52">
        <f>((SUBSIDIO!$L$60*SUBSIDIO!$W$60)+(SUBSIDIO!$N$60*SUBSIDIO!$X$60))*(0.04)/(1-0.04)</f>
        <v>0</v>
      </c>
      <c r="AD60" s="52">
        <f ca="1">(SUBSIDIO!$J$60*SUBSIDIO!$Y$60)*(0.02)/(1-0.02)</f>
        <v>1.2821603175374683</v>
      </c>
      <c r="AE60" s="52">
        <f>((SUBSIDIO!$L$60*SUBSIDIO!$Z$60)+(SUBSIDIO!$N$60*SUBSIDIO!$AA$60))*(0.02)/(1-0.02)</f>
        <v>0</v>
      </c>
      <c r="AF60" s="4" t="s">
        <v>811</v>
      </c>
    </row>
    <row r="61" spans="1:32" ht="11.25" customHeight="1" x14ac:dyDescent="0.3">
      <c r="A61" s="4" t="s">
        <v>21</v>
      </c>
      <c r="B61" s="4" t="s">
        <v>45</v>
      </c>
      <c r="C61" s="4" t="s">
        <v>40</v>
      </c>
      <c r="D61" s="4" t="s">
        <v>44</v>
      </c>
      <c r="E61" s="4" t="s">
        <v>56</v>
      </c>
      <c r="F61" s="4" t="s">
        <v>25</v>
      </c>
      <c r="G61" s="4" t="s">
        <v>25</v>
      </c>
      <c r="H61" s="4" t="s">
        <v>25</v>
      </c>
      <c r="I61" s="5">
        <v>44743</v>
      </c>
      <c r="J61" s="6">
        <v>4</v>
      </c>
      <c r="K61" s="52">
        <v>4</v>
      </c>
      <c r="L61" s="6">
        <v>0</v>
      </c>
      <c r="M61" s="52">
        <v>0</v>
      </c>
      <c r="N61" s="6">
        <v>0</v>
      </c>
      <c r="O61" s="52">
        <v>0</v>
      </c>
      <c r="P61" s="6">
        <v>2</v>
      </c>
      <c r="Q61" s="4" t="s">
        <v>26</v>
      </c>
      <c r="R61" s="4">
        <v>0</v>
      </c>
      <c r="S61" s="4">
        <v>11</v>
      </c>
      <c r="T61" s="4">
        <v>0</v>
      </c>
      <c r="U61" s="4">
        <v>0</v>
      </c>
      <c r="V61" s="52">
        <f>IF(ISERROR(VLOOKUP($S$61,'TAR FIN'!$A$1:$O$103,15,0)),0,VLOOKUP($S$61,'TAR FIN'!$A$1:$O$103,15,0))*(1-0.04)</f>
        <v>18.1632</v>
      </c>
      <c r="W61" s="52">
        <f>IF(ISERROR(VLOOKUP($T$61,'TAR FIN'!$A$1:$O$103,15,0)),0,VLOOKUP($T$61,'TAR FIN'!$A$1:$O$103,15,0))</f>
        <v>0</v>
      </c>
      <c r="X61" s="52">
        <f>IF(ISERROR(VLOOKUP($U$61,'TAR FIN'!$A$1:$O$103,15,0)),0,VLOOKUP($U$61,'TAR FIN'!$A$1:$O$103,15,0))</f>
        <v>0</v>
      </c>
      <c r="Y61" s="52">
        <f ca="1">('TUSD BE'!$AM$10+'TUSD BF'!$AM$10+'TUSD CVA'!$AM$10)*1*(1-0.02)</f>
        <v>20.941951853111981</v>
      </c>
      <c r="Z61" s="52"/>
      <c r="AA61" s="52"/>
      <c r="AB61" s="52">
        <f>(SUBSIDIO!$J$61*SUBSIDIO!$V$61)*(0.04)/(1-0.04)</f>
        <v>3.0272000000000001</v>
      </c>
      <c r="AC61" s="52">
        <f>((SUBSIDIO!$L$61*SUBSIDIO!$W$61)+(SUBSIDIO!$N$61*SUBSIDIO!$X$61))*(0.04)/(1-0.04)</f>
        <v>0</v>
      </c>
      <c r="AD61" s="52">
        <f ca="1">(SUBSIDIO!$J$61*SUBSIDIO!$Y$61)*(0.02)/(1-0.02)</f>
        <v>1.7095470900499576</v>
      </c>
      <c r="AE61" s="52">
        <f>((SUBSIDIO!$L$61*SUBSIDIO!$Z$61)+(SUBSIDIO!$N$61*SUBSIDIO!$AA$61))*(0.02)/(1-0.02)</f>
        <v>0</v>
      </c>
      <c r="AF61" s="4" t="s">
        <v>811</v>
      </c>
    </row>
    <row r="62" spans="1:32" ht="11.25" customHeight="1" x14ac:dyDescent="0.3">
      <c r="A62" s="4" t="s">
        <v>21</v>
      </c>
      <c r="B62" s="4" t="s">
        <v>45</v>
      </c>
      <c r="C62" s="4" t="s">
        <v>40</v>
      </c>
      <c r="D62" s="4" t="s">
        <v>44</v>
      </c>
      <c r="E62" s="4" t="s">
        <v>56</v>
      </c>
      <c r="F62" s="4" t="s">
        <v>25</v>
      </c>
      <c r="G62" s="4" t="s">
        <v>25</v>
      </c>
      <c r="H62" s="4" t="s">
        <v>25</v>
      </c>
      <c r="I62" s="5">
        <v>44774</v>
      </c>
      <c r="J62" s="6">
        <v>10</v>
      </c>
      <c r="K62" s="52">
        <v>10</v>
      </c>
      <c r="L62" s="6">
        <v>0</v>
      </c>
      <c r="M62" s="52">
        <v>0</v>
      </c>
      <c r="N62" s="6">
        <v>0</v>
      </c>
      <c r="O62" s="52">
        <v>0</v>
      </c>
      <c r="P62" s="6">
        <v>2</v>
      </c>
      <c r="Q62" s="4" t="s">
        <v>26</v>
      </c>
      <c r="R62" s="4">
        <v>0</v>
      </c>
      <c r="S62" s="4">
        <v>11</v>
      </c>
      <c r="T62" s="4">
        <v>0</v>
      </c>
      <c r="U62" s="4">
        <v>0</v>
      </c>
      <c r="V62" s="52">
        <f>IF(ISERROR(VLOOKUP($S$62,'TAR FIN'!$A$1:$O$103,15,0)),0,VLOOKUP($S$62,'TAR FIN'!$A$1:$O$103,15,0))*(1-0.04)</f>
        <v>18.1632</v>
      </c>
      <c r="W62" s="52">
        <f>IF(ISERROR(VLOOKUP($T$62,'TAR FIN'!$A$1:$O$103,15,0)),0,VLOOKUP($T$62,'TAR FIN'!$A$1:$O$103,15,0))</f>
        <v>0</v>
      </c>
      <c r="X62" s="52">
        <f>IF(ISERROR(VLOOKUP($U$62,'TAR FIN'!$A$1:$O$103,15,0)),0,VLOOKUP($U$62,'TAR FIN'!$A$1:$O$103,15,0))</f>
        <v>0</v>
      </c>
      <c r="Y62" s="52">
        <f ca="1">('TUSD BE'!$AM$10+'TUSD BF'!$AM$10+'TUSD CVA'!$AM$10)*1*(1-0.02)</f>
        <v>20.941951853111981</v>
      </c>
      <c r="Z62" s="52"/>
      <c r="AA62" s="52"/>
      <c r="AB62" s="52">
        <f>(SUBSIDIO!$J$62*SUBSIDIO!$V$62)*(0.04)/(1-0.04)</f>
        <v>7.5680000000000005</v>
      </c>
      <c r="AC62" s="52">
        <f>((SUBSIDIO!$L$62*SUBSIDIO!$W$62)+(SUBSIDIO!$N$62*SUBSIDIO!$X$62))*(0.04)/(1-0.04)</f>
        <v>0</v>
      </c>
      <c r="AD62" s="52">
        <f ca="1">(SUBSIDIO!$J$62*SUBSIDIO!$Y$62)*(0.02)/(1-0.02)</f>
        <v>4.2738677251248944</v>
      </c>
      <c r="AE62" s="52">
        <f>((SUBSIDIO!$L$62*SUBSIDIO!$Z$62)+(SUBSIDIO!$N$62*SUBSIDIO!$AA$62))*(0.02)/(1-0.02)</f>
        <v>0</v>
      </c>
      <c r="AF62" s="4" t="s">
        <v>811</v>
      </c>
    </row>
    <row r="63" spans="1:32" ht="11.25" customHeight="1" x14ac:dyDescent="0.3">
      <c r="A63" s="4" t="s">
        <v>21</v>
      </c>
      <c r="B63" s="4" t="s">
        <v>45</v>
      </c>
      <c r="C63" s="4" t="s">
        <v>40</v>
      </c>
      <c r="D63" s="4" t="s">
        <v>44</v>
      </c>
      <c r="E63" s="4" t="s">
        <v>56</v>
      </c>
      <c r="F63" s="4" t="s">
        <v>25</v>
      </c>
      <c r="G63" s="4" t="s">
        <v>25</v>
      </c>
      <c r="H63" s="4" t="s">
        <v>25</v>
      </c>
      <c r="I63" s="5">
        <v>44805</v>
      </c>
      <c r="J63" s="6">
        <v>11</v>
      </c>
      <c r="K63" s="52">
        <v>11</v>
      </c>
      <c r="L63" s="6">
        <v>0</v>
      </c>
      <c r="M63" s="52">
        <v>0</v>
      </c>
      <c r="N63" s="6">
        <v>0</v>
      </c>
      <c r="O63" s="52">
        <v>0</v>
      </c>
      <c r="P63" s="6">
        <v>2</v>
      </c>
      <c r="Q63" s="4" t="s">
        <v>26</v>
      </c>
      <c r="R63" s="4">
        <v>0</v>
      </c>
      <c r="S63" s="4">
        <v>11</v>
      </c>
      <c r="T63" s="4">
        <v>0</v>
      </c>
      <c r="U63" s="4">
        <v>0</v>
      </c>
      <c r="V63" s="52">
        <f>IF(ISERROR(VLOOKUP($S$63,'TAR FIN'!$A$1:$O$103,15,0)),0,VLOOKUP($S$63,'TAR FIN'!$A$1:$O$103,15,0))*(1-0.04)</f>
        <v>18.1632</v>
      </c>
      <c r="W63" s="52">
        <f>IF(ISERROR(VLOOKUP($T$63,'TAR FIN'!$A$1:$O$103,15,0)),0,VLOOKUP($T$63,'TAR FIN'!$A$1:$O$103,15,0))</f>
        <v>0</v>
      </c>
      <c r="X63" s="52">
        <f>IF(ISERROR(VLOOKUP($U$63,'TAR FIN'!$A$1:$O$103,15,0)),0,VLOOKUP($U$63,'TAR FIN'!$A$1:$O$103,15,0))</f>
        <v>0</v>
      </c>
      <c r="Y63" s="52">
        <f ca="1">('TUSD BE'!$AM$10+'TUSD BF'!$AM$10+'TUSD CVA'!$AM$10)*1*(1-0.02)</f>
        <v>20.941951853111981</v>
      </c>
      <c r="Z63" s="52"/>
      <c r="AA63" s="52"/>
      <c r="AB63" s="52">
        <f>(SUBSIDIO!$J$63*SUBSIDIO!$V$63)*(0.04)/(1-0.04)</f>
        <v>8.3247999999999998</v>
      </c>
      <c r="AC63" s="52">
        <f>((SUBSIDIO!$L$63*SUBSIDIO!$W$63)+(SUBSIDIO!$N$63*SUBSIDIO!$X$63))*(0.04)/(1-0.04)</f>
        <v>0</v>
      </c>
      <c r="AD63" s="52">
        <f ca="1">(SUBSIDIO!$J$63*SUBSIDIO!$Y$63)*(0.02)/(1-0.02)</f>
        <v>4.7012544976373833</v>
      </c>
      <c r="AE63" s="52">
        <f>((SUBSIDIO!$L$63*SUBSIDIO!$Z$63)+(SUBSIDIO!$N$63*SUBSIDIO!$AA$63))*(0.02)/(1-0.02)</f>
        <v>0</v>
      </c>
      <c r="AF63" s="4" t="s">
        <v>811</v>
      </c>
    </row>
    <row r="64" spans="1:32" ht="11.25" customHeight="1" x14ac:dyDescent="0.3">
      <c r="A64" s="4" t="s">
        <v>57</v>
      </c>
      <c r="B64" s="4" t="s">
        <v>45</v>
      </c>
      <c r="C64" s="4" t="s">
        <v>40</v>
      </c>
      <c r="D64" s="4" t="s">
        <v>44</v>
      </c>
      <c r="E64" s="4" t="s">
        <v>56</v>
      </c>
      <c r="F64" s="4" t="s">
        <v>25</v>
      </c>
      <c r="G64" s="4" t="s">
        <v>25</v>
      </c>
      <c r="H64" s="4" t="s">
        <v>25</v>
      </c>
      <c r="I64" s="5">
        <v>44835</v>
      </c>
      <c r="J64" s="6">
        <v>11</v>
      </c>
      <c r="K64" s="52">
        <v>11</v>
      </c>
      <c r="L64" s="6">
        <v>0</v>
      </c>
      <c r="M64" s="52">
        <v>0</v>
      </c>
      <c r="N64" s="6">
        <v>0</v>
      </c>
      <c r="O64" s="52">
        <v>0</v>
      </c>
      <c r="P64" s="6">
        <v>2</v>
      </c>
      <c r="Q64" s="4" t="s">
        <v>26</v>
      </c>
      <c r="R64" s="4">
        <v>0</v>
      </c>
      <c r="S64" s="4">
        <v>11</v>
      </c>
      <c r="T64" s="4">
        <v>0</v>
      </c>
      <c r="U64" s="4">
        <v>0</v>
      </c>
      <c r="V64" s="52">
        <f>IF(ISERROR(VLOOKUP($S$64,'TAR FIN'!$A$1:$O$103,15,0)),0,VLOOKUP($S$64,'TAR FIN'!$A$1:$O$103,15,0))*(1-0.04)</f>
        <v>18.1632</v>
      </c>
      <c r="W64" s="52">
        <f>IF(ISERROR(VLOOKUP($T$64,'TAR FIN'!$A$1:$O$103,15,0)),0,VLOOKUP($T$64,'TAR FIN'!$A$1:$O$103,15,0))</f>
        <v>0</v>
      </c>
      <c r="X64" s="52">
        <f>IF(ISERROR(VLOOKUP($U$64,'TAR FIN'!$A$1:$O$103,15,0)),0,VLOOKUP($U$64,'TAR FIN'!$A$1:$O$103,15,0))</f>
        <v>0</v>
      </c>
      <c r="Y64" s="52">
        <f ca="1">('TUSD BE'!$AM$10+'TUSD BF'!$AM$10+'TUSD CVA'!$AM$10)*1*(1-0.02)</f>
        <v>20.941951853111981</v>
      </c>
      <c r="Z64" s="52"/>
      <c r="AA64" s="52"/>
      <c r="AB64" s="52">
        <f>(SUBSIDIO!$J$64*SUBSIDIO!$V$64)*(0.04)/(1-0.04)</f>
        <v>8.3247999999999998</v>
      </c>
      <c r="AC64" s="52">
        <f>((SUBSIDIO!$L$64*SUBSIDIO!$W$64)+(SUBSIDIO!$N$64*SUBSIDIO!$X$64))*(0.04)/(1-0.04)</f>
        <v>0</v>
      </c>
      <c r="AD64" s="52">
        <f ca="1">(SUBSIDIO!$J$64*SUBSIDIO!$Y$64)*(0.02)/(1-0.02)</f>
        <v>4.7012544976373833</v>
      </c>
      <c r="AE64" s="52">
        <f>((SUBSIDIO!$L$64*SUBSIDIO!$Z$64)+(SUBSIDIO!$N$64*SUBSIDIO!$AA$64))*(0.02)/(1-0.02)</f>
        <v>0</v>
      </c>
      <c r="AF64" s="4" t="s">
        <v>811</v>
      </c>
    </row>
    <row r="65" spans="1:32" ht="11.25" customHeight="1" x14ac:dyDescent="0.3">
      <c r="A65" s="4" t="s">
        <v>21</v>
      </c>
      <c r="B65" s="4" t="s">
        <v>45</v>
      </c>
      <c r="C65" s="4" t="s">
        <v>40</v>
      </c>
      <c r="D65" s="4" t="s">
        <v>44</v>
      </c>
      <c r="E65" s="4" t="s">
        <v>56</v>
      </c>
      <c r="F65" s="4" t="s">
        <v>25</v>
      </c>
      <c r="G65" s="4" t="s">
        <v>25</v>
      </c>
      <c r="H65" s="4" t="s">
        <v>34</v>
      </c>
      <c r="I65" s="5">
        <v>44593</v>
      </c>
      <c r="J65" s="6">
        <v>0</v>
      </c>
      <c r="K65" s="52">
        <v>0</v>
      </c>
      <c r="L65" s="6">
        <v>5.6000000000000001E-2</v>
      </c>
      <c r="M65" s="52">
        <v>5.6000000000000001E-2</v>
      </c>
      <c r="N65" s="6">
        <v>5.6000000000000001E-2</v>
      </c>
      <c r="O65" s="52">
        <v>5.6000000000000001E-2</v>
      </c>
      <c r="P65" s="6">
        <v>0</v>
      </c>
      <c r="Q65" s="4" t="s">
        <v>26</v>
      </c>
      <c r="R65" s="4">
        <v>0</v>
      </c>
      <c r="S65" s="4">
        <v>0</v>
      </c>
      <c r="T65" s="4">
        <v>14</v>
      </c>
      <c r="U65" s="4">
        <v>62</v>
      </c>
      <c r="V65" s="52">
        <f>IF(ISERROR(VLOOKUP($S$65,'TAR FIN'!$A$1:$O$103,15,0)),0,VLOOKUP($S$65,'TAR FIN'!$A$1:$O$103,15,0))</f>
        <v>0</v>
      </c>
      <c r="W65" s="52">
        <f>IF(ISERROR(VLOOKUP($T$65,'TAR FIN'!$A$1:$O$103,15,0)),0,VLOOKUP($T$65,'TAR FIN'!$A$1:$O$103,15,0))*(1-0.04)</f>
        <v>1147.9871999999998</v>
      </c>
      <c r="X65" s="52">
        <f>IF(ISERROR(VLOOKUP($U$65,'TAR FIN'!$A$1:$O$103,15,0)),0,VLOOKUP($U$65,'TAR FIN'!$A$1:$O$103,15,0))*(1-0.04)</f>
        <v>375.8784</v>
      </c>
      <c r="Y65" s="52"/>
      <c r="Z65" s="52">
        <f ca="1">('TUSD BE'!$AM$11+'TUSD BF'!$AM$11+'TUSD CVA'!$AM$11)*1*(1-0.02)</f>
        <v>1357.7878188473314</v>
      </c>
      <c r="AA65" s="52">
        <f>('TE BE'!$AB$5+'TE BF'!$AB$5+'TE CVA'!$AB$5)*1*(1-0.02)</f>
        <v>354.71359410136364</v>
      </c>
      <c r="AB65" s="52">
        <f>(SUBSIDIO!$J$65*SUBSIDIO!$V$65)*(0.04)/(1-0.04)</f>
        <v>0</v>
      </c>
      <c r="AC65" s="52">
        <f>((SUBSIDIO!$L$65*SUBSIDIO!$W$65)+(SUBSIDIO!$N$65*SUBSIDIO!$X$65))*(0.04)/(1-0.04)</f>
        <v>3.5556863999999999</v>
      </c>
      <c r="AD65" s="52">
        <f>(SUBSIDIO!$J$65*SUBSIDIO!$Y$65)*(0.02)/(1-0.02)</f>
        <v>0</v>
      </c>
      <c r="AE65" s="52">
        <f ca="1">((SUBSIDIO!$L$65*SUBSIDIO!$Z$65)+(SUBSIDIO!$N$65*SUBSIDIO!$AA$65))*(0.02)/(1-0.02)</f>
        <v>1.9571444719413658</v>
      </c>
      <c r="AF65" s="4" t="s">
        <v>811</v>
      </c>
    </row>
    <row r="66" spans="1:32" ht="11.25" customHeight="1" x14ac:dyDescent="0.3">
      <c r="A66" s="4" t="s">
        <v>21</v>
      </c>
      <c r="B66" s="4" t="s">
        <v>45</v>
      </c>
      <c r="C66" s="4" t="s">
        <v>40</v>
      </c>
      <c r="D66" s="4" t="s">
        <v>44</v>
      </c>
      <c r="E66" s="4" t="s">
        <v>56</v>
      </c>
      <c r="F66" s="4" t="s">
        <v>25</v>
      </c>
      <c r="G66" s="4" t="s">
        <v>25</v>
      </c>
      <c r="H66" s="4" t="s">
        <v>34</v>
      </c>
      <c r="I66" s="5">
        <v>44621</v>
      </c>
      <c r="J66" s="6">
        <v>0</v>
      </c>
      <c r="K66" s="52">
        <v>0</v>
      </c>
      <c r="L66" s="6">
        <v>6.8000000000000005E-2</v>
      </c>
      <c r="M66" s="52">
        <v>6.8000000000000005E-2</v>
      </c>
      <c r="N66" s="6">
        <v>6.8000000000000005E-2</v>
      </c>
      <c r="O66" s="52">
        <v>6.8000000000000005E-2</v>
      </c>
      <c r="P66" s="6">
        <v>0</v>
      </c>
      <c r="Q66" s="4" t="s">
        <v>26</v>
      </c>
      <c r="R66" s="4">
        <v>0</v>
      </c>
      <c r="S66" s="4">
        <v>0</v>
      </c>
      <c r="T66" s="4">
        <v>14</v>
      </c>
      <c r="U66" s="4">
        <v>62</v>
      </c>
      <c r="V66" s="52">
        <f>IF(ISERROR(VLOOKUP($S$66,'TAR FIN'!$A$1:$O$103,15,0)),0,VLOOKUP($S$66,'TAR FIN'!$A$1:$O$103,15,0))</f>
        <v>0</v>
      </c>
      <c r="W66" s="52">
        <f>IF(ISERROR(VLOOKUP($T$66,'TAR FIN'!$A$1:$O$103,15,0)),0,VLOOKUP($T$66,'TAR FIN'!$A$1:$O$103,15,0))*(1-0.04)</f>
        <v>1147.9871999999998</v>
      </c>
      <c r="X66" s="52">
        <f>IF(ISERROR(VLOOKUP($U$66,'TAR FIN'!$A$1:$O$103,15,0)),0,VLOOKUP($U$66,'TAR FIN'!$A$1:$O$103,15,0))*(1-0.04)</f>
        <v>375.8784</v>
      </c>
      <c r="Y66" s="52"/>
      <c r="Z66" s="52">
        <f ca="1">('TUSD BE'!$AM$11+'TUSD BF'!$AM$11+'TUSD CVA'!$AM$11)*1*(1-0.02)</f>
        <v>1357.7878188473314</v>
      </c>
      <c r="AA66" s="52">
        <f>('TE BE'!$AB$5+'TE BF'!$AB$5+'TE CVA'!$AB$5)*1*(1-0.02)</f>
        <v>354.71359410136364</v>
      </c>
      <c r="AB66" s="52">
        <f>(SUBSIDIO!$J$66*SUBSIDIO!$V$66)*(0.04)/(1-0.04)</f>
        <v>0</v>
      </c>
      <c r="AC66" s="52">
        <f>((SUBSIDIO!$L$66*SUBSIDIO!$W$66)+(SUBSIDIO!$N$66*SUBSIDIO!$X$66))*(0.04)/(1-0.04)</f>
        <v>4.3176192000000002</v>
      </c>
      <c r="AD66" s="52">
        <f>(SUBSIDIO!$J$66*SUBSIDIO!$Y$66)*(0.02)/(1-0.02)</f>
        <v>0</v>
      </c>
      <c r="AE66" s="52">
        <f ca="1">((SUBSIDIO!$L$66*SUBSIDIO!$Z$66)+(SUBSIDIO!$N$66*SUBSIDIO!$AA$66))*(0.02)/(1-0.02)</f>
        <v>2.3765325730716587</v>
      </c>
      <c r="AF66" s="4" t="s">
        <v>811</v>
      </c>
    </row>
    <row r="67" spans="1:32" ht="11.25" customHeight="1" x14ac:dyDescent="0.3">
      <c r="A67" s="4" t="s">
        <v>21</v>
      </c>
      <c r="B67" s="4" t="s">
        <v>45</v>
      </c>
      <c r="C67" s="4" t="s">
        <v>40</v>
      </c>
      <c r="D67" s="4" t="s">
        <v>44</v>
      </c>
      <c r="E67" s="4" t="s">
        <v>56</v>
      </c>
      <c r="F67" s="4" t="s">
        <v>25</v>
      </c>
      <c r="G67" s="4" t="s">
        <v>25</v>
      </c>
      <c r="H67" s="4" t="s">
        <v>34</v>
      </c>
      <c r="I67" s="5">
        <v>44652</v>
      </c>
      <c r="J67" s="6">
        <v>0</v>
      </c>
      <c r="K67" s="52">
        <v>0</v>
      </c>
      <c r="L67" s="6">
        <v>7.2999999999999995E-2</v>
      </c>
      <c r="M67" s="52">
        <v>7.2999999999999995E-2</v>
      </c>
      <c r="N67" s="6">
        <v>7.2999999999999995E-2</v>
      </c>
      <c r="O67" s="52">
        <v>7.2999999999999995E-2</v>
      </c>
      <c r="P67" s="6">
        <v>0</v>
      </c>
      <c r="Q67" s="4" t="s">
        <v>26</v>
      </c>
      <c r="R67" s="4">
        <v>0</v>
      </c>
      <c r="S67" s="4">
        <v>0</v>
      </c>
      <c r="T67" s="4">
        <v>14</v>
      </c>
      <c r="U67" s="4">
        <v>62</v>
      </c>
      <c r="V67" s="52">
        <f>IF(ISERROR(VLOOKUP($S$67,'TAR FIN'!$A$1:$O$103,15,0)),0,VLOOKUP($S$67,'TAR FIN'!$A$1:$O$103,15,0))</f>
        <v>0</v>
      </c>
      <c r="W67" s="52">
        <f>IF(ISERROR(VLOOKUP($T$67,'TAR FIN'!$A$1:$O$103,15,0)),0,VLOOKUP($T$67,'TAR FIN'!$A$1:$O$103,15,0))*(1-0.04)</f>
        <v>1147.9871999999998</v>
      </c>
      <c r="X67" s="52">
        <f>IF(ISERROR(VLOOKUP($U$67,'TAR FIN'!$A$1:$O$103,15,0)),0,VLOOKUP($U$67,'TAR FIN'!$A$1:$O$103,15,0))*(1-0.04)</f>
        <v>375.8784</v>
      </c>
      <c r="Y67" s="52"/>
      <c r="Z67" s="52">
        <f ca="1">('TUSD BE'!$AM$11+'TUSD BF'!$AM$11+'TUSD CVA'!$AM$11)*1*(1-0.02)</f>
        <v>1357.7878188473314</v>
      </c>
      <c r="AA67" s="52">
        <f>('TE BE'!$AB$5+'TE BF'!$AB$5+'TE CVA'!$AB$5)*1*(1-0.02)</f>
        <v>354.71359410136364</v>
      </c>
      <c r="AB67" s="52">
        <f>(SUBSIDIO!$J$67*SUBSIDIO!$V$67)*(0.04)/(1-0.04)</f>
        <v>0</v>
      </c>
      <c r="AC67" s="52">
        <f>((SUBSIDIO!$L$67*SUBSIDIO!$W$67)+(SUBSIDIO!$N$67*SUBSIDIO!$X$67))*(0.04)/(1-0.04)</f>
        <v>4.6350911999999997</v>
      </c>
      <c r="AD67" s="52">
        <f>(SUBSIDIO!$J$67*SUBSIDIO!$Y$67)*(0.02)/(1-0.02)</f>
        <v>0</v>
      </c>
      <c r="AE67" s="52">
        <f ca="1">((SUBSIDIO!$L$67*SUBSIDIO!$Z$67)+(SUBSIDIO!$N$67*SUBSIDIO!$AA$67))*(0.02)/(1-0.02)</f>
        <v>2.5512776152092802</v>
      </c>
      <c r="AF67" s="4" t="s">
        <v>811</v>
      </c>
    </row>
    <row r="68" spans="1:32" ht="11.25" customHeight="1" x14ac:dyDescent="0.3">
      <c r="A68" s="4" t="s">
        <v>21</v>
      </c>
      <c r="B68" s="4" t="s">
        <v>45</v>
      </c>
      <c r="C68" s="4" t="s">
        <v>40</v>
      </c>
      <c r="D68" s="4" t="s">
        <v>44</v>
      </c>
      <c r="E68" s="4" t="s">
        <v>56</v>
      </c>
      <c r="F68" s="4" t="s">
        <v>25</v>
      </c>
      <c r="G68" s="4" t="s">
        <v>25</v>
      </c>
      <c r="H68" s="4" t="s">
        <v>34</v>
      </c>
      <c r="I68" s="5">
        <v>44682</v>
      </c>
      <c r="J68" s="6">
        <v>0</v>
      </c>
      <c r="K68" s="52">
        <v>0</v>
      </c>
      <c r="L68" s="6">
        <v>0.1</v>
      </c>
      <c r="M68" s="52">
        <v>0.1</v>
      </c>
      <c r="N68" s="6">
        <v>0.1</v>
      </c>
      <c r="O68" s="52">
        <v>0.1</v>
      </c>
      <c r="P68" s="6">
        <v>0</v>
      </c>
      <c r="Q68" s="4" t="s">
        <v>26</v>
      </c>
      <c r="R68" s="4">
        <v>0</v>
      </c>
      <c r="S68" s="4">
        <v>0</v>
      </c>
      <c r="T68" s="4">
        <v>14</v>
      </c>
      <c r="U68" s="4">
        <v>62</v>
      </c>
      <c r="V68" s="52">
        <f>IF(ISERROR(VLOOKUP($S$68,'TAR FIN'!$A$1:$O$103,15,0)),0,VLOOKUP($S$68,'TAR FIN'!$A$1:$O$103,15,0))</f>
        <v>0</v>
      </c>
      <c r="W68" s="52">
        <f>IF(ISERROR(VLOOKUP($T$68,'TAR FIN'!$A$1:$O$103,15,0)),0,VLOOKUP($T$68,'TAR FIN'!$A$1:$O$103,15,0))*(1-0.04)</f>
        <v>1147.9871999999998</v>
      </c>
      <c r="X68" s="52">
        <f>IF(ISERROR(VLOOKUP($U$68,'TAR FIN'!$A$1:$O$103,15,0)),0,VLOOKUP($U$68,'TAR FIN'!$A$1:$O$103,15,0))*(1-0.04)</f>
        <v>375.8784</v>
      </c>
      <c r="Y68" s="52"/>
      <c r="Z68" s="52">
        <f ca="1">('TUSD BE'!$AM$11+'TUSD BF'!$AM$11+'TUSD CVA'!$AM$11)*1*(1-0.02)</f>
        <v>1357.7878188473314</v>
      </c>
      <c r="AA68" s="52">
        <f>('TE BE'!$AB$5+'TE BF'!$AB$5+'TE CVA'!$AB$5)*1*(1-0.02)</f>
        <v>354.71359410136364</v>
      </c>
      <c r="AB68" s="52">
        <f>(SUBSIDIO!$J$68*SUBSIDIO!$V$68)*(0.04)/(1-0.04)</f>
        <v>0</v>
      </c>
      <c r="AC68" s="52">
        <f>((SUBSIDIO!$L$68*SUBSIDIO!$W$68)+(SUBSIDIO!$N$68*SUBSIDIO!$X$68))*(0.04)/(1-0.04)</f>
        <v>6.3494399999999986</v>
      </c>
      <c r="AD68" s="52">
        <f>(SUBSIDIO!$J$68*SUBSIDIO!$Y$68)*(0.02)/(1-0.02)</f>
        <v>0</v>
      </c>
      <c r="AE68" s="52">
        <f ca="1">((SUBSIDIO!$L$68*SUBSIDIO!$Z$68)+(SUBSIDIO!$N$68*SUBSIDIO!$AA$68))*(0.02)/(1-0.02)</f>
        <v>3.4949008427524388</v>
      </c>
      <c r="AF68" s="4" t="s">
        <v>811</v>
      </c>
    </row>
    <row r="69" spans="1:32" ht="11.25" customHeight="1" x14ac:dyDescent="0.3">
      <c r="A69" s="4" t="s">
        <v>21</v>
      </c>
      <c r="B69" s="4" t="s">
        <v>45</v>
      </c>
      <c r="C69" s="4" t="s">
        <v>40</v>
      </c>
      <c r="D69" s="4" t="s">
        <v>44</v>
      </c>
      <c r="E69" s="4" t="s">
        <v>56</v>
      </c>
      <c r="F69" s="4" t="s">
        <v>25</v>
      </c>
      <c r="G69" s="4" t="s">
        <v>25</v>
      </c>
      <c r="H69" s="4" t="s">
        <v>34</v>
      </c>
      <c r="I69" s="5">
        <v>44713</v>
      </c>
      <c r="J69" s="6">
        <v>0</v>
      </c>
      <c r="K69" s="52">
        <v>0</v>
      </c>
      <c r="L69" s="6">
        <v>9.7000000000000003E-2</v>
      </c>
      <c r="M69" s="52">
        <v>9.7000000000000003E-2</v>
      </c>
      <c r="N69" s="6">
        <v>9.7000000000000003E-2</v>
      </c>
      <c r="O69" s="52">
        <v>9.7000000000000003E-2</v>
      </c>
      <c r="P69" s="6">
        <v>0</v>
      </c>
      <c r="Q69" s="4" t="s">
        <v>26</v>
      </c>
      <c r="R69" s="4">
        <v>0</v>
      </c>
      <c r="S69" s="4">
        <v>0</v>
      </c>
      <c r="T69" s="4">
        <v>14</v>
      </c>
      <c r="U69" s="4">
        <v>62</v>
      </c>
      <c r="V69" s="52">
        <f>IF(ISERROR(VLOOKUP($S$69,'TAR FIN'!$A$1:$O$103,15,0)),0,VLOOKUP($S$69,'TAR FIN'!$A$1:$O$103,15,0))</f>
        <v>0</v>
      </c>
      <c r="W69" s="52">
        <f>IF(ISERROR(VLOOKUP($T$69,'TAR FIN'!$A$1:$O$103,15,0)),0,VLOOKUP($T$69,'TAR FIN'!$A$1:$O$103,15,0))*(1-0.04)</f>
        <v>1147.9871999999998</v>
      </c>
      <c r="X69" s="52">
        <f>IF(ISERROR(VLOOKUP($U$69,'TAR FIN'!$A$1:$O$103,15,0)),0,VLOOKUP($U$69,'TAR FIN'!$A$1:$O$103,15,0))*(1-0.04)</f>
        <v>375.8784</v>
      </c>
      <c r="Y69" s="52"/>
      <c r="Z69" s="52">
        <f ca="1">('TUSD BE'!$AM$11+'TUSD BF'!$AM$11+'TUSD CVA'!$AM$11)*1*(1-0.02)</f>
        <v>1357.7878188473314</v>
      </c>
      <c r="AA69" s="52">
        <f>('TE BE'!$AB$5+'TE BF'!$AB$5+'TE CVA'!$AB$5)*1*(1-0.02)</f>
        <v>354.71359410136364</v>
      </c>
      <c r="AB69" s="52">
        <f>(SUBSIDIO!$J$69*SUBSIDIO!$V$69)*(0.04)/(1-0.04)</f>
        <v>0</v>
      </c>
      <c r="AC69" s="52">
        <f>((SUBSIDIO!$L$69*SUBSIDIO!$W$69)+(SUBSIDIO!$N$69*SUBSIDIO!$X$69))*(0.04)/(1-0.04)</f>
        <v>6.1589567999999986</v>
      </c>
      <c r="AD69" s="52">
        <f>(SUBSIDIO!$J$69*SUBSIDIO!$Y$69)*(0.02)/(1-0.02)</f>
        <v>0</v>
      </c>
      <c r="AE69" s="52">
        <f ca="1">((SUBSIDIO!$L$69*SUBSIDIO!$Z$69)+(SUBSIDIO!$N$69*SUBSIDIO!$AA$69))*(0.02)/(1-0.02)</f>
        <v>3.390053817469866</v>
      </c>
      <c r="AF69" s="4" t="s">
        <v>811</v>
      </c>
    </row>
    <row r="70" spans="1:32" ht="11.25" customHeight="1" x14ac:dyDescent="0.3">
      <c r="A70" s="4" t="s">
        <v>21</v>
      </c>
      <c r="B70" s="4" t="s">
        <v>45</v>
      </c>
      <c r="C70" s="4" t="s">
        <v>40</v>
      </c>
      <c r="D70" s="4" t="s">
        <v>44</v>
      </c>
      <c r="E70" s="4" t="s">
        <v>56</v>
      </c>
      <c r="F70" s="4" t="s">
        <v>25</v>
      </c>
      <c r="G70" s="4" t="s">
        <v>25</v>
      </c>
      <c r="H70" s="4" t="s">
        <v>34</v>
      </c>
      <c r="I70" s="5">
        <v>44743</v>
      </c>
      <c r="J70" s="6">
        <v>0</v>
      </c>
      <c r="K70" s="52">
        <v>0</v>
      </c>
      <c r="L70" s="6">
        <v>0.10199999999999999</v>
      </c>
      <c r="M70" s="52">
        <v>0.10199999999999999</v>
      </c>
      <c r="N70" s="6">
        <v>0.10199999999999999</v>
      </c>
      <c r="O70" s="52">
        <v>0.10199999999999999</v>
      </c>
      <c r="P70" s="6">
        <v>0</v>
      </c>
      <c r="Q70" s="4" t="s">
        <v>26</v>
      </c>
      <c r="R70" s="4">
        <v>0</v>
      </c>
      <c r="S70" s="4">
        <v>0</v>
      </c>
      <c r="T70" s="4">
        <v>14</v>
      </c>
      <c r="U70" s="4">
        <v>62</v>
      </c>
      <c r="V70" s="52">
        <f>IF(ISERROR(VLOOKUP($S$70,'TAR FIN'!$A$1:$O$103,15,0)),0,VLOOKUP($S$70,'TAR FIN'!$A$1:$O$103,15,0))</f>
        <v>0</v>
      </c>
      <c r="W70" s="52">
        <f>IF(ISERROR(VLOOKUP($T$70,'TAR FIN'!$A$1:$O$103,15,0)),0,VLOOKUP($T$70,'TAR FIN'!$A$1:$O$103,15,0))*(1-0.04)</f>
        <v>1147.9871999999998</v>
      </c>
      <c r="X70" s="52">
        <f>IF(ISERROR(VLOOKUP($U$70,'TAR FIN'!$A$1:$O$103,15,0)),0,VLOOKUP($U$70,'TAR FIN'!$A$1:$O$103,15,0))*(1-0.04)</f>
        <v>375.8784</v>
      </c>
      <c r="Y70" s="52"/>
      <c r="Z70" s="52">
        <f ca="1">('TUSD BE'!$AM$11+'TUSD BF'!$AM$11+'TUSD CVA'!$AM$11)*1*(1-0.02)</f>
        <v>1357.7878188473314</v>
      </c>
      <c r="AA70" s="52">
        <f>('TE BE'!$AB$5+'TE BF'!$AB$5+'TE CVA'!$AB$5)*1*(1-0.02)</f>
        <v>354.71359410136364</v>
      </c>
      <c r="AB70" s="52">
        <f>(SUBSIDIO!$J$70*SUBSIDIO!$V$70)*(0.04)/(1-0.04)</f>
        <v>0</v>
      </c>
      <c r="AC70" s="52">
        <f>((SUBSIDIO!$L$70*SUBSIDIO!$W$70)+(SUBSIDIO!$N$70*SUBSIDIO!$X$70))*(0.04)/(1-0.04)</f>
        <v>6.476428799999999</v>
      </c>
      <c r="AD70" s="52">
        <f>(SUBSIDIO!$J$70*SUBSIDIO!$Y$70)*(0.02)/(1-0.02)</f>
        <v>0</v>
      </c>
      <c r="AE70" s="52">
        <f ca="1">((SUBSIDIO!$L$70*SUBSIDIO!$Z$70)+(SUBSIDIO!$N$70*SUBSIDIO!$AA$70))*(0.02)/(1-0.02)</f>
        <v>3.564798859607488</v>
      </c>
      <c r="AF70" s="4" t="s">
        <v>811</v>
      </c>
    </row>
    <row r="71" spans="1:32" ht="11.25" customHeight="1" x14ac:dyDescent="0.3">
      <c r="A71" s="4" t="s">
        <v>21</v>
      </c>
      <c r="B71" s="4" t="s">
        <v>45</v>
      </c>
      <c r="C71" s="4" t="s">
        <v>40</v>
      </c>
      <c r="D71" s="4" t="s">
        <v>44</v>
      </c>
      <c r="E71" s="4" t="s">
        <v>56</v>
      </c>
      <c r="F71" s="4" t="s">
        <v>25</v>
      </c>
      <c r="G71" s="4" t="s">
        <v>25</v>
      </c>
      <c r="H71" s="4" t="s">
        <v>34</v>
      </c>
      <c r="I71" s="5">
        <v>44774</v>
      </c>
      <c r="J71" s="6">
        <v>0</v>
      </c>
      <c r="K71" s="52">
        <v>0</v>
      </c>
      <c r="L71" s="6">
        <v>0.129</v>
      </c>
      <c r="M71" s="52">
        <v>0.129</v>
      </c>
      <c r="N71" s="6">
        <v>0.129</v>
      </c>
      <c r="O71" s="52">
        <v>0.129</v>
      </c>
      <c r="P71" s="6">
        <v>0</v>
      </c>
      <c r="Q71" s="4" t="s">
        <v>26</v>
      </c>
      <c r="R71" s="4">
        <v>0</v>
      </c>
      <c r="S71" s="4">
        <v>0</v>
      </c>
      <c r="T71" s="4">
        <v>14</v>
      </c>
      <c r="U71" s="4">
        <v>62</v>
      </c>
      <c r="V71" s="52">
        <f>IF(ISERROR(VLOOKUP($S$71,'TAR FIN'!$A$1:$O$103,15,0)),0,VLOOKUP($S$71,'TAR FIN'!$A$1:$O$103,15,0))</f>
        <v>0</v>
      </c>
      <c r="W71" s="52">
        <f>IF(ISERROR(VLOOKUP($T$71,'TAR FIN'!$A$1:$O$103,15,0)),0,VLOOKUP($T$71,'TAR FIN'!$A$1:$O$103,15,0))*(1-0.04)</f>
        <v>1147.9871999999998</v>
      </c>
      <c r="X71" s="52">
        <f>IF(ISERROR(VLOOKUP($U$71,'TAR FIN'!$A$1:$O$103,15,0)),0,VLOOKUP($U$71,'TAR FIN'!$A$1:$O$103,15,0))*(1-0.04)</f>
        <v>375.8784</v>
      </c>
      <c r="Y71" s="52"/>
      <c r="Z71" s="52">
        <f ca="1">('TUSD BE'!$AM$11+'TUSD BF'!$AM$11+'TUSD CVA'!$AM$11)*1*(1-0.02)</f>
        <v>1357.7878188473314</v>
      </c>
      <c r="AA71" s="52">
        <f>('TE BE'!$AB$5+'TE BF'!$AB$5+'TE CVA'!$AB$5)*1*(1-0.02)</f>
        <v>354.71359410136364</v>
      </c>
      <c r="AB71" s="52">
        <f>(SUBSIDIO!$J$71*SUBSIDIO!$V$71)*(0.04)/(1-0.04)</f>
        <v>0</v>
      </c>
      <c r="AC71" s="52">
        <f>((SUBSIDIO!$L$71*SUBSIDIO!$W$71)+(SUBSIDIO!$N$71*SUBSIDIO!$X$71))*(0.04)/(1-0.04)</f>
        <v>8.1907776000000005</v>
      </c>
      <c r="AD71" s="52">
        <f>(SUBSIDIO!$J$71*SUBSIDIO!$Y$71)*(0.02)/(1-0.02)</f>
        <v>0</v>
      </c>
      <c r="AE71" s="52">
        <f ca="1">((SUBSIDIO!$L$71*SUBSIDIO!$Z$71)+(SUBSIDIO!$N$71*SUBSIDIO!$AA$71))*(0.02)/(1-0.02)</f>
        <v>4.5084220871506471</v>
      </c>
      <c r="AF71" s="4" t="s">
        <v>811</v>
      </c>
    </row>
    <row r="72" spans="1:32" ht="11.25" customHeight="1" x14ac:dyDescent="0.3">
      <c r="A72" s="4" t="s">
        <v>21</v>
      </c>
      <c r="B72" s="4" t="s">
        <v>45</v>
      </c>
      <c r="C72" s="4" t="s">
        <v>40</v>
      </c>
      <c r="D72" s="4" t="s">
        <v>44</v>
      </c>
      <c r="E72" s="4" t="s">
        <v>56</v>
      </c>
      <c r="F72" s="4" t="s">
        <v>25</v>
      </c>
      <c r="G72" s="4" t="s">
        <v>25</v>
      </c>
      <c r="H72" s="4" t="s">
        <v>34</v>
      </c>
      <c r="I72" s="5">
        <v>44805</v>
      </c>
      <c r="J72" s="6">
        <v>0</v>
      </c>
      <c r="K72" s="52">
        <v>0</v>
      </c>
      <c r="L72" s="6">
        <v>0.54700000000000004</v>
      </c>
      <c r="M72" s="52">
        <v>0.54700000000000004</v>
      </c>
      <c r="N72" s="6">
        <v>0.54700000000000004</v>
      </c>
      <c r="O72" s="52">
        <v>0.54700000000000004</v>
      </c>
      <c r="P72" s="6">
        <v>0</v>
      </c>
      <c r="Q72" s="4" t="s">
        <v>26</v>
      </c>
      <c r="R72" s="4">
        <v>0</v>
      </c>
      <c r="S72" s="4">
        <v>0</v>
      </c>
      <c r="T72" s="4">
        <v>14</v>
      </c>
      <c r="U72" s="4">
        <v>62</v>
      </c>
      <c r="V72" s="52">
        <f>IF(ISERROR(VLOOKUP($S$72,'TAR FIN'!$A$1:$O$103,15,0)),0,VLOOKUP($S$72,'TAR FIN'!$A$1:$O$103,15,0))</f>
        <v>0</v>
      </c>
      <c r="W72" s="52">
        <f>IF(ISERROR(VLOOKUP($T$72,'TAR FIN'!$A$1:$O$103,15,0)),0,VLOOKUP($T$72,'TAR FIN'!$A$1:$O$103,15,0))*(1-0.04)</f>
        <v>1147.9871999999998</v>
      </c>
      <c r="X72" s="52">
        <f>IF(ISERROR(VLOOKUP($U$72,'TAR FIN'!$A$1:$O$103,15,0)),0,VLOOKUP($U$72,'TAR FIN'!$A$1:$O$103,15,0))*(1-0.04)</f>
        <v>375.8784</v>
      </c>
      <c r="Y72" s="52"/>
      <c r="Z72" s="52">
        <f ca="1">('TUSD BE'!$AM$11+'TUSD BF'!$AM$11+'TUSD CVA'!$AM$11)*1*(1-0.02)</f>
        <v>1357.7878188473314</v>
      </c>
      <c r="AA72" s="52">
        <f>('TE BE'!$AB$5+'TE BF'!$AB$5+'TE CVA'!$AB$5)*1*(1-0.02)</f>
        <v>354.71359410136364</v>
      </c>
      <c r="AB72" s="52">
        <f>(SUBSIDIO!$J$72*SUBSIDIO!$V$72)*(0.04)/(1-0.04)</f>
        <v>0</v>
      </c>
      <c r="AC72" s="52">
        <f>((SUBSIDIO!$L$72*SUBSIDIO!$W$72)+(SUBSIDIO!$N$72*SUBSIDIO!$X$72))*(0.04)/(1-0.04)</f>
        <v>34.731436800000004</v>
      </c>
      <c r="AD72" s="52">
        <f>(SUBSIDIO!$J$72*SUBSIDIO!$Y$72)*(0.02)/(1-0.02)</f>
        <v>0</v>
      </c>
      <c r="AE72" s="52">
        <f ca="1">((SUBSIDIO!$L$72*SUBSIDIO!$Z$72)+(SUBSIDIO!$N$72*SUBSIDIO!$AA$72))*(0.02)/(1-0.02)</f>
        <v>19.117107609855843</v>
      </c>
      <c r="AF72" s="4" t="s">
        <v>811</v>
      </c>
    </row>
    <row r="73" spans="1:32" ht="11.25" customHeight="1" x14ac:dyDescent="0.3">
      <c r="A73" s="4" t="s">
        <v>57</v>
      </c>
      <c r="B73" s="4" t="s">
        <v>45</v>
      </c>
      <c r="C73" s="4" t="s">
        <v>40</v>
      </c>
      <c r="D73" s="4" t="s">
        <v>44</v>
      </c>
      <c r="E73" s="4" t="s">
        <v>56</v>
      </c>
      <c r="F73" s="4" t="s">
        <v>25</v>
      </c>
      <c r="G73" s="4" t="s">
        <v>25</v>
      </c>
      <c r="H73" s="4" t="s">
        <v>34</v>
      </c>
      <c r="I73" s="5">
        <v>44835</v>
      </c>
      <c r="J73" s="6">
        <v>0</v>
      </c>
      <c r="K73" s="52">
        <v>0</v>
      </c>
      <c r="L73" s="6">
        <v>0.54700000000000004</v>
      </c>
      <c r="M73" s="52">
        <v>0.54700000000000004</v>
      </c>
      <c r="N73" s="6">
        <v>0.54700000000000004</v>
      </c>
      <c r="O73" s="52">
        <v>0.54700000000000004</v>
      </c>
      <c r="P73" s="6">
        <v>0</v>
      </c>
      <c r="Q73" s="4" t="s">
        <v>26</v>
      </c>
      <c r="R73" s="4">
        <v>0</v>
      </c>
      <c r="S73" s="4">
        <v>0</v>
      </c>
      <c r="T73" s="4">
        <v>14</v>
      </c>
      <c r="U73" s="4">
        <v>62</v>
      </c>
      <c r="V73" s="52">
        <f>IF(ISERROR(VLOOKUP($S$73,'TAR FIN'!$A$1:$O$103,15,0)),0,VLOOKUP($S$73,'TAR FIN'!$A$1:$O$103,15,0))</f>
        <v>0</v>
      </c>
      <c r="W73" s="52">
        <f>IF(ISERROR(VLOOKUP($T$73,'TAR FIN'!$A$1:$O$103,15,0)),0,VLOOKUP($T$73,'TAR FIN'!$A$1:$O$103,15,0))*(1-0.04)</f>
        <v>1147.9871999999998</v>
      </c>
      <c r="X73" s="52">
        <f>IF(ISERROR(VLOOKUP($U$73,'TAR FIN'!$A$1:$O$103,15,0)),0,VLOOKUP($U$73,'TAR FIN'!$A$1:$O$103,15,0))*(1-0.04)</f>
        <v>375.8784</v>
      </c>
      <c r="Y73" s="52"/>
      <c r="Z73" s="52">
        <f ca="1">('TUSD BE'!$AM$11+'TUSD BF'!$AM$11+'TUSD CVA'!$AM$11)*1*(1-0.02)</f>
        <v>1357.7878188473314</v>
      </c>
      <c r="AA73" s="52">
        <f>('TE BE'!$AB$5+'TE BF'!$AB$5+'TE CVA'!$AB$5)*1*(1-0.02)</f>
        <v>354.71359410136364</v>
      </c>
      <c r="AB73" s="52">
        <f>(SUBSIDIO!$J$73*SUBSIDIO!$V$73)*(0.04)/(1-0.04)</f>
        <v>0</v>
      </c>
      <c r="AC73" s="52">
        <f>((SUBSIDIO!$L$73*SUBSIDIO!$W$73)+(SUBSIDIO!$N$73*SUBSIDIO!$X$73))*(0.04)/(1-0.04)</f>
        <v>34.731436800000004</v>
      </c>
      <c r="AD73" s="52">
        <f>(SUBSIDIO!$J$73*SUBSIDIO!$Y$73)*(0.02)/(1-0.02)</f>
        <v>0</v>
      </c>
      <c r="AE73" s="52">
        <f ca="1">((SUBSIDIO!$L$73*SUBSIDIO!$Z$73)+(SUBSIDIO!$N$73*SUBSIDIO!$AA$73))*(0.02)/(1-0.02)</f>
        <v>19.117107609855843</v>
      </c>
      <c r="AF73" s="4" t="s">
        <v>811</v>
      </c>
    </row>
    <row r="74" spans="1:32" ht="11.25" customHeight="1" x14ac:dyDescent="0.3">
      <c r="A74" s="4" t="s">
        <v>28</v>
      </c>
      <c r="B74" s="4" t="s">
        <v>45</v>
      </c>
      <c r="C74" s="4" t="s">
        <v>40</v>
      </c>
      <c r="D74" s="4" t="s">
        <v>44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44501</v>
      </c>
      <c r="J74" s="6">
        <v>37</v>
      </c>
      <c r="K74" s="52">
        <v>37</v>
      </c>
      <c r="L74" s="6">
        <v>0</v>
      </c>
      <c r="M74" s="52">
        <v>0</v>
      </c>
      <c r="N74" s="6">
        <v>0</v>
      </c>
      <c r="O74" s="52">
        <v>0</v>
      </c>
      <c r="P74" s="6">
        <v>1</v>
      </c>
      <c r="Q74" s="4" t="s">
        <v>26</v>
      </c>
      <c r="R74" s="4">
        <v>0</v>
      </c>
      <c r="S74" s="4">
        <v>11</v>
      </c>
      <c r="T74" s="4">
        <v>0</v>
      </c>
      <c r="U74" s="4">
        <v>0</v>
      </c>
      <c r="V74" s="52">
        <f>IF(ISERROR(VLOOKUP($S$74,'TAR FIN'!$A$1:$O$103,15,0)),0,VLOOKUP($S$74,'TAR FIN'!$A$1:$O$103,15,0))*(1-0.04)</f>
        <v>18.1632</v>
      </c>
      <c r="W74" s="52">
        <f>IF(ISERROR(VLOOKUP($T$74,'TAR FIN'!$A$1:$O$103,15,0)),0,VLOOKUP($T$74,'TAR FIN'!$A$1:$O$103,15,0))</f>
        <v>0</v>
      </c>
      <c r="X74" s="52">
        <f>IF(ISERROR(VLOOKUP($U$74,'TAR FIN'!$A$1:$O$103,15,0)),0,VLOOKUP($U$74,'TAR FIN'!$A$1:$O$103,15,0))</f>
        <v>0</v>
      </c>
      <c r="Y74" s="52">
        <f ca="1">('TUSD BE'!$AM$10+'TUSD BF'!$AM$10+'TUSD CVA'!$AM$10)*1*(1-0.02)</f>
        <v>20.941951853111981</v>
      </c>
      <c r="Z74" s="52"/>
      <c r="AA74" s="52"/>
      <c r="AB74" s="52">
        <f>(SUBSIDIO!$J$74*SUBSIDIO!$V$74)*(0.04)/(1-0.04)</f>
        <v>28.001600000000003</v>
      </c>
      <c r="AC74" s="52">
        <f>((SUBSIDIO!$L$74*SUBSIDIO!$W$74)+(SUBSIDIO!$N$74*SUBSIDIO!$X$74))*(0.04)/(1-0.04)</f>
        <v>0</v>
      </c>
      <c r="AD74" s="52">
        <f ca="1">(SUBSIDIO!$J$74*SUBSIDIO!$Y$74)*(0.02)/(1-0.02)</f>
        <v>15.813310582962108</v>
      </c>
      <c r="AE74" s="52">
        <f>((SUBSIDIO!$L$74*SUBSIDIO!$Z$74)+(SUBSIDIO!$N$74*SUBSIDIO!$AA$74))*(0.02)/(1-0.02)</f>
        <v>0</v>
      </c>
      <c r="AF74" s="4" t="s">
        <v>811</v>
      </c>
    </row>
    <row r="75" spans="1:32" ht="11.25" customHeight="1" x14ac:dyDescent="0.3">
      <c r="A75" s="4" t="s">
        <v>28</v>
      </c>
      <c r="B75" s="4" t="s">
        <v>45</v>
      </c>
      <c r="C75" s="4" t="s">
        <v>40</v>
      </c>
      <c r="D75" s="4" t="s">
        <v>44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44531</v>
      </c>
      <c r="J75" s="6">
        <v>27</v>
      </c>
      <c r="K75" s="52">
        <v>27</v>
      </c>
      <c r="L75" s="6">
        <v>0</v>
      </c>
      <c r="M75" s="52">
        <v>0</v>
      </c>
      <c r="N75" s="6">
        <v>0</v>
      </c>
      <c r="O75" s="52">
        <v>0</v>
      </c>
      <c r="P75" s="6">
        <v>1</v>
      </c>
      <c r="Q75" s="4" t="s">
        <v>26</v>
      </c>
      <c r="R75" s="4">
        <v>0</v>
      </c>
      <c r="S75" s="4">
        <v>11</v>
      </c>
      <c r="T75" s="4">
        <v>0</v>
      </c>
      <c r="U75" s="4">
        <v>0</v>
      </c>
      <c r="V75" s="52">
        <f>IF(ISERROR(VLOOKUP($S$75,'TAR FIN'!$A$1:$O$103,15,0)),0,VLOOKUP($S$75,'TAR FIN'!$A$1:$O$103,15,0))*(1-0.04)</f>
        <v>18.1632</v>
      </c>
      <c r="W75" s="52">
        <f>IF(ISERROR(VLOOKUP($T$75,'TAR FIN'!$A$1:$O$103,15,0)),0,VLOOKUP($T$75,'TAR FIN'!$A$1:$O$103,15,0))</f>
        <v>0</v>
      </c>
      <c r="X75" s="52">
        <f>IF(ISERROR(VLOOKUP($U$75,'TAR FIN'!$A$1:$O$103,15,0)),0,VLOOKUP($U$75,'TAR FIN'!$A$1:$O$103,15,0))</f>
        <v>0</v>
      </c>
      <c r="Y75" s="52">
        <f ca="1">('TUSD BE'!$AM$10+'TUSD BF'!$AM$10+'TUSD CVA'!$AM$10)*1*(1-0.02)</f>
        <v>20.941951853111981</v>
      </c>
      <c r="Z75" s="52"/>
      <c r="AA75" s="52"/>
      <c r="AB75" s="52">
        <f>(SUBSIDIO!$J$75*SUBSIDIO!$V$75)*(0.04)/(1-0.04)</f>
        <v>20.433600000000002</v>
      </c>
      <c r="AC75" s="52">
        <f>((SUBSIDIO!$L$75*SUBSIDIO!$W$75)+(SUBSIDIO!$N$75*SUBSIDIO!$X$75))*(0.04)/(1-0.04)</f>
        <v>0</v>
      </c>
      <c r="AD75" s="52">
        <f ca="1">(SUBSIDIO!$J$75*SUBSIDIO!$Y$75)*(0.02)/(1-0.02)</f>
        <v>11.539442857837214</v>
      </c>
      <c r="AE75" s="52">
        <f>((SUBSIDIO!$L$75*SUBSIDIO!$Z$75)+(SUBSIDIO!$N$75*SUBSIDIO!$AA$75))*(0.02)/(1-0.02)</f>
        <v>0</v>
      </c>
      <c r="AF75" s="4" t="s">
        <v>811</v>
      </c>
    </row>
    <row r="76" spans="1:32" ht="11.25" customHeight="1" x14ac:dyDescent="0.3">
      <c r="A76" s="4" t="s">
        <v>28</v>
      </c>
      <c r="B76" s="4" t="s">
        <v>45</v>
      </c>
      <c r="C76" s="4" t="s">
        <v>40</v>
      </c>
      <c r="D76" s="4" t="s">
        <v>44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44562</v>
      </c>
      <c r="J76" s="6">
        <v>35</v>
      </c>
      <c r="K76" s="52">
        <v>35</v>
      </c>
      <c r="L76" s="6">
        <v>0</v>
      </c>
      <c r="M76" s="52">
        <v>0</v>
      </c>
      <c r="N76" s="6">
        <v>0</v>
      </c>
      <c r="O76" s="52">
        <v>0</v>
      </c>
      <c r="P76" s="6">
        <v>1</v>
      </c>
      <c r="Q76" s="4" t="s">
        <v>26</v>
      </c>
      <c r="R76" s="4">
        <v>0</v>
      </c>
      <c r="S76" s="4">
        <v>11</v>
      </c>
      <c r="T76" s="4">
        <v>0</v>
      </c>
      <c r="U76" s="4">
        <v>0</v>
      </c>
      <c r="V76" s="52">
        <f>IF(ISERROR(VLOOKUP($S$76,'TAR FIN'!$A$1:$O$103,15,0)),0,VLOOKUP($S$76,'TAR FIN'!$A$1:$O$103,15,0))*(1-0.04)</f>
        <v>18.1632</v>
      </c>
      <c r="W76" s="52">
        <f>IF(ISERROR(VLOOKUP($T$76,'TAR FIN'!$A$1:$O$103,15,0)),0,VLOOKUP($T$76,'TAR FIN'!$A$1:$O$103,15,0))</f>
        <v>0</v>
      </c>
      <c r="X76" s="52">
        <f>IF(ISERROR(VLOOKUP($U$76,'TAR FIN'!$A$1:$O$103,15,0)),0,VLOOKUP($U$76,'TAR FIN'!$A$1:$O$103,15,0))</f>
        <v>0</v>
      </c>
      <c r="Y76" s="52">
        <f ca="1">('TUSD BE'!$AM$10+'TUSD BF'!$AM$10+'TUSD CVA'!$AM$10)*1*(1-0.02)</f>
        <v>20.941951853111981</v>
      </c>
      <c r="Z76" s="52"/>
      <c r="AA76" s="52"/>
      <c r="AB76" s="52">
        <f>(SUBSIDIO!$J$76*SUBSIDIO!$V$76)*(0.04)/(1-0.04)</f>
        <v>26.488000000000003</v>
      </c>
      <c r="AC76" s="52">
        <f>((SUBSIDIO!$L$76*SUBSIDIO!$W$76)+(SUBSIDIO!$N$76*SUBSIDIO!$X$76))*(0.04)/(1-0.04)</f>
        <v>0</v>
      </c>
      <c r="AD76" s="52">
        <f ca="1">(SUBSIDIO!$J$76*SUBSIDIO!$Y$76)*(0.02)/(1-0.02)</f>
        <v>14.958537037937131</v>
      </c>
      <c r="AE76" s="52">
        <f>((SUBSIDIO!$L$76*SUBSIDIO!$Z$76)+(SUBSIDIO!$N$76*SUBSIDIO!$AA$76))*(0.02)/(1-0.02)</f>
        <v>0</v>
      </c>
      <c r="AF76" s="4" t="s">
        <v>811</v>
      </c>
    </row>
    <row r="77" spans="1:32" ht="11.25" customHeight="1" x14ac:dyDescent="0.3">
      <c r="A77" s="4" t="s">
        <v>28</v>
      </c>
      <c r="B77" s="4" t="s">
        <v>45</v>
      </c>
      <c r="C77" s="4" t="s">
        <v>40</v>
      </c>
      <c r="D77" s="4" t="s">
        <v>44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44593</v>
      </c>
      <c r="J77" s="6">
        <v>195</v>
      </c>
      <c r="K77" s="52">
        <v>195</v>
      </c>
      <c r="L77" s="6">
        <v>0</v>
      </c>
      <c r="M77" s="52">
        <v>0</v>
      </c>
      <c r="N77" s="6">
        <v>0</v>
      </c>
      <c r="O77" s="52">
        <v>0</v>
      </c>
      <c r="P77" s="6">
        <v>1</v>
      </c>
      <c r="Q77" s="4" t="s">
        <v>26</v>
      </c>
      <c r="R77" s="4">
        <v>0</v>
      </c>
      <c r="S77" s="4">
        <v>11</v>
      </c>
      <c r="T77" s="4">
        <v>0</v>
      </c>
      <c r="U77" s="4">
        <v>0</v>
      </c>
      <c r="V77" s="52">
        <f>IF(ISERROR(VLOOKUP($S$77,'TAR FIN'!$A$1:$O$103,15,0)),0,VLOOKUP($S$77,'TAR FIN'!$A$1:$O$103,15,0))*(1-0.04)</f>
        <v>18.1632</v>
      </c>
      <c r="W77" s="52">
        <f>IF(ISERROR(VLOOKUP($T$77,'TAR FIN'!$A$1:$O$103,15,0)),0,VLOOKUP($T$77,'TAR FIN'!$A$1:$O$103,15,0))</f>
        <v>0</v>
      </c>
      <c r="X77" s="52">
        <f>IF(ISERROR(VLOOKUP($U$77,'TAR FIN'!$A$1:$O$103,15,0)),0,VLOOKUP($U$77,'TAR FIN'!$A$1:$O$103,15,0))</f>
        <v>0</v>
      </c>
      <c r="Y77" s="52">
        <f ca="1">('TUSD BE'!$AM$10+'TUSD BF'!$AM$10+'TUSD CVA'!$AM$10)*1*(1-0.02)</f>
        <v>20.941951853111981</v>
      </c>
      <c r="Z77" s="52"/>
      <c r="AA77" s="52"/>
      <c r="AB77" s="52">
        <f>(SUBSIDIO!$J$77*SUBSIDIO!$V$77)*(0.04)/(1-0.04)</f>
        <v>147.57600000000002</v>
      </c>
      <c r="AC77" s="52">
        <f>((SUBSIDIO!$L$77*SUBSIDIO!$W$77)+(SUBSIDIO!$N$77*SUBSIDIO!$X$77))*(0.04)/(1-0.04)</f>
        <v>0</v>
      </c>
      <c r="AD77" s="52">
        <f ca="1">(SUBSIDIO!$J$77*SUBSIDIO!$Y$77)*(0.02)/(1-0.02)</f>
        <v>83.340420639935445</v>
      </c>
      <c r="AE77" s="52">
        <f>((SUBSIDIO!$L$77*SUBSIDIO!$Z$77)+(SUBSIDIO!$N$77*SUBSIDIO!$AA$77))*(0.02)/(1-0.02)</f>
        <v>0</v>
      </c>
      <c r="AF77" s="4" t="s">
        <v>811</v>
      </c>
    </row>
    <row r="78" spans="1:32" ht="11.25" customHeight="1" x14ac:dyDescent="0.3">
      <c r="A78" s="4" t="s">
        <v>28</v>
      </c>
      <c r="B78" s="4" t="s">
        <v>45</v>
      </c>
      <c r="C78" s="4" t="s">
        <v>40</v>
      </c>
      <c r="D78" s="4" t="s">
        <v>44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44621</v>
      </c>
      <c r="J78" s="6">
        <v>34</v>
      </c>
      <c r="K78" s="52">
        <v>34</v>
      </c>
      <c r="L78" s="6">
        <v>0</v>
      </c>
      <c r="M78" s="52">
        <v>0</v>
      </c>
      <c r="N78" s="6">
        <v>0</v>
      </c>
      <c r="O78" s="52">
        <v>0</v>
      </c>
      <c r="P78" s="6">
        <v>1</v>
      </c>
      <c r="Q78" s="4" t="s">
        <v>26</v>
      </c>
      <c r="R78" s="4">
        <v>0</v>
      </c>
      <c r="S78" s="4">
        <v>11</v>
      </c>
      <c r="T78" s="4">
        <v>0</v>
      </c>
      <c r="U78" s="4">
        <v>0</v>
      </c>
      <c r="V78" s="52">
        <f>IF(ISERROR(VLOOKUP($S$78,'TAR FIN'!$A$1:$O$103,15,0)),0,VLOOKUP($S$78,'TAR FIN'!$A$1:$O$103,15,0))*(1-0.04)</f>
        <v>18.1632</v>
      </c>
      <c r="W78" s="52">
        <f>IF(ISERROR(VLOOKUP($T$78,'TAR FIN'!$A$1:$O$103,15,0)),0,VLOOKUP($T$78,'TAR FIN'!$A$1:$O$103,15,0))</f>
        <v>0</v>
      </c>
      <c r="X78" s="52">
        <f>IF(ISERROR(VLOOKUP($U$78,'TAR FIN'!$A$1:$O$103,15,0)),0,VLOOKUP($U$78,'TAR FIN'!$A$1:$O$103,15,0))</f>
        <v>0</v>
      </c>
      <c r="Y78" s="52">
        <f ca="1">('TUSD BE'!$AM$10+'TUSD BF'!$AM$10+'TUSD CVA'!$AM$10)*1*(1-0.02)</f>
        <v>20.941951853111981</v>
      </c>
      <c r="Z78" s="52"/>
      <c r="AA78" s="52"/>
      <c r="AB78" s="52">
        <f>(SUBSIDIO!$J$78*SUBSIDIO!$V$78)*(0.04)/(1-0.04)</f>
        <v>25.731200000000005</v>
      </c>
      <c r="AC78" s="52">
        <f>((SUBSIDIO!$L$78*SUBSIDIO!$W$78)+(SUBSIDIO!$N$78*SUBSIDIO!$X$78))*(0.04)/(1-0.04)</f>
        <v>0</v>
      </c>
      <c r="AD78" s="52">
        <f ca="1">(SUBSIDIO!$J$78*SUBSIDIO!$Y$78)*(0.02)/(1-0.02)</f>
        <v>14.531150265424639</v>
      </c>
      <c r="AE78" s="52">
        <f>((SUBSIDIO!$L$78*SUBSIDIO!$Z$78)+(SUBSIDIO!$N$78*SUBSIDIO!$AA$78))*(0.02)/(1-0.02)</f>
        <v>0</v>
      </c>
      <c r="AF78" s="4" t="s">
        <v>811</v>
      </c>
    </row>
    <row r="79" spans="1:32" ht="11.25" customHeight="1" x14ac:dyDescent="0.3">
      <c r="A79" s="4" t="s">
        <v>28</v>
      </c>
      <c r="B79" s="4" t="s">
        <v>45</v>
      </c>
      <c r="C79" s="4" t="s">
        <v>40</v>
      </c>
      <c r="D79" s="4" t="s">
        <v>44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44652</v>
      </c>
      <c r="J79" s="6">
        <v>26</v>
      </c>
      <c r="K79" s="52">
        <v>26</v>
      </c>
      <c r="L79" s="6">
        <v>0</v>
      </c>
      <c r="M79" s="52">
        <v>0</v>
      </c>
      <c r="N79" s="6">
        <v>0</v>
      </c>
      <c r="O79" s="52">
        <v>0</v>
      </c>
      <c r="P79" s="6">
        <v>1</v>
      </c>
      <c r="Q79" s="4" t="s">
        <v>26</v>
      </c>
      <c r="R79" s="4">
        <v>0</v>
      </c>
      <c r="S79" s="4">
        <v>11</v>
      </c>
      <c r="T79" s="4">
        <v>0</v>
      </c>
      <c r="U79" s="4">
        <v>0</v>
      </c>
      <c r="V79" s="52">
        <f>IF(ISERROR(VLOOKUP($S$79,'TAR FIN'!$A$1:$O$103,15,0)),0,VLOOKUP($S$79,'TAR FIN'!$A$1:$O$103,15,0))*(1-0.04)</f>
        <v>18.1632</v>
      </c>
      <c r="W79" s="52">
        <f>IF(ISERROR(VLOOKUP($T$79,'TAR FIN'!$A$1:$O$103,15,0)),0,VLOOKUP($T$79,'TAR FIN'!$A$1:$O$103,15,0))</f>
        <v>0</v>
      </c>
      <c r="X79" s="52">
        <f>IF(ISERROR(VLOOKUP($U$79,'TAR FIN'!$A$1:$O$103,15,0)),0,VLOOKUP($U$79,'TAR FIN'!$A$1:$O$103,15,0))</f>
        <v>0</v>
      </c>
      <c r="Y79" s="52">
        <f ca="1">('TUSD BE'!$AM$10+'TUSD BF'!$AM$10+'TUSD CVA'!$AM$10)*1*(1-0.02)</f>
        <v>20.941951853111981</v>
      </c>
      <c r="Z79" s="52"/>
      <c r="AA79" s="52"/>
      <c r="AB79" s="52">
        <f>(SUBSIDIO!$J$79*SUBSIDIO!$V$79)*(0.04)/(1-0.04)</f>
        <v>19.676800000000004</v>
      </c>
      <c r="AC79" s="52">
        <f>((SUBSIDIO!$L$79*SUBSIDIO!$W$79)+(SUBSIDIO!$N$79*SUBSIDIO!$X$79))*(0.04)/(1-0.04)</f>
        <v>0</v>
      </c>
      <c r="AD79" s="52">
        <f ca="1">(SUBSIDIO!$J$79*SUBSIDIO!$Y$79)*(0.02)/(1-0.02)</f>
        <v>11.112056085324724</v>
      </c>
      <c r="AE79" s="52">
        <f>((SUBSIDIO!$L$79*SUBSIDIO!$Z$79)+(SUBSIDIO!$N$79*SUBSIDIO!$AA$79))*(0.02)/(1-0.02)</f>
        <v>0</v>
      </c>
      <c r="AF79" s="4" t="s">
        <v>811</v>
      </c>
    </row>
    <row r="80" spans="1:32" ht="11.25" customHeight="1" x14ac:dyDescent="0.3">
      <c r="A80" s="4" t="s">
        <v>28</v>
      </c>
      <c r="B80" s="4" t="s">
        <v>45</v>
      </c>
      <c r="C80" s="4" t="s">
        <v>40</v>
      </c>
      <c r="D80" s="4" t="s">
        <v>44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44682</v>
      </c>
      <c r="J80" s="6">
        <v>31</v>
      </c>
      <c r="K80" s="52">
        <v>31</v>
      </c>
      <c r="L80" s="6">
        <v>0</v>
      </c>
      <c r="M80" s="52">
        <v>0</v>
      </c>
      <c r="N80" s="6">
        <v>0</v>
      </c>
      <c r="O80" s="52">
        <v>0</v>
      </c>
      <c r="P80" s="6">
        <v>1</v>
      </c>
      <c r="Q80" s="4" t="s">
        <v>26</v>
      </c>
      <c r="R80" s="4">
        <v>0</v>
      </c>
      <c r="S80" s="4">
        <v>11</v>
      </c>
      <c r="T80" s="4">
        <v>0</v>
      </c>
      <c r="U80" s="4">
        <v>0</v>
      </c>
      <c r="V80" s="52">
        <f>IF(ISERROR(VLOOKUP($S$80,'TAR FIN'!$A$1:$O$103,15,0)),0,VLOOKUP($S$80,'TAR FIN'!$A$1:$O$103,15,0))*(1-0.04)</f>
        <v>18.1632</v>
      </c>
      <c r="W80" s="52">
        <f>IF(ISERROR(VLOOKUP($T$80,'TAR FIN'!$A$1:$O$103,15,0)),0,VLOOKUP($T$80,'TAR FIN'!$A$1:$O$103,15,0))</f>
        <v>0</v>
      </c>
      <c r="X80" s="52">
        <f>IF(ISERROR(VLOOKUP($U$80,'TAR FIN'!$A$1:$O$103,15,0)),0,VLOOKUP($U$80,'TAR FIN'!$A$1:$O$103,15,0))</f>
        <v>0</v>
      </c>
      <c r="Y80" s="52">
        <f ca="1">('TUSD BE'!$AM$10+'TUSD BF'!$AM$10+'TUSD CVA'!$AM$10)*1*(1-0.02)</f>
        <v>20.941951853111981</v>
      </c>
      <c r="Z80" s="52"/>
      <c r="AA80" s="52"/>
      <c r="AB80" s="52">
        <f>(SUBSIDIO!$J$80*SUBSIDIO!$V$80)*(0.04)/(1-0.04)</f>
        <v>23.460800000000003</v>
      </c>
      <c r="AC80" s="52">
        <f>((SUBSIDIO!$L$80*SUBSIDIO!$W$80)+(SUBSIDIO!$N$80*SUBSIDIO!$X$80))*(0.04)/(1-0.04)</f>
        <v>0</v>
      </c>
      <c r="AD80" s="52">
        <f ca="1">(SUBSIDIO!$J$80*SUBSIDIO!$Y$80)*(0.02)/(1-0.02)</f>
        <v>13.248989947887171</v>
      </c>
      <c r="AE80" s="52">
        <f>((SUBSIDIO!$L$80*SUBSIDIO!$Z$80)+(SUBSIDIO!$N$80*SUBSIDIO!$AA$80))*(0.02)/(1-0.02)</f>
        <v>0</v>
      </c>
      <c r="AF80" s="4" t="s">
        <v>811</v>
      </c>
    </row>
    <row r="81" spans="1:32" ht="11.25" customHeight="1" x14ac:dyDescent="0.3">
      <c r="A81" s="4" t="s">
        <v>28</v>
      </c>
      <c r="B81" s="4" t="s">
        <v>45</v>
      </c>
      <c r="C81" s="4" t="s">
        <v>40</v>
      </c>
      <c r="D81" s="4" t="s">
        <v>44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44713</v>
      </c>
      <c r="J81" s="6">
        <v>41</v>
      </c>
      <c r="K81" s="52">
        <v>41</v>
      </c>
      <c r="L81" s="6">
        <v>0</v>
      </c>
      <c r="M81" s="52">
        <v>0</v>
      </c>
      <c r="N81" s="6">
        <v>0</v>
      </c>
      <c r="O81" s="52">
        <v>0</v>
      </c>
      <c r="P81" s="6">
        <v>1</v>
      </c>
      <c r="Q81" s="4" t="s">
        <v>26</v>
      </c>
      <c r="R81" s="4">
        <v>0</v>
      </c>
      <c r="S81" s="4">
        <v>11</v>
      </c>
      <c r="T81" s="4">
        <v>0</v>
      </c>
      <c r="U81" s="4">
        <v>0</v>
      </c>
      <c r="V81" s="52">
        <f>IF(ISERROR(VLOOKUP($S$81,'TAR FIN'!$A$1:$O$103,15,0)),0,VLOOKUP($S$81,'TAR FIN'!$A$1:$O$103,15,0))*(1-0.04)</f>
        <v>18.1632</v>
      </c>
      <c r="W81" s="52">
        <f>IF(ISERROR(VLOOKUP($T$81,'TAR FIN'!$A$1:$O$103,15,0)),0,VLOOKUP($T$81,'TAR FIN'!$A$1:$O$103,15,0))</f>
        <v>0</v>
      </c>
      <c r="X81" s="52">
        <f>IF(ISERROR(VLOOKUP($U$81,'TAR FIN'!$A$1:$O$103,15,0)),0,VLOOKUP($U$81,'TAR FIN'!$A$1:$O$103,15,0))</f>
        <v>0</v>
      </c>
      <c r="Y81" s="52">
        <f ca="1">('TUSD BE'!$AM$10+'TUSD BF'!$AM$10+'TUSD CVA'!$AM$10)*1*(1-0.02)</f>
        <v>20.941951853111981</v>
      </c>
      <c r="Z81" s="52"/>
      <c r="AA81" s="52"/>
      <c r="AB81" s="52">
        <f>(SUBSIDIO!$J$81*SUBSIDIO!$V$81)*(0.04)/(1-0.04)</f>
        <v>31.0288</v>
      </c>
      <c r="AC81" s="52">
        <f>((SUBSIDIO!$L$81*SUBSIDIO!$W$81)+(SUBSIDIO!$N$81*SUBSIDIO!$X$81))*(0.04)/(1-0.04)</f>
        <v>0</v>
      </c>
      <c r="AD81" s="52">
        <f ca="1">(SUBSIDIO!$J$81*SUBSIDIO!$Y$81)*(0.02)/(1-0.02)</f>
        <v>17.522857673012066</v>
      </c>
      <c r="AE81" s="52">
        <f>((SUBSIDIO!$L$81*SUBSIDIO!$Z$81)+(SUBSIDIO!$N$81*SUBSIDIO!$AA$81))*(0.02)/(1-0.02)</f>
        <v>0</v>
      </c>
      <c r="AF81" s="4" t="s">
        <v>811</v>
      </c>
    </row>
    <row r="82" spans="1:32" ht="11.25" customHeight="1" x14ac:dyDescent="0.3">
      <c r="A82" s="4" t="s">
        <v>21</v>
      </c>
      <c r="B82" s="4" t="s">
        <v>39</v>
      </c>
      <c r="C82" s="4" t="s">
        <v>42</v>
      </c>
      <c r="D82" s="4" t="s">
        <v>50</v>
      </c>
      <c r="E82" s="4" t="s">
        <v>51</v>
      </c>
      <c r="F82" s="4" t="s">
        <v>25</v>
      </c>
      <c r="G82" s="4" t="s">
        <v>25</v>
      </c>
      <c r="H82" s="4" t="s">
        <v>35</v>
      </c>
      <c r="I82" s="5">
        <v>44501</v>
      </c>
      <c r="J82" s="6">
        <v>505</v>
      </c>
      <c r="K82" s="53">
        <v>505</v>
      </c>
      <c r="L82" s="6">
        <v>222.565</v>
      </c>
      <c r="M82" s="52">
        <v>222.565</v>
      </c>
      <c r="N82" s="6">
        <v>222.565</v>
      </c>
      <c r="O82" s="52">
        <v>222.565</v>
      </c>
      <c r="P82" s="6">
        <v>0</v>
      </c>
      <c r="Q82" s="4" t="s">
        <v>26</v>
      </c>
      <c r="R82" s="4">
        <v>0</v>
      </c>
      <c r="S82" s="4">
        <v>5</v>
      </c>
      <c r="T82" s="4">
        <v>8</v>
      </c>
      <c r="U82" s="4">
        <v>66</v>
      </c>
      <c r="V82" s="52">
        <f>IF(ISERROR(VLOOKUP($S$82,'TAR FIN'!$A$1:$O$103,15,0)),0,VLOOKUP($S$82,'TAR FIN'!$A$1:$O$103,15,0))*(1-0.06)</f>
        <v>17.784800000000001</v>
      </c>
      <c r="W82" s="52">
        <f>IF(ISERROR(VLOOKUP($T$82,'TAR FIN'!$A$1:$O$103,15,0)),0,VLOOKUP($T$82,'TAR FIN'!$A$1:$O$103,15,0))*(1-0.06)</f>
        <v>79.890599999999992</v>
      </c>
      <c r="X82" s="52">
        <f>IF(ISERROR(VLOOKUP($U$82,'TAR FIN'!$A$1:$O$103,15,0)),0,VLOOKUP($U$82,'TAR FIN'!$A$1:$O$103,15,0))*(1-0.06)</f>
        <v>228.2038</v>
      </c>
      <c r="Y82" s="52">
        <f ca="1">('TUSD BE'!$AM$18+'TUSD BF'!$AM$18+'TUSD CVA'!$AM$18)*1*(1-0.03)</f>
        <v>20.728258466855738</v>
      </c>
      <c r="Z82" s="52">
        <f ca="1">('TUSD BE'!$AM$19+'TUSD BF'!$AM$19+'TUSD CVA'!$AM$19)*1*(1-0.03)</f>
        <v>141.35070271825751</v>
      </c>
      <c r="AA82" s="52">
        <f>('TE BE'!$AB$9+'TE BF'!$AB$9+'TE CVA'!$AB$9)*1*(1-0.03)</f>
        <v>215.72204893346822</v>
      </c>
      <c r="AB82" s="52">
        <f>(SUBSIDIO!$J$82*SUBSIDIO!$V$82)*(0.06)/(1-0.06)</f>
        <v>573.27600000000007</v>
      </c>
      <c r="AC82" s="52">
        <f>((SUBSIDIO!$L$82*SUBSIDIO!$W$82)+(SUBSIDIO!$N$82*SUBSIDIO!$X$82))*(0.06)/(1-0.06)</f>
        <v>4376.8742640000009</v>
      </c>
      <c r="AD82" s="52">
        <f ca="1">(SUBSIDIO!$J$82*SUBSIDIO!$Y$82)*(0.03)/(1-0.03)</f>
        <v>323.7454801782107</v>
      </c>
      <c r="AE82" s="52">
        <f ca="1">((SUBSIDIO!$L$82*SUBSIDIO!$Z$82)+(SUBSIDIO!$N$82*SUBSIDIO!$AA$82))*(0.03)/(1-0.03)</f>
        <v>2457.8937207639074</v>
      </c>
      <c r="AF82" s="4" t="s">
        <v>814</v>
      </c>
    </row>
    <row r="83" spans="1:32" ht="11.25" customHeight="1" x14ac:dyDescent="0.3">
      <c r="A83" s="4" t="s">
        <v>21</v>
      </c>
      <c r="B83" s="4" t="s">
        <v>39</v>
      </c>
      <c r="C83" s="4" t="s">
        <v>42</v>
      </c>
      <c r="D83" s="4" t="s">
        <v>50</v>
      </c>
      <c r="E83" s="4" t="s">
        <v>51</v>
      </c>
      <c r="F83" s="4" t="s">
        <v>25</v>
      </c>
      <c r="G83" s="4" t="s">
        <v>25</v>
      </c>
      <c r="H83" s="4" t="s">
        <v>35</v>
      </c>
      <c r="I83" s="5">
        <v>44531</v>
      </c>
      <c r="J83" s="6">
        <v>504</v>
      </c>
      <c r="K83" s="53">
        <v>504</v>
      </c>
      <c r="L83" s="6">
        <v>220.71299999999999</v>
      </c>
      <c r="M83" s="52">
        <v>220.71299999999999</v>
      </c>
      <c r="N83" s="6">
        <v>220.71299999999999</v>
      </c>
      <c r="O83" s="52">
        <v>220.71299999999999</v>
      </c>
      <c r="P83" s="6">
        <v>0</v>
      </c>
      <c r="Q83" s="4" t="s">
        <v>26</v>
      </c>
      <c r="R83" s="4">
        <v>0</v>
      </c>
      <c r="S83" s="4">
        <v>5</v>
      </c>
      <c r="T83" s="4">
        <v>8</v>
      </c>
      <c r="U83" s="4">
        <v>66</v>
      </c>
      <c r="V83" s="52">
        <f>IF(ISERROR(VLOOKUP($S$83,'TAR FIN'!$A$1:$O$103,15,0)),0,VLOOKUP($S$83,'TAR FIN'!$A$1:$O$103,15,0))*(1-0.06)</f>
        <v>17.784800000000001</v>
      </c>
      <c r="W83" s="52">
        <f>IF(ISERROR(VLOOKUP($T$83,'TAR FIN'!$A$1:$O$103,15,0)),0,VLOOKUP($T$83,'TAR FIN'!$A$1:$O$103,15,0))*(1-0.06)</f>
        <v>79.890599999999992</v>
      </c>
      <c r="X83" s="52">
        <f>IF(ISERROR(VLOOKUP($U$83,'TAR FIN'!$A$1:$O$103,15,0)),0,VLOOKUP($U$83,'TAR FIN'!$A$1:$O$103,15,0))*(1-0.06)</f>
        <v>228.2038</v>
      </c>
      <c r="Y83" s="52">
        <f ca="1">('TUSD BE'!$AM$18+'TUSD BF'!$AM$18+'TUSD CVA'!$AM$18)*1*(1-0.03)</f>
        <v>20.728258466855738</v>
      </c>
      <c r="Z83" s="52">
        <f ca="1">('TUSD BE'!$AM$19+'TUSD BF'!$AM$19+'TUSD CVA'!$AM$19)*1*(1-0.03)</f>
        <v>141.35070271825751</v>
      </c>
      <c r="AA83" s="52">
        <f>('TE BE'!$AB$9+'TE BF'!$AB$9+'TE CVA'!$AB$9)*1*(1-0.03)</f>
        <v>215.72204893346822</v>
      </c>
      <c r="AB83" s="52">
        <f>(SUBSIDIO!$J$83*SUBSIDIO!$V$83)*(0.06)/(1-0.06)</f>
        <v>572.14080000000001</v>
      </c>
      <c r="AC83" s="52">
        <f>((SUBSIDIO!$L$83*SUBSIDIO!$W$83)+(SUBSIDIO!$N$83*SUBSIDIO!$X$83))*(0.06)/(1-0.06)</f>
        <v>4340.4535728000001</v>
      </c>
      <c r="AD83" s="52">
        <f ca="1">(SUBSIDIO!$J$83*SUBSIDIO!$Y$83)*(0.03)/(1-0.03)</f>
        <v>323.10440001944198</v>
      </c>
      <c r="AE83" s="52">
        <f ca="1">((SUBSIDIO!$L$83*SUBSIDIO!$Z$83)+(SUBSIDIO!$N$83*SUBSIDIO!$AA$83))*(0.03)/(1-0.03)</f>
        <v>2437.4411825352781</v>
      </c>
      <c r="AF83" s="4" t="s">
        <v>814</v>
      </c>
    </row>
    <row r="84" spans="1:32" ht="11.25" customHeight="1" x14ac:dyDescent="0.3">
      <c r="A84" s="4" t="s">
        <v>21</v>
      </c>
      <c r="B84" s="4" t="s">
        <v>39</v>
      </c>
      <c r="C84" s="4" t="s">
        <v>42</v>
      </c>
      <c r="D84" s="4" t="s">
        <v>50</v>
      </c>
      <c r="E84" s="4" t="s">
        <v>51</v>
      </c>
      <c r="F84" s="4" t="s">
        <v>25</v>
      </c>
      <c r="G84" s="4" t="s">
        <v>25</v>
      </c>
      <c r="H84" s="4" t="s">
        <v>35</v>
      </c>
      <c r="I84" s="5">
        <v>44562</v>
      </c>
      <c r="J84" s="6">
        <v>505</v>
      </c>
      <c r="K84" s="53">
        <v>505</v>
      </c>
      <c r="L84" s="6">
        <v>224.678</v>
      </c>
      <c r="M84" s="52">
        <v>224.678</v>
      </c>
      <c r="N84" s="6">
        <v>224.678</v>
      </c>
      <c r="O84" s="52">
        <v>224.678</v>
      </c>
      <c r="P84" s="6">
        <v>0</v>
      </c>
      <c r="Q84" s="4" t="s">
        <v>26</v>
      </c>
      <c r="R84" s="4">
        <v>0</v>
      </c>
      <c r="S84" s="4">
        <v>5</v>
      </c>
      <c r="T84" s="4">
        <v>8</v>
      </c>
      <c r="U84" s="4">
        <v>66</v>
      </c>
      <c r="V84" s="52">
        <f>IF(ISERROR(VLOOKUP($S$84,'TAR FIN'!$A$1:$O$103,15,0)),0,VLOOKUP($S$84,'TAR FIN'!$A$1:$O$103,15,0))*(1-0.06)</f>
        <v>17.784800000000001</v>
      </c>
      <c r="W84" s="52">
        <f>IF(ISERROR(VLOOKUP($T$84,'TAR FIN'!$A$1:$O$103,15,0)),0,VLOOKUP($T$84,'TAR FIN'!$A$1:$O$103,15,0))*(1-0.06)</f>
        <v>79.890599999999992</v>
      </c>
      <c r="X84" s="52">
        <f>IF(ISERROR(VLOOKUP($U$84,'TAR FIN'!$A$1:$O$103,15,0)),0,VLOOKUP($U$84,'TAR FIN'!$A$1:$O$103,15,0))*(1-0.06)</f>
        <v>228.2038</v>
      </c>
      <c r="Y84" s="52">
        <f ca="1">('TUSD BE'!$AM$18+'TUSD BF'!$AM$18+'TUSD CVA'!$AM$18)*1*(1-0.03)</f>
        <v>20.728258466855738</v>
      </c>
      <c r="Z84" s="52">
        <f ca="1">('TUSD BE'!$AM$19+'TUSD BF'!$AM$19+'TUSD CVA'!$AM$19)*1*(1-0.03)</f>
        <v>141.35070271825751</v>
      </c>
      <c r="AA84" s="52">
        <f>('TE BE'!$AB$9+'TE BF'!$AB$9+'TE CVA'!$AB$9)*1*(1-0.03)</f>
        <v>215.72204893346822</v>
      </c>
      <c r="AB84" s="52">
        <f>(SUBSIDIO!$J$84*SUBSIDIO!$V$84)*(0.06)/(1-0.06)</f>
        <v>573.27600000000007</v>
      </c>
      <c r="AC84" s="52">
        <f>((SUBSIDIO!$L$84*SUBSIDIO!$W$84)+(SUBSIDIO!$N$84*SUBSIDIO!$X$84))*(0.06)/(1-0.06)</f>
        <v>4418.4276767999991</v>
      </c>
      <c r="AD84" s="52">
        <f ca="1">(SUBSIDIO!$J$84*SUBSIDIO!$Y$84)*(0.03)/(1-0.03)</f>
        <v>323.7454801782107</v>
      </c>
      <c r="AE84" s="52">
        <f ca="1">((SUBSIDIO!$L$84*SUBSIDIO!$Z$84)+(SUBSIDIO!$N$84*SUBSIDIO!$AA$84))*(0.03)/(1-0.03)</f>
        <v>2481.2286091424671</v>
      </c>
      <c r="AF84" s="4" t="s">
        <v>814</v>
      </c>
    </row>
    <row r="85" spans="1:32" ht="11.25" customHeight="1" x14ac:dyDescent="0.3">
      <c r="A85" s="4" t="s">
        <v>21</v>
      </c>
      <c r="B85" s="4" t="s">
        <v>39</v>
      </c>
      <c r="C85" s="4" t="s">
        <v>42</v>
      </c>
      <c r="D85" s="4" t="s">
        <v>50</v>
      </c>
      <c r="E85" s="4" t="s">
        <v>51</v>
      </c>
      <c r="F85" s="4" t="s">
        <v>25</v>
      </c>
      <c r="G85" s="4" t="s">
        <v>25</v>
      </c>
      <c r="H85" s="4" t="s">
        <v>35</v>
      </c>
      <c r="I85" s="5">
        <v>44593</v>
      </c>
      <c r="J85" s="6">
        <v>501</v>
      </c>
      <c r="K85" s="53">
        <v>501</v>
      </c>
      <c r="L85" s="6">
        <v>190.18799999999999</v>
      </c>
      <c r="M85" s="52">
        <v>190.18799999999999</v>
      </c>
      <c r="N85" s="6">
        <v>190.18799999999999</v>
      </c>
      <c r="O85" s="52">
        <v>190.18799999999999</v>
      </c>
      <c r="P85" s="6">
        <v>0</v>
      </c>
      <c r="Q85" s="4" t="s">
        <v>26</v>
      </c>
      <c r="R85" s="4">
        <v>0</v>
      </c>
      <c r="S85" s="4">
        <v>5</v>
      </c>
      <c r="T85" s="4">
        <v>8</v>
      </c>
      <c r="U85" s="4">
        <v>66</v>
      </c>
      <c r="V85" s="52">
        <f>IF(ISERROR(VLOOKUP($S$85,'TAR FIN'!$A$1:$O$103,15,0)),0,VLOOKUP($S$85,'TAR FIN'!$A$1:$O$103,15,0))*(1-0.06)</f>
        <v>17.784800000000001</v>
      </c>
      <c r="W85" s="52">
        <f>IF(ISERROR(VLOOKUP($T$85,'TAR FIN'!$A$1:$O$103,15,0)),0,VLOOKUP($T$85,'TAR FIN'!$A$1:$O$103,15,0))*(1-0.06)</f>
        <v>79.890599999999992</v>
      </c>
      <c r="X85" s="52">
        <f>IF(ISERROR(VLOOKUP($U$85,'TAR FIN'!$A$1:$O$103,15,0)),0,VLOOKUP($U$85,'TAR FIN'!$A$1:$O$103,15,0))*(1-0.06)</f>
        <v>228.2038</v>
      </c>
      <c r="Y85" s="52">
        <f ca="1">('TUSD BE'!$AM$18+'TUSD BF'!$AM$18+'TUSD CVA'!$AM$18)*1*(1-0.03)</f>
        <v>20.728258466855738</v>
      </c>
      <c r="Z85" s="52">
        <f ca="1">('TUSD BE'!$AM$19+'TUSD BF'!$AM$19+'TUSD CVA'!$AM$19)*1*(1-0.03)</f>
        <v>141.35070271825751</v>
      </c>
      <c r="AA85" s="52">
        <f>('TE BE'!$AB$9+'TE BF'!$AB$9+'TE CVA'!$AB$9)*1*(1-0.03)</f>
        <v>215.72204893346822</v>
      </c>
      <c r="AB85" s="52">
        <f>(SUBSIDIO!$J$85*SUBSIDIO!$V$85)*(0.06)/(1-0.06)</f>
        <v>568.73520000000008</v>
      </c>
      <c r="AC85" s="52">
        <f>((SUBSIDIO!$L$85*SUBSIDIO!$W$85)+(SUBSIDIO!$N$85*SUBSIDIO!$X$85))*(0.06)/(1-0.06)</f>
        <v>3740.1611327999999</v>
      </c>
      <c r="AD85" s="52">
        <f ca="1">(SUBSIDIO!$J$85*SUBSIDIO!$Y$85)*(0.03)/(1-0.03)</f>
        <v>321.18115954313583</v>
      </c>
      <c r="AE85" s="52">
        <f ca="1">((SUBSIDIO!$L$85*SUBSIDIO!$Z$85)+(SUBSIDIO!$N$85*SUBSIDIO!$AA$85))*(0.03)/(1-0.03)</f>
        <v>2100.3387368393323</v>
      </c>
      <c r="AF85" s="4" t="s">
        <v>814</v>
      </c>
    </row>
    <row r="86" spans="1:32" ht="11.25" customHeight="1" x14ac:dyDescent="0.3">
      <c r="A86" s="4" t="s">
        <v>21</v>
      </c>
      <c r="B86" s="4" t="s">
        <v>39</v>
      </c>
      <c r="C86" s="4" t="s">
        <v>42</v>
      </c>
      <c r="D86" s="4" t="s">
        <v>50</v>
      </c>
      <c r="E86" s="4" t="s">
        <v>51</v>
      </c>
      <c r="F86" s="4" t="s">
        <v>25</v>
      </c>
      <c r="G86" s="4" t="s">
        <v>25</v>
      </c>
      <c r="H86" s="4" t="s">
        <v>35</v>
      </c>
      <c r="I86" s="5">
        <v>44621</v>
      </c>
      <c r="J86" s="6">
        <v>501</v>
      </c>
      <c r="K86" s="53">
        <v>501</v>
      </c>
      <c r="L86" s="6">
        <v>215.52799999999999</v>
      </c>
      <c r="M86" s="52">
        <v>215.52799999999999</v>
      </c>
      <c r="N86" s="6">
        <v>215.52799999999999</v>
      </c>
      <c r="O86" s="52">
        <v>215.52799999999999</v>
      </c>
      <c r="P86" s="6">
        <v>0</v>
      </c>
      <c r="Q86" s="4" t="s">
        <v>26</v>
      </c>
      <c r="R86" s="4">
        <v>0</v>
      </c>
      <c r="S86" s="4">
        <v>5</v>
      </c>
      <c r="T86" s="4">
        <v>8</v>
      </c>
      <c r="U86" s="4">
        <v>66</v>
      </c>
      <c r="V86" s="52">
        <f>IF(ISERROR(VLOOKUP($S$86,'TAR FIN'!$A$1:$O$103,15,0)),0,VLOOKUP($S$86,'TAR FIN'!$A$1:$O$103,15,0))*(1-0.06)</f>
        <v>17.784800000000001</v>
      </c>
      <c r="W86" s="52">
        <f>IF(ISERROR(VLOOKUP($T$86,'TAR FIN'!$A$1:$O$103,15,0)),0,VLOOKUP($T$86,'TAR FIN'!$A$1:$O$103,15,0))*(1-0.06)</f>
        <v>79.890599999999992</v>
      </c>
      <c r="X86" s="52">
        <f>IF(ISERROR(VLOOKUP($U$86,'TAR FIN'!$A$1:$O$103,15,0)),0,VLOOKUP($U$86,'TAR FIN'!$A$1:$O$103,15,0))*(1-0.06)</f>
        <v>228.2038</v>
      </c>
      <c r="Y86" s="52">
        <f ca="1">('TUSD BE'!$AM$18+'TUSD BF'!$AM$18+'TUSD CVA'!$AM$18)*1*(1-0.03)</f>
        <v>20.728258466855738</v>
      </c>
      <c r="Z86" s="52">
        <f ca="1">('TUSD BE'!$AM$19+'TUSD BF'!$AM$19+'TUSD CVA'!$AM$19)*1*(1-0.03)</f>
        <v>141.35070271825751</v>
      </c>
      <c r="AA86" s="52">
        <f>('TE BE'!$AB$9+'TE BF'!$AB$9+'TE CVA'!$AB$9)*1*(1-0.03)</f>
        <v>215.72204893346822</v>
      </c>
      <c r="AB86" s="52">
        <f>(SUBSIDIO!$J$86*SUBSIDIO!$V$86)*(0.06)/(1-0.06)</f>
        <v>568.73520000000008</v>
      </c>
      <c r="AC86" s="52">
        <f>((SUBSIDIO!$L$86*SUBSIDIO!$W$86)+(SUBSIDIO!$N$86*SUBSIDIO!$X$86))*(0.06)/(1-0.06)</f>
        <v>4238.4874368000001</v>
      </c>
      <c r="AD86" s="52">
        <f ca="1">(SUBSIDIO!$J$86*SUBSIDIO!$Y$86)*(0.03)/(1-0.03)</f>
        <v>321.18115954313583</v>
      </c>
      <c r="AE86" s="52">
        <f ca="1">((SUBSIDIO!$L$86*SUBSIDIO!$Z$86)+(SUBSIDIO!$N$86*SUBSIDIO!$AA$86))*(0.03)/(1-0.03)</f>
        <v>2380.180701587416</v>
      </c>
      <c r="AF86" s="4" t="s">
        <v>814</v>
      </c>
    </row>
    <row r="87" spans="1:32" ht="11.25" customHeight="1" x14ac:dyDescent="0.3">
      <c r="A87" s="4" t="s">
        <v>21</v>
      </c>
      <c r="B87" s="4" t="s">
        <v>39</v>
      </c>
      <c r="C87" s="4" t="s">
        <v>42</v>
      </c>
      <c r="D87" s="4" t="s">
        <v>50</v>
      </c>
      <c r="E87" s="4" t="s">
        <v>51</v>
      </c>
      <c r="F87" s="4" t="s">
        <v>25</v>
      </c>
      <c r="G87" s="4" t="s">
        <v>25</v>
      </c>
      <c r="H87" s="4" t="s">
        <v>35</v>
      </c>
      <c r="I87" s="5">
        <v>44652</v>
      </c>
      <c r="J87" s="6">
        <v>502</v>
      </c>
      <c r="K87" s="53">
        <v>502</v>
      </c>
      <c r="L87" s="6">
        <v>224.44300000000001</v>
      </c>
      <c r="M87" s="52">
        <v>224.44300000000001</v>
      </c>
      <c r="N87" s="6">
        <v>224.44300000000001</v>
      </c>
      <c r="O87" s="52">
        <v>224.44300000000001</v>
      </c>
      <c r="P87" s="6">
        <v>0</v>
      </c>
      <c r="Q87" s="4" t="s">
        <v>26</v>
      </c>
      <c r="R87" s="4">
        <v>0</v>
      </c>
      <c r="S87" s="4">
        <v>5</v>
      </c>
      <c r="T87" s="4">
        <v>8</v>
      </c>
      <c r="U87" s="4">
        <v>66</v>
      </c>
      <c r="V87" s="52">
        <f>IF(ISERROR(VLOOKUP($S$87,'TAR FIN'!$A$1:$O$103,15,0)),0,VLOOKUP($S$87,'TAR FIN'!$A$1:$O$103,15,0))*(1-0.06)</f>
        <v>17.784800000000001</v>
      </c>
      <c r="W87" s="52">
        <f>IF(ISERROR(VLOOKUP($T$87,'TAR FIN'!$A$1:$O$103,15,0)),0,VLOOKUP($T$87,'TAR FIN'!$A$1:$O$103,15,0))*(1-0.06)</f>
        <v>79.890599999999992</v>
      </c>
      <c r="X87" s="52">
        <f>IF(ISERROR(VLOOKUP($U$87,'TAR FIN'!$A$1:$O$103,15,0)),0,VLOOKUP($U$87,'TAR FIN'!$A$1:$O$103,15,0))*(1-0.06)</f>
        <v>228.2038</v>
      </c>
      <c r="Y87" s="52">
        <f ca="1">('TUSD BE'!$AM$18+'TUSD BF'!$AM$18+'TUSD CVA'!$AM$18)*1*(1-0.03)</f>
        <v>20.728258466855738</v>
      </c>
      <c r="Z87" s="52">
        <f ca="1">('TUSD BE'!$AM$19+'TUSD BF'!$AM$19+'TUSD CVA'!$AM$19)*1*(1-0.03)</f>
        <v>141.35070271825751</v>
      </c>
      <c r="AA87" s="52">
        <f>('TE BE'!$AB$9+'TE BF'!$AB$9+'TE CVA'!$AB$9)*1*(1-0.03)</f>
        <v>215.72204893346822</v>
      </c>
      <c r="AB87" s="52">
        <f>(SUBSIDIO!$J$87*SUBSIDIO!$V$87)*(0.06)/(1-0.06)</f>
        <v>569.87040000000002</v>
      </c>
      <c r="AC87" s="52">
        <f>((SUBSIDIO!$L$87*SUBSIDIO!$W$87)+(SUBSIDIO!$N$87*SUBSIDIO!$X$87))*(0.06)/(1-0.06)</f>
        <v>4413.8062608</v>
      </c>
      <c r="AD87" s="52">
        <f ca="1">(SUBSIDIO!$J$87*SUBSIDIO!$Y$87)*(0.03)/(1-0.03)</f>
        <v>321.82223970190461</v>
      </c>
      <c r="AE87" s="52">
        <f ca="1">((SUBSIDIO!$L$87*SUBSIDIO!$Z$87)+(SUBSIDIO!$N$87*SUBSIDIO!$AA$87))*(0.03)/(1-0.03)</f>
        <v>2478.6333896588126</v>
      </c>
      <c r="AF87" s="4" t="s">
        <v>814</v>
      </c>
    </row>
    <row r="88" spans="1:32" ht="11.25" customHeight="1" x14ac:dyDescent="0.3">
      <c r="A88" s="4" t="s">
        <v>21</v>
      </c>
      <c r="B88" s="4" t="s">
        <v>39</v>
      </c>
      <c r="C88" s="4" t="s">
        <v>42</v>
      </c>
      <c r="D88" s="4" t="s">
        <v>50</v>
      </c>
      <c r="E88" s="4" t="s">
        <v>51</v>
      </c>
      <c r="F88" s="4" t="s">
        <v>25</v>
      </c>
      <c r="G88" s="4" t="s">
        <v>25</v>
      </c>
      <c r="H88" s="4" t="s">
        <v>35</v>
      </c>
      <c r="I88" s="5">
        <v>44682</v>
      </c>
      <c r="J88" s="6">
        <v>501</v>
      </c>
      <c r="K88" s="53">
        <v>501</v>
      </c>
      <c r="L88" s="6">
        <v>230.06399999999999</v>
      </c>
      <c r="M88" s="52">
        <v>230.06399999999999</v>
      </c>
      <c r="N88" s="6">
        <v>230.06399999999999</v>
      </c>
      <c r="O88" s="52">
        <v>230.06399999999999</v>
      </c>
      <c r="P88" s="6">
        <v>0</v>
      </c>
      <c r="Q88" s="4" t="s">
        <v>26</v>
      </c>
      <c r="R88" s="4">
        <v>0</v>
      </c>
      <c r="S88" s="4">
        <v>5</v>
      </c>
      <c r="T88" s="4">
        <v>8</v>
      </c>
      <c r="U88" s="4">
        <v>66</v>
      </c>
      <c r="V88" s="52">
        <f>IF(ISERROR(VLOOKUP($S$88,'TAR FIN'!$A$1:$O$103,15,0)),0,VLOOKUP($S$88,'TAR FIN'!$A$1:$O$103,15,0))*(1-0.06)</f>
        <v>17.784800000000001</v>
      </c>
      <c r="W88" s="52">
        <f>IF(ISERROR(VLOOKUP($T$88,'TAR FIN'!$A$1:$O$103,15,0)),0,VLOOKUP($T$88,'TAR FIN'!$A$1:$O$103,15,0))*(1-0.06)</f>
        <v>79.890599999999992</v>
      </c>
      <c r="X88" s="52">
        <f>IF(ISERROR(VLOOKUP($U$88,'TAR FIN'!$A$1:$O$103,15,0)),0,VLOOKUP($U$88,'TAR FIN'!$A$1:$O$103,15,0))*(1-0.06)</f>
        <v>228.2038</v>
      </c>
      <c r="Y88" s="52">
        <f ca="1">('TUSD BE'!$AM$18+'TUSD BF'!$AM$18+'TUSD CVA'!$AM$18)*1*(1-0.03)</f>
        <v>20.728258466855738</v>
      </c>
      <c r="Z88" s="52">
        <f ca="1">('TUSD BE'!$AM$19+'TUSD BF'!$AM$19+'TUSD CVA'!$AM$19)*1*(1-0.03)</f>
        <v>141.35070271825751</v>
      </c>
      <c r="AA88" s="52">
        <f>('TE BE'!$AB$9+'TE BF'!$AB$9+'TE CVA'!$AB$9)*1*(1-0.03)</f>
        <v>215.72204893346822</v>
      </c>
      <c r="AB88" s="52">
        <f>(SUBSIDIO!$J$88*SUBSIDIO!$V$88)*(0.06)/(1-0.06)</f>
        <v>568.73520000000008</v>
      </c>
      <c r="AC88" s="52">
        <f>((SUBSIDIO!$L$88*SUBSIDIO!$W$88)+(SUBSIDIO!$N$88*SUBSIDIO!$X$88))*(0.06)/(1-0.06)</f>
        <v>4524.3465983999995</v>
      </c>
      <c r="AD88" s="52">
        <f ca="1">(SUBSIDIO!$J$88*SUBSIDIO!$Y$88)*(0.03)/(1-0.03)</f>
        <v>321.18115954313583</v>
      </c>
      <c r="AE88" s="52">
        <f ca="1">((SUBSIDIO!$L$88*SUBSIDIO!$Z$88)+(SUBSIDIO!$N$88*SUBSIDIO!$AA$88))*(0.03)/(1-0.03)</f>
        <v>2540.7088310103904</v>
      </c>
      <c r="AF88" s="4" t="s">
        <v>814</v>
      </c>
    </row>
    <row r="89" spans="1:32" ht="11.25" customHeight="1" x14ac:dyDescent="0.3">
      <c r="A89" s="4" t="s">
        <v>21</v>
      </c>
      <c r="B89" s="4" t="s">
        <v>39</v>
      </c>
      <c r="C89" s="4" t="s">
        <v>42</v>
      </c>
      <c r="D89" s="4" t="s">
        <v>50</v>
      </c>
      <c r="E89" s="4" t="s">
        <v>51</v>
      </c>
      <c r="F89" s="4" t="s">
        <v>25</v>
      </c>
      <c r="G89" s="4" t="s">
        <v>25</v>
      </c>
      <c r="H89" s="4" t="s">
        <v>35</v>
      </c>
      <c r="I89" s="5">
        <v>44713</v>
      </c>
      <c r="J89" s="6">
        <v>501</v>
      </c>
      <c r="K89" s="53">
        <v>501</v>
      </c>
      <c r="L89" s="6">
        <v>217.18299999999999</v>
      </c>
      <c r="M89" s="52">
        <v>217.18299999999999</v>
      </c>
      <c r="N89" s="6">
        <v>217.18299999999999</v>
      </c>
      <c r="O89" s="52">
        <v>217.18299999999999</v>
      </c>
      <c r="P89" s="6">
        <v>0</v>
      </c>
      <c r="Q89" s="4" t="s">
        <v>26</v>
      </c>
      <c r="R89" s="4">
        <v>0</v>
      </c>
      <c r="S89" s="4">
        <v>5</v>
      </c>
      <c r="T89" s="4">
        <v>8</v>
      </c>
      <c r="U89" s="4">
        <v>66</v>
      </c>
      <c r="V89" s="52">
        <f>IF(ISERROR(VLOOKUP($S$89,'TAR FIN'!$A$1:$O$103,15,0)),0,VLOOKUP($S$89,'TAR FIN'!$A$1:$O$103,15,0))*(1-0.06)</f>
        <v>17.784800000000001</v>
      </c>
      <c r="W89" s="52">
        <f>IF(ISERROR(VLOOKUP($T$89,'TAR FIN'!$A$1:$O$103,15,0)),0,VLOOKUP($T$89,'TAR FIN'!$A$1:$O$103,15,0))*(1-0.06)</f>
        <v>79.890599999999992</v>
      </c>
      <c r="X89" s="52">
        <f>IF(ISERROR(VLOOKUP($U$89,'TAR FIN'!$A$1:$O$103,15,0)),0,VLOOKUP($U$89,'TAR FIN'!$A$1:$O$103,15,0))*(1-0.06)</f>
        <v>228.2038</v>
      </c>
      <c r="Y89" s="52">
        <f ca="1">('TUSD BE'!$AM$18+'TUSD BF'!$AM$18+'TUSD CVA'!$AM$18)*1*(1-0.03)</f>
        <v>20.728258466855738</v>
      </c>
      <c r="Z89" s="52">
        <f ca="1">('TUSD BE'!$AM$19+'TUSD BF'!$AM$19+'TUSD CVA'!$AM$19)*1*(1-0.03)</f>
        <v>141.35070271825751</v>
      </c>
      <c r="AA89" s="52">
        <f>('TE BE'!$AB$9+'TE BF'!$AB$9+'TE CVA'!$AB$9)*1*(1-0.03)</f>
        <v>215.72204893346822</v>
      </c>
      <c r="AB89" s="52">
        <f>(SUBSIDIO!$J$89*SUBSIDIO!$V$89)*(0.06)/(1-0.06)</f>
        <v>568.73520000000008</v>
      </c>
      <c r="AC89" s="52">
        <f>((SUBSIDIO!$L$89*SUBSIDIO!$W$89)+(SUBSIDIO!$N$89*SUBSIDIO!$X$89))*(0.06)/(1-0.06)</f>
        <v>4271.0340047999998</v>
      </c>
      <c r="AD89" s="52">
        <f ca="1">(SUBSIDIO!$J$89*SUBSIDIO!$Y$89)*(0.03)/(1-0.03)</f>
        <v>321.18115954313583</v>
      </c>
      <c r="AE89" s="52">
        <f ca="1">((SUBSIDIO!$L$89*SUBSIDIO!$Z$89)+(SUBSIDIO!$N$89*SUBSIDIO!$AA$89))*(0.03)/(1-0.03)</f>
        <v>2398.4576728446414</v>
      </c>
      <c r="AF89" s="4" t="s">
        <v>814</v>
      </c>
    </row>
    <row r="90" spans="1:32" ht="11.25" customHeight="1" x14ac:dyDescent="0.3">
      <c r="A90" s="4" t="s">
        <v>21</v>
      </c>
      <c r="B90" s="4" t="s">
        <v>39</v>
      </c>
      <c r="C90" s="4" t="s">
        <v>42</v>
      </c>
      <c r="D90" s="4" t="s">
        <v>50</v>
      </c>
      <c r="E90" s="4" t="s">
        <v>51</v>
      </c>
      <c r="F90" s="4" t="s">
        <v>25</v>
      </c>
      <c r="G90" s="4" t="s">
        <v>25</v>
      </c>
      <c r="H90" s="4" t="s">
        <v>35</v>
      </c>
      <c r="I90" s="5">
        <v>44743</v>
      </c>
      <c r="J90" s="6">
        <v>500</v>
      </c>
      <c r="K90" s="53">
        <v>500</v>
      </c>
      <c r="L90" s="6">
        <v>227.62</v>
      </c>
      <c r="M90" s="52">
        <v>227.62</v>
      </c>
      <c r="N90" s="6">
        <v>227.62</v>
      </c>
      <c r="O90" s="52">
        <v>227.62</v>
      </c>
      <c r="P90" s="6">
        <v>0</v>
      </c>
      <c r="Q90" s="4" t="s">
        <v>26</v>
      </c>
      <c r="R90" s="4">
        <v>0</v>
      </c>
      <c r="S90" s="4">
        <v>5</v>
      </c>
      <c r="T90" s="4">
        <v>8</v>
      </c>
      <c r="U90" s="4">
        <v>66</v>
      </c>
      <c r="V90" s="52">
        <f>IF(ISERROR(VLOOKUP($S$90,'TAR FIN'!$A$1:$O$103,15,0)),0,VLOOKUP($S$90,'TAR FIN'!$A$1:$O$103,15,0))*(1-0.06)</f>
        <v>17.784800000000001</v>
      </c>
      <c r="W90" s="52">
        <f>IF(ISERROR(VLOOKUP($T$90,'TAR FIN'!$A$1:$O$103,15,0)),0,VLOOKUP($T$90,'TAR FIN'!$A$1:$O$103,15,0))*(1-0.06)</f>
        <v>79.890599999999992</v>
      </c>
      <c r="X90" s="52">
        <f>IF(ISERROR(VLOOKUP($U$90,'TAR FIN'!$A$1:$O$103,15,0)),0,VLOOKUP($U$90,'TAR FIN'!$A$1:$O$103,15,0))*(1-0.06)</f>
        <v>228.2038</v>
      </c>
      <c r="Y90" s="52">
        <f ca="1">('TUSD BE'!$AM$18+'TUSD BF'!$AM$18+'TUSD CVA'!$AM$18)*1*(1-0.03)</f>
        <v>20.728258466855738</v>
      </c>
      <c r="Z90" s="52">
        <f ca="1">('TUSD BE'!$AM$19+'TUSD BF'!$AM$19+'TUSD CVA'!$AM$19)*1*(1-0.03)</f>
        <v>141.35070271825751</v>
      </c>
      <c r="AA90" s="52">
        <f>('TE BE'!$AB$9+'TE BF'!$AB$9+'TE CVA'!$AB$9)*1*(1-0.03)</f>
        <v>215.72204893346822</v>
      </c>
      <c r="AB90" s="52">
        <f>(SUBSIDIO!$J$90*SUBSIDIO!$V$90)*(0.06)/(1-0.06)</f>
        <v>567.6</v>
      </c>
      <c r="AC90" s="52">
        <f>((SUBSIDIO!$L$90*SUBSIDIO!$W$90)+(SUBSIDIO!$N$90*SUBSIDIO!$X$90))*(0.06)/(1-0.06)</f>
        <v>4476.2838720000009</v>
      </c>
      <c r="AD90" s="52">
        <f ca="1">(SUBSIDIO!$J$90*SUBSIDIO!$Y$90)*(0.03)/(1-0.03)</f>
        <v>320.54007938436712</v>
      </c>
      <c r="AE90" s="52">
        <f ca="1">((SUBSIDIO!$L$90*SUBSIDIO!$Z$90)+(SUBSIDIO!$N$90*SUBSIDIO!$AA$90))*(0.03)/(1-0.03)</f>
        <v>2513.718548380386</v>
      </c>
      <c r="AF90" s="4" t="s">
        <v>814</v>
      </c>
    </row>
    <row r="91" spans="1:32" ht="11.25" customHeight="1" x14ac:dyDescent="0.3">
      <c r="A91" s="4" t="s">
        <v>21</v>
      </c>
      <c r="B91" s="4" t="s">
        <v>39</v>
      </c>
      <c r="C91" s="4" t="s">
        <v>42</v>
      </c>
      <c r="D91" s="4" t="s">
        <v>50</v>
      </c>
      <c r="E91" s="4" t="s">
        <v>51</v>
      </c>
      <c r="F91" s="4" t="s">
        <v>25</v>
      </c>
      <c r="G91" s="4" t="s">
        <v>25</v>
      </c>
      <c r="H91" s="4" t="s">
        <v>35</v>
      </c>
      <c r="I91" s="5">
        <v>44774</v>
      </c>
      <c r="J91" s="6">
        <v>500</v>
      </c>
      <c r="K91" s="53">
        <v>500</v>
      </c>
      <c r="L91" s="6">
        <v>242.39400000000001</v>
      </c>
      <c r="M91" s="52">
        <v>242.39400000000001</v>
      </c>
      <c r="N91" s="6">
        <v>242.39400000000001</v>
      </c>
      <c r="O91" s="52">
        <v>242.39400000000001</v>
      </c>
      <c r="P91" s="6">
        <v>0</v>
      </c>
      <c r="Q91" s="4" t="s">
        <v>26</v>
      </c>
      <c r="R91" s="4">
        <v>0</v>
      </c>
      <c r="S91" s="4">
        <v>5</v>
      </c>
      <c r="T91" s="4">
        <v>8</v>
      </c>
      <c r="U91" s="4">
        <v>66</v>
      </c>
      <c r="V91" s="52">
        <f>IF(ISERROR(VLOOKUP($S$91,'TAR FIN'!$A$1:$O$103,15,0)),0,VLOOKUP($S$91,'TAR FIN'!$A$1:$O$103,15,0))*(1-0.06)</f>
        <v>17.784800000000001</v>
      </c>
      <c r="W91" s="52">
        <f>IF(ISERROR(VLOOKUP($T$91,'TAR FIN'!$A$1:$O$103,15,0)),0,VLOOKUP($T$91,'TAR FIN'!$A$1:$O$103,15,0))*(1-0.06)</f>
        <v>79.890599999999992</v>
      </c>
      <c r="X91" s="52">
        <f>IF(ISERROR(VLOOKUP($U$91,'TAR FIN'!$A$1:$O$103,15,0)),0,VLOOKUP($U$91,'TAR FIN'!$A$1:$O$103,15,0))*(1-0.06)</f>
        <v>228.2038</v>
      </c>
      <c r="Y91" s="52">
        <f ca="1">('TUSD BE'!$AM$18+'TUSD BF'!$AM$18+'TUSD CVA'!$AM$18)*1*(1-0.03)</f>
        <v>20.728258466855738</v>
      </c>
      <c r="Z91" s="52">
        <f ca="1">('TUSD BE'!$AM$19+'TUSD BF'!$AM$19+'TUSD CVA'!$AM$19)*1*(1-0.03)</f>
        <v>141.35070271825751</v>
      </c>
      <c r="AA91" s="52">
        <f>('TE BE'!$AB$9+'TE BF'!$AB$9+'TE CVA'!$AB$9)*1*(1-0.03)</f>
        <v>215.72204893346822</v>
      </c>
      <c r="AB91" s="52">
        <f>(SUBSIDIO!$J$91*SUBSIDIO!$V$91)*(0.06)/(1-0.06)</f>
        <v>567.6</v>
      </c>
      <c r="AC91" s="52">
        <f>((SUBSIDIO!$L$91*SUBSIDIO!$W$91)+(SUBSIDIO!$N$91*SUBSIDIO!$X$91))*(0.06)/(1-0.06)</f>
        <v>4766.8234464000006</v>
      </c>
      <c r="AD91" s="52">
        <f ca="1">(SUBSIDIO!$J$91*SUBSIDIO!$Y$91)*(0.03)/(1-0.03)</f>
        <v>320.54007938436712</v>
      </c>
      <c r="AE91" s="52">
        <f ca="1">((SUBSIDIO!$L$91*SUBSIDIO!$Z$91)+(SUBSIDIO!$N$91*SUBSIDIO!$AA$91))*(0.03)/(1-0.03)</f>
        <v>2676.8750277485074</v>
      </c>
      <c r="AF91" s="4" t="s">
        <v>814</v>
      </c>
    </row>
    <row r="92" spans="1:32" ht="11.25" customHeight="1" x14ac:dyDescent="0.3">
      <c r="A92" s="4" t="s">
        <v>21</v>
      </c>
      <c r="B92" s="4" t="s">
        <v>39</v>
      </c>
      <c r="C92" s="4" t="s">
        <v>42</v>
      </c>
      <c r="D92" s="4" t="s">
        <v>50</v>
      </c>
      <c r="E92" s="4" t="s">
        <v>51</v>
      </c>
      <c r="F92" s="4" t="s">
        <v>25</v>
      </c>
      <c r="G92" s="4" t="s">
        <v>25</v>
      </c>
      <c r="H92" s="4" t="s">
        <v>35</v>
      </c>
      <c r="I92" s="5">
        <v>44805</v>
      </c>
      <c r="J92" s="6">
        <v>500</v>
      </c>
      <c r="K92" s="53">
        <v>500</v>
      </c>
      <c r="L92" s="6">
        <v>249.33799999999999</v>
      </c>
      <c r="M92" s="52">
        <v>249.33799999999999</v>
      </c>
      <c r="N92" s="6">
        <v>249.33799999999999</v>
      </c>
      <c r="O92" s="52">
        <v>249.33799999999999</v>
      </c>
      <c r="P92" s="6">
        <v>0</v>
      </c>
      <c r="Q92" s="4" t="s">
        <v>26</v>
      </c>
      <c r="R92" s="4">
        <v>0</v>
      </c>
      <c r="S92" s="4">
        <v>5</v>
      </c>
      <c r="T92" s="4">
        <v>8</v>
      </c>
      <c r="U92" s="4">
        <v>66</v>
      </c>
      <c r="V92" s="52">
        <f>IF(ISERROR(VLOOKUP($S$92,'TAR FIN'!$A$1:$O$103,15,0)),0,VLOOKUP($S$92,'TAR FIN'!$A$1:$O$103,15,0))*(1-0.06)</f>
        <v>17.784800000000001</v>
      </c>
      <c r="W92" s="52">
        <f>IF(ISERROR(VLOOKUP($T$92,'TAR FIN'!$A$1:$O$103,15,0)),0,VLOOKUP($T$92,'TAR FIN'!$A$1:$O$103,15,0))*(1-0.06)</f>
        <v>79.890599999999992</v>
      </c>
      <c r="X92" s="52">
        <f>IF(ISERROR(VLOOKUP($U$92,'TAR FIN'!$A$1:$O$103,15,0)),0,VLOOKUP($U$92,'TAR FIN'!$A$1:$O$103,15,0))*(1-0.06)</f>
        <v>228.2038</v>
      </c>
      <c r="Y92" s="52">
        <f ca="1">('TUSD BE'!$AM$18+'TUSD BF'!$AM$18+'TUSD CVA'!$AM$18)*1*(1-0.03)</f>
        <v>20.728258466855738</v>
      </c>
      <c r="Z92" s="52">
        <f ca="1">('TUSD BE'!$AM$19+'TUSD BF'!$AM$19+'TUSD CVA'!$AM$19)*1*(1-0.03)</f>
        <v>141.35070271825751</v>
      </c>
      <c r="AA92" s="52">
        <f>('TE BE'!$AB$9+'TE BF'!$AB$9+'TE CVA'!$AB$9)*1*(1-0.03)</f>
        <v>215.72204893346822</v>
      </c>
      <c r="AB92" s="52">
        <f>(SUBSIDIO!$J$92*SUBSIDIO!$V$92)*(0.06)/(1-0.06)</f>
        <v>567.6</v>
      </c>
      <c r="AC92" s="52">
        <f>((SUBSIDIO!$L$92*SUBSIDIO!$W$92)+(SUBSIDIO!$N$92*SUBSIDIO!$X$92))*(0.06)/(1-0.06)</f>
        <v>4903.3813727999996</v>
      </c>
      <c r="AD92" s="52">
        <f ca="1">(SUBSIDIO!$J$92*SUBSIDIO!$Y$92)*(0.03)/(1-0.03)</f>
        <v>320.54007938436712</v>
      </c>
      <c r="AE92" s="52">
        <f ca="1">((SUBSIDIO!$L$92*SUBSIDIO!$Z$92)+(SUBSIDIO!$N$92*SUBSIDIO!$AA$92))*(0.03)/(1-0.03)</f>
        <v>2753.5610026187005</v>
      </c>
      <c r="AF92" s="4" t="s">
        <v>814</v>
      </c>
    </row>
    <row r="93" spans="1:32" ht="11.25" customHeight="1" x14ac:dyDescent="0.3">
      <c r="A93" s="4" t="s">
        <v>57</v>
      </c>
      <c r="B93" s="4" t="s">
        <v>39</v>
      </c>
      <c r="C93" s="4" t="s">
        <v>42</v>
      </c>
      <c r="D93" s="4" t="s">
        <v>50</v>
      </c>
      <c r="E93" s="4" t="s">
        <v>51</v>
      </c>
      <c r="F93" s="4" t="s">
        <v>25</v>
      </c>
      <c r="G93" s="4" t="s">
        <v>25</v>
      </c>
      <c r="H93" s="4" t="s">
        <v>35</v>
      </c>
      <c r="I93" s="5">
        <v>44835</v>
      </c>
      <c r="J93" s="6">
        <v>500</v>
      </c>
      <c r="K93" s="53">
        <v>500</v>
      </c>
      <c r="L93" s="6">
        <v>249.33799999999999</v>
      </c>
      <c r="M93" s="52">
        <v>249.33799999999999</v>
      </c>
      <c r="N93" s="6">
        <v>249.33799999999999</v>
      </c>
      <c r="O93" s="52">
        <v>249.33799999999999</v>
      </c>
      <c r="P93" s="6">
        <v>0</v>
      </c>
      <c r="Q93" s="4" t="s">
        <v>26</v>
      </c>
      <c r="R93" s="4">
        <v>0</v>
      </c>
      <c r="S93" s="4">
        <v>5</v>
      </c>
      <c r="T93" s="4">
        <v>8</v>
      </c>
      <c r="U93" s="4">
        <v>66</v>
      </c>
      <c r="V93" s="52">
        <f>IF(ISERROR(VLOOKUP($S$93,'TAR FIN'!$A$1:$O$103,15,0)),0,VLOOKUP($S$93,'TAR FIN'!$A$1:$O$103,15,0))*(1-0.06)</f>
        <v>17.784800000000001</v>
      </c>
      <c r="W93" s="52">
        <f>IF(ISERROR(VLOOKUP($T$93,'TAR FIN'!$A$1:$O$103,15,0)),0,VLOOKUP($T$93,'TAR FIN'!$A$1:$O$103,15,0))*(1-0.06)</f>
        <v>79.890599999999992</v>
      </c>
      <c r="X93" s="52">
        <f>IF(ISERROR(VLOOKUP($U$93,'TAR FIN'!$A$1:$O$103,15,0)),0,VLOOKUP($U$93,'TAR FIN'!$A$1:$O$103,15,0))*(1-0.06)</f>
        <v>228.2038</v>
      </c>
      <c r="Y93" s="52">
        <f ca="1">('TUSD BE'!$AM$18+'TUSD BF'!$AM$18+'TUSD CVA'!$AM$18)*1*(1-0.03)</f>
        <v>20.728258466855738</v>
      </c>
      <c r="Z93" s="52">
        <f ca="1">('TUSD BE'!$AM$19+'TUSD BF'!$AM$19+'TUSD CVA'!$AM$19)*1*(1-0.03)</f>
        <v>141.35070271825751</v>
      </c>
      <c r="AA93" s="52">
        <f>('TE BE'!$AB$9+'TE BF'!$AB$9+'TE CVA'!$AB$9)*1*(1-0.03)</f>
        <v>215.72204893346822</v>
      </c>
      <c r="AB93" s="52">
        <f>(SUBSIDIO!$J$93*SUBSIDIO!$V$93)*(0.06)/(1-0.06)</f>
        <v>567.6</v>
      </c>
      <c r="AC93" s="52">
        <f>((SUBSIDIO!$L$93*SUBSIDIO!$W$93)+(SUBSIDIO!$N$93*SUBSIDIO!$X$93))*(0.06)/(1-0.06)</f>
        <v>4903.3813727999996</v>
      </c>
      <c r="AD93" s="52">
        <f ca="1">(SUBSIDIO!$J$93*SUBSIDIO!$Y$93)*(0.03)/(1-0.03)</f>
        <v>320.54007938436712</v>
      </c>
      <c r="AE93" s="52">
        <f ca="1">((SUBSIDIO!$L$93*SUBSIDIO!$Z$93)+(SUBSIDIO!$N$93*SUBSIDIO!$AA$93))*(0.03)/(1-0.03)</f>
        <v>2753.5610026187005</v>
      </c>
      <c r="AF93" s="4" t="s">
        <v>814</v>
      </c>
    </row>
    <row r="94" spans="1:32" ht="11.25" customHeight="1" x14ac:dyDescent="0.3">
      <c r="A94" s="4" t="s">
        <v>21</v>
      </c>
      <c r="B94" s="4" t="s">
        <v>39</v>
      </c>
      <c r="C94" s="4" t="s">
        <v>42</v>
      </c>
      <c r="D94" s="4" t="s">
        <v>50</v>
      </c>
      <c r="E94" s="4" t="s">
        <v>51</v>
      </c>
      <c r="F94" s="4" t="s">
        <v>25</v>
      </c>
      <c r="G94" s="4" t="s">
        <v>25</v>
      </c>
      <c r="H94" s="4" t="s">
        <v>34</v>
      </c>
      <c r="I94" s="5">
        <v>44501</v>
      </c>
      <c r="J94" s="6">
        <v>504</v>
      </c>
      <c r="K94" s="53">
        <v>504</v>
      </c>
      <c r="L94" s="6">
        <v>26.707000000000001</v>
      </c>
      <c r="M94" s="52">
        <v>26.707000000000001</v>
      </c>
      <c r="N94" s="6">
        <v>26.707000000000001</v>
      </c>
      <c r="O94" s="52">
        <v>26.707000000000001</v>
      </c>
      <c r="P94" s="6">
        <v>0</v>
      </c>
      <c r="Q94" s="4" t="s">
        <v>26</v>
      </c>
      <c r="R94" s="4">
        <v>0</v>
      </c>
      <c r="S94" s="4">
        <v>4</v>
      </c>
      <c r="T94" s="4">
        <v>8</v>
      </c>
      <c r="U94" s="4">
        <v>65</v>
      </c>
      <c r="V94" s="52">
        <f>IF(ISERROR(VLOOKUP($S$94,'TAR FIN'!$A$1:$O$103,15,0)),0,VLOOKUP($S$94,'TAR FIN'!$A$1:$O$103,15,0))*(1-0.06)</f>
        <v>42.986199999999997</v>
      </c>
      <c r="W94" s="52">
        <f>IF(ISERROR(VLOOKUP($T$94,'TAR FIN'!$A$1:$O$103,15,0)),0,VLOOKUP($T$94,'TAR FIN'!$A$1:$O$103,15,0))*(1-0.06)</f>
        <v>79.890599999999992</v>
      </c>
      <c r="X94" s="52">
        <f>IF(ISERROR(VLOOKUP($U$94,'TAR FIN'!$A$1:$O$103,15,0)),0,VLOOKUP($U$94,'TAR FIN'!$A$1:$O$103,15,0))*(1-0.06)</f>
        <v>368.04759999999999</v>
      </c>
      <c r="Y94" s="52">
        <f ca="1">('TUSD BE'!$AM$17+'TUSD BF'!$AM$17+'TUSD CVA'!$AM$17)*1*(1-0.03)</f>
        <v>49.5082702248163</v>
      </c>
      <c r="Z94" s="52">
        <f ca="1">('TUSD BE'!$AM$19+'TUSD BF'!$AM$19+'TUSD CVA'!$AM$19)*1*(1-0.03)</f>
        <v>141.35070271825751</v>
      </c>
      <c r="AA94" s="52">
        <f>('TE BE'!$AB$8+'TE BF'!$AB$8+'TE CVA'!$AB$8)*1*(1-0.03)</f>
        <v>351.09406763094154</v>
      </c>
      <c r="AB94" s="52">
        <f>(SUBSIDIO!$J$94*SUBSIDIO!$V$94)*(0.06)/(1-0.06)</f>
        <v>1382.8751999999999</v>
      </c>
      <c r="AC94" s="52">
        <f>((SUBSIDIO!$L$94*SUBSIDIO!$W$94)+(SUBSIDIO!$N$94*SUBSIDIO!$X$94))*(0.06)/(1-0.06)</f>
        <v>763.60120259999997</v>
      </c>
      <c r="AD94" s="52">
        <f ca="1">(SUBSIDIO!$J$94*SUBSIDIO!$Y$94)*(0.03)/(1-0.03)</f>
        <v>771.71654206105404</v>
      </c>
      <c r="AE94" s="52">
        <f ca="1">((SUBSIDIO!$L$94*SUBSIDIO!$Z$94)+(SUBSIDIO!$N$94*SUBSIDIO!$AA$94))*(0.03)/(1-0.03)</f>
        <v>406.75430355822863</v>
      </c>
      <c r="AF94" s="4" t="s">
        <v>814</v>
      </c>
    </row>
    <row r="95" spans="1:32" ht="11.25" customHeight="1" x14ac:dyDescent="0.3">
      <c r="A95" s="4" t="s">
        <v>21</v>
      </c>
      <c r="B95" s="4" t="s">
        <v>39</v>
      </c>
      <c r="C95" s="4" t="s">
        <v>42</v>
      </c>
      <c r="D95" s="4" t="s">
        <v>50</v>
      </c>
      <c r="E95" s="4" t="s">
        <v>51</v>
      </c>
      <c r="F95" s="4" t="s">
        <v>25</v>
      </c>
      <c r="G95" s="4" t="s">
        <v>25</v>
      </c>
      <c r="H95" s="4" t="s">
        <v>34</v>
      </c>
      <c r="I95" s="5">
        <v>44531</v>
      </c>
      <c r="J95" s="6">
        <v>503</v>
      </c>
      <c r="K95" s="53">
        <v>503</v>
      </c>
      <c r="L95" s="6">
        <v>30.75</v>
      </c>
      <c r="M95" s="52">
        <v>30.75</v>
      </c>
      <c r="N95" s="6">
        <v>30.75</v>
      </c>
      <c r="O95" s="52">
        <v>30.75</v>
      </c>
      <c r="P95" s="6">
        <v>0</v>
      </c>
      <c r="Q95" s="4" t="s">
        <v>26</v>
      </c>
      <c r="R95" s="4">
        <v>0</v>
      </c>
      <c r="S95" s="4">
        <v>4</v>
      </c>
      <c r="T95" s="4">
        <v>8</v>
      </c>
      <c r="U95" s="4">
        <v>65</v>
      </c>
      <c r="V95" s="52">
        <f>IF(ISERROR(VLOOKUP($S$95,'TAR FIN'!$A$1:$O$103,15,0)),0,VLOOKUP($S$95,'TAR FIN'!$A$1:$O$103,15,0))*(1-0.06)</f>
        <v>42.986199999999997</v>
      </c>
      <c r="W95" s="52">
        <f>IF(ISERROR(VLOOKUP($T$95,'TAR FIN'!$A$1:$O$103,15,0)),0,VLOOKUP($T$95,'TAR FIN'!$A$1:$O$103,15,0))*(1-0.06)</f>
        <v>79.890599999999992</v>
      </c>
      <c r="X95" s="52">
        <f>IF(ISERROR(VLOOKUP($U$95,'TAR FIN'!$A$1:$O$103,15,0)),0,VLOOKUP($U$95,'TAR FIN'!$A$1:$O$103,15,0))*(1-0.06)</f>
        <v>368.04759999999999</v>
      </c>
      <c r="Y95" s="52">
        <f ca="1">('TUSD BE'!$AM$17+'TUSD BF'!$AM$17+'TUSD CVA'!$AM$17)*1*(1-0.03)</f>
        <v>49.5082702248163</v>
      </c>
      <c r="Z95" s="52">
        <f ca="1">('TUSD BE'!$AM$19+'TUSD BF'!$AM$19+'TUSD CVA'!$AM$19)*1*(1-0.03)</f>
        <v>141.35070271825751</v>
      </c>
      <c r="AA95" s="52">
        <f>('TE BE'!$AB$8+'TE BF'!$AB$8+'TE CVA'!$AB$8)*1*(1-0.03)</f>
        <v>351.09406763094154</v>
      </c>
      <c r="AB95" s="52">
        <f>(SUBSIDIO!$J$95*SUBSIDIO!$V$95)*(0.06)/(1-0.06)</f>
        <v>1380.1313999999998</v>
      </c>
      <c r="AC95" s="52">
        <f>((SUBSIDIO!$L$95*SUBSIDIO!$W$95)+(SUBSIDIO!$N$95*SUBSIDIO!$X$95))*(0.06)/(1-0.06)</f>
        <v>879.19785000000002</v>
      </c>
      <c r="AD95" s="52">
        <f ca="1">(SUBSIDIO!$J$95*SUBSIDIO!$Y$95)*(0.03)/(1-0.03)</f>
        <v>770.18535844585358</v>
      </c>
      <c r="AE95" s="52">
        <f ca="1">((SUBSIDIO!$L$95*SUBSIDIO!$Z$95)+(SUBSIDIO!$N$95*SUBSIDIO!$AA$95))*(0.03)/(1-0.03)</f>
        <v>468.33020685271765</v>
      </c>
      <c r="AF95" s="4" t="s">
        <v>814</v>
      </c>
    </row>
    <row r="96" spans="1:32" ht="11.25" customHeight="1" x14ac:dyDescent="0.3">
      <c r="A96" s="4" t="s">
        <v>21</v>
      </c>
      <c r="B96" s="4" t="s">
        <v>39</v>
      </c>
      <c r="C96" s="4" t="s">
        <v>42</v>
      </c>
      <c r="D96" s="4" t="s">
        <v>50</v>
      </c>
      <c r="E96" s="4" t="s">
        <v>51</v>
      </c>
      <c r="F96" s="4" t="s">
        <v>25</v>
      </c>
      <c r="G96" s="4" t="s">
        <v>25</v>
      </c>
      <c r="H96" s="4" t="s">
        <v>34</v>
      </c>
      <c r="I96" s="5">
        <v>44562</v>
      </c>
      <c r="J96" s="6">
        <v>503</v>
      </c>
      <c r="K96" s="53">
        <v>503</v>
      </c>
      <c r="L96" s="6">
        <v>27.852</v>
      </c>
      <c r="M96" s="52">
        <v>27.852</v>
      </c>
      <c r="N96" s="6">
        <v>27.852</v>
      </c>
      <c r="O96" s="52">
        <v>27.852</v>
      </c>
      <c r="P96" s="6">
        <v>0</v>
      </c>
      <c r="Q96" s="4" t="s">
        <v>26</v>
      </c>
      <c r="R96" s="4">
        <v>0</v>
      </c>
      <c r="S96" s="4">
        <v>4</v>
      </c>
      <c r="T96" s="4">
        <v>8</v>
      </c>
      <c r="U96" s="4">
        <v>65</v>
      </c>
      <c r="V96" s="52">
        <f>IF(ISERROR(VLOOKUP($S$96,'TAR FIN'!$A$1:$O$103,15,0)),0,VLOOKUP($S$96,'TAR FIN'!$A$1:$O$103,15,0))*(1-0.06)</f>
        <v>42.986199999999997</v>
      </c>
      <c r="W96" s="52">
        <f>IF(ISERROR(VLOOKUP($T$96,'TAR FIN'!$A$1:$O$103,15,0)),0,VLOOKUP($T$96,'TAR FIN'!$A$1:$O$103,15,0))*(1-0.06)</f>
        <v>79.890599999999992</v>
      </c>
      <c r="X96" s="52">
        <f>IF(ISERROR(VLOOKUP($U$96,'TAR FIN'!$A$1:$O$103,15,0)),0,VLOOKUP($U$96,'TAR FIN'!$A$1:$O$103,15,0))*(1-0.06)</f>
        <v>368.04759999999999</v>
      </c>
      <c r="Y96" s="52">
        <f ca="1">('TUSD BE'!$AM$17+'TUSD BF'!$AM$17+'TUSD CVA'!$AM$17)*1*(1-0.03)</f>
        <v>49.5082702248163</v>
      </c>
      <c r="Z96" s="52">
        <f ca="1">('TUSD BE'!$AM$19+'TUSD BF'!$AM$19+'TUSD CVA'!$AM$19)*1*(1-0.03)</f>
        <v>141.35070271825751</v>
      </c>
      <c r="AA96" s="52">
        <f>('TE BE'!$AB$8+'TE BF'!$AB$8+'TE CVA'!$AB$8)*1*(1-0.03)</f>
        <v>351.09406763094154</v>
      </c>
      <c r="AB96" s="52">
        <f>(SUBSIDIO!$J$96*SUBSIDIO!$V$96)*(0.06)/(1-0.06)</f>
        <v>1380.1313999999998</v>
      </c>
      <c r="AC96" s="52">
        <f>((SUBSIDIO!$L$96*SUBSIDIO!$W$96)+(SUBSIDIO!$N$96*SUBSIDIO!$X$96))*(0.06)/(1-0.06)</f>
        <v>796.33881359999998</v>
      </c>
      <c r="AD96" s="52">
        <f ca="1">(SUBSIDIO!$J$96*SUBSIDIO!$Y$96)*(0.03)/(1-0.03)</f>
        <v>770.18535844585358</v>
      </c>
      <c r="AE96" s="52">
        <f ca="1">((SUBSIDIO!$L$96*SUBSIDIO!$Z$96)+(SUBSIDIO!$N$96*SUBSIDIO!$AA$96))*(0.03)/(1-0.03)</f>
        <v>424.19294052884209</v>
      </c>
      <c r="AF96" s="4" t="s">
        <v>814</v>
      </c>
    </row>
    <row r="97" spans="1:32" ht="11.25" customHeight="1" x14ac:dyDescent="0.3">
      <c r="A97" s="4" t="s">
        <v>21</v>
      </c>
      <c r="B97" s="4" t="s">
        <v>39</v>
      </c>
      <c r="C97" s="4" t="s">
        <v>42</v>
      </c>
      <c r="D97" s="4" t="s">
        <v>50</v>
      </c>
      <c r="E97" s="4" t="s">
        <v>51</v>
      </c>
      <c r="F97" s="4" t="s">
        <v>25</v>
      </c>
      <c r="G97" s="4" t="s">
        <v>25</v>
      </c>
      <c r="H97" s="4" t="s">
        <v>34</v>
      </c>
      <c r="I97" s="5">
        <v>44593</v>
      </c>
      <c r="J97" s="6">
        <v>496</v>
      </c>
      <c r="K97" s="53">
        <v>496</v>
      </c>
      <c r="L97" s="6">
        <v>25.864999999999998</v>
      </c>
      <c r="M97" s="52">
        <v>25.864999999999998</v>
      </c>
      <c r="N97" s="6">
        <v>25.864999999999998</v>
      </c>
      <c r="O97" s="52">
        <v>25.864999999999998</v>
      </c>
      <c r="P97" s="6">
        <v>0</v>
      </c>
      <c r="Q97" s="4" t="s">
        <v>26</v>
      </c>
      <c r="R97" s="4">
        <v>0</v>
      </c>
      <c r="S97" s="4">
        <v>4</v>
      </c>
      <c r="T97" s="4">
        <v>8</v>
      </c>
      <c r="U97" s="4">
        <v>65</v>
      </c>
      <c r="V97" s="52">
        <f>IF(ISERROR(VLOOKUP($S$97,'TAR FIN'!$A$1:$O$103,15,0)),0,VLOOKUP($S$97,'TAR FIN'!$A$1:$O$103,15,0))*(1-0.06)</f>
        <v>42.986199999999997</v>
      </c>
      <c r="W97" s="52">
        <f>IF(ISERROR(VLOOKUP($T$97,'TAR FIN'!$A$1:$O$103,15,0)),0,VLOOKUP($T$97,'TAR FIN'!$A$1:$O$103,15,0))*(1-0.06)</f>
        <v>79.890599999999992</v>
      </c>
      <c r="X97" s="52">
        <f>IF(ISERROR(VLOOKUP($U$97,'TAR FIN'!$A$1:$O$103,15,0)),0,VLOOKUP($U$97,'TAR FIN'!$A$1:$O$103,15,0))*(1-0.06)</f>
        <v>368.04759999999999</v>
      </c>
      <c r="Y97" s="52">
        <f ca="1">('TUSD BE'!$AM$17+'TUSD BF'!$AM$17+'TUSD CVA'!$AM$17)*1*(1-0.03)</f>
        <v>49.5082702248163</v>
      </c>
      <c r="Z97" s="52">
        <f ca="1">('TUSD BE'!$AM$19+'TUSD BF'!$AM$19+'TUSD CVA'!$AM$19)*1*(1-0.03)</f>
        <v>141.35070271825751</v>
      </c>
      <c r="AA97" s="52">
        <f>('TE BE'!$AB$8+'TE BF'!$AB$8+'TE CVA'!$AB$8)*1*(1-0.03)</f>
        <v>351.09406763094154</v>
      </c>
      <c r="AB97" s="52">
        <f>(SUBSIDIO!$J$97*SUBSIDIO!$V$97)*(0.06)/(1-0.06)</f>
        <v>1360.9248</v>
      </c>
      <c r="AC97" s="52">
        <f>((SUBSIDIO!$L$97*SUBSIDIO!$W$97)+(SUBSIDIO!$N$97*SUBSIDIO!$X$97))*(0.06)/(1-0.06)</f>
        <v>739.52690699999994</v>
      </c>
      <c r="AD97" s="52">
        <f ca="1">(SUBSIDIO!$J$97*SUBSIDIO!$Y$97)*(0.03)/(1-0.03)</f>
        <v>759.46707313945012</v>
      </c>
      <c r="AE97" s="52">
        <f ca="1">((SUBSIDIO!$L$97*SUBSIDIO!$Z$97)+(SUBSIDIO!$N$97*SUBSIDIO!$AA$97))*(0.03)/(1-0.03)</f>
        <v>393.93043252831023</v>
      </c>
      <c r="AF97" s="4" t="s">
        <v>814</v>
      </c>
    </row>
    <row r="98" spans="1:32" ht="11.25" customHeight="1" x14ac:dyDescent="0.3">
      <c r="A98" s="4" t="s">
        <v>21</v>
      </c>
      <c r="B98" s="4" t="s">
        <v>39</v>
      </c>
      <c r="C98" s="4" t="s">
        <v>42</v>
      </c>
      <c r="D98" s="4" t="s">
        <v>50</v>
      </c>
      <c r="E98" s="4" t="s">
        <v>51</v>
      </c>
      <c r="F98" s="4" t="s">
        <v>25</v>
      </c>
      <c r="G98" s="4" t="s">
        <v>25</v>
      </c>
      <c r="H98" s="4" t="s">
        <v>34</v>
      </c>
      <c r="I98" s="5">
        <v>44621</v>
      </c>
      <c r="J98" s="6">
        <v>496</v>
      </c>
      <c r="K98" s="53">
        <v>496</v>
      </c>
      <c r="L98" s="6">
        <v>28.08</v>
      </c>
      <c r="M98" s="52">
        <v>28.08</v>
      </c>
      <c r="N98" s="6">
        <v>28.08</v>
      </c>
      <c r="O98" s="52">
        <v>28.08</v>
      </c>
      <c r="P98" s="6">
        <v>0</v>
      </c>
      <c r="Q98" s="4" t="s">
        <v>26</v>
      </c>
      <c r="R98" s="4">
        <v>0</v>
      </c>
      <c r="S98" s="4">
        <v>4</v>
      </c>
      <c r="T98" s="4">
        <v>8</v>
      </c>
      <c r="U98" s="4">
        <v>65</v>
      </c>
      <c r="V98" s="52">
        <f>IF(ISERROR(VLOOKUP($S$98,'TAR FIN'!$A$1:$O$103,15,0)),0,VLOOKUP($S$98,'TAR FIN'!$A$1:$O$103,15,0))*(1-0.06)</f>
        <v>42.986199999999997</v>
      </c>
      <c r="W98" s="52">
        <f>IF(ISERROR(VLOOKUP($T$98,'TAR FIN'!$A$1:$O$103,15,0)),0,VLOOKUP($T$98,'TAR FIN'!$A$1:$O$103,15,0))*(1-0.06)</f>
        <v>79.890599999999992</v>
      </c>
      <c r="X98" s="52">
        <f>IF(ISERROR(VLOOKUP($U$98,'TAR FIN'!$A$1:$O$103,15,0)),0,VLOOKUP($U$98,'TAR FIN'!$A$1:$O$103,15,0))*(1-0.06)</f>
        <v>368.04759999999999</v>
      </c>
      <c r="Y98" s="52">
        <f ca="1">('TUSD BE'!$AM$17+'TUSD BF'!$AM$17+'TUSD CVA'!$AM$17)*1*(1-0.03)</f>
        <v>49.5082702248163</v>
      </c>
      <c r="Z98" s="52">
        <f ca="1">('TUSD BE'!$AM$19+'TUSD BF'!$AM$19+'TUSD CVA'!$AM$19)*1*(1-0.03)</f>
        <v>141.35070271825751</v>
      </c>
      <c r="AA98" s="52">
        <f>('TE BE'!$AB$8+'TE BF'!$AB$8+'TE CVA'!$AB$8)*1*(1-0.03)</f>
        <v>351.09406763094154</v>
      </c>
      <c r="AB98" s="52">
        <f>(SUBSIDIO!$J$98*SUBSIDIO!$V$98)*(0.06)/(1-0.06)</f>
        <v>1360.9248</v>
      </c>
      <c r="AC98" s="52">
        <f>((SUBSIDIO!$L$98*SUBSIDIO!$W$98)+(SUBSIDIO!$N$98*SUBSIDIO!$X$98))*(0.06)/(1-0.06)</f>
        <v>802.85774399999991</v>
      </c>
      <c r="AD98" s="52">
        <f ca="1">(SUBSIDIO!$J$98*SUBSIDIO!$Y$98)*(0.03)/(1-0.03)</f>
        <v>759.46707313945012</v>
      </c>
      <c r="AE98" s="52">
        <f ca="1">((SUBSIDIO!$L$98*SUBSIDIO!$Z$98)+(SUBSIDIO!$N$98*SUBSIDIO!$AA$98))*(0.03)/(1-0.03)</f>
        <v>427.66543767233532</v>
      </c>
      <c r="AF98" s="4" t="s">
        <v>814</v>
      </c>
    </row>
    <row r="99" spans="1:32" ht="11.25" customHeight="1" x14ac:dyDescent="0.3">
      <c r="A99" s="4" t="s">
        <v>21</v>
      </c>
      <c r="B99" s="4" t="s">
        <v>39</v>
      </c>
      <c r="C99" s="4" t="s">
        <v>42</v>
      </c>
      <c r="D99" s="4" t="s">
        <v>50</v>
      </c>
      <c r="E99" s="4" t="s">
        <v>51</v>
      </c>
      <c r="F99" s="4" t="s">
        <v>25</v>
      </c>
      <c r="G99" s="4" t="s">
        <v>25</v>
      </c>
      <c r="H99" s="4" t="s">
        <v>34</v>
      </c>
      <c r="I99" s="5">
        <v>44652</v>
      </c>
      <c r="J99" s="6">
        <v>496</v>
      </c>
      <c r="K99" s="53">
        <v>496</v>
      </c>
      <c r="L99" s="6">
        <v>24.72</v>
      </c>
      <c r="M99" s="52">
        <v>24.72</v>
      </c>
      <c r="N99" s="6">
        <v>24.72</v>
      </c>
      <c r="O99" s="52">
        <v>24.72</v>
      </c>
      <c r="P99" s="6">
        <v>0</v>
      </c>
      <c r="Q99" s="4" t="s">
        <v>26</v>
      </c>
      <c r="R99" s="4">
        <v>0</v>
      </c>
      <c r="S99" s="4">
        <v>4</v>
      </c>
      <c r="T99" s="4">
        <v>8</v>
      </c>
      <c r="U99" s="4">
        <v>65</v>
      </c>
      <c r="V99" s="52">
        <f>IF(ISERROR(VLOOKUP($S$99,'TAR FIN'!$A$1:$O$103,15,0)),0,VLOOKUP($S$99,'TAR FIN'!$A$1:$O$103,15,0))*(1-0.06)</f>
        <v>42.986199999999997</v>
      </c>
      <c r="W99" s="52">
        <f>IF(ISERROR(VLOOKUP($T$99,'TAR FIN'!$A$1:$O$103,15,0)),0,VLOOKUP($T$99,'TAR FIN'!$A$1:$O$103,15,0))*(1-0.06)</f>
        <v>79.890599999999992</v>
      </c>
      <c r="X99" s="52">
        <f>IF(ISERROR(VLOOKUP($U$99,'TAR FIN'!$A$1:$O$103,15,0)),0,VLOOKUP($U$99,'TAR FIN'!$A$1:$O$103,15,0))*(1-0.06)</f>
        <v>368.04759999999999</v>
      </c>
      <c r="Y99" s="52">
        <f ca="1">('TUSD BE'!$AM$17+'TUSD BF'!$AM$17+'TUSD CVA'!$AM$17)*1*(1-0.03)</f>
        <v>49.5082702248163</v>
      </c>
      <c r="Z99" s="52">
        <f ca="1">('TUSD BE'!$AM$19+'TUSD BF'!$AM$19+'TUSD CVA'!$AM$19)*1*(1-0.03)</f>
        <v>141.35070271825751</v>
      </c>
      <c r="AA99" s="52">
        <f>('TE BE'!$AB$8+'TE BF'!$AB$8+'TE CVA'!$AB$8)*1*(1-0.03)</f>
        <v>351.09406763094154</v>
      </c>
      <c r="AB99" s="52">
        <f>(SUBSIDIO!$J$99*SUBSIDIO!$V$99)*(0.06)/(1-0.06)</f>
        <v>1360.9248</v>
      </c>
      <c r="AC99" s="52">
        <f>((SUBSIDIO!$L$99*SUBSIDIO!$W$99)+(SUBSIDIO!$N$99*SUBSIDIO!$X$99))*(0.06)/(1-0.06)</f>
        <v>706.78929599999992</v>
      </c>
      <c r="AD99" s="52">
        <f ca="1">(SUBSIDIO!$J$99*SUBSIDIO!$Y$99)*(0.03)/(1-0.03)</f>
        <v>759.46707313945012</v>
      </c>
      <c r="AE99" s="52">
        <f ca="1">((SUBSIDIO!$L$99*SUBSIDIO!$Z$99)+(SUBSIDIO!$N$99*SUBSIDIO!$AA$99))*(0.03)/(1-0.03)</f>
        <v>376.49179555769689</v>
      </c>
      <c r="AF99" s="4" t="s">
        <v>814</v>
      </c>
    </row>
    <row r="100" spans="1:32" ht="11.25" customHeight="1" x14ac:dyDescent="0.3">
      <c r="A100" s="4" t="s">
        <v>21</v>
      </c>
      <c r="B100" s="4" t="s">
        <v>39</v>
      </c>
      <c r="C100" s="4" t="s">
        <v>42</v>
      </c>
      <c r="D100" s="4" t="s">
        <v>50</v>
      </c>
      <c r="E100" s="4" t="s">
        <v>51</v>
      </c>
      <c r="F100" s="4" t="s">
        <v>25</v>
      </c>
      <c r="G100" s="4" t="s">
        <v>25</v>
      </c>
      <c r="H100" s="4" t="s">
        <v>34</v>
      </c>
      <c r="I100" s="5">
        <v>44682</v>
      </c>
      <c r="J100" s="6">
        <v>495</v>
      </c>
      <c r="K100" s="53">
        <v>495</v>
      </c>
      <c r="L100" s="6">
        <v>28.018000000000001</v>
      </c>
      <c r="M100" s="52">
        <v>28.018000000000001</v>
      </c>
      <c r="N100" s="6">
        <v>28.018000000000001</v>
      </c>
      <c r="O100" s="52">
        <v>28.018000000000001</v>
      </c>
      <c r="P100" s="6">
        <v>0</v>
      </c>
      <c r="Q100" s="4" t="s">
        <v>26</v>
      </c>
      <c r="R100" s="4">
        <v>0</v>
      </c>
      <c r="S100" s="4">
        <v>4</v>
      </c>
      <c r="T100" s="4">
        <v>8</v>
      </c>
      <c r="U100" s="4">
        <v>65</v>
      </c>
      <c r="V100" s="52">
        <f>IF(ISERROR(VLOOKUP($S$100,'TAR FIN'!$A$1:$O$103,15,0)),0,VLOOKUP($S$100,'TAR FIN'!$A$1:$O$103,15,0))*(1-0.06)</f>
        <v>42.986199999999997</v>
      </c>
      <c r="W100" s="52">
        <f>IF(ISERROR(VLOOKUP($T$100,'TAR FIN'!$A$1:$O$103,15,0)),0,VLOOKUP($T$100,'TAR FIN'!$A$1:$O$103,15,0))*(1-0.06)</f>
        <v>79.890599999999992</v>
      </c>
      <c r="X100" s="52">
        <f>IF(ISERROR(VLOOKUP($U$100,'TAR FIN'!$A$1:$O$103,15,0)),0,VLOOKUP($U$100,'TAR FIN'!$A$1:$O$103,15,0))*(1-0.06)</f>
        <v>368.04759999999999</v>
      </c>
      <c r="Y100" s="52">
        <f ca="1">('TUSD BE'!$AM$17+'TUSD BF'!$AM$17+'TUSD CVA'!$AM$17)*1*(1-0.03)</f>
        <v>49.5082702248163</v>
      </c>
      <c r="Z100" s="52">
        <f ca="1">('TUSD BE'!$AM$19+'TUSD BF'!$AM$19+'TUSD CVA'!$AM$19)*1*(1-0.03)</f>
        <v>141.35070271825751</v>
      </c>
      <c r="AA100" s="52">
        <f>('TE BE'!$AB$8+'TE BF'!$AB$8+'TE CVA'!$AB$8)*1*(1-0.03)</f>
        <v>351.09406763094154</v>
      </c>
      <c r="AB100" s="52">
        <f>(SUBSIDIO!$J$100*SUBSIDIO!$V$100)*(0.06)/(1-0.06)</f>
        <v>1358.181</v>
      </c>
      <c r="AC100" s="52">
        <f>((SUBSIDIO!$L$100*SUBSIDIO!$W$100)+(SUBSIDIO!$N$100*SUBSIDIO!$X$100))*(0.06)/(1-0.06)</f>
        <v>801.0850524</v>
      </c>
      <c r="AD100" s="52">
        <f ca="1">(SUBSIDIO!$J$100*SUBSIDIO!$Y$100)*(0.03)/(1-0.03)</f>
        <v>757.93588952424955</v>
      </c>
      <c r="AE100" s="52">
        <f ca="1">((SUBSIDIO!$L$100*SUBSIDIO!$Z$100)+(SUBSIDIO!$N$100*SUBSIDIO!$AA$100))*(0.03)/(1-0.03)</f>
        <v>426.72116213331526</v>
      </c>
      <c r="AF100" s="4" t="s">
        <v>814</v>
      </c>
    </row>
    <row r="101" spans="1:32" ht="11.25" customHeight="1" x14ac:dyDescent="0.3">
      <c r="A101" s="4" t="s">
        <v>21</v>
      </c>
      <c r="B101" s="4" t="s">
        <v>39</v>
      </c>
      <c r="C101" s="4" t="s">
        <v>42</v>
      </c>
      <c r="D101" s="4" t="s">
        <v>50</v>
      </c>
      <c r="E101" s="4" t="s">
        <v>51</v>
      </c>
      <c r="F101" s="4" t="s">
        <v>25</v>
      </c>
      <c r="G101" s="4" t="s">
        <v>25</v>
      </c>
      <c r="H101" s="4" t="s">
        <v>34</v>
      </c>
      <c r="I101" s="5">
        <v>44713</v>
      </c>
      <c r="J101" s="6">
        <v>495</v>
      </c>
      <c r="K101" s="53">
        <v>495</v>
      </c>
      <c r="L101" s="6">
        <v>26.640999999999998</v>
      </c>
      <c r="M101" s="52">
        <v>26.640999999999998</v>
      </c>
      <c r="N101" s="6">
        <v>26.640999999999998</v>
      </c>
      <c r="O101" s="52">
        <v>26.640999999999998</v>
      </c>
      <c r="P101" s="6">
        <v>0</v>
      </c>
      <c r="Q101" s="4" t="s">
        <v>26</v>
      </c>
      <c r="R101" s="4">
        <v>0</v>
      </c>
      <c r="S101" s="4">
        <v>4</v>
      </c>
      <c r="T101" s="4">
        <v>8</v>
      </c>
      <c r="U101" s="4">
        <v>65</v>
      </c>
      <c r="V101" s="52">
        <f>IF(ISERROR(VLOOKUP($S$101,'TAR FIN'!$A$1:$O$103,15,0)),0,VLOOKUP($S$101,'TAR FIN'!$A$1:$O$103,15,0))*(1-0.06)</f>
        <v>42.986199999999997</v>
      </c>
      <c r="W101" s="52">
        <f>IF(ISERROR(VLOOKUP($T$101,'TAR FIN'!$A$1:$O$103,15,0)),0,VLOOKUP($T$101,'TAR FIN'!$A$1:$O$103,15,0))*(1-0.06)</f>
        <v>79.890599999999992</v>
      </c>
      <c r="X101" s="52">
        <f>IF(ISERROR(VLOOKUP($U$101,'TAR FIN'!$A$1:$O$103,15,0)),0,VLOOKUP($U$101,'TAR FIN'!$A$1:$O$103,15,0))*(1-0.06)</f>
        <v>368.04759999999999</v>
      </c>
      <c r="Y101" s="52">
        <f ca="1">('TUSD BE'!$AM$17+'TUSD BF'!$AM$17+'TUSD CVA'!$AM$17)*1*(1-0.03)</f>
        <v>49.5082702248163</v>
      </c>
      <c r="Z101" s="52">
        <f ca="1">('TUSD BE'!$AM$19+'TUSD BF'!$AM$19+'TUSD CVA'!$AM$19)*1*(1-0.03)</f>
        <v>141.35070271825751</v>
      </c>
      <c r="AA101" s="52">
        <f>('TE BE'!$AB$8+'TE BF'!$AB$8+'TE CVA'!$AB$8)*1*(1-0.03)</f>
        <v>351.09406763094154</v>
      </c>
      <c r="AB101" s="52">
        <f>(SUBSIDIO!$J$101*SUBSIDIO!$V$101)*(0.06)/(1-0.06)</f>
        <v>1358.181</v>
      </c>
      <c r="AC101" s="52">
        <f>((SUBSIDIO!$L$101*SUBSIDIO!$W$101)+(SUBSIDIO!$N$101*SUBSIDIO!$X$101))*(0.06)/(1-0.06)</f>
        <v>761.71414379999999</v>
      </c>
      <c r="AD101" s="52">
        <f ca="1">(SUBSIDIO!$J$101*SUBSIDIO!$Y$101)*(0.03)/(1-0.03)</f>
        <v>757.93588952424955</v>
      </c>
      <c r="AE101" s="52">
        <f ca="1">((SUBSIDIO!$L$101*SUBSIDIO!$Z$101)+(SUBSIDIO!$N$101*SUBSIDIO!$AA$101))*(0.03)/(1-0.03)</f>
        <v>405.74910701669108</v>
      </c>
      <c r="AF101" s="4" t="s">
        <v>814</v>
      </c>
    </row>
    <row r="102" spans="1:32" ht="11.25" customHeight="1" x14ac:dyDescent="0.3">
      <c r="A102" s="4" t="s">
        <v>21</v>
      </c>
      <c r="B102" s="4" t="s">
        <v>39</v>
      </c>
      <c r="C102" s="4" t="s">
        <v>42</v>
      </c>
      <c r="D102" s="4" t="s">
        <v>50</v>
      </c>
      <c r="E102" s="4" t="s">
        <v>51</v>
      </c>
      <c r="F102" s="4" t="s">
        <v>25</v>
      </c>
      <c r="G102" s="4" t="s">
        <v>25</v>
      </c>
      <c r="H102" s="4" t="s">
        <v>34</v>
      </c>
      <c r="I102" s="5">
        <v>44743</v>
      </c>
      <c r="J102" s="6">
        <v>495</v>
      </c>
      <c r="K102" s="53">
        <v>495</v>
      </c>
      <c r="L102" s="6">
        <v>26.555</v>
      </c>
      <c r="M102" s="52">
        <v>26.555</v>
      </c>
      <c r="N102" s="6">
        <v>26.555</v>
      </c>
      <c r="O102" s="52">
        <v>26.555</v>
      </c>
      <c r="P102" s="6">
        <v>0</v>
      </c>
      <c r="Q102" s="4" t="s">
        <v>26</v>
      </c>
      <c r="R102" s="4">
        <v>0</v>
      </c>
      <c r="S102" s="4">
        <v>4</v>
      </c>
      <c r="T102" s="4">
        <v>8</v>
      </c>
      <c r="U102" s="4">
        <v>65</v>
      </c>
      <c r="V102" s="52">
        <f>IF(ISERROR(VLOOKUP($S$102,'TAR FIN'!$A$1:$O$103,15,0)),0,VLOOKUP($S$102,'TAR FIN'!$A$1:$O$103,15,0))*(1-0.06)</f>
        <v>42.986199999999997</v>
      </c>
      <c r="W102" s="52">
        <f>IF(ISERROR(VLOOKUP($T$102,'TAR FIN'!$A$1:$O$103,15,0)),0,VLOOKUP($T$102,'TAR FIN'!$A$1:$O$103,15,0))*(1-0.06)</f>
        <v>79.890599999999992</v>
      </c>
      <c r="X102" s="52">
        <f>IF(ISERROR(VLOOKUP($U$102,'TAR FIN'!$A$1:$O$103,15,0)),0,VLOOKUP($U$102,'TAR FIN'!$A$1:$O$103,15,0))*(1-0.06)</f>
        <v>368.04759999999999</v>
      </c>
      <c r="Y102" s="52">
        <f ca="1">('TUSD BE'!$AM$17+'TUSD BF'!$AM$17+'TUSD CVA'!$AM$17)*1*(1-0.03)</f>
        <v>49.5082702248163</v>
      </c>
      <c r="Z102" s="52">
        <f ca="1">('TUSD BE'!$AM$19+'TUSD BF'!$AM$19+'TUSD CVA'!$AM$19)*1*(1-0.03)</f>
        <v>141.35070271825751</v>
      </c>
      <c r="AA102" s="52">
        <f>('TE BE'!$AB$8+'TE BF'!$AB$8+'TE CVA'!$AB$8)*1*(1-0.03)</f>
        <v>351.09406763094154</v>
      </c>
      <c r="AB102" s="52">
        <f>(SUBSIDIO!$J$102*SUBSIDIO!$V$102)*(0.06)/(1-0.06)</f>
        <v>1358.181</v>
      </c>
      <c r="AC102" s="52">
        <f>((SUBSIDIO!$L$102*SUBSIDIO!$W$102)+(SUBSIDIO!$N$102*SUBSIDIO!$X$102))*(0.06)/(1-0.06)</f>
        <v>759.25524899999994</v>
      </c>
      <c r="AD102" s="52">
        <f ca="1">(SUBSIDIO!$J$102*SUBSIDIO!$Y$102)*(0.03)/(1-0.03)</f>
        <v>757.93588952424955</v>
      </c>
      <c r="AE102" s="52">
        <f ca="1">((SUBSIDIO!$L$102*SUBSIDIO!$Z$102)+(SUBSIDIO!$N$102*SUBSIDIO!$AA$102))*(0.03)/(1-0.03)</f>
        <v>404.43930546256644</v>
      </c>
      <c r="AF102" s="4" t="s">
        <v>814</v>
      </c>
    </row>
    <row r="103" spans="1:32" ht="11.25" customHeight="1" x14ac:dyDescent="0.3">
      <c r="A103" s="4" t="s">
        <v>21</v>
      </c>
      <c r="B103" s="4" t="s">
        <v>39</v>
      </c>
      <c r="C103" s="4" t="s">
        <v>42</v>
      </c>
      <c r="D103" s="4" t="s">
        <v>50</v>
      </c>
      <c r="E103" s="4" t="s">
        <v>51</v>
      </c>
      <c r="F103" s="4" t="s">
        <v>25</v>
      </c>
      <c r="G103" s="4" t="s">
        <v>25</v>
      </c>
      <c r="H103" s="4" t="s">
        <v>34</v>
      </c>
      <c r="I103" s="5">
        <v>44774</v>
      </c>
      <c r="J103" s="6">
        <v>495</v>
      </c>
      <c r="K103" s="53">
        <v>495</v>
      </c>
      <c r="L103" s="6">
        <v>28.975000000000001</v>
      </c>
      <c r="M103" s="52">
        <v>28.975000000000001</v>
      </c>
      <c r="N103" s="6">
        <v>28.975000000000001</v>
      </c>
      <c r="O103" s="52">
        <v>28.975000000000001</v>
      </c>
      <c r="P103" s="6">
        <v>0</v>
      </c>
      <c r="Q103" s="4" t="s">
        <v>26</v>
      </c>
      <c r="R103" s="4">
        <v>0</v>
      </c>
      <c r="S103" s="4">
        <v>4</v>
      </c>
      <c r="T103" s="4">
        <v>8</v>
      </c>
      <c r="U103" s="4">
        <v>65</v>
      </c>
      <c r="V103" s="52">
        <f>IF(ISERROR(VLOOKUP($S$103,'TAR FIN'!$A$1:$O$103,15,0)),0,VLOOKUP($S$103,'TAR FIN'!$A$1:$O$103,15,0))*(1-0.06)</f>
        <v>42.986199999999997</v>
      </c>
      <c r="W103" s="52">
        <f>IF(ISERROR(VLOOKUP($T$103,'TAR FIN'!$A$1:$O$103,15,0)),0,VLOOKUP($T$103,'TAR FIN'!$A$1:$O$103,15,0))*(1-0.06)</f>
        <v>79.890599999999992</v>
      </c>
      <c r="X103" s="52">
        <f>IF(ISERROR(VLOOKUP($U$103,'TAR FIN'!$A$1:$O$103,15,0)),0,VLOOKUP($U$103,'TAR FIN'!$A$1:$O$103,15,0))*(1-0.06)</f>
        <v>368.04759999999999</v>
      </c>
      <c r="Y103" s="52">
        <f ca="1">('TUSD BE'!$AM$17+'TUSD BF'!$AM$17+'TUSD CVA'!$AM$17)*1*(1-0.03)</f>
        <v>49.5082702248163</v>
      </c>
      <c r="Z103" s="52">
        <f ca="1">('TUSD BE'!$AM$19+'TUSD BF'!$AM$19+'TUSD CVA'!$AM$19)*1*(1-0.03)</f>
        <v>141.35070271825751</v>
      </c>
      <c r="AA103" s="52">
        <f>('TE BE'!$AB$8+'TE BF'!$AB$8+'TE CVA'!$AB$8)*1*(1-0.03)</f>
        <v>351.09406763094154</v>
      </c>
      <c r="AB103" s="52">
        <f>(SUBSIDIO!$J$103*SUBSIDIO!$V$103)*(0.06)/(1-0.06)</f>
        <v>1358.181</v>
      </c>
      <c r="AC103" s="52">
        <f>((SUBSIDIO!$L$103*SUBSIDIO!$W$103)+(SUBSIDIO!$N$103*SUBSIDIO!$X$103))*(0.06)/(1-0.06)</f>
        <v>828.447405</v>
      </c>
      <c r="AD103" s="52">
        <f ca="1">(SUBSIDIO!$J$103*SUBSIDIO!$Y$103)*(0.03)/(1-0.03)</f>
        <v>757.93588952424955</v>
      </c>
      <c r="AE103" s="52">
        <f ca="1">((SUBSIDIO!$L$103*SUBSIDIO!$Z$103)+(SUBSIDIO!$N$103*SUBSIDIO!$AA$103))*(0.03)/(1-0.03)</f>
        <v>441.29651198560964</v>
      </c>
      <c r="AF103" s="4" t="s">
        <v>814</v>
      </c>
    </row>
    <row r="104" spans="1:32" ht="11.25" customHeight="1" x14ac:dyDescent="0.3">
      <c r="A104" s="4" t="s">
        <v>21</v>
      </c>
      <c r="B104" s="4" t="s">
        <v>39</v>
      </c>
      <c r="C104" s="4" t="s">
        <v>42</v>
      </c>
      <c r="D104" s="4" t="s">
        <v>50</v>
      </c>
      <c r="E104" s="4" t="s">
        <v>51</v>
      </c>
      <c r="F104" s="4" t="s">
        <v>25</v>
      </c>
      <c r="G104" s="4" t="s">
        <v>25</v>
      </c>
      <c r="H104" s="4" t="s">
        <v>34</v>
      </c>
      <c r="I104" s="5">
        <v>44805</v>
      </c>
      <c r="J104" s="6">
        <v>495</v>
      </c>
      <c r="K104" s="53">
        <v>495</v>
      </c>
      <c r="L104" s="6">
        <v>26.323</v>
      </c>
      <c r="M104" s="52">
        <v>26.323</v>
      </c>
      <c r="N104" s="6">
        <v>26.323</v>
      </c>
      <c r="O104" s="52">
        <v>26.323</v>
      </c>
      <c r="P104" s="6">
        <v>0</v>
      </c>
      <c r="Q104" s="4" t="s">
        <v>26</v>
      </c>
      <c r="R104" s="4">
        <v>0</v>
      </c>
      <c r="S104" s="4">
        <v>4</v>
      </c>
      <c r="T104" s="4">
        <v>8</v>
      </c>
      <c r="U104" s="4">
        <v>65</v>
      </c>
      <c r="V104" s="52">
        <f>IF(ISERROR(VLOOKUP($S$104,'TAR FIN'!$A$1:$O$103,15,0)),0,VLOOKUP($S$104,'TAR FIN'!$A$1:$O$103,15,0))*(1-0.06)</f>
        <v>42.986199999999997</v>
      </c>
      <c r="W104" s="52">
        <f>IF(ISERROR(VLOOKUP($T$104,'TAR FIN'!$A$1:$O$103,15,0)),0,VLOOKUP($T$104,'TAR FIN'!$A$1:$O$103,15,0))*(1-0.06)</f>
        <v>79.890599999999992</v>
      </c>
      <c r="X104" s="52">
        <f>IF(ISERROR(VLOOKUP($U$104,'TAR FIN'!$A$1:$O$103,15,0)),0,VLOOKUP($U$104,'TAR FIN'!$A$1:$O$103,15,0))*(1-0.06)</f>
        <v>368.04759999999999</v>
      </c>
      <c r="Y104" s="52">
        <f ca="1">('TUSD BE'!$AM$17+'TUSD BF'!$AM$17+'TUSD CVA'!$AM$17)*1*(1-0.03)</f>
        <v>49.5082702248163</v>
      </c>
      <c r="Z104" s="52">
        <f ca="1">('TUSD BE'!$AM$19+'TUSD BF'!$AM$19+'TUSD CVA'!$AM$19)*1*(1-0.03)</f>
        <v>141.35070271825751</v>
      </c>
      <c r="AA104" s="52">
        <f>('TE BE'!$AB$8+'TE BF'!$AB$8+'TE CVA'!$AB$8)*1*(1-0.03)</f>
        <v>351.09406763094154</v>
      </c>
      <c r="AB104" s="52">
        <f>(SUBSIDIO!$J$104*SUBSIDIO!$V$104)*(0.06)/(1-0.06)</f>
        <v>1358.181</v>
      </c>
      <c r="AC104" s="52">
        <f>((SUBSIDIO!$L$104*SUBSIDIO!$W$104)+(SUBSIDIO!$N$104*SUBSIDIO!$X$104))*(0.06)/(1-0.06)</f>
        <v>752.62195139999994</v>
      </c>
      <c r="AD104" s="52">
        <f ca="1">(SUBSIDIO!$J$104*SUBSIDIO!$Y$104)*(0.03)/(1-0.03)</f>
        <v>757.93588952424955</v>
      </c>
      <c r="AE104" s="52">
        <f ca="1">((SUBSIDIO!$L$104*SUBSIDIO!$Z$104)+(SUBSIDIO!$N$104*SUBSIDIO!$AA$104))*(0.03)/(1-0.03)</f>
        <v>400.90588731655566</v>
      </c>
      <c r="AF104" s="4" t="s">
        <v>814</v>
      </c>
    </row>
    <row r="105" spans="1:32" ht="11.25" customHeight="1" x14ac:dyDescent="0.3">
      <c r="A105" s="4" t="s">
        <v>57</v>
      </c>
      <c r="B105" s="4" t="s">
        <v>39</v>
      </c>
      <c r="C105" s="4" t="s">
        <v>42</v>
      </c>
      <c r="D105" s="4" t="s">
        <v>50</v>
      </c>
      <c r="E105" s="4" t="s">
        <v>51</v>
      </c>
      <c r="F105" s="4" t="s">
        <v>25</v>
      </c>
      <c r="G105" s="4" t="s">
        <v>25</v>
      </c>
      <c r="H105" s="4" t="s">
        <v>34</v>
      </c>
      <c r="I105" s="5">
        <v>44835</v>
      </c>
      <c r="J105" s="6">
        <v>495</v>
      </c>
      <c r="K105" s="53">
        <v>495</v>
      </c>
      <c r="L105" s="6">
        <v>26.323</v>
      </c>
      <c r="M105" s="52">
        <v>26.323</v>
      </c>
      <c r="N105" s="6">
        <v>26.323</v>
      </c>
      <c r="O105" s="52">
        <v>26.323</v>
      </c>
      <c r="P105" s="6">
        <v>0</v>
      </c>
      <c r="Q105" s="4" t="s">
        <v>26</v>
      </c>
      <c r="R105" s="4">
        <v>0</v>
      </c>
      <c r="S105" s="4">
        <v>4</v>
      </c>
      <c r="T105" s="4">
        <v>8</v>
      </c>
      <c r="U105" s="4">
        <v>65</v>
      </c>
      <c r="V105" s="52">
        <f>IF(ISERROR(VLOOKUP($S$105,'TAR FIN'!$A$1:$O$103,15,0)),0,VLOOKUP($S$105,'TAR FIN'!$A$1:$O$103,15,0))*(1-0.06)</f>
        <v>42.986199999999997</v>
      </c>
      <c r="W105" s="52">
        <f>IF(ISERROR(VLOOKUP($T$105,'TAR FIN'!$A$1:$O$103,15,0)),0,VLOOKUP($T$105,'TAR FIN'!$A$1:$O$103,15,0))*(1-0.06)</f>
        <v>79.890599999999992</v>
      </c>
      <c r="X105" s="52">
        <f>IF(ISERROR(VLOOKUP($U$105,'TAR FIN'!$A$1:$O$103,15,0)),0,VLOOKUP($U$105,'TAR FIN'!$A$1:$O$103,15,0))*(1-0.06)</f>
        <v>368.04759999999999</v>
      </c>
      <c r="Y105" s="52">
        <f ca="1">('TUSD BE'!$AM$17+'TUSD BF'!$AM$17+'TUSD CVA'!$AM$17)*1*(1-0.03)</f>
        <v>49.5082702248163</v>
      </c>
      <c r="Z105" s="52">
        <f ca="1">('TUSD BE'!$AM$19+'TUSD BF'!$AM$19+'TUSD CVA'!$AM$19)*1*(1-0.03)</f>
        <v>141.35070271825751</v>
      </c>
      <c r="AA105" s="52">
        <f>('TE BE'!$AB$8+'TE BF'!$AB$8+'TE CVA'!$AB$8)*1*(1-0.03)</f>
        <v>351.09406763094154</v>
      </c>
      <c r="AB105" s="52">
        <f>(SUBSIDIO!$J$105*SUBSIDIO!$V$105)*(0.06)/(1-0.06)</f>
        <v>1358.181</v>
      </c>
      <c r="AC105" s="52">
        <f>((SUBSIDIO!$L$105*SUBSIDIO!$W$105)+(SUBSIDIO!$N$105*SUBSIDIO!$X$105))*(0.06)/(1-0.06)</f>
        <v>752.62195139999994</v>
      </c>
      <c r="AD105" s="52">
        <f ca="1">(SUBSIDIO!$J$105*SUBSIDIO!$Y$105)*(0.03)/(1-0.03)</f>
        <v>757.93588952424955</v>
      </c>
      <c r="AE105" s="52">
        <f ca="1">((SUBSIDIO!$L$105*SUBSIDIO!$Z$105)+(SUBSIDIO!$N$105*SUBSIDIO!$AA$105))*(0.03)/(1-0.03)</f>
        <v>400.90588731655566</v>
      </c>
      <c r="AF105" s="4" t="s">
        <v>814</v>
      </c>
    </row>
    <row r="106" spans="1:32" ht="11.25" customHeight="1" x14ac:dyDescent="0.3">
      <c r="A106" s="4" t="s">
        <v>21</v>
      </c>
      <c r="B106" s="4" t="s">
        <v>39</v>
      </c>
      <c r="C106" s="4" t="s">
        <v>40</v>
      </c>
      <c r="D106" s="4" t="s">
        <v>38</v>
      </c>
      <c r="E106" s="4" t="s">
        <v>25</v>
      </c>
      <c r="F106" s="4" t="s">
        <v>58</v>
      </c>
      <c r="G106" s="4" t="s">
        <v>25</v>
      </c>
      <c r="H106" s="4" t="s">
        <v>35</v>
      </c>
      <c r="I106" s="5">
        <v>44501</v>
      </c>
      <c r="J106" s="6">
        <v>0</v>
      </c>
      <c r="K106" s="6">
        <v>0</v>
      </c>
      <c r="L106" s="6">
        <v>575.26099999999997</v>
      </c>
      <c r="M106" s="6">
        <v>575.26099999999997</v>
      </c>
      <c r="N106" s="6">
        <v>0</v>
      </c>
      <c r="O106" s="6">
        <v>0</v>
      </c>
      <c r="P106" s="6">
        <v>0</v>
      </c>
      <c r="Q106" s="4" t="s">
        <v>59</v>
      </c>
      <c r="R106" s="4">
        <v>0</v>
      </c>
      <c r="S106" s="4">
        <v>0</v>
      </c>
      <c r="T106" s="4">
        <v>17</v>
      </c>
      <c r="U106" s="4">
        <v>0</v>
      </c>
      <c r="V106" s="6">
        <f>IF(ISERROR(VLOOKUP($S$106,'TAR FIN'!$A$1:$O$103,15,0)),0,VLOOKUP($S$106,'TAR FIN'!$A$1:$O$103,15,0))</f>
        <v>0</v>
      </c>
      <c r="W106" s="6">
        <f>IF(ISERROR(VLOOKUP($T$106,'TAR FIN'!$A$1:$O$103,15,0)),0,VLOOKUP($T$106,'TAR FIN'!$A$1:$O$103,15,0))</f>
        <v>84.99</v>
      </c>
      <c r="X106" s="6">
        <f>IF(ISERROR(VLOOKUP($U$106,'TAR FIN'!$A$1:$O$103,15,0)),0,VLOOKUP($U$106,'TAR FIN'!$A$1:$O$103,15,0))</f>
        <v>0</v>
      </c>
      <c r="Y106" s="6"/>
      <c r="Z106" s="6">
        <f ca="1">('TUSD BE'!$AM$24+'TUSD BF'!$AM$24+'TUSD CVA'!$AM$24)*1</f>
        <v>145.72237393634796</v>
      </c>
      <c r="AA106" s="6"/>
      <c r="AB106" s="6">
        <f t="shared" ref="AB106:AB129" si="6">(J106-K106)*V106</f>
        <v>0</v>
      </c>
      <c r="AC106" s="6">
        <f t="shared" ref="AC106:AC129" si="7">(L106-M106)*W106+(N106-O106)*X106</f>
        <v>0</v>
      </c>
      <c r="AD106" s="6">
        <f t="shared" ref="AD106:AD129" si="8">(J106-K106)*Y106</f>
        <v>0</v>
      </c>
      <c r="AE106" s="6">
        <f t="shared" ref="AE106:AE129" ca="1" si="9">(L106-M106)*Z106+(N106-O106)*AA106</f>
        <v>0</v>
      </c>
      <c r="AF106" s="4" t="s">
        <v>815</v>
      </c>
    </row>
    <row r="107" spans="1:32" ht="11.25" customHeight="1" x14ac:dyDescent="0.3">
      <c r="A107" s="4" t="s">
        <v>21</v>
      </c>
      <c r="B107" s="4" t="s">
        <v>39</v>
      </c>
      <c r="C107" s="4" t="s">
        <v>40</v>
      </c>
      <c r="D107" s="4" t="s">
        <v>38</v>
      </c>
      <c r="E107" s="4" t="s">
        <v>25</v>
      </c>
      <c r="F107" s="4" t="s">
        <v>58</v>
      </c>
      <c r="G107" s="4" t="s">
        <v>25</v>
      </c>
      <c r="H107" s="4" t="s">
        <v>35</v>
      </c>
      <c r="I107" s="5">
        <v>44531</v>
      </c>
      <c r="J107" s="6">
        <v>0</v>
      </c>
      <c r="K107" s="6">
        <v>0</v>
      </c>
      <c r="L107" s="6">
        <v>596.47500000000002</v>
      </c>
      <c r="M107" s="6">
        <v>596.47500000000002</v>
      </c>
      <c r="N107" s="6">
        <v>0</v>
      </c>
      <c r="O107" s="6">
        <v>0</v>
      </c>
      <c r="P107" s="6">
        <v>0</v>
      </c>
      <c r="Q107" s="4" t="s">
        <v>59</v>
      </c>
      <c r="R107" s="4">
        <v>0</v>
      </c>
      <c r="S107" s="4">
        <v>0</v>
      </c>
      <c r="T107" s="4">
        <v>17</v>
      </c>
      <c r="U107" s="4">
        <v>0</v>
      </c>
      <c r="V107" s="6">
        <f>IF(ISERROR(VLOOKUP($S$107,'TAR FIN'!$A$1:$O$103,15,0)),0,VLOOKUP($S$107,'TAR FIN'!$A$1:$O$103,15,0))</f>
        <v>0</v>
      </c>
      <c r="W107" s="6">
        <f>IF(ISERROR(VLOOKUP($T$107,'TAR FIN'!$A$1:$O$103,15,0)),0,VLOOKUP($T$107,'TAR FIN'!$A$1:$O$103,15,0))</f>
        <v>84.99</v>
      </c>
      <c r="X107" s="6">
        <f>IF(ISERROR(VLOOKUP($U$107,'TAR FIN'!$A$1:$O$103,15,0)),0,VLOOKUP($U$107,'TAR FIN'!$A$1:$O$103,15,0))</f>
        <v>0</v>
      </c>
      <c r="Y107" s="6"/>
      <c r="Z107" s="6">
        <f ca="1">('TUSD BE'!$AM$24+'TUSD BF'!$AM$24+'TUSD CVA'!$AM$24)*1</f>
        <v>145.72237393634796</v>
      </c>
      <c r="AA107" s="6"/>
      <c r="AB107" s="6">
        <f t="shared" si="6"/>
        <v>0</v>
      </c>
      <c r="AC107" s="6">
        <f t="shared" si="7"/>
        <v>0</v>
      </c>
      <c r="AD107" s="6">
        <f t="shared" si="8"/>
        <v>0</v>
      </c>
      <c r="AE107" s="6">
        <f t="shared" ca="1" si="9"/>
        <v>0</v>
      </c>
      <c r="AF107" s="4" t="s">
        <v>815</v>
      </c>
    </row>
    <row r="108" spans="1:32" ht="11.25" customHeight="1" x14ac:dyDescent="0.3">
      <c r="A108" s="4" t="s">
        <v>21</v>
      </c>
      <c r="B108" s="4" t="s">
        <v>39</v>
      </c>
      <c r="C108" s="4" t="s">
        <v>40</v>
      </c>
      <c r="D108" s="4" t="s">
        <v>38</v>
      </c>
      <c r="E108" s="4" t="s">
        <v>25</v>
      </c>
      <c r="F108" s="4" t="s">
        <v>58</v>
      </c>
      <c r="G108" s="4" t="s">
        <v>25</v>
      </c>
      <c r="H108" s="4" t="s">
        <v>35</v>
      </c>
      <c r="I108" s="5">
        <v>44562</v>
      </c>
      <c r="J108" s="6">
        <v>0</v>
      </c>
      <c r="K108" s="6">
        <v>0</v>
      </c>
      <c r="L108" s="6">
        <v>604.79100000000005</v>
      </c>
      <c r="M108" s="6">
        <v>604.79100000000005</v>
      </c>
      <c r="N108" s="6">
        <v>0</v>
      </c>
      <c r="O108" s="6">
        <v>0</v>
      </c>
      <c r="P108" s="6">
        <v>0</v>
      </c>
      <c r="Q108" s="4" t="s">
        <v>59</v>
      </c>
      <c r="R108" s="4">
        <v>0</v>
      </c>
      <c r="S108" s="4">
        <v>0</v>
      </c>
      <c r="T108" s="4">
        <v>17</v>
      </c>
      <c r="U108" s="4">
        <v>0</v>
      </c>
      <c r="V108" s="6">
        <f>IF(ISERROR(VLOOKUP($S$108,'TAR FIN'!$A$1:$O$103,15,0)),0,VLOOKUP($S$108,'TAR FIN'!$A$1:$O$103,15,0))</f>
        <v>0</v>
      </c>
      <c r="W108" s="6">
        <f>IF(ISERROR(VLOOKUP($T$108,'TAR FIN'!$A$1:$O$103,15,0)),0,VLOOKUP($T$108,'TAR FIN'!$A$1:$O$103,15,0))</f>
        <v>84.99</v>
      </c>
      <c r="X108" s="6">
        <f>IF(ISERROR(VLOOKUP($U$108,'TAR FIN'!$A$1:$O$103,15,0)),0,VLOOKUP($U$108,'TAR FIN'!$A$1:$O$103,15,0))</f>
        <v>0</v>
      </c>
      <c r="Y108" s="6"/>
      <c r="Z108" s="6">
        <f ca="1">('TUSD BE'!$AM$24+'TUSD BF'!$AM$24+'TUSD CVA'!$AM$24)*1</f>
        <v>145.72237393634796</v>
      </c>
      <c r="AA108" s="6"/>
      <c r="AB108" s="6">
        <f t="shared" si="6"/>
        <v>0</v>
      </c>
      <c r="AC108" s="6">
        <f t="shared" si="7"/>
        <v>0</v>
      </c>
      <c r="AD108" s="6">
        <f t="shared" si="8"/>
        <v>0</v>
      </c>
      <c r="AE108" s="6">
        <f t="shared" ca="1" si="9"/>
        <v>0</v>
      </c>
      <c r="AF108" s="4" t="s">
        <v>815</v>
      </c>
    </row>
    <row r="109" spans="1:32" ht="11.25" customHeight="1" x14ac:dyDescent="0.3">
      <c r="A109" s="4" t="s">
        <v>21</v>
      </c>
      <c r="B109" s="4" t="s">
        <v>39</v>
      </c>
      <c r="C109" s="4" t="s">
        <v>40</v>
      </c>
      <c r="D109" s="4" t="s">
        <v>38</v>
      </c>
      <c r="E109" s="4" t="s">
        <v>25</v>
      </c>
      <c r="F109" s="4" t="s">
        <v>58</v>
      </c>
      <c r="G109" s="4" t="s">
        <v>25</v>
      </c>
      <c r="H109" s="4" t="s">
        <v>35</v>
      </c>
      <c r="I109" s="5">
        <v>44593</v>
      </c>
      <c r="J109" s="6">
        <v>0</v>
      </c>
      <c r="K109" s="6">
        <v>0</v>
      </c>
      <c r="L109" s="6">
        <v>605.59</v>
      </c>
      <c r="M109" s="6">
        <v>605.59</v>
      </c>
      <c r="N109" s="6">
        <v>0</v>
      </c>
      <c r="O109" s="6">
        <v>0</v>
      </c>
      <c r="P109" s="6">
        <v>0</v>
      </c>
      <c r="Q109" s="4" t="s">
        <v>59</v>
      </c>
      <c r="R109" s="4">
        <v>0</v>
      </c>
      <c r="S109" s="4">
        <v>0</v>
      </c>
      <c r="T109" s="4">
        <v>17</v>
      </c>
      <c r="U109" s="4">
        <v>0</v>
      </c>
      <c r="V109" s="6">
        <f>IF(ISERROR(VLOOKUP($S$109,'TAR FIN'!$A$1:$O$103,15,0)),0,VLOOKUP($S$109,'TAR FIN'!$A$1:$O$103,15,0))</f>
        <v>0</v>
      </c>
      <c r="W109" s="6">
        <f>IF(ISERROR(VLOOKUP($T$109,'TAR FIN'!$A$1:$O$103,15,0)),0,VLOOKUP($T$109,'TAR FIN'!$A$1:$O$103,15,0))</f>
        <v>84.99</v>
      </c>
      <c r="X109" s="6">
        <f>IF(ISERROR(VLOOKUP($U$109,'TAR FIN'!$A$1:$O$103,15,0)),0,VLOOKUP($U$109,'TAR FIN'!$A$1:$O$103,15,0))</f>
        <v>0</v>
      </c>
      <c r="Y109" s="6"/>
      <c r="Z109" s="6">
        <f ca="1">('TUSD BE'!$AM$24+'TUSD BF'!$AM$24+'TUSD CVA'!$AM$24)*1</f>
        <v>145.72237393634796</v>
      </c>
      <c r="AA109" s="6"/>
      <c r="AB109" s="6">
        <f t="shared" si="6"/>
        <v>0</v>
      </c>
      <c r="AC109" s="6">
        <f t="shared" si="7"/>
        <v>0</v>
      </c>
      <c r="AD109" s="6">
        <f t="shared" si="8"/>
        <v>0</v>
      </c>
      <c r="AE109" s="6">
        <f t="shared" ca="1" si="9"/>
        <v>0</v>
      </c>
      <c r="AF109" s="4" t="s">
        <v>815</v>
      </c>
    </row>
    <row r="110" spans="1:32" ht="11.25" customHeight="1" x14ac:dyDescent="0.3">
      <c r="A110" s="4" t="s">
        <v>21</v>
      </c>
      <c r="B110" s="4" t="s">
        <v>39</v>
      </c>
      <c r="C110" s="4" t="s">
        <v>40</v>
      </c>
      <c r="D110" s="4" t="s">
        <v>38</v>
      </c>
      <c r="E110" s="4" t="s">
        <v>25</v>
      </c>
      <c r="F110" s="4" t="s">
        <v>58</v>
      </c>
      <c r="G110" s="4" t="s">
        <v>25</v>
      </c>
      <c r="H110" s="4" t="s">
        <v>35</v>
      </c>
      <c r="I110" s="5">
        <v>44621</v>
      </c>
      <c r="J110" s="6">
        <v>0</v>
      </c>
      <c r="K110" s="6">
        <v>0</v>
      </c>
      <c r="L110" s="6">
        <v>636.11300000000006</v>
      </c>
      <c r="M110" s="6">
        <v>636.11300000000006</v>
      </c>
      <c r="N110" s="6">
        <v>0</v>
      </c>
      <c r="O110" s="6">
        <v>0</v>
      </c>
      <c r="P110" s="6">
        <v>0</v>
      </c>
      <c r="Q110" s="4" t="s">
        <v>59</v>
      </c>
      <c r="R110" s="4">
        <v>0</v>
      </c>
      <c r="S110" s="4">
        <v>0</v>
      </c>
      <c r="T110" s="4">
        <v>17</v>
      </c>
      <c r="U110" s="4">
        <v>0</v>
      </c>
      <c r="V110" s="6">
        <f>IF(ISERROR(VLOOKUP($S$110,'TAR FIN'!$A$1:$O$103,15,0)),0,VLOOKUP($S$110,'TAR FIN'!$A$1:$O$103,15,0))</f>
        <v>0</v>
      </c>
      <c r="W110" s="6">
        <f>IF(ISERROR(VLOOKUP($T$110,'TAR FIN'!$A$1:$O$103,15,0)),0,VLOOKUP($T$110,'TAR FIN'!$A$1:$O$103,15,0))</f>
        <v>84.99</v>
      </c>
      <c r="X110" s="6">
        <f>IF(ISERROR(VLOOKUP($U$110,'TAR FIN'!$A$1:$O$103,15,0)),0,VLOOKUP($U$110,'TAR FIN'!$A$1:$O$103,15,0))</f>
        <v>0</v>
      </c>
      <c r="Y110" s="6"/>
      <c r="Z110" s="6">
        <f ca="1">('TUSD BE'!$AM$24+'TUSD BF'!$AM$24+'TUSD CVA'!$AM$24)*1</f>
        <v>145.72237393634796</v>
      </c>
      <c r="AA110" s="6"/>
      <c r="AB110" s="6">
        <f t="shared" si="6"/>
        <v>0</v>
      </c>
      <c r="AC110" s="6">
        <f t="shared" si="7"/>
        <v>0</v>
      </c>
      <c r="AD110" s="6">
        <f t="shared" si="8"/>
        <v>0</v>
      </c>
      <c r="AE110" s="6">
        <f t="shared" ca="1" si="9"/>
        <v>0</v>
      </c>
      <c r="AF110" s="4" t="s">
        <v>815</v>
      </c>
    </row>
    <row r="111" spans="1:32" ht="11.25" customHeight="1" x14ac:dyDescent="0.3">
      <c r="A111" s="4" t="s">
        <v>21</v>
      </c>
      <c r="B111" s="4" t="s">
        <v>39</v>
      </c>
      <c r="C111" s="4" t="s">
        <v>40</v>
      </c>
      <c r="D111" s="4" t="s">
        <v>38</v>
      </c>
      <c r="E111" s="4" t="s">
        <v>25</v>
      </c>
      <c r="F111" s="4" t="s">
        <v>58</v>
      </c>
      <c r="G111" s="4" t="s">
        <v>25</v>
      </c>
      <c r="H111" s="4" t="s">
        <v>35</v>
      </c>
      <c r="I111" s="5">
        <v>44652</v>
      </c>
      <c r="J111" s="6">
        <v>0</v>
      </c>
      <c r="K111" s="6">
        <v>0</v>
      </c>
      <c r="L111" s="6">
        <v>652.21600000000001</v>
      </c>
      <c r="M111" s="6">
        <v>652.21600000000001</v>
      </c>
      <c r="N111" s="6">
        <v>0</v>
      </c>
      <c r="O111" s="6">
        <v>0</v>
      </c>
      <c r="P111" s="6">
        <v>0</v>
      </c>
      <c r="Q111" s="4" t="s">
        <v>59</v>
      </c>
      <c r="R111" s="4">
        <v>0</v>
      </c>
      <c r="S111" s="4">
        <v>0</v>
      </c>
      <c r="T111" s="4">
        <v>17</v>
      </c>
      <c r="U111" s="4">
        <v>0</v>
      </c>
      <c r="V111" s="6">
        <f>IF(ISERROR(VLOOKUP($S$111,'TAR FIN'!$A$1:$O$103,15,0)),0,VLOOKUP($S$111,'TAR FIN'!$A$1:$O$103,15,0))</f>
        <v>0</v>
      </c>
      <c r="W111" s="6">
        <f>IF(ISERROR(VLOOKUP($T$111,'TAR FIN'!$A$1:$O$103,15,0)),0,VLOOKUP($T$111,'TAR FIN'!$A$1:$O$103,15,0))</f>
        <v>84.99</v>
      </c>
      <c r="X111" s="6">
        <f>IF(ISERROR(VLOOKUP($U$111,'TAR FIN'!$A$1:$O$103,15,0)),0,VLOOKUP($U$111,'TAR FIN'!$A$1:$O$103,15,0))</f>
        <v>0</v>
      </c>
      <c r="Y111" s="6"/>
      <c r="Z111" s="6">
        <f ca="1">('TUSD BE'!$AM$24+'TUSD BF'!$AM$24+'TUSD CVA'!$AM$24)*1</f>
        <v>145.72237393634796</v>
      </c>
      <c r="AA111" s="6"/>
      <c r="AB111" s="6">
        <f t="shared" si="6"/>
        <v>0</v>
      </c>
      <c r="AC111" s="6">
        <f t="shared" si="7"/>
        <v>0</v>
      </c>
      <c r="AD111" s="6">
        <f t="shared" si="8"/>
        <v>0</v>
      </c>
      <c r="AE111" s="6">
        <f t="shared" ca="1" si="9"/>
        <v>0</v>
      </c>
      <c r="AF111" s="4" t="s">
        <v>815</v>
      </c>
    </row>
    <row r="112" spans="1:32" ht="11.25" customHeight="1" x14ac:dyDescent="0.3">
      <c r="A112" s="4" t="s">
        <v>21</v>
      </c>
      <c r="B112" s="4" t="s">
        <v>39</v>
      </c>
      <c r="C112" s="4" t="s">
        <v>40</v>
      </c>
      <c r="D112" s="4" t="s">
        <v>38</v>
      </c>
      <c r="E112" s="4" t="s">
        <v>25</v>
      </c>
      <c r="F112" s="4" t="s">
        <v>58</v>
      </c>
      <c r="G112" s="4" t="s">
        <v>25</v>
      </c>
      <c r="H112" s="4" t="s">
        <v>35</v>
      </c>
      <c r="I112" s="5">
        <v>44682</v>
      </c>
      <c r="J112" s="6">
        <v>0</v>
      </c>
      <c r="K112" s="6">
        <v>0</v>
      </c>
      <c r="L112" s="6">
        <v>649.923</v>
      </c>
      <c r="M112" s="6">
        <v>649.923</v>
      </c>
      <c r="N112" s="6">
        <v>0</v>
      </c>
      <c r="O112" s="6">
        <v>0</v>
      </c>
      <c r="P112" s="6">
        <v>0</v>
      </c>
      <c r="Q112" s="4" t="s">
        <v>59</v>
      </c>
      <c r="R112" s="4">
        <v>0</v>
      </c>
      <c r="S112" s="4">
        <v>0</v>
      </c>
      <c r="T112" s="4">
        <v>17</v>
      </c>
      <c r="U112" s="4">
        <v>0</v>
      </c>
      <c r="V112" s="6">
        <f>IF(ISERROR(VLOOKUP($S$112,'TAR FIN'!$A$1:$O$103,15,0)),0,VLOOKUP($S$112,'TAR FIN'!$A$1:$O$103,15,0))</f>
        <v>0</v>
      </c>
      <c r="W112" s="6">
        <f>IF(ISERROR(VLOOKUP($T$112,'TAR FIN'!$A$1:$O$103,15,0)),0,VLOOKUP($T$112,'TAR FIN'!$A$1:$O$103,15,0))</f>
        <v>84.99</v>
      </c>
      <c r="X112" s="6">
        <f>IF(ISERROR(VLOOKUP($U$112,'TAR FIN'!$A$1:$O$103,15,0)),0,VLOOKUP($U$112,'TAR FIN'!$A$1:$O$103,15,0))</f>
        <v>0</v>
      </c>
      <c r="Y112" s="6"/>
      <c r="Z112" s="6">
        <f ca="1">('TUSD BE'!$AM$24+'TUSD BF'!$AM$24+'TUSD CVA'!$AM$24)*1</f>
        <v>145.72237393634796</v>
      </c>
      <c r="AA112" s="6"/>
      <c r="AB112" s="6">
        <f t="shared" si="6"/>
        <v>0</v>
      </c>
      <c r="AC112" s="6">
        <f t="shared" si="7"/>
        <v>0</v>
      </c>
      <c r="AD112" s="6">
        <f t="shared" si="8"/>
        <v>0</v>
      </c>
      <c r="AE112" s="6">
        <f t="shared" ca="1" si="9"/>
        <v>0</v>
      </c>
      <c r="AF112" s="4" t="s">
        <v>815</v>
      </c>
    </row>
    <row r="113" spans="1:32" ht="11.25" customHeight="1" x14ac:dyDescent="0.3">
      <c r="A113" s="4" t="s">
        <v>21</v>
      </c>
      <c r="B113" s="4" t="s">
        <v>39</v>
      </c>
      <c r="C113" s="4" t="s">
        <v>40</v>
      </c>
      <c r="D113" s="4" t="s">
        <v>38</v>
      </c>
      <c r="E113" s="4" t="s">
        <v>25</v>
      </c>
      <c r="F113" s="4" t="s">
        <v>58</v>
      </c>
      <c r="G113" s="4" t="s">
        <v>25</v>
      </c>
      <c r="H113" s="4" t="s">
        <v>35</v>
      </c>
      <c r="I113" s="5">
        <v>44713</v>
      </c>
      <c r="J113" s="6">
        <v>0</v>
      </c>
      <c r="K113" s="6">
        <v>0</v>
      </c>
      <c r="L113" s="6">
        <v>575.21400000000006</v>
      </c>
      <c r="M113" s="6">
        <v>575.21400000000006</v>
      </c>
      <c r="N113" s="6">
        <v>0</v>
      </c>
      <c r="O113" s="6">
        <v>0</v>
      </c>
      <c r="P113" s="6">
        <v>0</v>
      </c>
      <c r="Q113" s="4" t="s">
        <v>59</v>
      </c>
      <c r="R113" s="4">
        <v>0</v>
      </c>
      <c r="S113" s="4">
        <v>0</v>
      </c>
      <c r="T113" s="4">
        <v>17</v>
      </c>
      <c r="U113" s="4">
        <v>0</v>
      </c>
      <c r="V113" s="6">
        <f>IF(ISERROR(VLOOKUP($S$113,'TAR FIN'!$A$1:$O$103,15,0)),0,VLOOKUP($S$113,'TAR FIN'!$A$1:$O$103,15,0))</f>
        <v>0</v>
      </c>
      <c r="W113" s="6">
        <f>IF(ISERROR(VLOOKUP($T$113,'TAR FIN'!$A$1:$O$103,15,0)),0,VLOOKUP($T$113,'TAR FIN'!$A$1:$O$103,15,0))</f>
        <v>84.99</v>
      </c>
      <c r="X113" s="6">
        <f>IF(ISERROR(VLOOKUP($U$113,'TAR FIN'!$A$1:$O$103,15,0)),0,VLOOKUP($U$113,'TAR FIN'!$A$1:$O$103,15,0))</f>
        <v>0</v>
      </c>
      <c r="Y113" s="6"/>
      <c r="Z113" s="6">
        <f ca="1">('TUSD BE'!$AM$24+'TUSD BF'!$AM$24+'TUSD CVA'!$AM$24)*1</f>
        <v>145.72237393634796</v>
      </c>
      <c r="AA113" s="6"/>
      <c r="AB113" s="6">
        <f t="shared" si="6"/>
        <v>0</v>
      </c>
      <c r="AC113" s="6">
        <f t="shared" si="7"/>
        <v>0</v>
      </c>
      <c r="AD113" s="6">
        <f t="shared" si="8"/>
        <v>0</v>
      </c>
      <c r="AE113" s="6">
        <f t="shared" ca="1" si="9"/>
        <v>0</v>
      </c>
      <c r="AF113" s="4" t="s">
        <v>815</v>
      </c>
    </row>
    <row r="114" spans="1:32" ht="11.25" customHeight="1" x14ac:dyDescent="0.3">
      <c r="A114" s="4" t="s">
        <v>21</v>
      </c>
      <c r="B114" s="4" t="s">
        <v>39</v>
      </c>
      <c r="C114" s="4" t="s">
        <v>40</v>
      </c>
      <c r="D114" s="4" t="s">
        <v>38</v>
      </c>
      <c r="E114" s="4" t="s">
        <v>25</v>
      </c>
      <c r="F114" s="4" t="s">
        <v>58</v>
      </c>
      <c r="G114" s="4" t="s">
        <v>25</v>
      </c>
      <c r="H114" s="4" t="s">
        <v>35</v>
      </c>
      <c r="I114" s="5">
        <v>44743</v>
      </c>
      <c r="J114" s="6">
        <v>0</v>
      </c>
      <c r="K114" s="6">
        <v>0</v>
      </c>
      <c r="L114" s="6">
        <v>748.23299999999995</v>
      </c>
      <c r="M114" s="6">
        <v>748.23299999999995</v>
      </c>
      <c r="N114" s="6">
        <v>0</v>
      </c>
      <c r="O114" s="6">
        <v>0</v>
      </c>
      <c r="P114" s="6">
        <v>0</v>
      </c>
      <c r="Q114" s="4" t="s">
        <v>59</v>
      </c>
      <c r="R114" s="4">
        <v>0</v>
      </c>
      <c r="S114" s="4">
        <v>0</v>
      </c>
      <c r="T114" s="4">
        <v>17</v>
      </c>
      <c r="U114" s="4">
        <v>0</v>
      </c>
      <c r="V114" s="6">
        <f>IF(ISERROR(VLOOKUP($S$114,'TAR FIN'!$A$1:$O$103,15,0)),0,VLOOKUP($S$114,'TAR FIN'!$A$1:$O$103,15,0))</f>
        <v>0</v>
      </c>
      <c r="W114" s="6">
        <f>IF(ISERROR(VLOOKUP($T$114,'TAR FIN'!$A$1:$O$103,15,0)),0,VLOOKUP($T$114,'TAR FIN'!$A$1:$O$103,15,0))</f>
        <v>84.99</v>
      </c>
      <c r="X114" s="6">
        <f>IF(ISERROR(VLOOKUP($U$114,'TAR FIN'!$A$1:$O$103,15,0)),0,VLOOKUP($U$114,'TAR FIN'!$A$1:$O$103,15,0))</f>
        <v>0</v>
      </c>
      <c r="Y114" s="6"/>
      <c r="Z114" s="6">
        <f ca="1">('TUSD BE'!$AM$24+'TUSD BF'!$AM$24+'TUSD CVA'!$AM$24)*1</f>
        <v>145.72237393634796</v>
      </c>
      <c r="AA114" s="6"/>
      <c r="AB114" s="6">
        <f t="shared" si="6"/>
        <v>0</v>
      </c>
      <c r="AC114" s="6">
        <f t="shared" si="7"/>
        <v>0</v>
      </c>
      <c r="AD114" s="6">
        <f t="shared" si="8"/>
        <v>0</v>
      </c>
      <c r="AE114" s="6">
        <f t="shared" ca="1" si="9"/>
        <v>0</v>
      </c>
      <c r="AF114" s="4" t="s">
        <v>815</v>
      </c>
    </row>
    <row r="115" spans="1:32" ht="11.25" customHeight="1" x14ac:dyDescent="0.3">
      <c r="A115" s="4" t="s">
        <v>21</v>
      </c>
      <c r="B115" s="4" t="s">
        <v>39</v>
      </c>
      <c r="C115" s="4" t="s">
        <v>40</v>
      </c>
      <c r="D115" s="4" t="s">
        <v>38</v>
      </c>
      <c r="E115" s="4" t="s">
        <v>25</v>
      </c>
      <c r="F115" s="4" t="s">
        <v>58</v>
      </c>
      <c r="G115" s="4" t="s">
        <v>25</v>
      </c>
      <c r="H115" s="4" t="s">
        <v>35</v>
      </c>
      <c r="I115" s="5">
        <v>44774</v>
      </c>
      <c r="J115" s="6">
        <v>0</v>
      </c>
      <c r="K115" s="6">
        <v>0</v>
      </c>
      <c r="L115" s="6">
        <v>706.13199999999995</v>
      </c>
      <c r="M115" s="6">
        <v>706.13199999999995</v>
      </c>
      <c r="N115" s="6">
        <v>0</v>
      </c>
      <c r="O115" s="6">
        <v>0</v>
      </c>
      <c r="P115" s="6">
        <v>0</v>
      </c>
      <c r="Q115" s="4" t="s">
        <v>59</v>
      </c>
      <c r="R115" s="4">
        <v>0</v>
      </c>
      <c r="S115" s="4">
        <v>0</v>
      </c>
      <c r="T115" s="4">
        <v>17</v>
      </c>
      <c r="U115" s="4">
        <v>0</v>
      </c>
      <c r="V115" s="6">
        <f>IF(ISERROR(VLOOKUP($S$115,'TAR FIN'!$A$1:$O$103,15,0)),0,VLOOKUP($S$115,'TAR FIN'!$A$1:$O$103,15,0))</f>
        <v>0</v>
      </c>
      <c r="W115" s="6">
        <f>IF(ISERROR(VLOOKUP($T$115,'TAR FIN'!$A$1:$O$103,15,0)),0,VLOOKUP($T$115,'TAR FIN'!$A$1:$O$103,15,0))</f>
        <v>84.99</v>
      </c>
      <c r="X115" s="6">
        <f>IF(ISERROR(VLOOKUP($U$115,'TAR FIN'!$A$1:$O$103,15,0)),0,VLOOKUP($U$115,'TAR FIN'!$A$1:$O$103,15,0))</f>
        <v>0</v>
      </c>
      <c r="Y115" s="6"/>
      <c r="Z115" s="6">
        <f ca="1">('TUSD BE'!$AM$24+'TUSD BF'!$AM$24+'TUSD CVA'!$AM$24)*1</f>
        <v>145.72237393634796</v>
      </c>
      <c r="AA115" s="6"/>
      <c r="AB115" s="6">
        <f t="shared" si="6"/>
        <v>0</v>
      </c>
      <c r="AC115" s="6">
        <f t="shared" si="7"/>
        <v>0</v>
      </c>
      <c r="AD115" s="6">
        <f t="shared" si="8"/>
        <v>0</v>
      </c>
      <c r="AE115" s="6">
        <f t="shared" ca="1" si="9"/>
        <v>0</v>
      </c>
      <c r="AF115" s="4" t="s">
        <v>815</v>
      </c>
    </row>
    <row r="116" spans="1:32" ht="11.25" customHeight="1" x14ac:dyDescent="0.3">
      <c r="A116" s="4" t="s">
        <v>21</v>
      </c>
      <c r="B116" s="4" t="s">
        <v>39</v>
      </c>
      <c r="C116" s="4" t="s">
        <v>40</v>
      </c>
      <c r="D116" s="4" t="s">
        <v>38</v>
      </c>
      <c r="E116" s="4" t="s">
        <v>25</v>
      </c>
      <c r="F116" s="4" t="s">
        <v>58</v>
      </c>
      <c r="G116" s="4" t="s">
        <v>25</v>
      </c>
      <c r="H116" s="4" t="s">
        <v>35</v>
      </c>
      <c r="I116" s="5">
        <v>44805</v>
      </c>
      <c r="J116" s="6">
        <v>0</v>
      </c>
      <c r="K116" s="6">
        <v>0</v>
      </c>
      <c r="L116" s="6">
        <v>641.66600000000005</v>
      </c>
      <c r="M116" s="6">
        <v>641.66600000000005</v>
      </c>
      <c r="N116" s="6">
        <v>0</v>
      </c>
      <c r="O116" s="6">
        <v>0</v>
      </c>
      <c r="P116" s="6">
        <v>0</v>
      </c>
      <c r="Q116" s="4" t="s">
        <v>59</v>
      </c>
      <c r="R116" s="4">
        <v>0</v>
      </c>
      <c r="S116" s="4">
        <v>0</v>
      </c>
      <c r="T116" s="4">
        <v>17</v>
      </c>
      <c r="U116" s="4">
        <v>0</v>
      </c>
      <c r="V116" s="6">
        <f>IF(ISERROR(VLOOKUP($S$116,'TAR FIN'!$A$1:$O$103,15,0)),0,VLOOKUP($S$116,'TAR FIN'!$A$1:$O$103,15,0))</f>
        <v>0</v>
      </c>
      <c r="W116" s="6">
        <f>IF(ISERROR(VLOOKUP($T$116,'TAR FIN'!$A$1:$O$103,15,0)),0,VLOOKUP($T$116,'TAR FIN'!$A$1:$O$103,15,0))</f>
        <v>84.99</v>
      </c>
      <c r="X116" s="6">
        <f>IF(ISERROR(VLOOKUP($U$116,'TAR FIN'!$A$1:$O$103,15,0)),0,VLOOKUP($U$116,'TAR FIN'!$A$1:$O$103,15,0))</f>
        <v>0</v>
      </c>
      <c r="Y116" s="6"/>
      <c r="Z116" s="6">
        <f ca="1">('TUSD BE'!$AM$24+'TUSD BF'!$AM$24+'TUSD CVA'!$AM$24)*1</f>
        <v>145.72237393634796</v>
      </c>
      <c r="AA116" s="6"/>
      <c r="AB116" s="6">
        <f t="shared" si="6"/>
        <v>0</v>
      </c>
      <c r="AC116" s="6">
        <f t="shared" si="7"/>
        <v>0</v>
      </c>
      <c r="AD116" s="6">
        <f t="shared" si="8"/>
        <v>0</v>
      </c>
      <c r="AE116" s="6">
        <f t="shared" ca="1" si="9"/>
        <v>0</v>
      </c>
      <c r="AF116" s="4" t="s">
        <v>815</v>
      </c>
    </row>
    <row r="117" spans="1:32" ht="11.25" customHeight="1" x14ac:dyDescent="0.3">
      <c r="A117" s="4" t="s">
        <v>57</v>
      </c>
      <c r="B117" s="4" t="s">
        <v>39</v>
      </c>
      <c r="C117" s="4" t="s">
        <v>40</v>
      </c>
      <c r="D117" s="4" t="s">
        <v>38</v>
      </c>
      <c r="E117" s="4" t="s">
        <v>25</v>
      </c>
      <c r="F117" s="4" t="s">
        <v>58</v>
      </c>
      <c r="G117" s="4" t="s">
        <v>25</v>
      </c>
      <c r="H117" s="4" t="s">
        <v>35</v>
      </c>
      <c r="I117" s="5">
        <v>44835</v>
      </c>
      <c r="J117" s="6">
        <v>0</v>
      </c>
      <c r="K117" s="6">
        <v>0</v>
      </c>
      <c r="L117" s="6">
        <v>641.66600000000005</v>
      </c>
      <c r="M117" s="6">
        <v>641.66600000000005</v>
      </c>
      <c r="N117" s="6">
        <v>0</v>
      </c>
      <c r="O117" s="6">
        <v>0</v>
      </c>
      <c r="P117" s="6">
        <v>0</v>
      </c>
      <c r="Q117" s="4" t="s">
        <v>59</v>
      </c>
      <c r="R117" s="4">
        <v>0</v>
      </c>
      <c r="S117" s="4">
        <v>0</v>
      </c>
      <c r="T117" s="4">
        <v>17</v>
      </c>
      <c r="U117" s="4">
        <v>0</v>
      </c>
      <c r="V117" s="6">
        <f>IF(ISERROR(VLOOKUP($S$117,'TAR FIN'!$A$1:$O$103,15,0)),0,VLOOKUP($S$117,'TAR FIN'!$A$1:$O$103,15,0))</f>
        <v>0</v>
      </c>
      <c r="W117" s="6">
        <f>IF(ISERROR(VLOOKUP($T$117,'TAR FIN'!$A$1:$O$103,15,0)),0,VLOOKUP($T$117,'TAR FIN'!$A$1:$O$103,15,0))</f>
        <v>84.99</v>
      </c>
      <c r="X117" s="6">
        <f>IF(ISERROR(VLOOKUP($U$117,'TAR FIN'!$A$1:$O$103,15,0)),0,VLOOKUP($U$117,'TAR FIN'!$A$1:$O$103,15,0))</f>
        <v>0</v>
      </c>
      <c r="Y117" s="6"/>
      <c r="Z117" s="6">
        <f ca="1">('TUSD BE'!$AM$24+'TUSD BF'!$AM$24+'TUSD CVA'!$AM$24)*1</f>
        <v>145.72237393634796</v>
      </c>
      <c r="AA117" s="6"/>
      <c r="AB117" s="6">
        <f t="shared" si="6"/>
        <v>0</v>
      </c>
      <c r="AC117" s="6">
        <f t="shared" si="7"/>
        <v>0</v>
      </c>
      <c r="AD117" s="6">
        <f t="shared" si="8"/>
        <v>0</v>
      </c>
      <c r="AE117" s="6">
        <f t="shared" ca="1" si="9"/>
        <v>0</v>
      </c>
      <c r="AF117" s="4" t="s">
        <v>815</v>
      </c>
    </row>
    <row r="118" spans="1:32" ht="11.25" customHeight="1" x14ac:dyDescent="0.3">
      <c r="A118" s="4" t="s">
        <v>21</v>
      </c>
      <c r="B118" s="4" t="s">
        <v>39</v>
      </c>
      <c r="C118" s="4" t="s">
        <v>40</v>
      </c>
      <c r="D118" s="4" t="s">
        <v>38</v>
      </c>
      <c r="E118" s="4" t="s">
        <v>25</v>
      </c>
      <c r="F118" s="4" t="s">
        <v>58</v>
      </c>
      <c r="G118" s="4" t="s">
        <v>25</v>
      </c>
      <c r="H118" s="4" t="s">
        <v>25</v>
      </c>
      <c r="I118" s="5">
        <v>44501</v>
      </c>
      <c r="J118" s="6">
        <v>2100</v>
      </c>
      <c r="K118" s="6">
        <v>1050</v>
      </c>
      <c r="L118" s="6">
        <v>0</v>
      </c>
      <c r="M118" s="6">
        <v>0</v>
      </c>
      <c r="N118" s="6">
        <v>0</v>
      </c>
      <c r="O118" s="6">
        <v>0</v>
      </c>
      <c r="P118" s="6">
        <v>1</v>
      </c>
      <c r="Q118" s="4" t="s">
        <v>59</v>
      </c>
      <c r="R118" s="4">
        <v>0</v>
      </c>
      <c r="S118" s="4">
        <v>13</v>
      </c>
      <c r="T118" s="4">
        <v>0</v>
      </c>
      <c r="U118" s="4">
        <v>0</v>
      </c>
      <c r="V118" s="6">
        <f>IF(ISERROR(VLOOKUP($S$118,'TAR FIN'!$A$1:$O$103,15,0)),0,VLOOKUP($S$118,'TAR FIN'!$A$1:$O$103,15,0))</f>
        <v>18.920000000000002</v>
      </c>
      <c r="W118" s="6">
        <f>IF(ISERROR(VLOOKUP($T$118,'TAR FIN'!$A$1:$O$103,15,0)),0,VLOOKUP($T$118,'TAR FIN'!$A$1:$O$103,15,0))</f>
        <v>0</v>
      </c>
      <c r="X118" s="6">
        <f>IF(ISERROR(VLOOKUP($U$118,'TAR FIN'!$A$1:$O$103,15,0)),0,VLOOKUP($U$118,'TAR FIN'!$A$1:$O$103,15,0))</f>
        <v>0</v>
      </c>
      <c r="Y118" s="6">
        <f ca="1">('TUSD BE'!$AM$22+'TUSD BF'!$AM$22+'TUSD CVA'!$AM$22)*1</f>
        <v>21.369338625624472</v>
      </c>
      <c r="Z118" s="6"/>
      <c r="AA118" s="6"/>
      <c r="AB118" s="6">
        <f t="shared" si="6"/>
        <v>19866</v>
      </c>
      <c r="AC118" s="6">
        <f t="shared" si="7"/>
        <v>0</v>
      </c>
      <c r="AD118" s="6">
        <f t="shared" ca="1" si="8"/>
        <v>22437.805556905696</v>
      </c>
      <c r="AE118" s="6">
        <f t="shared" si="9"/>
        <v>0</v>
      </c>
      <c r="AF118" s="4" t="s">
        <v>815</v>
      </c>
    </row>
    <row r="119" spans="1:32" ht="11.25" customHeight="1" x14ac:dyDescent="0.3">
      <c r="A119" s="4" t="s">
        <v>21</v>
      </c>
      <c r="B119" s="4" t="s">
        <v>39</v>
      </c>
      <c r="C119" s="4" t="s">
        <v>40</v>
      </c>
      <c r="D119" s="4" t="s">
        <v>38</v>
      </c>
      <c r="E119" s="4" t="s">
        <v>25</v>
      </c>
      <c r="F119" s="4" t="s">
        <v>58</v>
      </c>
      <c r="G119" s="4" t="s">
        <v>25</v>
      </c>
      <c r="H119" s="4" t="s">
        <v>25</v>
      </c>
      <c r="I119" s="5">
        <v>44531</v>
      </c>
      <c r="J119" s="6">
        <v>2100</v>
      </c>
      <c r="K119" s="6">
        <v>1050</v>
      </c>
      <c r="L119" s="6">
        <v>0</v>
      </c>
      <c r="M119" s="6">
        <v>0</v>
      </c>
      <c r="N119" s="6">
        <v>0</v>
      </c>
      <c r="O119" s="6">
        <v>0</v>
      </c>
      <c r="P119" s="6">
        <v>1</v>
      </c>
      <c r="Q119" s="4" t="s">
        <v>59</v>
      </c>
      <c r="R119" s="4">
        <v>0</v>
      </c>
      <c r="S119" s="4">
        <v>13</v>
      </c>
      <c r="T119" s="4">
        <v>0</v>
      </c>
      <c r="U119" s="4">
        <v>0</v>
      </c>
      <c r="V119" s="6">
        <f>IF(ISERROR(VLOOKUP($S$119,'TAR FIN'!$A$1:$O$103,15,0)),0,VLOOKUP($S$119,'TAR FIN'!$A$1:$O$103,15,0))</f>
        <v>18.920000000000002</v>
      </c>
      <c r="W119" s="6">
        <f>IF(ISERROR(VLOOKUP($T$119,'TAR FIN'!$A$1:$O$103,15,0)),0,VLOOKUP($T$119,'TAR FIN'!$A$1:$O$103,15,0))</f>
        <v>0</v>
      </c>
      <c r="X119" s="6">
        <f>IF(ISERROR(VLOOKUP($U$119,'TAR FIN'!$A$1:$O$103,15,0)),0,VLOOKUP($U$119,'TAR FIN'!$A$1:$O$103,15,0))</f>
        <v>0</v>
      </c>
      <c r="Y119" s="6">
        <f ca="1">('TUSD BE'!$AM$22+'TUSD BF'!$AM$22+'TUSD CVA'!$AM$22)*1</f>
        <v>21.369338625624472</v>
      </c>
      <c r="Z119" s="6"/>
      <c r="AA119" s="6"/>
      <c r="AB119" s="6">
        <f t="shared" si="6"/>
        <v>19866</v>
      </c>
      <c r="AC119" s="6">
        <f t="shared" si="7"/>
        <v>0</v>
      </c>
      <c r="AD119" s="6">
        <f t="shared" ca="1" si="8"/>
        <v>22437.805556905696</v>
      </c>
      <c r="AE119" s="6">
        <f t="shared" si="9"/>
        <v>0</v>
      </c>
      <c r="AF119" s="4" t="s">
        <v>815</v>
      </c>
    </row>
    <row r="120" spans="1:32" ht="11.25" customHeight="1" x14ac:dyDescent="0.3">
      <c r="A120" s="4" t="s">
        <v>21</v>
      </c>
      <c r="B120" s="4" t="s">
        <v>39</v>
      </c>
      <c r="C120" s="4" t="s">
        <v>40</v>
      </c>
      <c r="D120" s="4" t="s">
        <v>38</v>
      </c>
      <c r="E120" s="4" t="s">
        <v>25</v>
      </c>
      <c r="F120" s="4" t="s">
        <v>58</v>
      </c>
      <c r="G120" s="4" t="s">
        <v>25</v>
      </c>
      <c r="H120" s="4" t="s">
        <v>25</v>
      </c>
      <c r="I120" s="5">
        <v>44562</v>
      </c>
      <c r="J120" s="6">
        <v>2100</v>
      </c>
      <c r="K120" s="6">
        <v>1050</v>
      </c>
      <c r="L120" s="6">
        <v>0</v>
      </c>
      <c r="M120" s="6">
        <v>0</v>
      </c>
      <c r="N120" s="6">
        <v>0</v>
      </c>
      <c r="O120" s="6">
        <v>0</v>
      </c>
      <c r="P120" s="6">
        <v>1</v>
      </c>
      <c r="Q120" s="4" t="s">
        <v>59</v>
      </c>
      <c r="R120" s="4">
        <v>0</v>
      </c>
      <c r="S120" s="4">
        <v>13</v>
      </c>
      <c r="T120" s="4">
        <v>0</v>
      </c>
      <c r="U120" s="4">
        <v>0</v>
      </c>
      <c r="V120" s="6">
        <f>IF(ISERROR(VLOOKUP($S$120,'TAR FIN'!$A$1:$O$103,15,0)),0,VLOOKUP($S$120,'TAR FIN'!$A$1:$O$103,15,0))</f>
        <v>18.920000000000002</v>
      </c>
      <c r="W120" s="6">
        <f>IF(ISERROR(VLOOKUP($T$120,'TAR FIN'!$A$1:$O$103,15,0)),0,VLOOKUP($T$120,'TAR FIN'!$A$1:$O$103,15,0))</f>
        <v>0</v>
      </c>
      <c r="X120" s="6">
        <f>IF(ISERROR(VLOOKUP($U$120,'TAR FIN'!$A$1:$O$103,15,0)),0,VLOOKUP($U$120,'TAR FIN'!$A$1:$O$103,15,0))</f>
        <v>0</v>
      </c>
      <c r="Y120" s="6">
        <f ca="1">('TUSD BE'!$AM$22+'TUSD BF'!$AM$22+'TUSD CVA'!$AM$22)*1</f>
        <v>21.369338625624472</v>
      </c>
      <c r="Z120" s="6"/>
      <c r="AA120" s="6"/>
      <c r="AB120" s="6">
        <f t="shared" si="6"/>
        <v>19866</v>
      </c>
      <c r="AC120" s="6">
        <f t="shared" si="7"/>
        <v>0</v>
      </c>
      <c r="AD120" s="6">
        <f t="shared" ca="1" si="8"/>
        <v>22437.805556905696</v>
      </c>
      <c r="AE120" s="6">
        <f t="shared" si="9"/>
        <v>0</v>
      </c>
      <c r="AF120" s="4" t="s">
        <v>815</v>
      </c>
    </row>
    <row r="121" spans="1:32" ht="11.25" customHeight="1" x14ac:dyDescent="0.3">
      <c r="A121" s="4" t="s">
        <v>21</v>
      </c>
      <c r="B121" s="4" t="s">
        <v>39</v>
      </c>
      <c r="C121" s="4" t="s">
        <v>40</v>
      </c>
      <c r="D121" s="4" t="s">
        <v>38</v>
      </c>
      <c r="E121" s="4" t="s">
        <v>25</v>
      </c>
      <c r="F121" s="4" t="s">
        <v>58</v>
      </c>
      <c r="G121" s="4" t="s">
        <v>25</v>
      </c>
      <c r="H121" s="4" t="s">
        <v>25</v>
      </c>
      <c r="I121" s="5">
        <v>44593</v>
      </c>
      <c r="J121" s="6">
        <v>2100</v>
      </c>
      <c r="K121" s="6">
        <v>1050</v>
      </c>
      <c r="L121" s="6">
        <v>0</v>
      </c>
      <c r="M121" s="6">
        <v>0</v>
      </c>
      <c r="N121" s="6">
        <v>0</v>
      </c>
      <c r="O121" s="6">
        <v>0</v>
      </c>
      <c r="P121" s="6">
        <v>1</v>
      </c>
      <c r="Q121" s="4" t="s">
        <v>59</v>
      </c>
      <c r="R121" s="4">
        <v>0</v>
      </c>
      <c r="S121" s="4">
        <v>13</v>
      </c>
      <c r="T121" s="4">
        <v>0</v>
      </c>
      <c r="U121" s="4">
        <v>0</v>
      </c>
      <c r="V121" s="6">
        <f>IF(ISERROR(VLOOKUP($S$121,'TAR FIN'!$A$1:$O$103,15,0)),0,VLOOKUP($S$121,'TAR FIN'!$A$1:$O$103,15,0))</f>
        <v>18.920000000000002</v>
      </c>
      <c r="W121" s="6">
        <f>IF(ISERROR(VLOOKUP($T$121,'TAR FIN'!$A$1:$O$103,15,0)),0,VLOOKUP($T$121,'TAR FIN'!$A$1:$O$103,15,0))</f>
        <v>0</v>
      </c>
      <c r="X121" s="6">
        <f>IF(ISERROR(VLOOKUP($U$121,'TAR FIN'!$A$1:$O$103,15,0)),0,VLOOKUP($U$121,'TAR FIN'!$A$1:$O$103,15,0))</f>
        <v>0</v>
      </c>
      <c r="Y121" s="6">
        <f ca="1">('TUSD BE'!$AM$22+'TUSD BF'!$AM$22+'TUSD CVA'!$AM$22)*1</f>
        <v>21.369338625624472</v>
      </c>
      <c r="Z121" s="6"/>
      <c r="AA121" s="6"/>
      <c r="AB121" s="6">
        <f t="shared" si="6"/>
        <v>19866</v>
      </c>
      <c r="AC121" s="6">
        <f t="shared" si="7"/>
        <v>0</v>
      </c>
      <c r="AD121" s="6">
        <f t="shared" ca="1" si="8"/>
        <v>22437.805556905696</v>
      </c>
      <c r="AE121" s="6">
        <f t="shared" si="9"/>
        <v>0</v>
      </c>
      <c r="AF121" s="4" t="s">
        <v>815</v>
      </c>
    </row>
    <row r="122" spans="1:32" ht="11.25" customHeight="1" x14ac:dyDescent="0.3">
      <c r="A122" s="4" t="s">
        <v>21</v>
      </c>
      <c r="B122" s="4" t="s">
        <v>39</v>
      </c>
      <c r="C122" s="4" t="s">
        <v>40</v>
      </c>
      <c r="D122" s="4" t="s">
        <v>38</v>
      </c>
      <c r="E122" s="4" t="s">
        <v>25</v>
      </c>
      <c r="F122" s="4" t="s">
        <v>58</v>
      </c>
      <c r="G122" s="4" t="s">
        <v>25</v>
      </c>
      <c r="H122" s="4" t="s">
        <v>25</v>
      </c>
      <c r="I122" s="5">
        <v>44621</v>
      </c>
      <c r="J122" s="6">
        <v>2100</v>
      </c>
      <c r="K122" s="6">
        <v>1050</v>
      </c>
      <c r="L122" s="6">
        <v>0</v>
      </c>
      <c r="M122" s="6">
        <v>0</v>
      </c>
      <c r="N122" s="6">
        <v>0</v>
      </c>
      <c r="O122" s="6">
        <v>0</v>
      </c>
      <c r="P122" s="6">
        <v>1</v>
      </c>
      <c r="Q122" s="4" t="s">
        <v>59</v>
      </c>
      <c r="R122" s="4">
        <v>0</v>
      </c>
      <c r="S122" s="4">
        <v>13</v>
      </c>
      <c r="T122" s="4">
        <v>0</v>
      </c>
      <c r="U122" s="4">
        <v>0</v>
      </c>
      <c r="V122" s="6">
        <f>IF(ISERROR(VLOOKUP($S$122,'TAR FIN'!$A$1:$O$103,15,0)),0,VLOOKUP($S$122,'TAR FIN'!$A$1:$O$103,15,0))</f>
        <v>18.920000000000002</v>
      </c>
      <c r="W122" s="6">
        <f>IF(ISERROR(VLOOKUP($T$122,'TAR FIN'!$A$1:$O$103,15,0)),0,VLOOKUP($T$122,'TAR FIN'!$A$1:$O$103,15,0))</f>
        <v>0</v>
      </c>
      <c r="X122" s="6">
        <f>IF(ISERROR(VLOOKUP($U$122,'TAR FIN'!$A$1:$O$103,15,0)),0,VLOOKUP($U$122,'TAR FIN'!$A$1:$O$103,15,0))</f>
        <v>0</v>
      </c>
      <c r="Y122" s="6">
        <f ca="1">('TUSD BE'!$AM$22+'TUSD BF'!$AM$22+'TUSD CVA'!$AM$22)*1</f>
        <v>21.369338625624472</v>
      </c>
      <c r="Z122" s="6"/>
      <c r="AA122" s="6"/>
      <c r="AB122" s="6">
        <f t="shared" si="6"/>
        <v>19866</v>
      </c>
      <c r="AC122" s="6">
        <f t="shared" si="7"/>
        <v>0</v>
      </c>
      <c r="AD122" s="6">
        <f t="shared" ca="1" si="8"/>
        <v>22437.805556905696</v>
      </c>
      <c r="AE122" s="6">
        <f t="shared" si="9"/>
        <v>0</v>
      </c>
      <c r="AF122" s="4" t="s">
        <v>815</v>
      </c>
    </row>
    <row r="123" spans="1:32" ht="11.25" customHeight="1" x14ac:dyDescent="0.3">
      <c r="A123" s="4" t="s">
        <v>21</v>
      </c>
      <c r="B123" s="4" t="s">
        <v>39</v>
      </c>
      <c r="C123" s="4" t="s">
        <v>40</v>
      </c>
      <c r="D123" s="4" t="s">
        <v>38</v>
      </c>
      <c r="E123" s="4" t="s">
        <v>25</v>
      </c>
      <c r="F123" s="4" t="s">
        <v>58</v>
      </c>
      <c r="G123" s="4" t="s">
        <v>25</v>
      </c>
      <c r="H123" s="4" t="s">
        <v>25</v>
      </c>
      <c r="I123" s="5">
        <v>44652</v>
      </c>
      <c r="J123" s="6">
        <v>2100</v>
      </c>
      <c r="K123" s="6">
        <v>1050</v>
      </c>
      <c r="L123" s="6">
        <v>0</v>
      </c>
      <c r="M123" s="6">
        <v>0</v>
      </c>
      <c r="N123" s="6">
        <v>0</v>
      </c>
      <c r="O123" s="6">
        <v>0</v>
      </c>
      <c r="P123" s="6">
        <v>1</v>
      </c>
      <c r="Q123" s="4" t="s">
        <v>59</v>
      </c>
      <c r="R123" s="4">
        <v>0</v>
      </c>
      <c r="S123" s="4">
        <v>13</v>
      </c>
      <c r="T123" s="4">
        <v>0</v>
      </c>
      <c r="U123" s="4">
        <v>0</v>
      </c>
      <c r="V123" s="6">
        <f>IF(ISERROR(VLOOKUP($S$123,'TAR FIN'!$A$1:$O$103,15,0)),0,VLOOKUP($S$123,'TAR FIN'!$A$1:$O$103,15,0))</f>
        <v>18.920000000000002</v>
      </c>
      <c r="W123" s="6">
        <f>IF(ISERROR(VLOOKUP($T$123,'TAR FIN'!$A$1:$O$103,15,0)),0,VLOOKUP($T$123,'TAR FIN'!$A$1:$O$103,15,0))</f>
        <v>0</v>
      </c>
      <c r="X123" s="6">
        <f>IF(ISERROR(VLOOKUP($U$123,'TAR FIN'!$A$1:$O$103,15,0)),0,VLOOKUP($U$123,'TAR FIN'!$A$1:$O$103,15,0))</f>
        <v>0</v>
      </c>
      <c r="Y123" s="6">
        <f ca="1">('TUSD BE'!$AM$22+'TUSD BF'!$AM$22+'TUSD CVA'!$AM$22)*1</f>
        <v>21.369338625624472</v>
      </c>
      <c r="Z123" s="6"/>
      <c r="AA123" s="6"/>
      <c r="AB123" s="6">
        <f t="shared" si="6"/>
        <v>19866</v>
      </c>
      <c r="AC123" s="6">
        <f t="shared" si="7"/>
        <v>0</v>
      </c>
      <c r="AD123" s="6">
        <f t="shared" ca="1" si="8"/>
        <v>22437.805556905696</v>
      </c>
      <c r="AE123" s="6">
        <f t="shared" si="9"/>
        <v>0</v>
      </c>
      <c r="AF123" s="4" t="s">
        <v>815</v>
      </c>
    </row>
    <row r="124" spans="1:32" ht="11.25" customHeight="1" x14ac:dyDescent="0.3">
      <c r="A124" s="4" t="s">
        <v>21</v>
      </c>
      <c r="B124" s="4" t="s">
        <v>39</v>
      </c>
      <c r="C124" s="4" t="s">
        <v>40</v>
      </c>
      <c r="D124" s="4" t="s">
        <v>38</v>
      </c>
      <c r="E124" s="4" t="s">
        <v>25</v>
      </c>
      <c r="F124" s="4" t="s">
        <v>58</v>
      </c>
      <c r="G124" s="4" t="s">
        <v>25</v>
      </c>
      <c r="H124" s="4" t="s">
        <v>25</v>
      </c>
      <c r="I124" s="5">
        <v>44682</v>
      </c>
      <c r="J124" s="6">
        <v>2100</v>
      </c>
      <c r="K124" s="6">
        <v>1050</v>
      </c>
      <c r="L124" s="6">
        <v>0</v>
      </c>
      <c r="M124" s="6">
        <v>0</v>
      </c>
      <c r="N124" s="6">
        <v>0</v>
      </c>
      <c r="O124" s="6">
        <v>0</v>
      </c>
      <c r="P124" s="6">
        <v>1</v>
      </c>
      <c r="Q124" s="4" t="s">
        <v>59</v>
      </c>
      <c r="R124" s="4">
        <v>0</v>
      </c>
      <c r="S124" s="4">
        <v>13</v>
      </c>
      <c r="T124" s="4">
        <v>0</v>
      </c>
      <c r="U124" s="4">
        <v>0</v>
      </c>
      <c r="V124" s="6">
        <f>IF(ISERROR(VLOOKUP($S$124,'TAR FIN'!$A$1:$O$103,15,0)),0,VLOOKUP($S$124,'TAR FIN'!$A$1:$O$103,15,0))</f>
        <v>18.920000000000002</v>
      </c>
      <c r="W124" s="6">
        <f>IF(ISERROR(VLOOKUP($T$124,'TAR FIN'!$A$1:$O$103,15,0)),0,VLOOKUP($T$124,'TAR FIN'!$A$1:$O$103,15,0))</f>
        <v>0</v>
      </c>
      <c r="X124" s="6">
        <f>IF(ISERROR(VLOOKUP($U$124,'TAR FIN'!$A$1:$O$103,15,0)),0,VLOOKUP($U$124,'TAR FIN'!$A$1:$O$103,15,0))</f>
        <v>0</v>
      </c>
      <c r="Y124" s="6">
        <f ca="1">('TUSD BE'!$AM$22+'TUSD BF'!$AM$22+'TUSD CVA'!$AM$22)*1</f>
        <v>21.369338625624472</v>
      </c>
      <c r="Z124" s="6"/>
      <c r="AA124" s="6"/>
      <c r="AB124" s="6">
        <f t="shared" si="6"/>
        <v>19866</v>
      </c>
      <c r="AC124" s="6">
        <f t="shared" si="7"/>
        <v>0</v>
      </c>
      <c r="AD124" s="6">
        <f t="shared" ca="1" si="8"/>
        <v>22437.805556905696</v>
      </c>
      <c r="AE124" s="6">
        <f t="shared" si="9"/>
        <v>0</v>
      </c>
      <c r="AF124" s="4" t="s">
        <v>815</v>
      </c>
    </row>
    <row r="125" spans="1:32" ht="11.25" customHeight="1" x14ac:dyDescent="0.3">
      <c r="A125" s="4" t="s">
        <v>21</v>
      </c>
      <c r="B125" s="4" t="s">
        <v>39</v>
      </c>
      <c r="C125" s="4" t="s">
        <v>40</v>
      </c>
      <c r="D125" s="4" t="s">
        <v>38</v>
      </c>
      <c r="E125" s="4" t="s">
        <v>25</v>
      </c>
      <c r="F125" s="4" t="s">
        <v>58</v>
      </c>
      <c r="G125" s="4" t="s">
        <v>25</v>
      </c>
      <c r="H125" s="4" t="s">
        <v>25</v>
      </c>
      <c r="I125" s="5">
        <v>44713</v>
      </c>
      <c r="J125" s="6">
        <v>2100</v>
      </c>
      <c r="K125" s="6">
        <v>1050</v>
      </c>
      <c r="L125" s="6">
        <v>0</v>
      </c>
      <c r="M125" s="6">
        <v>0</v>
      </c>
      <c r="N125" s="6">
        <v>0</v>
      </c>
      <c r="O125" s="6">
        <v>0</v>
      </c>
      <c r="P125" s="6">
        <v>1</v>
      </c>
      <c r="Q125" s="4" t="s">
        <v>59</v>
      </c>
      <c r="R125" s="4">
        <v>0</v>
      </c>
      <c r="S125" s="4">
        <v>13</v>
      </c>
      <c r="T125" s="4">
        <v>0</v>
      </c>
      <c r="U125" s="4">
        <v>0</v>
      </c>
      <c r="V125" s="6">
        <f>IF(ISERROR(VLOOKUP($S$125,'TAR FIN'!$A$1:$O$103,15,0)),0,VLOOKUP($S$125,'TAR FIN'!$A$1:$O$103,15,0))</f>
        <v>18.920000000000002</v>
      </c>
      <c r="W125" s="6">
        <f>IF(ISERROR(VLOOKUP($T$125,'TAR FIN'!$A$1:$O$103,15,0)),0,VLOOKUP($T$125,'TAR FIN'!$A$1:$O$103,15,0))</f>
        <v>0</v>
      </c>
      <c r="X125" s="6">
        <f>IF(ISERROR(VLOOKUP($U$125,'TAR FIN'!$A$1:$O$103,15,0)),0,VLOOKUP($U$125,'TAR FIN'!$A$1:$O$103,15,0))</f>
        <v>0</v>
      </c>
      <c r="Y125" s="6">
        <f ca="1">('TUSD BE'!$AM$22+'TUSD BF'!$AM$22+'TUSD CVA'!$AM$22)*1</f>
        <v>21.369338625624472</v>
      </c>
      <c r="Z125" s="6"/>
      <c r="AA125" s="6"/>
      <c r="AB125" s="6">
        <f t="shared" si="6"/>
        <v>19866</v>
      </c>
      <c r="AC125" s="6">
        <f t="shared" si="7"/>
        <v>0</v>
      </c>
      <c r="AD125" s="6">
        <f t="shared" ca="1" si="8"/>
        <v>22437.805556905696</v>
      </c>
      <c r="AE125" s="6">
        <f t="shared" si="9"/>
        <v>0</v>
      </c>
      <c r="AF125" s="4" t="s">
        <v>815</v>
      </c>
    </row>
    <row r="126" spans="1:32" ht="11.25" customHeight="1" x14ac:dyDescent="0.3">
      <c r="A126" s="4" t="s">
        <v>21</v>
      </c>
      <c r="B126" s="4" t="s">
        <v>39</v>
      </c>
      <c r="C126" s="4" t="s">
        <v>40</v>
      </c>
      <c r="D126" s="4" t="s">
        <v>38</v>
      </c>
      <c r="E126" s="4" t="s">
        <v>25</v>
      </c>
      <c r="F126" s="4" t="s">
        <v>58</v>
      </c>
      <c r="G126" s="4" t="s">
        <v>25</v>
      </c>
      <c r="H126" s="4" t="s">
        <v>25</v>
      </c>
      <c r="I126" s="5">
        <v>44743</v>
      </c>
      <c r="J126" s="6">
        <v>2100</v>
      </c>
      <c r="K126" s="6">
        <v>1050</v>
      </c>
      <c r="L126" s="6">
        <v>0</v>
      </c>
      <c r="M126" s="6">
        <v>0</v>
      </c>
      <c r="N126" s="6">
        <v>0</v>
      </c>
      <c r="O126" s="6">
        <v>0</v>
      </c>
      <c r="P126" s="6">
        <v>1</v>
      </c>
      <c r="Q126" s="4" t="s">
        <v>59</v>
      </c>
      <c r="R126" s="4">
        <v>0</v>
      </c>
      <c r="S126" s="4">
        <v>13</v>
      </c>
      <c r="T126" s="4">
        <v>0</v>
      </c>
      <c r="U126" s="4">
        <v>0</v>
      </c>
      <c r="V126" s="6">
        <f>IF(ISERROR(VLOOKUP($S$126,'TAR FIN'!$A$1:$O$103,15,0)),0,VLOOKUP($S$126,'TAR FIN'!$A$1:$O$103,15,0))</f>
        <v>18.920000000000002</v>
      </c>
      <c r="W126" s="6">
        <f>IF(ISERROR(VLOOKUP($T$126,'TAR FIN'!$A$1:$O$103,15,0)),0,VLOOKUP($T$126,'TAR FIN'!$A$1:$O$103,15,0))</f>
        <v>0</v>
      </c>
      <c r="X126" s="6">
        <f>IF(ISERROR(VLOOKUP($U$126,'TAR FIN'!$A$1:$O$103,15,0)),0,VLOOKUP($U$126,'TAR FIN'!$A$1:$O$103,15,0))</f>
        <v>0</v>
      </c>
      <c r="Y126" s="6">
        <f ca="1">('TUSD BE'!$AM$22+'TUSD BF'!$AM$22+'TUSD CVA'!$AM$22)*1</f>
        <v>21.369338625624472</v>
      </c>
      <c r="Z126" s="6"/>
      <c r="AA126" s="6"/>
      <c r="AB126" s="6">
        <f t="shared" si="6"/>
        <v>19866</v>
      </c>
      <c r="AC126" s="6">
        <f t="shared" si="7"/>
        <v>0</v>
      </c>
      <c r="AD126" s="6">
        <f t="shared" ca="1" si="8"/>
        <v>22437.805556905696</v>
      </c>
      <c r="AE126" s="6">
        <f t="shared" si="9"/>
        <v>0</v>
      </c>
      <c r="AF126" s="4" t="s">
        <v>815</v>
      </c>
    </row>
    <row r="127" spans="1:32" ht="11.25" customHeight="1" x14ac:dyDescent="0.3">
      <c r="A127" s="4" t="s">
        <v>21</v>
      </c>
      <c r="B127" s="4" t="s">
        <v>39</v>
      </c>
      <c r="C127" s="4" t="s">
        <v>40</v>
      </c>
      <c r="D127" s="4" t="s">
        <v>38</v>
      </c>
      <c r="E127" s="4" t="s">
        <v>25</v>
      </c>
      <c r="F127" s="4" t="s">
        <v>58</v>
      </c>
      <c r="G127" s="4" t="s">
        <v>25</v>
      </c>
      <c r="H127" s="4" t="s">
        <v>25</v>
      </c>
      <c r="I127" s="5">
        <v>44774</v>
      </c>
      <c r="J127" s="6">
        <v>2100</v>
      </c>
      <c r="K127" s="6">
        <v>1050</v>
      </c>
      <c r="L127" s="6">
        <v>0</v>
      </c>
      <c r="M127" s="6">
        <v>0</v>
      </c>
      <c r="N127" s="6">
        <v>0</v>
      </c>
      <c r="O127" s="6">
        <v>0</v>
      </c>
      <c r="P127" s="6">
        <v>1</v>
      </c>
      <c r="Q127" s="4" t="s">
        <v>59</v>
      </c>
      <c r="R127" s="4">
        <v>0</v>
      </c>
      <c r="S127" s="4">
        <v>13</v>
      </c>
      <c r="T127" s="4">
        <v>0</v>
      </c>
      <c r="U127" s="4">
        <v>0</v>
      </c>
      <c r="V127" s="6">
        <f>IF(ISERROR(VLOOKUP($S$127,'TAR FIN'!$A$1:$O$103,15,0)),0,VLOOKUP($S$127,'TAR FIN'!$A$1:$O$103,15,0))</f>
        <v>18.920000000000002</v>
      </c>
      <c r="W127" s="6">
        <f>IF(ISERROR(VLOOKUP($T$127,'TAR FIN'!$A$1:$O$103,15,0)),0,VLOOKUP($T$127,'TAR FIN'!$A$1:$O$103,15,0))</f>
        <v>0</v>
      </c>
      <c r="X127" s="6">
        <f>IF(ISERROR(VLOOKUP($U$127,'TAR FIN'!$A$1:$O$103,15,0)),0,VLOOKUP($U$127,'TAR FIN'!$A$1:$O$103,15,0))</f>
        <v>0</v>
      </c>
      <c r="Y127" s="6">
        <f ca="1">('TUSD BE'!$AM$22+'TUSD BF'!$AM$22+'TUSD CVA'!$AM$22)*1</f>
        <v>21.369338625624472</v>
      </c>
      <c r="Z127" s="6"/>
      <c r="AA127" s="6"/>
      <c r="AB127" s="6">
        <f t="shared" si="6"/>
        <v>19866</v>
      </c>
      <c r="AC127" s="6">
        <f t="shared" si="7"/>
        <v>0</v>
      </c>
      <c r="AD127" s="6">
        <f t="shared" ca="1" si="8"/>
        <v>22437.805556905696</v>
      </c>
      <c r="AE127" s="6">
        <f t="shared" si="9"/>
        <v>0</v>
      </c>
      <c r="AF127" s="4" t="s">
        <v>815</v>
      </c>
    </row>
    <row r="128" spans="1:32" ht="11.25" customHeight="1" x14ac:dyDescent="0.3">
      <c r="A128" s="4" t="s">
        <v>21</v>
      </c>
      <c r="B128" s="4" t="s">
        <v>39</v>
      </c>
      <c r="C128" s="4" t="s">
        <v>40</v>
      </c>
      <c r="D128" s="4" t="s">
        <v>38</v>
      </c>
      <c r="E128" s="4" t="s">
        <v>25</v>
      </c>
      <c r="F128" s="4" t="s">
        <v>58</v>
      </c>
      <c r="G128" s="4" t="s">
        <v>25</v>
      </c>
      <c r="H128" s="4" t="s">
        <v>25</v>
      </c>
      <c r="I128" s="5">
        <v>44805</v>
      </c>
      <c r="J128" s="6">
        <v>2100</v>
      </c>
      <c r="K128" s="6">
        <v>1050</v>
      </c>
      <c r="L128" s="6">
        <v>0</v>
      </c>
      <c r="M128" s="6">
        <v>0</v>
      </c>
      <c r="N128" s="6">
        <v>0</v>
      </c>
      <c r="O128" s="6">
        <v>0</v>
      </c>
      <c r="P128" s="6">
        <v>1</v>
      </c>
      <c r="Q128" s="4" t="s">
        <v>59</v>
      </c>
      <c r="R128" s="4">
        <v>0</v>
      </c>
      <c r="S128" s="4">
        <v>13</v>
      </c>
      <c r="T128" s="4">
        <v>0</v>
      </c>
      <c r="U128" s="4">
        <v>0</v>
      </c>
      <c r="V128" s="6">
        <f>IF(ISERROR(VLOOKUP($S$128,'TAR FIN'!$A$1:$O$103,15,0)),0,VLOOKUP($S$128,'TAR FIN'!$A$1:$O$103,15,0))</f>
        <v>18.920000000000002</v>
      </c>
      <c r="W128" s="6">
        <f>IF(ISERROR(VLOOKUP($T$128,'TAR FIN'!$A$1:$O$103,15,0)),0,VLOOKUP($T$128,'TAR FIN'!$A$1:$O$103,15,0))</f>
        <v>0</v>
      </c>
      <c r="X128" s="6">
        <f>IF(ISERROR(VLOOKUP($U$128,'TAR FIN'!$A$1:$O$103,15,0)),0,VLOOKUP($U$128,'TAR FIN'!$A$1:$O$103,15,0))</f>
        <v>0</v>
      </c>
      <c r="Y128" s="6">
        <f ca="1">('TUSD BE'!$AM$22+'TUSD BF'!$AM$22+'TUSD CVA'!$AM$22)*1</f>
        <v>21.369338625624472</v>
      </c>
      <c r="Z128" s="6"/>
      <c r="AA128" s="6"/>
      <c r="AB128" s="6">
        <f t="shared" si="6"/>
        <v>19866</v>
      </c>
      <c r="AC128" s="6">
        <f t="shared" si="7"/>
        <v>0</v>
      </c>
      <c r="AD128" s="6">
        <f t="shared" ca="1" si="8"/>
        <v>22437.805556905696</v>
      </c>
      <c r="AE128" s="6">
        <f t="shared" si="9"/>
        <v>0</v>
      </c>
      <c r="AF128" s="4" t="s">
        <v>815</v>
      </c>
    </row>
    <row r="129" spans="1:32" ht="11.25" customHeight="1" x14ac:dyDescent="0.3">
      <c r="A129" s="4" t="s">
        <v>57</v>
      </c>
      <c r="B129" s="4" t="s">
        <v>39</v>
      </c>
      <c r="C129" s="4" t="s">
        <v>40</v>
      </c>
      <c r="D129" s="4" t="s">
        <v>38</v>
      </c>
      <c r="E129" s="4" t="s">
        <v>25</v>
      </c>
      <c r="F129" s="4" t="s">
        <v>58</v>
      </c>
      <c r="G129" s="4" t="s">
        <v>25</v>
      </c>
      <c r="H129" s="4" t="s">
        <v>25</v>
      </c>
      <c r="I129" s="5">
        <v>44835</v>
      </c>
      <c r="J129" s="6">
        <v>2100</v>
      </c>
      <c r="K129" s="6">
        <v>1050</v>
      </c>
      <c r="L129" s="6">
        <v>0</v>
      </c>
      <c r="M129" s="6">
        <v>0</v>
      </c>
      <c r="N129" s="6">
        <v>0</v>
      </c>
      <c r="O129" s="6">
        <v>0</v>
      </c>
      <c r="P129" s="6">
        <v>1</v>
      </c>
      <c r="Q129" s="4" t="s">
        <v>59</v>
      </c>
      <c r="R129" s="4">
        <v>0</v>
      </c>
      <c r="S129" s="4">
        <v>13</v>
      </c>
      <c r="T129" s="4">
        <v>0</v>
      </c>
      <c r="U129" s="4">
        <v>0</v>
      </c>
      <c r="V129" s="6">
        <f>IF(ISERROR(VLOOKUP($S$129,'TAR FIN'!$A$1:$O$103,15,0)),0,VLOOKUP($S$129,'TAR FIN'!$A$1:$O$103,15,0))</f>
        <v>18.920000000000002</v>
      </c>
      <c r="W129" s="6">
        <f>IF(ISERROR(VLOOKUP($T$129,'TAR FIN'!$A$1:$O$103,15,0)),0,VLOOKUP($T$129,'TAR FIN'!$A$1:$O$103,15,0))</f>
        <v>0</v>
      </c>
      <c r="X129" s="6">
        <f>IF(ISERROR(VLOOKUP($U$129,'TAR FIN'!$A$1:$O$103,15,0)),0,VLOOKUP($U$129,'TAR FIN'!$A$1:$O$103,15,0))</f>
        <v>0</v>
      </c>
      <c r="Y129" s="6">
        <f ca="1">('TUSD BE'!$AM$22+'TUSD BF'!$AM$22+'TUSD CVA'!$AM$22)*1</f>
        <v>21.369338625624472</v>
      </c>
      <c r="Z129" s="6"/>
      <c r="AA129" s="6"/>
      <c r="AB129" s="6">
        <f t="shared" si="6"/>
        <v>19866</v>
      </c>
      <c r="AC129" s="6">
        <f t="shared" si="7"/>
        <v>0</v>
      </c>
      <c r="AD129" s="6">
        <f t="shared" ca="1" si="8"/>
        <v>22437.805556905696</v>
      </c>
      <c r="AE129" s="6">
        <f t="shared" si="9"/>
        <v>0</v>
      </c>
      <c r="AF129" s="4" t="s">
        <v>815</v>
      </c>
    </row>
    <row r="130" spans="1:32" ht="11.25" customHeight="1" x14ac:dyDescent="0.3">
      <c r="A130" s="4" t="s">
        <v>21</v>
      </c>
      <c r="B130" s="4" t="s">
        <v>39</v>
      </c>
      <c r="C130" s="4" t="s">
        <v>40</v>
      </c>
      <c r="D130" s="4" t="s">
        <v>38</v>
      </c>
      <c r="E130" s="4" t="s">
        <v>25</v>
      </c>
      <c r="F130" s="4" t="s">
        <v>58</v>
      </c>
      <c r="G130" s="4" t="s">
        <v>25</v>
      </c>
      <c r="H130" s="4" t="s">
        <v>34</v>
      </c>
      <c r="I130" s="5">
        <v>44501</v>
      </c>
      <c r="J130" s="6">
        <v>0</v>
      </c>
      <c r="K130" s="6">
        <v>0</v>
      </c>
      <c r="L130" s="6">
        <v>20.846</v>
      </c>
      <c r="M130" s="6">
        <v>11.075382657640001</v>
      </c>
      <c r="N130" s="6">
        <v>0</v>
      </c>
      <c r="O130" s="6">
        <v>0</v>
      </c>
      <c r="P130" s="6">
        <v>0</v>
      </c>
      <c r="Q130" s="4" t="s">
        <v>59</v>
      </c>
      <c r="R130" s="4">
        <v>0</v>
      </c>
      <c r="S130" s="4">
        <v>0</v>
      </c>
      <c r="T130" s="4">
        <v>15</v>
      </c>
      <c r="U130" s="4">
        <v>0</v>
      </c>
      <c r="V130" s="6">
        <f>IF(ISERROR(VLOOKUP($S$130,'TAR FIN'!$A$1:$O$103,15,0)),0,VLOOKUP($S$130,'TAR FIN'!$A$1:$O$103,15,0))</f>
        <v>0</v>
      </c>
      <c r="W130" s="6">
        <f>IF(ISERROR(VLOOKUP($T$130,'TAR FIN'!$A$1:$O$103,15,0)),0,VLOOKUP($T$130,'TAR FIN'!$A$1:$O$103,15,0))</f>
        <v>1195.82</v>
      </c>
      <c r="X130" s="6">
        <f>IF(ISERROR(VLOOKUP($U$130,'TAR FIN'!$A$1:$O$103,15,0)),0,VLOOKUP($U$130,'TAR FIN'!$A$1:$O$103,15,0))</f>
        <v>0</v>
      </c>
      <c r="Y130" s="6"/>
      <c r="Z130" s="6">
        <f ca="1">('TUSD BE'!$AM$23+'TUSD BF'!$AM$23+'TUSD CVA'!$AM$23)*1</f>
        <v>1385.4977743340116</v>
      </c>
      <c r="AA130" s="6"/>
      <c r="AB130" s="6">
        <f t="shared" ref="AB130:AB153" si="10">(J130-K130)*V130</f>
        <v>0</v>
      </c>
      <c r="AC130" s="6">
        <f t="shared" ref="AC130:AC153" si="11">(L130-M130)*W130+(N130-O130)*X130</f>
        <v>11683.899630340935</v>
      </c>
      <c r="AD130" s="6">
        <f t="shared" ref="AD130:AD153" si="12">(J130-K130)*Y130</f>
        <v>0</v>
      </c>
      <c r="AE130" s="6">
        <f t="shared" ref="AE130:AE153" ca="1" si="13">(L130-M130)*Z130+(N130-O130)*AA130</f>
        <v>13537.168581709075</v>
      </c>
      <c r="AF130" s="4" t="s">
        <v>815</v>
      </c>
    </row>
    <row r="131" spans="1:32" ht="11.25" customHeight="1" x14ac:dyDescent="0.3">
      <c r="A131" s="4" t="s">
        <v>21</v>
      </c>
      <c r="B131" s="4" t="s">
        <v>39</v>
      </c>
      <c r="C131" s="4" t="s">
        <v>40</v>
      </c>
      <c r="D131" s="4" t="s">
        <v>38</v>
      </c>
      <c r="E131" s="4" t="s">
        <v>25</v>
      </c>
      <c r="F131" s="4" t="s">
        <v>58</v>
      </c>
      <c r="G131" s="4" t="s">
        <v>25</v>
      </c>
      <c r="H131" s="4" t="s">
        <v>34</v>
      </c>
      <c r="I131" s="5">
        <v>44531</v>
      </c>
      <c r="J131" s="6">
        <v>0</v>
      </c>
      <c r="K131" s="6">
        <v>0</v>
      </c>
      <c r="L131" s="6">
        <v>24.186</v>
      </c>
      <c r="M131" s="6">
        <v>12.952480468079999</v>
      </c>
      <c r="N131" s="6">
        <v>0</v>
      </c>
      <c r="O131" s="6">
        <v>0</v>
      </c>
      <c r="P131" s="6">
        <v>0</v>
      </c>
      <c r="Q131" s="4" t="s">
        <v>59</v>
      </c>
      <c r="R131" s="4">
        <v>0</v>
      </c>
      <c r="S131" s="4">
        <v>0</v>
      </c>
      <c r="T131" s="4">
        <v>15</v>
      </c>
      <c r="U131" s="4">
        <v>0</v>
      </c>
      <c r="V131" s="6">
        <f>IF(ISERROR(VLOOKUP($S$131,'TAR FIN'!$A$1:$O$103,15,0)),0,VLOOKUP($S$131,'TAR FIN'!$A$1:$O$103,15,0))</f>
        <v>0</v>
      </c>
      <c r="W131" s="6">
        <f>IF(ISERROR(VLOOKUP($T$131,'TAR FIN'!$A$1:$O$103,15,0)),0,VLOOKUP($T$131,'TAR FIN'!$A$1:$O$103,15,0))</f>
        <v>1195.82</v>
      </c>
      <c r="X131" s="6">
        <f>IF(ISERROR(VLOOKUP($U$131,'TAR FIN'!$A$1:$O$103,15,0)),0,VLOOKUP($U$131,'TAR FIN'!$A$1:$O$103,15,0))</f>
        <v>0</v>
      </c>
      <c r="Y131" s="6"/>
      <c r="Z131" s="6">
        <f ca="1">('TUSD BE'!$AM$23+'TUSD BF'!$AM$23+'TUSD CVA'!$AM$23)*1</f>
        <v>1385.4977743340116</v>
      </c>
      <c r="AA131" s="6"/>
      <c r="AB131" s="6">
        <f t="shared" si="10"/>
        <v>0</v>
      </c>
      <c r="AC131" s="6">
        <f t="shared" si="11"/>
        <v>13433.267326660574</v>
      </c>
      <c r="AD131" s="6">
        <f t="shared" si="12"/>
        <v>0</v>
      </c>
      <c r="AE131" s="6">
        <f t="shared" ca="1" si="13"/>
        <v>15564.016309412809</v>
      </c>
      <c r="AF131" s="4" t="s">
        <v>815</v>
      </c>
    </row>
    <row r="132" spans="1:32" ht="11.25" customHeight="1" x14ac:dyDescent="0.3">
      <c r="A132" s="4" t="s">
        <v>21</v>
      </c>
      <c r="B132" s="4" t="s">
        <v>39</v>
      </c>
      <c r="C132" s="4" t="s">
        <v>40</v>
      </c>
      <c r="D132" s="4" t="s">
        <v>38</v>
      </c>
      <c r="E132" s="4" t="s">
        <v>25</v>
      </c>
      <c r="F132" s="4" t="s">
        <v>58</v>
      </c>
      <c r="G132" s="4" t="s">
        <v>25</v>
      </c>
      <c r="H132" s="4" t="s">
        <v>34</v>
      </c>
      <c r="I132" s="5">
        <v>44562</v>
      </c>
      <c r="J132" s="6">
        <v>0</v>
      </c>
      <c r="K132" s="6">
        <v>0</v>
      </c>
      <c r="L132" s="6">
        <v>26.704000000000001</v>
      </c>
      <c r="M132" s="6">
        <v>14.30096082112</v>
      </c>
      <c r="N132" s="6">
        <v>0</v>
      </c>
      <c r="O132" s="6">
        <v>0</v>
      </c>
      <c r="P132" s="6">
        <v>0</v>
      </c>
      <c r="Q132" s="4" t="s">
        <v>59</v>
      </c>
      <c r="R132" s="4">
        <v>0</v>
      </c>
      <c r="S132" s="4">
        <v>0</v>
      </c>
      <c r="T132" s="4">
        <v>15</v>
      </c>
      <c r="U132" s="4">
        <v>0</v>
      </c>
      <c r="V132" s="6">
        <f>IF(ISERROR(VLOOKUP($S$132,'TAR FIN'!$A$1:$O$103,15,0)),0,VLOOKUP($S$132,'TAR FIN'!$A$1:$O$103,15,0))</f>
        <v>0</v>
      </c>
      <c r="W132" s="6">
        <f>IF(ISERROR(VLOOKUP($T$132,'TAR FIN'!$A$1:$O$103,15,0)),0,VLOOKUP($T$132,'TAR FIN'!$A$1:$O$103,15,0))</f>
        <v>1195.82</v>
      </c>
      <c r="X132" s="6">
        <f>IF(ISERROR(VLOOKUP($U$132,'TAR FIN'!$A$1:$O$103,15,0)),0,VLOOKUP($U$132,'TAR FIN'!$A$1:$O$103,15,0))</f>
        <v>0</v>
      </c>
      <c r="Y132" s="6"/>
      <c r="Z132" s="6">
        <f ca="1">('TUSD BE'!$AM$23+'TUSD BF'!$AM$23+'TUSD CVA'!$AM$23)*1</f>
        <v>1385.4977743340116</v>
      </c>
      <c r="AA132" s="6"/>
      <c r="AB132" s="6">
        <f t="shared" si="10"/>
        <v>0</v>
      </c>
      <c r="AC132" s="6">
        <f t="shared" si="11"/>
        <v>14831.802310888281</v>
      </c>
      <c r="AD132" s="6">
        <f t="shared" si="12"/>
        <v>0</v>
      </c>
      <c r="AE132" s="6">
        <f t="shared" ca="1" si="13"/>
        <v>17184.383177315787</v>
      </c>
      <c r="AF132" s="4" t="s">
        <v>815</v>
      </c>
    </row>
    <row r="133" spans="1:32" ht="11.25" customHeight="1" x14ac:dyDescent="0.3">
      <c r="A133" s="4" t="s">
        <v>21</v>
      </c>
      <c r="B133" s="4" t="s">
        <v>39</v>
      </c>
      <c r="C133" s="4" t="s">
        <v>40</v>
      </c>
      <c r="D133" s="4" t="s">
        <v>38</v>
      </c>
      <c r="E133" s="4" t="s">
        <v>25</v>
      </c>
      <c r="F133" s="4" t="s">
        <v>58</v>
      </c>
      <c r="G133" s="4" t="s">
        <v>25</v>
      </c>
      <c r="H133" s="4" t="s">
        <v>34</v>
      </c>
      <c r="I133" s="5">
        <v>44593</v>
      </c>
      <c r="J133" s="6">
        <v>0</v>
      </c>
      <c r="K133" s="6">
        <v>0</v>
      </c>
      <c r="L133" s="6">
        <v>23.411000000000001</v>
      </c>
      <c r="M133" s="6">
        <v>12.53743985108</v>
      </c>
      <c r="N133" s="6">
        <v>0</v>
      </c>
      <c r="O133" s="6">
        <v>0</v>
      </c>
      <c r="P133" s="6">
        <v>0</v>
      </c>
      <c r="Q133" s="4" t="s">
        <v>59</v>
      </c>
      <c r="R133" s="4">
        <v>0</v>
      </c>
      <c r="S133" s="4">
        <v>0</v>
      </c>
      <c r="T133" s="4">
        <v>15</v>
      </c>
      <c r="U133" s="4">
        <v>0</v>
      </c>
      <c r="V133" s="6">
        <f>IF(ISERROR(VLOOKUP($S$133,'TAR FIN'!$A$1:$O$103,15,0)),0,VLOOKUP($S$133,'TAR FIN'!$A$1:$O$103,15,0))</f>
        <v>0</v>
      </c>
      <c r="W133" s="6">
        <f>IF(ISERROR(VLOOKUP($T$133,'TAR FIN'!$A$1:$O$103,15,0)),0,VLOOKUP($T$133,'TAR FIN'!$A$1:$O$103,15,0))</f>
        <v>1195.82</v>
      </c>
      <c r="X133" s="6">
        <f>IF(ISERROR(VLOOKUP($U$133,'TAR FIN'!$A$1:$O$103,15,0)),0,VLOOKUP($U$133,'TAR FIN'!$A$1:$O$103,15,0))</f>
        <v>0</v>
      </c>
      <c r="Y133" s="6"/>
      <c r="Z133" s="6">
        <f ca="1">('TUSD BE'!$AM$23+'TUSD BF'!$AM$23+'TUSD CVA'!$AM$23)*1</f>
        <v>1385.4977743340116</v>
      </c>
      <c r="AA133" s="6"/>
      <c r="AB133" s="6">
        <f t="shared" si="10"/>
        <v>0</v>
      </c>
      <c r="AC133" s="6">
        <f t="shared" si="11"/>
        <v>13002.820697281515</v>
      </c>
      <c r="AD133" s="6">
        <f t="shared" si="12"/>
        <v>0</v>
      </c>
      <c r="AE133" s="6">
        <f t="shared" ca="1" si="13"/>
        <v>15065.293385415665</v>
      </c>
      <c r="AF133" s="4" t="s">
        <v>815</v>
      </c>
    </row>
    <row r="134" spans="1:32" ht="11.25" customHeight="1" x14ac:dyDescent="0.3">
      <c r="A134" s="4" t="s">
        <v>21</v>
      </c>
      <c r="B134" s="4" t="s">
        <v>39</v>
      </c>
      <c r="C134" s="4" t="s">
        <v>40</v>
      </c>
      <c r="D134" s="4" t="s">
        <v>38</v>
      </c>
      <c r="E134" s="4" t="s">
        <v>25</v>
      </c>
      <c r="F134" s="4" t="s">
        <v>58</v>
      </c>
      <c r="G134" s="4" t="s">
        <v>25</v>
      </c>
      <c r="H134" s="4" t="s">
        <v>34</v>
      </c>
      <c r="I134" s="5">
        <v>44621</v>
      </c>
      <c r="J134" s="6">
        <v>0</v>
      </c>
      <c r="K134" s="6">
        <v>0</v>
      </c>
      <c r="L134" s="6">
        <v>22.696999999999999</v>
      </c>
      <c r="M134" s="6">
        <v>12.15506694716</v>
      </c>
      <c r="N134" s="6">
        <v>0</v>
      </c>
      <c r="O134" s="6">
        <v>0</v>
      </c>
      <c r="P134" s="6">
        <v>0</v>
      </c>
      <c r="Q134" s="4" t="s">
        <v>59</v>
      </c>
      <c r="R134" s="4">
        <v>0</v>
      </c>
      <c r="S134" s="4">
        <v>0</v>
      </c>
      <c r="T134" s="4">
        <v>15</v>
      </c>
      <c r="U134" s="4">
        <v>0</v>
      </c>
      <c r="V134" s="6">
        <f>IF(ISERROR(VLOOKUP($S$134,'TAR FIN'!$A$1:$O$103,15,0)),0,VLOOKUP($S$134,'TAR FIN'!$A$1:$O$103,15,0))</f>
        <v>0</v>
      </c>
      <c r="W134" s="6">
        <f>IF(ISERROR(VLOOKUP($T$134,'TAR FIN'!$A$1:$O$103,15,0)),0,VLOOKUP($T$134,'TAR FIN'!$A$1:$O$103,15,0))</f>
        <v>1195.82</v>
      </c>
      <c r="X134" s="6">
        <f>IF(ISERROR(VLOOKUP($U$134,'TAR FIN'!$A$1:$O$103,15,0)),0,VLOOKUP($U$134,'TAR FIN'!$A$1:$O$103,15,0))</f>
        <v>0</v>
      </c>
      <c r="Y134" s="6"/>
      <c r="Z134" s="6">
        <f ca="1">('TUSD BE'!$AM$23+'TUSD BF'!$AM$23+'TUSD CVA'!$AM$23)*1</f>
        <v>1385.4977743340116</v>
      </c>
      <c r="AA134" s="6"/>
      <c r="AB134" s="6">
        <f t="shared" si="10"/>
        <v>0</v>
      </c>
      <c r="AC134" s="6">
        <f t="shared" si="11"/>
        <v>12606.254383247127</v>
      </c>
      <c r="AD134" s="6">
        <f t="shared" si="12"/>
        <v>0</v>
      </c>
      <c r="AE134" s="6">
        <f t="shared" ca="1" si="13"/>
        <v>14605.824781887972</v>
      </c>
      <c r="AF134" s="4" t="s">
        <v>815</v>
      </c>
    </row>
    <row r="135" spans="1:32" ht="11.25" customHeight="1" x14ac:dyDescent="0.3">
      <c r="A135" s="4" t="s">
        <v>21</v>
      </c>
      <c r="B135" s="4" t="s">
        <v>39</v>
      </c>
      <c r="C135" s="4" t="s">
        <v>40</v>
      </c>
      <c r="D135" s="4" t="s">
        <v>38</v>
      </c>
      <c r="E135" s="4" t="s">
        <v>25</v>
      </c>
      <c r="F135" s="4" t="s">
        <v>58</v>
      </c>
      <c r="G135" s="4" t="s">
        <v>25</v>
      </c>
      <c r="H135" s="4" t="s">
        <v>34</v>
      </c>
      <c r="I135" s="5">
        <v>44652</v>
      </c>
      <c r="J135" s="6">
        <v>0</v>
      </c>
      <c r="K135" s="6">
        <v>0</v>
      </c>
      <c r="L135" s="6">
        <v>22.974</v>
      </c>
      <c r="M135" s="6">
        <v>12.30341049672</v>
      </c>
      <c r="N135" s="6">
        <v>0</v>
      </c>
      <c r="O135" s="6">
        <v>0</v>
      </c>
      <c r="P135" s="6">
        <v>0</v>
      </c>
      <c r="Q135" s="4" t="s">
        <v>59</v>
      </c>
      <c r="R135" s="4">
        <v>0</v>
      </c>
      <c r="S135" s="4">
        <v>0</v>
      </c>
      <c r="T135" s="4">
        <v>15</v>
      </c>
      <c r="U135" s="4">
        <v>0</v>
      </c>
      <c r="V135" s="6">
        <f>IF(ISERROR(VLOOKUP($S$135,'TAR FIN'!$A$1:$O$103,15,0)),0,VLOOKUP($S$135,'TAR FIN'!$A$1:$O$103,15,0))</f>
        <v>0</v>
      </c>
      <c r="W135" s="6">
        <f>IF(ISERROR(VLOOKUP($T$135,'TAR FIN'!$A$1:$O$103,15,0)),0,VLOOKUP($T$135,'TAR FIN'!$A$1:$O$103,15,0))</f>
        <v>1195.82</v>
      </c>
      <c r="X135" s="6">
        <f>IF(ISERROR(VLOOKUP($U$135,'TAR FIN'!$A$1:$O$103,15,0)),0,VLOOKUP($U$135,'TAR FIN'!$A$1:$O$103,15,0))</f>
        <v>0</v>
      </c>
      <c r="Y135" s="6"/>
      <c r="Z135" s="6">
        <f ca="1">('TUSD BE'!$AM$23+'TUSD BF'!$AM$23+'TUSD CVA'!$AM$23)*1</f>
        <v>1385.4977743340116</v>
      </c>
      <c r="AA135" s="6"/>
      <c r="AB135" s="6">
        <f t="shared" si="10"/>
        <v>0</v>
      </c>
      <c r="AC135" s="6">
        <f t="shared" si="11"/>
        <v>12760.104339812289</v>
      </c>
      <c r="AD135" s="6">
        <f t="shared" si="12"/>
        <v>0</v>
      </c>
      <c r="AE135" s="6">
        <f t="shared" ca="1" si="13"/>
        <v>14784.078007626307</v>
      </c>
      <c r="AF135" s="4" t="s">
        <v>815</v>
      </c>
    </row>
    <row r="136" spans="1:32" ht="11.25" customHeight="1" x14ac:dyDescent="0.3">
      <c r="A136" s="4" t="s">
        <v>21</v>
      </c>
      <c r="B136" s="4" t="s">
        <v>39</v>
      </c>
      <c r="C136" s="4" t="s">
        <v>40</v>
      </c>
      <c r="D136" s="4" t="s">
        <v>38</v>
      </c>
      <c r="E136" s="4" t="s">
        <v>25</v>
      </c>
      <c r="F136" s="4" t="s">
        <v>58</v>
      </c>
      <c r="G136" s="4" t="s">
        <v>25</v>
      </c>
      <c r="H136" s="4" t="s">
        <v>34</v>
      </c>
      <c r="I136" s="5">
        <v>44682</v>
      </c>
      <c r="J136" s="6">
        <v>0</v>
      </c>
      <c r="K136" s="6">
        <v>0</v>
      </c>
      <c r="L136" s="6">
        <v>22.655999999999999</v>
      </c>
      <c r="M136" s="6">
        <v>12.133109959680001</v>
      </c>
      <c r="N136" s="6">
        <v>0</v>
      </c>
      <c r="O136" s="6">
        <v>0</v>
      </c>
      <c r="P136" s="6">
        <v>0</v>
      </c>
      <c r="Q136" s="4" t="s">
        <v>59</v>
      </c>
      <c r="R136" s="4">
        <v>0</v>
      </c>
      <c r="S136" s="4">
        <v>0</v>
      </c>
      <c r="T136" s="4">
        <v>15</v>
      </c>
      <c r="U136" s="4">
        <v>0</v>
      </c>
      <c r="V136" s="6">
        <f>IF(ISERROR(VLOOKUP($S$136,'TAR FIN'!$A$1:$O$103,15,0)),0,VLOOKUP($S$136,'TAR FIN'!$A$1:$O$103,15,0))</f>
        <v>0</v>
      </c>
      <c r="W136" s="6">
        <f>IF(ISERROR(VLOOKUP($T$136,'TAR FIN'!$A$1:$O$103,15,0)),0,VLOOKUP($T$136,'TAR FIN'!$A$1:$O$103,15,0))</f>
        <v>1195.82</v>
      </c>
      <c r="X136" s="6">
        <f>IF(ISERROR(VLOOKUP($U$136,'TAR FIN'!$A$1:$O$103,15,0)),0,VLOOKUP($U$136,'TAR FIN'!$A$1:$O$103,15,0))</f>
        <v>0</v>
      </c>
      <c r="Y136" s="6"/>
      <c r="Z136" s="6">
        <f ca="1">('TUSD BE'!$AM$23+'TUSD BF'!$AM$23+'TUSD CVA'!$AM$23)*1</f>
        <v>1385.4977743340116</v>
      </c>
      <c r="AA136" s="6"/>
      <c r="AB136" s="6">
        <f t="shared" si="10"/>
        <v>0</v>
      </c>
      <c r="AC136" s="6">
        <f t="shared" si="11"/>
        <v>12583.48236801546</v>
      </c>
      <c r="AD136" s="6">
        <f t="shared" si="12"/>
        <v>0</v>
      </c>
      <c r="AE136" s="6">
        <f t="shared" ca="1" si="13"/>
        <v>14579.440730424896</v>
      </c>
      <c r="AF136" s="4" t="s">
        <v>815</v>
      </c>
    </row>
    <row r="137" spans="1:32" ht="11.25" customHeight="1" x14ac:dyDescent="0.3">
      <c r="A137" s="4" t="s">
        <v>21</v>
      </c>
      <c r="B137" s="4" t="s">
        <v>39</v>
      </c>
      <c r="C137" s="4" t="s">
        <v>40</v>
      </c>
      <c r="D137" s="4" t="s">
        <v>38</v>
      </c>
      <c r="E137" s="4" t="s">
        <v>25</v>
      </c>
      <c r="F137" s="4" t="s">
        <v>58</v>
      </c>
      <c r="G137" s="4" t="s">
        <v>25</v>
      </c>
      <c r="H137" s="4" t="s">
        <v>34</v>
      </c>
      <c r="I137" s="5">
        <v>44713</v>
      </c>
      <c r="J137" s="6">
        <v>0</v>
      </c>
      <c r="K137" s="6">
        <v>0</v>
      </c>
      <c r="L137" s="6">
        <v>19.187999999999999</v>
      </c>
      <c r="M137" s="6">
        <v>10.27587014064</v>
      </c>
      <c r="N137" s="6">
        <v>0</v>
      </c>
      <c r="O137" s="6">
        <v>0</v>
      </c>
      <c r="P137" s="6">
        <v>0</v>
      </c>
      <c r="Q137" s="4" t="s">
        <v>59</v>
      </c>
      <c r="R137" s="4">
        <v>0</v>
      </c>
      <c r="S137" s="4">
        <v>0</v>
      </c>
      <c r="T137" s="4">
        <v>15</v>
      </c>
      <c r="U137" s="4">
        <v>0</v>
      </c>
      <c r="V137" s="6">
        <f>IF(ISERROR(VLOOKUP($S$137,'TAR FIN'!$A$1:$O$103,15,0)),0,VLOOKUP($S$137,'TAR FIN'!$A$1:$O$103,15,0))</f>
        <v>0</v>
      </c>
      <c r="W137" s="6">
        <f>IF(ISERROR(VLOOKUP($T$137,'TAR FIN'!$A$1:$O$103,15,0)),0,VLOOKUP($T$137,'TAR FIN'!$A$1:$O$103,15,0))</f>
        <v>1195.82</v>
      </c>
      <c r="X137" s="6">
        <f>IF(ISERROR(VLOOKUP($U$137,'TAR FIN'!$A$1:$O$103,15,0)),0,VLOOKUP($U$137,'TAR FIN'!$A$1:$O$103,15,0))</f>
        <v>0</v>
      </c>
      <c r="Y137" s="6"/>
      <c r="Z137" s="6">
        <f ca="1">('TUSD BE'!$AM$23+'TUSD BF'!$AM$23+'TUSD CVA'!$AM$23)*1</f>
        <v>1385.4977743340116</v>
      </c>
      <c r="AA137" s="6"/>
      <c r="AB137" s="6">
        <f t="shared" si="10"/>
        <v>0</v>
      </c>
      <c r="AC137" s="6">
        <f t="shared" si="11"/>
        <v>10657.303128419873</v>
      </c>
      <c r="AD137" s="6">
        <f t="shared" si="12"/>
        <v>0</v>
      </c>
      <c r="AE137" s="6">
        <f t="shared" ca="1" si="13"/>
        <v>12347.736084718967</v>
      </c>
      <c r="AF137" s="4" t="s">
        <v>815</v>
      </c>
    </row>
    <row r="138" spans="1:32" ht="11.25" customHeight="1" x14ac:dyDescent="0.3">
      <c r="A138" s="4" t="s">
        <v>21</v>
      </c>
      <c r="B138" s="4" t="s">
        <v>39</v>
      </c>
      <c r="C138" s="4" t="s">
        <v>40</v>
      </c>
      <c r="D138" s="4" t="s">
        <v>38</v>
      </c>
      <c r="E138" s="4" t="s">
        <v>25</v>
      </c>
      <c r="F138" s="4" t="s">
        <v>58</v>
      </c>
      <c r="G138" s="4" t="s">
        <v>25</v>
      </c>
      <c r="H138" s="4" t="s">
        <v>34</v>
      </c>
      <c r="I138" s="5">
        <v>44743</v>
      </c>
      <c r="J138" s="6">
        <v>0</v>
      </c>
      <c r="K138" s="6">
        <v>0</v>
      </c>
      <c r="L138" s="6">
        <v>28.712</v>
      </c>
      <c r="M138" s="6">
        <v>15.376317671360001</v>
      </c>
      <c r="N138" s="6">
        <v>0</v>
      </c>
      <c r="O138" s="6">
        <v>0</v>
      </c>
      <c r="P138" s="6">
        <v>0</v>
      </c>
      <c r="Q138" s="4" t="s">
        <v>59</v>
      </c>
      <c r="R138" s="4">
        <v>0</v>
      </c>
      <c r="S138" s="4">
        <v>0</v>
      </c>
      <c r="T138" s="4">
        <v>15</v>
      </c>
      <c r="U138" s="4">
        <v>0</v>
      </c>
      <c r="V138" s="6">
        <f>IF(ISERROR(VLOOKUP($S$138,'TAR FIN'!$A$1:$O$103,15,0)),0,VLOOKUP($S$138,'TAR FIN'!$A$1:$O$103,15,0))</f>
        <v>0</v>
      </c>
      <c r="W138" s="6">
        <f>IF(ISERROR(VLOOKUP($T$138,'TAR FIN'!$A$1:$O$103,15,0)),0,VLOOKUP($T$138,'TAR FIN'!$A$1:$O$103,15,0))</f>
        <v>1195.82</v>
      </c>
      <c r="X138" s="6">
        <f>IF(ISERROR(VLOOKUP($U$138,'TAR FIN'!$A$1:$O$103,15,0)),0,VLOOKUP($U$138,'TAR FIN'!$A$1:$O$103,15,0))</f>
        <v>0</v>
      </c>
      <c r="Y138" s="6"/>
      <c r="Z138" s="6">
        <f ca="1">('TUSD BE'!$AM$23+'TUSD BF'!$AM$23+'TUSD CVA'!$AM$23)*1</f>
        <v>1385.4977743340116</v>
      </c>
      <c r="AA138" s="6"/>
      <c r="AB138" s="6">
        <f t="shared" si="10"/>
        <v>0</v>
      </c>
      <c r="AC138" s="6">
        <f t="shared" si="11"/>
        <v>15947.075642234282</v>
      </c>
      <c r="AD138" s="6">
        <f t="shared" si="12"/>
        <v>0</v>
      </c>
      <c r="AE138" s="6">
        <f t="shared" ca="1" si="13"/>
        <v>18476.558185556129</v>
      </c>
      <c r="AF138" s="4" t="s">
        <v>815</v>
      </c>
    </row>
    <row r="139" spans="1:32" ht="11.25" customHeight="1" x14ac:dyDescent="0.3">
      <c r="A139" s="4" t="s">
        <v>21</v>
      </c>
      <c r="B139" s="4" t="s">
        <v>39</v>
      </c>
      <c r="C139" s="4" t="s">
        <v>40</v>
      </c>
      <c r="D139" s="4" t="s">
        <v>38</v>
      </c>
      <c r="E139" s="4" t="s">
        <v>25</v>
      </c>
      <c r="F139" s="4" t="s">
        <v>58</v>
      </c>
      <c r="G139" s="4" t="s">
        <v>25</v>
      </c>
      <c r="H139" s="4" t="s">
        <v>34</v>
      </c>
      <c r="I139" s="5">
        <v>44774</v>
      </c>
      <c r="J139" s="6">
        <v>0</v>
      </c>
      <c r="K139" s="6">
        <v>0</v>
      </c>
      <c r="L139" s="6">
        <v>31.527999999999999</v>
      </c>
      <c r="M139" s="6">
        <v>16.884387835839998</v>
      </c>
      <c r="N139" s="6">
        <v>0</v>
      </c>
      <c r="O139" s="6">
        <v>0</v>
      </c>
      <c r="P139" s="6">
        <v>0</v>
      </c>
      <c r="Q139" s="4" t="s">
        <v>59</v>
      </c>
      <c r="R139" s="4">
        <v>0</v>
      </c>
      <c r="S139" s="4">
        <v>0</v>
      </c>
      <c r="T139" s="4">
        <v>15</v>
      </c>
      <c r="U139" s="4">
        <v>0</v>
      </c>
      <c r="V139" s="6">
        <f>IF(ISERROR(VLOOKUP($S$139,'TAR FIN'!$A$1:$O$103,15,0)),0,VLOOKUP($S$139,'TAR FIN'!$A$1:$O$103,15,0))</f>
        <v>0</v>
      </c>
      <c r="W139" s="6">
        <f>IF(ISERROR(VLOOKUP($T$139,'TAR FIN'!$A$1:$O$103,15,0)),0,VLOOKUP($T$139,'TAR FIN'!$A$1:$O$103,15,0))</f>
        <v>1195.82</v>
      </c>
      <c r="X139" s="6">
        <f>IF(ISERROR(VLOOKUP($U$139,'TAR FIN'!$A$1:$O$103,15,0)),0,VLOOKUP($U$139,'TAR FIN'!$A$1:$O$103,15,0))</f>
        <v>0</v>
      </c>
      <c r="Y139" s="6"/>
      <c r="Z139" s="6">
        <f ca="1">('TUSD BE'!$AM$23+'TUSD BF'!$AM$23+'TUSD CVA'!$AM$23)*1</f>
        <v>1385.4977743340116</v>
      </c>
      <c r="AA139" s="6"/>
      <c r="AB139" s="6">
        <f t="shared" si="10"/>
        <v>0</v>
      </c>
      <c r="AC139" s="6">
        <f t="shared" si="11"/>
        <v>17511.124298145809</v>
      </c>
      <c r="AD139" s="6">
        <f t="shared" si="12"/>
        <v>0</v>
      </c>
      <c r="AE139" s="6">
        <f t="shared" ca="1" si="13"/>
        <v>20288.692061654139</v>
      </c>
      <c r="AF139" s="4" t="s">
        <v>815</v>
      </c>
    </row>
    <row r="140" spans="1:32" ht="11.25" customHeight="1" x14ac:dyDescent="0.3">
      <c r="A140" s="4" t="s">
        <v>21</v>
      </c>
      <c r="B140" s="4" t="s">
        <v>39</v>
      </c>
      <c r="C140" s="4" t="s">
        <v>40</v>
      </c>
      <c r="D140" s="4" t="s">
        <v>38</v>
      </c>
      <c r="E140" s="4" t="s">
        <v>25</v>
      </c>
      <c r="F140" s="4" t="s">
        <v>58</v>
      </c>
      <c r="G140" s="4" t="s">
        <v>25</v>
      </c>
      <c r="H140" s="4" t="s">
        <v>34</v>
      </c>
      <c r="I140" s="5">
        <v>44805</v>
      </c>
      <c r="J140" s="6">
        <v>0</v>
      </c>
      <c r="K140" s="6">
        <v>0</v>
      </c>
      <c r="L140" s="6">
        <v>29.128</v>
      </c>
      <c r="M140" s="6">
        <v>15.599100763839999</v>
      </c>
      <c r="N140" s="6">
        <v>0</v>
      </c>
      <c r="O140" s="6">
        <v>0</v>
      </c>
      <c r="P140" s="6">
        <v>0</v>
      </c>
      <c r="Q140" s="4" t="s">
        <v>59</v>
      </c>
      <c r="R140" s="4">
        <v>0</v>
      </c>
      <c r="S140" s="4">
        <v>0</v>
      </c>
      <c r="T140" s="4">
        <v>15</v>
      </c>
      <c r="U140" s="4">
        <v>0</v>
      </c>
      <c r="V140" s="6">
        <f>IF(ISERROR(VLOOKUP($S$140,'TAR FIN'!$A$1:$O$103,15,0)),0,VLOOKUP($S$140,'TAR FIN'!$A$1:$O$103,15,0))</f>
        <v>0</v>
      </c>
      <c r="W140" s="6">
        <f>IF(ISERROR(VLOOKUP($T$140,'TAR FIN'!$A$1:$O$103,15,0)),0,VLOOKUP($T$140,'TAR FIN'!$A$1:$O$103,15,0))</f>
        <v>1195.82</v>
      </c>
      <c r="X140" s="6">
        <f>IF(ISERROR(VLOOKUP($U$140,'TAR FIN'!$A$1:$O$103,15,0)),0,VLOOKUP($U$140,'TAR FIN'!$A$1:$O$103,15,0))</f>
        <v>0</v>
      </c>
      <c r="Y140" s="6"/>
      <c r="Z140" s="6">
        <f ca="1">('TUSD BE'!$AM$23+'TUSD BF'!$AM$23+'TUSD CVA'!$AM$23)*1</f>
        <v>1385.4977743340116</v>
      </c>
      <c r="AA140" s="6"/>
      <c r="AB140" s="6">
        <f t="shared" si="10"/>
        <v>0</v>
      </c>
      <c r="AC140" s="6">
        <f t="shared" si="11"/>
        <v>16178.128284584851</v>
      </c>
      <c r="AD140" s="6">
        <f t="shared" si="12"/>
        <v>0</v>
      </c>
      <c r="AE140" s="6">
        <f t="shared" ca="1" si="13"/>
        <v>18744.259780888791</v>
      </c>
      <c r="AF140" s="4" t="s">
        <v>815</v>
      </c>
    </row>
    <row r="141" spans="1:32" ht="11.25" customHeight="1" x14ac:dyDescent="0.3">
      <c r="A141" s="4" t="s">
        <v>57</v>
      </c>
      <c r="B141" s="4" t="s">
        <v>39</v>
      </c>
      <c r="C141" s="4" t="s">
        <v>40</v>
      </c>
      <c r="D141" s="4" t="s">
        <v>38</v>
      </c>
      <c r="E141" s="4" t="s">
        <v>25</v>
      </c>
      <c r="F141" s="4" t="s">
        <v>58</v>
      </c>
      <c r="G141" s="4" t="s">
        <v>25</v>
      </c>
      <c r="H141" s="4" t="s">
        <v>34</v>
      </c>
      <c r="I141" s="5">
        <v>44835</v>
      </c>
      <c r="J141" s="6">
        <v>0</v>
      </c>
      <c r="K141" s="6">
        <v>0</v>
      </c>
      <c r="L141" s="6">
        <v>29.128</v>
      </c>
      <c r="M141" s="6">
        <v>15.599100763839999</v>
      </c>
      <c r="N141" s="6">
        <v>0</v>
      </c>
      <c r="O141" s="6">
        <v>0</v>
      </c>
      <c r="P141" s="6">
        <v>0</v>
      </c>
      <c r="Q141" s="4" t="s">
        <v>59</v>
      </c>
      <c r="R141" s="4">
        <v>0</v>
      </c>
      <c r="S141" s="4">
        <v>0</v>
      </c>
      <c r="T141" s="4">
        <v>15</v>
      </c>
      <c r="U141" s="4">
        <v>0</v>
      </c>
      <c r="V141" s="6">
        <f>IF(ISERROR(VLOOKUP($S$141,'TAR FIN'!$A$1:$O$103,15,0)),0,VLOOKUP($S$141,'TAR FIN'!$A$1:$O$103,15,0))</f>
        <v>0</v>
      </c>
      <c r="W141" s="6">
        <f>IF(ISERROR(VLOOKUP($T$141,'TAR FIN'!$A$1:$O$103,15,0)),0,VLOOKUP($T$141,'TAR FIN'!$A$1:$O$103,15,0))</f>
        <v>1195.82</v>
      </c>
      <c r="X141" s="6">
        <f>IF(ISERROR(VLOOKUP($U$141,'TAR FIN'!$A$1:$O$103,15,0)),0,VLOOKUP($U$141,'TAR FIN'!$A$1:$O$103,15,0))</f>
        <v>0</v>
      </c>
      <c r="Y141" s="6"/>
      <c r="Z141" s="6">
        <f ca="1">('TUSD BE'!$AM$23+'TUSD BF'!$AM$23+'TUSD CVA'!$AM$23)*1</f>
        <v>1385.4977743340116</v>
      </c>
      <c r="AA141" s="6"/>
      <c r="AB141" s="6">
        <f t="shared" si="10"/>
        <v>0</v>
      </c>
      <c r="AC141" s="6">
        <f t="shared" si="11"/>
        <v>16178.128284584851</v>
      </c>
      <c r="AD141" s="6">
        <f t="shared" si="12"/>
        <v>0</v>
      </c>
      <c r="AE141" s="6">
        <f t="shared" ca="1" si="13"/>
        <v>18744.259780888791</v>
      </c>
      <c r="AF141" s="4" t="s">
        <v>815</v>
      </c>
    </row>
    <row r="142" spans="1:32" ht="11.25" customHeight="1" x14ac:dyDescent="0.3">
      <c r="A142" s="4" t="s">
        <v>21</v>
      </c>
      <c r="B142" s="4" t="s">
        <v>39</v>
      </c>
      <c r="C142" s="4" t="s">
        <v>40</v>
      </c>
      <c r="D142" s="4" t="s">
        <v>44</v>
      </c>
      <c r="E142" s="4" t="s">
        <v>53</v>
      </c>
      <c r="F142" s="4" t="s">
        <v>55</v>
      </c>
      <c r="G142" s="4" t="s">
        <v>25</v>
      </c>
      <c r="H142" s="4" t="s">
        <v>35</v>
      </c>
      <c r="I142" s="5">
        <v>44501</v>
      </c>
      <c r="J142" s="6">
        <v>0</v>
      </c>
      <c r="K142" s="6">
        <v>0</v>
      </c>
      <c r="L142" s="6">
        <v>10.618</v>
      </c>
      <c r="M142" s="6">
        <v>2.1236000000000002</v>
      </c>
      <c r="N142" s="6">
        <v>10.618</v>
      </c>
      <c r="O142" s="6">
        <v>2.1236000000000002</v>
      </c>
      <c r="P142" s="6">
        <v>0</v>
      </c>
      <c r="Q142" s="4" t="s">
        <v>26</v>
      </c>
      <c r="R142" s="4">
        <v>0</v>
      </c>
      <c r="S142" s="4">
        <v>0</v>
      </c>
      <c r="T142" s="4">
        <v>17</v>
      </c>
      <c r="U142" s="4">
        <v>66</v>
      </c>
      <c r="V142" s="6">
        <f>IF(ISERROR(VLOOKUP($S$142,'TAR FIN'!$A$1:$O$103,15,0)),0,VLOOKUP($S$142,'TAR FIN'!$A$1:$O$103,15,0))</f>
        <v>0</v>
      </c>
      <c r="W142" s="6">
        <f>IF(ISERROR(VLOOKUP($T$142,'TAR FIN'!$A$1:$O$103,15,0)),0,VLOOKUP($T$142,'TAR FIN'!$A$1:$O$103,15,0))</f>
        <v>84.99</v>
      </c>
      <c r="X142" s="6">
        <f>IF(ISERROR(VLOOKUP($U$142,'TAR FIN'!$A$1:$O$103,15,0)),0,VLOOKUP($U$142,'TAR FIN'!$A$1:$O$103,15,0))</f>
        <v>242.77</v>
      </c>
      <c r="Y142" s="6"/>
      <c r="Z142" s="6">
        <f ca="1">('TUSD BE'!$AM$24+'TUSD BF'!$AM$24+'TUSD CVA'!$AM$24)*1</f>
        <v>145.72237393634796</v>
      </c>
      <c r="AA142" s="6">
        <f>('TE BE'!$AB$9+'TE BF'!$AB$9+'TE CVA'!$AB$9)*1</f>
        <v>222.39386487986414</v>
      </c>
      <c r="AB142" s="6">
        <f t="shared" si="10"/>
        <v>0</v>
      </c>
      <c r="AC142" s="6">
        <f t="shared" si="11"/>
        <v>2784.1245440000002</v>
      </c>
      <c r="AD142" s="6">
        <f t="shared" si="12"/>
        <v>0</v>
      </c>
      <c r="AE142" s="6">
        <f t="shared" ca="1" si="13"/>
        <v>3126.926579000432</v>
      </c>
      <c r="AF142" s="4" t="s">
        <v>812</v>
      </c>
    </row>
    <row r="143" spans="1:32" ht="11.25" customHeight="1" x14ac:dyDescent="0.3">
      <c r="A143" s="4" t="s">
        <v>21</v>
      </c>
      <c r="B143" s="4" t="s">
        <v>39</v>
      </c>
      <c r="C143" s="4" t="s">
        <v>40</v>
      </c>
      <c r="D143" s="4" t="s">
        <v>44</v>
      </c>
      <c r="E143" s="4" t="s">
        <v>53</v>
      </c>
      <c r="F143" s="4" t="s">
        <v>55</v>
      </c>
      <c r="G143" s="4" t="s">
        <v>25</v>
      </c>
      <c r="H143" s="4" t="s">
        <v>35</v>
      </c>
      <c r="I143" s="5">
        <v>44531</v>
      </c>
      <c r="J143" s="6">
        <v>0</v>
      </c>
      <c r="K143" s="6">
        <v>0</v>
      </c>
      <c r="L143" s="6">
        <v>1.8220000000000001</v>
      </c>
      <c r="M143" s="6">
        <v>0.3644</v>
      </c>
      <c r="N143" s="6">
        <v>1.8220000000000001</v>
      </c>
      <c r="O143" s="6">
        <v>0.3644</v>
      </c>
      <c r="P143" s="6">
        <v>0</v>
      </c>
      <c r="Q143" s="4" t="s">
        <v>26</v>
      </c>
      <c r="R143" s="4">
        <v>0</v>
      </c>
      <c r="S143" s="4">
        <v>0</v>
      </c>
      <c r="T143" s="4">
        <v>17</v>
      </c>
      <c r="U143" s="4">
        <v>66</v>
      </c>
      <c r="V143" s="6">
        <f>IF(ISERROR(VLOOKUP($S$143,'TAR FIN'!$A$1:$O$103,15,0)),0,VLOOKUP($S$143,'TAR FIN'!$A$1:$O$103,15,0))</f>
        <v>0</v>
      </c>
      <c r="W143" s="6">
        <f>IF(ISERROR(VLOOKUP($T$143,'TAR FIN'!$A$1:$O$103,15,0)),0,VLOOKUP($T$143,'TAR FIN'!$A$1:$O$103,15,0))</f>
        <v>84.99</v>
      </c>
      <c r="X143" s="6">
        <f>IF(ISERROR(VLOOKUP($U$143,'TAR FIN'!$A$1:$O$103,15,0)),0,VLOOKUP($U$143,'TAR FIN'!$A$1:$O$103,15,0))</f>
        <v>242.77</v>
      </c>
      <c r="Y143" s="6"/>
      <c r="Z143" s="6">
        <f ca="1">('TUSD BE'!$AM$24+'TUSD BF'!$AM$24+'TUSD CVA'!$AM$24)*1</f>
        <v>145.72237393634796</v>
      </c>
      <c r="AA143" s="6">
        <f>('TE BE'!$AB$9+'TE BF'!$AB$9+'TE CVA'!$AB$9)*1</f>
        <v>222.39386487986414</v>
      </c>
      <c r="AB143" s="6">
        <f t="shared" si="10"/>
        <v>0</v>
      </c>
      <c r="AC143" s="6">
        <f t="shared" si="11"/>
        <v>477.742976</v>
      </c>
      <c r="AD143" s="6">
        <f t="shared" si="12"/>
        <v>0</v>
      </c>
      <c r="AE143" s="6">
        <f t="shared" ca="1" si="13"/>
        <v>536.56622969851082</v>
      </c>
      <c r="AF143" s="4" t="s">
        <v>812</v>
      </c>
    </row>
    <row r="144" spans="1:32" ht="11.25" customHeight="1" x14ac:dyDescent="0.3">
      <c r="A144" s="4" t="s">
        <v>21</v>
      </c>
      <c r="B144" s="4" t="s">
        <v>39</v>
      </c>
      <c r="C144" s="4" t="s">
        <v>40</v>
      </c>
      <c r="D144" s="4" t="s">
        <v>44</v>
      </c>
      <c r="E144" s="4" t="s">
        <v>53</v>
      </c>
      <c r="F144" s="4" t="s">
        <v>55</v>
      </c>
      <c r="G144" s="4" t="s">
        <v>25</v>
      </c>
      <c r="H144" s="4" t="s">
        <v>35</v>
      </c>
      <c r="I144" s="5">
        <v>44562</v>
      </c>
      <c r="J144" s="6">
        <v>0</v>
      </c>
      <c r="K144" s="6">
        <v>0</v>
      </c>
      <c r="L144" s="6">
        <v>10.122999999999999</v>
      </c>
      <c r="M144" s="6">
        <v>2.0246</v>
      </c>
      <c r="N144" s="6">
        <v>10.122999999999999</v>
      </c>
      <c r="O144" s="6">
        <v>2.0246</v>
      </c>
      <c r="P144" s="6">
        <v>0</v>
      </c>
      <c r="Q144" s="4" t="s">
        <v>26</v>
      </c>
      <c r="R144" s="4">
        <v>0</v>
      </c>
      <c r="S144" s="4">
        <v>0</v>
      </c>
      <c r="T144" s="4">
        <v>17</v>
      </c>
      <c r="U144" s="4">
        <v>66</v>
      </c>
      <c r="V144" s="6">
        <f>IF(ISERROR(VLOOKUP($S$144,'TAR FIN'!$A$1:$O$103,15,0)),0,VLOOKUP($S$144,'TAR FIN'!$A$1:$O$103,15,0))</f>
        <v>0</v>
      </c>
      <c r="W144" s="6">
        <f>IF(ISERROR(VLOOKUP($T$144,'TAR FIN'!$A$1:$O$103,15,0)),0,VLOOKUP($T$144,'TAR FIN'!$A$1:$O$103,15,0))</f>
        <v>84.99</v>
      </c>
      <c r="X144" s="6">
        <f>IF(ISERROR(VLOOKUP($U$144,'TAR FIN'!$A$1:$O$103,15,0)),0,VLOOKUP($U$144,'TAR FIN'!$A$1:$O$103,15,0))</f>
        <v>242.77</v>
      </c>
      <c r="Y144" s="6"/>
      <c r="Z144" s="6">
        <f ca="1">('TUSD BE'!$AM$24+'TUSD BF'!$AM$24+'TUSD CVA'!$AM$24)*1</f>
        <v>145.72237393634796</v>
      </c>
      <c r="AA144" s="6">
        <f>('TE BE'!$AB$9+'TE BF'!$AB$9+'TE CVA'!$AB$9)*1</f>
        <v>222.39386487986414</v>
      </c>
      <c r="AB144" s="6">
        <f t="shared" si="10"/>
        <v>0</v>
      </c>
      <c r="AC144" s="6">
        <f t="shared" si="11"/>
        <v>2654.331584</v>
      </c>
      <c r="AD144" s="6">
        <f t="shared" si="12"/>
        <v>0</v>
      </c>
      <c r="AE144" s="6">
        <f t="shared" ca="1" si="13"/>
        <v>2981.1525484292124</v>
      </c>
      <c r="AF144" s="4" t="s">
        <v>812</v>
      </c>
    </row>
    <row r="145" spans="1:32" ht="11.25" customHeight="1" x14ac:dyDescent="0.3">
      <c r="A145" s="4" t="s">
        <v>21</v>
      </c>
      <c r="B145" s="4" t="s">
        <v>39</v>
      </c>
      <c r="C145" s="4" t="s">
        <v>40</v>
      </c>
      <c r="D145" s="4" t="s">
        <v>44</v>
      </c>
      <c r="E145" s="4" t="s">
        <v>53</v>
      </c>
      <c r="F145" s="4" t="s">
        <v>55</v>
      </c>
      <c r="G145" s="4" t="s">
        <v>25</v>
      </c>
      <c r="H145" s="4" t="s">
        <v>35</v>
      </c>
      <c r="I145" s="5">
        <v>44593</v>
      </c>
      <c r="J145" s="6">
        <v>0</v>
      </c>
      <c r="K145" s="6">
        <v>0</v>
      </c>
      <c r="L145" s="6">
        <v>2.15</v>
      </c>
      <c r="M145" s="6">
        <v>0.43</v>
      </c>
      <c r="N145" s="6">
        <v>2.15</v>
      </c>
      <c r="O145" s="6">
        <v>0.43</v>
      </c>
      <c r="P145" s="6">
        <v>0</v>
      </c>
      <c r="Q145" s="4" t="s">
        <v>26</v>
      </c>
      <c r="R145" s="4">
        <v>0</v>
      </c>
      <c r="S145" s="4">
        <v>0</v>
      </c>
      <c r="T145" s="4">
        <v>17</v>
      </c>
      <c r="U145" s="4">
        <v>66</v>
      </c>
      <c r="V145" s="6">
        <f>IF(ISERROR(VLOOKUP($S$145,'TAR FIN'!$A$1:$O$103,15,0)),0,VLOOKUP($S$145,'TAR FIN'!$A$1:$O$103,15,0))</f>
        <v>0</v>
      </c>
      <c r="W145" s="6">
        <f>IF(ISERROR(VLOOKUP($T$145,'TAR FIN'!$A$1:$O$103,15,0)),0,VLOOKUP($T$145,'TAR FIN'!$A$1:$O$103,15,0))</f>
        <v>84.99</v>
      </c>
      <c r="X145" s="6">
        <f>IF(ISERROR(VLOOKUP($U$145,'TAR FIN'!$A$1:$O$103,15,0)),0,VLOOKUP($U$145,'TAR FIN'!$A$1:$O$103,15,0))</f>
        <v>242.77</v>
      </c>
      <c r="Y145" s="6"/>
      <c r="Z145" s="6">
        <f ca="1">('TUSD BE'!$AM$24+'TUSD BF'!$AM$24+'TUSD CVA'!$AM$24)*1</f>
        <v>145.72237393634796</v>
      </c>
      <c r="AA145" s="6">
        <f>('TE BE'!$AB$9+'TE BF'!$AB$9+'TE CVA'!$AB$9)*1</f>
        <v>222.39386487986414</v>
      </c>
      <c r="AB145" s="6">
        <f t="shared" si="10"/>
        <v>0</v>
      </c>
      <c r="AC145" s="6">
        <f t="shared" si="11"/>
        <v>563.74720000000002</v>
      </c>
      <c r="AD145" s="6">
        <f t="shared" si="12"/>
        <v>0</v>
      </c>
      <c r="AE145" s="6">
        <f t="shared" ca="1" si="13"/>
        <v>633.15993076388486</v>
      </c>
      <c r="AF145" s="4" t="s">
        <v>812</v>
      </c>
    </row>
    <row r="146" spans="1:32" ht="11.25" customHeight="1" x14ac:dyDescent="0.3">
      <c r="A146" s="4" t="s">
        <v>21</v>
      </c>
      <c r="B146" s="4" t="s">
        <v>39</v>
      </c>
      <c r="C146" s="4" t="s">
        <v>40</v>
      </c>
      <c r="D146" s="4" t="s">
        <v>44</v>
      </c>
      <c r="E146" s="4" t="s">
        <v>53</v>
      </c>
      <c r="F146" s="4" t="s">
        <v>55</v>
      </c>
      <c r="G146" s="4" t="s">
        <v>25</v>
      </c>
      <c r="H146" s="4" t="s">
        <v>35</v>
      </c>
      <c r="I146" s="5">
        <v>44621</v>
      </c>
      <c r="J146" s="6">
        <v>0</v>
      </c>
      <c r="K146" s="6">
        <v>0</v>
      </c>
      <c r="L146" s="6">
        <v>31.052</v>
      </c>
      <c r="M146" s="6">
        <v>6.2103999999999999</v>
      </c>
      <c r="N146" s="6">
        <v>31.052</v>
      </c>
      <c r="O146" s="6">
        <v>6.2103999999999999</v>
      </c>
      <c r="P146" s="6">
        <v>0</v>
      </c>
      <c r="Q146" s="4" t="s">
        <v>26</v>
      </c>
      <c r="R146" s="4">
        <v>0</v>
      </c>
      <c r="S146" s="4">
        <v>0</v>
      </c>
      <c r="T146" s="4">
        <v>17</v>
      </c>
      <c r="U146" s="4">
        <v>66</v>
      </c>
      <c r="V146" s="6">
        <f>IF(ISERROR(VLOOKUP($S$146,'TAR FIN'!$A$1:$O$103,15,0)),0,VLOOKUP($S$146,'TAR FIN'!$A$1:$O$103,15,0))</f>
        <v>0</v>
      </c>
      <c r="W146" s="6">
        <f>IF(ISERROR(VLOOKUP($T$146,'TAR FIN'!$A$1:$O$103,15,0)),0,VLOOKUP($T$146,'TAR FIN'!$A$1:$O$103,15,0))</f>
        <v>84.99</v>
      </c>
      <c r="X146" s="6">
        <f>IF(ISERROR(VLOOKUP($U$146,'TAR FIN'!$A$1:$O$103,15,0)),0,VLOOKUP($U$146,'TAR FIN'!$A$1:$O$103,15,0))</f>
        <v>242.77</v>
      </c>
      <c r="Y146" s="6"/>
      <c r="Z146" s="6">
        <f ca="1">('TUSD BE'!$AM$24+'TUSD BF'!$AM$24+'TUSD CVA'!$AM$24)*1</f>
        <v>145.72237393634796</v>
      </c>
      <c r="AA146" s="6">
        <f>('TE BE'!$AB$9+'TE BF'!$AB$9+'TE CVA'!$AB$9)*1</f>
        <v>222.39386487986414</v>
      </c>
      <c r="AB146" s="6">
        <f t="shared" si="10"/>
        <v>0</v>
      </c>
      <c r="AC146" s="6">
        <f t="shared" si="11"/>
        <v>8142.0828160000001</v>
      </c>
      <c r="AD146" s="6">
        <f t="shared" si="12"/>
        <v>0</v>
      </c>
      <c r="AE146" s="6">
        <f t="shared" ca="1" si="13"/>
        <v>9144.5963581768156</v>
      </c>
      <c r="AF146" s="4" t="s">
        <v>812</v>
      </c>
    </row>
    <row r="147" spans="1:32" ht="11.25" customHeight="1" x14ac:dyDescent="0.3">
      <c r="A147" s="4" t="s">
        <v>21</v>
      </c>
      <c r="B147" s="4" t="s">
        <v>39</v>
      </c>
      <c r="C147" s="4" t="s">
        <v>40</v>
      </c>
      <c r="D147" s="4" t="s">
        <v>44</v>
      </c>
      <c r="E147" s="4" t="s">
        <v>53</v>
      </c>
      <c r="F147" s="4" t="s">
        <v>55</v>
      </c>
      <c r="G147" s="4" t="s">
        <v>25</v>
      </c>
      <c r="H147" s="4" t="s">
        <v>35</v>
      </c>
      <c r="I147" s="5">
        <v>44652</v>
      </c>
      <c r="J147" s="6">
        <v>0</v>
      </c>
      <c r="K147" s="6">
        <v>0</v>
      </c>
      <c r="L147" s="6">
        <v>147.99100000000001</v>
      </c>
      <c r="M147" s="6">
        <v>29.598199999999999</v>
      </c>
      <c r="N147" s="6">
        <v>147.99100000000001</v>
      </c>
      <c r="O147" s="6">
        <v>29.598199999999999</v>
      </c>
      <c r="P147" s="6">
        <v>0</v>
      </c>
      <c r="Q147" s="4" t="s">
        <v>26</v>
      </c>
      <c r="R147" s="4">
        <v>0</v>
      </c>
      <c r="S147" s="4">
        <v>0</v>
      </c>
      <c r="T147" s="4">
        <v>17</v>
      </c>
      <c r="U147" s="4">
        <v>66</v>
      </c>
      <c r="V147" s="6">
        <f>IF(ISERROR(VLOOKUP($S$147,'TAR FIN'!$A$1:$O$103,15,0)),0,VLOOKUP($S$147,'TAR FIN'!$A$1:$O$103,15,0))</f>
        <v>0</v>
      </c>
      <c r="W147" s="6">
        <f>IF(ISERROR(VLOOKUP($T$147,'TAR FIN'!$A$1:$O$103,15,0)),0,VLOOKUP($T$147,'TAR FIN'!$A$1:$O$103,15,0))</f>
        <v>84.99</v>
      </c>
      <c r="X147" s="6">
        <f>IF(ISERROR(VLOOKUP($U$147,'TAR FIN'!$A$1:$O$103,15,0)),0,VLOOKUP($U$147,'TAR FIN'!$A$1:$O$103,15,0))</f>
        <v>242.77</v>
      </c>
      <c r="Y147" s="6"/>
      <c r="Z147" s="6">
        <f ca="1">('TUSD BE'!$AM$24+'TUSD BF'!$AM$24+'TUSD CVA'!$AM$24)*1</f>
        <v>145.72237393634796</v>
      </c>
      <c r="AA147" s="6">
        <f>('TE BE'!$AB$9+'TE BF'!$AB$9+'TE CVA'!$AB$9)*1</f>
        <v>222.39386487986414</v>
      </c>
      <c r="AB147" s="6">
        <f t="shared" si="10"/>
        <v>0</v>
      </c>
      <c r="AC147" s="6">
        <f t="shared" si="11"/>
        <v>38804.424128000006</v>
      </c>
      <c r="AD147" s="6">
        <f t="shared" si="12"/>
        <v>0</v>
      </c>
      <c r="AE147" s="6">
        <f t="shared" ca="1" si="13"/>
        <v>43582.312238920043</v>
      </c>
      <c r="AF147" s="4" t="s">
        <v>812</v>
      </c>
    </row>
    <row r="148" spans="1:32" ht="11.25" customHeight="1" x14ac:dyDescent="0.3">
      <c r="A148" s="4" t="s">
        <v>21</v>
      </c>
      <c r="B148" s="4" t="s">
        <v>39</v>
      </c>
      <c r="C148" s="4" t="s">
        <v>40</v>
      </c>
      <c r="D148" s="4" t="s">
        <v>44</v>
      </c>
      <c r="E148" s="4" t="s">
        <v>53</v>
      </c>
      <c r="F148" s="4" t="s">
        <v>55</v>
      </c>
      <c r="G148" s="4" t="s">
        <v>25</v>
      </c>
      <c r="H148" s="4" t="s">
        <v>35</v>
      </c>
      <c r="I148" s="5">
        <v>44682</v>
      </c>
      <c r="J148" s="6">
        <v>0</v>
      </c>
      <c r="K148" s="6">
        <v>0</v>
      </c>
      <c r="L148" s="6">
        <v>181.78399999999999</v>
      </c>
      <c r="M148" s="6">
        <v>36.3568</v>
      </c>
      <c r="N148" s="6">
        <v>181.78399999999999</v>
      </c>
      <c r="O148" s="6">
        <v>36.3568</v>
      </c>
      <c r="P148" s="6">
        <v>0</v>
      </c>
      <c r="Q148" s="4" t="s">
        <v>26</v>
      </c>
      <c r="R148" s="4">
        <v>0</v>
      </c>
      <c r="S148" s="4">
        <v>0</v>
      </c>
      <c r="T148" s="4">
        <v>17</v>
      </c>
      <c r="U148" s="4">
        <v>66</v>
      </c>
      <c r="V148" s="6">
        <f>IF(ISERROR(VLOOKUP($S$148,'TAR FIN'!$A$1:$O$103,15,0)),0,VLOOKUP($S$148,'TAR FIN'!$A$1:$O$103,15,0))</f>
        <v>0</v>
      </c>
      <c r="W148" s="6">
        <f>IF(ISERROR(VLOOKUP($T$148,'TAR FIN'!$A$1:$O$103,15,0)),0,VLOOKUP($T$148,'TAR FIN'!$A$1:$O$103,15,0))</f>
        <v>84.99</v>
      </c>
      <c r="X148" s="6">
        <f>IF(ISERROR(VLOOKUP($U$148,'TAR FIN'!$A$1:$O$103,15,0)),0,VLOOKUP($U$148,'TAR FIN'!$A$1:$O$103,15,0))</f>
        <v>242.77</v>
      </c>
      <c r="Y148" s="6"/>
      <c r="Z148" s="6">
        <f ca="1">('TUSD BE'!$AM$24+'TUSD BF'!$AM$24+'TUSD CVA'!$AM$24)*1</f>
        <v>145.72237393634796</v>
      </c>
      <c r="AA148" s="6">
        <f>('TE BE'!$AB$9+'TE BF'!$AB$9+'TE CVA'!$AB$9)*1</f>
        <v>222.39386487986414</v>
      </c>
      <c r="AB148" s="6">
        <f t="shared" si="10"/>
        <v>0</v>
      </c>
      <c r="AC148" s="6">
        <f t="shared" si="11"/>
        <v>47665.219072000007</v>
      </c>
      <c r="AD148" s="6">
        <f t="shared" si="12"/>
        <v>0</v>
      </c>
      <c r="AE148" s="6">
        <f t="shared" ca="1" si="13"/>
        <v>53534.113885573039</v>
      </c>
      <c r="AF148" s="4" t="s">
        <v>812</v>
      </c>
    </row>
    <row r="149" spans="1:32" ht="11.25" customHeight="1" x14ac:dyDescent="0.3">
      <c r="A149" s="4" t="s">
        <v>21</v>
      </c>
      <c r="B149" s="4" t="s">
        <v>39</v>
      </c>
      <c r="C149" s="4" t="s">
        <v>40</v>
      </c>
      <c r="D149" s="4" t="s">
        <v>44</v>
      </c>
      <c r="E149" s="4" t="s">
        <v>53</v>
      </c>
      <c r="F149" s="4" t="s">
        <v>55</v>
      </c>
      <c r="G149" s="4" t="s">
        <v>25</v>
      </c>
      <c r="H149" s="4" t="s">
        <v>35</v>
      </c>
      <c r="I149" s="5">
        <v>44713</v>
      </c>
      <c r="J149" s="6">
        <v>0</v>
      </c>
      <c r="K149" s="6">
        <v>0</v>
      </c>
      <c r="L149" s="6">
        <v>131.59800000000001</v>
      </c>
      <c r="M149" s="6">
        <v>26.319600000000001</v>
      </c>
      <c r="N149" s="6">
        <v>131.59800000000001</v>
      </c>
      <c r="O149" s="6">
        <v>26.319600000000001</v>
      </c>
      <c r="P149" s="6">
        <v>0</v>
      </c>
      <c r="Q149" s="4" t="s">
        <v>26</v>
      </c>
      <c r="R149" s="4">
        <v>0</v>
      </c>
      <c r="S149" s="4">
        <v>0</v>
      </c>
      <c r="T149" s="4">
        <v>17</v>
      </c>
      <c r="U149" s="4">
        <v>66</v>
      </c>
      <c r="V149" s="6">
        <f>IF(ISERROR(VLOOKUP($S$149,'TAR FIN'!$A$1:$O$103,15,0)),0,VLOOKUP($S$149,'TAR FIN'!$A$1:$O$103,15,0))</f>
        <v>0</v>
      </c>
      <c r="W149" s="6">
        <f>IF(ISERROR(VLOOKUP($T$149,'TAR FIN'!$A$1:$O$103,15,0)),0,VLOOKUP($T$149,'TAR FIN'!$A$1:$O$103,15,0))</f>
        <v>84.99</v>
      </c>
      <c r="X149" s="6">
        <f>IF(ISERROR(VLOOKUP($U$149,'TAR FIN'!$A$1:$O$103,15,0)),0,VLOOKUP($U$149,'TAR FIN'!$A$1:$O$103,15,0))</f>
        <v>242.77</v>
      </c>
      <c r="Y149" s="6"/>
      <c r="Z149" s="6">
        <f ca="1">('TUSD BE'!$AM$24+'TUSD BF'!$AM$24+'TUSD CVA'!$AM$24)*1</f>
        <v>145.72237393634796</v>
      </c>
      <c r="AA149" s="6">
        <f>('TE BE'!$AB$9+'TE BF'!$AB$9+'TE CVA'!$AB$9)*1</f>
        <v>222.39386487986414</v>
      </c>
      <c r="AB149" s="6">
        <f t="shared" si="10"/>
        <v>0</v>
      </c>
      <c r="AC149" s="6">
        <f t="shared" si="11"/>
        <v>34506.048384000002</v>
      </c>
      <c r="AD149" s="6">
        <f t="shared" si="12"/>
        <v>0</v>
      </c>
      <c r="AE149" s="6">
        <f t="shared" ca="1" si="13"/>
        <v>38754.688636588704</v>
      </c>
      <c r="AF149" s="4" t="s">
        <v>812</v>
      </c>
    </row>
    <row r="150" spans="1:32" ht="11.25" customHeight="1" x14ac:dyDescent="0.3">
      <c r="A150" s="4" t="s">
        <v>21</v>
      </c>
      <c r="B150" s="4" t="s">
        <v>39</v>
      </c>
      <c r="C150" s="4" t="s">
        <v>40</v>
      </c>
      <c r="D150" s="4" t="s">
        <v>44</v>
      </c>
      <c r="E150" s="4" t="s">
        <v>53</v>
      </c>
      <c r="F150" s="4" t="s">
        <v>55</v>
      </c>
      <c r="G150" s="4" t="s">
        <v>25</v>
      </c>
      <c r="H150" s="4" t="s">
        <v>35</v>
      </c>
      <c r="I150" s="5">
        <v>44743</v>
      </c>
      <c r="J150" s="6">
        <v>0</v>
      </c>
      <c r="K150" s="6">
        <v>0</v>
      </c>
      <c r="L150" s="6">
        <v>146.72200000000001</v>
      </c>
      <c r="M150" s="6">
        <v>29.3444</v>
      </c>
      <c r="N150" s="6">
        <v>146.72200000000001</v>
      </c>
      <c r="O150" s="6">
        <v>29.3444</v>
      </c>
      <c r="P150" s="6">
        <v>0</v>
      </c>
      <c r="Q150" s="4" t="s">
        <v>26</v>
      </c>
      <c r="R150" s="4">
        <v>0</v>
      </c>
      <c r="S150" s="4">
        <v>0</v>
      </c>
      <c r="T150" s="4">
        <v>17</v>
      </c>
      <c r="U150" s="4">
        <v>66</v>
      </c>
      <c r="V150" s="6">
        <f>IF(ISERROR(VLOOKUP($S$150,'TAR FIN'!$A$1:$O$103,15,0)),0,VLOOKUP($S$150,'TAR FIN'!$A$1:$O$103,15,0))</f>
        <v>0</v>
      </c>
      <c r="W150" s="6">
        <f>IF(ISERROR(VLOOKUP($T$150,'TAR FIN'!$A$1:$O$103,15,0)),0,VLOOKUP($T$150,'TAR FIN'!$A$1:$O$103,15,0))</f>
        <v>84.99</v>
      </c>
      <c r="X150" s="6">
        <f>IF(ISERROR(VLOOKUP($U$150,'TAR FIN'!$A$1:$O$103,15,0)),0,VLOOKUP($U$150,'TAR FIN'!$A$1:$O$103,15,0))</f>
        <v>242.77</v>
      </c>
      <c r="Y150" s="6"/>
      <c r="Z150" s="6">
        <f ca="1">('TUSD BE'!$AM$24+'TUSD BF'!$AM$24+'TUSD CVA'!$AM$24)*1</f>
        <v>145.72237393634796</v>
      </c>
      <c r="AA150" s="6">
        <f>('TE BE'!$AB$9+'TE BF'!$AB$9+'TE CVA'!$AB$9)*1</f>
        <v>222.39386487986414</v>
      </c>
      <c r="AB150" s="6">
        <f t="shared" si="10"/>
        <v>0</v>
      </c>
      <c r="AC150" s="6">
        <f t="shared" si="11"/>
        <v>38471.682176000002</v>
      </c>
      <c r="AD150" s="6">
        <f t="shared" si="12"/>
        <v>0</v>
      </c>
      <c r="AE150" s="6">
        <f t="shared" ca="1" si="13"/>
        <v>43208.600633273818</v>
      </c>
      <c r="AF150" s="4" t="s">
        <v>812</v>
      </c>
    </row>
    <row r="151" spans="1:32" ht="11.25" customHeight="1" x14ac:dyDescent="0.3">
      <c r="A151" s="4" t="s">
        <v>21</v>
      </c>
      <c r="B151" s="4" t="s">
        <v>39</v>
      </c>
      <c r="C151" s="4" t="s">
        <v>40</v>
      </c>
      <c r="D151" s="4" t="s">
        <v>44</v>
      </c>
      <c r="E151" s="4" t="s">
        <v>53</v>
      </c>
      <c r="F151" s="4" t="s">
        <v>55</v>
      </c>
      <c r="G151" s="4" t="s">
        <v>25</v>
      </c>
      <c r="H151" s="4" t="s">
        <v>35</v>
      </c>
      <c r="I151" s="5">
        <v>44774</v>
      </c>
      <c r="J151" s="6">
        <v>0</v>
      </c>
      <c r="K151" s="6">
        <v>0</v>
      </c>
      <c r="L151" s="6">
        <v>147.726</v>
      </c>
      <c r="M151" s="6">
        <v>29.545200000000001</v>
      </c>
      <c r="N151" s="6">
        <v>147.726</v>
      </c>
      <c r="O151" s="6">
        <v>29.545200000000001</v>
      </c>
      <c r="P151" s="6">
        <v>0</v>
      </c>
      <c r="Q151" s="4" t="s">
        <v>26</v>
      </c>
      <c r="R151" s="4">
        <v>0</v>
      </c>
      <c r="S151" s="4">
        <v>0</v>
      </c>
      <c r="T151" s="4">
        <v>17</v>
      </c>
      <c r="U151" s="4">
        <v>66</v>
      </c>
      <c r="V151" s="6">
        <f>IF(ISERROR(VLOOKUP($S$151,'TAR FIN'!$A$1:$O$103,15,0)),0,VLOOKUP($S$151,'TAR FIN'!$A$1:$O$103,15,0))</f>
        <v>0</v>
      </c>
      <c r="W151" s="6">
        <f>IF(ISERROR(VLOOKUP($T$151,'TAR FIN'!$A$1:$O$103,15,0)),0,VLOOKUP($T$151,'TAR FIN'!$A$1:$O$103,15,0))</f>
        <v>84.99</v>
      </c>
      <c r="X151" s="6">
        <f>IF(ISERROR(VLOOKUP($U$151,'TAR FIN'!$A$1:$O$103,15,0)),0,VLOOKUP($U$151,'TAR FIN'!$A$1:$O$103,15,0))</f>
        <v>242.77</v>
      </c>
      <c r="Y151" s="6"/>
      <c r="Z151" s="6">
        <f ca="1">('TUSD BE'!$AM$24+'TUSD BF'!$AM$24+'TUSD CVA'!$AM$24)*1</f>
        <v>145.72237393634796</v>
      </c>
      <c r="AA151" s="6">
        <f>('TE BE'!$AB$9+'TE BF'!$AB$9+'TE CVA'!$AB$9)*1</f>
        <v>222.39386487986414</v>
      </c>
      <c r="AB151" s="6">
        <f t="shared" si="10"/>
        <v>0</v>
      </c>
      <c r="AC151" s="6">
        <f t="shared" si="11"/>
        <v>38734.939008000001</v>
      </c>
      <c r="AD151" s="6">
        <f t="shared" si="12"/>
        <v>0</v>
      </c>
      <c r="AE151" s="6">
        <f t="shared" ca="1" si="13"/>
        <v>43504.271596291001</v>
      </c>
      <c r="AF151" s="4" t="s">
        <v>812</v>
      </c>
    </row>
    <row r="152" spans="1:32" ht="11.25" customHeight="1" x14ac:dyDescent="0.3">
      <c r="A152" s="4" t="s">
        <v>21</v>
      </c>
      <c r="B152" s="4" t="s">
        <v>39</v>
      </c>
      <c r="C152" s="4" t="s">
        <v>40</v>
      </c>
      <c r="D152" s="4" t="s">
        <v>44</v>
      </c>
      <c r="E152" s="4" t="s">
        <v>53</v>
      </c>
      <c r="F152" s="4" t="s">
        <v>55</v>
      </c>
      <c r="G152" s="4" t="s">
        <v>25</v>
      </c>
      <c r="H152" s="4" t="s">
        <v>35</v>
      </c>
      <c r="I152" s="5">
        <v>44805</v>
      </c>
      <c r="J152" s="6">
        <v>0</v>
      </c>
      <c r="K152" s="6">
        <v>0</v>
      </c>
      <c r="L152" s="6">
        <v>132.041</v>
      </c>
      <c r="M152" s="6">
        <v>26.408200000000001</v>
      </c>
      <c r="N152" s="6">
        <v>132.041</v>
      </c>
      <c r="O152" s="6">
        <v>26.408200000000001</v>
      </c>
      <c r="P152" s="6">
        <v>0</v>
      </c>
      <c r="Q152" s="4" t="s">
        <v>26</v>
      </c>
      <c r="R152" s="4">
        <v>0</v>
      </c>
      <c r="S152" s="4">
        <v>0</v>
      </c>
      <c r="T152" s="4">
        <v>17</v>
      </c>
      <c r="U152" s="4">
        <v>66</v>
      </c>
      <c r="V152" s="6">
        <f>IF(ISERROR(VLOOKUP($S$152,'TAR FIN'!$A$1:$O$103,15,0)),0,VLOOKUP($S$152,'TAR FIN'!$A$1:$O$103,15,0))</f>
        <v>0</v>
      </c>
      <c r="W152" s="6">
        <f>IF(ISERROR(VLOOKUP($T$152,'TAR FIN'!$A$1:$O$103,15,0)),0,VLOOKUP($T$152,'TAR FIN'!$A$1:$O$103,15,0))</f>
        <v>84.99</v>
      </c>
      <c r="X152" s="6">
        <f>IF(ISERROR(VLOOKUP($U$152,'TAR FIN'!$A$1:$O$103,15,0)),0,VLOOKUP($U$152,'TAR FIN'!$A$1:$O$103,15,0))</f>
        <v>242.77</v>
      </c>
      <c r="Y152" s="6"/>
      <c r="Z152" s="6">
        <f ca="1">('TUSD BE'!$AM$24+'TUSD BF'!$AM$24+'TUSD CVA'!$AM$24)*1</f>
        <v>145.72237393634796</v>
      </c>
      <c r="AA152" s="6">
        <f>('TE BE'!$AB$9+'TE BF'!$AB$9+'TE CVA'!$AB$9)*1</f>
        <v>222.39386487986414</v>
      </c>
      <c r="AB152" s="6">
        <f t="shared" si="10"/>
        <v>0</v>
      </c>
      <c r="AC152" s="6">
        <f t="shared" si="11"/>
        <v>34622.206528000002</v>
      </c>
      <c r="AD152" s="6">
        <f t="shared" si="12"/>
        <v>0</v>
      </c>
      <c r="AE152" s="6">
        <f t="shared" ca="1" si="13"/>
        <v>38885.149031625173</v>
      </c>
      <c r="AF152" s="4" t="s">
        <v>812</v>
      </c>
    </row>
    <row r="153" spans="1:32" ht="11.25" customHeight="1" x14ac:dyDescent="0.3">
      <c r="A153" s="4" t="s">
        <v>57</v>
      </c>
      <c r="B153" s="4" t="s">
        <v>39</v>
      </c>
      <c r="C153" s="4" t="s">
        <v>40</v>
      </c>
      <c r="D153" s="4" t="s">
        <v>44</v>
      </c>
      <c r="E153" s="4" t="s">
        <v>53</v>
      </c>
      <c r="F153" s="4" t="s">
        <v>55</v>
      </c>
      <c r="G153" s="4" t="s">
        <v>25</v>
      </c>
      <c r="H153" s="4" t="s">
        <v>35</v>
      </c>
      <c r="I153" s="5">
        <v>44835</v>
      </c>
      <c r="J153" s="6">
        <v>0</v>
      </c>
      <c r="K153" s="6">
        <v>0</v>
      </c>
      <c r="L153" s="6">
        <v>132.041</v>
      </c>
      <c r="M153" s="6">
        <v>26.408200000000001</v>
      </c>
      <c r="N153" s="6">
        <v>132.041</v>
      </c>
      <c r="O153" s="6">
        <v>26.408200000000001</v>
      </c>
      <c r="P153" s="6">
        <v>0</v>
      </c>
      <c r="Q153" s="4" t="s">
        <v>26</v>
      </c>
      <c r="R153" s="4">
        <v>0</v>
      </c>
      <c r="S153" s="4">
        <v>0</v>
      </c>
      <c r="T153" s="4">
        <v>17</v>
      </c>
      <c r="U153" s="4">
        <v>66</v>
      </c>
      <c r="V153" s="6">
        <f>IF(ISERROR(VLOOKUP($S$153,'TAR FIN'!$A$1:$O$103,15,0)),0,VLOOKUP($S$153,'TAR FIN'!$A$1:$O$103,15,0))</f>
        <v>0</v>
      </c>
      <c r="W153" s="6">
        <f>IF(ISERROR(VLOOKUP($T$153,'TAR FIN'!$A$1:$O$103,15,0)),0,VLOOKUP($T$153,'TAR FIN'!$A$1:$O$103,15,0))</f>
        <v>84.99</v>
      </c>
      <c r="X153" s="6">
        <f>IF(ISERROR(VLOOKUP($U$153,'TAR FIN'!$A$1:$O$103,15,0)),0,VLOOKUP($U$153,'TAR FIN'!$A$1:$O$103,15,0))</f>
        <v>242.77</v>
      </c>
      <c r="Y153" s="6"/>
      <c r="Z153" s="6">
        <f ca="1">('TUSD BE'!$AM$24+'TUSD BF'!$AM$24+'TUSD CVA'!$AM$24)*1</f>
        <v>145.72237393634796</v>
      </c>
      <c r="AA153" s="6">
        <f>('TE BE'!$AB$9+'TE BF'!$AB$9+'TE CVA'!$AB$9)*1</f>
        <v>222.39386487986414</v>
      </c>
      <c r="AB153" s="6">
        <f t="shared" si="10"/>
        <v>0</v>
      </c>
      <c r="AC153" s="6">
        <f t="shared" si="11"/>
        <v>34622.206528000002</v>
      </c>
      <c r="AD153" s="6">
        <f t="shared" si="12"/>
        <v>0</v>
      </c>
      <c r="AE153" s="6">
        <f t="shared" ca="1" si="13"/>
        <v>38885.149031625173</v>
      </c>
      <c r="AF153" s="4" t="s">
        <v>812</v>
      </c>
    </row>
    <row r="154" spans="1:32" ht="11.25" customHeight="1" x14ac:dyDescent="0.3">
      <c r="A154" s="4" t="s">
        <v>21</v>
      </c>
      <c r="B154" s="4" t="s">
        <v>39</v>
      </c>
      <c r="C154" s="4" t="s">
        <v>40</v>
      </c>
      <c r="D154" s="4" t="s">
        <v>44</v>
      </c>
      <c r="E154" s="4" t="s">
        <v>53</v>
      </c>
      <c r="F154" s="4" t="s">
        <v>25</v>
      </c>
      <c r="G154" s="4" t="s">
        <v>25</v>
      </c>
      <c r="H154" s="4" t="s">
        <v>35</v>
      </c>
      <c r="I154" s="5">
        <v>44501</v>
      </c>
      <c r="J154" s="6">
        <v>0</v>
      </c>
      <c r="K154" s="52">
        <v>0</v>
      </c>
      <c r="L154" s="6">
        <v>4.008</v>
      </c>
      <c r="M154" s="52">
        <v>4.008</v>
      </c>
      <c r="N154" s="6">
        <v>4.008</v>
      </c>
      <c r="O154" s="52">
        <v>4.008</v>
      </c>
      <c r="P154" s="6">
        <v>0</v>
      </c>
      <c r="Q154" s="4" t="s">
        <v>26</v>
      </c>
      <c r="R154" s="4">
        <v>0</v>
      </c>
      <c r="S154" s="4">
        <v>0</v>
      </c>
      <c r="T154" s="4">
        <v>17</v>
      </c>
      <c r="U154" s="4">
        <v>66</v>
      </c>
      <c r="V154" s="52">
        <f>IF(ISERROR(VLOOKUP($S$154,'TAR FIN'!$A$1:$O$103,15,0)),0,VLOOKUP($S$154,'TAR FIN'!$A$1:$O$103,15,0))</f>
        <v>0</v>
      </c>
      <c r="W154" s="52">
        <f>IF(ISERROR(VLOOKUP($T$154,'TAR FIN'!$A$1:$O$103,15,0)),0,VLOOKUP($T$154,'TAR FIN'!$A$1:$O$103,15,0))*(1-0.04)</f>
        <v>81.590399999999988</v>
      </c>
      <c r="X154" s="52">
        <f>IF(ISERROR(VLOOKUP($U$154,'TAR FIN'!$A$1:$O$103,15,0)),0,VLOOKUP($U$154,'TAR FIN'!$A$1:$O$103,15,0))*(1-0.04)</f>
        <v>233.0592</v>
      </c>
      <c r="Y154" s="52"/>
      <c r="Z154" s="52">
        <f ca="1">('TUSD BE'!$AM$24+'TUSD BF'!$AM$24+'TUSD CVA'!$AM$24)*1*(1-0.02)</f>
        <v>142.80792645762099</v>
      </c>
      <c r="AA154" s="52">
        <f>('TE BE'!$AB$9+'TE BF'!$AB$9+'TE CVA'!$AB$9)*1*(1-0.02)</f>
        <v>217.94598758226687</v>
      </c>
      <c r="AB154" s="52">
        <f>(SUBSIDIO!$J$154*SUBSIDIO!$V$154)*(0.04)/(1-0.04)</f>
        <v>0</v>
      </c>
      <c r="AC154" s="52">
        <f>((SUBSIDIO!$L$154*SUBSIDIO!$W$154)+(SUBSIDIO!$N$154*SUBSIDIO!$X$154))*(0.04)/(1-0.04)</f>
        <v>52.546483200000004</v>
      </c>
      <c r="AD154" s="52">
        <f>(SUBSIDIO!$J$154*SUBSIDIO!$Y$154)*(0.02)/(1-0.02)</f>
        <v>0</v>
      </c>
      <c r="AE154" s="52">
        <f ca="1">((SUBSIDIO!$L$154*SUBSIDIO!$Z$154)+(SUBSIDIO!$N$154*SUBSIDIO!$AA$154))*(0.02)/(1-0.02)</f>
        <v>29.508197703507562</v>
      </c>
      <c r="AF154" s="4" t="s">
        <v>811</v>
      </c>
    </row>
    <row r="155" spans="1:32" ht="11.25" customHeight="1" x14ac:dyDescent="0.3">
      <c r="A155" s="4" t="s">
        <v>21</v>
      </c>
      <c r="B155" s="4" t="s">
        <v>39</v>
      </c>
      <c r="C155" s="4" t="s">
        <v>40</v>
      </c>
      <c r="D155" s="4" t="s">
        <v>44</v>
      </c>
      <c r="E155" s="4" t="s">
        <v>53</v>
      </c>
      <c r="F155" s="4" t="s">
        <v>25</v>
      </c>
      <c r="G155" s="4" t="s">
        <v>25</v>
      </c>
      <c r="H155" s="4" t="s">
        <v>35</v>
      </c>
      <c r="I155" s="5">
        <v>44531</v>
      </c>
      <c r="J155" s="6">
        <v>0</v>
      </c>
      <c r="K155" s="52">
        <v>0</v>
      </c>
      <c r="L155" s="6">
        <v>3.5409999999999999</v>
      </c>
      <c r="M155" s="52">
        <v>3.5409999999999999</v>
      </c>
      <c r="N155" s="6">
        <v>3.5409999999999999</v>
      </c>
      <c r="O155" s="52">
        <v>3.5409999999999999</v>
      </c>
      <c r="P155" s="6">
        <v>0</v>
      </c>
      <c r="Q155" s="4" t="s">
        <v>26</v>
      </c>
      <c r="R155" s="4">
        <v>0</v>
      </c>
      <c r="S155" s="4">
        <v>0</v>
      </c>
      <c r="T155" s="4">
        <v>17</v>
      </c>
      <c r="U155" s="4">
        <v>66</v>
      </c>
      <c r="V155" s="52">
        <f>IF(ISERROR(VLOOKUP($S$155,'TAR FIN'!$A$1:$O$103,15,0)),0,VLOOKUP($S$155,'TAR FIN'!$A$1:$O$103,15,0))</f>
        <v>0</v>
      </c>
      <c r="W155" s="52">
        <f>IF(ISERROR(VLOOKUP($T$155,'TAR FIN'!$A$1:$O$103,15,0)),0,VLOOKUP($T$155,'TAR FIN'!$A$1:$O$103,15,0))*(1-0.04)</f>
        <v>81.590399999999988</v>
      </c>
      <c r="X155" s="52">
        <f>IF(ISERROR(VLOOKUP($U$155,'TAR FIN'!$A$1:$O$103,15,0)),0,VLOOKUP($U$155,'TAR FIN'!$A$1:$O$103,15,0))*(1-0.04)</f>
        <v>233.0592</v>
      </c>
      <c r="Y155" s="52"/>
      <c r="Z155" s="52">
        <f ca="1">('TUSD BE'!$AM$24+'TUSD BF'!$AM$24+'TUSD CVA'!$AM$24)*1*(1-0.02)</f>
        <v>142.80792645762099</v>
      </c>
      <c r="AA155" s="52">
        <f>('TE BE'!$AB$9+'TE BF'!$AB$9+'TE CVA'!$AB$9)*1*(1-0.02)</f>
        <v>217.94598758226687</v>
      </c>
      <c r="AB155" s="52">
        <f>(SUBSIDIO!$J$155*SUBSIDIO!$V$155)*(0.04)/(1-0.04)</f>
        <v>0</v>
      </c>
      <c r="AC155" s="52">
        <f>((SUBSIDIO!$L$155*SUBSIDIO!$W$155)+(SUBSIDIO!$N$155*SUBSIDIO!$X$155))*(0.04)/(1-0.04)</f>
        <v>46.423926399999999</v>
      </c>
      <c r="AD155" s="52">
        <f>(SUBSIDIO!$J$155*SUBSIDIO!$Y$155)*(0.02)/(1-0.02)</f>
        <v>0</v>
      </c>
      <c r="AE155" s="52">
        <f ca="1">((SUBSIDIO!$L$155*SUBSIDIO!$Z$155)+(SUBSIDIO!$N$155*SUBSIDIO!$AA$155))*(0.02)/(1-0.02)</f>
        <v>26.069992032964144</v>
      </c>
      <c r="AF155" s="4" t="s">
        <v>811</v>
      </c>
    </row>
    <row r="156" spans="1:32" ht="11.25" customHeight="1" x14ac:dyDescent="0.3">
      <c r="A156" s="4" t="s">
        <v>21</v>
      </c>
      <c r="B156" s="4" t="s">
        <v>39</v>
      </c>
      <c r="C156" s="4" t="s">
        <v>40</v>
      </c>
      <c r="D156" s="4" t="s">
        <v>44</v>
      </c>
      <c r="E156" s="4" t="s">
        <v>53</v>
      </c>
      <c r="F156" s="4" t="s">
        <v>25</v>
      </c>
      <c r="G156" s="4" t="s">
        <v>25</v>
      </c>
      <c r="H156" s="4" t="s">
        <v>35</v>
      </c>
      <c r="I156" s="5">
        <v>44562</v>
      </c>
      <c r="J156" s="6">
        <v>0</v>
      </c>
      <c r="K156" s="52">
        <v>0</v>
      </c>
      <c r="L156" s="6">
        <v>5.49</v>
      </c>
      <c r="M156" s="52">
        <v>5.49</v>
      </c>
      <c r="N156" s="6">
        <v>5.49</v>
      </c>
      <c r="O156" s="52">
        <v>5.49</v>
      </c>
      <c r="P156" s="6">
        <v>0</v>
      </c>
      <c r="Q156" s="4" t="s">
        <v>26</v>
      </c>
      <c r="R156" s="4">
        <v>0</v>
      </c>
      <c r="S156" s="4">
        <v>0</v>
      </c>
      <c r="T156" s="4">
        <v>17</v>
      </c>
      <c r="U156" s="4">
        <v>66</v>
      </c>
      <c r="V156" s="52">
        <f>IF(ISERROR(VLOOKUP($S$156,'TAR FIN'!$A$1:$O$103,15,0)),0,VLOOKUP($S$156,'TAR FIN'!$A$1:$O$103,15,0))</f>
        <v>0</v>
      </c>
      <c r="W156" s="52">
        <f>IF(ISERROR(VLOOKUP($T$156,'TAR FIN'!$A$1:$O$103,15,0)),0,VLOOKUP($T$156,'TAR FIN'!$A$1:$O$103,15,0))*(1-0.04)</f>
        <v>81.590399999999988</v>
      </c>
      <c r="X156" s="52">
        <f>IF(ISERROR(VLOOKUP($U$156,'TAR FIN'!$A$1:$O$103,15,0)),0,VLOOKUP($U$156,'TAR FIN'!$A$1:$O$103,15,0))*(1-0.04)</f>
        <v>233.0592</v>
      </c>
      <c r="Y156" s="52"/>
      <c r="Z156" s="52">
        <f ca="1">('TUSD BE'!$AM$24+'TUSD BF'!$AM$24+'TUSD CVA'!$AM$24)*1*(1-0.02)</f>
        <v>142.80792645762099</v>
      </c>
      <c r="AA156" s="52">
        <f>('TE BE'!$AB$9+'TE BF'!$AB$9+'TE CVA'!$AB$9)*1*(1-0.02)</f>
        <v>217.94598758226687</v>
      </c>
      <c r="AB156" s="52">
        <f>(SUBSIDIO!$J$156*SUBSIDIO!$V$156)*(0.04)/(1-0.04)</f>
        <v>0</v>
      </c>
      <c r="AC156" s="52">
        <f>((SUBSIDIO!$L$156*SUBSIDIO!$W$156)+(SUBSIDIO!$N$156*SUBSIDIO!$X$156))*(0.04)/(1-0.04)</f>
        <v>71.976096000000013</v>
      </c>
      <c r="AD156" s="52">
        <f>(SUBSIDIO!$J$156*SUBSIDIO!$Y$156)*(0.02)/(1-0.02)</f>
        <v>0</v>
      </c>
      <c r="AE156" s="52">
        <f ca="1">((SUBSIDIO!$L$156*SUBSIDIO!$Z$156)+(SUBSIDIO!$N$156*SUBSIDIO!$AA$156))*(0.02)/(1-0.02)</f>
        <v>40.419163022020086</v>
      </c>
      <c r="AF156" s="4" t="s">
        <v>811</v>
      </c>
    </row>
    <row r="157" spans="1:32" ht="11.25" customHeight="1" x14ac:dyDescent="0.3">
      <c r="A157" s="4" t="s">
        <v>21</v>
      </c>
      <c r="B157" s="4" t="s">
        <v>39</v>
      </c>
      <c r="C157" s="4" t="s">
        <v>40</v>
      </c>
      <c r="D157" s="4" t="s">
        <v>44</v>
      </c>
      <c r="E157" s="4" t="s">
        <v>53</v>
      </c>
      <c r="F157" s="4" t="s">
        <v>25</v>
      </c>
      <c r="G157" s="4" t="s">
        <v>25</v>
      </c>
      <c r="H157" s="4" t="s">
        <v>35</v>
      </c>
      <c r="I157" s="5">
        <v>44593</v>
      </c>
      <c r="J157" s="6">
        <v>0</v>
      </c>
      <c r="K157" s="52">
        <v>0</v>
      </c>
      <c r="L157" s="6">
        <v>2.6269999999999998</v>
      </c>
      <c r="M157" s="52">
        <v>2.6269999999999998</v>
      </c>
      <c r="N157" s="6">
        <v>2.6269999999999998</v>
      </c>
      <c r="O157" s="52">
        <v>2.6269999999999998</v>
      </c>
      <c r="P157" s="6">
        <v>0</v>
      </c>
      <c r="Q157" s="4" t="s">
        <v>26</v>
      </c>
      <c r="R157" s="4">
        <v>0</v>
      </c>
      <c r="S157" s="4">
        <v>0</v>
      </c>
      <c r="T157" s="4">
        <v>17</v>
      </c>
      <c r="U157" s="4">
        <v>66</v>
      </c>
      <c r="V157" s="52">
        <f>IF(ISERROR(VLOOKUP($S$157,'TAR FIN'!$A$1:$O$103,15,0)),0,VLOOKUP($S$157,'TAR FIN'!$A$1:$O$103,15,0))</f>
        <v>0</v>
      </c>
      <c r="W157" s="52">
        <f>IF(ISERROR(VLOOKUP($T$157,'TAR FIN'!$A$1:$O$103,15,0)),0,VLOOKUP($T$157,'TAR FIN'!$A$1:$O$103,15,0))*(1-0.04)</f>
        <v>81.590399999999988</v>
      </c>
      <c r="X157" s="52">
        <f>IF(ISERROR(VLOOKUP($U$157,'TAR FIN'!$A$1:$O$103,15,0)),0,VLOOKUP($U$157,'TAR FIN'!$A$1:$O$103,15,0))*(1-0.04)</f>
        <v>233.0592</v>
      </c>
      <c r="Y157" s="52"/>
      <c r="Z157" s="52">
        <f ca="1">('TUSD BE'!$AM$24+'TUSD BF'!$AM$24+'TUSD CVA'!$AM$24)*1*(1-0.02)</f>
        <v>142.80792645762099</v>
      </c>
      <c r="AA157" s="52">
        <f>('TE BE'!$AB$9+'TE BF'!$AB$9+'TE CVA'!$AB$9)*1*(1-0.02)</f>
        <v>217.94598758226687</v>
      </c>
      <c r="AB157" s="52">
        <f>(SUBSIDIO!$J$157*SUBSIDIO!$V$157)*(0.04)/(1-0.04)</f>
        <v>0</v>
      </c>
      <c r="AC157" s="52">
        <f>((SUBSIDIO!$L$157*SUBSIDIO!$W$157)+(SUBSIDIO!$N$157*SUBSIDIO!$X$157))*(0.04)/(1-0.04)</f>
        <v>34.441020800000004</v>
      </c>
      <c r="AD157" s="52">
        <f>(SUBSIDIO!$J$157*SUBSIDIO!$Y$157)*(0.02)/(1-0.02)</f>
        <v>0</v>
      </c>
      <c r="AE157" s="52">
        <f ca="1">((SUBSIDIO!$L$157*SUBSIDIO!$Z$157)+(SUBSIDIO!$N$157*SUBSIDIO!$AA$157))*(0.02)/(1-0.02)</f>
        <v>19.340827187403782</v>
      </c>
      <c r="AF157" s="4" t="s">
        <v>811</v>
      </c>
    </row>
    <row r="158" spans="1:32" ht="11.25" customHeight="1" x14ac:dyDescent="0.3">
      <c r="A158" s="4" t="s">
        <v>21</v>
      </c>
      <c r="B158" s="4" t="s">
        <v>39</v>
      </c>
      <c r="C158" s="4" t="s">
        <v>40</v>
      </c>
      <c r="D158" s="4" t="s">
        <v>44</v>
      </c>
      <c r="E158" s="4" t="s">
        <v>53</v>
      </c>
      <c r="F158" s="4" t="s">
        <v>25</v>
      </c>
      <c r="G158" s="4" t="s">
        <v>25</v>
      </c>
      <c r="H158" s="4" t="s">
        <v>35</v>
      </c>
      <c r="I158" s="5">
        <v>44621</v>
      </c>
      <c r="J158" s="6">
        <v>0</v>
      </c>
      <c r="K158" s="52">
        <v>0</v>
      </c>
      <c r="L158" s="6">
        <v>8.43</v>
      </c>
      <c r="M158" s="52">
        <v>8.43</v>
      </c>
      <c r="N158" s="6">
        <v>8.43</v>
      </c>
      <c r="O158" s="52">
        <v>8.43</v>
      </c>
      <c r="P158" s="6">
        <v>0</v>
      </c>
      <c r="Q158" s="4" t="s">
        <v>26</v>
      </c>
      <c r="R158" s="4">
        <v>0</v>
      </c>
      <c r="S158" s="4">
        <v>0</v>
      </c>
      <c r="T158" s="4">
        <v>17</v>
      </c>
      <c r="U158" s="4">
        <v>66</v>
      </c>
      <c r="V158" s="52">
        <f>IF(ISERROR(VLOOKUP($S$158,'TAR FIN'!$A$1:$O$103,15,0)),0,VLOOKUP($S$158,'TAR FIN'!$A$1:$O$103,15,0))</f>
        <v>0</v>
      </c>
      <c r="W158" s="52">
        <f>IF(ISERROR(VLOOKUP($T$158,'TAR FIN'!$A$1:$O$103,15,0)),0,VLOOKUP($T$158,'TAR FIN'!$A$1:$O$103,15,0))*(1-0.04)</f>
        <v>81.590399999999988</v>
      </c>
      <c r="X158" s="52">
        <f>IF(ISERROR(VLOOKUP($U$158,'TAR FIN'!$A$1:$O$103,15,0)),0,VLOOKUP($U$158,'TAR FIN'!$A$1:$O$103,15,0))*(1-0.04)</f>
        <v>233.0592</v>
      </c>
      <c r="Y158" s="52"/>
      <c r="Z158" s="52">
        <f ca="1">('TUSD BE'!$AM$24+'TUSD BF'!$AM$24+'TUSD CVA'!$AM$24)*1*(1-0.02)</f>
        <v>142.80792645762099</v>
      </c>
      <c r="AA158" s="52">
        <f>('TE BE'!$AB$9+'TE BF'!$AB$9+'TE CVA'!$AB$9)*1*(1-0.02)</f>
        <v>217.94598758226687</v>
      </c>
      <c r="AB158" s="52">
        <f>(SUBSIDIO!$J$158*SUBSIDIO!$V$158)*(0.04)/(1-0.04)</f>
        <v>0</v>
      </c>
      <c r="AC158" s="52">
        <f>((SUBSIDIO!$L$158*SUBSIDIO!$W$158)+(SUBSIDIO!$N$158*SUBSIDIO!$X$158))*(0.04)/(1-0.04)</f>
        <v>110.520672</v>
      </c>
      <c r="AD158" s="52">
        <f>(SUBSIDIO!$J$158*SUBSIDIO!$Y$158)*(0.02)/(1-0.02)</f>
        <v>0</v>
      </c>
      <c r="AE158" s="52">
        <f ca="1">((SUBSIDIO!$L$158*SUBSIDIO!$Z$158)+(SUBSIDIO!$N$158*SUBSIDIO!$AA$158))*(0.02)/(1-0.02)</f>
        <v>62.064397864413365</v>
      </c>
      <c r="AF158" s="4" t="s">
        <v>811</v>
      </c>
    </row>
    <row r="159" spans="1:32" ht="11.25" customHeight="1" x14ac:dyDescent="0.3">
      <c r="A159" s="4" t="s">
        <v>21</v>
      </c>
      <c r="B159" s="4" t="s">
        <v>39</v>
      </c>
      <c r="C159" s="4" t="s">
        <v>40</v>
      </c>
      <c r="D159" s="4" t="s">
        <v>44</v>
      </c>
      <c r="E159" s="4" t="s">
        <v>53</v>
      </c>
      <c r="F159" s="4" t="s">
        <v>25</v>
      </c>
      <c r="G159" s="4" t="s">
        <v>25</v>
      </c>
      <c r="H159" s="4" t="s">
        <v>35</v>
      </c>
      <c r="I159" s="5">
        <v>44652</v>
      </c>
      <c r="J159" s="6">
        <v>0</v>
      </c>
      <c r="K159" s="52">
        <v>0</v>
      </c>
      <c r="L159" s="6">
        <v>96.036000000000001</v>
      </c>
      <c r="M159" s="52">
        <v>96.036000000000001</v>
      </c>
      <c r="N159" s="6">
        <v>96.036000000000001</v>
      </c>
      <c r="O159" s="52">
        <v>96.036000000000001</v>
      </c>
      <c r="P159" s="6">
        <v>0</v>
      </c>
      <c r="Q159" s="4" t="s">
        <v>26</v>
      </c>
      <c r="R159" s="4">
        <v>0</v>
      </c>
      <c r="S159" s="4">
        <v>0</v>
      </c>
      <c r="T159" s="4">
        <v>17</v>
      </c>
      <c r="U159" s="4">
        <v>66</v>
      </c>
      <c r="V159" s="52">
        <f>IF(ISERROR(VLOOKUP($S$159,'TAR FIN'!$A$1:$O$103,15,0)),0,VLOOKUP($S$159,'TAR FIN'!$A$1:$O$103,15,0))</f>
        <v>0</v>
      </c>
      <c r="W159" s="52">
        <f>IF(ISERROR(VLOOKUP($T$159,'TAR FIN'!$A$1:$O$103,15,0)),0,VLOOKUP($T$159,'TAR FIN'!$A$1:$O$103,15,0))*(1-0.04)</f>
        <v>81.590399999999988</v>
      </c>
      <c r="X159" s="52">
        <f>IF(ISERROR(VLOOKUP($U$159,'TAR FIN'!$A$1:$O$103,15,0)),0,VLOOKUP($U$159,'TAR FIN'!$A$1:$O$103,15,0))*(1-0.04)</f>
        <v>233.0592</v>
      </c>
      <c r="Y159" s="52"/>
      <c r="Z159" s="52">
        <f ca="1">('TUSD BE'!$AM$24+'TUSD BF'!$AM$24+'TUSD CVA'!$AM$24)*1*(1-0.02)</f>
        <v>142.80792645762099</v>
      </c>
      <c r="AA159" s="52">
        <f>('TE BE'!$AB$9+'TE BF'!$AB$9+'TE CVA'!$AB$9)*1*(1-0.02)</f>
        <v>217.94598758226687</v>
      </c>
      <c r="AB159" s="52">
        <f>(SUBSIDIO!$J$159*SUBSIDIO!$V$159)*(0.04)/(1-0.04)</f>
        <v>0</v>
      </c>
      <c r="AC159" s="52">
        <f>((SUBSIDIO!$L$159*SUBSIDIO!$W$159)+(SUBSIDIO!$N$159*SUBSIDIO!$X$159))*(0.04)/(1-0.04)</f>
        <v>1259.0703744</v>
      </c>
      <c r="AD159" s="52">
        <f>(SUBSIDIO!$J$159*SUBSIDIO!$Y$159)*(0.02)/(1-0.02)</f>
        <v>0</v>
      </c>
      <c r="AE159" s="52">
        <f ca="1">((SUBSIDIO!$L$159*SUBSIDIO!$Z$159)+(SUBSIDIO!$N$159*SUBSIDIO!$AA$159))*(0.02)/(1-0.02)</f>
        <v>707.048222219075</v>
      </c>
      <c r="AF159" s="4" t="s">
        <v>811</v>
      </c>
    </row>
    <row r="160" spans="1:32" ht="11.25" customHeight="1" x14ac:dyDescent="0.3">
      <c r="A160" s="4" t="s">
        <v>21</v>
      </c>
      <c r="B160" s="4" t="s">
        <v>39</v>
      </c>
      <c r="C160" s="4" t="s">
        <v>40</v>
      </c>
      <c r="D160" s="4" t="s">
        <v>44</v>
      </c>
      <c r="E160" s="4" t="s">
        <v>53</v>
      </c>
      <c r="F160" s="4" t="s">
        <v>25</v>
      </c>
      <c r="G160" s="4" t="s">
        <v>25</v>
      </c>
      <c r="H160" s="4" t="s">
        <v>35</v>
      </c>
      <c r="I160" s="5">
        <v>44682</v>
      </c>
      <c r="J160" s="6">
        <v>0</v>
      </c>
      <c r="K160" s="52">
        <v>0</v>
      </c>
      <c r="L160" s="6">
        <v>114.723</v>
      </c>
      <c r="M160" s="52">
        <v>114.723</v>
      </c>
      <c r="N160" s="6">
        <v>114.723</v>
      </c>
      <c r="O160" s="52">
        <v>114.723</v>
      </c>
      <c r="P160" s="6">
        <v>0</v>
      </c>
      <c r="Q160" s="4" t="s">
        <v>26</v>
      </c>
      <c r="R160" s="4">
        <v>0</v>
      </c>
      <c r="S160" s="4">
        <v>0</v>
      </c>
      <c r="T160" s="4">
        <v>17</v>
      </c>
      <c r="U160" s="4">
        <v>66</v>
      </c>
      <c r="V160" s="52">
        <f>IF(ISERROR(VLOOKUP($S$160,'TAR FIN'!$A$1:$O$103,15,0)),0,VLOOKUP($S$160,'TAR FIN'!$A$1:$O$103,15,0))</f>
        <v>0</v>
      </c>
      <c r="W160" s="52">
        <f>IF(ISERROR(VLOOKUP($T$160,'TAR FIN'!$A$1:$O$103,15,0)),0,VLOOKUP($T$160,'TAR FIN'!$A$1:$O$103,15,0))*(1-0.04)</f>
        <v>81.590399999999988</v>
      </c>
      <c r="X160" s="52">
        <f>IF(ISERROR(VLOOKUP($U$160,'TAR FIN'!$A$1:$O$103,15,0)),0,VLOOKUP($U$160,'TAR FIN'!$A$1:$O$103,15,0))*(1-0.04)</f>
        <v>233.0592</v>
      </c>
      <c r="Y160" s="52"/>
      <c r="Z160" s="52">
        <f ca="1">('TUSD BE'!$AM$24+'TUSD BF'!$AM$24+'TUSD CVA'!$AM$24)*1*(1-0.02)</f>
        <v>142.80792645762099</v>
      </c>
      <c r="AA160" s="52">
        <f>('TE BE'!$AB$9+'TE BF'!$AB$9+'TE CVA'!$AB$9)*1*(1-0.02)</f>
        <v>217.94598758226687</v>
      </c>
      <c r="AB160" s="52">
        <f>(SUBSIDIO!$J$160*SUBSIDIO!$V$160)*(0.04)/(1-0.04)</f>
        <v>0</v>
      </c>
      <c r="AC160" s="52">
        <f>((SUBSIDIO!$L$160*SUBSIDIO!$W$160)+(SUBSIDIO!$N$160*SUBSIDIO!$X$160))*(0.04)/(1-0.04)</f>
        <v>1504.0644192</v>
      </c>
      <c r="AD160" s="52">
        <f>(SUBSIDIO!$J$160*SUBSIDIO!$Y$160)*(0.02)/(1-0.02)</f>
        <v>0</v>
      </c>
      <c r="AE160" s="52">
        <f ca="1">((SUBSIDIO!$L$160*SUBSIDIO!$Z$160)+(SUBSIDIO!$N$160*SUBSIDIO!$AA$160))*(0.02)/(1-0.02)</f>
        <v>844.62798531424608</v>
      </c>
      <c r="AF160" s="4" t="s">
        <v>811</v>
      </c>
    </row>
    <row r="161" spans="1:32" ht="11.25" customHeight="1" x14ac:dyDescent="0.3">
      <c r="A161" s="4" t="s">
        <v>21</v>
      </c>
      <c r="B161" s="4" t="s">
        <v>39</v>
      </c>
      <c r="C161" s="4" t="s">
        <v>40</v>
      </c>
      <c r="D161" s="4" t="s">
        <v>44</v>
      </c>
      <c r="E161" s="4" t="s">
        <v>53</v>
      </c>
      <c r="F161" s="4" t="s">
        <v>25</v>
      </c>
      <c r="G161" s="4" t="s">
        <v>25</v>
      </c>
      <c r="H161" s="4" t="s">
        <v>35</v>
      </c>
      <c r="I161" s="5">
        <v>44713</v>
      </c>
      <c r="J161" s="6">
        <v>0</v>
      </c>
      <c r="K161" s="52">
        <v>0</v>
      </c>
      <c r="L161" s="6">
        <v>99.3</v>
      </c>
      <c r="M161" s="52">
        <v>99.3</v>
      </c>
      <c r="N161" s="6">
        <v>99.3</v>
      </c>
      <c r="O161" s="52">
        <v>99.3</v>
      </c>
      <c r="P161" s="6">
        <v>0</v>
      </c>
      <c r="Q161" s="4" t="s">
        <v>26</v>
      </c>
      <c r="R161" s="4">
        <v>0</v>
      </c>
      <c r="S161" s="4">
        <v>0</v>
      </c>
      <c r="T161" s="4">
        <v>17</v>
      </c>
      <c r="U161" s="4">
        <v>66</v>
      </c>
      <c r="V161" s="52">
        <f>IF(ISERROR(VLOOKUP($S$161,'TAR FIN'!$A$1:$O$103,15,0)),0,VLOOKUP($S$161,'TAR FIN'!$A$1:$O$103,15,0))</f>
        <v>0</v>
      </c>
      <c r="W161" s="52">
        <f>IF(ISERROR(VLOOKUP($T$161,'TAR FIN'!$A$1:$O$103,15,0)),0,VLOOKUP($T$161,'TAR FIN'!$A$1:$O$103,15,0))*(1-0.04)</f>
        <v>81.590399999999988</v>
      </c>
      <c r="X161" s="52">
        <f>IF(ISERROR(VLOOKUP($U$161,'TAR FIN'!$A$1:$O$103,15,0)),0,VLOOKUP($U$161,'TAR FIN'!$A$1:$O$103,15,0))*(1-0.04)</f>
        <v>233.0592</v>
      </c>
      <c r="Y161" s="52"/>
      <c r="Z161" s="52">
        <f ca="1">('TUSD BE'!$AM$24+'TUSD BF'!$AM$24+'TUSD CVA'!$AM$24)*1*(1-0.02)</f>
        <v>142.80792645762099</v>
      </c>
      <c r="AA161" s="52">
        <f>('TE BE'!$AB$9+'TE BF'!$AB$9+'TE CVA'!$AB$9)*1*(1-0.02)</f>
        <v>217.94598758226687</v>
      </c>
      <c r="AB161" s="52">
        <f>(SUBSIDIO!$J$161*SUBSIDIO!$V$161)*(0.04)/(1-0.04)</f>
        <v>0</v>
      </c>
      <c r="AC161" s="52">
        <f>((SUBSIDIO!$L$161*SUBSIDIO!$W$161)+(SUBSIDIO!$N$161*SUBSIDIO!$X$161))*(0.04)/(1-0.04)</f>
        <v>1301.8627200000001</v>
      </c>
      <c r="AD161" s="52">
        <f>(SUBSIDIO!$J$161*SUBSIDIO!$Y$161)*(0.02)/(1-0.02)</f>
        <v>0</v>
      </c>
      <c r="AE161" s="52">
        <f ca="1">((SUBSIDIO!$L$161*SUBSIDIO!$Z$161)+(SUBSIDIO!$N$161*SUBSIDIO!$AA$161))*(0.02)/(1-0.02)</f>
        <v>731.07885028899716</v>
      </c>
      <c r="AF161" s="4" t="s">
        <v>811</v>
      </c>
    </row>
    <row r="162" spans="1:32" ht="11.25" customHeight="1" x14ac:dyDescent="0.3">
      <c r="A162" s="4" t="s">
        <v>21</v>
      </c>
      <c r="B162" s="4" t="s">
        <v>39</v>
      </c>
      <c r="C162" s="4" t="s">
        <v>40</v>
      </c>
      <c r="D162" s="4" t="s">
        <v>44</v>
      </c>
      <c r="E162" s="4" t="s">
        <v>53</v>
      </c>
      <c r="F162" s="4" t="s">
        <v>25</v>
      </c>
      <c r="G162" s="4" t="s">
        <v>25</v>
      </c>
      <c r="H162" s="4" t="s">
        <v>35</v>
      </c>
      <c r="I162" s="5">
        <v>44743</v>
      </c>
      <c r="J162" s="6">
        <v>0</v>
      </c>
      <c r="K162" s="52">
        <v>0</v>
      </c>
      <c r="L162" s="6">
        <v>126.755</v>
      </c>
      <c r="M162" s="52">
        <v>126.755</v>
      </c>
      <c r="N162" s="6">
        <v>126.755</v>
      </c>
      <c r="O162" s="52">
        <v>126.755</v>
      </c>
      <c r="P162" s="6">
        <v>0</v>
      </c>
      <c r="Q162" s="4" t="s">
        <v>26</v>
      </c>
      <c r="R162" s="4">
        <v>0</v>
      </c>
      <c r="S162" s="4">
        <v>0</v>
      </c>
      <c r="T162" s="4">
        <v>17</v>
      </c>
      <c r="U162" s="4">
        <v>66</v>
      </c>
      <c r="V162" s="52">
        <f>IF(ISERROR(VLOOKUP($S$162,'TAR FIN'!$A$1:$O$103,15,0)),0,VLOOKUP($S$162,'TAR FIN'!$A$1:$O$103,15,0))</f>
        <v>0</v>
      </c>
      <c r="W162" s="52">
        <f>IF(ISERROR(VLOOKUP($T$162,'TAR FIN'!$A$1:$O$103,15,0)),0,VLOOKUP($T$162,'TAR FIN'!$A$1:$O$103,15,0))*(1-0.04)</f>
        <v>81.590399999999988</v>
      </c>
      <c r="X162" s="52">
        <f>IF(ISERROR(VLOOKUP($U$162,'TAR FIN'!$A$1:$O$103,15,0)),0,VLOOKUP($U$162,'TAR FIN'!$A$1:$O$103,15,0))*(1-0.04)</f>
        <v>233.0592</v>
      </c>
      <c r="Y162" s="52"/>
      <c r="Z162" s="52">
        <f ca="1">('TUSD BE'!$AM$24+'TUSD BF'!$AM$24+'TUSD CVA'!$AM$24)*1*(1-0.02)</f>
        <v>142.80792645762099</v>
      </c>
      <c r="AA162" s="52">
        <f>('TE BE'!$AB$9+'TE BF'!$AB$9+'TE CVA'!$AB$9)*1*(1-0.02)</f>
        <v>217.94598758226687</v>
      </c>
      <c r="AB162" s="52">
        <f>(SUBSIDIO!$J$162*SUBSIDIO!$V$162)*(0.04)/(1-0.04)</f>
        <v>0</v>
      </c>
      <c r="AC162" s="52">
        <f>((SUBSIDIO!$L$162*SUBSIDIO!$W$162)+(SUBSIDIO!$N$162*SUBSIDIO!$X$162))*(0.04)/(1-0.04)</f>
        <v>1661.8087519999999</v>
      </c>
      <c r="AD162" s="52">
        <f>(SUBSIDIO!$J$162*SUBSIDIO!$Y$162)*(0.02)/(1-0.02)</f>
        <v>0</v>
      </c>
      <c r="AE162" s="52">
        <f ca="1">((SUBSIDIO!$L$162*SUBSIDIO!$Z$162)+(SUBSIDIO!$N$162*SUBSIDIO!$AA$162))*(0.02)/(1-0.02)</f>
        <v>933.21147702297924</v>
      </c>
      <c r="AF162" s="4" t="s">
        <v>811</v>
      </c>
    </row>
    <row r="163" spans="1:32" ht="11.25" customHeight="1" x14ac:dyDescent="0.3">
      <c r="A163" s="4" t="s">
        <v>21</v>
      </c>
      <c r="B163" s="4" t="s">
        <v>39</v>
      </c>
      <c r="C163" s="4" t="s">
        <v>40</v>
      </c>
      <c r="D163" s="4" t="s">
        <v>44</v>
      </c>
      <c r="E163" s="4" t="s">
        <v>53</v>
      </c>
      <c r="F163" s="4" t="s">
        <v>25</v>
      </c>
      <c r="G163" s="4" t="s">
        <v>25</v>
      </c>
      <c r="H163" s="4" t="s">
        <v>35</v>
      </c>
      <c r="I163" s="5">
        <v>44774</v>
      </c>
      <c r="J163" s="6">
        <v>0</v>
      </c>
      <c r="K163" s="52">
        <v>0</v>
      </c>
      <c r="L163" s="6">
        <v>106.91200000000001</v>
      </c>
      <c r="M163" s="52">
        <v>106.91200000000001</v>
      </c>
      <c r="N163" s="6">
        <v>106.91200000000001</v>
      </c>
      <c r="O163" s="52">
        <v>106.91200000000001</v>
      </c>
      <c r="P163" s="6">
        <v>0</v>
      </c>
      <c r="Q163" s="4" t="s">
        <v>26</v>
      </c>
      <c r="R163" s="4">
        <v>0</v>
      </c>
      <c r="S163" s="4">
        <v>0</v>
      </c>
      <c r="T163" s="4">
        <v>17</v>
      </c>
      <c r="U163" s="4">
        <v>66</v>
      </c>
      <c r="V163" s="52">
        <f>IF(ISERROR(VLOOKUP($S$163,'TAR FIN'!$A$1:$O$103,15,0)),0,VLOOKUP($S$163,'TAR FIN'!$A$1:$O$103,15,0))</f>
        <v>0</v>
      </c>
      <c r="W163" s="52">
        <f>IF(ISERROR(VLOOKUP($T$163,'TAR FIN'!$A$1:$O$103,15,0)),0,VLOOKUP($T$163,'TAR FIN'!$A$1:$O$103,15,0))*(1-0.04)</f>
        <v>81.590399999999988</v>
      </c>
      <c r="X163" s="52">
        <f>IF(ISERROR(VLOOKUP($U$163,'TAR FIN'!$A$1:$O$103,15,0)),0,VLOOKUP($U$163,'TAR FIN'!$A$1:$O$103,15,0))*(1-0.04)</f>
        <v>233.0592</v>
      </c>
      <c r="Y163" s="52"/>
      <c r="Z163" s="52">
        <f ca="1">('TUSD BE'!$AM$24+'TUSD BF'!$AM$24+'TUSD CVA'!$AM$24)*1*(1-0.02)</f>
        <v>142.80792645762099</v>
      </c>
      <c r="AA163" s="52">
        <f>('TE BE'!$AB$9+'TE BF'!$AB$9+'TE CVA'!$AB$9)*1*(1-0.02)</f>
        <v>217.94598758226687</v>
      </c>
      <c r="AB163" s="52">
        <f>(SUBSIDIO!$J$163*SUBSIDIO!$V$163)*(0.04)/(1-0.04)</f>
        <v>0</v>
      </c>
      <c r="AC163" s="52">
        <f>((SUBSIDIO!$L$163*SUBSIDIO!$W$163)+(SUBSIDIO!$N$163*SUBSIDIO!$X$163))*(0.04)/(1-0.04)</f>
        <v>1401.6590848000003</v>
      </c>
      <c r="AD163" s="52">
        <f>(SUBSIDIO!$J$163*SUBSIDIO!$Y$163)*(0.02)/(1-0.02)</f>
        <v>0</v>
      </c>
      <c r="AE163" s="52">
        <f ca="1">((SUBSIDIO!$L$163*SUBSIDIO!$Z$163)+(SUBSIDIO!$N$163*SUBSIDIO!$AA$163))*(0.02)/(1-0.02)</f>
        <v>787.12086648637751</v>
      </c>
      <c r="AF163" s="4" t="s">
        <v>811</v>
      </c>
    </row>
    <row r="164" spans="1:32" ht="11.25" customHeight="1" x14ac:dyDescent="0.3">
      <c r="A164" s="4" t="s">
        <v>21</v>
      </c>
      <c r="B164" s="4" t="s">
        <v>39</v>
      </c>
      <c r="C164" s="4" t="s">
        <v>40</v>
      </c>
      <c r="D164" s="4" t="s">
        <v>44</v>
      </c>
      <c r="E164" s="4" t="s">
        <v>53</v>
      </c>
      <c r="F164" s="4" t="s">
        <v>25</v>
      </c>
      <c r="G164" s="4" t="s">
        <v>25</v>
      </c>
      <c r="H164" s="4" t="s">
        <v>35</v>
      </c>
      <c r="I164" s="5">
        <v>44805</v>
      </c>
      <c r="J164" s="6">
        <v>0</v>
      </c>
      <c r="K164" s="52">
        <v>0</v>
      </c>
      <c r="L164" s="6">
        <v>116.173</v>
      </c>
      <c r="M164" s="52">
        <v>116.173</v>
      </c>
      <c r="N164" s="6">
        <v>116.173</v>
      </c>
      <c r="O164" s="52">
        <v>116.173</v>
      </c>
      <c r="P164" s="6">
        <v>0</v>
      </c>
      <c r="Q164" s="4" t="s">
        <v>26</v>
      </c>
      <c r="R164" s="4">
        <v>0</v>
      </c>
      <c r="S164" s="4">
        <v>0</v>
      </c>
      <c r="T164" s="4">
        <v>17</v>
      </c>
      <c r="U164" s="4">
        <v>66</v>
      </c>
      <c r="V164" s="52">
        <f>IF(ISERROR(VLOOKUP($S$164,'TAR FIN'!$A$1:$O$103,15,0)),0,VLOOKUP($S$164,'TAR FIN'!$A$1:$O$103,15,0))</f>
        <v>0</v>
      </c>
      <c r="W164" s="52">
        <f>IF(ISERROR(VLOOKUP($T$164,'TAR FIN'!$A$1:$O$103,15,0)),0,VLOOKUP($T$164,'TAR FIN'!$A$1:$O$103,15,0))*(1-0.04)</f>
        <v>81.590399999999988</v>
      </c>
      <c r="X164" s="52">
        <f>IF(ISERROR(VLOOKUP($U$164,'TAR FIN'!$A$1:$O$103,15,0)),0,VLOOKUP($U$164,'TAR FIN'!$A$1:$O$103,15,0))*(1-0.04)</f>
        <v>233.0592</v>
      </c>
      <c r="Y164" s="52"/>
      <c r="Z164" s="52">
        <f ca="1">('TUSD BE'!$AM$24+'TUSD BF'!$AM$24+'TUSD CVA'!$AM$24)*1*(1-0.02)</f>
        <v>142.80792645762099</v>
      </c>
      <c r="AA164" s="52">
        <f>('TE BE'!$AB$9+'TE BF'!$AB$9+'TE CVA'!$AB$9)*1*(1-0.02)</f>
        <v>217.94598758226687</v>
      </c>
      <c r="AB164" s="52">
        <f>(SUBSIDIO!$J$164*SUBSIDIO!$V$164)*(0.04)/(1-0.04)</f>
        <v>0</v>
      </c>
      <c r="AC164" s="52">
        <f>((SUBSIDIO!$L$164*SUBSIDIO!$W$164)+(SUBSIDIO!$N$164*SUBSIDIO!$X$164))*(0.04)/(1-0.04)</f>
        <v>1523.0744992000002</v>
      </c>
      <c r="AD164" s="52">
        <f>(SUBSIDIO!$J$164*SUBSIDIO!$Y$164)*(0.02)/(1-0.02)</f>
        <v>0</v>
      </c>
      <c r="AE164" s="52">
        <f ca="1">((SUBSIDIO!$L$164*SUBSIDIO!$Z$164)+(SUBSIDIO!$N$164*SUBSIDIO!$AA$164))*(0.02)/(1-0.02)</f>
        <v>855.30335623991618</v>
      </c>
      <c r="AF164" s="4" t="s">
        <v>811</v>
      </c>
    </row>
    <row r="165" spans="1:32" ht="11.25" customHeight="1" x14ac:dyDescent="0.3">
      <c r="A165" s="4" t="s">
        <v>57</v>
      </c>
      <c r="B165" s="4" t="s">
        <v>39</v>
      </c>
      <c r="C165" s="4" t="s">
        <v>40</v>
      </c>
      <c r="D165" s="4" t="s">
        <v>44</v>
      </c>
      <c r="E165" s="4" t="s">
        <v>53</v>
      </c>
      <c r="F165" s="4" t="s">
        <v>25</v>
      </c>
      <c r="G165" s="4" t="s">
        <v>25</v>
      </c>
      <c r="H165" s="4" t="s">
        <v>35</v>
      </c>
      <c r="I165" s="5">
        <v>44835</v>
      </c>
      <c r="J165" s="6">
        <v>0</v>
      </c>
      <c r="K165" s="52">
        <v>0</v>
      </c>
      <c r="L165" s="6">
        <v>116.173</v>
      </c>
      <c r="M165" s="52">
        <v>116.173</v>
      </c>
      <c r="N165" s="6">
        <v>116.173</v>
      </c>
      <c r="O165" s="52">
        <v>116.173</v>
      </c>
      <c r="P165" s="6">
        <v>0</v>
      </c>
      <c r="Q165" s="4" t="s">
        <v>26</v>
      </c>
      <c r="R165" s="4">
        <v>0</v>
      </c>
      <c r="S165" s="4">
        <v>0</v>
      </c>
      <c r="T165" s="4">
        <v>17</v>
      </c>
      <c r="U165" s="4">
        <v>66</v>
      </c>
      <c r="V165" s="52">
        <f>IF(ISERROR(VLOOKUP($S$165,'TAR FIN'!$A$1:$O$103,15,0)),0,VLOOKUP($S$165,'TAR FIN'!$A$1:$O$103,15,0))</f>
        <v>0</v>
      </c>
      <c r="W165" s="52">
        <f>IF(ISERROR(VLOOKUP($T$165,'TAR FIN'!$A$1:$O$103,15,0)),0,VLOOKUP($T$165,'TAR FIN'!$A$1:$O$103,15,0))*(1-0.04)</f>
        <v>81.590399999999988</v>
      </c>
      <c r="X165" s="52">
        <f>IF(ISERROR(VLOOKUP($U$165,'TAR FIN'!$A$1:$O$103,15,0)),0,VLOOKUP($U$165,'TAR FIN'!$A$1:$O$103,15,0))*(1-0.04)</f>
        <v>233.0592</v>
      </c>
      <c r="Y165" s="52"/>
      <c r="Z165" s="52">
        <f ca="1">('TUSD BE'!$AM$24+'TUSD BF'!$AM$24+'TUSD CVA'!$AM$24)*1*(1-0.02)</f>
        <v>142.80792645762099</v>
      </c>
      <c r="AA165" s="52">
        <f>('TE BE'!$AB$9+'TE BF'!$AB$9+'TE CVA'!$AB$9)*1*(1-0.02)</f>
        <v>217.94598758226687</v>
      </c>
      <c r="AB165" s="52">
        <f>(SUBSIDIO!$J$165*SUBSIDIO!$V$165)*(0.04)/(1-0.04)</f>
        <v>0</v>
      </c>
      <c r="AC165" s="52">
        <f>((SUBSIDIO!$L$165*SUBSIDIO!$W$165)+(SUBSIDIO!$N$165*SUBSIDIO!$X$165))*(0.04)/(1-0.04)</f>
        <v>1523.0744992000002</v>
      </c>
      <c r="AD165" s="52">
        <f>(SUBSIDIO!$J$165*SUBSIDIO!$Y$165)*(0.02)/(1-0.02)</f>
        <v>0</v>
      </c>
      <c r="AE165" s="52">
        <f ca="1">((SUBSIDIO!$L$165*SUBSIDIO!$Z$165)+(SUBSIDIO!$N$165*SUBSIDIO!$AA$165))*(0.02)/(1-0.02)</f>
        <v>855.30335623991618</v>
      </c>
      <c r="AF165" s="4" t="s">
        <v>811</v>
      </c>
    </row>
    <row r="166" spans="1:32" ht="11.25" customHeight="1" x14ac:dyDescent="0.3">
      <c r="A166" s="4" t="s">
        <v>21</v>
      </c>
      <c r="B166" s="4" t="s">
        <v>39</v>
      </c>
      <c r="C166" s="4" t="s">
        <v>40</v>
      </c>
      <c r="D166" s="4" t="s">
        <v>44</v>
      </c>
      <c r="E166" s="4" t="s">
        <v>53</v>
      </c>
      <c r="F166" s="4" t="s">
        <v>25</v>
      </c>
      <c r="G166" s="4" t="s">
        <v>25</v>
      </c>
      <c r="H166" s="4" t="s">
        <v>25</v>
      </c>
      <c r="I166" s="5">
        <v>44501</v>
      </c>
      <c r="J166" s="6">
        <v>508</v>
      </c>
      <c r="K166" s="52">
        <v>508</v>
      </c>
      <c r="L166" s="6">
        <v>0</v>
      </c>
      <c r="M166" s="52">
        <v>0</v>
      </c>
      <c r="N166" s="6">
        <v>0</v>
      </c>
      <c r="O166" s="52">
        <v>0</v>
      </c>
      <c r="P166" s="6">
        <v>14</v>
      </c>
      <c r="Q166" s="4" t="s">
        <v>26</v>
      </c>
      <c r="R166" s="4">
        <v>0</v>
      </c>
      <c r="S166" s="4">
        <v>13</v>
      </c>
      <c r="T166" s="4">
        <v>0</v>
      </c>
      <c r="U166" s="4">
        <v>0</v>
      </c>
      <c r="V166" s="52">
        <f>IF(ISERROR(VLOOKUP($S$166,'TAR FIN'!$A$1:$O$103,15,0)),0,VLOOKUP($S$166,'TAR FIN'!$A$1:$O$103,15,0))*(1-0.04)</f>
        <v>18.1632</v>
      </c>
      <c r="W166" s="52">
        <f>IF(ISERROR(VLOOKUP($T$166,'TAR FIN'!$A$1:$O$103,15,0)),0,VLOOKUP($T$166,'TAR FIN'!$A$1:$O$103,15,0))</f>
        <v>0</v>
      </c>
      <c r="X166" s="52">
        <f>IF(ISERROR(VLOOKUP($U$166,'TAR FIN'!$A$1:$O$103,15,0)),0,VLOOKUP($U$166,'TAR FIN'!$A$1:$O$103,15,0))</f>
        <v>0</v>
      </c>
      <c r="Y166" s="52">
        <f ca="1">('TUSD BE'!$AM$22+'TUSD BF'!$AM$22+'TUSD CVA'!$AM$22)*1*(1-0.02)</f>
        <v>20.941951853111981</v>
      </c>
      <c r="Z166" s="52"/>
      <c r="AA166" s="52"/>
      <c r="AB166" s="52">
        <f>(SUBSIDIO!$J$166*SUBSIDIO!$V$166)*(0.04)/(1-0.04)</f>
        <v>384.45440000000002</v>
      </c>
      <c r="AC166" s="52">
        <f>((SUBSIDIO!$L$166*SUBSIDIO!$W$166)+(SUBSIDIO!$N$166*SUBSIDIO!$X$166))*(0.04)/(1-0.04)</f>
        <v>0</v>
      </c>
      <c r="AD166" s="52">
        <f ca="1">(SUBSIDIO!$J$166*SUBSIDIO!$Y$166)*(0.02)/(1-0.02)</f>
        <v>217.11248043634461</v>
      </c>
      <c r="AE166" s="52">
        <f>((SUBSIDIO!$L$166*SUBSIDIO!$Z$166)+(SUBSIDIO!$N$166*SUBSIDIO!$AA$166))*(0.02)/(1-0.02)</f>
        <v>0</v>
      </c>
      <c r="AF166" s="4" t="s">
        <v>811</v>
      </c>
    </row>
    <row r="167" spans="1:32" ht="11.25" customHeight="1" x14ac:dyDescent="0.3">
      <c r="A167" s="4" t="s">
        <v>21</v>
      </c>
      <c r="B167" s="4" t="s">
        <v>39</v>
      </c>
      <c r="C167" s="4" t="s">
        <v>40</v>
      </c>
      <c r="D167" s="4" t="s">
        <v>44</v>
      </c>
      <c r="E167" s="4" t="s">
        <v>53</v>
      </c>
      <c r="F167" s="4" t="s">
        <v>25</v>
      </c>
      <c r="G167" s="4" t="s">
        <v>25</v>
      </c>
      <c r="H167" s="4" t="s">
        <v>25</v>
      </c>
      <c r="I167" s="5">
        <v>44531</v>
      </c>
      <c r="J167" s="6">
        <v>337</v>
      </c>
      <c r="K167" s="52">
        <v>337</v>
      </c>
      <c r="L167" s="6">
        <v>0</v>
      </c>
      <c r="M167" s="52">
        <v>0</v>
      </c>
      <c r="N167" s="6">
        <v>0</v>
      </c>
      <c r="O167" s="52">
        <v>0</v>
      </c>
      <c r="P167" s="6">
        <v>14</v>
      </c>
      <c r="Q167" s="4" t="s">
        <v>26</v>
      </c>
      <c r="R167" s="4">
        <v>0</v>
      </c>
      <c r="S167" s="4">
        <v>13</v>
      </c>
      <c r="T167" s="4">
        <v>0</v>
      </c>
      <c r="U167" s="4">
        <v>0</v>
      </c>
      <c r="V167" s="52">
        <f>IF(ISERROR(VLOOKUP($S$167,'TAR FIN'!$A$1:$O$103,15,0)),0,VLOOKUP($S$167,'TAR FIN'!$A$1:$O$103,15,0))*(1-0.04)</f>
        <v>18.1632</v>
      </c>
      <c r="W167" s="52">
        <f>IF(ISERROR(VLOOKUP($T$167,'TAR FIN'!$A$1:$O$103,15,0)),0,VLOOKUP($T$167,'TAR FIN'!$A$1:$O$103,15,0))</f>
        <v>0</v>
      </c>
      <c r="X167" s="52">
        <f>IF(ISERROR(VLOOKUP($U$167,'TAR FIN'!$A$1:$O$103,15,0)),0,VLOOKUP($U$167,'TAR FIN'!$A$1:$O$103,15,0))</f>
        <v>0</v>
      </c>
      <c r="Y167" s="52">
        <f ca="1">('TUSD BE'!$AM$22+'TUSD BF'!$AM$22+'TUSD CVA'!$AM$22)*1*(1-0.02)</f>
        <v>20.941951853111981</v>
      </c>
      <c r="Z167" s="52"/>
      <c r="AA167" s="52"/>
      <c r="AB167" s="52">
        <f>(SUBSIDIO!$J$167*SUBSIDIO!$V$167)*(0.04)/(1-0.04)</f>
        <v>255.04160000000002</v>
      </c>
      <c r="AC167" s="52">
        <f>((SUBSIDIO!$L$167*SUBSIDIO!$W$167)+(SUBSIDIO!$N$167*SUBSIDIO!$X$167))*(0.04)/(1-0.04)</f>
        <v>0</v>
      </c>
      <c r="AD167" s="52">
        <f ca="1">(SUBSIDIO!$J$167*SUBSIDIO!$Y$167)*(0.02)/(1-0.02)</f>
        <v>144.02934233670894</v>
      </c>
      <c r="AE167" s="52">
        <f>((SUBSIDIO!$L$167*SUBSIDIO!$Z$167)+(SUBSIDIO!$N$167*SUBSIDIO!$AA$167))*(0.02)/(1-0.02)</f>
        <v>0</v>
      </c>
      <c r="AF167" s="4" t="s">
        <v>811</v>
      </c>
    </row>
    <row r="168" spans="1:32" ht="11.25" customHeight="1" x14ac:dyDescent="0.3">
      <c r="A168" s="4" t="s">
        <v>21</v>
      </c>
      <c r="B168" s="4" t="s">
        <v>39</v>
      </c>
      <c r="C168" s="4" t="s">
        <v>40</v>
      </c>
      <c r="D168" s="4" t="s">
        <v>44</v>
      </c>
      <c r="E168" s="4" t="s">
        <v>53</v>
      </c>
      <c r="F168" s="4" t="s">
        <v>25</v>
      </c>
      <c r="G168" s="4" t="s">
        <v>25</v>
      </c>
      <c r="H168" s="4" t="s">
        <v>25</v>
      </c>
      <c r="I168" s="5">
        <v>44562</v>
      </c>
      <c r="J168" s="6">
        <v>440</v>
      </c>
      <c r="K168" s="52">
        <v>440</v>
      </c>
      <c r="L168" s="6">
        <v>0</v>
      </c>
      <c r="M168" s="52">
        <v>0</v>
      </c>
      <c r="N168" s="6">
        <v>0</v>
      </c>
      <c r="O168" s="52">
        <v>0</v>
      </c>
      <c r="P168" s="6">
        <v>8</v>
      </c>
      <c r="Q168" s="4" t="s">
        <v>26</v>
      </c>
      <c r="R168" s="4">
        <v>0</v>
      </c>
      <c r="S168" s="4">
        <v>13</v>
      </c>
      <c r="T168" s="4">
        <v>0</v>
      </c>
      <c r="U168" s="4">
        <v>0</v>
      </c>
      <c r="V168" s="52">
        <f>IF(ISERROR(VLOOKUP($S$168,'TAR FIN'!$A$1:$O$103,15,0)),0,VLOOKUP($S$168,'TAR FIN'!$A$1:$O$103,15,0))*(1-0.04)</f>
        <v>18.1632</v>
      </c>
      <c r="W168" s="52">
        <f>IF(ISERROR(VLOOKUP($T$168,'TAR FIN'!$A$1:$O$103,15,0)),0,VLOOKUP($T$168,'TAR FIN'!$A$1:$O$103,15,0))</f>
        <v>0</v>
      </c>
      <c r="X168" s="52">
        <f>IF(ISERROR(VLOOKUP($U$168,'TAR FIN'!$A$1:$O$103,15,0)),0,VLOOKUP($U$168,'TAR FIN'!$A$1:$O$103,15,0))</f>
        <v>0</v>
      </c>
      <c r="Y168" s="52">
        <f ca="1">('TUSD BE'!$AM$22+'TUSD BF'!$AM$22+'TUSD CVA'!$AM$22)*1*(1-0.02)</f>
        <v>20.941951853111981</v>
      </c>
      <c r="Z168" s="52"/>
      <c r="AA168" s="52"/>
      <c r="AB168" s="52">
        <f>(SUBSIDIO!$J$168*SUBSIDIO!$V$168)*(0.04)/(1-0.04)</f>
        <v>332.99200000000002</v>
      </c>
      <c r="AC168" s="52">
        <f>((SUBSIDIO!$L$168*SUBSIDIO!$W$168)+(SUBSIDIO!$N$168*SUBSIDIO!$X$168))*(0.04)/(1-0.04)</f>
        <v>0</v>
      </c>
      <c r="AD168" s="52">
        <f ca="1">(SUBSIDIO!$J$168*SUBSIDIO!$Y$168)*(0.02)/(1-0.02)</f>
        <v>188.05017990549533</v>
      </c>
      <c r="AE168" s="52">
        <f>((SUBSIDIO!$L$168*SUBSIDIO!$Z$168)+(SUBSIDIO!$N$168*SUBSIDIO!$AA$168))*(0.02)/(1-0.02)</f>
        <v>0</v>
      </c>
      <c r="AF168" s="4" t="s">
        <v>811</v>
      </c>
    </row>
    <row r="169" spans="1:32" ht="11.25" customHeight="1" x14ac:dyDescent="0.3">
      <c r="A169" s="4" t="s">
        <v>21</v>
      </c>
      <c r="B169" s="4" t="s">
        <v>39</v>
      </c>
      <c r="C169" s="4" t="s">
        <v>40</v>
      </c>
      <c r="D169" s="4" t="s">
        <v>44</v>
      </c>
      <c r="E169" s="4" t="s">
        <v>53</v>
      </c>
      <c r="F169" s="4" t="s">
        <v>25</v>
      </c>
      <c r="G169" s="4" t="s">
        <v>25</v>
      </c>
      <c r="H169" s="4" t="s">
        <v>25</v>
      </c>
      <c r="I169" s="5">
        <v>44593</v>
      </c>
      <c r="J169" s="6">
        <v>386</v>
      </c>
      <c r="K169" s="52">
        <v>386</v>
      </c>
      <c r="L169" s="6">
        <v>0</v>
      </c>
      <c r="M169" s="52">
        <v>0</v>
      </c>
      <c r="N169" s="6">
        <v>0</v>
      </c>
      <c r="O169" s="52">
        <v>0</v>
      </c>
      <c r="P169" s="6">
        <v>12</v>
      </c>
      <c r="Q169" s="4" t="s">
        <v>26</v>
      </c>
      <c r="R169" s="4">
        <v>0</v>
      </c>
      <c r="S169" s="4">
        <v>13</v>
      </c>
      <c r="T169" s="4">
        <v>0</v>
      </c>
      <c r="U169" s="4">
        <v>0</v>
      </c>
      <c r="V169" s="52">
        <f>IF(ISERROR(VLOOKUP($S$169,'TAR FIN'!$A$1:$O$103,15,0)),0,VLOOKUP($S$169,'TAR FIN'!$A$1:$O$103,15,0))*(1-0.04)</f>
        <v>18.1632</v>
      </c>
      <c r="W169" s="52">
        <f>IF(ISERROR(VLOOKUP($T$169,'TAR FIN'!$A$1:$O$103,15,0)),0,VLOOKUP($T$169,'TAR FIN'!$A$1:$O$103,15,0))</f>
        <v>0</v>
      </c>
      <c r="X169" s="52">
        <f>IF(ISERROR(VLOOKUP($U$169,'TAR FIN'!$A$1:$O$103,15,0)),0,VLOOKUP($U$169,'TAR FIN'!$A$1:$O$103,15,0))</f>
        <v>0</v>
      </c>
      <c r="Y169" s="52">
        <f ca="1">('TUSD BE'!$AM$22+'TUSD BF'!$AM$22+'TUSD CVA'!$AM$22)*1*(1-0.02)</f>
        <v>20.941951853111981</v>
      </c>
      <c r="Z169" s="52"/>
      <c r="AA169" s="52"/>
      <c r="AB169" s="52">
        <f>(SUBSIDIO!$J$169*SUBSIDIO!$V$169)*(0.04)/(1-0.04)</f>
        <v>292.12480000000005</v>
      </c>
      <c r="AC169" s="52">
        <f>((SUBSIDIO!$L$169*SUBSIDIO!$W$169)+(SUBSIDIO!$N$169*SUBSIDIO!$X$169))*(0.04)/(1-0.04)</f>
        <v>0</v>
      </c>
      <c r="AD169" s="52">
        <f ca="1">(SUBSIDIO!$J$169*SUBSIDIO!$Y$169)*(0.02)/(1-0.02)</f>
        <v>164.97129418982092</v>
      </c>
      <c r="AE169" s="52">
        <f>((SUBSIDIO!$L$169*SUBSIDIO!$Z$169)+(SUBSIDIO!$N$169*SUBSIDIO!$AA$169))*(0.02)/(1-0.02)</f>
        <v>0</v>
      </c>
      <c r="AF169" s="4" t="s">
        <v>811</v>
      </c>
    </row>
    <row r="170" spans="1:32" ht="11.25" customHeight="1" x14ac:dyDescent="0.3">
      <c r="A170" s="4" t="s">
        <v>21</v>
      </c>
      <c r="B170" s="4" t="s">
        <v>39</v>
      </c>
      <c r="C170" s="4" t="s">
        <v>40</v>
      </c>
      <c r="D170" s="4" t="s">
        <v>44</v>
      </c>
      <c r="E170" s="4" t="s">
        <v>53</v>
      </c>
      <c r="F170" s="4" t="s">
        <v>25</v>
      </c>
      <c r="G170" s="4" t="s">
        <v>25</v>
      </c>
      <c r="H170" s="4" t="s">
        <v>25</v>
      </c>
      <c r="I170" s="5">
        <v>44621</v>
      </c>
      <c r="J170" s="6">
        <v>1604</v>
      </c>
      <c r="K170" s="52">
        <v>1604</v>
      </c>
      <c r="L170" s="6">
        <v>0</v>
      </c>
      <c r="M170" s="52">
        <v>0</v>
      </c>
      <c r="N170" s="6">
        <v>0</v>
      </c>
      <c r="O170" s="52">
        <v>0</v>
      </c>
      <c r="P170" s="6">
        <v>12</v>
      </c>
      <c r="Q170" s="4" t="s">
        <v>26</v>
      </c>
      <c r="R170" s="4">
        <v>0</v>
      </c>
      <c r="S170" s="4">
        <v>13</v>
      </c>
      <c r="T170" s="4">
        <v>0</v>
      </c>
      <c r="U170" s="4">
        <v>0</v>
      </c>
      <c r="V170" s="52">
        <f>IF(ISERROR(VLOOKUP($S$170,'TAR FIN'!$A$1:$O$103,15,0)),0,VLOOKUP($S$170,'TAR FIN'!$A$1:$O$103,15,0))*(1-0.04)</f>
        <v>18.1632</v>
      </c>
      <c r="W170" s="52">
        <f>IF(ISERROR(VLOOKUP($T$170,'TAR FIN'!$A$1:$O$103,15,0)),0,VLOOKUP($T$170,'TAR FIN'!$A$1:$O$103,15,0))</f>
        <v>0</v>
      </c>
      <c r="X170" s="52">
        <f>IF(ISERROR(VLOOKUP($U$170,'TAR FIN'!$A$1:$O$103,15,0)),0,VLOOKUP($U$170,'TAR FIN'!$A$1:$O$103,15,0))</f>
        <v>0</v>
      </c>
      <c r="Y170" s="52">
        <f ca="1">('TUSD BE'!$AM$22+'TUSD BF'!$AM$22+'TUSD CVA'!$AM$22)*1*(1-0.02)</f>
        <v>20.941951853111981</v>
      </c>
      <c r="Z170" s="52"/>
      <c r="AA170" s="52"/>
      <c r="AB170" s="52">
        <f>(SUBSIDIO!$J$170*SUBSIDIO!$V$170)*(0.04)/(1-0.04)</f>
        <v>1213.9071999999999</v>
      </c>
      <c r="AC170" s="52">
        <f>((SUBSIDIO!$L$170*SUBSIDIO!$W$170)+(SUBSIDIO!$N$170*SUBSIDIO!$X$170))*(0.04)/(1-0.04)</f>
        <v>0</v>
      </c>
      <c r="AD170" s="52">
        <f ca="1">(SUBSIDIO!$J$170*SUBSIDIO!$Y$170)*(0.02)/(1-0.02)</f>
        <v>685.52838311003313</v>
      </c>
      <c r="AE170" s="52">
        <f>((SUBSIDIO!$L$170*SUBSIDIO!$Z$170)+(SUBSIDIO!$N$170*SUBSIDIO!$AA$170))*(0.02)/(1-0.02)</f>
        <v>0</v>
      </c>
      <c r="AF170" s="4" t="s">
        <v>811</v>
      </c>
    </row>
    <row r="171" spans="1:32" ht="11.25" customHeight="1" x14ac:dyDescent="0.3">
      <c r="A171" s="4" t="s">
        <v>21</v>
      </c>
      <c r="B171" s="4" t="s">
        <v>39</v>
      </c>
      <c r="C171" s="4" t="s">
        <v>40</v>
      </c>
      <c r="D171" s="4" t="s">
        <v>44</v>
      </c>
      <c r="E171" s="4" t="s">
        <v>53</v>
      </c>
      <c r="F171" s="4" t="s">
        <v>25</v>
      </c>
      <c r="G171" s="4" t="s">
        <v>25</v>
      </c>
      <c r="H171" s="4" t="s">
        <v>25</v>
      </c>
      <c r="I171" s="5">
        <v>44652</v>
      </c>
      <c r="J171" s="6">
        <v>1482</v>
      </c>
      <c r="K171" s="52">
        <v>1482</v>
      </c>
      <c r="L171" s="6">
        <v>0</v>
      </c>
      <c r="M171" s="52">
        <v>0</v>
      </c>
      <c r="N171" s="6">
        <v>0</v>
      </c>
      <c r="O171" s="52">
        <v>0</v>
      </c>
      <c r="P171" s="6">
        <v>11</v>
      </c>
      <c r="Q171" s="4" t="s">
        <v>26</v>
      </c>
      <c r="R171" s="4">
        <v>0</v>
      </c>
      <c r="S171" s="4">
        <v>13</v>
      </c>
      <c r="T171" s="4">
        <v>0</v>
      </c>
      <c r="U171" s="4">
        <v>0</v>
      </c>
      <c r="V171" s="52">
        <f>IF(ISERROR(VLOOKUP($S$171,'TAR FIN'!$A$1:$O$103,15,0)),0,VLOOKUP($S$171,'TAR FIN'!$A$1:$O$103,15,0))*(1-0.04)</f>
        <v>18.1632</v>
      </c>
      <c r="W171" s="52">
        <f>IF(ISERROR(VLOOKUP($T$171,'TAR FIN'!$A$1:$O$103,15,0)),0,VLOOKUP($T$171,'TAR FIN'!$A$1:$O$103,15,0))</f>
        <v>0</v>
      </c>
      <c r="X171" s="52">
        <f>IF(ISERROR(VLOOKUP($U$171,'TAR FIN'!$A$1:$O$103,15,0)),0,VLOOKUP($U$171,'TAR FIN'!$A$1:$O$103,15,0))</f>
        <v>0</v>
      </c>
      <c r="Y171" s="52">
        <f ca="1">('TUSD BE'!$AM$22+'TUSD BF'!$AM$22+'TUSD CVA'!$AM$22)*1*(1-0.02)</f>
        <v>20.941951853111981</v>
      </c>
      <c r="Z171" s="52"/>
      <c r="AA171" s="52"/>
      <c r="AB171" s="52">
        <f>(SUBSIDIO!$J$171*SUBSIDIO!$V$171)*(0.04)/(1-0.04)</f>
        <v>1121.5776000000001</v>
      </c>
      <c r="AC171" s="52">
        <f>((SUBSIDIO!$L$171*SUBSIDIO!$W$171)+(SUBSIDIO!$N$171*SUBSIDIO!$X$171))*(0.04)/(1-0.04)</f>
        <v>0</v>
      </c>
      <c r="AD171" s="52">
        <f ca="1">(SUBSIDIO!$J$171*SUBSIDIO!$Y$171)*(0.02)/(1-0.02)</f>
        <v>633.3871968635093</v>
      </c>
      <c r="AE171" s="52">
        <f>((SUBSIDIO!$L$171*SUBSIDIO!$Z$171)+(SUBSIDIO!$N$171*SUBSIDIO!$AA$171))*(0.02)/(1-0.02)</f>
        <v>0</v>
      </c>
      <c r="AF171" s="4" t="s">
        <v>811</v>
      </c>
    </row>
    <row r="172" spans="1:32" ht="11.25" customHeight="1" x14ac:dyDescent="0.3">
      <c r="A172" s="4" t="s">
        <v>21</v>
      </c>
      <c r="B172" s="4" t="s">
        <v>39</v>
      </c>
      <c r="C172" s="4" t="s">
        <v>40</v>
      </c>
      <c r="D172" s="4" t="s">
        <v>44</v>
      </c>
      <c r="E172" s="4" t="s">
        <v>53</v>
      </c>
      <c r="F172" s="4" t="s">
        <v>25</v>
      </c>
      <c r="G172" s="4" t="s">
        <v>25</v>
      </c>
      <c r="H172" s="4" t="s">
        <v>25</v>
      </c>
      <c r="I172" s="5">
        <v>44682</v>
      </c>
      <c r="J172" s="6">
        <v>1468</v>
      </c>
      <c r="K172" s="52">
        <v>1468</v>
      </c>
      <c r="L172" s="6">
        <v>0</v>
      </c>
      <c r="M172" s="52">
        <v>0</v>
      </c>
      <c r="N172" s="6">
        <v>0</v>
      </c>
      <c r="O172" s="52">
        <v>0</v>
      </c>
      <c r="P172" s="6">
        <v>11</v>
      </c>
      <c r="Q172" s="4" t="s">
        <v>26</v>
      </c>
      <c r="R172" s="4">
        <v>0</v>
      </c>
      <c r="S172" s="4">
        <v>13</v>
      </c>
      <c r="T172" s="4">
        <v>0</v>
      </c>
      <c r="U172" s="4">
        <v>0</v>
      </c>
      <c r="V172" s="52">
        <f>IF(ISERROR(VLOOKUP($S$172,'TAR FIN'!$A$1:$O$103,15,0)),0,VLOOKUP($S$172,'TAR FIN'!$A$1:$O$103,15,0))*(1-0.04)</f>
        <v>18.1632</v>
      </c>
      <c r="W172" s="52">
        <f>IF(ISERROR(VLOOKUP($T$172,'TAR FIN'!$A$1:$O$103,15,0)),0,VLOOKUP($T$172,'TAR FIN'!$A$1:$O$103,15,0))</f>
        <v>0</v>
      </c>
      <c r="X172" s="52">
        <f>IF(ISERROR(VLOOKUP($U$172,'TAR FIN'!$A$1:$O$103,15,0)),0,VLOOKUP($U$172,'TAR FIN'!$A$1:$O$103,15,0))</f>
        <v>0</v>
      </c>
      <c r="Y172" s="52">
        <f ca="1">('TUSD BE'!$AM$22+'TUSD BF'!$AM$22+'TUSD CVA'!$AM$22)*1*(1-0.02)</f>
        <v>20.941951853111981</v>
      </c>
      <c r="Z172" s="52"/>
      <c r="AA172" s="52"/>
      <c r="AB172" s="52">
        <f>(SUBSIDIO!$J$172*SUBSIDIO!$V$172)*(0.04)/(1-0.04)</f>
        <v>1110.9824000000001</v>
      </c>
      <c r="AC172" s="52">
        <f>((SUBSIDIO!$L$172*SUBSIDIO!$W$172)+(SUBSIDIO!$N$172*SUBSIDIO!$X$172))*(0.04)/(1-0.04)</f>
        <v>0</v>
      </c>
      <c r="AD172" s="52">
        <f ca="1">(SUBSIDIO!$J$172*SUBSIDIO!$Y$172)*(0.02)/(1-0.02)</f>
        <v>627.40378204833439</v>
      </c>
      <c r="AE172" s="52">
        <f>((SUBSIDIO!$L$172*SUBSIDIO!$Z$172)+(SUBSIDIO!$N$172*SUBSIDIO!$AA$172))*(0.02)/(1-0.02)</f>
        <v>0</v>
      </c>
      <c r="AF172" s="4" t="s">
        <v>811</v>
      </c>
    </row>
    <row r="173" spans="1:32" ht="11.25" customHeight="1" x14ac:dyDescent="0.3">
      <c r="A173" s="4" t="s">
        <v>21</v>
      </c>
      <c r="B173" s="4" t="s">
        <v>39</v>
      </c>
      <c r="C173" s="4" t="s">
        <v>40</v>
      </c>
      <c r="D173" s="4" t="s">
        <v>44</v>
      </c>
      <c r="E173" s="4" t="s">
        <v>53</v>
      </c>
      <c r="F173" s="4" t="s">
        <v>25</v>
      </c>
      <c r="G173" s="4" t="s">
        <v>25</v>
      </c>
      <c r="H173" s="4" t="s">
        <v>25</v>
      </c>
      <c r="I173" s="5">
        <v>44713</v>
      </c>
      <c r="J173" s="6">
        <v>1577</v>
      </c>
      <c r="K173" s="52">
        <v>1577</v>
      </c>
      <c r="L173" s="6">
        <v>0</v>
      </c>
      <c r="M173" s="52">
        <v>0</v>
      </c>
      <c r="N173" s="6">
        <v>0</v>
      </c>
      <c r="O173" s="52">
        <v>0</v>
      </c>
      <c r="P173" s="6">
        <v>11</v>
      </c>
      <c r="Q173" s="4" t="s">
        <v>26</v>
      </c>
      <c r="R173" s="4">
        <v>0</v>
      </c>
      <c r="S173" s="4">
        <v>13</v>
      </c>
      <c r="T173" s="4">
        <v>0</v>
      </c>
      <c r="U173" s="4">
        <v>0</v>
      </c>
      <c r="V173" s="52">
        <f>IF(ISERROR(VLOOKUP($S$173,'TAR FIN'!$A$1:$O$103,15,0)),0,VLOOKUP($S$173,'TAR FIN'!$A$1:$O$103,15,0))*(1-0.04)</f>
        <v>18.1632</v>
      </c>
      <c r="W173" s="52">
        <f>IF(ISERROR(VLOOKUP($T$173,'TAR FIN'!$A$1:$O$103,15,0)),0,VLOOKUP($T$173,'TAR FIN'!$A$1:$O$103,15,0))</f>
        <v>0</v>
      </c>
      <c r="X173" s="52">
        <f>IF(ISERROR(VLOOKUP($U$173,'TAR FIN'!$A$1:$O$103,15,0)),0,VLOOKUP($U$173,'TAR FIN'!$A$1:$O$103,15,0))</f>
        <v>0</v>
      </c>
      <c r="Y173" s="52">
        <f ca="1">('TUSD BE'!$AM$22+'TUSD BF'!$AM$22+'TUSD CVA'!$AM$22)*1*(1-0.02)</f>
        <v>20.941951853111981</v>
      </c>
      <c r="Z173" s="52"/>
      <c r="AA173" s="52"/>
      <c r="AB173" s="52">
        <f>(SUBSIDIO!$J$173*SUBSIDIO!$V$173)*(0.04)/(1-0.04)</f>
        <v>1193.4736</v>
      </c>
      <c r="AC173" s="52">
        <f>((SUBSIDIO!$L$173*SUBSIDIO!$W$173)+(SUBSIDIO!$N$173*SUBSIDIO!$X$173))*(0.04)/(1-0.04)</f>
        <v>0</v>
      </c>
      <c r="AD173" s="52">
        <f ca="1">(SUBSIDIO!$J$173*SUBSIDIO!$Y$173)*(0.02)/(1-0.02)</f>
        <v>673.98894025219579</v>
      </c>
      <c r="AE173" s="52">
        <f>((SUBSIDIO!$L$173*SUBSIDIO!$Z$173)+(SUBSIDIO!$N$173*SUBSIDIO!$AA$173))*(0.02)/(1-0.02)</f>
        <v>0</v>
      </c>
      <c r="AF173" s="4" t="s">
        <v>811</v>
      </c>
    </row>
    <row r="174" spans="1:32" ht="11.25" customHeight="1" x14ac:dyDescent="0.3">
      <c r="A174" s="4" t="s">
        <v>21</v>
      </c>
      <c r="B174" s="4" t="s">
        <v>39</v>
      </c>
      <c r="C174" s="4" t="s">
        <v>40</v>
      </c>
      <c r="D174" s="4" t="s">
        <v>44</v>
      </c>
      <c r="E174" s="4" t="s">
        <v>53</v>
      </c>
      <c r="F174" s="4" t="s">
        <v>25</v>
      </c>
      <c r="G174" s="4" t="s">
        <v>25</v>
      </c>
      <c r="H174" s="4" t="s">
        <v>25</v>
      </c>
      <c r="I174" s="5">
        <v>44743</v>
      </c>
      <c r="J174" s="6">
        <v>1374</v>
      </c>
      <c r="K174" s="52">
        <v>1374</v>
      </c>
      <c r="L174" s="6">
        <v>0</v>
      </c>
      <c r="M174" s="52">
        <v>0</v>
      </c>
      <c r="N174" s="6">
        <v>0</v>
      </c>
      <c r="O174" s="52">
        <v>0</v>
      </c>
      <c r="P174" s="6">
        <v>10</v>
      </c>
      <c r="Q174" s="4" t="s">
        <v>26</v>
      </c>
      <c r="R174" s="4">
        <v>0</v>
      </c>
      <c r="S174" s="4">
        <v>13</v>
      </c>
      <c r="T174" s="4">
        <v>0</v>
      </c>
      <c r="U174" s="4">
        <v>0</v>
      </c>
      <c r="V174" s="52">
        <f>IF(ISERROR(VLOOKUP($S$174,'TAR FIN'!$A$1:$O$103,15,0)),0,VLOOKUP($S$174,'TAR FIN'!$A$1:$O$103,15,0))*(1-0.04)</f>
        <v>18.1632</v>
      </c>
      <c r="W174" s="52">
        <f>IF(ISERROR(VLOOKUP($T$174,'TAR FIN'!$A$1:$O$103,15,0)),0,VLOOKUP($T$174,'TAR FIN'!$A$1:$O$103,15,0))</f>
        <v>0</v>
      </c>
      <c r="X174" s="52">
        <f>IF(ISERROR(VLOOKUP($U$174,'TAR FIN'!$A$1:$O$103,15,0)),0,VLOOKUP($U$174,'TAR FIN'!$A$1:$O$103,15,0))</f>
        <v>0</v>
      </c>
      <c r="Y174" s="52">
        <f ca="1">('TUSD BE'!$AM$22+'TUSD BF'!$AM$22+'TUSD CVA'!$AM$22)*1*(1-0.02)</f>
        <v>20.941951853111981</v>
      </c>
      <c r="Z174" s="52"/>
      <c r="AA174" s="52"/>
      <c r="AB174" s="52">
        <f>(SUBSIDIO!$J$174*SUBSIDIO!$V$174)*(0.04)/(1-0.04)</f>
        <v>1039.8432</v>
      </c>
      <c r="AC174" s="52">
        <f>((SUBSIDIO!$L$174*SUBSIDIO!$W$174)+(SUBSIDIO!$N$174*SUBSIDIO!$X$174))*(0.04)/(1-0.04)</f>
        <v>0</v>
      </c>
      <c r="AD174" s="52">
        <f ca="1">(SUBSIDIO!$J$174*SUBSIDIO!$Y$174)*(0.02)/(1-0.02)</f>
        <v>587.2294254321605</v>
      </c>
      <c r="AE174" s="52">
        <f>((SUBSIDIO!$L$174*SUBSIDIO!$Z$174)+(SUBSIDIO!$N$174*SUBSIDIO!$AA$174))*(0.02)/(1-0.02)</f>
        <v>0</v>
      </c>
      <c r="AF174" s="4" t="s">
        <v>811</v>
      </c>
    </row>
    <row r="175" spans="1:32" ht="11.25" customHeight="1" x14ac:dyDescent="0.3">
      <c r="A175" s="4" t="s">
        <v>21</v>
      </c>
      <c r="B175" s="4" t="s">
        <v>39</v>
      </c>
      <c r="C175" s="4" t="s">
        <v>40</v>
      </c>
      <c r="D175" s="4" t="s">
        <v>44</v>
      </c>
      <c r="E175" s="4" t="s">
        <v>53</v>
      </c>
      <c r="F175" s="4" t="s">
        <v>25</v>
      </c>
      <c r="G175" s="4" t="s">
        <v>25</v>
      </c>
      <c r="H175" s="4" t="s">
        <v>25</v>
      </c>
      <c r="I175" s="5">
        <v>44774</v>
      </c>
      <c r="J175" s="6">
        <v>1789</v>
      </c>
      <c r="K175" s="52">
        <v>1789</v>
      </c>
      <c r="L175" s="6">
        <v>0</v>
      </c>
      <c r="M175" s="52">
        <v>0</v>
      </c>
      <c r="N175" s="6">
        <v>0</v>
      </c>
      <c r="O175" s="52">
        <v>0</v>
      </c>
      <c r="P175" s="6">
        <v>10</v>
      </c>
      <c r="Q175" s="4" t="s">
        <v>26</v>
      </c>
      <c r="R175" s="4">
        <v>0</v>
      </c>
      <c r="S175" s="4">
        <v>13</v>
      </c>
      <c r="T175" s="4">
        <v>0</v>
      </c>
      <c r="U175" s="4">
        <v>0</v>
      </c>
      <c r="V175" s="52">
        <f>IF(ISERROR(VLOOKUP($S$175,'TAR FIN'!$A$1:$O$103,15,0)),0,VLOOKUP($S$175,'TAR FIN'!$A$1:$O$103,15,0))*(1-0.04)</f>
        <v>18.1632</v>
      </c>
      <c r="W175" s="52">
        <f>IF(ISERROR(VLOOKUP($T$175,'TAR FIN'!$A$1:$O$103,15,0)),0,VLOOKUP($T$175,'TAR FIN'!$A$1:$O$103,15,0))</f>
        <v>0</v>
      </c>
      <c r="X175" s="52">
        <f>IF(ISERROR(VLOOKUP($U$175,'TAR FIN'!$A$1:$O$103,15,0)),0,VLOOKUP($U$175,'TAR FIN'!$A$1:$O$103,15,0))</f>
        <v>0</v>
      </c>
      <c r="Y175" s="52">
        <f ca="1">('TUSD BE'!$AM$22+'TUSD BF'!$AM$22+'TUSD CVA'!$AM$22)*1*(1-0.02)</f>
        <v>20.941951853111981</v>
      </c>
      <c r="Z175" s="52"/>
      <c r="AA175" s="52"/>
      <c r="AB175" s="52">
        <f>(SUBSIDIO!$J$175*SUBSIDIO!$V$175)*(0.04)/(1-0.04)</f>
        <v>1353.9151999999999</v>
      </c>
      <c r="AC175" s="52">
        <f>((SUBSIDIO!$L$175*SUBSIDIO!$W$175)+(SUBSIDIO!$N$175*SUBSIDIO!$X$175))*(0.04)/(1-0.04)</f>
        <v>0</v>
      </c>
      <c r="AD175" s="52">
        <f ca="1">(SUBSIDIO!$J$175*SUBSIDIO!$Y$175)*(0.02)/(1-0.02)</f>
        <v>764.59493602484349</v>
      </c>
      <c r="AE175" s="52">
        <f>((SUBSIDIO!$L$175*SUBSIDIO!$Z$175)+(SUBSIDIO!$N$175*SUBSIDIO!$AA$175))*(0.02)/(1-0.02)</f>
        <v>0</v>
      </c>
      <c r="AF175" s="4" t="s">
        <v>811</v>
      </c>
    </row>
    <row r="176" spans="1:32" ht="11.25" customHeight="1" x14ac:dyDescent="0.3">
      <c r="A176" s="4" t="s">
        <v>21</v>
      </c>
      <c r="B176" s="4" t="s">
        <v>39</v>
      </c>
      <c r="C176" s="4" t="s">
        <v>40</v>
      </c>
      <c r="D176" s="4" t="s">
        <v>44</v>
      </c>
      <c r="E176" s="4" t="s">
        <v>53</v>
      </c>
      <c r="F176" s="4" t="s">
        <v>25</v>
      </c>
      <c r="G176" s="4" t="s">
        <v>25</v>
      </c>
      <c r="H176" s="4" t="s">
        <v>25</v>
      </c>
      <c r="I176" s="5">
        <v>44805</v>
      </c>
      <c r="J176" s="6">
        <v>969</v>
      </c>
      <c r="K176" s="52">
        <v>969</v>
      </c>
      <c r="L176" s="6">
        <v>0</v>
      </c>
      <c r="M176" s="52">
        <v>0</v>
      </c>
      <c r="N176" s="6">
        <v>0</v>
      </c>
      <c r="O176" s="52">
        <v>0</v>
      </c>
      <c r="P176" s="6">
        <v>10</v>
      </c>
      <c r="Q176" s="4" t="s">
        <v>26</v>
      </c>
      <c r="R176" s="4">
        <v>0</v>
      </c>
      <c r="S176" s="4">
        <v>13</v>
      </c>
      <c r="T176" s="4">
        <v>0</v>
      </c>
      <c r="U176" s="4">
        <v>0</v>
      </c>
      <c r="V176" s="52">
        <f>IF(ISERROR(VLOOKUP($S$176,'TAR FIN'!$A$1:$O$103,15,0)),0,VLOOKUP($S$176,'TAR FIN'!$A$1:$O$103,15,0))*(1-0.04)</f>
        <v>18.1632</v>
      </c>
      <c r="W176" s="52">
        <f>IF(ISERROR(VLOOKUP($T$176,'TAR FIN'!$A$1:$O$103,15,0)),0,VLOOKUP($T$176,'TAR FIN'!$A$1:$O$103,15,0))</f>
        <v>0</v>
      </c>
      <c r="X176" s="52">
        <f>IF(ISERROR(VLOOKUP($U$176,'TAR FIN'!$A$1:$O$103,15,0)),0,VLOOKUP($U$176,'TAR FIN'!$A$1:$O$103,15,0))</f>
        <v>0</v>
      </c>
      <c r="Y176" s="52">
        <f ca="1">('TUSD BE'!$AM$22+'TUSD BF'!$AM$22+'TUSD CVA'!$AM$22)*1*(1-0.02)</f>
        <v>20.941951853111981</v>
      </c>
      <c r="Z176" s="52"/>
      <c r="AA176" s="52"/>
      <c r="AB176" s="52">
        <f>(SUBSIDIO!$J$176*SUBSIDIO!$V$176)*(0.04)/(1-0.04)</f>
        <v>733.33920000000012</v>
      </c>
      <c r="AC176" s="52">
        <f>((SUBSIDIO!$L$176*SUBSIDIO!$W$176)+(SUBSIDIO!$N$176*SUBSIDIO!$X$176))*(0.04)/(1-0.04)</f>
        <v>0</v>
      </c>
      <c r="AD176" s="52">
        <f ca="1">(SUBSIDIO!$J$176*SUBSIDIO!$Y$176)*(0.02)/(1-0.02)</f>
        <v>414.13778256460228</v>
      </c>
      <c r="AE176" s="52">
        <f>((SUBSIDIO!$L$176*SUBSIDIO!$Z$176)+(SUBSIDIO!$N$176*SUBSIDIO!$AA$176))*(0.02)/(1-0.02)</f>
        <v>0</v>
      </c>
      <c r="AF176" s="4" t="s">
        <v>811</v>
      </c>
    </row>
    <row r="177" spans="1:32" ht="11.25" customHeight="1" x14ac:dyDescent="0.3">
      <c r="A177" s="4" t="s">
        <v>57</v>
      </c>
      <c r="B177" s="4" t="s">
        <v>39</v>
      </c>
      <c r="C177" s="4" t="s">
        <v>40</v>
      </c>
      <c r="D177" s="4" t="s">
        <v>44</v>
      </c>
      <c r="E177" s="4" t="s">
        <v>53</v>
      </c>
      <c r="F177" s="4" t="s">
        <v>25</v>
      </c>
      <c r="G177" s="4" t="s">
        <v>25</v>
      </c>
      <c r="H177" s="4" t="s">
        <v>25</v>
      </c>
      <c r="I177" s="5">
        <v>44835</v>
      </c>
      <c r="J177" s="6">
        <v>969</v>
      </c>
      <c r="K177" s="52">
        <v>969</v>
      </c>
      <c r="L177" s="6">
        <v>0</v>
      </c>
      <c r="M177" s="52">
        <v>0</v>
      </c>
      <c r="N177" s="6">
        <v>0</v>
      </c>
      <c r="O177" s="52">
        <v>0</v>
      </c>
      <c r="P177" s="6">
        <v>10</v>
      </c>
      <c r="Q177" s="4" t="s">
        <v>26</v>
      </c>
      <c r="R177" s="4">
        <v>0</v>
      </c>
      <c r="S177" s="4">
        <v>13</v>
      </c>
      <c r="T177" s="4">
        <v>0</v>
      </c>
      <c r="U177" s="4">
        <v>0</v>
      </c>
      <c r="V177" s="52">
        <f>IF(ISERROR(VLOOKUP($S$177,'TAR FIN'!$A$1:$O$103,15,0)),0,VLOOKUP($S$177,'TAR FIN'!$A$1:$O$103,15,0))*(1-0.04)</f>
        <v>18.1632</v>
      </c>
      <c r="W177" s="52">
        <f>IF(ISERROR(VLOOKUP($T$177,'TAR FIN'!$A$1:$O$103,15,0)),0,VLOOKUP($T$177,'TAR FIN'!$A$1:$O$103,15,0))</f>
        <v>0</v>
      </c>
      <c r="X177" s="52">
        <f>IF(ISERROR(VLOOKUP($U$177,'TAR FIN'!$A$1:$O$103,15,0)),0,VLOOKUP($U$177,'TAR FIN'!$A$1:$O$103,15,0))</f>
        <v>0</v>
      </c>
      <c r="Y177" s="52">
        <f ca="1">('TUSD BE'!$AM$22+'TUSD BF'!$AM$22+'TUSD CVA'!$AM$22)*1*(1-0.02)</f>
        <v>20.941951853111981</v>
      </c>
      <c r="Z177" s="52"/>
      <c r="AA177" s="52"/>
      <c r="AB177" s="52">
        <f>(SUBSIDIO!$J$177*SUBSIDIO!$V$177)*(0.04)/(1-0.04)</f>
        <v>733.33920000000012</v>
      </c>
      <c r="AC177" s="52">
        <f>((SUBSIDIO!$L$177*SUBSIDIO!$W$177)+(SUBSIDIO!$N$177*SUBSIDIO!$X$177))*(0.04)/(1-0.04)</f>
        <v>0</v>
      </c>
      <c r="AD177" s="52">
        <f ca="1">(SUBSIDIO!$J$177*SUBSIDIO!$Y$177)*(0.02)/(1-0.02)</f>
        <v>414.13778256460228</v>
      </c>
      <c r="AE177" s="52">
        <f>((SUBSIDIO!$L$177*SUBSIDIO!$Z$177)+(SUBSIDIO!$N$177*SUBSIDIO!$AA$177))*(0.02)/(1-0.02)</f>
        <v>0</v>
      </c>
      <c r="AF177" s="4" t="s">
        <v>811</v>
      </c>
    </row>
    <row r="178" spans="1:32" ht="11.25" customHeight="1" x14ac:dyDescent="0.3">
      <c r="A178" s="4" t="s">
        <v>21</v>
      </c>
      <c r="B178" s="4" t="s">
        <v>39</v>
      </c>
      <c r="C178" s="4" t="s">
        <v>40</v>
      </c>
      <c r="D178" s="4" t="s">
        <v>44</v>
      </c>
      <c r="E178" s="4" t="s">
        <v>53</v>
      </c>
      <c r="F178" s="4" t="s">
        <v>25</v>
      </c>
      <c r="G178" s="4" t="s">
        <v>25</v>
      </c>
      <c r="H178" s="4" t="s">
        <v>34</v>
      </c>
      <c r="I178" s="5">
        <v>44501</v>
      </c>
      <c r="J178" s="6">
        <v>0</v>
      </c>
      <c r="K178" s="52">
        <v>0</v>
      </c>
      <c r="L178" s="6">
        <v>0.48599999999999999</v>
      </c>
      <c r="M178" s="52">
        <v>0.48599999999999999</v>
      </c>
      <c r="N178" s="6">
        <v>0.48599999999999999</v>
      </c>
      <c r="O178" s="52">
        <v>0.48599999999999999</v>
      </c>
      <c r="P178" s="6">
        <v>0</v>
      </c>
      <c r="Q178" s="4" t="s">
        <v>26</v>
      </c>
      <c r="R178" s="4">
        <v>0</v>
      </c>
      <c r="S178" s="4">
        <v>0</v>
      </c>
      <c r="T178" s="4">
        <v>15</v>
      </c>
      <c r="U178" s="4">
        <v>65</v>
      </c>
      <c r="V178" s="52">
        <f>IF(ISERROR(VLOOKUP($S$178,'TAR FIN'!$A$1:$O$103,15,0)),0,VLOOKUP($S$178,'TAR FIN'!$A$1:$O$103,15,0))</f>
        <v>0</v>
      </c>
      <c r="W178" s="52">
        <f>IF(ISERROR(VLOOKUP($T$178,'TAR FIN'!$A$1:$O$103,15,0)),0,VLOOKUP($T$178,'TAR FIN'!$A$1:$O$103,15,0))*(1-0.04)</f>
        <v>1147.9871999999998</v>
      </c>
      <c r="X178" s="52">
        <f>IF(ISERROR(VLOOKUP($U$178,'TAR FIN'!$A$1:$O$103,15,0)),0,VLOOKUP($U$178,'TAR FIN'!$A$1:$O$103,15,0))*(1-0.04)</f>
        <v>375.8784</v>
      </c>
      <c r="Y178" s="52"/>
      <c r="Z178" s="52">
        <f ca="1">('TUSD BE'!$AM$23+'TUSD BF'!$AM$23+'TUSD CVA'!$AM$23)*1*(1-0.02)</f>
        <v>1357.7878188473314</v>
      </c>
      <c r="AA178" s="52">
        <f>('TE BE'!$AB$8+'TE BF'!$AB$8+'TE CVA'!$AB$8)*1*(1-0.02)</f>
        <v>354.71359410136364</v>
      </c>
      <c r="AB178" s="52">
        <f>(SUBSIDIO!$J$178*SUBSIDIO!$V$178)*(0.04)/(1-0.04)</f>
        <v>0</v>
      </c>
      <c r="AC178" s="52">
        <f>((SUBSIDIO!$L$178*SUBSIDIO!$W$178)+(SUBSIDIO!$N$178*SUBSIDIO!$X$178))*(0.04)/(1-0.04)</f>
        <v>30.8582784</v>
      </c>
      <c r="AD178" s="52">
        <f>(SUBSIDIO!$J$178*SUBSIDIO!$Y$178)*(0.02)/(1-0.02)</f>
        <v>0</v>
      </c>
      <c r="AE178" s="52">
        <f ca="1">((SUBSIDIO!$L$178*SUBSIDIO!$Z$178)+(SUBSIDIO!$N$178*SUBSIDIO!$AA$178))*(0.02)/(1-0.02)</f>
        <v>16.985218095776851</v>
      </c>
      <c r="AF178" s="4" t="s">
        <v>811</v>
      </c>
    </row>
    <row r="179" spans="1:32" ht="11.25" customHeight="1" x14ac:dyDescent="0.3">
      <c r="A179" s="4" t="s">
        <v>21</v>
      </c>
      <c r="B179" s="4" t="s">
        <v>39</v>
      </c>
      <c r="C179" s="4" t="s">
        <v>40</v>
      </c>
      <c r="D179" s="4" t="s">
        <v>44</v>
      </c>
      <c r="E179" s="4" t="s">
        <v>53</v>
      </c>
      <c r="F179" s="4" t="s">
        <v>25</v>
      </c>
      <c r="G179" s="4" t="s">
        <v>25</v>
      </c>
      <c r="H179" s="4" t="s">
        <v>34</v>
      </c>
      <c r="I179" s="5">
        <v>44531</v>
      </c>
      <c r="J179" s="6">
        <v>0</v>
      </c>
      <c r="K179" s="52">
        <v>0</v>
      </c>
      <c r="L179" s="6">
        <v>0.51900000000000002</v>
      </c>
      <c r="M179" s="52">
        <v>0.51900000000000002</v>
      </c>
      <c r="N179" s="6">
        <v>0.51900000000000002</v>
      </c>
      <c r="O179" s="52">
        <v>0.51900000000000002</v>
      </c>
      <c r="P179" s="6">
        <v>0</v>
      </c>
      <c r="Q179" s="4" t="s">
        <v>26</v>
      </c>
      <c r="R179" s="4">
        <v>0</v>
      </c>
      <c r="S179" s="4">
        <v>0</v>
      </c>
      <c r="T179" s="4">
        <v>15</v>
      </c>
      <c r="U179" s="4">
        <v>65</v>
      </c>
      <c r="V179" s="52">
        <f>IF(ISERROR(VLOOKUP($S$179,'TAR FIN'!$A$1:$O$103,15,0)),0,VLOOKUP($S$179,'TAR FIN'!$A$1:$O$103,15,0))</f>
        <v>0</v>
      </c>
      <c r="W179" s="52">
        <f>IF(ISERROR(VLOOKUP($T$179,'TAR FIN'!$A$1:$O$103,15,0)),0,VLOOKUP($T$179,'TAR FIN'!$A$1:$O$103,15,0))*(1-0.04)</f>
        <v>1147.9871999999998</v>
      </c>
      <c r="X179" s="52">
        <f>IF(ISERROR(VLOOKUP($U$179,'TAR FIN'!$A$1:$O$103,15,0)),0,VLOOKUP($U$179,'TAR FIN'!$A$1:$O$103,15,0))*(1-0.04)</f>
        <v>375.8784</v>
      </c>
      <c r="Y179" s="52"/>
      <c r="Z179" s="52">
        <f ca="1">('TUSD BE'!$AM$23+'TUSD BF'!$AM$23+'TUSD CVA'!$AM$23)*1*(1-0.02)</f>
        <v>1357.7878188473314</v>
      </c>
      <c r="AA179" s="52">
        <f>('TE BE'!$AB$8+'TE BF'!$AB$8+'TE CVA'!$AB$8)*1*(1-0.02)</f>
        <v>354.71359410136364</v>
      </c>
      <c r="AB179" s="52">
        <f>(SUBSIDIO!$J$179*SUBSIDIO!$V$179)*(0.04)/(1-0.04)</f>
        <v>0</v>
      </c>
      <c r="AC179" s="52">
        <f>((SUBSIDIO!$L$179*SUBSIDIO!$W$179)+(SUBSIDIO!$N$179*SUBSIDIO!$X$179))*(0.04)/(1-0.04)</f>
        <v>32.953593599999998</v>
      </c>
      <c r="AD179" s="52">
        <f>(SUBSIDIO!$J$179*SUBSIDIO!$Y$179)*(0.02)/(1-0.02)</f>
        <v>0</v>
      </c>
      <c r="AE179" s="52">
        <f ca="1">((SUBSIDIO!$L$179*SUBSIDIO!$Z$179)+(SUBSIDIO!$N$179*SUBSIDIO!$AA$179))*(0.02)/(1-0.02)</f>
        <v>18.138535373885162</v>
      </c>
      <c r="AF179" s="4" t="s">
        <v>811</v>
      </c>
    </row>
    <row r="180" spans="1:32" ht="11.25" customHeight="1" x14ac:dyDescent="0.3">
      <c r="A180" s="4" t="s">
        <v>21</v>
      </c>
      <c r="B180" s="4" t="s">
        <v>39</v>
      </c>
      <c r="C180" s="4" t="s">
        <v>40</v>
      </c>
      <c r="D180" s="4" t="s">
        <v>44</v>
      </c>
      <c r="E180" s="4" t="s">
        <v>53</v>
      </c>
      <c r="F180" s="4" t="s">
        <v>25</v>
      </c>
      <c r="G180" s="4" t="s">
        <v>25</v>
      </c>
      <c r="H180" s="4" t="s">
        <v>34</v>
      </c>
      <c r="I180" s="5">
        <v>44562</v>
      </c>
      <c r="J180" s="6">
        <v>0</v>
      </c>
      <c r="K180" s="52">
        <v>0</v>
      </c>
      <c r="L180" s="6">
        <v>0.33400000000000002</v>
      </c>
      <c r="M180" s="52">
        <v>0.33400000000000002</v>
      </c>
      <c r="N180" s="6">
        <v>0.33400000000000002</v>
      </c>
      <c r="O180" s="52">
        <v>0.33400000000000002</v>
      </c>
      <c r="P180" s="6">
        <v>0</v>
      </c>
      <c r="Q180" s="4" t="s">
        <v>26</v>
      </c>
      <c r="R180" s="4">
        <v>0</v>
      </c>
      <c r="S180" s="4">
        <v>0</v>
      </c>
      <c r="T180" s="4">
        <v>15</v>
      </c>
      <c r="U180" s="4">
        <v>65</v>
      </c>
      <c r="V180" s="52">
        <f>IF(ISERROR(VLOOKUP($S$180,'TAR FIN'!$A$1:$O$103,15,0)),0,VLOOKUP($S$180,'TAR FIN'!$A$1:$O$103,15,0))</f>
        <v>0</v>
      </c>
      <c r="W180" s="52">
        <f>IF(ISERROR(VLOOKUP($T$180,'TAR FIN'!$A$1:$O$103,15,0)),0,VLOOKUP($T$180,'TAR FIN'!$A$1:$O$103,15,0))*(1-0.04)</f>
        <v>1147.9871999999998</v>
      </c>
      <c r="X180" s="52">
        <f>IF(ISERROR(VLOOKUP($U$180,'TAR FIN'!$A$1:$O$103,15,0)),0,VLOOKUP($U$180,'TAR FIN'!$A$1:$O$103,15,0))*(1-0.04)</f>
        <v>375.8784</v>
      </c>
      <c r="Y180" s="52"/>
      <c r="Z180" s="52">
        <f ca="1">('TUSD BE'!$AM$23+'TUSD BF'!$AM$23+'TUSD CVA'!$AM$23)*1*(1-0.02)</f>
        <v>1357.7878188473314</v>
      </c>
      <c r="AA180" s="52">
        <f>('TE BE'!$AB$8+'TE BF'!$AB$8+'TE CVA'!$AB$8)*1*(1-0.02)</f>
        <v>354.71359410136364</v>
      </c>
      <c r="AB180" s="52">
        <f>(SUBSIDIO!$J$180*SUBSIDIO!$V$180)*(0.04)/(1-0.04)</f>
        <v>0</v>
      </c>
      <c r="AC180" s="52">
        <f>((SUBSIDIO!$L$180*SUBSIDIO!$W$180)+(SUBSIDIO!$N$180*SUBSIDIO!$X$180))*(0.04)/(1-0.04)</f>
        <v>21.207129600000002</v>
      </c>
      <c r="AD180" s="52">
        <f>(SUBSIDIO!$J$180*SUBSIDIO!$Y$180)*(0.02)/(1-0.02)</f>
        <v>0</v>
      </c>
      <c r="AE180" s="52">
        <f ca="1">((SUBSIDIO!$L$180*SUBSIDIO!$Z$180)+(SUBSIDIO!$N$180*SUBSIDIO!$AA$180))*(0.02)/(1-0.02)</f>
        <v>11.672968814793148</v>
      </c>
      <c r="AF180" s="4" t="s">
        <v>811</v>
      </c>
    </row>
    <row r="181" spans="1:32" ht="11.25" customHeight="1" x14ac:dyDescent="0.3">
      <c r="A181" s="4" t="s">
        <v>21</v>
      </c>
      <c r="B181" s="4" t="s">
        <v>39</v>
      </c>
      <c r="C181" s="4" t="s">
        <v>40</v>
      </c>
      <c r="D181" s="4" t="s">
        <v>44</v>
      </c>
      <c r="E181" s="4" t="s">
        <v>53</v>
      </c>
      <c r="F181" s="4" t="s">
        <v>25</v>
      </c>
      <c r="G181" s="4" t="s">
        <v>25</v>
      </c>
      <c r="H181" s="4" t="s">
        <v>34</v>
      </c>
      <c r="I181" s="5">
        <v>44593</v>
      </c>
      <c r="J181" s="6">
        <v>0</v>
      </c>
      <c r="K181" s="52">
        <v>0</v>
      </c>
      <c r="L181" s="6">
        <v>0.372</v>
      </c>
      <c r="M181" s="52">
        <v>0.372</v>
      </c>
      <c r="N181" s="6">
        <v>0.372</v>
      </c>
      <c r="O181" s="52">
        <v>0.372</v>
      </c>
      <c r="P181" s="6">
        <v>0</v>
      </c>
      <c r="Q181" s="4" t="s">
        <v>26</v>
      </c>
      <c r="R181" s="4">
        <v>0</v>
      </c>
      <c r="S181" s="4">
        <v>0</v>
      </c>
      <c r="T181" s="4">
        <v>15</v>
      </c>
      <c r="U181" s="4">
        <v>65</v>
      </c>
      <c r="V181" s="52">
        <f>IF(ISERROR(VLOOKUP($S$181,'TAR FIN'!$A$1:$O$103,15,0)),0,VLOOKUP($S$181,'TAR FIN'!$A$1:$O$103,15,0))</f>
        <v>0</v>
      </c>
      <c r="W181" s="52">
        <f>IF(ISERROR(VLOOKUP($T$181,'TAR FIN'!$A$1:$O$103,15,0)),0,VLOOKUP($T$181,'TAR FIN'!$A$1:$O$103,15,0))*(1-0.04)</f>
        <v>1147.9871999999998</v>
      </c>
      <c r="X181" s="52">
        <f>IF(ISERROR(VLOOKUP($U$181,'TAR FIN'!$A$1:$O$103,15,0)),0,VLOOKUP($U$181,'TAR FIN'!$A$1:$O$103,15,0))*(1-0.04)</f>
        <v>375.8784</v>
      </c>
      <c r="Y181" s="52"/>
      <c r="Z181" s="52">
        <f ca="1">('TUSD BE'!$AM$23+'TUSD BF'!$AM$23+'TUSD CVA'!$AM$23)*1*(1-0.02)</f>
        <v>1357.7878188473314</v>
      </c>
      <c r="AA181" s="52">
        <f>('TE BE'!$AB$8+'TE BF'!$AB$8+'TE CVA'!$AB$8)*1*(1-0.02)</f>
        <v>354.71359410136364</v>
      </c>
      <c r="AB181" s="52">
        <f>(SUBSIDIO!$J$181*SUBSIDIO!$V$181)*(0.04)/(1-0.04)</f>
        <v>0</v>
      </c>
      <c r="AC181" s="52">
        <f>((SUBSIDIO!$L$181*SUBSIDIO!$W$181)+(SUBSIDIO!$N$181*SUBSIDIO!$X$181))*(0.04)/(1-0.04)</f>
        <v>23.619916800000002</v>
      </c>
      <c r="AD181" s="52">
        <f>(SUBSIDIO!$J$181*SUBSIDIO!$Y$181)*(0.02)/(1-0.02)</f>
        <v>0</v>
      </c>
      <c r="AE181" s="52">
        <f ca="1">((SUBSIDIO!$L$181*SUBSIDIO!$Z$181)+(SUBSIDIO!$N$181*SUBSIDIO!$AA$181))*(0.02)/(1-0.02)</f>
        <v>13.001031135039074</v>
      </c>
      <c r="AF181" s="4" t="s">
        <v>811</v>
      </c>
    </row>
    <row r="182" spans="1:32" ht="11.25" customHeight="1" x14ac:dyDescent="0.3">
      <c r="A182" s="4" t="s">
        <v>21</v>
      </c>
      <c r="B182" s="4" t="s">
        <v>39</v>
      </c>
      <c r="C182" s="4" t="s">
        <v>40</v>
      </c>
      <c r="D182" s="4" t="s">
        <v>44</v>
      </c>
      <c r="E182" s="4" t="s">
        <v>53</v>
      </c>
      <c r="F182" s="4" t="s">
        <v>25</v>
      </c>
      <c r="G182" s="4" t="s">
        <v>25</v>
      </c>
      <c r="H182" s="4" t="s">
        <v>34</v>
      </c>
      <c r="I182" s="5">
        <v>44621</v>
      </c>
      <c r="J182" s="6">
        <v>0</v>
      </c>
      <c r="K182" s="52">
        <v>0</v>
      </c>
      <c r="L182" s="6">
        <v>0.71499999999999997</v>
      </c>
      <c r="M182" s="52">
        <v>0.71499999999999997</v>
      </c>
      <c r="N182" s="6">
        <v>0.71499999999999997</v>
      </c>
      <c r="O182" s="52">
        <v>0.71499999999999997</v>
      </c>
      <c r="P182" s="6">
        <v>0</v>
      </c>
      <c r="Q182" s="4" t="s">
        <v>26</v>
      </c>
      <c r="R182" s="4">
        <v>0</v>
      </c>
      <c r="S182" s="4">
        <v>0</v>
      </c>
      <c r="T182" s="4">
        <v>15</v>
      </c>
      <c r="U182" s="4">
        <v>65</v>
      </c>
      <c r="V182" s="52">
        <f>IF(ISERROR(VLOOKUP($S$182,'TAR FIN'!$A$1:$O$103,15,0)),0,VLOOKUP($S$182,'TAR FIN'!$A$1:$O$103,15,0))</f>
        <v>0</v>
      </c>
      <c r="W182" s="52">
        <f>IF(ISERROR(VLOOKUP($T$182,'TAR FIN'!$A$1:$O$103,15,0)),0,VLOOKUP($T$182,'TAR FIN'!$A$1:$O$103,15,0))*(1-0.04)</f>
        <v>1147.9871999999998</v>
      </c>
      <c r="X182" s="52">
        <f>IF(ISERROR(VLOOKUP($U$182,'TAR FIN'!$A$1:$O$103,15,0)),0,VLOOKUP($U$182,'TAR FIN'!$A$1:$O$103,15,0))*(1-0.04)</f>
        <v>375.8784</v>
      </c>
      <c r="Y182" s="52"/>
      <c r="Z182" s="52">
        <f ca="1">('TUSD BE'!$AM$23+'TUSD BF'!$AM$23+'TUSD CVA'!$AM$23)*1*(1-0.02)</f>
        <v>1357.7878188473314</v>
      </c>
      <c r="AA182" s="52">
        <f>('TE BE'!$AB$8+'TE BF'!$AB$8+'TE CVA'!$AB$8)*1*(1-0.02)</f>
        <v>354.71359410136364</v>
      </c>
      <c r="AB182" s="52">
        <f>(SUBSIDIO!$J$182*SUBSIDIO!$V$182)*(0.04)/(1-0.04)</f>
        <v>0</v>
      </c>
      <c r="AC182" s="52">
        <f>((SUBSIDIO!$L$182*SUBSIDIO!$W$182)+(SUBSIDIO!$N$182*SUBSIDIO!$X$182))*(0.04)/(1-0.04)</f>
        <v>45.398495999999994</v>
      </c>
      <c r="AD182" s="52">
        <f>(SUBSIDIO!$J$182*SUBSIDIO!$Y$182)*(0.02)/(1-0.02)</f>
        <v>0</v>
      </c>
      <c r="AE182" s="52">
        <f ca="1">((SUBSIDIO!$L$182*SUBSIDIO!$Z$182)+(SUBSIDIO!$N$182*SUBSIDIO!$AA$182))*(0.02)/(1-0.02)</f>
        <v>24.98854102567994</v>
      </c>
      <c r="AF182" s="4" t="s">
        <v>811</v>
      </c>
    </row>
    <row r="183" spans="1:32" ht="11.25" customHeight="1" x14ac:dyDescent="0.3">
      <c r="A183" s="4" t="s">
        <v>21</v>
      </c>
      <c r="B183" s="4" t="s">
        <v>39</v>
      </c>
      <c r="C183" s="4" t="s">
        <v>40</v>
      </c>
      <c r="D183" s="4" t="s">
        <v>44</v>
      </c>
      <c r="E183" s="4" t="s">
        <v>53</v>
      </c>
      <c r="F183" s="4" t="s">
        <v>25</v>
      </c>
      <c r="G183" s="4" t="s">
        <v>25</v>
      </c>
      <c r="H183" s="4" t="s">
        <v>34</v>
      </c>
      <c r="I183" s="5">
        <v>44652</v>
      </c>
      <c r="J183" s="6">
        <v>0</v>
      </c>
      <c r="K183" s="52">
        <v>0</v>
      </c>
      <c r="L183" s="6">
        <v>0.79900000000000004</v>
      </c>
      <c r="M183" s="52">
        <v>0.79900000000000004</v>
      </c>
      <c r="N183" s="6">
        <v>0.79900000000000004</v>
      </c>
      <c r="O183" s="52">
        <v>0.79900000000000004</v>
      </c>
      <c r="P183" s="6">
        <v>0</v>
      </c>
      <c r="Q183" s="4" t="s">
        <v>26</v>
      </c>
      <c r="R183" s="4">
        <v>0</v>
      </c>
      <c r="S183" s="4">
        <v>0</v>
      </c>
      <c r="T183" s="4">
        <v>15</v>
      </c>
      <c r="U183" s="4">
        <v>65</v>
      </c>
      <c r="V183" s="52">
        <f>IF(ISERROR(VLOOKUP($S$183,'TAR FIN'!$A$1:$O$103,15,0)),0,VLOOKUP($S$183,'TAR FIN'!$A$1:$O$103,15,0))</f>
        <v>0</v>
      </c>
      <c r="W183" s="52">
        <f>IF(ISERROR(VLOOKUP($T$183,'TAR FIN'!$A$1:$O$103,15,0)),0,VLOOKUP($T$183,'TAR FIN'!$A$1:$O$103,15,0))*(1-0.04)</f>
        <v>1147.9871999999998</v>
      </c>
      <c r="X183" s="52">
        <f>IF(ISERROR(VLOOKUP($U$183,'TAR FIN'!$A$1:$O$103,15,0)),0,VLOOKUP($U$183,'TAR FIN'!$A$1:$O$103,15,0))*(1-0.04)</f>
        <v>375.8784</v>
      </c>
      <c r="Y183" s="52"/>
      <c r="Z183" s="52">
        <f ca="1">('TUSD BE'!$AM$23+'TUSD BF'!$AM$23+'TUSD CVA'!$AM$23)*1*(1-0.02)</f>
        <v>1357.7878188473314</v>
      </c>
      <c r="AA183" s="52">
        <f>('TE BE'!$AB$8+'TE BF'!$AB$8+'TE CVA'!$AB$8)*1*(1-0.02)</f>
        <v>354.71359410136364</v>
      </c>
      <c r="AB183" s="52">
        <f>(SUBSIDIO!$J$183*SUBSIDIO!$V$183)*(0.04)/(1-0.04)</f>
        <v>0</v>
      </c>
      <c r="AC183" s="52">
        <f>((SUBSIDIO!$L$183*SUBSIDIO!$W$183)+(SUBSIDIO!$N$183*SUBSIDIO!$X$183))*(0.04)/(1-0.04)</f>
        <v>50.732025599999993</v>
      </c>
      <c r="AD183" s="52">
        <f>(SUBSIDIO!$J$183*SUBSIDIO!$Y$183)*(0.02)/(1-0.02)</f>
        <v>0</v>
      </c>
      <c r="AE183" s="52">
        <f ca="1">((SUBSIDIO!$L$183*SUBSIDIO!$Z$183)+(SUBSIDIO!$N$183*SUBSIDIO!$AA$183))*(0.02)/(1-0.02)</f>
        <v>27.92425773359199</v>
      </c>
      <c r="AF183" s="4" t="s">
        <v>811</v>
      </c>
    </row>
    <row r="184" spans="1:32" ht="11.25" customHeight="1" x14ac:dyDescent="0.3">
      <c r="A184" s="4" t="s">
        <v>21</v>
      </c>
      <c r="B184" s="4" t="s">
        <v>39</v>
      </c>
      <c r="C184" s="4" t="s">
        <v>40</v>
      </c>
      <c r="D184" s="4" t="s">
        <v>44</v>
      </c>
      <c r="E184" s="4" t="s">
        <v>53</v>
      </c>
      <c r="F184" s="4" t="s">
        <v>25</v>
      </c>
      <c r="G184" s="4" t="s">
        <v>25</v>
      </c>
      <c r="H184" s="4" t="s">
        <v>34</v>
      </c>
      <c r="I184" s="5">
        <v>44682</v>
      </c>
      <c r="J184" s="6">
        <v>0</v>
      </c>
      <c r="K184" s="52">
        <v>0</v>
      </c>
      <c r="L184" s="6">
        <v>0.68500000000000005</v>
      </c>
      <c r="M184" s="52">
        <v>0.68500000000000005</v>
      </c>
      <c r="N184" s="6">
        <v>0.68500000000000005</v>
      </c>
      <c r="O184" s="52">
        <v>0.68500000000000005</v>
      </c>
      <c r="P184" s="6">
        <v>0</v>
      </c>
      <c r="Q184" s="4" t="s">
        <v>26</v>
      </c>
      <c r="R184" s="4">
        <v>0</v>
      </c>
      <c r="S184" s="4">
        <v>0</v>
      </c>
      <c r="T184" s="4">
        <v>15</v>
      </c>
      <c r="U184" s="4">
        <v>65</v>
      </c>
      <c r="V184" s="52">
        <f>IF(ISERROR(VLOOKUP($S$184,'TAR FIN'!$A$1:$O$103,15,0)),0,VLOOKUP($S$184,'TAR FIN'!$A$1:$O$103,15,0))</f>
        <v>0</v>
      </c>
      <c r="W184" s="52">
        <f>IF(ISERROR(VLOOKUP($T$184,'TAR FIN'!$A$1:$O$103,15,0)),0,VLOOKUP($T$184,'TAR FIN'!$A$1:$O$103,15,0))*(1-0.04)</f>
        <v>1147.9871999999998</v>
      </c>
      <c r="X184" s="52">
        <f>IF(ISERROR(VLOOKUP($U$184,'TAR FIN'!$A$1:$O$103,15,0)),0,VLOOKUP($U$184,'TAR FIN'!$A$1:$O$103,15,0))*(1-0.04)</f>
        <v>375.8784</v>
      </c>
      <c r="Y184" s="52"/>
      <c r="Z184" s="52">
        <f ca="1">('TUSD BE'!$AM$23+'TUSD BF'!$AM$23+'TUSD CVA'!$AM$23)*1*(1-0.02)</f>
        <v>1357.7878188473314</v>
      </c>
      <c r="AA184" s="52">
        <f>('TE BE'!$AB$8+'TE BF'!$AB$8+'TE CVA'!$AB$8)*1*(1-0.02)</f>
        <v>354.71359410136364</v>
      </c>
      <c r="AB184" s="52">
        <f>(SUBSIDIO!$J$184*SUBSIDIO!$V$184)*(0.04)/(1-0.04)</f>
        <v>0</v>
      </c>
      <c r="AC184" s="52">
        <f>((SUBSIDIO!$L$184*SUBSIDIO!$W$184)+(SUBSIDIO!$N$184*SUBSIDIO!$X$184))*(0.04)/(1-0.04)</f>
        <v>43.493664000000003</v>
      </c>
      <c r="AD184" s="52">
        <f>(SUBSIDIO!$J$184*SUBSIDIO!$Y$184)*(0.02)/(1-0.02)</f>
        <v>0</v>
      </c>
      <c r="AE184" s="52">
        <f ca="1">((SUBSIDIO!$L$184*SUBSIDIO!$Z$184)+(SUBSIDIO!$N$184*SUBSIDIO!$AA$184))*(0.02)/(1-0.02)</f>
        <v>23.940070772854213</v>
      </c>
      <c r="AF184" s="4" t="s">
        <v>811</v>
      </c>
    </row>
    <row r="185" spans="1:32" ht="11.25" customHeight="1" x14ac:dyDescent="0.3">
      <c r="A185" s="4" t="s">
        <v>21</v>
      </c>
      <c r="B185" s="4" t="s">
        <v>39</v>
      </c>
      <c r="C185" s="4" t="s">
        <v>40</v>
      </c>
      <c r="D185" s="4" t="s">
        <v>44</v>
      </c>
      <c r="E185" s="4" t="s">
        <v>53</v>
      </c>
      <c r="F185" s="4" t="s">
        <v>25</v>
      </c>
      <c r="G185" s="4" t="s">
        <v>25</v>
      </c>
      <c r="H185" s="4" t="s">
        <v>34</v>
      </c>
      <c r="I185" s="5">
        <v>44713</v>
      </c>
      <c r="J185" s="6">
        <v>0</v>
      </c>
      <c r="K185" s="52">
        <v>0</v>
      </c>
      <c r="L185" s="6">
        <v>1.2609999999999999</v>
      </c>
      <c r="M185" s="52">
        <v>1.2609999999999999</v>
      </c>
      <c r="N185" s="6">
        <v>1.2609999999999999</v>
      </c>
      <c r="O185" s="52">
        <v>1.2609999999999999</v>
      </c>
      <c r="P185" s="6">
        <v>0</v>
      </c>
      <c r="Q185" s="4" t="s">
        <v>26</v>
      </c>
      <c r="R185" s="4">
        <v>0</v>
      </c>
      <c r="S185" s="4">
        <v>0</v>
      </c>
      <c r="T185" s="4">
        <v>15</v>
      </c>
      <c r="U185" s="4">
        <v>65</v>
      </c>
      <c r="V185" s="52">
        <f>IF(ISERROR(VLOOKUP($S$185,'TAR FIN'!$A$1:$O$103,15,0)),0,VLOOKUP($S$185,'TAR FIN'!$A$1:$O$103,15,0))</f>
        <v>0</v>
      </c>
      <c r="W185" s="52">
        <f>IF(ISERROR(VLOOKUP($T$185,'TAR FIN'!$A$1:$O$103,15,0)),0,VLOOKUP($T$185,'TAR FIN'!$A$1:$O$103,15,0))*(1-0.04)</f>
        <v>1147.9871999999998</v>
      </c>
      <c r="X185" s="52">
        <f>IF(ISERROR(VLOOKUP($U$185,'TAR FIN'!$A$1:$O$103,15,0)),0,VLOOKUP($U$185,'TAR FIN'!$A$1:$O$103,15,0))*(1-0.04)</f>
        <v>375.8784</v>
      </c>
      <c r="Y185" s="52"/>
      <c r="Z185" s="52">
        <f ca="1">('TUSD BE'!$AM$23+'TUSD BF'!$AM$23+'TUSD CVA'!$AM$23)*1*(1-0.02)</f>
        <v>1357.7878188473314</v>
      </c>
      <c r="AA185" s="52">
        <f>('TE BE'!$AB$8+'TE BF'!$AB$8+'TE CVA'!$AB$8)*1*(1-0.02)</f>
        <v>354.71359410136364</v>
      </c>
      <c r="AB185" s="52">
        <f>(SUBSIDIO!$J$185*SUBSIDIO!$V$185)*(0.04)/(1-0.04)</f>
        <v>0</v>
      </c>
      <c r="AC185" s="52">
        <f>((SUBSIDIO!$L$185*SUBSIDIO!$W$185)+(SUBSIDIO!$N$185*SUBSIDIO!$X$185))*(0.04)/(1-0.04)</f>
        <v>80.066438399999981</v>
      </c>
      <c r="AD185" s="52">
        <f>(SUBSIDIO!$J$185*SUBSIDIO!$Y$185)*(0.02)/(1-0.02)</f>
        <v>0</v>
      </c>
      <c r="AE185" s="52">
        <f ca="1">((SUBSIDIO!$L$185*SUBSIDIO!$Z$185)+(SUBSIDIO!$N$185*SUBSIDIO!$AA$185))*(0.02)/(1-0.02)</f>
        <v>44.070699627108247</v>
      </c>
      <c r="AF185" s="4" t="s">
        <v>811</v>
      </c>
    </row>
    <row r="186" spans="1:32" ht="11.25" customHeight="1" x14ac:dyDescent="0.3">
      <c r="A186" s="4" t="s">
        <v>21</v>
      </c>
      <c r="B186" s="4" t="s">
        <v>39</v>
      </c>
      <c r="C186" s="4" t="s">
        <v>40</v>
      </c>
      <c r="D186" s="4" t="s">
        <v>44</v>
      </c>
      <c r="E186" s="4" t="s">
        <v>53</v>
      </c>
      <c r="F186" s="4" t="s">
        <v>25</v>
      </c>
      <c r="G186" s="4" t="s">
        <v>25</v>
      </c>
      <c r="H186" s="4" t="s">
        <v>34</v>
      </c>
      <c r="I186" s="5">
        <v>44743</v>
      </c>
      <c r="J186" s="6">
        <v>0</v>
      </c>
      <c r="K186" s="52">
        <v>0</v>
      </c>
      <c r="L186" s="6">
        <v>1.0620000000000001</v>
      </c>
      <c r="M186" s="52">
        <v>1.0620000000000001</v>
      </c>
      <c r="N186" s="6">
        <v>1.0620000000000001</v>
      </c>
      <c r="O186" s="52">
        <v>1.0620000000000001</v>
      </c>
      <c r="P186" s="6">
        <v>0</v>
      </c>
      <c r="Q186" s="4" t="s">
        <v>26</v>
      </c>
      <c r="R186" s="4">
        <v>0</v>
      </c>
      <c r="S186" s="4">
        <v>0</v>
      </c>
      <c r="T186" s="4">
        <v>15</v>
      </c>
      <c r="U186" s="4">
        <v>65</v>
      </c>
      <c r="V186" s="52">
        <f>IF(ISERROR(VLOOKUP($S$186,'TAR FIN'!$A$1:$O$103,15,0)),0,VLOOKUP($S$186,'TAR FIN'!$A$1:$O$103,15,0))</f>
        <v>0</v>
      </c>
      <c r="W186" s="52">
        <f>IF(ISERROR(VLOOKUP($T$186,'TAR FIN'!$A$1:$O$103,15,0)),0,VLOOKUP($T$186,'TAR FIN'!$A$1:$O$103,15,0))*(1-0.04)</f>
        <v>1147.9871999999998</v>
      </c>
      <c r="X186" s="52">
        <f>IF(ISERROR(VLOOKUP($U$186,'TAR FIN'!$A$1:$O$103,15,0)),0,VLOOKUP($U$186,'TAR FIN'!$A$1:$O$103,15,0))*(1-0.04)</f>
        <v>375.8784</v>
      </c>
      <c r="Y186" s="52"/>
      <c r="Z186" s="52">
        <f ca="1">('TUSD BE'!$AM$23+'TUSD BF'!$AM$23+'TUSD CVA'!$AM$23)*1*(1-0.02)</f>
        <v>1357.7878188473314</v>
      </c>
      <c r="AA186" s="52">
        <f>('TE BE'!$AB$8+'TE BF'!$AB$8+'TE CVA'!$AB$8)*1*(1-0.02)</f>
        <v>354.71359410136364</v>
      </c>
      <c r="AB186" s="52">
        <f>(SUBSIDIO!$J$186*SUBSIDIO!$V$186)*(0.04)/(1-0.04)</f>
        <v>0</v>
      </c>
      <c r="AC186" s="52">
        <f>((SUBSIDIO!$L$186*SUBSIDIO!$W$186)+(SUBSIDIO!$N$186*SUBSIDIO!$X$186))*(0.04)/(1-0.04)</f>
        <v>67.431052799999989</v>
      </c>
      <c r="AD186" s="52">
        <f>(SUBSIDIO!$J$186*SUBSIDIO!$Y$186)*(0.02)/(1-0.02)</f>
        <v>0</v>
      </c>
      <c r="AE186" s="52">
        <f ca="1">((SUBSIDIO!$L$186*SUBSIDIO!$Z$186)+(SUBSIDIO!$N$186*SUBSIDIO!$AA$186))*(0.02)/(1-0.02)</f>
        <v>37.1158469500309</v>
      </c>
      <c r="AF186" s="4" t="s">
        <v>811</v>
      </c>
    </row>
    <row r="187" spans="1:32" ht="11.25" customHeight="1" x14ac:dyDescent="0.3">
      <c r="A187" s="4" t="s">
        <v>21</v>
      </c>
      <c r="B187" s="4" t="s">
        <v>39</v>
      </c>
      <c r="C187" s="4" t="s">
        <v>40</v>
      </c>
      <c r="D187" s="4" t="s">
        <v>44</v>
      </c>
      <c r="E187" s="4" t="s">
        <v>53</v>
      </c>
      <c r="F187" s="4" t="s">
        <v>25</v>
      </c>
      <c r="G187" s="4" t="s">
        <v>25</v>
      </c>
      <c r="H187" s="4" t="s">
        <v>34</v>
      </c>
      <c r="I187" s="5">
        <v>44774</v>
      </c>
      <c r="J187" s="6">
        <v>0</v>
      </c>
      <c r="K187" s="52">
        <v>0</v>
      </c>
      <c r="L187" s="6">
        <v>0.80800000000000005</v>
      </c>
      <c r="M187" s="52">
        <v>0.80800000000000005</v>
      </c>
      <c r="N187" s="6">
        <v>0.80800000000000005</v>
      </c>
      <c r="O187" s="52">
        <v>0.80800000000000005</v>
      </c>
      <c r="P187" s="6">
        <v>0</v>
      </c>
      <c r="Q187" s="4" t="s">
        <v>26</v>
      </c>
      <c r="R187" s="4">
        <v>0</v>
      </c>
      <c r="S187" s="4">
        <v>0</v>
      </c>
      <c r="T187" s="4">
        <v>15</v>
      </c>
      <c r="U187" s="4">
        <v>65</v>
      </c>
      <c r="V187" s="52">
        <f>IF(ISERROR(VLOOKUP($S$187,'TAR FIN'!$A$1:$O$103,15,0)),0,VLOOKUP($S$187,'TAR FIN'!$A$1:$O$103,15,0))</f>
        <v>0</v>
      </c>
      <c r="W187" s="52">
        <f>IF(ISERROR(VLOOKUP($T$187,'TAR FIN'!$A$1:$O$103,15,0)),0,VLOOKUP($T$187,'TAR FIN'!$A$1:$O$103,15,0))*(1-0.04)</f>
        <v>1147.9871999999998</v>
      </c>
      <c r="X187" s="52">
        <f>IF(ISERROR(VLOOKUP($U$187,'TAR FIN'!$A$1:$O$103,15,0)),0,VLOOKUP($U$187,'TAR FIN'!$A$1:$O$103,15,0))*(1-0.04)</f>
        <v>375.8784</v>
      </c>
      <c r="Y187" s="52"/>
      <c r="Z187" s="52">
        <f ca="1">('TUSD BE'!$AM$23+'TUSD BF'!$AM$23+'TUSD CVA'!$AM$23)*1*(1-0.02)</f>
        <v>1357.7878188473314</v>
      </c>
      <c r="AA187" s="52">
        <f>('TE BE'!$AB$8+'TE BF'!$AB$8+'TE CVA'!$AB$8)*1*(1-0.02)</f>
        <v>354.71359410136364</v>
      </c>
      <c r="AB187" s="52">
        <f>(SUBSIDIO!$J$187*SUBSIDIO!$V$187)*(0.04)/(1-0.04)</f>
        <v>0</v>
      </c>
      <c r="AC187" s="52">
        <f>((SUBSIDIO!$L$187*SUBSIDIO!$W$187)+(SUBSIDIO!$N$187*SUBSIDIO!$X$187))*(0.04)/(1-0.04)</f>
        <v>51.303475200000001</v>
      </c>
      <c r="AD187" s="52">
        <f>(SUBSIDIO!$J$187*SUBSIDIO!$Y$187)*(0.02)/(1-0.02)</f>
        <v>0</v>
      </c>
      <c r="AE187" s="52">
        <f ca="1">((SUBSIDIO!$L$187*SUBSIDIO!$Z$187)+(SUBSIDIO!$N$187*SUBSIDIO!$AA$187))*(0.02)/(1-0.02)</f>
        <v>28.238798809439707</v>
      </c>
      <c r="AF187" s="4" t="s">
        <v>811</v>
      </c>
    </row>
    <row r="188" spans="1:32" ht="11.25" customHeight="1" x14ac:dyDescent="0.3">
      <c r="A188" s="4" t="s">
        <v>21</v>
      </c>
      <c r="B188" s="4" t="s">
        <v>39</v>
      </c>
      <c r="C188" s="4" t="s">
        <v>40</v>
      </c>
      <c r="D188" s="4" t="s">
        <v>44</v>
      </c>
      <c r="E188" s="4" t="s">
        <v>53</v>
      </c>
      <c r="F188" s="4" t="s">
        <v>25</v>
      </c>
      <c r="G188" s="4" t="s">
        <v>25</v>
      </c>
      <c r="H188" s="4" t="s">
        <v>34</v>
      </c>
      <c r="I188" s="5">
        <v>44805</v>
      </c>
      <c r="J188" s="6">
        <v>0</v>
      </c>
      <c r="K188" s="52">
        <v>0</v>
      </c>
      <c r="L188" s="6">
        <v>0.72499999999999998</v>
      </c>
      <c r="M188" s="52">
        <v>0.72499999999999998</v>
      </c>
      <c r="N188" s="6">
        <v>0.72499999999999998</v>
      </c>
      <c r="O188" s="52">
        <v>0.72499999999999998</v>
      </c>
      <c r="P188" s="6">
        <v>0</v>
      </c>
      <c r="Q188" s="4" t="s">
        <v>26</v>
      </c>
      <c r="R188" s="4">
        <v>0</v>
      </c>
      <c r="S188" s="4">
        <v>0</v>
      </c>
      <c r="T188" s="4">
        <v>15</v>
      </c>
      <c r="U188" s="4">
        <v>65</v>
      </c>
      <c r="V188" s="52">
        <f>IF(ISERROR(VLOOKUP($S$188,'TAR FIN'!$A$1:$O$103,15,0)),0,VLOOKUP($S$188,'TAR FIN'!$A$1:$O$103,15,0))</f>
        <v>0</v>
      </c>
      <c r="W188" s="52">
        <f>IF(ISERROR(VLOOKUP($T$188,'TAR FIN'!$A$1:$O$103,15,0)),0,VLOOKUP($T$188,'TAR FIN'!$A$1:$O$103,15,0))*(1-0.04)</f>
        <v>1147.9871999999998</v>
      </c>
      <c r="X188" s="52">
        <f>IF(ISERROR(VLOOKUP($U$188,'TAR FIN'!$A$1:$O$103,15,0)),0,VLOOKUP($U$188,'TAR FIN'!$A$1:$O$103,15,0))*(1-0.04)</f>
        <v>375.8784</v>
      </c>
      <c r="Y188" s="52"/>
      <c r="Z188" s="52">
        <f ca="1">('TUSD BE'!$AM$23+'TUSD BF'!$AM$23+'TUSD CVA'!$AM$23)*1*(1-0.02)</f>
        <v>1357.7878188473314</v>
      </c>
      <c r="AA188" s="52">
        <f>('TE BE'!$AB$8+'TE BF'!$AB$8+'TE CVA'!$AB$8)*1*(1-0.02)</f>
        <v>354.71359410136364</v>
      </c>
      <c r="AB188" s="52">
        <f>(SUBSIDIO!$J$188*SUBSIDIO!$V$188)*(0.04)/(1-0.04)</f>
        <v>0</v>
      </c>
      <c r="AC188" s="52">
        <f>((SUBSIDIO!$L$188*SUBSIDIO!$W$188)+(SUBSIDIO!$N$188*SUBSIDIO!$X$188))*(0.04)/(1-0.04)</f>
        <v>46.033439999999999</v>
      </c>
      <c r="AD188" s="52">
        <f>(SUBSIDIO!$J$188*SUBSIDIO!$Y$188)*(0.02)/(1-0.02)</f>
        <v>0</v>
      </c>
      <c r="AE188" s="52">
        <f ca="1">((SUBSIDIO!$L$188*SUBSIDIO!$Z$188)+(SUBSIDIO!$N$188*SUBSIDIO!$AA$188))*(0.02)/(1-0.02)</f>
        <v>25.338031109955182</v>
      </c>
      <c r="AF188" s="4" t="s">
        <v>811</v>
      </c>
    </row>
    <row r="189" spans="1:32" ht="11.25" customHeight="1" x14ac:dyDescent="0.3">
      <c r="A189" s="4" t="s">
        <v>57</v>
      </c>
      <c r="B189" s="4" t="s">
        <v>39</v>
      </c>
      <c r="C189" s="4" t="s">
        <v>40</v>
      </c>
      <c r="D189" s="4" t="s">
        <v>44</v>
      </c>
      <c r="E189" s="4" t="s">
        <v>53</v>
      </c>
      <c r="F189" s="4" t="s">
        <v>25</v>
      </c>
      <c r="G189" s="4" t="s">
        <v>25</v>
      </c>
      <c r="H189" s="4" t="s">
        <v>34</v>
      </c>
      <c r="I189" s="5">
        <v>44835</v>
      </c>
      <c r="J189" s="6">
        <v>0</v>
      </c>
      <c r="K189" s="52">
        <v>0</v>
      </c>
      <c r="L189" s="6">
        <v>0.72499999999999998</v>
      </c>
      <c r="M189" s="52">
        <v>0.72499999999999998</v>
      </c>
      <c r="N189" s="6">
        <v>0.72499999999999998</v>
      </c>
      <c r="O189" s="52">
        <v>0.72499999999999998</v>
      </c>
      <c r="P189" s="6">
        <v>0</v>
      </c>
      <c r="Q189" s="4" t="s">
        <v>26</v>
      </c>
      <c r="R189" s="4">
        <v>0</v>
      </c>
      <c r="S189" s="4">
        <v>0</v>
      </c>
      <c r="T189" s="4">
        <v>15</v>
      </c>
      <c r="U189" s="4">
        <v>65</v>
      </c>
      <c r="V189" s="52">
        <f>IF(ISERROR(VLOOKUP($S$189,'TAR FIN'!$A$1:$O$103,15,0)),0,VLOOKUP($S$189,'TAR FIN'!$A$1:$O$103,15,0))</f>
        <v>0</v>
      </c>
      <c r="W189" s="52">
        <f>IF(ISERROR(VLOOKUP($T$189,'TAR FIN'!$A$1:$O$103,15,0)),0,VLOOKUP($T$189,'TAR FIN'!$A$1:$O$103,15,0))*(1-0.04)</f>
        <v>1147.9871999999998</v>
      </c>
      <c r="X189" s="52">
        <f>IF(ISERROR(VLOOKUP($U$189,'TAR FIN'!$A$1:$O$103,15,0)),0,VLOOKUP($U$189,'TAR FIN'!$A$1:$O$103,15,0))*(1-0.04)</f>
        <v>375.8784</v>
      </c>
      <c r="Y189" s="52"/>
      <c r="Z189" s="52">
        <f ca="1">('TUSD BE'!$AM$23+'TUSD BF'!$AM$23+'TUSD CVA'!$AM$23)*1*(1-0.02)</f>
        <v>1357.7878188473314</v>
      </c>
      <c r="AA189" s="52">
        <f>('TE BE'!$AB$8+'TE BF'!$AB$8+'TE CVA'!$AB$8)*1*(1-0.02)</f>
        <v>354.71359410136364</v>
      </c>
      <c r="AB189" s="52">
        <f>(SUBSIDIO!$J$189*SUBSIDIO!$V$189)*(0.04)/(1-0.04)</f>
        <v>0</v>
      </c>
      <c r="AC189" s="52">
        <f>((SUBSIDIO!$L$189*SUBSIDIO!$W$189)+(SUBSIDIO!$N$189*SUBSIDIO!$X$189))*(0.04)/(1-0.04)</f>
        <v>46.033439999999999</v>
      </c>
      <c r="AD189" s="52">
        <f>(SUBSIDIO!$J$189*SUBSIDIO!$Y$189)*(0.02)/(1-0.02)</f>
        <v>0</v>
      </c>
      <c r="AE189" s="52">
        <f ca="1">((SUBSIDIO!$L$189*SUBSIDIO!$Z$189)+(SUBSIDIO!$N$189*SUBSIDIO!$AA$189))*(0.02)/(1-0.02)</f>
        <v>25.338031109955182</v>
      </c>
      <c r="AF189" s="4" t="s">
        <v>811</v>
      </c>
    </row>
    <row r="190" spans="1:32" ht="11.25" customHeight="1" x14ac:dyDescent="0.3">
      <c r="A190" s="4" t="s">
        <v>21</v>
      </c>
      <c r="B190" s="4" t="s">
        <v>39</v>
      </c>
      <c r="C190" s="4" t="s">
        <v>40</v>
      </c>
      <c r="D190" s="4" t="s">
        <v>44</v>
      </c>
      <c r="E190" s="4" t="s">
        <v>56</v>
      </c>
      <c r="F190" s="4" t="s">
        <v>25</v>
      </c>
      <c r="G190" s="4" t="s">
        <v>25</v>
      </c>
      <c r="H190" s="4" t="s">
        <v>35</v>
      </c>
      <c r="I190" s="5">
        <v>44501</v>
      </c>
      <c r="J190" s="6">
        <v>0</v>
      </c>
      <c r="K190" s="52">
        <v>0</v>
      </c>
      <c r="L190" s="6">
        <v>0.39800000000000002</v>
      </c>
      <c r="M190" s="52">
        <v>0.39800000000000002</v>
      </c>
      <c r="N190" s="6">
        <v>0.39800000000000002</v>
      </c>
      <c r="O190" s="52">
        <v>0.39800000000000002</v>
      </c>
      <c r="P190" s="6">
        <v>0</v>
      </c>
      <c r="Q190" s="4" t="s">
        <v>26</v>
      </c>
      <c r="R190" s="4">
        <v>0</v>
      </c>
      <c r="S190" s="4">
        <v>0</v>
      </c>
      <c r="T190" s="4">
        <v>17</v>
      </c>
      <c r="U190" s="4">
        <v>66</v>
      </c>
      <c r="V190" s="52">
        <f>IF(ISERROR(VLOOKUP($S$190,'TAR FIN'!$A$1:$O$103,15,0)),0,VLOOKUP($S$190,'TAR FIN'!$A$1:$O$103,15,0))</f>
        <v>0</v>
      </c>
      <c r="W190" s="52">
        <f>IF(ISERROR(VLOOKUP($T$190,'TAR FIN'!$A$1:$O$103,15,0)),0,VLOOKUP($T$190,'TAR FIN'!$A$1:$O$103,15,0))*(1-0.04)</f>
        <v>81.590399999999988</v>
      </c>
      <c r="X190" s="52">
        <f>IF(ISERROR(VLOOKUP($U$190,'TAR FIN'!$A$1:$O$103,15,0)),0,VLOOKUP($U$190,'TAR FIN'!$A$1:$O$103,15,0))*(1-0.04)</f>
        <v>233.0592</v>
      </c>
      <c r="Y190" s="52"/>
      <c r="Z190" s="52">
        <f ca="1">('TUSD BE'!$AM$24+'TUSD BF'!$AM$24+'TUSD CVA'!$AM$24)*1*(1-0.02)</f>
        <v>142.80792645762099</v>
      </c>
      <c r="AA190" s="52">
        <f>('TE BE'!$AB$9+'TE BF'!$AB$9+'TE CVA'!$AB$9)*1*(1-0.02)</f>
        <v>217.94598758226687</v>
      </c>
      <c r="AB190" s="52">
        <f>(SUBSIDIO!$J$190*SUBSIDIO!$V$190)*(0.04)/(1-0.04)</f>
        <v>0</v>
      </c>
      <c r="AC190" s="52">
        <f>((SUBSIDIO!$L$190*SUBSIDIO!$W$190)+(SUBSIDIO!$N$190*SUBSIDIO!$X$190))*(0.04)/(1-0.04)</f>
        <v>5.2179392</v>
      </c>
      <c r="AD190" s="52">
        <f>(SUBSIDIO!$J$190*SUBSIDIO!$Y$190)*(0.02)/(1-0.02)</f>
        <v>0</v>
      </c>
      <c r="AE190" s="52">
        <f ca="1">((SUBSIDIO!$L$190*SUBSIDIO!$Z$190)+(SUBSIDIO!$N$190*SUBSIDIO!$AA$190))*(0.02)/(1-0.02)</f>
        <v>2.9302052609770484</v>
      </c>
      <c r="AF190" s="4" t="s">
        <v>811</v>
      </c>
    </row>
    <row r="191" spans="1:32" ht="11.25" customHeight="1" x14ac:dyDescent="0.3">
      <c r="A191" s="4" t="s">
        <v>21</v>
      </c>
      <c r="B191" s="4" t="s">
        <v>39</v>
      </c>
      <c r="C191" s="4" t="s">
        <v>40</v>
      </c>
      <c r="D191" s="4" t="s">
        <v>44</v>
      </c>
      <c r="E191" s="4" t="s">
        <v>56</v>
      </c>
      <c r="F191" s="4" t="s">
        <v>25</v>
      </c>
      <c r="G191" s="4" t="s">
        <v>25</v>
      </c>
      <c r="H191" s="4" t="s">
        <v>35</v>
      </c>
      <c r="I191" s="5">
        <v>44531</v>
      </c>
      <c r="J191" s="6">
        <v>0</v>
      </c>
      <c r="K191" s="52">
        <v>0</v>
      </c>
      <c r="L191" s="6">
        <v>0.41799999999999998</v>
      </c>
      <c r="M191" s="52">
        <v>0.41799999999999998</v>
      </c>
      <c r="N191" s="6">
        <v>0.41799999999999998</v>
      </c>
      <c r="O191" s="52">
        <v>0.41799999999999998</v>
      </c>
      <c r="P191" s="6">
        <v>0</v>
      </c>
      <c r="Q191" s="4" t="s">
        <v>26</v>
      </c>
      <c r="R191" s="4">
        <v>0</v>
      </c>
      <c r="S191" s="4">
        <v>0</v>
      </c>
      <c r="T191" s="4">
        <v>17</v>
      </c>
      <c r="U191" s="4">
        <v>66</v>
      </c>
      <c r="V191" s="52">
        <f>IF(ISERROR(VLOOKUP($S$191,'TAR FIN'!$A$1:$O$103,15,0)),0,VLOOKUP($S$191,'TAR FIN'!$A$1:$O$103,15,0))</f>
        <v>0</v>
      </c>
      <c r="W191" s="52">
        <f>IF(ISERROR(VLOOKUP($T$191,'TAR FIN'!$A$1:$O$103,15,0)),0,VLOOKUP($T$191,'TAR FIN'!$A$1:$O$103,15,0))*(1-0.04)</f>
        <v>81.590399999999988</v>
      </c>
      <c r="X191" s="52">
        <f>IF(ISERROR(VLOOKUP($U$191,'TAR FIN'!$A$1:$O$103,15,0)),0,VLOOKUP($U$191,'TAR FIN'!$A$1:$O$103,15,0))*(1-0.04)</f>
        <v>233.0592</v>
      </c>
      <c r="Y191" s="52"/>
      <c r="Z191" s="52">
        <f ca="1">('TUSD BE'!$AM$24+'TUSD BF'!$AM$24+'TUSD CVA'!$AM$24)*1*(1-0.02)</f>
        <v>142.80792645762099</v>
      </c>
      <c r="AA191" s="52">
        <f>('TE BE'!$AB$9+'TE BF'!$AB$9+'TE CVA'!$AB$9)*1*(1-0.02)</f>
        <v>217.94598758226687</v>
      </c>
      <c r="AB191" s="52">
        <f>(SUBSIDIO!$J$191*SUBSIDIO!$V$191)*(0.04)/(1-0.04)</f>
        <v>0</v>
      </c>
      <c r="AC191" s="52">
        <f>((SUBSIDIO!$L$191*SUBSIDIO!$W$191)+(SUBSIDIO!$N$191*SUBSIDIO!$X$191))*(0.04)/(1-0.04)</f>
        <v>5.4801472000000002</v>
      </c>
      <c r="AD191" s="52">
        <f>(SUBSIDIO!$J$191*SUBSIDIO!$Y$191)*(0.02)/(1-0.02)</f>
        <v>0</v>
      </c>
      <c r="AE191" s="52">
        <f ca="1">((SUBSIDIO!$L$191*SUBSIDIO!$Z$191)+(SUBSIDIO!$N$191*SUBSIDIO!$AA$191))*(0.02)/(1-0.02)</f>
        <v>3.0774517565035331</v>
      </c>
      <c r="AF191" s="4" t="s">
        <v>811</v>
      </c>
    </row>
    <row r="192" spans="1:32" ht="11.25" customHeight="1" x14ac:dyDescent="0.3">
      <c r="A192" s="4" t="s">
        <v>21</v>
      </c>
      <c r="B192" s="4" t="s">
        <v>39</v>
      </c>
      <c r="C192" s="4" t="s">
        <v>40</v>
      </c>
      <c r="D192" s="4" t="s">
        <v>44</v>
      </c>
      <c r="E192" s="4" t="s">
        <v>56</v>
      </c>
      <c r="F192" s="4" t="s">
        <v>25</v>
      </c>
      <c r="G192" s="4" t="s">
        <v>25</v>
      </c>
      <c r="H192" s="4" t="s">
        <v>35</v>
      </c>
      <c r="I192" s="5">
        <v>44562</v>
      </c>
      <c r="J192" s="6">
        <v>0</v>
      </c>
      <c r="K192" s="52">
        <v>0</v>
      </c>
      <c r="L192" s="6">
        <v>0.42899999999999999</v>
      </c>
      <c r="M192" s="52">
        <v>0.42899999999999999</v>
      </c>
      <c r="N192" s="6">
        <v>0.42899999999999999</v>
      </c>
      <c r="O192" s="52">
        <v>0.42899999999999999</v>
      </c>
      <c r="P192" s="6">
        <v>0</v>
      </c>
      <c r="Q192" s="4" t="s">
        <v>26</v>
      </c>
      <c r="R192" s="4">
        <v>0</v>
      </c>
      <c r="S192" s="4">
        <v>0</v>
      </c>
      <c r="T192" s="4">
        <v>17</v>
      </c>
      <c r="U192" s="4">
        <v>66</v>
      </c>
      <c r="V192" s="52">
        <f>IF(ISERROR(VLOOKUP($S$192,'TAR FIN'!$A$1:$O$103,15,0)),0,VLOOKUP($S$192,'TAR FIN'!$A$1:$O$103,15,0))</f>
        <v>0</v>
      </c>
      <c r="W192" s="52">
        <f>IF(ISERROR(VLOOKUP($T$192,'TAR FIN'!$A$1:$O$103,15,0)),0,VLOOKUP($T$192,'TAR FIN'!$A$1:$O$103,15,0))*(1-0.04)</f>
        <v>81.590399999999988</v>
      </c>
      <c r="X192" s="52">
        <f>IF(ISERROR(VLOOKUP($U$192,'TAR FIN'!$A$1:$O$103,15,0)),0,VLOOKUP($U$192,'TAR FIN'!$A$1:$O$103,15,0))*(1-0.04)</f>
        <v>233.0592</v>
      </c>
      <c r="Y192" s="52"/>
      <c r="Z192" s="52">
        <f ca="1">('TUSD BE'!$AM$24+'TUSD BF'!$AM$24+'TUSD CVA'!$AM$24)*1*(1-0.02)</f>
        <v>142.80792645762099</v>
      </c>
      <c r="AA192" s="52">
        <f>('TE BE'!$AB$9+'TE BF'!$AB$9+'TE CVA'!$AB$9)*1*(1-0.02)</f>
        <v>217.94598758226687</v>
      </c>
      <c r="AB192" s="52">
        <f>(SUBSIDIO!$J$192*SUBSIDIO!$V$192)*(0.04)/(1-0.04)</f>
        <v>0</v>
      </c>
      <c r="AC192" s="52">
        <f>((SUBSIDIO!$L$192*SUBSIDIO!$W$192)+(SUBSIDIO!$N$192*SUBSIDIO!$X$192))*(0.04)/(1-0.04)</f>
        <v>5.6243616000000012</v>
      </c>
      <c r="AD192" s="52">
        <f>(SUBSIDIO!$J$192*SUBSIDIO!$Y$192)*(0.02)/(1-0.02)</f>
        <v>0</v>
      </c>
      <c r="AE192" s="52">
        <f ca="1">((SUBSIDIO!$L$192*SUBSIDIO!$Z$192)+(SUBSIDIO!$N$192*SUBSIDIO!$AA$192))*(0.02)/(1-0.02)</f>
        <v>3.1584373290431005</v>
      </c>
      <c r="AF192" s="4" t="s">
        <v>811</v>
      </c>
    </row>
    <row r="193" spans="1:32" ht="11.25" customHeight="1" x14ac:dyDescent="0.3">
      <c r="A193" s="4" t="s">
        <v>21</v>
      </c>
      <c r="B193" s="4" t="s">
        <v>39</v>
      </c>
      <c r="C193" s="4" t="s">
        <v>40</v>
      </c>
      <c r="D193" s="4" t="s">
        <v>44</v>
      </c>
      <c r="E193" s="4" t="s">
        <v>56</v>
      </c>
      <c r="F193" s="4" t="s">
        <v>25</v>
      </c>
      <c r="G193" s="4" t="s">
        <v>25</v>
      </c>
      <c r="H193" s="4" t="s">
        <v>25</v>
      </c>
      <c r="I193" s="5">
        <v>44501</v>
      </c>
      <c r="J193" s="6">
        <v>1</v>
      </c>
      <c r="K193" s="52">
        <v>1</v>
      </c>
      <c r="L193" s="6">
        <v>0</v>
      </c>
      <c r="M193" s="52">
        <v>0</v>
      </c>
      <c r="N193" s="6">
        <v>0</v>
      </c>
      <c r="O193" s="52">
        <v>0</v>
      </c>
      <c r="P193" s="6">
        <v>2</v>
      </c>
      <c r="Q193" s="4" t="s">
        <v>26</v>
      </c>
      <c r="R193" s="4">
        <v>0</v>
      </c>
      <c r="S193" s="4">
        <v>13</v>
      </c>
      <c r="T193" s="4">
        <v>0</v>
      </c>
      <c r="U193" s="4">
        <v>0</v>
      </c>
      <c r="V193" s="52">
        <f>IF(ISERROR(VLOOKUP($S$193,'TAR FIN'!$A$1:$O$103,15,0)),0,VLOOKUP($S$193,'TAR FIN'!$A$1:$O$103,15,0))*(1-0.04)</f>
        <v>18.1632</v>
      </c>
      <c r="W193" s="52">
        <f>IF(ISERROR(VLOOKUP($T$193,'TAR FIN'!$A$1:$O$103,15,0)),0,VLOOKUP($T$193,'TAR FIN'!$A$1:$O$103,15,0))</f>
        <v>0</v>
      </c>
      <c r="X193" s="52">
        <f>IF(ISERROR(VLOOKUP($U$193,'TAR FIN'!$A$1:$O$103,15,0)),0,VLOOKUP($U$193,'TAR FIN'!$A$1:$O$103,15,0))</f>
        <v>0</v>
      </c>
      <c r="Y193" s="52">
        <f ca="1">('TUSD BE'!$AM$22+'TUSD BF'!$AM$22+'TUSD CVA'!$AM$22)*1*(1-0.02)</f>
        <v>20.941951853111981</v>
      </c>
      <c r="Z193" s="52"/>
      <c r="AA193" s="52"/>
      <c r="AB193" s="52">
        <f>(SUBSIDIO!$J$193*SUBSIDIO!$V$193)*(0.04)/(1-0.04)</f>
        <v>0.75680000000000003</v>
      </c>
      <c r="AC193" s="52">
        <f>((SUBSIDIO!$L$193*SUBSIDIO!$W$193)+(SUBSIDIO!$N$193*SUBSIDIO!$X$193))*(0.04)/(1-0.04)</f>
        <v>0</v>
      </c>
      <c r="AD193" s="52">
        <f ca="1">(SUBSIDIO!$J$193*SUBSIDIO!$Y$193)*(0.02)/(1-0.02)</f>
        <v>0.42738677251248941</v>
      </c>
      <c r="AE193" s="52">
        <f>((SUBSIDIO!$L$193*SUBSIDIO!$Z$193)+(SUBSIDIO!$N$193*SUBSIDIO!$AA$193))*(0.02)/(1-0.02)</f>
        <v>0</v>
      </c>
      <c r="AF193" s="4" t="s">
        <v>811</v>
      </c>
    </row>
    <row r="194" spans="1:32" ht="11.25" customHeight="1" x14ac:dyDescent="0.3">
      <c r="A194" s="4" t="s">
        <v>21</v>
      </c>
      <c r="B194" s="4" t="s">
        <v>39</v>
      </c>
      <c r="C194" s="4" t="s">
        <v>40</v>
      </c>
      <c r="D194" s="4" t="s">
        <v>44</v>
      </c>
      <c r="E194" s="4" t="s">
        <v>56</v>
      </c>
      <c r="F194" s="4" t="s">
        <v>25</v>
      </c>
      <c r="G194" s="4" t="s">
        <v>25</v>
      </c>
      <c r="H194" s="4" t="s">
        <v>25</v>
      </c>
      <c r="I194" s="5">
        <v>44531</v>
      </c>
      <c r="J194" s="6">
        <v>1</v>
      </c>
      <c r="K194" s="52">
        <v>1</v>
      </c>
      <c r="L194" s="6">
        <v>0</v>
      </c>
      <c r="M194" s="52">
        <v>0</v>
      </c>
      <c r="N194" s="6">
        <v>0</v>
      </c>
      <c r="O194" s="52">
        <v>0</v>
      </c>
      <c r="P194" s="6">
        <v>2</v>
      </c>
      <c r="Q194" s="4" t="s">
        <v>26</v>
      </c>
      <c r="R194" s="4">
        <v>0</v>
      </c>
      <c r="S194" s="4">
        <v>13</v>
      </c>
      <c r="T194" s="4">
        <v>0</v>
      </c>
      <c r="U194" s="4">
        <v>0</v>
      </c>
      <c r="V194" s="52">
        <f>IF(ISERROR(VLOOKUP($S$194,'TAR FIN'!$A$1:$O$103,15,0)),0,VLOOKUP($S$194,'TAR FIN'!$A$1:$O$103,15,0))*(1-0.04)</f>
        <v>18.1632</v>
      </c>
      <c r="W194" s="52">
        <f>IF(ISERROR(VLOOKUP($T$194,'TAR FIN'!$A$1:$O$103,15,0)),0,VLOOKUP($T$194,'TAR FIN'!$A$1:$O$103,15,0))</f>
        <v>0</v>
      </c>
      <c r="X194" s="52">
        <f>IF(ISERROR(VLOOKUP($U$194,'TAR FIN'!$A$1:$O$103,15,0)),0,VLOOKUP($U$194,'TAR FIN'!$A$1:$O$103,15,0))</f>
        <v>0</v>
      </c>
      <c r="Y194" s="52">
        <f ca="1">('TUSD BE'!$AM$22+'TUSD BF'!$AM$22+'TUSD CVA'!$AM$22)*1*(1-0.02)</f>
        <v>20.941951853111981</v>
      </c>
      <c r="Z194" s="52"/>
      <c r="AA194" s="52"/>
      <c r="AB194" s="52">
        <f>(SUBSIDIO!$J$194*SUBSIDIO!$V$194)*(0.04)/(1-0.04)</f>
        <v>0.75680000000000003</v>
      </c>
      <c r="AC194" s="52">
        <f>((SUBSIDIO!$L$194*SUBSIDIO!$W$194)+(SUBSIDIO!$N$194*SUBSIDIO!$X$194))*(0.04)/(1-0.04)</f>
        <v>0</v>
      </c>
      <c r="AD194" s="52">
        <f ca="1">(SUBSIDIO!$J$194*SUBSIDIO!$Y$194)*(0.02)/(1-0.02)</f>
        <v>0.42738677251248941</v>
      </c>
      <c r="AE194" s="52">
        <f>((SUBSIDIO!$L$194*SUBSIDIO!$Z$194)+(SUBSIDIO!$N$194*SUBSIDIO!$AA$194))*(0.02)/(1-0.02)</f>
        <v>0</v>
      </c>
      <c r="AF194" s="4" t="s">
        <v>811</v>
      </c>
    </row>
    <row r="195" spans="1:32" ht="11.25" customHeight="1" x14ac:dyDescent="0.3">
      <c r="A195" s="4" t="s">
        <v>21</v>
      </c>
      <c r="B195" s="4" t="s">
        <v>39</v>
      </c>
      <c r="C195" s="4" t="s">
        <v>40</v>
      </c>
      <c r="D195" s="4" t="s">
        <v>44</v>
      </c>
      <c r="E195" s="4" t="s">
        <v>56</v>
      </c>
      <c r="F195" s="4" t="s">
        <v>25</v>
      </c>
      <c r="G195" s="4" t="s">
        <v>25</v>
      </c>
      <c r="H195" s="4" t="s">
        <v>25</v>
      </c>
      <c r="I195" s="5">
        <v>44562</v>
      </c>
      <c r="J195" s="6">
        <v>1</v>
      </c>
      <c r="K195" s="52">
        <v>1</v>
      </c>
      <c r="L195" s="6">
        <v>0</v>
      </c>
      <c r="M195" s="52">
        <v>0</v>
      </c>
      <c r="N195" s="6">
        <v>0</v>
      </c>
      <c r="O195" s="52">
        <v>0</v>
      </c>
      <c r="P195" s="6">
        <v>2</v>
      </c>
      <c r="Q195" s="4" t="s">
        <v>26</v>
      </c>
      <c r="R195" s="4">
        <v>0</v>
      </c>
      <c r="S195" s="4">
        <v>13</v>
      </c>
      <c r="T195" s="4">
        <v>0</v>
      </c>
      <c r="U195" s="4">
        <v>0</v>
      </c>
      <c r="V195" s="52">
        <f>IF(ISERROR(VLOOKUP($S$195,'TAR FIN'!$A$1:$O$103,15,0)),0,VLOOKUP($S$195,'TAR FIN'!$A$1:$O$103,15,0))*(1-0.04)</f>
        <v>18.1632</v>
      </c>
      <c r="W195" s="52">
        <f>IF(ISERROR(VLOOKUP($T$195,'TAR FIN'!$A$1:$O$103,15,0)),0,VLOOKUP($T$195,'TAR FIN'!$A$1:$O$103,15,0))</f>
        <v>0</v>
      </c>
      <c r="X195" s="52">
        <f>IF(ISERROR(VLOOKUP($U$195,'TAR FIN'!$A$1:$O$103,15,0)),0,VLOOKUP($U$195,'TAR FIN'!$A$1:$O$103,15,0))</f>
        <v>0</v>
      </c>
      <c r="Y195" s="52">
        <f ca="1">('TUSD BE'!$AM$22+'TUSD BF'!$AM$22+'TUSD CVA'!$AM$22)*1*(1-0.02)</f>
        <v>20.941951853111981</v>
      </c>
      <c r="Z195" s="52"/>
      <c r="AA195" s="52"/>
      <c r="AB195" s="52">
        <f>(SUBSIDIO!$J$195*SUBSIDIO!$V$195)*(0.04)/(1-0.04)</f>
        <v>0.75680000000000003</v>
      </c>
      <c r="AC195" s="52">
        <f>((SUBSIDIO!$L$195*SUBSIDIO!$W$195)+(SUBSIDIO!$N$195*SUBSIDIO!$X$195))*(0.04)/(1-0.04)</f>
        <v>0</v>
      </c>
      <c r="AD195" s="52">
        <f ca="1">(SUBSIDIO!$J$195*SUBSIDIO!$Y$195)*(0.02)/(1-0.02)</f>
        <v>0.42738677251248941</v>
      </c>
      <c r="AE195" s="52">
        <f>((SUBSIDIO!$L$195*SUBSIDIO!$Z$195)+(SUBSIDIO!$N$195*SUBSIDIO!$AA$195))*(0.02)/(1-0.02)</f>
        <v>0</v>
      </c>
      <c r="AF195" s="4" t="s">
        <v>811</v>
      </c>
    </row>
    <row r="196" spans="1:32" ht="11.25" customHeight="1" x14ac:dyDescent="0.3">
      <c r="A196" s="4" t="s">
        <v>21</v>
      </c>
      <c r="B196" s="4" t="s">
        <v>39</v>
      </c>
      <c r="C196" s="4" t="s">
        <v>40</v>
      </c>
      <c r="D196" s="4" t="s">
        <v>44</v>
      </c>
      <c r="E196" s="4" t="s">
        <v>56</v>
      </c>
      <c r="F196" s="4" t="s">
        <v>25</v>
      </c>
      <c r="G196" s="4" t="s">
        <v>25</v>
      </c>
      <c r="H196" s="4" t="s">
        <v>34</v>
      </c>
      <c r="I196" s="5">
        <v>44501</v>
      </c>
      <c r="J196" s="6">
        <v>0</v>
      </c>
      <c r="K196" s="52">
        <v>0</v>
      </c>
      <c r="L196" s="6">
        <v>0.06</v>
      </c>
      <c r="M196" s="52">
        <v>0.06</v>
      </c>
      <c r="N196" s="6">
        <v>0.06</v>
      </c>
      <c r="O196" s="52">
        <v>0.06</v>
      </c>
      <c r="P196" s="6">
        <v>0</v>
      </c>
      <c r="Q196" s="4" t="s">
        <v>26</v>
      </c>
      <c r="R196" s="4">
        <v>0</v>
      </c>
      <c r="S196" s="4">
        <v>0</v>
      </c>
      <c r="T196" s="4">
        <v>15</v>
      </c>
      <c r="U196" s="4">
        <v>65</v>
      </c>
      <c r="V196" s="52">
        <f>IF(ISERROR(VLOOKUP($S$196,'TAR FIN'!$A$1:$O$103,15,0)),0,VLOOKUP($S$196,'TAR FIN'!$A$1:$O$103,15,0))</f>
        <v>0</v>
      </c>
      <c r="W196" s="52">
        <f>IF(ISERROR(VLOOKUP($T$196,'TAR FIN'!$A$1:$O$103,15,0)),0,VLOOKUP($T$196,'TAR FIN'!$A$1:$O$103,15,0))*(1-0.04)</f>
        <v>1147.9871999999998</v>
      </c>
      <c r="X196" s="52">
        <f>IF(ISERROR(VLOOKUP($U$196,'TAR FIN'!$A$1:$O$103,15,0)),0,VLOOKUP($U$196,'TAR FIN'!$A$1:$O$103,15,0))*(1-0.04)</f>
        <v>375.8784</v>
      </c>
      <c r="Y196" s="52"/>
      <c r="Z196" s="52">
        <f ca="1">('TUSD BE'!$AM$23+'TUSD BF'!$AM$23+'TUSD CVA'!$AM$23)*1*(1-0.02)</f>
        <v>1357.7878188473314</v>
      </c>
      <c r="AA196" s="52">
        <f>('TE BE'!$AB$8+'TE BF'!$AB$8+'TE CVA'!$AB$8)*1*(1-0.02)</f>
        <v>354.71359410136364</v>
      </c>
      <c r="AB196" s="52">
        <f>(SUBSIDIO!$J$196*SUBSIDIO!$V$196)*(0.04)/(1-0.04)</f>
        <v>0</v>
      </c>
      <c r="AC196" s="52">
        <f>((SUBSIDIO!$L$196*SUBSIDIO!$W$196)+(SUBSIDIO!$N$196*SUBSIDIO!$X$196))*(0.04)/(1-0.04)</f>
        <v>3.8096639999999993</v>
      </c>
      <c r="AD196" s="52">
        <f>(SUBSIDIO!$J$196*SUBSIDIO!$Y$196)*(0.02)/(1-0.02)</f>
        <v>0</v>
      </c>
      <c r="AE196" s="52">
        <f ca="1">((SUBSIDIO!$L$196*SUBSIDIO!$Z$196)+(SUBSIDIO!$N$196*SUBSIDIO!$AA$196))*(0.02)/(1-0.02)</f>
        <v>2.0969405056514629</v>
      </c>
      <c r="AF196" s="4" t="s">
        <v>811</v>
      </c>
    </row>
    <row r="197" spans="1:32" ht="11.25" customHeight="1" x14ac:dyDescent="0.3">
      <c r="A197" s="4" t="s">
        <v>21</v>
      </c>
      <c r="B197" s="4" t="s">
        <v>39</v>
      </c>
      <c r="C197" s="4" t="s">
        <v>40</v>
      </c>
      <c r="D197" s="4" t="s">
        <v>44</v>
      </c>
      <c r="E197" s="4" t="s">
        <v>56</v>
      </c>
      <c r="F197" s="4" t="s">
        <v>25</v>
      </c>
      <c r="G197" s="4" t="s">
        <v>25</v>
      </c>
      <c r="H197" s="4" t="s">
        <v>34</v>
      </c>
      <c r="I197" s="5">
        <v>44531</v>
      </c>
      <c r="J197" s="6">
        <v>0</v>
      </c>
      <c r="K197" s="52">
        <v>0</v>
      </c>
      <c r="L197" s="6">
        <v>6.5000000000000002E-2</v>
      </c>
      <c r="M197" s="52">
        <v>6.5000000000000002E-2</v>
      </c>
      <c r="N197" s="6">
        <v>6.5000000000000002E-2</v>
      </c>
      <c r="O197" s="52">
        <v>6.5000000000000002E-2</v>
      </c>
      <c r="P197" s="6">
        <v>0</v>
      </c>
      <c r="Q197" s="4" t="s">
        <v>26</v>
      </c>
      <c r="R197" s="4">
        <v>0</v>
      </c>
      <c r="S197" s="4">
        <v>0</v>
      </c>
      <c r="T197" s="4">
        <v>15</v>
      </c>
      <c r="U197" s="4">
        <v>65</v>
      </c>
      <c r="V197" s="52">
        <f>IF(ISERROR(VLOOKUP($S$197,'TAR FIN'!$A$1:$O$103,15,0)),0,VLOOKUP($S$197,'TAR FIN'!$A$1:$O$103,15,0))</f>
        <v>0</v>
      </c>
      <c r="W197" s="52">
        <f>IF(ISERROR(VLOOKUP($T$197,'TAR FIN'!$A$1:$O$103,15,0)),0,VLOOKUP($T$197,'TAR FIN'!$A$1:$O$103,15,0))*(1-0.04)</f>
        <v>1147.9871999999998</v>
      </c>
      <c r="X197" s="52">
        <f>IF(ISERROR(VLOOKUP($U$197,'TAR FIN'!$A$1:$O$103,15,0)),0,VLOOKUP($U$197,'TAR FIN'!$A$1:$O$103,15,0))*(1-0.04)</f>
        <v>375.8784</v>
      </c>
      <c r="Y197" s="52"/>
      <c r="Z197" s="52">
        <f ca="1">('TUSD BE'!$AM$23+'TUSD BF'!$AM$23+'TUSD CVA'!$AM$23)*1*(1-0.02)</f>
        <v>1357.7878188473314</v>
      </c>
      <c r="AA197" s="52">
        <f>('TE BE'!$AB$8+'TE BF'!$AB$8+'TE CVA'!$AB$8)*1*(1-0.02)</f>
        <v>354.71359410136364</v>
      </c>
      <c r="AB197" s="52">
        <f>(SUBSIDIO!$J$197*SUBSIDIO!$V$197)*(0.04)/(1-0.04)</f>
        <v>0</v>
      </c>
      <c r="AC197" s="52">
        <f>((SUBSIDIO!$L$197*SUBSIDIO!$W$197)+(SUBSIDIO!$N$197*SUBSIDIO!$X$197))*(0.04)/(1-0.04)</f>
        <v>4.1271360000000001</v>
      </c>
      <c r="AD197" s="52">
        <f>(SUBSIDIO!$J$197*SUBSIDIO!$Y$197)*(0.02)/(1-0.02)</f>
        <v>0</v>
      </c>
      <c r="AE197" s="52">
        <f ca="1">((SUBSIDIO!$L$197*SUBSIDIO!$Z$197)+(SUBSIDIO!$N$197*SUBSIDIO!$AA$197))*(0.02)/(1-0.02)</f>
        <v>2.2716855477890854</v>
      </c>
      <c r="AF197" s="4" t="s">
        <v>811</v>
      </c>
    </row>
    <row r="198" spans="1:32" ht="11.25" customHeight="1" x14ac:dyDescent="0.3">
      <c r="A198" s="4" t="s">
        <v>21</v>
      </c>
      <c r="B198" s="4" t="s">
        <v>39</v>
      </c>
      <c r="C198" s="4" t="s">
        <v>40</v>
      </c>
      <c r="D198" s="4" t="s">
        <v>44</v>
      </c>
      <c r="E198" s="4" t="s">
        <v>56</v>
      </c>
      <c r="F198" s="4" t="s">
        <v>25</v>
      </c>
      <c r="G198" s="4" t="s">
        <v>25</v>
      </c>
      <c r="H198" s="4" t="s">
        <v>34</v>
      </c>
      <c r="I198" s="5">
        <v>44562</v>
      </c>
      <c r="J198" s="6">
        <v>0</v>
      </c>
      <c r="K198" s="52">
        <v>0</v>
      </c>
      <c r="L198" s="6">
        <v>5.3999999999999999E-2</v>
      </c>
      <c r="M198" s="52">
        <v>5.3999999999999999E-2</v>
      </c>
      <c r="N198" s="6">
        <v>5.3999999999999999E-2</v>
      </c>
      <c r="O198" s="52">
        <v>5.3999999999999999E-2</v>
      </c>
      <c r="P198" s="6">
        <v>0</v>
      </c>
      <c r="Q198" s="4" t="s">
        <v>26</v>
      </c>
      <c r="R198" s="4">
        <v>0</v>
      </c>
      <c r="S198" s="4">
        <v>0</v>
      </c>
      <c r="T198" s="4">
        <v>15</v>
      </c>
      <c r="U198" s="4">
        <v>65</v>
      </c>
      <c r="V198" s="52">
        <f>IF(ISERROR(VLOOKUP($S$198,'TAR FIN'!$A$1:$O$103,15,0)),0,VLOOKUP($S$198,'TAR FIN'!$A$1:$O$103,15,0))</f>
        <v>0</v>
      </c>
      <c r="W198" s="52">
        <f>IF(ISERROR(VLOOKUP($T$198,'TAR FIN'!$A$1:$O$103,15,0)),0,VLOOKUP($T$198,'TAR FIN'!$A$1:$O$103,15,0))*(1-0.04)</f>
        <v>1147.9871999999998</v>
      </c>
      <c r="X198" s="52">
        <f>IF(ISERROR(VLOOKUP($U$198,'TAR FIN'!$A$1:$O$103,15,0)),0,VLOOKUP($U$198,'TAR FIN'!$A$1:$O$103,15,0))*(1-0.04)</f>
        <v>375.8784</v>
      </c>
      <c r="Y198" s="52"/>
      <c r="Z198" s="52">
        <f ca="1">('TUSD BE'!$AM$23+'TUSD BF'!$AM$23+'TUSD CVA'!$AM$23)*1*(1-0.02)</f>
        <v>1357.7878188473314</v>
      </c>
      <c r="AA198" s="52">
        <f>('TE BE'!$AB$8+'TE BF'!$AB$8+'TE CVA'!$AB$8)*1*(1-0.02)</f>
        <v>354.71359410136364</v>
      </c>
      <c r="AB198" s="52">
        <f>(SUBSIDIO!$J$198*SUBSIDIO!$V$198)*(0.04)/(1-0.04)</f>
        <v>0</v>
      </c>
      <c r="AC198" s="52">
        <f>((SUBSIDIO!$L$198*SUBSIDIO!$W$198)+(SUBSIDIO!$N$198*SUBSIDIO!$X$198))*(0.04)/(1-0.04)</f>
        <v>3.4286976</v>
      </c>
      <c r="AD198" s="52">
        <f>(SUBSIDIO!$J$198*SUBSIDIO!$Y$198)*(0.02)/(1-0.02)</f>
        <v>0</v>
      </c>
      <c r="AE198" s="52">
        <f ca="1">((SUBSIDIO!$L$198*SUBSIDIO!$Z$198)+(SUBSIDIO!$N$198*SUBSIDIO!$AA$198))*(0.02)/(1-0.02)</f>
        <v>1.8872464550863171</v>
      </c>
      <c r="AF198" s="4" t="s">
        <v>811</v>
      </c>
    </row>
    <row r="199" spans="1:32" ht="11.25" customHeight="1" x14ac:dyDescent="0.3">
      <c r="A199" s="4" t="s">
        <v>21</v>
      </c>
      <c r="B199" s="4" t="s">
        <v>39</v>
      </c>
      <c r="C199" s="4" t="s">
        <v>40</v>
      </c>
      <c r="D199" s="4" t="s">
        <v>44</v>
      </c>
      <c r="E199" s="4" t="s">
        <v>25</v>
      </c>
      <c r="F199" s="4" t="s">
        <v>25</v>
      </c>
      <c r="G199" s="4" t="s">
        <v>25</v>
      </c>
      <c r="H199" s="4" t="s">
        <v>35</v>
      </c>
      <c r="I199" s="5">
        <v>44743</v>
      </c>
      <c r="J199" s="6">
        <v>0</v>
      </c>
      <c r="K199" s="52">
        <v>0</v>
      </c>
      <c r="L199" s="6">
        <v>42.765999999999998</v>
      </c>
      <c r="M199" s="52">
        <v>42.765999999999998</v>
      </c>
      <c r="N199" s="6">
        <v>42.765999999999998</v>
      </c>
      <c r="O199" s="52">
        <v>42.765999999999998</v>
      </c>
      <c r="P199" s="6">
        <v>0</v>
      </c>
      <c r="Q199" s="4" t="s">
        <v>26</v>
      </c>
      <c r="R199" s="4">
        <v>0</v>
      </c>
      <c r="S199" s="4">
        <v>0</v>
      </c>
      <c r="T199" s="4">
        <v>17</v>
      </c>
      <c r="U199" s="4">
        <v>66</v>
      </c>
      <c r="V199" s="52">
        <f>IF(ISERROR(VLOOKUP($S$199,'TAR FIN'!$A$1:$O$103,15,0)),0,VLOOKUP($S$199,'TAR FIN'!$A$1:$O$103,15,0))</f>
        <v>0</v>
      </c>
      <c r="W199" s="52">
        <f>IF(ISERROR(VLOOKUP($T$199,'TAR FIN'!$A$1:$O$103,15,0)),0,VLOOKUP($T$199,'TAR FIN'!$A$1:$O$103,15,0))*(1-0.04)</f>
        <v>81.590399999999988</v>
      </c>
      <c r="X199" s="52">
        <f>IF(ISERROR(VLOOKUP($U$199,'TAR FIN'!$A$1:$O$103,15,0)),0,VLOOKUP($U$199,'TAR FIN'!$A$1:$O$103,15,0))*(1-0.04)</f>
        <v>233.0592</v>
      </c>
      <c r="Y199" s="52"/>
      <c r="Z199" s="52">
        <f ca="1">('TUSD BE'!$AM$24+'TUSD BF'!$AM$24+'TUSD CVA'!$AM$24)*1*(1-0.02)</f>
        <v>142.80792645762099</v>
      </c>
      <c r="AA199" s="52">
        <f>('TE BE'!$AB$9+'TE BF'!$AB$9+'TE CVA'!$AB$9)*1*(1-0.02)</f>
        <v>217.94598758226687</v>
      </c>
      <c r="AB199" s="52">
        <f>(SUBSIDIO!$J$199*SUBSIDIO!$V$199)*(0.04)/(1-0.04)</f>
        <v>0</v>
      </c>
      <c r="AC199" s="52">
        <f>((SUBSIDIO!$L$199*SUBSIDIO!$W$199)+(SUBSIDIO!$N$199*SUBSIDIO!$X$199))*(0.04)/(1-0.04)</f>
        <v>560.67936639999994</v>
      </c>
      <c r="AD199" s="52">
        <f>(SUBSIDIO!$J$199*SUBSIDIO!$Y$199)*(0.02)/(1-0.02)</f>
        <v>0</v>
      </c>
      <c r="AE199" s="52">
        <f ca="1">((SUBSIDIO!$L$199*SUBSIDIO!$Z$199)+(SUBSIDIO!$N$199*SUBSIDIO!$AA$199))*(0.02)/(1-0.02)</f>
        <v>314.85718138428257</v>
      </c>
      <c r="AF199" s="4" t="s">
        <v>811</v>
      </c>
    </row>
    <row r="200" spans="1:32" ht="11.25" customHeight="1" x14ac:dyDescent="0.3">
      <c r="A200" s="4" t="s">
        <v>21</v>
      </c>
      <c r="B200" s="4" t="s">
        <v>39</v>
      </c>
      <c r="C200" s="4" t="s">
        <v>40</v>
      </c>
      <c r="D200" s="4" t="s">
        <v>44</v>
      </c>
      <c r="E200" s="4" t="s">
        <v>25</v>
      </c>
      <c r="F200" s="4" t="s">
        <v>25</v>
      </c>
      <c r="G200" s="4" t="s">
        <v>25</v>
      </c>
      <c r="H200" s="4" t="s">
        <v>35</v>
      </c>
      <c r="I200" s="5">
        <v>44774</v>
      </c>
      <c r="J200" s="6">
        <v>0</v>
      </c>
      <c r="K200" s="52">
        <v>0</v>
      </c>
      <c r="L200" s="6">
        <v>37.598999999999997</v>
      </c>
      <c r="M200" s="52">
        <v>37.598999999999997</v>
      </c>
      <c r="N200" s="6">
        <v>37.598999999999997</v>
      </c>
      <c r="O200" s="52">
        <v>37.598999999999997</v>
      </c>
      <c r="P200" s="6">
        <v>0</v>
      </c>
      <c r="Q200" s="4" t="s">
        <v>26</v>
      </c>
      <c r="R200" s="4">
        <v>0</v>
      </c>
      <c r="S200" s="4">
        <v>0</v>
      </c>
      <c r="T200" s="4">
        <v>17</v>
      </c>
      <c r="U200" s="4">
        <v>66</v>
      </c>
      <c r="V200" s="52">
        <f>IF(ISERROR(VLOOKUP($S$200,'TAR FIN'!$A$1:$O$103,15,0)),0,VLOOKUP($S$200,'TAR FIN'!$A$1:$O$103,15,0))</f>
        <v>0</v>
      </c>
      <c r="W200" s="52">
        <f>IF(ISERROR(VLOOKUP($T$200,'TAR FIN'!$A$1:$O$103,15,0)),0,VLOOKUP($T$200,'TAR FIN'!$A$1:$O$103,15,0))*(1-0.04)</f>
        <v>81.590399999999988</v>
      </c>
      <c r="X200" s="52">
        <f>IF(ISERROR(VLOOKUP($U$200,'TAR FIN'!$A$1:$O$103,15,0)),0,VLOOKUP($U$200,'TAR FIN'!$A$1:$O$103,15,0))*(1-0.04)</f>
        <v>233.0592</v>
      </c>
      <c r="Y200" s="52"/>
      <c r="Z200" s="52">
        <f ca="1">('TUSD BE'!$AM$24+'TUSD BF'!$AM$24+'TUSD CVA'!$AM$24)*1*(1-0.02)</f>
        <v>142.80792645762099</v>
      </c>
      <c r="AA200" s="52">
        <f>('TE BE'!$AB$9+'TE BF'!$AB$9+'TE CVA'!$AB$9)*1*(1-0.02)</f>
        <v>217.94598758226687</v>
      </c>
      <c r="AB200" s="52">
        <f>(SUBSIDIO!$J$200*SUBSIDIO!$V$200)*(0.04)/(1-0.04)</f>
        <v>0</v>
      </c>
      <c r="AC200" s="52">
        <f>((SUBSIDIO!$L$200*SUBSIDIO!$W$200)+(SUBSIDIO!$N$200*SUBSIDIO!$X$200))*(0.04)/(1-0.04)</f>
        <v>492.93792960000002</v>
      </c>
      <c r="AD200" s="52">
        <f>(SUBSIDIO!$J$200*SUBSIDIO!$Y$200)*(0.02)/(1-0.02)</f>
        <v>0</v>
      </c>
      <c r="AE200" s="52">
        <f ca="1">((SUBSIDIO!$L$200*SUBSIDIO!$Z$200)+(SUBSIDIO!$N$200*SUBSIDIO!$AA$200))*(0.02)/(1-0.02)</f>
        <v>276.81604926501518</v>
      </c>
      <c r="AF200" s="4" t="s">
        <v>811</v>
      </c>
    </row>
    <row r="201" spans="1:32" ht="11.25" customHeight="1" x14ac:dyDescent="0.3">
      <c r="A201" s="4" t="s">
        <v>21</v>
      </c>
      <c r="B201" s="4" t="s">
        <v>39</v>
      </c>
      <c r="C201" s="4" t="s">
        <v>40</v>
      </c>
      <c r="D201" s="4" t="s">
        <v>44</v>
      </c>
      <c r="E201" s="4" t="s">
        <v>25</v>
      </c>
      <c r="F201" s="4" t="s">
        <v>25</v>
      </c>
      <c r="G201" s="4" t="s">
        <v>25</v>
      </c>
      <c r="H201" s="4" t="s">
        <v>35</v>
      </c>
      <c r="I201" s="5">
        <v>44805</v>
      </c>
      <c r="J201" s="6">
        <v>0</v>
      </c>
      <c r="K201" s="52">
        <v>0</v>
      </c>
      <c r="L201" s="6">
        <v>35.881999999999998</v>
      </c>
      <c r="M201" s="52">
        <v>35.881999999999998</v>
      </c>
      <c r="N201" s="6">
        <v>35.881999999999998</v>
      </c>
      <c r="O201" s="52">
        <v>35.881999999999998</v>
      </c>
      <c r="P201" s="6">
        <v>0</v>
      </c>
      <c r="Q201" s="4" t="s">
        <v>26</v>
      </c>
      <c r="R201" s="4">
        <v>0</v>
      </c>
      <c r="S201" s="4">
        <v>0</v>
      </c>
      <c r="T201" s="4">
        <v>17</v>
      </c>
      <c r="U201" s="4">
        <v>66</v>
      </c>
      <c r="V201" s="52">
        <f>IF(ISERROR(VLOOKUP($S$201,'TAR FIN'!$A$1:$O$103,15,0)),0,VLOOKUP($S$201,'TAR FIN'!$A$1:$O$103,15,0))</f>
        <v>0</v>
      </c>
      <c r="W201" s="52">
        <f>IF(ISERROR(VLOOKUP($T$201,'TAR FIN'!$A$1:$O$103,15,0)),0,VLOOKUP($T$201,'TAR FIN'!$A$1:$O$103,15,0))*(1-0.04)</f>
        <v>81.590399999999988</v>
      </c>
      <c r="X201" s="52">
        <f>IF(ISERROR(VLOOKUP($U$201,'TAR FIN'!$A$1:$O$103,15,0)),0,VLOOKUP($U$201,'TAR FIN'!$A$1:$O$103,15,0))*(1-0.04)</f>
        <v>233.0592</v>
      </c>
      <c r="Y201" s="52"/>
      <c r="Z201" s="52">
        <f ca="1">('TUSD BE'!$AM$24+'TUSD BF'!$AM$24+'TUSD CVA'!$AM$24)*1*(1-0.02)</f>
        <v>142.80792645762099</v>
      </c>
      <c r="AA201" s="52">
        <f>('TE BE'!$AB$9+'TE BF'!$AB$9+'TE CVA'!$AB$9)*1*(1-0.02)</f>
        <v>217.94598758226687</v>
      </c>
      <c r="AB201" s="52">
        <f>(SUBSIDIO!$J$201*SUBSIDIO!$V$201)*(0.04)/(1-0.04)</f>
        <v>0</v>
      </c>
      <c r="AC201" s="52">
        <f>((SUBSIDIO!$L$201*SUBSIDIO!$W$201)+(SUBSIDIO!$N$201*SUBSIDIO!$X$201))*(0.04)/(1-0.04)</f>
        <v>470.4273728</v>
      </c>
      <c r="AD201" s="52">
        <f>(SUBSIDIO!$J$201*SUBSIDIO!$Y$201)*(0.02)/(1-0.02)</f>
        <v>0</v>
      </c>
      <c r="AE201" s="52">
        <f ca="1">((SUBSIDIO!$L$201*SUBSIDIO!$Z$201)+(SUBSIDIO!$N$201*SUBSIDIO!$AA$201))*(0.02)/(1-0.02)</f>
        <v>264.17493762406644</v>
      </c>
      <c r="AF201" s="4" t="s">
        <v>811</v>
      </c>
    </row>
    <row r="202" spans="1:32" ht="11.25" customHeight="1" x14ac:dyDescent="0.3">
      <c r="A202" s="4" t="s">
        <v>57</v>
      </c>
      <c r="B202" s="4" t="s">
        <v>39</v>
      </c>
      <c r="C202" s="4" t="s">
        <v>40</v>
      </c>
      <c r="D202" s="4" t="s">
        <v>44</v>
      </c>
      <c r="E202" s="4" t="s">
        <v>25</v>
      </c>
      <c r="F202" s="4" t="s">
        <v>25</v>
      </c>
      <c r="G202" s="4" t="s">
        <v>25</v>
      </c>
      <c r="H202" s="4" t="s">
        <v>35</v>
      </c>
      <c r="I202" s="5">
        <v>44835</v>
      </c>
      <c r="J202" s="6">
        <v>0</v>
      </c>
      <c r="K202" s="52">
        <v>0</v>
      </c>
      <c r="L202" s="6">
        <v>35.881999999999998</v>
      </c>
      <c r="M202" s="52">
        <v>35.881999999999998</v>
      </c>
      <c r="N202" s="6">
        <v>35.881999999999998</v>
      </c>
      <c r="O202" s="52">
        <v>35.881999999999998</v>
      </c>
      <c r="P202" s="6">
        <v>0</v>
      </c>
      <c r="Q202" s="4" t="s">
        <v>26</v>
      </c>
      <c r="R202" s="4">
        <v>0</v>
      </c>
      <c r="S202" s="4">
        <v>0</v>
      </c>
      <c r="T202" s="4">
        <v>17</v>
      </c>
      <c r="U202" s="4">
        <v>66</v>
      </c>
      <c r="V202" s="52">
        <f>IF(ISERROR(VLOOKUP($S$202,'TAR FIN'!$A$1:$O$103,15,0)),0,VLOOKUP($S$202,'TAR FIN'!$A$1:$O$103,15,0))</f>
        <v>0</v>
      </c>
      <c r="W202" s="52">
        <f>IF(ISERROR(VLOOKUP($T$202,'TAR FIN'!$A$1:$O$103,15,0)),0,VLOOKUP($T$202,'TAR FIN'!$A$1:$O$103,15,0))*(1-0.04)</f>
        <v>81.590399999999988</v>
      </c>
      <c r="X202" s="52">
        <f>IF(ISERROR(VLOOKUP($U$202,'TAR FIN'!$A$1:$O$103,15,0)),0,VLOOKUP($U$202,'TAR FIN'!$A$1:$O$103,15,0))*(1-0.04)</f>
        <v>233.0592</v>
      </c>
      <c r="Y202" s="52"/>
      <c r="Z202" s="52">
        <f ca="1">('TUSD BE'!$AM$24+'TUSD BF'!$AM$24+'TUSD CVA'!$AM$24)*1*(1-0.02)</f>
        <v>142.80792645762099</v>
      </c>
      <c r="AA202" s="52">
        <f>('TE BE'!$AB$9+'TE BF'!$AB$9+'TE CVA'!$AB$9)*1*(1-0.02)</f>
        <v>217.94598758226687</v>
      </c>
      <c r="AB202" s="52">
        <f>(SUBSIDIO!$J$202*SUBSIDIO!$V$202)*(0.04)/(1-0.04)</f>
        <v>0</v>
      </c>
      <c r="AC202" s="52">
        <f>((SUBSIDIO!$L$202*SUBSIDIO!$W$202)+(SUBSIDIO!$N$202*SUBSIDIO!$X$202))*(0.04)/(1-0.04)</f>
        <v>470.4273728</v>
      </c>
      <c r="AD202" s="52">
        <f>(SUBSIDIO!$J$202*SUBSIDIO!$Y$202)*(0.02)/(1-0.02)</f>
        <v>0</v>
      </c>
      <c r="AE202" s="52">
        <f ca="1">((SUBSIDIO!$L$202*SUBSIDIO!$Z$202)+(SUBSIDIO!$N$202*SUBSIDIO!$AA$202))*(0.02)/(1-0.02)</f>
        <v>264.17493762406644</v>
      </c>
      <c r="AF202" s="4" t="s">
        <v>811</v>
      </c>
    </row>
    <row r="203" spans="1:32" ht="11.25" customHeight="1" x14ac:dyDescent="0.3">
      <c r="A203" s="4" t="s">
        <v>21</v>
      </c>
      <c r="B203" s="4" t="s">
        <v>39</v>
      </c>
      <c r="C203" s="4" t="s">
        <v>40</v>
      </c>
      <c r="D203" s="4" t="s">
        <v>44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44743</v>
      </c>
      <c r="J203" s="6">
        <v>149</v>
      </c>
      <c r="K203" s="52">
        <v>149</v>
      </c>
      <c r="L203" s="6">
        <v>0</v>
      </c>
      <c r="M203" s="52">
        <v>0</v>
      </c>
      <c r="N203" s="6">
        <v>0</v>
      </c>
      <c r="O203" s="52">
        <v>0</v>
      </c>
      <c r="P203" s="6">
        <v>1</v>
      </c>
      <c r="Q203" s="4" t="s">
        <v>26</v>
      </c>
      <c r="R203" s="4">
        <v>0</v>
      </c>
      <c r="S203" s="4">
        <v>13</v>
      </c>
      <c r="T203" s="4">
        <v>0</v>
      </c>
      <c r="U203" s="4">
        <v>0</v>
      </c>
      <c r="V203" s="52">
        <f>IF(ISERROR(VLOOKUP($S$203,'TAR FIN'!$A$1:$O$103,15,0)),0,VLOOKUP($S$203,'TAR FIN'!$A$1:$O$103,15,0))*(1-0.04)</f>
        <v>18.1632</v>
      </c>
      <c r="W203" s="52">
        <f>IF(ISERROR(VLOOKUP($T$203,'TAR FIN'!$A$1:$O$103,15,0)),0,VLOOKUP($T$203,'TAR FIN'!$A$1:$O$103,15,0))</f>
        <v>0</v>
      </c>
      <c r="X203" s="52">
        <f>IF(ISERROR(VLOOKUP($U$203,'TAR FIN'!$A$1:$O$103,15,0)),0,VLOOKUP($U$203,'TAR FIN'!$A$1:$O$103,15,0))</f>
        <v>0</v>
      </c>
      <c r="Y203" s="52">
        <f ca="1">('TUSD BE'!$AM$22+'TUSD BF'!$AM$22+'TUSD CVA'!$AM$22)*1*(1-0.02)</f>
        <v>20.941951853111981</v>
      </c>
      <c r="Z203" s="52"/>
      <c r="AA203" s="52"/>
      <c r="AB203" s="52">
        <f>(SUBSIDIO!$J$203*SUBSIDIO!$V$203)*(0.04)/(1-0.04)</f>
        <v>112.76320000000001</v>
      </c>
      <c r="AC203" s="52">
        <f>((SUBSIDIO!$L$203*SUBSIDIO!$W$203)+(SUBSIDIO!$N$203*SUBSIDIO!$X$203))*(0.04)/(1-0.04)</f>
        <v>0</v>
      </c>
      <c r="AD203" s="52">
        <f ca="1">(SUBSIDIO!$J$203*SUBSIDIO!$Y$203)*(0.02)/(1-0.02)</f>
        <v>63.680629104360918</v>
      </c>
      <c r="AE203" s="52">
        <f>((SUBSIDIO!$L$203*SUBSIDIO!$Z$203)+(SUBSIDIO!$N$203*SUBSIDIO!$AA$203))*(0.02)/(1-0.02)</f>
        <v>0</v>
      </c>
      <c r="AF203" s="4" t="s">
        <v>811</v>
      </c>
    </row>
    <row r="204" spans="1:32" ht="11.25" customHeight="1" x14ac:dyDescent="0.3">
      <c r="A204" s="4" t="s">
        <v>21</v>
      </c>
      <c r="B204" s="4" t="s">
        <v>39</v>
      </c>
      <c r="C204" s="4" t="s">
        <v>40</v>
      </c>
      <c r="D204" s="4" t="s">
        <v>44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44774</v>
      </c>
      <c r="J204" s="6">
        <v>149</v>
      </c>
      <c r="K204" s="52">
        <v>149</v>
      </c>
      <c r="L204" s="6">
        <v>0</v>
      </c>
      <c r="M204" s="52">
        <v>0</v>
      </c>
      <c r="N204" s="6">
        <v>0</v>
      </c>
      <c r="O204" s="52">
        <v>0</v>
      </c>
      <c r="P204" s="6">
        <v>1</v>
      </c>
      <c r="Q204" s="4" t="s">
        <v>26</v>
      </c>
      <c r="R204" s="4">
        <v>0</v>
      </c>
      <c r="S204" s="4">
        <v>13</v>
      </c>
      <c r="T204" s="4">
        <v>0</v>
      </c>
      <c r="U204" s="4">
        <v>0</v>
      </c>
      <c r="V204" s="52">
        <f>IF(ISERROR(VLOOKUP($S$204,'TAR FIN'!$A$1:$O$103,15,0)),0,VLOOKUP($S$204,'TAR FIN'!$A$1:$O$103,15,0))*(1-0.04)</f>
        <v>18.1632</v>
      </c>
      <c r="W204" s="52">
        <f>IF(ISERROR(VLOOKUP($T$204,'TAR FIN'!$A$1:$O$103,15,0)),0,VLOOKUP($T$204,'TAR FIN'!$A$1:$O$103,15,0))</f>
        <v>0</v>
      </c>
      <c r="X204" s="52">
        <f>IF(ISERROR(VLOOKUP($U$204,'TAR FIN'!$A$1:$O$103,15,0)),0,VLOOKUP($U$204,'TAR FIN'!$A$1:$O$103,15,0))</f>
        <v>0</v>
      </c>
      <c r="Y204" s="52">
        <f ca="1">('TUSD BE'!$AM$22+'TUSD BF'!$AM$22+'TUSD CVA'!$AM$22)*1*(1-0.02)</f>
        <v>20.941951853111981</v>
      </c>
      <c r="Z204" s="52"/>
      <c r="AA204" s="52"/>
      <c r="AB204" s="52">
        <f>(SUBSIDIO!$J$204*SUBSIDIO!$V$204)*(0.04)/(1-0.04)</f>
        <v>112.76320000000001</v>
      </c>
      <c r="AC204" s="52">
        <f>((SUBSIDIO!$L$204*SUBSIDIO!$W$204)+(SUBSIDIO!$N$204*SUBSIDIO!$X$204))*(0.04)/(1-0.04)</f>
        <v>0</v>
      </c>
      <c r="AD204" s="52">
        <f ca="1">(SUBSIDIO!$J$204*SUBSIDIO!$Y$204)*(0.02)/(1-0.02)</f>
        <v>63.680629104360918</v>
      </c>
      <c r="AE204" s="52">
        <f>((SUBSIDIO!$L$204*SUBSIDIO!$Z$204)+(SUBSIDIO!$N$204*SUBSIDIO!$AA$204))*(0.02)/(1-0.02)</f>
        <v>0</v>
      </c>
      <c r="AF204" s="4" t="s">
        <v>811</v>
      </c>
    </row>
    <row r="205" spans="1:32" ht="11.25" customHeight="1" x14ac:dyDescent="0.3">
      <c r="A205" s="4" t="s">
        <v>21</v>
      </c>
      <c r="B205" s="4" t="s">
        <v>39</v>
      </c>
      <c r="C205" s="4" t="s">
        <v>40</v>
      </c>
      <c r="D205" s="4" t="s">
        <v>44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44805</v>
      </c>
      <c r="J205" s="6">
        <v>149</v>
      </c>
      <c r="K205" s="52">
        <v>149</v>
      </c>
      <c r="L205" s="6">
        <v>0</v>
      </c>
      <c r="M205" s="52">
        <v>0</v>
      </c>
      <c r="N205" s="6">
        <v>0</v>
      </c>
      <c r="O205" s="52">
        <v>0</v>
      </c>
      <c r="P205" s="6">
        <v>1</v>
      </c>
      <c r="Q205" s="4" t="s">
        <v>26</v>
      </c>
      <c r="R205" s="4">
        <v>0</v>
      </c>
      <c r="S205" s="4">
        <v>13</v>
      </c>
      <c r="T205" s="4">
        <v>0</v>
      </c>
      <c r="U205" s="4">
        <v>0</v>
      </c>
      <c r="V205" s="52">
        <f>IF(ISERROR(VLOOKUP($S$205,'TAR FIN'!$A$1:$O$103,15,0)),0,VLOOKUP($S$205,'TAR FIN'!$A$1:$O$103,15,0))*(1-0.04)</f>
        <v>18.1632</v>
      </c>
      <c r="W205" s="52">
        <f>IF(ISERROR(VLOOKUP($T$205,'TAR FIN'!$A$1:$O$103,15,0)),0,VLOOKUP($T$205,'TAR FIN'!$A$1:$O$103,15,0))</f>
        <v>0</v>
      </c>
      <c r="X205" s="52">
        <f>IF(ISERROR(VLOOKUP($U$205,'TAR FIN'!$A$1:$O$103,15,0)),0,VLOOKUP($U$205,'TAR FIN'!$A$1:$O$103,15,0))</f>
        <v>0</v>
      </c>
      <c r="Y205" s="52">
        <f ca="1">('TUSD BE'!$AM$22+'TUSD BF'!$AM$22+'TUSD CVA'!$AM$22)*1*(1-0.02)</f>
        <v>20.941951853111981</v>
      </c>
      <c r="Z205" s="52"/>
      <c r="AA205" s="52"/>
      <c r="AB205" s="52">
        <f>(SUBSIDIO!$J$205*SUBSIDIO!$V$205)*(0.04)/(1-0.04)</f>
        <v>112.76320000000001</v>
      </c>
      <c r="AC205" s="52">
        <f>((SUBSIDIO!$L$205*SUBSIDIO!$W$205)+(SUBSIDIO!$N$205*SUBSIDIO!$X$205))*(0.04)/(1-0.04)</f>
        <v>0</v>
      </c>
      <c r="AD205" s="52">
        <f ca="1">(SUBSIDIO!$J$205*SUBSIDIO!$Y$205)*(0.02)/(1-0.02)</f>
        <v>63.680629104360918</v>
      </c>
      <c r="AE205" s="52">
        <f>((SUBSIDIO!$L$205*SUBSIDIO!$Z$205)+(SUBSIDIO!$N$205*SUBSIDIO!$AA$205))*(0.02)/(1-0.02)</f>
        <v>0</v>
      </c>
      <c r="AF205" s="4" t="s">
        <v>811</v>
      </c>
    </row>
    <row r="206" spans="1:32" ht="11.25" customHeight="1" x14ac:dyDescent="0.3">
      <c r="A206" s="4" t="s">
        <v>57</v>
      </c>
      <c r="B206" s="4" t="s">
        <v>39</v>
      </c>
      <c r="C206" s="4" t="s">
        <v>40</v>
      </c>
      <c r="D206" s="4" t="s">
        <v>44</v>
      </c>
      <c r="E206" s="4" t="s">
        <v>25</v>
      </c>
      <c r="F206" s="4" t="s">
        <v>25</v>
      </c>
      <c r="G206" s="4" t="s">
        <v>25</v>
      </c>
      <c r="H206" s="4" t="s">
        <v>25</v>
      </c>
      <c r="I206" s="5">
        <v>44835</v>
      </c>
      <c r="J206" s="6">
        <v>149</v>
      </c>
      <c r="K206" s="52">
        <v>149</v>
      </c>
      <c r="L206" s="6">
        <v>0</v>
      </c>
      <c r="M206" s="52">
        <v>0</v>
      </c>
      <c r="N206" s="6">
        <v>0</v>
      </c>
      <c r="O206" s="52">
        <v>0</v>
      </c>
      <c r="P206" s="6">
        <v>1</v>
      </c>
      <c r="Q206" s="4" t="s">
        <v>26</v>
      </c>
      <c r="R206" s="4">
        <v>0</v>
      </c>
      <c r="S206" s="4">
        <v>13</v>
      </c>
      <c r="T206" s="4">
        <v>0</v>
      </c>
      <c r="U206" s="4">
        <v>0</v>
      </c>
      <c r="V206" s="52">
        <f>IF(ISERROR(VLOOKUP($S$206,'TAR FIN'!$A$1:$O$103,15,0)),0,VLOOKUP($S$206,'TAR FIN'!$A$1:$O$103,15,0))*(1-0.04)</f>
        <v>18.1632</v>
      </c>
      <c r="W206" s="52">
        <f>IF(ISERROR(VLOOKUP($T$206,'TAR FIN'!$A$1:$O$103,15,0)),0,VLOOKUP($T$206,'TAR FIN'!$A$1:$O$103,15,0))</f>
        <v>0</v>
      </c>
      <c r="X206" s="52">
        <f>IF(ISERROR(VLOOKUP($U$206,'TAR FIN'!$A$1:$O$103,15,0)),0,VLOOKUP($U$206,'TAR FIN'!$A$1:$O$103,15,0))</f>
        <v>0</v>
      </c>
      <c r="Y206" s="52">
        <f ca="1">('TUSD BE'!$AM$22+'TUSD BF'!$AM$22+'TUSD CVA'!$AM$22)*1*(1-0.02)</f>
        <v>20.941951853111981</v>
      </c>
      <c r="Z206" s="52"/>
      <c r="AA206" s="52"/>
      <c r="AB206" s="52">
        <f>(SUBSIDIO!$J$206*SUBSIDIO!$V$206)*(0.04)/(1-0.04)</f>
        <v>112.76320000000001</v>
      </c>
      <c r="AC206" s="52">
        <f>((SUBSIDIO!$L$206*SUBSIDIO!$W$206)+(SUBSIDIO!$N$206*SUBSIDIO!$X$206))*(0.04)/(1-0.04)</f>
        <v>0</v>
      </c>
      <c r="AD206" s="52">
        <f ca="1">(SUBSIDIO!$J$206*SUBSIDIO!$Y$206)*(0.02)/(1-0.02)</f>
        <v>63.680629104360918</v>
      </c>
      <c r="AE206" s="52">
        <f>((SUBSIDIO!$L$206*SUBSIDIO!$Z$206)+(SUBSIDIO!$N$206*SUBSIDIO!$AA$206))*(0.02)/(1-0.02)</f>
        <v>0</v>
      </c>
      <c r="AF206" s="4" t="s">
        <v>811</v>
      </c>
    </row>
    <row r="207" spans="1:32" ht="11.25" customHeight="1" x14ac:dyDescent="0.3">
      <c r="A207" s="4" t="s">
        <v>21</v>
      </c>
      <c r="B207" s="4" t="s">
        <v>39</v>
      </c>
      <c r="C207" s="4" t="s">
        <v>40</v>
      </c>
      <c r="D207" s="4" t="s">
        <v>44</v>
      </c>
      <c r="E207" s="4" t="s">
        <v>25</v>
      </c>
      <c r="F207" s="4" t="s">
        <v>25</v>
      </c>
      <c r="G207" s="4" t="s">
        <v>25</v>
      </c>
      <c r="H207" s="4" t="s">
        <v>34</v>
      </c>
      <c r="I207" s="5">
        <v>44743</v>
      </c>
      <c r="J207" s="6">
        <v>0</v>
      </c>
      <c r="K207" s="52">
        <v>0</v>
      </c>
      <c r="L207" s="6">
        <v>4.8419999999999996</v>
      </c>
      <c r="M207" s="52">
        <v>4.8419999999999996</v>
      </c>
      <c r="N207" s="6">
        <v>4.8419999999999996</v>
      </c>
      <c r="O207" s="52">
        <v>4.8419999999999996</v>
      </c>
      <c r="P207" s="6">
        <v>0</v>
      </c>
      <c r="Q207" s="4" t="s">
        <v>26</v>
      </c>
      <c r="R207" s="4">
        <v>0</v>
      </c>
      <c r="S207" s="4">
        <v>0</v>
      </c>
      <c r="T207" s="4">
        <v>15</v>
      </c>
      <c r="U207" s="4">
        <v>65</v>
      </c>
      <c r="V207" s="52">
        <f>IF(ISERROR(VLOOKUP($S$207,'TAR FIN'!$A$1:$O$103,15,0)),0,VLOOKUP($S$207,'TAR FIN'!$A$1:$O$103,15,0))</f>
        <v>0</v>
      </c>
      <c r="W207" s="52">
        <f>IF(ISERROR(VLOOKUP($T$207,'TAR FIN'!$A$1:$O$103,15,0)),0,VLOOKUP($T$207,'TAR FIN'!$A$1:$O$103,15,0))*(1-0.04)</f>
        <v>1147.9871999999998</v>
      </c>
      <c r="X207" s="52">
        <f>IF(ISERROR(VLOOKUP($U$207,'TAR FIN'!$A$1:$O$103,15,0)),0,VLOOKUP($U$207,'TAR FIN'!$A$1:$O$103,15,0))*(1-0.04)</f>
        <v>375.8784</v>
      </c>
      <c r="Y207" s="52"/>
      <c r="Z207" s="52">
        <f ca="1">('TUSD BE'!$AM$23+'TUSD BF'!$AM$23+'TUSD CVA'!$AM$23)*1*(1-0.02)</f>
        <v>1357.7878188473314</v>
      </c>
      <c r="AA207" s="52">
        <f>('TE BE'!$AB$8+'TE BF'!$AB$8+'TE CVA'!$AB$8)*1*(1-0.02)</f>
        <v>354.71359410136364</v>
      </c>
      <c r="AB207" s="52">
        <f>(SUBSIDIO!$J$207*SUBSIDIO!$V$207)*(0.04)/(1-0.04)</f>
        <v>0</v>
      </c>
      <c r="AC207" s="52">
        <f>((SUBSIDIO!$L$207*SUBSIDIO!$W$207)+(SUBSIDIO!$N$207*SUBSIDIO!$X$207))*(0.04)/(1-0.04)</f>
        <v>307.43988479999996</v>
      </c>
      <c r="AD207" s="52">
        <f>(SUBSIDIO!$J$207*SUBSIDIO!$Y$207)*(0.02)/(1-0.02)</f>
        <v>0</v>
      </c>
      <c r="AE207" s="52">
        <f ca="1">((SUBSIDIO!$L$207*SUBSIDIO!$Z$207)+(SUBSIDIO!$N$207*SUBSIDIO!$AA$207))*(0.02)/(1-0.02)</f>
        <v>169.22309880607307</v>
      </c>
      <c r="AF207" s="4" t="s">
        <v>811</v>
      </c>
    </row>
    <row r="208" spans="1:32" ht="11.25" customHeight="1" x14ac:dyDescent="0.3">
      <c r="A208" s="4" t="s">
        <v>21</v>
      </c>
      <c r="B208" s="4" t="s">
        <v>39</v>
      </c>
      <c r="C208" s="4" t="s">
        <v>40</v>
      </c>
      <c r="D208" s="4" t="s">
        <v>44</v>
      </c>
      <c r="E208" s="4" t="s">
        <v>25</v>
      </c>
      <c r="F208" s="4" t="s">
        <v>25</v>
      </c>
      <c r="G208" s="4" t="s">
        <v>25</v>
      </c>
      <c r="H208" s="4" t="s">
        <v>34</v>
      </c>
      <c r="I208" s="5">
        <v>44774</v>
      </c>
      <c r="J208" s="6">
        <v>0</v>
      </c>
      <c r="K208" s="52">
        <v>0</v>
      </c>
      <c r="L208" s="6">
        <v>4.8959999999999999</v>
      </c>
      <c r="M208" s="52">
        <v>4.8959999999999999</v>
      </c>
      <c r="N208" s="6">
        <v>4.8959999999999999</v>
      </c>
      <c r="O208" s="52">
        <v>4.8959999999999999</v>
      </c>
      <c r="P208" s="6">
        <v>0</v>
      </c>
      <c r="Q208" s="4" t="s">
        <v>26</v>
      </c>
      <c r="R208" s="4">
        <v>0</v>
      </c>
      <c r="S208" s="4">
        <v>0</v>
      </c>
      <c r="T208" s="4">
        <v>15</v>
      </c>
      <c r="U208" s="4">
        <v>65</v>
      </c>
      <c r="V208" s="52">
        <f>IF(ISERROR(VLOOKUP($S$208,'TAR FIN'!$A$1:$O$103,15,0)),0,VLOOKUP($S$208,'TAR FIN'!$A$1:$O$103,15,0))</f>
        <v>0</v>
      </c>
      <c r="W208" s="52">
        <f>IF(ISERROR(VLOOKUP($T$208,'TAR FIN'!$A$1:$O$103,15,0)),0,VLOOKUP($T$208,'TAR FIN'!$A$1:$O$103,15,0))*(1-0.04)</f>
        <v>1147.9871999999998</v>
      </c>
      <c r="X208" s="52">
        <f>IF(ISERROR(VLOOKUP($U$208,'TAR FIN'!$A$1:$O$103,15,0)),0,VLOOKUP($U$208,'TAR FIN'!$A$1:$O$103,15,0))*(1-0.04)</f>
        <v>375.8784</v>
      </c>
      <c r="Y208" s="52"/>
      <c r="Z208" s="52">
        <f ca="1">('TUSD BE'!$AM$23+'TUSD BF'!$AM$23+'TUSD CVA'!$AM$23)*1*(1-0.02)</f>
        <v>1357.7878188473314</v>
      </c>
      <c r="AA208" s="52">
        <f>('TE BE'!$AB$8+'TE BF'!$AB$8+'TE CVA'!$AB$8)*1*(1-0.02)</f>
        <v>354.71359410136364</v>
      </c>
      <c r="AB208" s="52">
        <f>(SUBSIDIO!$J$208*SUBSIDIO!$V$208)*(0.04)/(1-0.04)</f>
        <v>0</v>
      </c>
      <c r="AC208" s="52">
        <f>((SUBSIDIO!$L$208*SUBSIDIO!$W$208)+(SUBSIDIO!$N$208*SUBSIDIO!$X$208))*(0.04)/(1-0.04)</f>
        <v>310.86858239999998</v>
      </c>
      <c r="AD208" s="52">
        <f>(SUBSIDIO!$J$208*SUBSIDIO!$Y$208)*(0.02)/(1-0.02)</f>
        <v>0</v>
      </c>
      <c r="AE208" s="52">
        <f ca="1">((SUBSIDIO!$L$208*SUBSIDIO!$Z$208)+(SUBSIDIO!$N$208*SUBSIDIO!$AA$208))*(0.02)/(1-0.02)</f>
        <v>171.11034526115941</v>
      </c>
      <c r="AF208" s="4" t="s">
        <v>811</v>
      </c>
    </row>
    <row r="209" spans="1:32" ht="11.25" customHeight="1" x14ac:dyDescent="0.3">
      <c r="A209" s="4" t="s">
        <v>21</v>
      </c>
      <c r="B209" s="4" t="s">
        <v>39</v>
      </c>
      <c r="C209" s="4" t="s">
        <v>40</v>
      </c>
      <c r="D209" s="4" t="s">
        <v>44</v>
      </c>
      <c r="E209" s="4" t="s">
        <v>25</v>
      </c>
      <c r="F209" s="4" t="s">
        <v>25</v>
      </c>
      <c r="G209" s="4" t="s">
        <v>25</v>
      </c>
      <c r="H209" s="4" t="s">
        <v>34</v>
      </c>
      <c r="I209" s="5">
        <v>44805</v>
      </c>
      <c r="J209" s="6">
        <v>0</v>
      </c>
      <c r="K209" s="52">
        <v>0</v>
      </c>
      <c r="L209" s="6">
        <v>4.335</v>
      </c>
      <c r="M209" s="52">
        <v>4.335</v>
      </c>
      <c r="N209" s="6">
        <v>4.335</v>
      </c>
      <c r="O209" s="52">
        <v>4.335</v>
      </c>
      <c r="P209" s="6">
        <v>0</v>
      </c>
      <c r="Q209" s="4" t="s">
        <v>26</v>
      </c>
      <c r="R209" s="4">
        <v>0</v>
      </c>
      <c r="S209" s="4">
        <v>0</v>
      </c>
      <c r="T209" s="4">
        <v>15</v>
      </c>
      <c r="U209" s="4">
        <v>65</v>
      </c>
      <c r="V209" s="52">
        <f>IF(ISERROR(VLOOKUP($S$209,'TAR FIN'!$A$1:$O$103,15,0)),0,VLOOKUP($S$209,'TAR FIN'!$A$1:$O$103,15,0))</f>
        <v>0</v>
      </c>
      <c r="W209" s="52">
        <f>IF(ISERROR(VLOOKUP($T$209,'TAR FIN'!$A$1:$O$103,15,0)),0,VLOOKUP($T$209,'TAR FIN'!$A$1:$O$103,15,0))*(1-0.04)</f>
        <v>1147.9871999999998</v>
      </c>
      <c r="X209" s="52">
        <f>IF(ISERROR(VLOOKUP($U$209,'TAR FIN'!$A$1:$O$103,15,0)),0,VLOOKUP($U$209,'TAR FIN'!$A$1:$O$103,15,0))*(1-0.04)</f>
        <v>375.8784</v>
      </c>
      <c r="Y209" s="52"/>
      <c r="Z209" s="52">
        <f ca="1">('TUSD BE'!$AM$23+'TUSD BF'!$AM$23+'TUSD CVA'!$AM$23)*1*(1-0.02)</f>
        <v>1357.7878188473314</v>
      </c>
      <c r="AA209" s="52">
        <f>('TE BE'!$AB$8+'TE BF'!$AB$8+'TE CVA'!$AB$8)*1*(1-0.02)</f>
        <v>354.71359410136364</v>
      </c>
      <c r="AB209" s="52">
        <f>(SUBSIDIO!$J$209*SUBSIDIO!$V$209)*(0.04)/(1-0.04)</f>
        <v>0</v>
      </c>
      <c r="AC209" s="52">
        <f>((SUBSIDIO!$L$209*SUBSIDIO!$W$209)+(SUBSIDIO!$N$209*SUBSIDIO!$X$209))*(0.04)/(1-0.04)</f>
        <v>275.24822399999999</v>
      </c>
      <c r="AD209" s="52">
        <f>(SUBSIDIO!$J$209*SUBSIDIO!$Y$209)*(0.02)/(1-0.02)</f>
        <v>0</v>
      </c>
      <c r="AE209" s="52">
        <f ca="1">((SUBSIDIO!$L$209*SUBSIDIO!$Z$209)+(SUBSIDIO!$N$209*SUBSIDIO!$AA$209))*(0.02)/(1-0.02)</f>
        <v>151.50395153331823</v>
      </c>
      <c r="AF209" s="4" t="s">
        <v>811</v>
      </c>
    </row>
    <row r="210" spans="1:32" ht="11.25" customHeight="1" x14ac:dyDescent="0.3">
      <c r="A210" s="4" t="s">
        <v>57</v>
      </c>
      <c r="B210" s="4" t="s">
        <v>39</v>
      </c>
      <c r="C210" s="4" t="s">
        <v>40</v>
      </c>
      <c r="D210" s="4" t="s">
        <v>44</v>
      </c>
      <c r="E210" s="4" t="s">
        <v>25</v>
      </c>
      <c r="F210" s="4" t="s">
        <v>25</v>
      </c>
      <c r="G210" s="4" t="s">
        <v>25</v>
      </c>
      <c r="H210" s="4" t="s">
        <v>34</v>
      </c>
      <c r="I210" s="5">
        <v>44835</v>
      </c>
      <c r="J210" s="6">
        <v>0</v>
      </c>
      <c r="K210" s="52">
        <v>0</v>
      </c>
      <c r="L210" s="6">
        <v>4.335</v>
      </c>
      <c r="M210" s="52">
        <v>4.335</v>
      </c>
      <c r="N210" s="6">
        <v>4.335</v>
      </c>
      <c r="O210" s="52">
        <v>4.335</v>
      </c>
      <c r="P210" s="6">
        <v>0</v>
      </c>
      <c r="Q210" s="4" t="s">
        <v>26</v>
      </c>
      <c r="R210" s="4">
        <v>0</v>
      </c>
      <c r="S210" s="4">
        <v>0</v>
      </c>
      <c r="T210" s="4">
        <v>15</v>
      </c>
      <c r="U210" s="4">
        <v>65</v>
      </c>
      <c r="V210" s="52">
        <f>IF(ISERROR(VLOOKUP($S$210,'TAR FIN'!$A$1:$O$103,15,0)),0,VLOOKUP($S$210,'TAR FIN'!$A$1:$O$103,15,0))</f>
        <v>0</v>
      </c>
      <c r="W210" s="52">
        <f>IF(ISERROR(VLOOKUP($T$210,'TAR FIN'!$A$1:$O$103,15,0)),0,VLOOKUP($T$210,'TAR FIN'!$A$1:$O$103,15,0))*(1-0.04)</f>
        <v>1147.9871999999998</v>
      </c>
      <c r="X210" s="52">
        <f>IF(ISERROR(VLOOKUP($U$210,'TAR FIN'!$A$1:$O$103,15,0)),0,VLOOKUP($U$210,'TAR FIN'!$A$1:$O$103,15,0))*(1-0.04)</f>
        <v>375.8784</v>
      </c>
      <c r="Y210" s="52"/>
      <c r="Z210" s="52">
        <f ca="1">('TUSD BE'!$AM$23+'TUSD BF'!$AM$23+'TUSD CVA'!$AM$23)*1*(1-0.02)</f>
        <v>1357.7878188473314</v>
      </c>
      <c r="AA210" s="52">
        <f>('TE BE'!$AB$8+'TE BF'!$AB$8+'TE CVA'!$AB$8)*1*(1-0.02)</f>
        <v>354.71359410136364</v>
      </c>
      <c r="AB210" s="52">
        <f>(SUBSIDIO!$J$210*SUBSIDIO!$V$210)*(0.04)/(1-0.04)</f>
        <v>0</v>
      </c>
      <c r="AC210" s="52">
        <f>((SUBSIDIO!$L$210*SUBSIDIO!$W$210)+(SUBSIDIO!$N$210*SUBSIDIO!$X$210))*(0.04)/(1-0.04)</f>
        <v>275.24822399999999</v>
      </c>
      <c r="AD210" s="52">
        <f>(SUBSIDIO!$J$210*SUBSIDIO!$Y$210)*(0.02)/(1-0.02)</f>
        <v>0</v>
      </c>
      <c r="AE210" s="52">
        <f ca="1">((SUBSIDIO!$L$210*SUBSIDIO!$Z$210)+(SUBSIDIO!$N$210*SUBSIDIO!$AA$210))*(0.02)/(1-0.02)</f>
        <v>151.50395153331823</v>
      </c>
      <c r="AF210" s="4" t="s">
        <v>811</v>
      </c>
    </row>
    <row r="211" spans="1:32" ht="11.25" customHeight="1" x14ac:dyDescent="0.3">
      <c r="A211" s="4" t="s">
        <v>21</v>
      </c>
      <c r="B211" s="4" t="s">
        <v>39</v>
      </c>
      <c r="C211" s="4" t="s">
        <v>40</v>
      </c>
      <c r="D211" s="4" t="s">
        <v>50</v>
      </c>
      <c r="E211" s="4" t="s">
        <v>51</v>
      </c>
      <c r="F211" s="4" t="s">
        <v>25</v>
      </c>
      <c r="G211" s="4" t="s">
        <v>25</v>
      </c>
      <c r="H211" s="4" t="s">
        <v>35</v>
      </c>
      <c r="I211" s="5">
        <v>44501</v>
      </c>
      <c r="J211" s="6">
        <v>0</v>
      </c>
      <c r="K211" s="52">
        <v>0</v>
      </c>
      <c r="L211" s="6">
        <v>4.2469999999999999</v>
      </c>
      <c r="M211" s="52">
        <v>4.2469999999999999</v>
      </c>
      <c r="N211" s="6">
        <v>4.2469999999999999</v>
      </c>
      <c r="O211" s="52">
        <v>4.2469999999999999</v>
      </c>
      <c r="P211" s="6">
        <v>0</v>
      </c>
      <c r="Q211" s="4" t="s">
        <v>26</v>
      </c>
      <c r="R211" s="4">
        <v>0</v>
      </c>
      <c r="S211" s="4">
        <v>0</v>
      </c>
      <c r="T211" s="4">
        <v>17</v>
      </c>
      <c r="U211" s="4">
        <v>66</v>
      </c>
      <c r="V211" s="52">
        <f>IF(ISERROR(VLOOKUP($S$211,'TAR FIN'!$A$1:$O$103,15,0)),0,VLOOKUP($S$211,'TAR FIN'!$A$1:$O$103,15,0))</f>
        <v>0</v>
      </c>
      <c r="W211" s="52">
        <f>IF(ISERROR(VLOOKUP($T$211,'TAR FIN'!$A$1:$O$103,15,0)),0,VLOOKUP($T$211,'TAR FIN'!$A$1:$O$103,15,0))*(1-0.06)</f>
        <v>79.890599999999992</v>
      </c>
      <c r="X211" s="52">
        <f>IF(ISERROR(VLOOKUP($U$211,'TAR FIN'!$A$1:$O$103,15,0)),0,VLOOKUP($U$211,'TAR FIN'!$A$1:$O$103,15,0))*(1-0.06)</f>
        <v>228.2038</v>
      </c>
      <c r="Y211" s="52"/>
      <c r="Z211" s="52">
        <f ca="1">('TUSD BE'!$AM$24+'TUSD BF'!$AM$24+'TUSD CVA'!$AM$24)*1*(1-0.03)</f>
        <v>141.35070271825751</v>
      </c>
      <c r="AA211" s="52">
        <f>('TE BE'!$AB$9+'TE BF'!$AB$9+'TE CVA'!$AB$9)*1*(1-0.03)</f>
        <v>215.72204893346822</v>
      </c>
      <c r="AB211" s="52">
        <f>(SUBSIDIO!$J$211*SUBSIDIO!$V$211)*(0.06)/(1-0.06)</f>
        <v>0</v>
      </c>
      <c r="AC211" s="52">
        <f>((SUBSIDIO!$L$211*SUBSIDIO!$W$211)+(SUBSIDIO!$N$211*SUBSIDIO!$X$211))*(0.06)/(1-0.06)</f>
        <v>83.519803199999984</v>
      </c>
      <c r="AD211" s="52">
        <f>(SUBSIDIO!$J$211*SUBSIDIO!$Y$211)*(0.03)/(1-0.03)</f>
        <v>0</v>
      </c>
      <c r="AE211" s="52">
        <f ca="1">((SUBSIDIO!$L$211*SUBSIDIO!$Z$211)+(SUBSIDIO!$N$211*SUBSIDIO!$AA$211))*(0.03)/(1-0.03)</f>
        <v>46.901689987573583</v>
      </c>
      <c r="AF211" s="4" t="s">
        <v>814</v>
      </c>
    </row>
    <row r="212" spans="1:32" ht="11.25" customHeight="1" x14ac:dyDescent="0.3">
      <c r="A212" s="4" t="s">
        <v>21</v>
      </c>
      <c r="B212" s="4" t="s">
        <v>39</v>
      </c>
      <c r="C212" s="4" t="s">
        <v>40</v>
      </c>
      <c r="D212" s="4" t="s">
        <v>50</v>
      </c>
      <c r="E212" s="4" t="s">
        <v>51</v>
      </c>
      <c r="F212" s="4" t="s">
        <v>25</v>
      </c>
      <c r="G212" s="4" t="s">
        <v>25</v>
      </c>
      <c r="H212" s="4" t="s">
        <v>35</v>
      </c>
      <c r="I212" s="5">
        <v>44531</v>
      </c>
      <c r="J212" s="6">
        <v>0</v>
      </c>
      <c r="K212" s="52">
        <v>0</v>
      </c>
      <c r="L212" s="6">
        <v>4.4820000000000002</v>
      </c>
      <c r="M212" s="52">
        <v>4.4820000000000002</v>
      </c>
      <c r="N212" s="6">
        <v>4.4820000000000002</v>
      </c>
      <c r="O212" s="52">
        <v>4.4820000000000002</v>
      </c>
      <c r="P212" s="6">
        <v>0</v>
      </c>
      <c r="Q212" s="4" t="s">
        <v>26</v>
      </c>
      <c r="R212" s="4">
        <v>0</v>
      </c>
      <c r="S212" s="4">
        <v>0</v>
      </c>
      <c r="T212" s="4">
        <v>17</v>
      </c>
      <c r="U212" s="4">
        <v>66</v>
      </c>
      <c r="V212" s="52">
        <f>IF(ISERROR(VLOOKUP($S$212,'TAR FIN'!$A$1:$O$103,15,0)),0,VLOOKUP($S$212,'TAR FIN'!$A$1:$O$103,15,0))</f>
        <v>0</v>
      </c>
      <c r="W212" s="52">
        <f>IF(ISERROR(VLOOKUP($T$212,'TAR FIN'!$A$1:$O$103,15,0)),0,VLOOKUP($T$212,'TAR FIN'!$A$1:$O$103,15,0))*(1-0.06)</f>
        <v>79.890599999999992</v>
      </c>
      <c r="X212" s="52">
        <f>IF(ISERROR(VLOOKUP($U$212,'TAR FIN'!$A$1:$O$103,15,0)),0,VLOOKUP($U$212,'TAR FIN'!$A$1:$O$103,15,0))*(1-0.06)</f>
        <v>228.2038</v>
      </c>
      <c r="Y212" s="52"/>
      <c r="Z212" s="52">
        <f ca="1">('TUSD BE'!$AM$24+'TUSD BF'!$AM$24+'TUSD CVA'!$AM$24)*1*(1-0.03)</f>
        <v>141.35070271825751</v>
      </c>
      <c r="AA212" s="52">
        <f>('TE BE'!$AB$9+'TE BF'!$AB$9+'TE CVA'!$AB$9)*1*(1-0.03)</f>
        <v>215.72204893346822</v>
      </c>
      <c r="AB212" s="52">
        <f>(SUBSIDIO!$J$212*SUBSIDIO!$V$212)*(0.06)/(1-0.06)</f>
        <v>0</v>
      </c>
      <c r="AC212" s="52">
        <f>((SUBSIDIO!$L$212*SUBSIDIO!$W$212)+(SUBSIDIO!$N$212*SUBSIDIO!$X$212))*(0.06)/(1-0.06)</f>
        <v>88.141219200000009</v>
      </c>
      <c r="AD212" s="52">
        <f>(SUBSIDIO!$J$212*SUBSIDIO!$Y$212)*(0.03)/(1-0.03)</f>
        <v>0</v>
      </c>
      <c r="AE212" s="52">
        <f ca="1">((SUBSIDIO!$L$212*SUBSIDIO!$Z$212)+(SUBSIDIO!$N$212*SUBSIDIO!$AA$212))*(0.03)/(1-0.03)</f>
        <v>49.496909471227887</v>
      </c>
      <c r="AF212" s="4" t="s">
        <v>814</v>
      </c>
    </row>
    <row r="213" spans="1:32" ht="11.25" customHeight="1" x14ac:dyDescent="0.3">
      <c r="A213" s="4" t="s">
        <v>21</v>
      </c>
      <c r="B213" s="4" t="s">
        <v>39</v>
      </c>
      <c r="C213" s="4" t="s">
        <v>40</v>
      </c>
      <c r="D213" s="4" t="s">
        <v>50</v>
      </c>
      <c r="E213" s="4" t="s">
        <v>51</v>
      </c>
      <c r="F213" s="4" t="s">
        <v>25</v>
      </c>
      <c r="G213" s="4" t="s">
        <v>25</v>
      </c>
      <c r="H213" s="4" t="s">
        <v>35</v>
      </c>
      <c r="I213" s="5">
        <v>44562</v>
      </c>
      <c r="J213" s="6">
        <v>0</v>
      </c>
      <c r="K213" s="52">
        <v>0</v>
      </c>
      <c r="L213" s="6">
        <v>4.8070000000000004</v>
      </c>
      <c r="M213" s="52">
        <v>4.8070000000000004</v>
      </c>
      <c r="N213" s="6">
        <v>4.8070000000000004</v>
      </c>
      <c r="O213" s="52">
        <v>4.8070000000000004</v>
      </c>
      <c r="P213" s="6">
        <v>0</v>
      </c>
      <c r="Q213" s="4" t="s">
        <v>26</v>
      </c>
      <c r="R213" s="4">
        <v>0</v>
      </c>
      <c r="S213" s="4">
        <v>0</v>
      </c>
      <c r="T213" s="4">
        <v>17</v>
      </c>
      <c r="U213" s="4">
        <v>66</v>
      </c>
      <c r="V213" s="52">
        <f>IF(ISERROR(VLOOKUP($S$213,'TAR FIN'!$A$1:$O$103,15,0)),0,VLOOKUP($S$213,'TAR FIN'!$A$1:$O$103,15,0))</f>
        <v>0</v>
      </c>
      <c r="W213" s="52">
        <f>IF(ISERROR(VLOOKUP($T$213,'TAR FIN'!$A$1:$O$103,15,0)),0,VLOOKUP($T$213,'TAR FIN'!$A$1:$O$103,15,0))*(1-0.06)</f>
        <v>79.890599999999992</v>
      </c>
      <c r="X213" s="52">
        <f>IF(ISERROR(VLOOKUP($U$213,'TAR FIN'!$A$1:$O$103,15,0)),0,VLOOKUP($U$213,'TAR FIN'!$A$1:$O$103,15,0))*(1-0.06)</f>
        <v>228.2038</v>
      </c>
      <c r="Y213" s="52"/>
      <c r="Z213" s="52">
        <f ca="1">('TUSD BE'!$AM$24+'TUSD BF'!$AM$24+'TUSD CVA'!$AM$24)*1*(1-0.03)</f>
        <v>141.35070271825751</v>
      </c>
      <c r="AA213" s="52">
        <f>('TE BE'!$AB$9+'TE BF'!$AB$9+'TE CVA'!$AB$9)*1*(1-0.03)</f>
        <v>215.72204893346822</v>
      </c>
      <c r="AB213" s="52">
        <f>(SUBSIDIO!$J$213*SUBSIDIO!$V$213)*(0.06)/(1-0.06)</f>
        <v>0</v>
      </c>
      <c r="AC213" s="52">
        <f>((SUBSIDIO!$L$213*SUBSIDIO!$W$213)+(SUBSIDIO!$N$213*SUBSIDIO!$X$213))*(0.06)/(1-0.06)</f>
        <v>94.532539200000002</v>
      </c>
      <c r="AD213" s="52">
        <f>(SUBSIDIO!$J$213*SUBSIDIO!$Y$213)*(0.03)/(1-0.03)</f>
        <v>0</v>
      </c>
      <c r="AE213" s="52">
        <f ca="1">((SUBSIDIO!$L$213*SUBSIDIO!$Z$213)+(SUBSIDIO!$N$213*SUBSIDIO!$AA$213))*(0.03)/(1-0.03)</f>
        <v>53.086042799685956</v>
      </c>
      <c r="AF213" s="4" t="s">
        <v>814</v>
      </c>
    </row>
    <row r="214" spans="1:32" ht="11.25" customHeight="1" x14ac:dyDescent="0.3">
      <c r="A214" s="4" t="s">
        <v>21</v>
      </c>
      <c r="B214" s="4" t="s">
        <v>39</v>
      </c>
      <c r="C214" s="4" t="s">
        <v>40</v>
      </c>
      <c r="D214" s="4" t="s">
        <v>50</v>
      </c>
      <c r="E214" s="4" t="s">
        <v>51</v>
      </c>
      <c r="F214" s="4" t="s">
        <v>25</v>
      </c>
      <c r="G214" s="4" t="s">
        <v>25</v>
      </c>
      <c r="H214" s="4" t="s">
        <v>35</v>
      </c>
      <c r="I214" s="5">
        <v>44593</v>
      </c>
      <c r="J214" s="6">
        <v>0</v>
      </c>
      <c r="K214" s="52">
        <v>0</v>
      </c>
      <c r="L214" s="6">
        <v>4.109</v>
      </c>
      <c r="M214" s="52">
        <v>4.109</v>
      </c>
      <c r="N214" s="6">
        <v>4.109</v>
      </c>
      <c r="O214" s="52">
        <v>4.109</v>
      </c>
      <c r="P214" s="6">
        <v>0</v>
      </c>
      <c r="Q214" s="4" t="s">
        <v>26</v>
      </c>
      <c r="R214" s="4">
        <v>0</v>
      </c>
      <c r="S214" s="4">
        <v>0</v>
      </c>
      <c r="T214" s="4">
        <v>17</v>
      </c>
      <c r="U214" s="4">
        <v>66</v>
      </c>
      <c r="V214" s="52">
        <f>IF(ISERROR(VLOOKUP($S$214,'TAR FIN'!$A$1:$O$103,15,0)),0,VLOOKUP($S$214,'TAR FIN'!$A$1:$O$103,15,0))</f>
        <v>0</v>
      </c>
      <c r="W214" s="52">
        <f>IF(ISERROR(VLOOKUP($T$214,'TAR FIN'!$A$1:$O$103,15,0)),0,VLOOKUP($T$214,'TAR FIN'!$A$1:$O$103,15,0))*(1-0.06)</f>
        <v>79.890599999999992</v>
      </c>
      <c r="X214" s="52">
        <f>IF(ISERROR(VLOOKUP($U$214,'TAR FIN'!$A$1:$O$103,15,0)),0,VLOOKUP($U$214,'TAR FIN'!$A$1:$O$103,15,0))*(1-0.06)</f>
        <v>228.2038</v>
      </c>
      <c r="Y214" s="52"/>
      <c r="Z214" s="52">
        <f ca="1">('TUSD BE'!$AM$24+'TUSD BF'!$AM$24+'TUSD CVA'!$AM$24)*1*(1-0.03)</f>
        <v>141.35070271825751</v>
      </c>
      <c r="AA214" s="52">
        <f>('TE BE'!$AB$9+'TE BF'!$AB$9+'TE CVA'!$AB$9)*1*(1-0.03)</f>
        <v>215.72204893346822</v>
      </c>
      <c r="AB214" s="52">
        <f>(SUBSIDIO!$J$214*SUBSIDIO!$V$214)*(0.06)/(1-0.06)</f>
        <v>0</v>
      </c>
      <c r="AC214" s="52">
        <f>((SUBSIDIO!$L$214*SUBSIDIO!$W$214)+(SUBSIDIO!$N$214*SUBSIDIO!$X$214))*(0.06)/(1-0.06)</f>
        <v>80.8059504</v>
      </c>
      <c r="AD214" s="52">
        <f>(SUBSIDIO!$J$214*SUBSIDIO!$Y$214)*(0.03)/(1-0.03)</f>
        <v>0</v>
      </c>
      <c r="AE214" s="52">
        <f ca="1">((SUBSIDIO!$L$214*SUBSIDIO!$Z$214)+(SUBSIDIO!$N$214*SUBSIDIO!$AA$214))*(0.03)/(1-0.03)</f>
        <v>45.377688758874463</v>
      </c>
      <c r="AF214" s="4" t="s">
        <v>814</v>
      </c>
    </row>
    <row r="215" spans="1:32" ht="11.25" customHeight="1" x14ac:dyDescent="0.3">
      <c r="A215" s="4" t="s">
        <v>21</v>
      </c>
      <c r="B215" s="4" t="s">
        <v>39</v>
      </c>
      <c r="C215" s="4" t="s">
        <v>40</v>
      </c>
      <c r="D215" s="4" t="s">
        <v>50</v>
      </c>
      <c r="E215" s="4" t="s">
        <v>51</v>
      </c>
      <c r="F215" s="4" t="s">
        <v>25</v>
      </c>
      <c r="G215" s="4" t="s">
        <v>25</v>
      </c>
      <c r="H215" s="4" t="s">
        <v>35</v>
      </c>
      <c r="I215" s="5">
        <v>44621</v>
      </c>
      <c r="J215" s="6">
        <v>0</v>
      </c>
      <c r="K215" s="52">
        <v>0</v>
      </c>
      <c r="L215" s="6">
        <v>4.4290000000000003</v>
      </c>
      <c r="M215" s="52">
        <v>4.4290000000000003</v>
      </c>
      <c r="N215" s="6">
        <v>4.4290000000000003</v>
      </c>
      <c r="O215" s="52">
        <v>4.4290000000000003</v>
      </c>
      <c r="P215" s="6">
        <v>0</v>
      </c>
      <c r="Q215" s="4" t="s">
        <v>26</v>
      </c>
      <c r="R215" s="4">
        <v>0</v>
      </c>
      <c r="S215" s="4">
        <v>0</v>
      </c>
      <c r="T215" s="4">
        <v>17</v>
      </c>
      <c r="U215" s="4">
        <v>66</v>
      </c>
      <c r="V215" s="52">
        <f>IF(ISERROR(VLOOKUP($S$215,'TAR FIN'!$A$1:$O$103,15,0)),0,VLOOKUP($S$215,'TAR FIN'!$A$1:$O$103,15,0))</f>
        <v>0</v>
      </c>
      <c r="W215" s="52">
        <f>IF(ISERROR(VLOOKUP($T$215,'TAR FIN'!$A$1:$O$103,15,0)),0,VLOOKUP($T$215,'TAR FIN'!$A$1:$O$103,15,0))*(1-0.06)</f>
        <v>79.890599999999992</v>
      </c>
      <c r="X215" s="52">
        <f>IF(ISERROR(VLOOKUP($U$215,'TAR FIN'!$A$1:$O$103,15,0)),0,VLOOKUP($U$215,'TAR FIN'!$A$1:$O$103,15,0))*(1-0.06)</f>
        <v>228.2038</v>
      </c>
      <c r="Y215" s="52"/>
      <c r="Z215" s="52">
        <f ca="1">('TUSD BE'!$AM$24+'TUSD BF'!$AM$24+'TUSD CVA'!$AM$24)*1*(1-0.03)</f>
        <v>141.35070271825751</v>
      </c>
      <c r="AA215" s="52">
        <f>('TE BE'!$AB$9+'TE BF'!$AB$9+'TE CVA'!$AB$9)*1*(1-0.03)</f>
        <v>215.72204893346822</v>
      </c>
      <c r="AB215" s="52">
        <f>(SUBSIDIO!$J$215*SUBSIDIO!$V$215)*(0.06)/(1-0.06)</f>
        <v>0</v>
      </c>
      <c r="AC215" s="52">
        <f>((SUBSIDIO!$L$215*SUBSIDIO!$W$215)+(SUBSIDIO!$N$215*SUBSIDIO!$X$215))*(0.06)/(1-0.06)</f>
        <v>87.098942400000013</v>
      </c>
      <c r="AD215" s="52">
        <f>(SUBSIDIO!$J$215*SUBSIDIO!$Y$215)*(0.03)/(1-0.03)</f>
        <v>0</v>
      </c>
      <c r="AE215" s="52">
        <f ca="1">((SUBSIDIO!$L$215*SUBSIDIO!$Z$215)+(SUBSIDIO!$N$215*SUBSIDIO!$AA$215))*(0.03)/(1-0.03)</f>
        <v>48.911604651510096</v>
      </c>
      <c r="AF215" s="4" t="s">
        <v>814</v>
      </c>
    </row>
    <row r="216" spans="1:32" ht="11.25" customHeight="1" x14ac:dyDescent="0.3">
      <c r="A216" s="4" t="s">
        <v>21</v>
      </c>
      <c r="B216" s="4" t="s">
        <v>39</v>
      </c>
      <c r="C216" s="4" t="s">
        <v>40</v>
      </c>
      <c r="D216" s="4" t="s">
        <v>50</v>
      </c>
      <c r="E216" s="4" t="s">
        <v>51</v>
      </c>
      <c r="F216" s="4" t="s">
        <v>25</v>
      </c>
      <c r="G216" s="4" t="s">
        <v>25</v>
      </c>
      <c r="H216" s="4" t="s">
        <v>35</v>
      </c>
      <c r="I216" s="5">
        <v>44652</v>
      </c>
      <c r="J216" s="6">
        <v>0</v>
      </c>
      <c r="K216" s="52">
        <v>0</v>
      </c>
      <c r="L216" s="6">
        <v>4.5819999999999999</v>
      </c>
      <c r="M216" s="52">
        <v>4.5819999999999999</v>
      </c>
      <c r="N216" s="6">
        <v>4.5819999999999999</v>
      </c>
      <c r="O216" s="52">
        <v>4.5819999999999999</v>
      </c>
      <c r="P216" s="6">
        <v>0</v>
      </c>
      <c r="Q216" s="4" t="s">
        <v>26</v>
      </c>
      <c r="R216" s="4">
        <v>0</v>
      </c>
      <c r="S216" s="4">
        <v>0</v>
      </c>
      <c r="T216" s="4">
        <v>17</v>
      </c>
      <c r="U216" s="4">
        <v>66</v>
      </c>
      <c r="V216" s="52">
        <f>IF(ISERROR(VLOOKUP($S$216,'TAR FIN'!$A$1:$O$103,15,0)),0,VLOOKUP($S$216,'TAR FIN'!$A$1:$O$103,15,0))</f>
        <v>0</v>
      </c>
      <c r="W216" s="52">
        <f>IF(ISERROR(VLOOKUP($T$216,'TAR FIN'!$A$1:$O$103,15,0)),0,VLOOKUP($T$216,'TAR FIN'!$A$1:$O$103,15,0))*(1-0.06)</f>
        <v>79.890599999999992</v>
      </c>
      <c r="X216" s="52">
        <f>IF(ISERROR(VLOOKUP($U$216,'TAR FIN'!$A$1:$O$103,15,0)),0,VLOOKUP($U$216,'TAR FIN'!$A$1:$O$103,15,0))*(1-0.06)</f>
        <v>228.2038</v>
      </c>
      <c r="Y216" s="52"/>
      <c r="Z216" s="52">
        <f ca="1">('TUSD BE'!$AM$24+'TUSD BF'!$AM$24+'TUSD CVA'!$AM$24)*1*(1-0.03)</f>
        <v>141.35070271825751</v>
      </c>
      <c r="AA216" s="52">
        <f>('TE BE'!$AB$9+'TE BF'!$AB$9+'TE CVA'!$AB$9)*1*(1-0.03)</f>
        <v>215.72204893346822</v>
      </c>
      <c r="AB216" s="52">
        <f>(SUBSIDIO!$J$216*SUBSIDIO!$V$216)*(0.06)/(1-0.06)</f>
        <v>0</v>
      </c>
      <c r="AC216" s="52">
        <f>((SUBSIDIO!$L$216*SUBSIDIO!$W$216)+(SUBSIDIO!$N$216*SUBSIDIO!$X$216))*(0.06)/(1-0.06)</f>
        <v>90.107779199999996</v>
      </c>
      <c r="AD216" s="52">
        <f>(SUBSIDIO!$J$216*SUBSIDIO!$Y$216)*(0.03)/(1-0.03)</f>
        <v>0</v>
      </c>
      <c r="AE216" s="52">
        <f ca="1">((SUBSIDIO!$L$216*SUBSIDIO!$Z$216)+(SUBSIDIO!$N$216*SUBSIDIO!$AA$216))*(0.03)/(1-0.03)</f>
        <v>50.601258187676507</v>
      </c>
      <c r="AF216" s="4" t="s">
        <v>814</v>
      </c>
    </row>
    <row r="217" spans="1:32" ht="11.25" customHeight="1" x14ac:dyDescent="0.3">
      <c r="A217" s="4" t="s">
        <v>21</v>
      </c>
      <c r="B217" s="4" t="s">
        <v>39</v>
      </c>
      <c r="C217" s="4" t="s">
        <v>40</v>
      </c>
      <c r="D217" s="4" t="s">
        <v>50</v>
      </c>
      <c r="E217" s="4" t="s">
        <v>51</v>
      </c>
      <c r="F217" s="4" t="s">
        <v>25</v>
      </c>
      <c r="G217" s="4" t="s">
        <v>25</v>
      </c>
      <c r="H217" s="4" t="s">
        <v>35</v>
      </c>
      <c r="I217" s="5">
        <v>44682</v>
      </c>
      <c r="J217" s="6">
        <v>0</v>
      </c>
      <c r="K217" s="52">
        <v>0</v>
      </c>
      <c r="L217" s="6">
        <v>4.84</v>
      </c>
      <c r="M217" s="52">
        <v>4.84</v>
      </c>
      <c r="N217" s="6">
        <v>4.84</v>
      </c>
      <c r="O217" s="52">
        <v>4.84</v>
      </c>
      <c r="P217" s="6">
        <v>0</v>
      </c>
      <c r="Q217" s="4" t="s">
        <v>26</v>
      </c>
      <c r="R217" s="4">
        <v>0</v>
      </c>
      <c r="S217" s="4">
        <v>0</v>
      </c>
      <c r="T217" s="4">
        <v>17</v>
      </c>
      <c r="U217" s="4">
        <v>66</v>
      </c>
      <c r="V217" s="52">
        <f>IF(ISERROR(VLOOKUP($S$217,'TAR FIN'!$A$1:$O$103,15,0)),0,VLOOKUP($S$217,'TAR FIN'!$A$1:$O$103,15,0))</f>
        <v>0</v>
      </c>
      <c r="W217" s="52">
        <f>IF(ISERROR(VLOOKUP($T$217,'TAR FIN'!$A$1:$O$103,15,0)),0,VLOOKUP($T$217,'TAR FIN'!$A$1:$O$103,15,0))*(1-0.06)</f>
        <v>79.890599999999992</v>
      </c>
      <c r="X217" s="52">
        <f>IF(ISERROR(VLOOKUP($U$217,'TAR FIN'!$A$1:$O$103,15,0)),0,VLOOKUP($U$217,'TAR FIN'!$A$1:$O$103,15,0))*(1-0.06)</f>
        <v>228.2038</v>
      </c>
      <c r="Y217" s="52"/>
      <c r="Z217" s="52">
        <f ca="1">('TUSD BE'!$AM$24+'TUSD BF'!$AM$24+'TUSD CVA'!$AM$24)*1*(1-0.03)</f>
        <v>141.35070271825751</v>
      </c>
      <c r="AA217" s="52">
        <f>('TE BE'!$AB$9+'TE BF'!$AB$9+'TE CVA'!$AB$9)*1*(1-0.03)</f>
        <v>215.72204893346822</v>
      </c>
      <c r="AB217" s="52">
        <f>(SUBSIDIO!$J$217*SUBSIDIO!$V$217)*(0.06)/(1-0.06)</f>
        <v>0</v>
      </c>
      <c r="AC217" s="52">
        <f>((SUBSIDIO!$L$217*SUBSIDIO!$W$217)+(SUBSIDIO!$N$217*SUBSIDIO!$X$217))*(0.06)/(1-0.06)</f>
        <v>95.181504000000004</v>
      </c>
      <c r="AD217" s="52">
        <f>(SUBSIDIO!$J$217*SUBSIDIO!$Y$217)*(0.03)/(1-0.03)</f>
        <v>0</v>
      </c>
      <c r="AE217" s="52">
        <f ca="1">((SUBSIDIO!$L$217*SUBSIDIO!$Z$217)+(SUBSIDIO!$N$217*SUBSIDIO!$AA$217))*(0.03)/(1-0.03)</f>
        <v>53.450477876113986</v>
      </c>
      <c r="AF217" s="4" t="s">
        <v>814</v>
      </c>
    </row>
    <row r="218" spans="1:32" ht="11.25" customHeight="1" x14ac:dyDescent="0.3">
      <c r="A218" s="4" t="s">
        <v>21</v>
      </c>
      <c r="B218" s="4" t="s">
        <v>39</v>
      </c>
      <c r="C218" s="4" t="s">
        <v>40</v>
      </c>
      <c r="D218" s="4" t="s">
        <v>50</v>
      </c>
      <c r="E218" s="4" t="s">
        <v>51</v>
      </c>
      <c r="F218" s="4" t="s">
        <v>25</v>
      </c>
      <c r="G218" s="4" t="s">
        <v>25</v>
      </c>
      <c r="H218" s="4" t="s">
        <v>35</v>
      </c>
      <c r="I218" s="5">
        <v>44713</v>
      </c>
      <c r="J218" s="6">
        <v>0</v>
      </c>
      <c r="K218" s="52">
        <v>0</v>
      </c>
      <c r="L218" s="6">
        <v>4.8019999999999996</v>
      </c>
      <c r="M218" s="52">
        <v>4.8019999999999996</v>
      </c>
      <c r="N218" s="6">
        <v>4.8019999999999996</v>
      </c>
      <c r="O218" s="52">
        <v>4.8019999999999996</v>
      </c>
      <c r="P218" s="6">
        <v>0</v>
      </c>
      <c r="Q218" s="4" t="s">
        <v>26</v>
      </c>
      <c r="R218" s="4">
        <v>0</v>
      </c>
      <c r="S218" s="4">
        <v>0</v>
      </c>
      <c r="T218" s="4">
        <v>17</v>
      </c>
      <c r="U218" s="4">
        <v>66</v>
      </c>
      <c r="V218" s="52">
        <f>IF(ISERROR(VLOOKUP($S$218,'TAR FIN'!$A$1:$O$103,15,0)),0,VLOOKUP($S$218,'TAR FIN'!$A$1:$O$103,15,0))</f>
        <v>0</v>
      </c>
      <c r="W218" s="52">
        <f>IF(ISERROR(VLOOKUP($T$218,'TAR FIN'!$A$1:$O$103,15,0)),0,VLOOKUP($T$218,'TAR FIN'!$A$1:$O$103,15,0))*(1-0.06)</f>
        <v>79.890599999999992</v>
      </c>
      <c r="X218" s="52">
        <f>IF(ISERROR(VLOOKUP($U$218,'TAR FIN'!$A$1:$O$103,15,0)),0,VLOOKUP($U$218,'TAR FIN'!$A$1:$O$103,15,0))*(1-0.06)</f>
        <v>228.2038</v>
      </c>
      <c r="Y218" s="52"/>
      <c r="Z218" s="52">
        <f ca="1">('TUSD BE'!$AM$24+'TUSD BF'!$AM$24+'TUSD CVA'!$AM$24)*1*(1-0.03)</f>
        <v>141.35070271825751</v>
      </c>
      <c r="AA218" s="52">
        <f>('TE BE'!$AB$9+'TE BF'!$AB$9+'TE CVA'!$AB$9)*1*(1-0.03)</f>
        <v>215.72204893346822</v>
      </c>
      <c r="AB218" s="52">
        <f>(SUBSIDIO!$J$218*SUBSIDIO!$V$218)*(0.06)/(1-0.06)</f>
        <v>0</v>
      </c>
      <c r="AC218" s="52">
        <f>((SUBSIDIO!$L$218*SUBSIDIO!$W$218)+(SUBSIDIO!$N$218*SUBSIDIO!$X$218))*(0.06)/(1-0.06)</f>
        <v>94.434211199999993</v>
      </c>
      <c r="AD218" s="52">
        <f>(SUBSIDIO!$J$218*SUBSIDIO!$Y$218)*(0.03)/(1-0.03)</f>
        <v>0</v>
      </c>
      <c r="AE218" s="52">
        <f ca="1">((SUBSIDIO!$L$218*SUBSIDIO!$Z$218)+(SUBSIDIO!$N$218*SUBSIDIO!$AA$218))*(0.03)/(1-0.03)</f>
        <v>53.030825363863514</v>
      </c>
      <c r="AF218" s="4" t="s">
        <v>814</v>
      </c>
    </row>
    <row r="219" spans="1:32" ht="11.25" customHeight="1" x14ac:dyDescent="0.3">
      <c r="A219" s="4" t="s">
        <v>21</v>
      </c>
      <c r="B219" s="4" t="s">
        <v>39</v>
      </c>
      <c r="C219" s="4" t="s">
        <v>40</v>
      </c>
      <c r="D219" s="4" t="s">
        <v>50</v>
      </c>
      <c r="E219" s="4" t="s">
        <v>51</v>
      </c>
      <c r="F219" s="4" t="s">
        <v>25</v>
      </c>
      <c r="G219" s="4" t="s">
        <v>25</v>
      </c>
      <c r="H219" s="4" t="s">
        <v>35</v>
      </c>
      <c r="I219" s="5">
        <v>44743</v>
      </c>
      <c r="J219" s="6">
        <v>0</v>
      </c>
      <c r="K219" s="52">
        <v>0</v>
      </c>
      <c r="L219" s="6">
        <v>5.4009999999999998</v>
      </c>
      <c r="M219" s="52">
        <v>5.4009999999999998</v>
      </c>
      <c r="N219" s="6">
        <v>5.4009999999999998</v>
      </c>
      <c r="O219" s="52">
        <v>5.4009999999999998</v>
      </c>
      <c r="P219" s="6">
        <v>0</v>
      </c>
      <c r="Q219" s="4" t="s">
        <v>26</v>
      </c>
      <c r="R219" s="4">
        <v>0</v>
      </c>
      <c r="S219" s="4">
        <v>0</v>
      </c>
      <c r="T219" s="4">
        <v>17</v>
      </c>
      <c r="U219" s="4">
        <v>66</v>
      </c>
      <c r="V219" s="52">
        <f>IF(ISERROR(VLOOKUP($S$219,'TAR FIN'!$A$1:$O$103,15,0)),0,VLOOKUP($S$219,'TAR FIN'!$A$1:$O$103,15,0))</f>
        <v>0</v>
      </c>
      <c r="W219" s="52">
        <f>IF(ISERROR(VLOOKUP($T$219,'TAR FIN'!$A$1:$O$103,15,0)),0,VLOOKUP($T$219,'TAR FIN'!$A$1:$O$103,15,0))*(1-0.06)</f>
        <v>79.890599999999992</v>
      </c>
      <c r="X219" s="52">
        <f>IF(ISERROR(VLOOKUP($U$219,'TAR FIN'!$A$1:$O$103,15,0)),0,VLOOKUP($U$219,'TAR FIN'!$A$1:$O$103,15,0))*(1-0.06)</f>
        <v>228.2038</v>
      </c>
      <c r="Y219" s="52"/>
      <c r="Z219" s="52">
        <f ca="1">('TUSD BE'!$AM$24+'TUSD BF'!$AM$24+'TUSD CVA'!$AM$24)*1*(1-0.03)</f>
        <v>141.35070271825751</v>
      </c>
      <c r="AA219" s="52">
        <f>('TE BE'!$AB$9+'TE BF'!$AB$9+'TE CVA'!$AB$9)*1*(1-0.03)</f>
        <v>215.72204893346822</v>
      </c>
      <c r="AB219" s="52">
        <f>(SUBSIDIO!$J$219*SUBSIDIO!$V$219)*(0.06)/(1-0.06)</f>
        <v>0</v>
      </c>
      <c r="AC219" s="52">
        <f>((SUBSIDIO!$L$219*SUBSIDIO!$W$219)+(SUBSIDIO!$N$219*SUBSIDIO!$X$219))*(0.06)/(1-0.06)</f>
        <v>106.21390559999999</v>
      </c>
      <c r="AD219" s="52">
        <f>(SUBSIDIO!$J$219*SUBSIDIO!$Y$219)*(0.03)/(1-0.03)</f>
        <v>0</v>
      </c>
      <c r="AE219" s="52">
        <f ca="1">((SUBSIDIO!$L$219*SUBSIDIO!$Z$219)+(SUBSIDIO!$N$219*SUBSIDIO!$AA$219))*(0.03)/(1-0.03)</f>
        <v>59.645874175390844</v>
      </c>
      <c r="AF219" s="4" t="s">
        <v>814</v>
      </c>
    </row>
    <row r="220" spans="1:32" ht="11.25" customHeight="1" x14ac:dyDescent="0.3">
      <c r="A220" s="4" t="s">
        <v>21</v>
      </c>
      <c r="B220" s="4" t="s">
        <v>39</v>
      </c>
      <c r="C220" s="4" t="s">
        <v>40</v>
      </c>
      <c r="D220" s="4" t="s">
        <v>50</v>
      </c>
      <c r="E220" s="4" t="s">
        <v>51</v>
      </c>
      <c r="F220" s="4" t="s">
        <v>25</v>
      </c>
      <c r="G220" s="4" t="s">
        <v>25</v>
      </c>
      <c r="H220" s="4" t="s">
        <v>35</v>
      </c>
      <c r="I220" s="5">
        <v>44774</v>
      </c>
      <c r="J220" s="6">
        <v>0</v>
      </c>
      <c r="K220" s="52">
        <v>0</v>
      </c>
      <c r="L220" s="6">
        <v>5.5839999999999996</v>
      </c>
      <c r="M220" s="52">
        <v>5.5839999999999996</v>
      </c>
      <c r="N220" s="6">
        <v>5.5839999999999996</v>
      </c>
      <c r="O220" s="52">
        <v>5.5839999999999996</v>
      </c>
      <c r="P220" s="6">
        <v>0</v>
      </c>
      <c r="Q220" s="4" t="s">
        <v>26</v>
      </c>
      <c r="R220" s="4">
        <v>0</v>
      </c>
      <c r="S220" s="4">
        <v>0</v>
      </c>
      <c r="T220" s="4">
        <v>17</v>
      </c>
      <c r="U220" s="4">
        <v>66</v>
      </c>
      <c r="V220" s="52">
        <f>IF(ISERROR(VLOOKUP($S$220,'TAR FIN'!$A$1:$O$103,15,0)),0,VLOOKUP($S$220,'TAR FIN'!$A$1:$O$103,15,0))</f>
        <v>0</v>
      </c>
      <c r="W220" s="52">
        <f>IF(ISERROR(VLOOKUP($T$220,'TAR FIN'!$A$1:$O$103,15,0)),0,VLOOKUP($T$220,'TAR FIN'!$A$1:$O$103,15,0))*(1-0.06)</f>
        <v>79.890599999999992</v>
      </c>
      <c r="X220" s="52">
        <f>IF(ISERROR(VLOOKUP($U$220,'TAR FIN'!$A$1:$O$103,15,0)),0,VLOOKUP($U$220,'TAR FIN'!$A$1:$O$103,15,0))*(1-0.06)</f>
        <v>228.2038</v>
      </c>
      <c r="Y220" s="52"/>
      <c r="Z220" s="52">
        <f ca="1">('TUSD BE'!$AM$24+'TUSD BF'!$AM$24+'TUSD CVA'!$AM$24)*1*(1-0.03)</f>
        <v>141.35070271825751</v>
      </c>
      <c r="AA220" s="52">
        <f>('TE BE'!$AB$9+'TE BF'!$AB$9+'TE CVA'!$AB$9)*1*(1-0.03)</f>
        <v>215.72204893346822</v>
      </c>
      <c r="AB220" s="52">
        <f>(SUBSIDIO!$J$220*SUBSIDIO!$V$220)*(0.06)/(1-0.06)</f>
        <v>0</v>
      </c>
      <c r="AC220" s="52">
        <f>((SUBSIDIO!$L$220*SUBSIDIO!$W$220)+(SUBSIDIO!$N$220*SUBSIDIO!$X$220))*(0.06)/(1-0.06)</f>
        <v>109.8127104</v>
      </c>
      <c r="AD220" s="52">
        <f>(SUBSIDIO!$J$220*SUBSIDIO!$Y$220)*(0.03)/(1-0.03)</f>
        <v>0</v>
      </c>
      <c r="AE220" s="52">
        <f ca="1">((SUBSIDIO!$L$220*SUBSIDIO!$Z$220)+(SUBSIDIO!$N$220*SUBSIDIO!$AA$220))*(0.03)/(1-0.03)</f>
        <v>61.66683232649185</v>
      </c>
      <c r="AF220" s="4" t="s">
        <v>814</v>
      </c>
    </row>
    <row r="221" spans="1:32" ht="11.25" customHeight="1" x14ac:dyDescent="0.3">
      <c r="A221" s="4" t="s">
        <v>21</v>
      </c>
      <c r="B221" s="4" t="s">
        <v>39</v>
      </c>
      <c r="C221" s="4" t="s">
        <v>40</v>
      </c>
      <c r="D221" s="4" t="s">
        <v>50</v>
      </c>
      <c r="E221" s="4" t="s">
        <v>51</v>
      </c>
      <c r="F221" s="4" t="s">
        <v>25</v>
      </c>
      <c r="G221" s="4" t="s">
        <v>25</v>
      </c>
      <c r="H221" s="4" t="s">
        <v>35</v>
      </c>
      <c r="I221" s="5">
        <v>44805</v>
      </c>
      <c r="J221" s="6">
        <v>0</v>
      </c>
      <c r="K221" s="52">
        <v>0</v>
      </c>
      <c r="L221" s="6">
        <v>5.4020000000000001</v>
      </c>
      <c r="M221" s="52">
        <v>5.4020000000000001</v>
      </c>
      <c r="N221" s="6">
        <v>5.4020000000000001</v>
      </c>
      <c r="O221" s="52">
        <v>5.4020000000000001</v>
      </c>
      <c r="P221" s="6">
        <v>0</v>
      </c>
      <c r="Q221" s="4" t="s">
        <v>26</v>
      </c>
      <c r="R221" s="4">
        <v>0</v>
      </c>
      <c r="S221" s="4">
        <v>0</v>
      </c>
      <c r="T221" s="4">
        <v>17</v>
      </c>
      <c r="U221" s="4">
        <v>66</v>
      </c>
      <c r="V221" s="52">
        <f>IF(ISERROR(VLOOKUP($S$221,'TAR FIN'!$A$1:$O$103,15,0)),0,VLOOKUP($S$221,'TAR FIN'!$A$1:$O$103,15,0))</f>
        <v>0</v>
      </c>
      <c r="W221" s="52">
        <f>IF(ISERROR(VLOOKUP($T$221,'TAR FIN'!$A$1:$O$103,15,0)),0,VLOOKUP($T$221,'TAR FIN'!$A$1:$O$103,15,0))*(1-0.06)</f>
        <v>79.890599999999992</v>
      </c>
      <c r="X221" s="52">
        <f>IF(ISERROR(VLOOKUP($U$221,'TAR FIN'!$A$1:$O$103,15,0)),0,VLOOKUP($U$221,'TAR FIN'!$A$1:$O$103,15,0))*(1-0.06)</f>
        <v>228.2038</v>
      </c>
      <c r="Y221" s="52"/>
      <c r="Z221" s="52">
        <f ca="1">('TUSD BE'!$AM$24+'TUSD BF'!$AM$24+'TUSD CVA'!$AM$24)*1*(1-0.03)</f>
        <v>141.35070271825751</v>
      </c>
      <c r="AA221" s="52">
        <f>('TE BE'!$AB$9+'TE BF'!$AB$9+'TE CVA'!$AB$9)*1*(1-0.03)</f>
        <v>215.72204893346822</v>
      </c>
      <c r="AB221" s="52">
        <f>(SUBSIDIO!$J$221*SUBSIDIO!$V$221)*(0.06)/(1-0.06)</f>
        <v>0</v>
      </c>
      <c r="AC221" s="52">
        <f>((SUBSIDIO!$L$221*SUBSIDIO!$W$221)+(SUBSIDIO!$N$221*SUBSIDIO!$X$221))*(0.06)/(1-0.06)</f>
        <v>106.2335712</v>
      </c>
      <c r="AD221" s="52">
        <f>(SUBSIDIO!$J$221*SUBSIDIO!$Y$221)*(0.03)/(1-0.03)</f>
        <v>0</v>
      </c>
      <c r="AE221" s="52">
        <f ca="1">((SUBSIDIO!$L$221*SUBSIDIO!$Z$221)+(SUBSIDIO!$N$221*SUBSIDIO!$AA$221))*(0.03)/(1-0.03)</f>
        <v>59.656917662555323</v>
      </c>
      <c r="AF221" s="4" t="s">
        <v>814</v>
      </c>
    </row>
    <row r="222" spans="1:32" ht="11.25" customHeight="1" x14ac:dyDescent="0.3">
      <c r="A222" s="4" t="s">
        <v>57</v>
      </c>
      <c r="B222" s="4" t="s">
        <v>39</v>
      </c>
      <c r="C222" s="4" t="s">
        <v>40</v>
      </c>
      <c r="D222" s="4" t="s">
        <v>50</v>
      </c>
      <c r="E222" s="4" t="s">
        <v>51</v>
      </c>
      <c r="F222" s="4" t="s">
        <v>25</v>
      </c>
      <c r="G222" s="4" t="s">
        <v>25</v>
      </c>
      <c r="H222" s="4" t="s">
        <v>35</v>
      </c>
      <c r="I222" s="5">
        <v>44835</v>
      </c>
      <c r="J222" s="6">
        <v>0</v>
      </c>
      <c r="K222" s="52">
        <v>0</v>
      </c>
      <c r="L222" s="6">
        <v>5.4020000000000001</v>
      </c>
      <c r="M222" s="52">
        <v>5.4020000000000001</v>
      </c>
      <c r="N222" s="6">
        <v>5.4020000000000001</v>
      </c>
      <c r="O222" s="52">
        <v>5.4020000000000001</v>
      </c>
      <c r="P222" s="6">
        <v>0</v>
      </c>
      <c r="Q222" s="4" t="s">
        <v>26</v>
      </c>
      <c r="R222" s="4">
        <v>0</v>
      </c>
      <c r="S222" s="4">
        <v>0</v>
      </c>
      <c r="T222" s="4">
        <v>17</v>
      </c>
      <c r="U222" s="4">
        <v>66</v>
      </c>
      <c r="V222" s="52">
        <f>IF(ISERROR(VLOOKUP($S$222,'TAR FIN'!$A$1:$O$103,15,0)),0,VLOOKUP($S$222,'TAR FIN'!$A$1:$O$103,15,0))</f>
        <v>0</v>
      </c>
      <c r="W222" s="52">
        <f>IF(ISERROR(VLOOKUP($T$222,'TAR FIN'!$A$1:$O$103,15,0)),0,VLOOKUP($T$222,'TAR FIN'!$A$1:$O$103,15,0))*(1-0.06)</f>
        <v>79.890599999999992</v>
      </c>
      <c r="X222" s="52">
        <f>IF(ISERROR(VLOOKUP($U$222,'TAR FIN'!$A$1:$O$103,15,0)),0,VLOOKUP($U$222,'TAR FIN'!$A$1:$O$103,15,0))*(1-0.06)</f>
        <v>228.2038</v>
      </c>
      <c r="Y222" s="52"/>
      <c r="Z222" s="52">
        <f ca="1">('TUSD BE'!$AM$24+'TUSD BF'!$AM$24+'TUSD CVA'!$AM$24)*1*(1-0.03)</f>
        <v>141.35070271825751</v>
      </c>
      <c r="AA222" s="52">
        <f>('TE BE'!$AB$9+'TE BF'!$AB$9+'TE CVA'!$AB$9)*1*(1-0.03)</f>
        <v>215.72204893346822</v>
      </c>
      <c r="AB222" s="52">
        <f>(SUBSIDIO!$J$222*SUBSIDIO!$V$222)*(0.06)/(1-0.06)</f>
        <v>0</v>
      </c>
      <c r="AC222" s="52">
        <f>((SUBSIDIO!$L$222*SUBSIDIO!$W$222)+(SUBSIDIO!$N$222*SUBSIDIO!$X$222))*(0.06)/(1-0.06)</f>
        <v>106.2335712</v>
      </c>
      <c r="AD222" s="52">
        <f>(SUBSIDIO!$J$222*SUBSIDIO!$Y$222)*(0.03)/(1-0.03)</f>
        <v>0</v>
      </c>
      <c r="AE222" s="52">
        <f ca="1">((SUBSIDIO!$L$222*SUBSIDIO!$Z$222)+(SUBSIDIO!$N$222*SUBSIDIO!$AA$222))*(0.03)/(1-0.03)</f>
        <v>59.656917662555323</v>
      </c>
      <c r="AF222" s="4" t="s">
        <v>814</v>
      </c>
    </row>
    <row r="223" spans="1:32" ht="11.25" customHeight="1" x14ac:dyDescent="0.3">
      <c r="A223" s="4" t="s">
        <v>21</v>
      </c>
      <c r="B223" s="4" t="s">
        <v>39</v>
      </c>
      <c r="C223" s="4" t="s">
        <v>40</v>
      </c>
      <c r="D223" s="4" t="s">
        <v>50</v>
      </c>
      <c r="E223" s="4" t="s">
        <v>51</v>
      </c>
      <c r="F223" s="4" t="s">
        <v>25</v>
      </c>
      <c r="G223" s="4" t="s">
        <v>25</v>
      </c>
      <c r="H223" s="4" t="s">
        <v>25</v>
      </c>
      <c r="I223" s="5">
        <v>44501</v>
      </c>
      <c r="J223" s="6">
        <v>30</v>
      </c>
      <c r="K223" s="53">
        <v>30</v>
      </c>
      <c r="L223" s="6">
        <v>0</v>
      </c>
      <c r="M223" s="52">
        <v>0</v>
      </c>
      <c r="N223" s="6">
        <v>0</v>
      </c>
      <c r="O223" s="52">
        <v>0</v>
      </c>
      <c r="P223" s="6">
        <v>1</v>
      </c>
      <c r="Q223" s="4" t="s">
        <v>26</v>
      </c>
      <c r="R223" s="4">
        <v>0</v>
      </c>
      <c r="S223" s="4">
        <v>13</v>
      </c>
      <c r="T223" s="4">
        <v>0</v>
      </c>
      <c r="U223" s="4">
        <v>0</v>
      </c>
      <c r="V223" s="52">
        <f>IF(ISERROR(VLOOKUP($S$223,'TAR FIN'!$A$1:$O$103,15,0)),0,VLOOKUP($S$223,'TAR FIN'!$A$1:$O$103,15,0))*(1-0.06)</f>
        <v>17.784800000000001</v>
      </c>
      <c r="W223" s="52">
        <f>IF(ISERROR(VLOOKUP($T$223,'TAR FIN'!$A$1:$O$103,15,0)),0,VLOOKUP($T$223,'TAR FIN'!$A$1:$O$103,15,0))</f>
        <v>0</v>
      </c>
      <c r="X223" s="52">
        <f>IF(ISERROR(VLOOKUP($U$223,'TAR FIN'!$A$1:$O$103,15,0)),0,VLOOKUP($U$223,'TAR FIN'!$A$1:$O$103,15,0))</f>
        <v>0</v>
      </c>
      <c r="Y223" s="52">
        <f ca="1">('TUSD BE'!$AM$22+'TUSD BF'!$AM$22+'TUSD CVA'!$AM$22)*1*(1-0.03)</f>
        <v>20.728258466855738</v>
      </c>
      <c r="Z223" s="52"/>
      <c r="AA223" s="52"/>
      <c r="AB223" s="52">
        <f>(SUBSIDIO!$J$223*SUBSIDIO!$V$223)*(0.06)/(1-0.06)</f>
        <v>34.055999999999997</v>
      </c>
      <c r="AC223" s="52">
        <f>((SUBSIDIO!$L$223*SUBSIDIO!$W$223)+(SUBSIDIO!$N$223*SUBSIDIO!$X$223))*(0.06)/(1-0.06)</f>
        <v>0</v>
      </c>
      <c r="AD223" s="52">
        <f ca="1">(SUBSIDIO!$J$223*SUBSIDIO!$Y$223)*(0.03)/(1-0.03)</f>
        <v>19.232404763062025</v>
      </c>
      <c r="AE223" s="52">
        <f>((SUBSIDIO!$L$223*SUBSIDIO!$Z$223)+(SUBSIDIO!$N$223*SUBSIDIO!$AA$223))*(0.03)/(1-0.03)</f>
        <v>0</v>
      </c>
      <c r="AF223" s="4" t="s">
        <v>814</v>
      </c>
    </row>
    <row r="224" spans="1:32" ht="11.25" customHeight="1" x14ac:dyDescent="0.3">
      <c r="A224" s="4" t="s">
        <v>21</v>
      </c>
      <c r="B224" s="4" t="s">
        <v>39</v>
      </c>
      <c r="C224" s="4" t="s">
        <v>40</v>
      </c>
      <c r="D224" s="4" t="s">
        <v>50</v>
      </c>
      <c r="E224" s="4" t="s">
        <v>51</v>
      </c>
      <c r="F224" s="4" t="s">
        <v>25</v>
      </c>
      <c r="G224" s="4" t="s">
        <v>25</v>
      </c>
      <c r="H224" s="4" t="s">
        <v>25</v>
      </c>
      <c r="I224" s="5">
        <v>44531</v>
      </c>
      <c r="J224" s="6">
        <v>30</v>
      </c>
      <c r="K224" s="53">
        <v>30</v>
      </c>
      <c r="L224" s="6">
        <v>0</v>
      </c>
      <c r="M224" s="52">
        <v>0</v>
      </c>
      <c r="N224" s="6">
        <v>0</v>
      </c>
      <c r="O224" s="52">
        <v>0</v>
      </c>
      <c r="P224" s="6">
        <v>1</v>
      </c>
      <c r="Q224" s="4" t="s">
        <v>26</v>
      </c>
      <c r="R224" s="4">
        <v>0</v>
      </c>
      <c r="S224" s="4">
        <v>13</v>
      </c>
      <c r="T224" s="4">
        <v>0</v>
      </c>
      <c r="U224" s="4">
        <v>0</v>
      </c>
      <c r="V224" s="52">
        <f>IF(ISERROR(VLOOKUP($S$224,'TAR FIN'!$A$1:$O$103,15,0)),0,VLOOKUP($S$224,'TAR FIN'!$A$1:$O$103,15,0))*(1-0.06)</f>
        <v>17.784800000000001</v>
      </c>
      <c r="W224" s="52">
        <f>IF(ISERROR(VLOOKUP($T$224,'TAR FIN'!$A$1:$O$103,15,0)),0,VLOOKUP($T$224,'TAR FIN'!$A$1:$O$103,15,0))</f>
        <v>0</v>
      </c>
      <c r="X224" s="52">
        <f>IF(ISERROR(VLOOKUP($U$224,'TAR FIN'!$A$1:$O$103,15,0)),0,VLOOKUP($U$224,'TAR FIN'!$A$1:$O$103,15,0))</f>
        <v>0</v>
      </c>
      <c r="Y224" s="52">
        <f ca="1">('TUSD BE'!$AM$22+'TUSD BF'!$AM$22+'TUSD CVA'!$AM$22)*1*(1-0.03)</f>
        <v>20.728258466855738</v>
      </c>
      <c r="Z224" s="52"/>
      <c r="AA224" s="52"/>
      <c r="AB224" s="52">
        <f>(SUBSIDIO!$J$224*SUBSIDIO!$V$224)*(0.06)/(1-0.06)</f>
        <v>34.055999999999997</v>
      </c>
      <c r="AC224" s="52">
        <f>((SUBSIDIO!$L$224*SUBSIDIO!$W$224)+(SUBSIDIO!$N$224*SUBSIDIO!$X$224))*(0.06)/(1-0.06)</f>
        <v>0</v>
      </c>
      <c r="AD224" s="52">
        <f ca="1">(SUBSIDIO!$J$224*SUBSIDIO!$Y$224)*(0.03)/(1-0.03)</f>
        <v>19.232404763062025</v>
      </c>
      <c r="AE224" s="52">
        <f>((SUBSIDIO!$L$224*SUBSIDIO!$Z$224)+(SUBSIDIO!$N$224*SUBSIDIO!$AA$224))*(0.03)/(1-0.03)</f>
        <v>0</v>
      </c>
      <c r="AF224" s="4" t="s">
        <v>814</v>
      </c>
    </row>
    <row r="225" spans="1:32" ht="11.25" customHeight="1" x14ac:dyDescent="0.3">
      <c r="A225" s="4" t="s">
        <v>21</v>
      </c>
      <c r="B225" s="4" t="s">
        <v>39</v>
      </c>
      <c r="C225" s="4" t="s">
        <v>40</v>
      </c>
      <c r="D225" s="4" t="s">
        <v>50</v>
      </c>
      <c r="E225" s="4" t="s">
        <v>51</v>
      </c>
      <c r="F225" s="4" t="s">
        <v>25</v>
      </c>
      <c r="G225" s="4" t="s">
        <v>25</v>
      </c>
      <c r="H225" s="4" t="s">
        <v>25</v>
      </c>
      <c r="I225" s="5">
        <v>44562</v>
      </c>
      <c r="J225" s="6">
        <v>30</v>
      </c>
      <c r="K225" s="53">
        <v>30</v>
      </c>
      <c r="L225" s="6">
        <v>0</v>
      </c>
      <c r="M225" s="52">
        <v>0</v>
      </c>
      <c r="N225" s="6">
        <v>0</v>
      </c>
      <c r="O225" s="52">
        <v>0</v>
      </c>
      <c r="P225" s="6">
        <v>1</v>
      </c>
      <c r="Q225" s="4" t="s">
        <v>26</v>
      </c>
      <c r="R225" s="4">
        <v>0</v>
      </c>
      <c r="S225" s="4">
        <v>13</v>
      </c>
      <c r="T225" s="4">
        <v>0</v>
      </c>
      <c r="U225" s="4">
        <v>0</v>
      </c>
      <c r="V225" s="52">
        <f>IF(ISERROR(VLOOKUP($S$225,'TAR FIN'!$A$1:$O$103,15,0)),0,VLOOKUP($S$225,'TAR FIN'!$A$1:$O$103,15,0))*(1-0.06)</f>
        <v>17.784800000000001</v>
      </c>
      <c r="W225" s="52">
        <f>IF(ISERROR(VLOOKUP($T$225,'TAR FIN'!$A$1:$O$103,15,0)),0,VLOOKUP($T$225,'TAR FIN'!$A$1:$O$103,15,0))</f>
        <v>0</v>
      </c>
      <c r="X225" s="52">
        <f>IF(ISERROR(VLOOKUP($U$225,'TAR FIN'!$A$1:$O$103,15,0)),0,VLOOKUP($U$225,'TAR FIN'!$A$1:$O$103,15,0))</f>
        <v>0</v>
      </c>
      <c r="Y225" s="52">
        <f ca="1">('TUSD BE'!$AM$22+'TUSD BF'!$AM$22+'TUSD CVA'!$AM$22)*1*(1-0.03)</f>
        <v>20.728258466855738</v>
      </c>
      <c r="Z225" s="52"/>
      <c r="AA225" s="52"/>
      <c r="AB225" s="52">
        <f>(SUBSIDIO!$J$225*SUBSIDIO!$V$225)*(0.06)/(1-0.06)</f>
        <v>34.055999999999997</v>
      </c>
      <c r="AC225" s="52">
        <f>((SUBSIDIO!$L$225*SUBSIDIO!$W$225)+(SUBSIDIO!$N$225*SUBSIDIO!$X$225))*(0.06)/(1-0.06)</f>
        <v>0</v>
      </c>
      <c r="AD225" s="52">
        <f ca="1">(SUBSIDIO!$J$225*SUBSIDIO!$Y$225)*(0.03)/(1-0.03)</f>
        <v>19.232404763062025</v>
      </c>
      <c r="AE225" s="52">
        <f>((SUBSIDIO!$L$225*SUBSIDIO!$Z$225)+(SUBSIDIO!$N$225*SUBSIDIO!$AA$225))*(0.03)/(1-0.03)</f>
        <v>0</v>
      </c>
      <c r="AF225" s="4" t="s">
        <v>814</v>
      </c>
    </row>
    <row r="226" spans="1:32" ht="11.25" customHeight="1" x14ac:dyDescent="0.3">
      <c r="A226" s="4" t="s">
        <v>21</v>
      </c>
      <c r="B226" s="4" t="s">
        <v>39</v>
      </c>
      <c r="C226" s="4" t="s">
        <v>40</v>
      </c>
      <c r="D226" s="4" t="s">
        <v>50</v>
      </c>
      <c r="E226" s="4" t="s">
        <v>51</v>
      </c>
      <c r="F226" s="4" t="s">
        <v>25</v>
      </c>
      <c r="G226" s="4" t="s">
        <v>25</v>
      </c>
      <c r="H226" s="4" t="s">
        <v>25</v>
      </c>
      <c r="I226" s="5">
        <v>44593</v>
      </c>
      <c r="J226" s="6">
        <v>30</v>
      </c>
      <c r="K226" s="53">
        <v>30</v>
      </c>
      <c r="L226" s="6">
        <v>0</v>
      </c>
      <c r="M226" s="52">
        <v>0</v>
      </c>
      <c r="N226" s="6">
        <v>0</v>
      </c>
      <c r="O226" s="52">
        <v>0</v>
      </c>
      <c r="P226" s="6">
        <v>1</v>
      </c>
      <c r="Q226" s="4" t="s">
        <v>26</v>
      </c>
      <c r="R226" s="4">
        <v>0</v>
      </c>
      <c r="S226" s="4">
        <v>13</v>
      </c>
      <c r="T226" s="4">
        <v>0</v>
      </c>
      <c r="U226" s="4">
        <v>0</v>
      </c>
      <c r="V226" s="52">
        <f>IF(ISERROR(VLOOKUP($S$226,'TAR FIN'!$A$1:$O$103,15,0)),0,VLOOKUP($S$226,'TAR FIN'!$A$1:$O$103,15,0))*(1-0.06)</f>
        <v>17.784800000000001</v>
      </c>
      <c r="W226" s="52">
        <f>IF(ISERROR(VLOOKUP($T$226,'TAR FIN'!$A$1:$O$103,15,0)),0,VLOOKUP($T$226,'TAR FIN'!$A$1:$O$103,15,0))</f>
        <v>0</v>
      </c>
      <c r="X226" s="52">
        <f>IF(ISERROR(VLOOKUP($U$226,'TAR FIN'!$A$1:$O$103,15,0)),0,VLOOKUP($U$226,'TAR FIN'!$A$1:$O$103,15,0))</f>
        <v>0</v>
      </c>
      <c r="Y226" s="52">
        <f ca="1">('TUSD BE'!$AM$22+'TUSD BF'!$AM$22+'TUSD CVA'!$AM$22)*1*(1-0.03)</f>
        <v>20.728258466855738</v>
      </c>
      <c r="Z226" s="52"/>
      <c r="AA226" s="52"/>
      <c r="AB226" s="52">
        <f>(SUBSIDIO!$J$226*SUBSIDIO!$V$226)*(0.06)/(1-0.06)</f>
        <v>34.055999999999997</v>
      </c>
      <c r="AC226" s="52">
        <f>((SUBSIDIO!$L$226*SUBSIDIO!$W$226)+(SUBSIDIO!$N$226*SUBSIDIO!$X$226))*(0.06)/(1-0.06)</f>
        <v>0</v>
      </c>
      <c r="AD226" s="52">
        <f ca="1">(SUBSIDIO!$J$226*SUBSIDIO!$Y$226)*(0.03)/(1-0.03)</f>
        <v>19.232404763062025</v>
      </c>
      <c r="AE226" s="52">
        <f>((SUBSIDIO!$L$226*SUBSIDIO!$Z$226)+(SUBSIDIO!$N$226*SUBSIDIO!$AA$226))*(0.03)/(1-0.03)</f>
        <v>0</v>
      </c>
      <c r="AF226" s="4" t="s">
        <v>814</v>
      </c>
    </row>
    <row r="227" spans="1:32" ht="11.25" customHeight="1" x14ac:dyDescent="0.3">
      <c r="A227" s="4" t="s">
        <v>21</v>
      </c>
      <c r="B227" s="4" t="s">
        <v>39</v>
      </c>
      <c r="C227" s="4" t="s">
        <v>40</v>
      </c>
      <c r="D227" s="4" t="s">
        <v>50</v>
      </c>
      <c r="E227" s="4" t="s">
        <v>51</v>
      </c>
      <c r="F227" s="4" t="s">
        <v>25</v>
      </c>
      <c r="G227" s="4" t="s">
        <v>25</v>
      </c>
      <c r="H227" s="4" t="s">
        <v>25</v>
      </c>
      <c r="I227" s="5">
        <v>44621</v>
      </c>
      <c r="J227" s="6">
        <v>30</v>
      </c>
      <c r="K227" s="53">
        <v>30</v>
      </c>
      <c r="L227" s="6">
        <v>0</v>
      </c>
      <c r="M227" s="52">
        <v>0</v>
      </c>
      <c r="N227" s="6">
        <v>0</v>
      </c>
      <c r="O227" s="52">
        <v>0</v>
      </c>
      <c r="P227" s="6">
        <v>1</v>
      </c>
      <c r="Q227" s="4" t="s">
        <v>26</v>
      </c>
      <c r="R227" s="4">
        <v>0</v>
      </c>
      <c r="S227" s="4">
        <v>13</v>
      </c>
      <c r="T227" s="4">
        <v>0</v>
      </c>
      <c r="U227" s="4">
        <v>0</v>
      </c>
      <c r="V227" s="52">
        <f>IF(ISERROR(VLOOKUP($S$227,'TAR FIN'!$A$1:$O$103,15,0)),0,VLOOKUP($S$227,'TAR FIN'!$A$1:$O$103,15,0))*(1-0.06)</f>
        <v>17.784800000000001</v>
      </c>
      <c r="W227" s="52">
        <f>IF(ISERROR(VLOOKUP($T$227,'TAR FIN'!$A$1:$O$103,15,0)),0,VLOOKUP($T$227,'TAR FIN'!$A$1:$O$103,15,0))</f>
        <v>0</v>
      </c>
      <c r="X227" s="52">
        <f>IF(ISERROR(VLOOKUP($U$227,'TAR FIN'!$A$1:$O$103,15,0)),0,VLOOKUP($U$227,'TAR FIN'!$A$1:$O$103,15,0))</f>
        <v>0</v>
      </c>
      <c r="Y227" s="52">
        <f ca="1">('TUSD BE'!$AM$22+'TUSD BF'!$AM$22+'TUSD CVA'!$AM$22)*1*(1-0.03)</f>
        <v>20.728258466855738</v>
      </c>
      <c r="Z227" s="52"/>
      <c r="AA227" s="52"/>
      <c r="AB227" s="52">
        <f>(SUBSIDIO!$J$227*SUBSIDIO!$V$227)*(0.06)/(1-0.06)</f>
        <v>34.055999999999997</v>
      </c>
      <c r="AC227" s="52">
        <f>((SUBSIDIO!$L$227*SUBSIDIO!$W$227)+(SUBSIDIO!$N$227*SUBSIDIO!$X$227))*(0.06)/(1-0.06)</f>
        <v>0</v>
      </c>
      <c r="AD227" s="52">
        <f ca="1">(SUBSIDIO!$J$227*SUBSIDIO!$Y$227)*(0.03)/(1-0.03)</f>
        <v>19.232404763062025</v>
      </c>
      <c r="AE227" s="52">
        <f>((SUBSIDIO!$L$227*SUBSIDIO!$Z$227)+(SUBSIDIO!$N$227*SUBSIDIO!$AA$227))*(0.03)/(1-0.03)</f>
        <v>0</v>
      </c>
      <c r="AF227" s="4" t="s">
        <v>814</v>
      </c>
    </row>
    <row r="228" spans="1:32" ht="11.25" customHeight="1" x14ac:dyDescent="0.3">
      <c r="A228" s="4" t="s">
        <v>21</v>
      </c>
      <c r="B228" s="4" t="s">
        <v>39</v>
      </c>
      <c r="C228" s="4" t="s">
        <v>40</v>
      </c>
      <c r="D228" s="4" t="s">
        <v>50</v>
      </c>
      <c r="E228" s="4" t="s">
        <v>51</v>
      </c>
      <c r="F228" s="4" t="s">
        <v>25</v>
      </c>
      <c r="G228" s="4" t="s">
        <v>25</v>
      </c>
      <c r="H228" s="4" t="s">
        <v>25</v>
      </c>
      <c r="I228" s="5">
        <v>44652</v>
      </c>
      <c r="J228" s="6">
        <v>30</v>
      </c>
      <c r="K228" s="53">
        <v>30</v>
      </c>
      <c r="L228" s="6">
        <v>0</v>
      </c>
      <c r="M228" s="52">
        <v>0</v>
      </c>
      <c r="N228" s="6">
        <v>0</v>
      </c>
      <c r="O228" s="52">
        <v>0</v>
      </c>
      <c r="P228" s="6">
        <v>1</v>
      </c>
      <c r="Q228" s="4" t="s">
        <v>26</v>
      </c>
      <c r="R228" s="4">
        <v>0</v>
      </c>
      <c r="S228" s="4">
        <v>13</v>
      </c>
      <c r="T228" s="4">
        <v>0</v>
      </c>
      <c r="U228" s="4">
        <v>0</v>
      </c>
      <c r="V228" s="52">
        <f>IF(ISERROR(VLOOKUP($S$228,'TAR FIN'!$A$1:$O$103,15,0)),0,VLOOKUP($S$228,'TAR FIN'!$A$1:$O$103,15,0))*(1-0.06)</f>
        <v>17.784800000000001</v>
      </c>
      <c r="W228" s="52">
        <f>IF(ISERROR(VLOOKUP($T$228,'TAR FIN'!$A$1:$O$103,15,0)),0,VLOOKUP($T$228,'TAR FIN'!$A$1:$O$103,15,0))</f>
        <v>0</v>
      </c>
      <c r="X228" s="52">
        <f>IF(ISERROR(VLOOKUP($U$228,'TAR FIN'!$A$1:$O$103,15,0)),0,VLOOKUP($U$228,'TAR FIN'!$A$1:$O$103,15,0))</f>
        <v>0</v>
      </c>
      <c r="Y228" s="52">
        <f ca="1">('TUSD BE'!$AM$22+'TUSD BF'!$AM$22+'TUSD CVA'!$AM$22)*1*(1-0.03)</f>
        <v>20.728258466855738</v>
      </c>
      <c r="Z228" s="52"/>
      <c r="AA228" s="52"/>
      <c r="AB228" s="52">
        <f>(SUBSIDIO!$J$228*SUBSIDIO!$V$228)*(0.06)/(1-0.06)</f>
        <v>34.055999999999997</v>
      </c>
      <c r="AC228" s="52">
        <f>((SUBSIDIO!$L$228*SUBSIDIO!$W$228)+(SUBSIDIO!$N$228*SUBSIDIO!$X$228))*(0.06)/(1-0.06)</f>
        <v>0</v>
      </c>
      <c r="AD228" s="52">
        <f ca="1">(SUBSIDIO!$J$228*SUBSIDIO!$Y$228)*(0.03)/(1-0.03)</f>
        <v>19.232404763062025</v>
      </c>
      <c r="AE228" s="52">
        <f>((SUBSIDIO!$L$228*SUBSIDIO!$Z$228)+(SUBSIDIO!$N$228*SUBSIDIO!$AA$228))*(0.03)/(1-0.03)</f>
        <v>0</v>
      </c>
      <c r="AF228" s="4" t="s">
        <v>814</v>
      </c>
    </row>
    <row r="229" spans="1:32" ht="11.25" customHeight="1" x14ac:dyDescent="0.3">
      <c r="A229" s="4" t="s">
        <v>21</v>
      </c>
      <c r="B229" s="4" t="s">
        <v>39</v>
      </c>
      <c r="C229" s="4" t="s">
        <v>40</v>
      </c>
      <c r="D229" s="4" t="s">
        <v>50</v>
      </c>
      <c r="E229" s="4" t="s">
        <v>51</v>
      </c>
      <c r="F229" s="4" t="s">
        <v>25</v>
      </c>
      <c r="G229" s="4" t="s">
        <v>25</v>
      </c>
      <c r="H229" s="4" t="s">
        <v>25</v>
      </c>
      <c r="I229" s="5">
        <v>44682</v>
      </c>
      <c r="J229" s="6">
        <v>30</v>
      </c>
      <c r="K229" s="53">
        <v>30</v>
      </c>
      <c r="L229" s="6">
        <v>0</v>
      </c>
      <c r="M229" s="52">
        <v>0</v>
      </c>
      <c r="N229" s="6">
        <v>0</v>
      </c>
      <c r="O229" s="52">
        <v>0</v>
      </c>
      <c r="P229" s="6">
        <v>1</v>
      </c>
      <c r="Q229" s="4" t="s">
        <v>26</v>
      </c>
      <c r="R229" s="4">
        <v>0</v>
      </c>
      <c r="S229" s="4">
        <v>13</v>
      </c>
      <c r="T229" s="4">
        <v>0</v>
      </c>
      <c r="U229" s="4">
        <v>0</v>
      </c>
      <c r="V229" s="52">
        <f>IF(ISERROR(VLOOKUP($S$229,'TAR FIN'!$A$1:$O$103,15,0)),0,VLOOKUP($S$229,'TAR FIN'!$A$1:$O$103,15,0))*(1-0.06)</f>
        <v>17.784800000000001</v>
      </c>
      <c r="W229" s="52">
        <f>IF(ISERROR(VLOOKUP($T$229,'TAR FIN'!$A$1:$O$103,15,0)),0,VLOOKUP($T$229,'TAR FIN'!$A$1:$O$103,15,0))</f>
        <v>0</v>
      </c>
      <c r="X229" s="52">
        <f>IF(ISERROR(VLOOKUP($U$229,'TAR FIN'!$A$1:$O$103,15,0)),0,VLOOKUP($U$229,'TAR FIN'!$A$1:$O$103,15,0))</f>
        <v>0</v>
      </c>
      <c r="Y229" s="52">
        <f ca="1">('TUSD BE'!$AM$22+'TUSD BF'!$AM$22+'TUSD CVA'!$AM$22)*1*(1-0.03)</f>
        <v>20.728258466855738</v>
      </c>
      <c r="Z229" s="52"/>
      <c r="AA229" s="52"/>
      <c r="AB229" s="52">
        <f>(SUBSIDIO!$J$229*SUBSIDIO!$V$229)*(0.06)/(1-0.06)</f>
        <v>34.055999999999997</v>
      </c>
      <c r="AC229" s="52">
        <f>((SUBSIDIO!$L$229*SUBSIDIO!$W$229)+(SUBSIDIO!$N$229*SUBSIDIO!$X$229))*(0.06)/(1-0.06)</f>
        <v>0</v>
      </c>
      <c r="AD229" s="52">
        <f ca="1">(SUBSIDIO!$J$229*SUBSIDIO!$Y$229)*(0.03)/(1-0.03)</f>
        <v>19.232404763062025</v>
      </c>
      <c r="AE229" s="52">
        <f>((SUBSIDIO!$L$229*SUBSIDIO!$Z$229)+(SUBSIDIO!$N$229*SUBSIDIO!$AA$229))*(0.03)/(1-0.03)</f>
        <v>0</v>
      </c>
      <c r="AF229" s="4" t="s">
        <v>814</v>
      </c>
    </row>
    <row r="230" spans="1:32" ht="11.25" customHeight="1" x14ac:dyDescent="0.3">
      <c r="A230" s="4" t="s">
        <v>21</v>
      </c>
      <c r="B230" s="4" t="s">
        <v>39</v>
      </c>
      <c r="C230" s="4" t="s">
        <v>40</v>
      </c>
      <c r="D230" s="4" t="s">
        <v>50</v>
      </c>
      <c r="E230" s="4" t="s">
        <v>51</v>
      </c>
      <c r="F230" s="4" t="s">
        <v>25</v>
      </c>
      <c r="G230" s="4" t="s">
        <v>25</v>
      </c>
      <c r="H230" s="4" t="s">
        <v>25</v>
      </c>
      <c r="I230" s="5">
        <v>44713</v>
      </c>
      <c r="J230" s="6">
        <v>30</v>
      </c>
      <c r="K230" s="53">
        <v>30</v>
      </c>
      <c r="L230" s="6">
        <v>0</v>
      </c>
      <c r="M230" s="52">
        <v>0</v>
      </c>
      <c r="N230" s="6">
        <v>0</v>
      </c>
      <c r="O230" s="52">
        <v>0</v>
      </c>
      <c r="P230" s="6">
        <v>1</v>
      </c>
      <c r="Q230" s="4" t="s">
        <v>26</v>
      </c>
      <c r="R230" s="4">
        <v>0</v>
      </c>
      <c r="S230" s="4">
        <v>13</v>
      </c>
      <c r="T230" s="4">
        <v>0</v>
      </c>
      <c r="U230" s="4">
        <v>0</v>
      </c>
      <c r="V230" s="52">
        <f>IF(ISERROR(VLOOKUP($S$230,'TAR FIN'!$A$1:$O$103,15,0)),0,VLOOKUP($S$230,'TAR FIN'!$A$1:$O$103,15,0))*(1-0.06)</f>
        <v>17.784800000000001</v>
      </c>
      <c r="W230" s="52">
        <f>IF(ISERROR(VLOOKUP($T$230,'TAR FIN'!$A$1:$O$103,15,0)),0,VLOOKUP($T$230,'TAR FIN'!$A$1:$O$103,15,0))</f>
        <v>0</v>
      </c>
      <c r="X230" s="52">
        <f>IF(ISERROR(VLOOKUP($U$230,'TAR FIN'!$A$1:$O$103,15,0)),0,VLOOKUP($U$230,'TAR FIN'!$A$1:$O$103,15,0))</f>
        <v>0</v>
      </c>
      <c r="Y230" s="52">
        <f ca="1">('TUSD BE'!$AM$22+'TUSD BF'!$AM$22+'TUSD CVA'!$AM$22)*1*(1-0.03)</f>
        <v>20.728258466855738</v>
      </c>
      <c r="Z230" s="52"/>
      <c r="AA230" s="52"/>
      <c r="AB230" s="52">
        <f>(SUBSIDIO!$J$230*SUBSIDIO!$V$230)*(0.06)/(1-0.06)</f>
        <v>34.055999999999997</v>
      </c>
      <c r="AC230" s="52">
        <f>((SUBSIDIO!$L$230*SUBSIDIO!$W$230)+(SUBSIDIO!$N$230*SUBSIDIO!$X$230))*(0.06)/(1-0.06)</f>
        <v>0</v>
      </c>
      <c r="AD230" s="52">
        <f ca="1">(SUBSIDIO!$J$230*SUBSIDIO!$Y$230)*(0.03)/(1-0.03)</f>
        <v>19.232404763062025</v>
      </c>
      <c r="AE230" s="52">
        <f>((SUBSIDIO!$L$230*SUBSIDIO!$Z$230)+(SUBSIDIO!$N$230*SUBSIDIO!$AA$230))*(0.03)/(1-0.03)</f>
        <v>0</v>
      </c>
      <c r="AF230" s="4" t="s">
        <v>814</v>
      </c>
    </row>
    <row r="231" spans="1:32" ht="11.25" customHeight="1" x14ac:dyDescent="0.3">
      <c r="A231" s="4" t="s">
        <v>21</v>
      </c>
      <c r="B231" s="4" t="s">
        <v>39</v>
      </c>
      <c r="C231" s="4" t="s">
        <v>40</v>
      </c>
      <c r="D231" s="4" t="s">
        <v>50</v>
      </c>
      <c r="E231" s="4" t="s">
        <v>51</v>
      </c>
      <c r="F231" s="4" t="s">
        <v>25</v>
      </c>
      <c r="G231" s="4" t="s">
        <v>25</v>
      </c>
      <c r="H231" s="4" t="s">
        <v>25</v>
      </c>
      <c r="I231" s="5">
        <v>44743</v>
      </c>
      <c r="J231" s="6">
        <v>30</v>
      </c>
      <c r="K231" s="53">
        <v>30</v>
      </c>
      <c r="L231" s="6">
        <v>0</v>
      </c>
      <c r="M231" s="52">
        <v>0</v>
      </c>
      <c r="N231" s="6">
        <v>0</v>
      </c>
      <c r="O231" s="52">
        <v>0</v>
      </c>
      <c r="P231" s="6">
        <v>1</v>
      </c>
      <c r="Q231" s="4" t="s">
        <v>26</v>
      </c>
      <c r="R231" s="4">
        <v>0</v>
      </c>
      <c r="S231" s="4">
        <v>13</v>
      </c>
      <c r="T231" s="4">
        <v>0</v>
      </c>
      <c r="U231" s="4">
        <v>0</v>
      </c>
      <c r="V231" s="52">
        <f>IF(ISERROR(VLOOKUP($S$231,'TAR FIN'!$A$1:$O$103,15,0)),0,VLOOKUP($S$231,'TAR FIN'!$A$1:$O$103,15,0))*(1-0.06)</f>
        <v>17.784800000000001</v>
      </c>
      <c r="W231" s="52">
        <f>IF(ISERROR(VLOOKUP($T$231,'TAR FIN'!$A$1:$O$103,15,0)),0,VLOOKUP($T$231,'TAR FIN'!$A$1:$O$103,15,0))</f>
        <v>0</v>
      </c>
      <c r="X231" s="52">
        <f>IF(ISERROR(VLOOKUP($U$231,'TAR FIN'!$A$1:$O$103,15,0)),0,VLOOKUP($U$231,'TAR FIN'!$A$1:$O$103,15,0))</f>
        <v>0</v>
      </c>
      <c r="Y231" s="52">
        <f ca="1">('TUSD BE'!$AM$22+'TUSD BF'!$AM$22+'TUSD CVA'!$AM$22)*1*(1-0.03)</f>
        <v>20.728258466855738</v>
      </c>
      <c r="Z231" s="52"/>
      <c r="AA231" s="52"/>
      <c r="AB231" s="52">
        <f>(SUBSIDIO!$J$231*SUBSIDIO!$V$231)*(0.06)/(1-0.06)</f>
        <v>34.055999999999997</v>
      </c>
      <c r="AC231" s="52">
        <f>((SUBSIDIO!$L$231*SUBSIDIO!$W$231)+(SUBSIDIO!$N$231*SUBSIDIO!$X$231))*(0.06)/(1-0.06)</f>
        <v>0</v>
      </c>
      <c r="AD231" s="52">
        <f ca="1">(SUBSIDIO!$J$231*SUBSIDIO!$Y$231)*(0.03)/(1-0.03)</f>
        <v>19.232404763062025</v>
      </c>
      <c r="AE231" s="52">
        <f>((SUBSIDIO!$L$231*SUBSIDIO!$Z$231)+(SUBSIDIO!$N$231*SUBSIDIO!$AA$231))*(0.03)/(1-0.03)</f>
        <v>0</v>
      </c>
      <c r="AF231" s="4" t="s">
        <v>814</v>
      </c>
    </row>
    <row r="232" spans="1:32" ht="11.25" customHeight="1" x14ac:dyDescent="0.3">
      <c r="A232" s="4" t="s">
        <v>21</v>
      </c>
      <c r="B232" s="4" t="s">
        <v>39</v>
      </c>
      <c r="C232" s="4" t="s">
        <v>40</v>
      </c>
      <c r="D232" s="4" t="s">
        <v>50</v>
      </c>
      <c r="E232" s="4" t="s">
        <v>51</v>
      </c>
      <c r="F232" s="4" t="s">
        <v>25</v>
      </c>
      <c r="G232" s="4" t="s">
        <v>25</v>
      </c>
      <c r="H232" s="4" t="s">
        <v>25</v>
      </c>
      <c r="I232" s="5">
        <v>44774</v>
      </c>
      <c r="J232" s="6">
        <v>30</v>
      </c>
      <c r="K232" s="53">
        <v>30</v>
      </c>
      <c r="L232" s="6">
        <v>0</v>
      </c>
      <c r="M232" s="52">
        <v>0</v>
      </c>
      <c r="N232" s="6">
        <v>0</v>
      </c>
      <c r="O232" s="52">
        <v>0</v>
      </c>
      <c r="P232" s="6">
        <v>1</v>
      </c>
      <c r="Q232" s="4" t="s">
        <v>26</v>
      </c>
      <c r="R232" s="4">
        <v>0</v>
      </c>
      <c r="S232" s="4">
        <v>13</v>
      </c>
      <c r="T232" s="4">
        <v>0</v>
      </c>
      <c r="U232" s="4">
        <v>0</v>
      </c>
      <c r="V232" s="52">
        <f>IF(ISERROR(VLOOKUP($S$232,'TAR FIN'!$A$1:$O$103,15,0)),0,VLOOKUP($S$232,'TAR FIN'!$A$1:$O$103,15,0))*(1-0.06)</f>
        <v>17.784800000000001</v>
      </c>
      <c r="W232" s="52">
        <f>IF(ISERROR(VLOOKUP($T$232,'TAR FIN'!$A$1:$O$103,15,0)),0,VLOOKUP($T$232,'TAR FIN'!$A$1:$O$103,15,0))</f>
        <v>0</v>
      </c>
      <c r="X232" s="52">
        <f>IF(ISERROR(VLOOKUP($U$232,'TAR FIN'!$A$1:$O$103,15,0)),0,VLOOKUP($U$232,'TAR FIN'!$A$1:$O$103,15,0))</f>
        <v>0</v>
      </c>
      <c r="Y232" s="52">
        <f ca="1">('TUSD BE'!$AM$22+'TUSD BF'!$AM$22+'TUSD CVA'!$AM$22)*1*(1-0.03)</f>
        <v>20.728258466855738</v>
      </c>
      <c r="Z232" s="52"/>
      <c r="AA232" s="52"/>
      <c r="AB232" s="52">
        <f>(SUBSIDIO!$J$232*SUBSIDIO!$V$232)*(0.06)/(1-0.06)</f>
        <v>34.055999999999997</v>
      </c>
      <c r="AC232" s="52">
        <f>((SUBSIDIO!$L$232*SUBSIDIO!$W$232)+(SUBSIDIO!$N$232*SUBSIDIO!$X$232))*(0.06)/(1-0.06)</f>
        <v>0</v>
      </c>
      <c r="AD232" s="52">
        <f ca="1">(SUBSIDIO!$J$232*SUBSIDIO!$Y$232)*(0.03)/(1-0.03)</f>
        <v>19.232404763062025</v>
      </c>
      <c r="AE232" s="52">
        <f>((SUBSIDIO!$L$232*SUBSIDIO!$Z$232)+(SUBSIDIO!$N$232*SUBSIDIO!$AA$232))*(0.03)/(1-0.03)</f>
        <v>0</v>
      </c>
      <c r="AF232" s="4" t="s">
        <v>814</v>
      </c>
    </row>
    <row r="233" spans="1:32" ht="11.25" customHeight="1" x14ac:dyDescent="0.3">
      <c r="A233" s="4" t="s">
        <v>21</v>
      </c>
      <c r="B233" s="4" t="s">
        <v>39</v>
      </c>
      <c r="C233" s="4" t="s">
        <v>40</v>
      </c>
      <c r="D233" s="4" t="s">
        <v>50</v>
      </c>
      <c r="E233" s="4" t="s">
        <v>51</v>
      </c>
      <c r="F233" s="4" t="s">
        <v>25</v>
      </c>
      <c r="G233" s="4" t="s">
        <v>25</v>
      </c>
      <c r="H233" s="4" t="s">
        <v>25</v>
      </c>
      <c r="I233" s="5">
        <v>44805</v>
      </c>
      <c r="J233" s="6">
        <v>30</v>
      </c>
      <c r="K233" s="53">
        <v>30</v>
      </c>
      <c r="L233" s="6">
        <v>0</v>
      </c>
      <c r="M233" s="52">
        <v>0</v>
      </c>
      <c r="N233" s="6">
        <v>0</v>
      </c>
      <c r="O233" s="52">
        <v>0</v>
      </c>
      <c r="P233" s="6">
        <v>1</v>
      </c>
      <c r="Q233" s="4" t="s">
        <v>26</v>
      </c>
      <c r="R233" s="4">
        <v>0</v>
      </c>
      <c r="S233" s="4">
        <v>13</v>
      </c>
      <c r="T233" s="4">
        <v>0</v>
      </c>
      <c r="U233" s="4">
        <v>0</v>
      </c>
      <c r="V233" s="52">
        <f>IF(ISERROR(VLOOKUP($S$233,'TAR FIN'!$A$1:$O$103,15,0)),0,VLOOKUP($S$233,'TAR FIN'!$A$1:$O$103,15,0))*(1-0.06)</f>
        <v>17.784800000000001</v>
      </c>
      <c r="W233" s="52">
        <f>IF(ISERROR(VLOOKUP($T$233,'TAR FIN'!$A$1:$O$103,15,0)),0,VLOOKUP($T$233,'TAR FIN'!$A$1:$O$103,15,0))</f>
        <v>0</v>
      </c>
      <c r="X233" s="52">
        <f>IF(ISERROR(VLOOKUP($U$233,'TAR FIN'!$A$1:$O$103,15,0)),0,VLOOKUP($U$233,'TAR FIN'!$A$1:$O$103,15,0))</f>
        <v>0</v>
      </c>
      <c r="Y233" s="52">
        <f ca="1">('TUSD BE'!$AM$22+'TUSD BF'!$AM$22+'TUSD CVA'!$AM$22)*1*(1-0.03)</f>
        <v>20.728258466855738</v>
      </c>
      <c r="Z233" s="52"/>
      <c r="AA233" s="52"/>
      <c r="AB233" s="52">
        <f>(SUBSIDIO!$J$233*SUBSIDIO!$V$233)*(0.06)/(1-0.06)</f>
        <v>34.055999999999997</v>
      </c>
      <c r="AC233" s="52">
        <f>((SUBSIDIO!$L$233*SUBSIDIO!$W$233)+(SUBSIDIO!$N$233*SUBSIDIO!$X$233))*(0.06)/(1-0.06)</f>
        <v>0</v>
      </c>
      <c r="AD233" s="52">
        <f ca="1">(SUBSIDIO!$J$233*SUBSIDIO!$Y$233)*(0.03)/(1-0.03)</f>
        <v>19.232404763062025</v>
      </c>
      <c r="AE233" s="52">
        <f>((SUBSIDIO!$L$233*SUBSIDIO!$Z$233)+(SUBSIDIO!$N$233*SUBSIDIO!$AA$233))*(0.03)/(1-0.03)</f>
        <v>0</v>
      </c>
      <c r="AF233" s="4" t="s">
        <v>814</v>
      </c>
    </row>
    <row r="234" spans="1:32" ht="11.25" customHeight="1" x14ac:dyDescent="0.3">
      <c r="A234" s="4" t="s">
        <v>57</v>
      </c>
      <c r="B234" s="4" t="s">
        <v>39</v>
      </c>
      <c r="C234" s="4" t="s">
        <v>40</v>
      </c>
      <c r="D234" s="4" t="s">
        <v>50</v>
      </c>
      <c r="E234" s="4" t="s">
        <v>51</v>
      </c>
      <c r="F234" s="4" t="s">
        <v>25</v>
      </c>
      <c r="G234" s="4" t="s">
        <v>25</v>
      </c>
      <c r="H234" s="4" t="s">
        <v>25</v>
      </c>
      <c r="I234" s="5">
        <v>44835</v>
      </c>
      <c r="J234" s="6">
        <v>30</v>
      </c>
      <c r="K234" s="53">
        <v>30</v>
      </c>
      <c r="L234" s="6">
        <v>0</v>
      </c>
      <c r="M234" s="52">
        <v>0</v>
      </c>
      <c r="N234" s="6">
        <v>0</v>
      </c>
      <c r="O234" s="52">
        <v>0</v>
      </c>
      <c r="P234" s="6">
        <v>1</v>
      </c>
      <c r="Q234" s="4" t="s">
        <v>26</v>
      </c>
      <c r="R234" s="4">
        <v>0</v>
      </c>
      <c r="S234" s="4">
        <v>13</v>
      </c>
      <c r="T234" s="4">
        <v>0</v>
      </c>
      <c r="U234" s="4">
        <v>0</v>
      </c>
      <c r="V234" s="52">
        <f>IF(ISERROR(VLOOKUP($S$234,'TAR FIN'!$A$1:$O$103,15,0)),0,VLOOKUP($S$234,'TAR FIN'!$A$1:$O$103,15,0))*(1-0.06)</f>
        <v>17.784800000000001</v>
      </c>
      <c r="W234" s="52">
        <f>IF(ISERROR(VLOOKUP($T$234,'TAR FIN'!$A$1:$O$103,15,0)),0,VLOOKUP($T$234,'TAR FIN'!$A$1:$O$103,15,0))</f>
        <v>0</v>
      </c>
      <c r="X234" s="52">
        <f>IF(ISERROR(VLOOKUP($U$234,'TAR FIN'!$A$1:$O$103,15,0)),0,VLOOKUP($U$234,'TAR FIN'!$A$1:$O$103,15,0))</f>
        <v>0</v>
      </c>
      <c r="Y234" s="52">
        <f ca="1">('TUSD BE'!$AM$22+'TUSD BF'!$AM$22+'TUSD CVA'!$AM$22)*1*(1-0.03)</f>
        <v>20.728258466855738</v>
      </c>
      <c r="Z234" s="52"/>
      <c r="AA234" s="52"/>
      <c r="AB234" s="52">
        <f>(SUBSIDIO!$J$234*SUBSIDIO!$V$234)*(0.06)/(1-0.06)</f>
        <v>34.055999999999997</v>
      </c>
      <c r="AC234" s="52">
        <f>((SUBSIDIO!$L$234*SUBSIDIO!$W$234)+(SUBSIDIO!$N$234*SUBSIDIO!$X$234))*(0.06)/(1-0.06)</f>
        <v>0</v>
      </c>
      <c r="AD234" s="52">
        <f ca="1">(SUBSIDIO!$J$234*SUBSIDIO!$Y$234)*(0.03)/(1-0.03)</f>
        <v>19.232404763062025</v>
      </c>
      <c r="AE234" s="52">
        <f>((SUBSIDIO!$L$234*SUBSIDIO!$Z$234)+(SUBSIDIO!$N$234*SUBSIDIO!$AA$234))*(0.03)/(1-0.03)</f>
        <v>0</v>
      </c>
      <c r="AF234" s="4" t="s">
        <v>814</v>
      </c>
    </row>
    <row r="235" spans="1:32" ht="11.25" customHeight="1" x14ac:dyDescent="0.3">
      <c r="A235" s="4" t="s">
        <v>21</v>
      </c>
      <c r="B235" s="4" t="s">
        <v>39</v>
      </c>
      <c r="C235" s="4" t="s">
        <v>40</v>
      </c>
      <c r="D235" s="4" t="s">
        <v>50</v>
      </c>
      <c r="E235" s="4" t="s">
        <v>51</v>
      </c>
      <c r="F235" s="4" t="s">
        <v>25</v>
      </c>
      <c r="G235" s="4" t="s">
        <v>25</v>
      </c>
      <c r="H235" s="4" t="s">
        <v>34</v>
      </c>
      <c r="I235" s="5">
        <v>44501</v>
      </c>
      <c r="J235" s="6">
        <v>0</v>
      </c>
      <c r="K235" s="52">
        <v>0</v>
      </c>
      <c r="L235" s="6">
        <v>0.53900000000000003</v>
      </c>
      <c r="M235" s="52">
        <v>0.53900000000000003</v>
      </c>
      <c r="N235" s="6">
        <v>0.53900000000000003</v>
      </c>
      <c r="O235" s="52">
        <v>0.53900000000000003</v>
      </c>
      <c r="P235" s="6">
        <v>0</v>
      </c>
      <c r="Q235" s="4" t="s">
        <v>26</v>
      </c>
      <c r="R235" s="4">
        <v>0</v>
      </c>
      <c r="S235" s="4">
        <v>0</v>
      </c>
      <c r="T235" s="4">
        <v>15</v>
      </c>
      <c r="U235" s="4">
        <v>65</v>
      </c>
      <c r="V235" s="52">
        <f>IF(ISERROR(VLOOKUP($S$235,'TAR FIN'!$A$1:$O$103,15,0)),0,VLOOKUP($S$235,'TAR FIN'!$A$1:$O$103,15,0))</f>
        <v>0</v>
      </c>
      <c r="W235" s="52">
        <f>IF(ISERROR(VLOOKUP($T$235,'TAR FIN'!$A$1:$O$103,15,0)),0,VLOOKUP($T$235,'TAR FIN'!$A$1:$O$103,15,0))*(1-0.06)</f>
        <v>1124.0708</v>
      </c>
      <c r="X235" s="52">
        <f>IF(ISERROR(VLOOKUP($U$235,'TAR FIN'!$A$1:$O$103,15,0)),0,VLOOKUP($U$235,'TAR FIN'!$A$1:$O$103,15,0))*(1-0.06)</f>
        <v>368.04759999999999</v>
      </c>
      <c r="Y235" s="52"/>
      <c r="Z235" s="52">
        <f ca="1">('TUSD BE'!$AM$23+'TUSD BF'!$AM$23+'TUSD CVA'!$AM$23)*1*(1-0.03)</f>
        <v>1343.9328411039912</v>
      </c>
      <c r="AA235" s="52">
        <f>('TE BE'!$AB$8+'TE BF'!$AB$8+'TE CVA'!$AB$8)*1*(1-0.03)</f>
        <v>351.09406763094154</v>
      </c>
      <c r="AB235" s="52">
        <f>(SUBSIDIO!$J$235*SUBSIDIO!$V$235)*(0.06)/(1-0.06)</f>
        <v>0</v>
      </c>
      <c r="AC235" s="52">
        <f>((SUBSIDIO!$L$235*SUBSIDIO!$W$235)+(SUBSIDIO!$N$235*SUBSIDIO!$X$235))*(0.06)/(1-0.06)</f>
        <v>51.335222399999999</v>
      </c>
      <c r="AD235" s="52">
        <f>(SUBSIDIO!$J$235*SUBSIDIO!$Y$235)*(0.03)/(1-0.03)</f>
        <v>0</v>
      </c>
      <c r="AE235" s="52">
        <f ca="1">((SUBSIDIO!$L$235*SUBSIDIO!$Z$235)+(SUBSIDIO!$N$235*SUBSIDIO!$AA$235))*(0.03)/(1-0.03)</f>
        <v>28.256273313653466</v>
      </c>
      <c r="AF235" s="4" t="s">
        <v>814</v>
      </c>
    </row>
    <row r="236" spans="1:32" ht="11.25" customHeight="1" x14ac:dyDescent="0.3">
      <c r="A236" s="4" t="s">
        <v>21</v>
      </c>
      <c r="B236" s="4" t="s">
        <v>39</v>
      </c>
      <c r="C236" s="4" t="s">
        <v>40</v>
      </c>
      <c r="D236" s="4" t="s">
        <v>50</v>
      </c>
      <c r="E236" s="4" t="s">
        <v>51</v>
      </c>
      <c r="F236" s="4" t="s">
        <v>25</v>
      </c>
      <c r="G236" s="4" t="s">
        <v>25</v>
      </c>
      <c r="H236" s="4" t="s">
        <v>34</v>
      </c>
      <c r="I236" s="5">
        <v>44531</v>
      </c>
      <c r="J236" s="6">
        <v>0</v>
      </c>
      <c r="K236" s="52">
        <v>0</v>
      </c>
      <c r="L236" s="6">
        <v>0.64700000000000002</v>
      </c>
      <c r="M236" s="52">
        <v>0.64700000000000002</v>
      </c>
      <c r="N236" s="6">
        <v>0.64700000000000002</v>
      </c>
      <c r="O236" s="52">
        <v>0.64700000000000002</v>
      </c>
      <c r="P236" s="6">
        <v>0</v>
      </c>
      <c r="Q236" s="4" t="s">
        <v>26</v>
      </c>
      <c r="R236" s="4">
        <v>0</v>
      </c>
      <c r="S236" s="4">
        <v>0</v>
      </c>
      <c r="T236" s="4">
        <v>15</v>
      </c>
      <c r="U236" s="4">
        <v>65</v>
      </c>
      <c r="V236" s="52">
        <f>IF(ISERROR(VLOOKUP($S$236,'TAR FIN'!$A$1:$O$103,15,0)),0,VLOOKUP($S$236,'TAR FIN'!$A$1:$O$103,15,0))</f>
        <v>0</v>
      </c>
      <c r="W236" s="52">
        <f>IF(ISERROR(VLOOKUP($T$236,'TAR FIN'!$A$1:$O$103,15,0)),0,VLOOKUP($T$236,'TAR FIN'!$A$1:$O$103,15,0))*(1-0.06)</f>
        <v>1124.0708</v>
      </c>
      <c r="X236" s="52">
        <f>IF(ISERROR(VLOOKUP($U$236,'TAR FIN'!$A$1:$O$103,15,0)),0,VLOOKUP($U$236,'TAR FIN'!$A$1:$O$103,15,0))*(1-0.06)</f>
        <v>368.04759999999999</v>
      </c>
      <c r="Y236" s="52"/>
      <c r="Z236" s="52">
        <f ca="1">('TUSD BE'!$AM$23+'TUSD BF'!$AM$23+'TUSD CVA'!$AM$23)*1*(1-0.03)</f>
        <v>1343.9328411039912</v>
      </c>
      <c r="AA236" s="52">
        <f>('TE BE'!$AB$8+'TE BF'!$AB$8+'TE CVA'!$AB$8)*1*(1-0.03)</f>
        <v>351.09406763094154</v>
      </c>
      <c r="AB236" s="52">
        <f>(SUBSIDIO!$J$236*SUBSIDIO!$V$236)*(0.06)/(1-0.06)</f>
        <v>0</v>
      </c>
      <c r="AC236" s="52">
        <f>((SUBSIDIO!$L$236*SUBSIDIO!$W$236)+(SUBSIDIO!$N$236*SUBSIDIO!$X$236))*(0.06)/(1-0.06)</f>
        <v>61.621315200000005</v>
      </c>
      <c r="AD236" s="52">
        <f>(SUBSIDIO!$J$236*SUBSIDIO!$Y$236)*(0.03)/(1-0.03)</f>
        <v>0</v>
      </c>
      <c r="AE236" s="52">
        <f ca="1">((SUBSIDIO!$L$236*SUBSIDIO!$Z$236)+(SUBSIDIO!$N$236*SUBSIDIO!$AA$236))*(0.03)/(1-0.03)</f>
        <v>33.918012678912419</v>
      </c>
      <c r="AF236" s="4" t="s">
        <v>814</v>
      </c>
    </row>
    <row r="237" spans="1:32" ht="11.25" customHeight="1" x14ac:dyDescent="0.3">
      <c r="A237" s="4" t="s">
        <v>21</v>
      </c>
      <c r="B237" s="4" t="s">
        <v>39</v>
      </c>
      <c r="C237" s="4" t="s">
        <v>40</v>
      </c>
      <c r="D237" s="4" t="s">
        <v>50</v>
      </c>
      <c r="E237" s="4" t="s">
        <v>51</v>
      </c>
      <c r="F237" s="4" t="s">
        <v>25</v>
      </c>
      <c r="G237" s="4" t="s">
        <v>25</v>
      </c>
      <c r="H237" s="4" t="s">
        <v>34</v>
      </c>
      <c r="I237" s="5">
        <v>44562</v>
      </c>
      <c r="J237" s="6">
        <v>0</v>
      </c>
      <c r="K237" s="52">
        <v>0</v>
      </c>
      <c r="L237" s="6">
        <v>0.64900000000000002</v>
      </c>
      <c r="M237" s="52">
        <v>0.64900000000000002</v>
      </c>
      <c r="N237" s="6">
        <v>0.64900000000000002</v>
      </c>
      <c r="O237" s="52">
        <v>0.64900000000000002</v>
      </c>
      <c r="P237" s="6">
        <v>0</v>
      </c>
      <c r="Q237" s="4" t="s">
        <v>26</v>
      </c>
      <c r="R237" s="4">
        <v>0</v>
      </c>
      <c r="S237" s="4">
        <v>0</v>
      </c>
      <c r="T237" s="4">
        <v>15</v>
      </c>
      <c r="U237" s="4">
        <v>65</v>
      </c>
      <c r="V237" s="52">
        <f>IF(ISERROR(VLOOKUP($S$237,'TAR FIN'!$A$1:$O$103,15,0)),0,VLOOKUP($S$237,'TAR FIN'!$A$1:$O$103,15,0))</f>
        <v>0</v>
      </c>
      <c r="W237" s="52">
        <f>IF(ISERROR(VLOOKUP($T$237,'TAR FIN'!$A$1:$O$103,15,0)),0,VLOOKUP($T$237,'TAR FIN'!$A$1:$O$103,15,0))*(1-0.06)</f>
        <v>1124.0708</v>
      </c>
      <c r="X237" s="52">
        <f>IF(ISERROR(VLOOKUP($U$237,'TAR FIN'!$A$1:$O$103,15,0)),0,VLOOKUP($U$237,'TAR FIN'!$A$1:$O$103,15,0))*(1-0.06)</f>
        <v>368.04759999999999</v>
      </c>
      <c r="Y237" s="52"/>
      <c r="Z237" s="52">
        <f ca="1">('TUSD BE'!$AM$23+'TUSD BF'!$AM$23+'TUSD CVA'!$AM$23)*1*(1-0.03)</f>
        <v>1343.9328411039912</v>
      </c>
      <c r="AA237" s="52">
        <f>('TE BE'!$AB$8+'TE BF'!$AB$8+'TE CVA'!$AB$8)*1*(1-0.03)</f>
        <v>351.09406763094154</v>
      </c>
      <c r="AB237" s="52">
        <f>(SUBSIDIO!$J$237*SUBSIDIO!$V$237)*(0.06)/(1-0.06)</f>
        <v>0</v>
      </c>
      <c r="AC237" s="52">
        <f>((SUBSIDIO!$L$237*SUBSIDIO!$W$237)+(SUBSIDIO!$N$237*SUBSIDIO!$X$237))*(0.06)/(1-0.06)</f>
        <v>61.811798399999994</v>
      </c>
      <c r="AD237" s="52">
        <f>(SUBSIDIO!$J$237*SUBSIDIO!$Y$237)*(0.03)/(1-0.03)</f>
        <v>0</v>
      </c>
      <c r="AE237" s="52">
        <f ca="1">((SUBSIDIO!$L$237*SUBSIDIO!$Z$237)+(SUBSIDIO!$N$237*SUBSIDIO!$AA$237))*(0.03)/(1-0.03)</f>
        <v>34.022859704194993</v>
      </c>
      <c r="AF237" s="4" t="s">
        <v>814</v>
      </c>
    </row>
    <row r="238" spans="1:32" ht="11.25" customHeight="1" x14ac:dyDescent="0.3">
      <c r="A238" s="4" t="s">
        <v>21</v>
      </c>
      <c r="B238" s="4" t="s">
        <v>39</v>
      </c>
      <c r="C238" s="4" t="s">
        <v>40</v>
      </c>
      <c r="D238" s="4" t="s">
        <v>50</v>
      </c>
      <c r="E238" s="4" t="s">
        <v>51</v>
      </c>
      <c r="F238" s="4" t="s">
        <v>25</v>
      </c>
      <c r="G238" s="4" t="s">
        <v>25</v>
      </c>
      <c r="H238" s="4" t="s">
        <v>34</v>
      </c>
      <c r="I238" s="5">
        <v>44593</v>
      </c>
      <c r="J238" s="6">
        <v>0</v>
      </c>
      <c r="K238" s="52">
        <v>0</v>
      </c>
      <c r="L238" s="6">
        <v>0.57499999999999996</v>
      </c>
      <c r="M238" s="52">
        <v>0.57499999999999996</v>
      </c>
      <c r="N238" s="6">
        <v>0.57499999999999996</v>
      </c>
      <c r="O238" s="52">
        <v>0.57499999999999996</v>
      </c>
      <c r="P238" s="6">
        <v>0</v>
      </c>
      <c r="Q238" s="4" t="s">
        <v>26</v>
      </c>
      <c r="R238" s="4">
        <v>0</v>
      </c>
      <c r="S238" s="4">
        <v>0</v>
      </c>
      <c r="T238" s="4">
        <v>15</v>
      </c>
      <c r="U238" s="4">
        <v>65</v>
      </c>
      <c r="V238" s="52">
        <f>IF(ISERROR(VLOOKUP($S$238,'TAR FIN'!$A$1:$O$103,15,0)),0,VLOOKUP($S$238,'TAR FIN'!$A$1:$O$103,15,0))</f>
        <v>0</v>
      </c>
      <c r="W238" s="52">
        <f>IF(ISERROR(VLOOKUP($T$238,'TAR FIN'!$A$1:$O$103,15,0)),0,VLOOKUP($T$238,'TAR FIN'!$A$1:$O$103,15,0))*(1-0.06)</f>
        <v>1124.0708</v>
      </c>
      <c r="X238" s="52">
        <f>IF(ISERROR(VLOOKUP($U$238,'TAR FIN'!$A$1:$O$103,15,0)),0,VLOOKUP($U$238,'TAR FIN'!$A$1:$O$103,15,0))*(1-0.06)</f>
        <v>368.04759999999999</v>
      </c>
      <c r="Y238" s="52"/>
      <c r="Z238" s="52">
        <f ca="1">('TUSD BE'!$AM$23+'TUSD BF'!$AM$23+'TUSD CVA'!$AM$23)*1*(1-0.03)</f>
        <v>1343.9328411039912</v>
      </c>
      <c r="AA238" s="52">
        <f>('TE BE'!$AB$8+'TE BF'!$AB$8+'TE CVA'!$AB$8)*1*(1-0.03)</f>
        <v>351.09406763094154</v>
      </c>
      <c r="AB238" s="52">
        <f>(SUBSIDIO!$J$238*SUBSIDIO!$V$238)*(0.06)/(1-0.06)</f>
        <v>0</v>
      </c>
      <c r="AC238" s="52">
        <f>((SUBSIDIO!$L$238*SUBSIDIO!$W$238)+(SUBSIDIO!$N$238*SUBSIDIO!$X$238))*(0.06)/(1-0.06)</f>
        <v>54.763919999999992</v>
      </c>
      <c r="AD238" s="52">
        <f>(SUBSIDIO!$J$238*SUBSIDIO!$Y$238)*(0.03)/(1-0.03)</f>
        <v>0</v>
      </c>
      <c r="AE238" s="52">
        <f ca="1">((SUBSIDIO!$L$238*SUBSIDIO!$Z$238)+(SUBSIDIO!$N$238*SUBSIDIO!$AA$238))*(0.03)/(1-0.03)</f>
        <v>30.143519768739782</v>
      </c>
      <c r="AF238" s="4" t="s">
        <v>814</v>
      </c>
    </row>
    <row r="239" spans="1:32" ht="11.25" customHeight="1" x14ac:dyDescent="0.3">
      <c r="A239" s="4" t="s">
        <v>21</v>
      </c>
      <c r="B239" s="4" t="s">
        <v>39</v>
      </c>
      <c r="C239" s="4" t="s">
        <v>40</v>
      </c>
      <c r="D239" s="4" t="s">
        <v>50</v>
      </c>
      <c r="E239" s="4" t="s">
        <v>51</v>
      </c>
      <c r="F239" s="4" t="s">
        <v>25</v>
      </c>
      <c r="G239" s="4" t="s">
        <v>25</v>
      </c>
      <c r="H239" s="4" t="s">
        <v>34</v>
      </c>
      <c r="I239" s="5">
        <v>44621</v>
      </c>
      <c r="J239" s="6">
        <v>0</v>
      </c>
      <c r="K239" s="52">
        <v>0</v>
      </c>
      <c r="L239" s="6">
        <v>0.61099999999999999</v>
      </c>
      <c r="M239" s="52">
        <v>0.61099999999999999</v>
      </c>
      <c r="N239" s="6">
        <v>0.61099999999999999</v>
      </c>
      <c r="O239" s="52">
        <v>0.61099999999999999</v>
      </c>
      <c r="P239" s="6">
        <v>0</v>
      </c>
      <c r="Q239" s="4" t="s">
        <v>26</v>
      </c>
      <c r="R239" s="4">
        <v>0</v>
      </c>
      <c r="S239" s="4">
        <v>0</v>
      </c>
      <c r="T239" s="4">
        <v>15</v>
      </c>
      <c r="U239" s="4">
        <v>65</v>
      </c>
      <c r="V239" s="52">
        <f>IF(ISERROR(VLOOKUP($S$239,'TAR FIN'!$A$1:$O$103,15,0)),0,VLOOKUP($S$239,'TAR FIN'!$A$1:$O$103,15,0))</f>
        <v>0</v>
      </c>
      <c r="W239" s="52">
        <f>IF(ISERROR(VLOOKUP($T$239,'TAR FIN'!$A$1:$O$103,15,0)),0,VLOOKUP($T$239,'TAR FIN'!$A$1:$O$103,15,0))*(1-0.06)</f>
        <v>1124.0708</v>
      </c>
      <c r="X239" s="52">
        <f>IF(ISERROR(VLOOKUP($U$239,'TAR FIN'!$A$1:$O$103,15,0)),0,VLOOKUP($U$239,'TAR FIN'!$A$1:$O$103,15,0))*(1-0.06)</f>
        <v>368.04759999999999</v>
      </c>
      <c r="Y239" s="52"/>
      <c r="Z239" s="52">
        <f ca="1">('TUSD BE'!$AM$23+'TUSD BF'!$AM$23+'TUSD CVA'!$AM$23)*1*(1-0.03)</f>
        <v>1343.9328411039912</v>
      </c>
      <c r="AA239" s="52">
        <f>('TE BE'!$AB$8+'TE BF'!$AB$8+'TE CVA'!$AB$8)*1*(1-0.03)</f>
        <v>351.09406763094154</v>
      </c>
      <c r="AB239" s="52">
        <f>(SUBSIDIO!$J$239*SUBSIDIO!$V$239)*(0.06)/(1-0.06)</f>
        <v>0</v>
      </c>
      <c r="AC239" s="52">
        <f>((SUBSIDIO!$L$239*SUBSIDIO!$W$239)+(SUBSIDIO!$N$239*SUBSIDIO!$X$239))*(0.06)/(1-0.06)</f>
        <v>58.192617600000005</v>
      </c>
      <c r="AD239" s="52">
        <f>(SUBSIDIO!$J$239*SUBSIDIO!$Y$239)*(0.03)/(1-0.03)</f>
        <v>0</v>
      </c>
      <c r="AE239" s="52">
        <f ca="1">((SUBSIDIO!$L$239*SUBSIDIO!$Z$239)+(SUBSIDIO!$N$239*SUBSIDIO!$AA$239))*(0.03)/(1-0.03)</f>
        <v>32.030766223826099</v>
      </c>
      <c r="AF239" s="4" t="s">
        <v>814</v>
      </c>
    </row>
    <row r="240" spans="1:32" ht="11.25" customHeight="1" x14ac:dyDescent="0.3">
      <c r="A240" s="4" t="s">
        <v>21</v>
      </c>
      <c r="B240" s="4" t="s">
        <v>39</v>
      </c>
      <c r="C240" s="4" t="s">
        <v>40</v>
      </c>
      <c r="D240" s="4" t="s">
        <v>50</v>
      </c>
      <c r="E240" s="4" t="s">
        <v>51</v>
      </c>
      <c r="F240" s="4" t="s">
        <v>25</v>
      </c>
      <c r="G240" s="4" t="s">
        <v>25</v>
      </c>
      <c r="H240" s="4" t="s">
        <v>34</v>
      </c>
      <c r="I240" s="5">
        <v>44652</v>
      </c>
      <c r="J240" s="6">
        <v>0</v>
      </c>
      <c r="K240" s="52">
        <v>0</v>
      </c>
      <c r="L240" s="6">
        <v>0.56000000000000005</v>
      </c>
      <c r="M240" s="52">
        <v>0.56000000000000005</v>
      </c>
      <c r="N240" s="6">
        <v>0.56000000000000005</v>
      </c>
      <c r="O240" s="52">
        <v>0.56000000000000005</v>
      </c>
      <c r="P240" s="6">
        <v>0</v>
      </c>
      <c r="Q240" s="4" t="s">
        <v>26</v>
      </c>
      <c r="R240" s="4">
        <v>0</v>
      </c>
      <c r="S240" s="4">
        <v>0</v>
      </c>
      <c r="T240" s="4">
        <v>15</v>
      </c>
      <c r="U240" s="4">
        <v>65</v>
      </c>
      <c r="V240" s="52">
        <f>IF(ISERROR(VLOOKUP($S$240,'TAR FIN'!$A$1:$O$103,15,0)),0,VLOOKUP($S$240,'TAR FIN'!$A$1:$O$103,15,0))</f>
        <v>0</v>
      </c>
      <c r="W240" s="52">
        <f>IF(ISERROR(VLOOKUP($T$240,'TAR FIN'!$A$1:$O$103,15,0)),0,VLOOKUP($T$240,'TAR FIN'!$A$1:$O$103,15,0))*(1-0.06)</f>
        <v>1124.0708</v>
      </c>
      <c r="X240" s="52">
        <f>IF(ISERROR(VLOOKUP($U$240,'TAR FIN'!$A$1:$O$103,15,0)),0,VLOOKUP($U$240,'TAR FIN'!$A$1:$O$103,15,0))*(1-0.06)</f>
        <v>368.04759999999999</v>
      </c>
      <c r="Y240" s="52"/>
      <c r="Z240" s="52">
        <f ca="1">('TUSD BE'!$AM$23+'TUSD BF'!$AM$23+'TUSD CVA'!$AM$23)*1*(1-0.03)</f>
        <v>1343.9328411039912</v>
      </c>
      <c r="AA240" s="52">
        <f>('TE BE'!$AB$8+'TE BF'!$AB$8+'TE CVA'!$AB$8)*1*(1-0.03)</f>
        <v>351.09406763094154</v>
      </c>
      <c r="AB240" s="52">
        <f>(SUBSIDIO!$J$240*SUBSIDIO!$V$240)*(0.06)/(1-0.06)</f>
        <v>0</v>
      </c>
      <c r="AC240" s="52">
        <f>((SUBSIDIO!$L$240*SUBSIDIO!$W$240)+(SUBSIDIO!$N$240*SUBSIDIO!$X$240))*(0.06)/(1-0.06)</f>
        <v>53.335296000000007</v>
      </c>
      <c r="AD240" s="52">
        <f>(SUBSIDIO!$J$240*SUBSIDIO!$Y$240)*(0.03)/(1-0.03)</f>
        <v>0</v>
      </c>
      <c r="AE240" s="52">
        <f ca="1">((SUBSIDIO!$L$240*SUBSIDIO!$Z$240)+(SUBSIDIO!$N$240*SUBSIDIO!$AA$240))*(0.03)/(1-0.03)</f>
        <v>29.357167079120483</v>
      </c>
      <c r="AF240" s="4" t="s">
        <v>814</v>
      </c>
    </row>
    <row r="241" spans="1:32" ht="11.25" customHeight="1" x14ac:dyDescent="0.3">
      <c r="A241" s="4" t="s">
        <v>21</v>
      </c>
      <c r="B241" s="4" t="s">
        <v>39</v>
      </c>
      <c r="C241" s="4" t="s">
        <v>40</v>
      </c>
      <c r="D241" s="4" t="s">
        <v>50</v>
      </c>
      <c r="E241" s="4" t="s">
        <v>51</v>
      </c>
      <c r="F241" s="4" t="s">
        <v>25</v>
      </c>
      <c r="G241" s="4" t="s">
        <v>25</v>
      </c>
      <c r="H241" s="4" t="s">
        <v>34</v>
      </c>
      <c r="I241" s="5">
        <v>44682</v>
      </c>
      <c r="J241" s="6">
        <v>0</v>
      </c>
      <c r="K241" s="52">
        <v>0</v>
      </c>
      <c r="L241" s="6">
        <v>0.69699999999999995</v>
      </c>
      <c r="M241" s="52">
        <v>0.69699999999999995</v>
      </c>
      <c r="N241" s="6">
        <v>0.69699999999999995</v>
      </c>
      <c r="O241" s="52">
        <v>0.69699999999999995</v>
      </c>
      <c r="P241" s="6">
        <v>0</v>
      </c>
      <c r="Q241" s="4" t="s">
        <v>26</v>
      </c>
      <c r="R241" s="4">
        <v>0</v>
      </c>
      <c r="S241" s="4">
        <v>0</v>
      </c>
      <c r="T241" s="4">
        <v>15</v>
      </c>
      <c r="U241" s="4">
        <v>65</v>
      </c>
      <c r="V241" s="52">
        <f>IF(ISERROR(VLOOKUP($S$241,'TAR FIN'!$A$1:$O$103,15,0)),0,VLOOKUP($S$241,'TAR FIN'!$A$1:$O$103,15,0))</f>
        <v>0</v>
      </c>
      <c r="W241" s="52">
        <f>IF(ISERROR(VLOOKUP($T$241,'TAR FIN'!$A$1:$O$103,15,0)),0,VLOOKUP($T$241,'TAR FIN'!$A$1:$O$103,15,0))*(1-0.06)</f>
        <v>1124.0708</v>
      </c>
      <c r="X241" s="52">
        <f>IF(ISERROR(VLOOKUP($U$241,'TAR FIN'!$A$1:$O$103,15,0)),0,VLOOKUP($U$241,'TAR FIN'!$A$1:$O$103,15,0))*(1-0.06)</f>
        <v>368.04759999999999</v>
      </c>
      <c r="Y241" s="52"/>
      <c r="Z241" s="52">
        <f ca="1">('TUSD BE'!$AM$23+'TUSD BF'!$AM$23+'TUSD CVA'!$AM$23)*1*(1-0.03)</f>
        <v>1343.9328411039912</v>
      </c>
      <c r="AA241" s="52">
        <f>('TE BE'!$AB$8+'TE BF'!$AB$8+'TE CVA'!$AB$8)*1*(1-0.03)</f>
        <v>351.09406763094154</v>
      </c>
      <c r="AB241" s="52">
        <f>(SUBSIDIO!$J$241*SUBSIDIO!$V$241)*(0.06)/(1-0.06)</f>
        <v>0</v>
      </c>
      <c r="AC241" s="52">
        <f>((SUBSIDIO!$L$241*SUBSIDIO!$W$241)+(SUBSIDIO!$N$241*SUBSIDIO!$X$241))*(0.06)/(1-0.06)</f>
        <v>66.383395199999995</v>
      </c>
      <c r="AD241" s="52">
        <f>(SUBSIDIO!$J$241*SUBSIDIO!$Y$241)*(0.03)/(1-0.03)</f>
        <v>0</v>
      </c>
      <c r="AE241" s="52">
        <f ca="1">((SUBSIDIO!$L$241*SUBSIDIO!$Z$241)+(SUBSIDIO!$N$241*SUBSIDIO!$AA$241))*(0.03)/(1-0.03)</f>
        <v>36.539188310976748</v>
      </c>
      <c r="AF241" s="4" t="s">
        <v>814</v>
      </c>
    </row>
    <row r="242" spans="1:32" ht="11.25" customHeight="1" x14ac:dyDescent="0.3">
      <c r="A242" s="4" t="s">
        <v>21</v>
      </c>
      <c r="B242" s="4" t="s">
        <v>39</v>
      </c>
      <c r="C242" s="4" t="s">
        <v>40</v>
      </c>
      <c r="D242" s="4" t="s">
        <v>50</v>
      </c>
      <c r="E242" s="4" t="s">
        <v>51</v>
      </c>
      <c r="F242" s="4" t="s">
        <v>25</v>
      </c>
      <c r="G242" s="4" t="s">
        <v>25</v>
      </c>
      <c r="H242" s="4" t="s">
        <v>34</v>
      </c>
      <c r="I242" s="5">
        <v>44713</v>
      </c>
      <c r="J242" s="6">
        <v>0</v>
      </c>
      <c r="K242" s="52">
        <v>0</v>
      </c>
      <c r="L242" s="6">
        <v>0.65500000000000003</v>
      </c>
      <c r="M242" s="52">
        <v>0.65500000000000003</v>
      </c>
      <c r="N242" s="6">
        <v>0.65500000000000003</v>
      </c>
      <c r="O242" s="52">
        <v>0.65500000000000003</v>
      </c>
      <c r="P242" s="6">
        <v>0</v>
      </c>
      <c r="Q242" s="4" t="s">
        <v>26</v>
      </c>
      <c r="R242" s="4">
        <v>0</v>
      </c>
      <c r="S242" s="4">
        <v>0</v>
      </c>
      <c r="T242" s="4">
        <v>15</v>
      </c>
      <c r="U242" s="4">
        <v>65</v>
      </c>
      <c r="V242" s="52">
        <f>IF(ISERROR(VLOOKUP($S$242,'TAR FIN'!$A$1:$O$103,15,0)),0,VLOOKUP($S$242,'TAR FIN'!$A$1:$O$103,15,0))</f>
        <v>0</v>
      </c>
      <c r="W242" s="52">
        <f>IF(ISERROR(VLOOKUP($T$242,'TAR FIN'!$A$1:$O$103,15,0)),0,VLOOKUP($T$242,'TAR FIN'!$A$1:$O$103,15,0))*(1-0.06)</f>
        <v>1124.0708</v>
      </c>
      <c r="X242" s="52">
        <f>IF(ISERROR(VLOOKUP($U$242,'TAR FIN'!$A$1:$O$103,15,0)),0,VLOOKUP($U$242,'TAR FIN'!$A$1:$O$103,15,0))*(1-0.06)</f>
        <v>368.04759999999999</v>
      </c>
      <c r="Y242" s="52"/>
      <c r="Z242" s="52">
        <f ca="1">('TUSD BE'!$AM$23+'TUSD BF'!$AM$23+'TUSD CVA'!$AM$23)*1*(1-0.03)</f>
        <v>1343.9328411039912</v>
      </c>
      <c r="AA242" s="52">
        <f>('TE BE'!$AB$8+'TE BF'!$AB$8+'TE CVA'!$AB$8)*1*(1-0.03)</f>
        <v>351.09406763094154</v>
      </c>
      <c r="AB242" s="52">
        <f>(SUBSIDIO!$J$242*SUBSIDIO!$V$242)*(0.06)/(1-0.06)</f>
        <v>0</v>
      </c>
      <c r="AC242" s="52">
        <f>((SUBSIDIO!$L$242*SUBSIDIO!$W$242)+(SUBSIDIO!$N$242*SUBSIDIO!$X$242))*(0.06)/(1-0.06)</f>
        <v>62.383248000000009</v>
      </c>
      <c r="AD242" s="52">
        <f>(SUBSIDIO!$J$242*SUBSIDIO!$Y$242)*(0.03)/(1-0.03)</f>
        <v>0</v>
      </c>
      <c r="AE242" s="52">
        <f ca="1">((SUBSIDIO!$L$242*SUBSIDIO!$Z$242)+(SUBSIDIO!$N$242*SUBSIDIO!$AA$242))*(0.03)/(1-0.03)</f>
        <v>34.337400780042714</v>
      </c>
      <c r="AF242" s="4" t="s">
        <v>814</v>
      </c>
    </row>
    <row r="243" spans="1:32" ht="11.25" customHeight="1" x14ac:dyDescent="0.3">
      <c r="A243" s="4" t="s">
        <v>21</v>
      </c>
      <c r="B243" s="4" t="s">
        <v>39</v>
      </c>
      <c r="C243" s="4" t="s">
        <v>40</v>
      </c>
      <c r="D243" s="4" t="s">
        <v>50</v>
      </c>
      <c r="E243" s="4" t="s">
        <v>51</v>
      </c>
      <c r="F243" s="4" t="s">
        <v>25</v>
      </c>
      <c r="G243" s="4" t="s">
        <v>25</v>
      </c>
      <c r="H243" s="4" t="s">
        <v>34</v>
      </c>
      <c r="I243" s="5">
        <v>44743</v>
      </c>
      <c r="J243" s="6">
        <v>0</v>
      </c>
      <c r="K243" s="52">
        <v>0</v>
      </c>
      <c r="L243" s="6">
        <v>0.76300000000000001</v>
      </c>
      <c r="M243" s="52">
        <v>0.76300000000000001</v>
      </c>
      <c r="N243" s="6">
        <v>0.76300000000000001</v>
      </c>
      <c r="O243" s="52">
        <v>0.76300000000000001</v>
      </c>
      <c r="P243" s="6">
        <v>0</v>
      </c>
      <c r="Q243" s="4" t="s">
        <v>26</v>
      </c>
      <c r="R243" s="4">
        <v>0</v>
      </c>
      <c r="S243" s="4">
        <v>0</v>
      </c>
      <c r="T243" s="4">
        <v>15</v>
      </c>
      <c r="U243" s="4">
        <v>65</v>
      </c>
      <c r="V243" s="52">
        <f>IF(ISERROR(VLOOKUP($S$243,'TAR FIN'!$A$1:$O$103,15,0)),0,VLOOKUP($S$243,'TAR FIN'!$A$1:$O$103,15,0))</f>
        <v>0</v>
      </c>
      <c r="W243" s="52">
        <f>IF(ISERROR(VLOOKUP($T$243,'TAR FIN'!$A$1:$O$103,15,0)),0,VLOOKUP($T$243,'TAR FIN'!$A$1:$O$103,15,0))*(1-0.06)</f>
        <v>1124.0708</v>
      </c>
      <c r="X243" s="52">
        <f>IF(ISERROR(VLOOKUP($U$243,'TAR FIN'!$A$1:$O$103,15,0)),0,VLOOKUP($U$243,'TAR FIN'!$A$1:$O$103,15,0))*(1-0.06)</f>
        <v>368.04759999999999</v>
      </c>
      <c r="Y243" s="52"/>
      <c r="Z243" s="52">
        <f ca="1">('TUSD BE'!$AM$23+'TUSD BF'!$AM$23+'TUSD CVA'!$AM$23)*1*(1-0.03)</f>
        <v>1343.9328411039912</v>
      </c>
      <c r="AA243" s="52">
        <f>('TE BE'!$AB$8+'TE BF'!$AB$8+'TE CVA'!$AB$8)*1*(1-0.03)</f>
        <v>351.09406763094154</v>
      </c>
      <c r="AB243" s="52">
        <f>(SUBSIDIO!$J$243*SUBSIDIO!$V$243)*(0.06)/(1-0.06)</f>
        <v>0</v>
      </c>
      <c r="AC243" s="52">
        <f>((SUBSIDIO!$L$243*SUBSIDIO!$W$243)+(SUBSIDIO!$N$243*SUBSIDIO!$X$243))*(0.06)/(1-0.06)</f>
        <v>72.669340800000001</v>
      </c>
      <c r="AD243" s="52">
        <f>(SUBSIDIO!$J$243*SUBSIDIO!$Y$243)*(0.03)/(1-0.03)</f>
        <v>0</v>
      </c>
      <c r="AE243" s="52">
        <f ca="1">((SUBSIDIO!$L$243*SUBSIDIO!$Z$243)+(SUBSIDIO!$N$243*SUBSIDIO!$AA$243))*(0.03)/(1-0.03)</f>
        <v>39.999140145301659</v>
      </c>
      <c r="AF243" s="4" t="s">
        <v>814</v>
      </c>
    </row>
    <row r="244" spans="1:32" ht="11.25" customHeight="1" x14ac:dyDescent="0.3">
      <c r="A244" s="4" t="s">
        <v>21</v>
      </c>
      <c r="B244" s="4" t="s">
        <v>39</v>
      </c>
      <c r="C244" s="4" t="s">
        <v>40</v>
      </c>
      <c r="D244" s="4" t="s">
        <v>50</v>
      </c>
      <c r="E244" s="4" t="s">
        <v>51</v>
      </c>
      <c r="F244" s="4" t="s">
        <v>25</v>
      </c>
      <c r="G244" s="4" t="s">
        <v>25</v>
      </c>
      <c r="H244" s="4" t="s">
        <v>34</v>
      </c>
      <c r="I244" s="5">
        <v>44774</v>
      </c>
      <c r="J244" s="6">
        <v>0</v>
      </c>
      <c r="K244" s="52">
        <v>0</v>
      </c>
      <c r="L244" s="6">
        <v>0.83099999999999996</v>
      </c>
      <c r="M244" s="52">
        <v>0.83099999999999996</v>
      </c>
      <c r="N244" s="6">
        <v>0.83099999999999996</v>
      </c>
      <c r="O244" s="52">
        <v>0.83099999999999996</v>
      </c>
      <c r="P244" s="6">
        <v>0</v>
      </c>
      <c r="Q244" s="4" t="s">
        <v>26</v>
      </c>
      <c r="R244" s="4">
        <v>0</v>
      </c>
      <c r="S244" s="4">
        <v>0</v>
      </c>
      <c r="T244" s="4">
        <v>15</v>
      </c>
      <c r="U244" s="4">
        <v>65</v>
      </c>
      <c r="V244" s="52">
        <f>IF(ISERROR(VLOOKUP($S$244,'TAR FIN'!$A$1:$O$103,15,0)),0,VLOOKUP($S$244,'TAR FIN'!$A$1:$O$103,15,0))</f>
        <v>0</v>
      </c>
      <c r="W244" s="52">
        <f>IF(ISERROR(VLOOKUP($T$244,'TAR FIN'!$A$1:$O$103,15,0)),0,VLOOKUP($T$244,'TAR FIN'!$A$1:$O$103,15,0))*(1-0.06)</f>
        <v>1124.0708</v>
      </c>
      <c r="X244" s="52">
        <f>IF(ISERROR(VLOOKUP($U$244,'TAR FIN'!$A$1:$O$103,15,0)),0,VLOOKUP($U$244,'TAR FIN'!$A$1:$O$103,15,0))*(1-0.06)</f>
        <v>368.04759999999999</v>
      </c>
      <c r="Y244" s="52"/>
      <c r="Z244" s="52">
        <f ca="1">('TUSD BE'!$AM$23+'TUSD BF'!$AM$23+'TUSD CVA'!$AM$23)*1*(1-0.03)</f>
        <v>1343.9328411039912</v>
      </c>
      <c r="AA244" s="52">
        <f>('TE BE'!$AB$8+'TE BF'!$AB$8+'TE CVA'!$AB$8)*1*(1-0.03)</f>
        <v>351.09406763094154</v>
      </c>
      <c r="AB244" s="52">
        <f>(SUBSIDIO!$J$244*SUBSIDIO!$V$244)*(0.06)/(1-0.06)</f>
        <v>0</v>
      </c>
      <c r="AC244" s="52">
        <f>((SUBSIDIO!$L$244*SUBSIDIO!$W$244)+(SUBSIDIO!$N$244*SUBSIDIO!$X$244))*(0.06)/(1-0.06)</f>
        <v>79.14576959999998</v>
      </c>
      <c r="AD244" s="52">
        <f>(SUBSIDIO!$J$244*SUBSIDIO!$Y$244)*(0.03)/(1-0.03)</f>
        <v>0</v>
      </c>
      <c r="AE244" s="52">
        <f ca="1">((SUBSIDIO!$L$244*SUBSIDIO!$Z$244)+(SUBSIDIO!$N$244*SUBSIDIO!$AA$244))*(0.03)/(1-0.03)</f>
        <v>43.563939004909145</v>
      </c>
      <c r="AF244" s="4" t="s">
        <v>814</v>
      </c>
    </row>
    <row r="245" spans="1:32" ht="11.25" customHeight="1" x14ac:dyDescent="0.3">
      <c r="A245" s="4" t="s">
        <v>21</v>
      </c>
      <c r="B245" s="4" t="s">
        <v>39</v>
      </c>
      <c r="C245" s="4" t="s">
        <v>40</v>
      </c>
      <c r="D245" s="4" t="s">
        <v>50</v>
      </c>
      <c r="E245" s="4" t="s">
        <v>51</v>
      </c>
      <c r="F245" s="4" t="s">
        <v>25</v>
      </c>
      <c r="G245" s="4" t="s">
        <v>25</v>
      </c>
      <c r="H245" s="4" t="s">
        <v>34</v>
      </c>
      <c r="I245" s="5">
        <v>44805</v>
      </c>
      <c r="J245" s="6">
        <v>0</v>
      </c>
      <c r="K245" s="52">
        <v>0</v>
      </c>
      <c r="L245" s="6">
        <v>0.748</v>
      </c>
      <c r="M245" s="52">
        <v>0.748</v>
      </c>
      <c r="N245" s="6">
        <v>0.748</v>
      </c>
      <c r="O245" s="52">
        <v>0.748</v>
      </c>
      <c r="P245" s="6">
        <v>0</v>
      </c>
      <c r="Q245" s="4" t="s">
        <v>26</v>
      </c>
      <c r="R245" s="4">
        <v>0</v>
      </c>
      <c r="S245" s="4">
        <v>0</v>
      </c>
      <c r="T245" s="4">
        <v>15</v>
      </c>
      <c r="U245" s="4">
        <v>65</v>
      </c>
      <c r="V245" s="52">
        <f>IF(ISERROR(VLOOKUP($S$245,'TAR FIN'!$A$1:$O$103,15,0)),0,VLOOKUP($S$245,'TAR FIN'!$A$1:$O$103,15,0))</f>
        <v>0</v>
      </c>
      <c r="W245" s="52">
        <f>IF(ISERROR(VLOOKUP($T$245,'TAR FIN'!$A$1:$O$103,15,0)),0,VLOOKUP($T$245,'TAR FIN'!$A$1:$O$103,15,0))*(1-0.06)</f>
        <v>1124.0708</v>
      </c>
      <c r="X245" s="52">
        <f>IF(ISERROR(VLOOKUP($U$245,'TAR FIN'!$A$1:$O$103,15,0)),0,VLOOKUP($U$245,'TAR FIN'!$A$1:$O$103,15,0))*(1-0.06)</f>
        <v>368.04759999999999</v>
      </c>
      <c r="Y245" s="52"/>
      <c r="Z245" s="52">
        <f ca="1">('TUSD BE'!$AM$23+'TUSD BF'!$AM$23+'TUSD CVA'!$AM$23)*1*(1-0.03)</f>
        <v>1343.9328411039912</v>
      </c>
      <c r="AA245" s="52">
        <f>('TE BE'!$AB$8+'TE BF'!$AB$8+'TE CVA'!$AB$8)*1*(1-0.03)</f>
        <v>351.09406763094154</v>
      </c>
      <c r="AB245" s="52">
        <f>(SUBSIDIO!$J$245*SUBSIDIO!$V$245)*(0.06)/(1-0.06)</f>
        <v>0</v>
      </c>
      <c r="AC245" s="52">
        <f>((SUBSIDIO!$L$245*SUBSIDIO!$W$245)+(SUBSIDIO!$N$245*SUBSIDIO!$X$245))*(0.06)/(1-0.06)</f>
        <v>71.240716800000001</v>
      </c>
      <c r="AD245" s="52">
        <f>(SUBSIDIO!$J$245*SUBSIDIO!$Y$245)*(0.03)/(1-0.03)</f>
        <v>0</v>
      </c>
      <c r="AE245" s="52">
        <f ca="1">((SUBSIDIO!$L$245*SUBSIDIO!$Z$245)+(SUBSIDIO!$N$245*SUBSIDIO!$AA$245))*(0.03)/(1-0.03)</f>
        <v>39.212787455682367</v>
      </c>
      <c r="AF245" s="4" t="s">
        <v>814</v>
      </c>
    </row>
    <row r="246" spans="1:32" ht="11.25" customHeight="1" x14ac:dyDescent="0.3">
      <c r="A246" s="4" t="s">
        <v>57</v>
      </c>
      <c r="B246" s="4" t="s">
        <v>39</v>
      </c>
      <c r="C246" s="4" t="s">
        <v>40</v>
      </c>
      <c r="D246" s="4" t="s">
        <v>50</v>
      </c>
      <c r="E246" s="4" t="s">
        <v>51</v>
      </c>
      <c r="F246" s="4" t="s">
        <v>25</v>
      </c>
      <c r="G246" s="4" t="s">
        <v>25</v>
      </c>
      <c r="H246" s="4" t="s">
        <v>34</v>
      </c>
      <c r="I246" s="5">
        <v>44835</v>
      </c>
      <c r="J246" s="6">
        <v>0</v>
      </c>
      <c r="K246" s="52">
        <v>0</v>
      </c>
      <c r="L246" s="6">
        <v>0.748</v>
      </c>
      <c r="M246" s="52">
        <v>0.748</v>
      </c>
      <c r="N246" s="6">
        <v>0.748</v>
      </c>
      <c r="O246" s="52">
        <v>0.748</v>
      </c>
      <c r="P246" s="6">
        <v>0</v>
      </c>
      <c r="Q246" s="4" t="s">
        <v>26</v>
      </c>
      <c r="R246" s="4">
        <v>0</v>
      </c>
      <c r="S246" s="4">
        <v>0</v>
      </c>
      <c r="T246" s="4">
        <v>15</v>
      </c>
      <c r="U246" s="4">
        <v>65</v>
      </c>
      <c r="V246" s="52">
        <f>IF(ISERROR(VLOOKUP($S$246,'TAR FIN'!$A$1:$O$103,15,0)),0,VLOOKUP($S$246,'TAR FIN'!$A$1:$O$103,15,0))</f>
        <v>0</v>
      </c>
      <c r="W246" s="52">
        <f>IF(ISERROR(VLOOKUP($T$246,'TAR FIN'!$A$1:$O$103,15,0)),0,VLOOKUP($T$246,'TAR FIN'!$A$1:$O$103,15,0))*(1-0.06)</f>
        <v>1124.0708</v>
      </c>
      <c r="X246" s="52">
        <f>IF(ISERROR(VLOOKUP($U$246,'TAR FIN'!$A$1:$O$103,15,0)),0,VLOOKUP($U$246,'TAR FIN'!$A$1:$O$103,15,0))*(1-0.06)</f>
        <v>368.04759999999999</v>
      </c>
      <c r="Y246" s="52"/>
      <c r="Z246" s="52">
        <f ca="1">('TUSD BE'!$AM$23+'TUSD BF'!$AM$23+'TUSD CVA'!$AM$23)*1*(1-0.03)</f>
        <v>1343.9328411039912</v>
      </c>
      <c r="AA246" s="52">
        <f>('TE BE'!$AB$8+'TE BF'!$AB$8+'TE CVA'!$AB$8)*1*(1-0.03)</f>
        <v>351.09406763094154</v>
      </c>
      <c r="AB246" s="52">
        <f>(SUBSIDIO!$J$246*SUBSIDIO!$V$246)*(0.06)/(1-0.06)</f>
        <v>0</v>
      </c>
      <c r="AC246" s="52">
        <f>((SUBSIDIO!$L$246*SUBSIDIO!$W$246)+(SUBSIDIO!$N$246*SUBSIDIO!$X$246))*(0.06)/(1-0.06)</f>
        <v>71.240716800000001</v>
      </c>
      <c r="AD246" s="52">
        <f>(SUBSIDIO!$J$246*SUBSIDIO!$Y$246)*(0.03)/(1-0.03)</f>
        <v>0</v>
      </c>
      <c r="AE246" s="52">
        <f ca="1">((SUBSIDIO!$L$246*SUBSIDIO!$Z$246)+(SUBSIDIO!$N$246*SUBSIDIO!$AA$246))*(0.03)/(1-0.03)</f>
        <v>39.212787455682367</v>
      </c>
      <c r="AF246" s="4" t="s">
        <v>814</v>
      </c>
    </row>
    <row r="247" spans="1:32" ht="11.25" customHeight="1" x14ac:dyDescent="0.3">
      <c r="A247" s="4" t="s">
        <v>21</v>
      </c>
      <c r="B247" s="4" t="s">
        <v>22</v>
      </c>
      <c r="C247" s="4" t="s">
        <v>23</v>
      </c>
      <c r="D247" s="4" t="s">
        <v>24</v>
      </c>
      <c r="E247" s="4" t="s">
        <v>24</v>
      </c>
      <c r="F247" s="4" t="s">
        <v>25</v>
      </c>
      <c r="G247" s="4" t="s">
        <v>25</v>
      </c>
      <c r="H247" s="4" t="s">
        <v>25</v>
      </c>
      <c r="I247" s="5">
        <v>44501</v>
      </c>
      <c r="J247" s="6">
        <v>0</v>
      </c>
      <c r="K247" s="6">
        <v>0</v>
      </c>
      <c r="L247" s="6">
        <v>4079.2910000000002</v>
      </c>
      <c r="M247" s="6">
        <v>4079.2910000000002</v>
      </c>
      <c r="N247" s="6">
        <v>4079.2910000000002</v>
      </c>
      <c r="O247" s="6">
        <v>4079.2910000000002</v>
      </c>
      <c r="P247" s="6">
        <v>27228</v>
      </c>
      <c r="Q247" s="4" t="s">
        <v>26</v>
      </c>
      <c r="R247" s="4">
        <v>0</v>
      </c>
      <c r="S247" s="4">
        <v>0</v>
      </c>
      <c r="T247" s="4">
        <v>30</v>
      </c>
      <c r="U247" s="4">
        <v>71</v>
      </c>
      <c r="V247" s="6">
        <f>IF(ISERROR(VLOOKUP($S$247,'TAR FIN'!$A$1:$O$103,15,0)),0,VLOOKUP($S$247,'TAR FIN'!$A$1:$O$103,15,0))</f>
        <v>0</v>
      </c>
      <c r="W247" s="6">
        <f>IF(ISERROR(VLOOKUP($T$247,'TAR FIN'!$A$1:$O$103,15,0)),0,VLOOKUP($T$247,'TAR FIN'!$A$1:$O$103,15,0))</f>
        <v>379.62</v>
      </c>
      <c r="X247" s="6">
        <f>IF(ISERROR(VLOOKUP($U$247,'TAR FIN'!$A$1:$O$103,15,0)),0,VLOOKUP($U$247,'TAR FIN'!$A$1:$O$103,15,0))</f>
        <v>255.17</v>
      </c>
      <c r="Y247" s="6"/>
      <c r="Z247" s="6">
        <f ca="1">('TUSD BE'!$AM$32+'TUSD BF'!$AM$32+'TUSD CVA'!$AM$32)*1</f>
        <v>482.06736206829294</v>
      </c>
      <c r="AA247" s="6">
        <f>('TE BE'!$AB$13+'TE BF'!$AB$13+'TE CVA'!$AB$13)*1</f>
        <v>234.02376339339278</v>
      </c>
      <c r="AB247" s="6">
        <f t="shared" ref="AB247:AB257" si="14">(J247-K247)*V247</f>
        <v>0</v>
      </c>
      <c r="AC247" s="6">
        <f t="shared" ref="AC247" si="15">(L247-M247)*W247+(N247-O247)*X247</f>
        <v>0</v>
      </c>
      <c r="AD247" s="6">
        <f t="shared" ref="AD247:AD257" si="16">(J247-K247)*Y247</f>
        <v>0</v>
      </c>
      <c r="AE247" s="6">
        <f t="shared" ref="AE247" ca="1" si="17">(L247-M247)*Z247+(N247-O247)*AA247</f>
        <v>0</v>
      </c>
    </row>
    <row r="248" spans="1:32" ht="11.25" customHeight="1" x14ac:dyDescent="0.3">
      <c r="A248" s="4" t="s">
        <v>21</v>
      </c>
      <c r="B248" s="4" t="s">
        <v>22</v>
      </c>
      <c r="C248" s="4" t="s">
        <v>23</v>
      </c>
      <c r="D248" s="4" t="s">
        <v>24</v>
      </c>
      <c r="E248" s="4" t="s">
        <v>29</v>
      </c>
      <c r="F248" s="4" t="s">
        <v>25</v>
      </c>
      <c r="G248" s="4" t="s">
        <v>25</v>
      </c>
      <c r="H248" s="4" t="s">
        <v>25</v>
      </c>
      <c r="I248" s="5">
        <v>44501</v>
      </c>
      <c r="J248" s="6">
        <v>0</v>
      </c>
      <c r="K248" s="6">
        <v>0</v>
      </c>
      <c r="L248" s="6">
        <v>74.97</v>
      </c>
      <c r="M248" s="6">
        <v>74.97</v>
      </c>
      <c r="N248" s="6">
        <v>74.97</v>
      </c>
      <c r="O248" s="6">
        <v>74.97</v>
      </c>
      <c r="P248" s="6">
        <v>78</v>
      </c>
      <c r="Q248" s="4" t="s">
        <v>26</v>
      </c>
      <c r="R248" s="4">
        <v>0</v>
      </c>
      <c r="S248" s="4">
        <v>0</v>
      </c>
      <c r="T248" s="4">
        <v>31</v>
      </c>
      <c r="U248" s="4">
        <v>72</v>
      </c>
      <c r="V248" s="6">
        <f>IF(ISERROR(VLOOKUP($S$248,'TAR FIN'!$A$1:$O$103,15,0)),0,VLOOKUP($S$248,'TAR FIN'!$A$1:$O$103,15,0))</f>
        <v>0</v>
      </c>
      <c r="W248" s="6">
        <f>IF(ISERROR(VLOOKUP($T$248,'TAR FIN'!$A$1:$O$103,15,0)),0,VLOOKUP($T$248,'TAR FIN'!$A$1:$O$103,15,0))</f>
        <v>105.1</v>
      </c>
      <c r="X248" s="6">
        <f>IF(ISERROR(VLOOKUP($U$248,'TAR FIN'!$A$1:$O$103,15,0)),0,VLOOKUP($U$248,'TAR FIN'!$A$1:$O$103,15,0))</f>
        <v>89.31</v>
      </c>
      <c r="Y248" s="6"/>
      <c r="Z248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48" s="6">
        <f>('TE BE'!$AB$14+'TE BF'!$AB$14+'TE CVA'!$AB$14)*(1-CUSTOS!$M$34)</f>
        <v>81.908317187687473</v>
      </c>
      <c r="AB248" s="6">
        <f t="shared" si="14"/>
        <v>0</v>
      </c>
      <c r="AC248" s="6">
        <f>(L248-M248)*(W248+X248)+($W$291+$X$291-$W$248-$X$248)*(L248)</f>
        <v>27068.6682</v>
      </c>
      <c r="AD248" s="6">
        <f t="shared" si="16"/>
        <v>0</v>
      </c>
      <c r="AE248" s="6">
        <f ca="1">(L248-M248)*(Z248+AA248)+($Z$291+$AA$291-$Z$248-$AA$248)*(L248)</f>
        <v>27415.540539592901</v>
      </c>
      <c r="AF248" s="4" t="s">
        <v>816</v>
      </c>
    </row>
    <row r="249" spans="1:32" ht="11.25" customHeight="1" x14ac:dyDescent="0.3">
      <c r="A249" s="4" t="s">
        <v>21</v>
      </c>
      <c r="B249" s="4" t="s">
        <v>22</v>
      </c>
      <c r="C249" s="4" t="s">
        <v>23</v>
      </c>
      <c r="D249" s="4" t="s">
        <v>24</v>
      </c>
      <c r="E249" s="4" t="s">
        <v>29</v>
      </c>
      <c r="F249" s="4" t="s">
        <v>25</v>
      </c>
      <c r="G249" s="4" t="s">
        <v>25</v>
      </c>
      <c r="H249" s="4" t="s">
        <v>25</v>
      </c>
      <c r="I249" s="5">
        <v>44531</v>
      </c>
      <c r="J249" s="6">
        <v>0</v>
      </c>
      <c r="K249" s="6">
        <v>0</v>
      </c>
      <c r="L249" s="6">
        <v>78.33</v>
      </c>
      <c r="M249" s="6">
        <v>78.33</v>
      </c>
      <c r="N249" s="6">
        <v>78.33</v>
      </c>
      <c r="O249" s="6">
        <v>78.33</v>
      </c>
      <c r="P249" s="6">
        <v>100</v>
      </c>
      <c r="Q249" s="4" t="s">
        <v>26</v>
      </c>
      <c r="R249" s="4">
        <v>0</v>
      </c>
      <c r="S249" s="4">
        <v>0</v>
      </c>
      <c r="T249" s="4">
        <v>31</v>
      </c>
      <c r="U249" s="4">
        <v>72</v>
      </c>
      <c r="V249" s="6">
        <f>IF(ISERROR(VLOOKUP($S$249,'TAR FIN'!$A$1:$O$103,15,0)),0,VLOOKUP($S$249,'TAR FIN'!$A$1:$O$103,15,0))</f>
        <v>0</v>
      </c>
      <c r="W249" s="6">
        <f>IF(ISERROR(VLOOKUP($T$249,'TAR FIN'!$A$1:$O$103,15,0)),0,VLOOKUP($T$249,'TAR FIN'!$A$1:$O$103,15,0))</f>
        <v>105.1</v>
      </c>
      <c r="X249" s="6">
        <f>IF(ISERROR(VLOOKUP($U$249,'TAR FIN'!$A$1:$O$103,15,0)),0,VLOOKUP($U$249,'TAR FIN'!$A$1:$O$103,15,0))</f>
        <v>89.31</v>
      </c>
      <c r="Y249" s="6"/>
      <c r="Z249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49" s="6">
        <f>('TE BE'!$AB$14+'TE BF'!$AB$14+'TE CVA'!$AB$14)*(1-CUSTOS!$M$34)</f>
        <v>81.908317187687473</v>
      </c>
      <c r="AB249" s="6">
        <f t="shared" si="14"/>
        <v>0</v>
      </c>
      <c r="AC249" s="6">
        <f>(L249-M249)*(W249+X249)+($W$291+$X$291-$W$249-$X$249)*(L249)</f>
        <v>28281.8298</v>
      </c>
      <c r="AD249" s="6">
        <f t="shared" si="16"/>
        <v>0</v>
      </c>
      <c r="AE249" s="6">
        <f ca="1">(L249-M249)*(Z249+AA249)+($Z$291+$AA$291-$Z$249-$AA$249)*(L249)</f>
        <v>28644.248238846365</v>
      </c>
      <c r="AF249" s="4" t="s">
        <v>816</v>
      </c>
    </row>
    <row r="250" spans="1:32" ht="11.25" customHeight="1" x14ac:dyDescent="0.3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29</v>
      </c>
      <c r="F250" s="4" t="s">
        <v>25</v>
      </c>
      <c r="G250" s="4" t="s">
        <v>25</v>
      </c>
      <c r="H250" s="4" t="s">
        <v>25</v>
      </c>
      <c r="I250" s="5">
        <v>44562</v>
      </c>
      <c r="J250" s="6">
        <v>0</v>
      </c>
      <c r="K250" s="6">
        <v>0</v>
      </c>
      <c r="L250" s="6">
        <v>80.010000000000005</v>
      </c>
      <c r="M250" s="6">
        <v>80.010000000000005</v>
      </c>
      <c r="N250" s="6">
        <v>80.010000000000005</v>
      </c>
      <c r="O250" s="6">
        <v>80.010000000000005</v>
      </c>
      <c r="P250" s="6">
        <v>88</v>
      </c>
      <c r="Q250" s="4" t="s">
        <v>26</v>
      </c>
      <c r="R250" s="4">
        <v>0</v>
      </c>
      <c r="S250" s="4">
        <v>0</v>
      </c>
      <c r="T250" s="4">
        <v>31</v>
      </c>
      <c r="U250" s="4">
        <v>72</v>
      </c>
      <c r="V250" s="6">
        <f>IF(ISERROR(VLOOKUP($S$250,'TAR FIN'!$A$1:$O$103,15,0)),0,VLOOKUP($S$250,'TAR FIN'!$A$1:$O$103,15,0))</f>
        <v>0</v>
      </c>
      <c r="W250" s="6">
        <f>IF(ISERROR(VLOOKUP($T$250,'TAR FIN'!$A$1:$O$103,15,0)),0,VLOOKUP($T$250,'TAR FIN'!$A$1:$O$103,15,0))</f>
        <v>105.1</v>
      </c>
      <c r="X250" s="6">
        <f>IF(ISERROR(VLOOKUP($U$250,'TAR FIN'!$A$1:$O$103,15,0)),0,VLOOKUP($U$250,'TAR FIN'!$A$1:$O$103,15,0))</f>
        <v>89.31</v>
      </c>
      <c r="Y250" s="6"/>
      <c r="Z250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50" s="6">
        <f>('TE BE'!$AB$14+'TE BF'!$AB$14+'TE CVA'!$AB$14)*(1-CUSTOS!$M$34)</f>
        <v>81.908317187687473</v>
      </c>
      <c r="AB250" s="6">
        <f t="shared" si="14"/>
        <v>0</v>
      </c>
      <c r="AC250" s="6">
        <f>(L250-M250)*(W250+X250)+($W$291+$X$291-$W$250-$X$250)*(L250)</f>
        <v>28888.410600000003</v>
      </c>
      <c r="AD250" s="6">
        <f t="shared" si="16"/>
        <v>0</v>
      </c>
      <c r="AE250" s="6">
        <f ca="1">(L250-M250)*(Z250+AA250)+($Z$291+$AA$291-$Z$250-$AA$250)*(L250)</f>
        <v>29258.602088473097</v>
      </c>
      <c r="AF250" s="4" t="s">
        <v>816</v>
      </c>
    </row>
    <row r="251" spans="1:32" ht="11.25" customHeight="1" x14ac:dyDescent="0.3">
      <c r="A251" s="4" t="s">
        <v>21</v>
      </c>
      <c r="B251" s="4" t="s">
        <v>22</v>
      </c>
      <c r="C251" s="4" t="s">
        <v>23</v>
      </c>
      <c r="D251" s="4" t="s">
        <v>24</v>
      </c>
      <c r="E251" s="4" t="s">
        <v>29</v>
      </c>
      <c r="F251" s="4" t="s">
        <v>25</v>
      </c>
      <c r="G251" s="4" t="s">
        <v>25</v>
      </c>
      <c r="H251" s="4" t="s">
        <v>25</v>
      </c>
      <c r="I251" s="5">
        <v>44593</v>
      </c>
      <c r="J251" s="6">
        <v>0</v>
      </c>
      <c r="K251" s="6">
        <v>0</v>
      </c>
      <c r="L251" s="6">
        <v>82.56</v>
      </c>
      <c r="M251" s="6">
        <v>82.56</v>
      </c>
      <c r="N251" s="6">
        <v>82.56</v>
      </c>
      <c r="O251" s="6">
        <v>82.56</v>
      </c>
      <c r="P251" s="6">
        <v>88</v>
      </c>
      <c r="Q251" s="4" t="s">
        <v>26</v>
      </c>
      <c r="R251" s="4">
        <v>0</v>
      </c>
      <c r="S251" s="4">
        <v>0</v>
      </c>
      <c r="T251" s="4">
        <v>31</v>
      </c>
      <c r="U251" s="4">
        <v>72</v>
      </c>
      <c r="V251" s="6">
        <f>IF(ISERROR(VLOOKUP($S$251,'TAR FIN'!$A$1:$O$103,15,0)),0,VLOOKUP($S$251,'TAR FIN'!$A$1:$O$103,15,0))</f>
        <v>0</v>
      </c>
      <c r="W251" s="6">
        <f>IF(ISERROR(VLOOKUP($T$251,'TAR FIN'!$A$1:$O$103,15,0)),0,VLOOKUP($T$251,'TAR FIN'!$A$1:$O$103,15,0))</f>
        <v>105.1</v>
      </c>
      <c r="X251" s="6">
        <f>IF(ISERROR(VLOOKUP($U$251,'TAR FIN'!$A$1:$O$103,15,0)),0,VLOOKUP($U$251,'TAR FIN'!$A$1:$O$103,15,0))</f>
        <v>89.31</v>
      </c>
      <c r="Y251" s="6"/>
      <c r="Z251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51" s="6">
        <f>('TE BE'!$AB$14+'TE BF'!$AB$14+'TE CVA'!$AB$14)*(1-CUSTOS!$M$34)</f>
        <v>81.908317187687473</v>
      </c>
      <c r="AB251" s="6">
        <f t="shared" si="14"/>
        <v>0</v>
      </c>
      <c r="AC251" s="6">
        <f>(L251-M251)*(W251+X251)+($W$291+$X$291-$W$251-$X$251)*(L251)</f>
        <v>29809.113600000001</v>
      </c>
      <c r="AD251" s="6">
        <f t="shared" si="16"/>
        <v>0</v>
      </c>
      <c r="AE251" s="6">
        <f ca="1">(L251-M251)*(Z251+AA251)+($Z$291+$AA$291-$Z$251-$AA$251)*(L251)</f>
        <v>30191.103467370813</v>
      </c>
      <c r="AF251" s="4" t="s">
        <v>816</v>
      </c>
    </row>
    <row r="252" spans="1:32" ht="11.25" customHeight="1" x14ac:dyDescent="0.3">
      <c r="A252" s="4" t="s">
        <v>21</v>
      </c>
      <c r="B252" s="4" t="s">
        <v>22</v>
      </c>
      <c r="C252" s="4" t="s">
        <v>23</v>
      </c>
      <c r="D252" s="4" t="s">
        <v>24</v>
      </c>
      <c r="E252" s="4" t="s">
        <v>29</v>
      </c>
      <c r="F252" s="4" t="s">
        <v>25</v>
      </c>
      <c r="G252" s="4" t="s">
        <v>25</v>
      </c>
      <c r="H252" s="4" t="s">
        <v>25</v>
      </c>
      <c r="I252" s="5">
        <v>44621</v>
      </c>
      <c r="J252" s="6">
        <v>0</v>
      </c>
      <c r="K252" s="6">
        <v>0</v>
      </c>
      <c r="L252" s="6">
        <v>86.88</v>
      </c>
      <c r="M252" s="6">
        <v>86.88</v>
      </c>
      <c r="N252" s="6">
        <v>86.88</v>
      </c>
      <c r="O252" s="6">
        <v>86.88</v>
      </c>
      <c r="P252" s="6">
        <v>95</v>
      </c>
      <c r="Q252" s="4" t="s">
        <v>26</v>
      </c>
      <c r="R252" s="4">
        <v>0</v>
      </c>
      <c r="S252" s="4">
        <v>0</v>
      </c>
      <c r="T252" s="4">
        <v>31</v>
      </c>
      <c r="U252" s="4">
        <v>72</v>
      </c>
      <c r="V252" s="6">
        <f>IF(ISERROR(VLOOKUP($S$252,'TAR FIN'!$A$1:$O$103,15,0)),0,VLOOKUP($S$252,'TAR FIN'!$A$1:$O$103,15,0))</f>
        <v>0</v>
      </c>
      <c r="W252" s="6">
        <f>IF(ISERROR(VLOOKUP($T$252,'TAR FIN'!$A$1:$O$103,15,0)),0,VLOOKUP($T$252,'TAR FIN'!$A$1:$O$103,15,0))</f>
        <v>105.1</v>
      </c>
      <c r="X252" s="6">
        <f>IF(ISERROR(VLOOKUP($U$252,'TAR FIN'!$A$1:$O$103,15,0)),0,VLOOKUP($U$252,'TAR FIN'!$A$1:$O$103,15,0))</f>
        <v>89.31</v>
      </c>
      <c r="Y252" s="6"/>
      <c r="Z252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52" s="6">
        <f>('TE BE'!$AB$14+'TE BF'!$AB$14+'TE CVA'!$AB$14)*(1-CUSTOS!$M$34)</f>
        <v>81.908317187687473</v>
      </c>
      <c r="AB252" s="6">
        <f t="shared" si="14"/>
        <v>0</v>
      </c>
      <c r="AC252" s="6">
        <f>(L252-M252)*(W252+X252)+($W$291+$X$291-$W$252-$X$252)*(L252)</f>
        <v>31368.892799999998</v>
      </c>
      <c r="AD252" s="6">
        <f t="shared" si="16"/>
        <v>0</v>
      </c>
      <c r="AE252" s="6">
        <f ca="1">(L252-M252)*(Z252+AA252)+($Z$291+$AA$291-$Z$252-$AA$252)*(L252)</f>
        <v>31770.870509268123</v>
      </c>
      <c r="AF252" s="4" t="s">
        <v>816</v>
      </c>
    </row>
    <row r="253" spans="1:32" ht="11.25" customHeight="1" x14ac:dyDescent="0.3">
      <c r="A253" s="4" t="s">
        <v>21</v>
      </c>
      <c r="B253" s="4" t="s">
        <v>22</v>
      </c>
      <c r="C253" s="4" t="s">
        <v>23</v>
      </c>
      <c r="D253" s="4" t="s">
        <v>24</v>
      </c>
      <c r="E253" s="4" t="s">
        <v>29</v>
      </c>
      <c r="F253" s="4" t="s">
        <v>25</v>
      </c>
      <c r="G253" s="4" t="s">
        <v>25</v>
      </c>
      <c r="H253" s="4" t="s">
        <v>25</v>
      </c>
      <c r="I253" s="5">
        <v>44652</v>
      </c>
      <c r="J253" s="6">
        <v>0</v>
      </c>
      <c r="K253" s="6">
        <v>0</v>
      </c>
      <c r="L253" s="6">
        <v>97.29</v>
      </c>
      <c r="M253" s="6">
        <v>97.29</v>
      </c>
      <c r="N253" s="6">
        <v>97.29</v>
      </c>
      <c r="O253" s="6">
        <v>97.29</v>
      </c>
      <c r="P253" s="6">
        <v>89</v>
      </c>
      <c r="Q253" s="4" t="s">
        <v>26</v>
      </c>
      <c r="R253" s="4">
        <v>0</v>
      </c>
      <c r="S253" s="4">
        <v>0</v>
      </c>
      <c r="T253" s="4">
        <v>31</v>
      </c>
      <c r="U253" s="4">
        <v>72</v>
      </c>
      <c r="V253" s="6">
        <f>IF(ISERROR(VLOOKUP($S$253,'TAR FIN'!$A$1:$O$103,15,0)),0,VLOOKUP($S$253,'TAR FIN'!$A$1:$O$103,15,0))</f>
        <v>0</v>
      </c>
      <c r="W253" s="6">
        <f>IF(ISERROR(VLOOKUP($T$253,'TAR FIN'!$A$1:$O$103,15,0)),0,VLOOKUP($T$253,'TAR FIN'!$A$1:$O$103,15,0))</f>
        <v>105.1</v>
      </c>
      <c r="X253" s="6">
        <f>IF(ISERROR(VLOOKUP($U$253,'TAR FIN'!$A$1:$O$103,15,0)),0,VLOOKUP($U$253,'TAR FIN'!$A$1:$O$103,15,0))</f>
        <v>89.31</v>
      </c>
      <c r="Y253" s="6"/>
      <c r="Z253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53" s="6">
        <f>('TE BE'!$AB$14+'TE BF'!$AB$14+'TE CVA'!$AB$14)*(1-CUSTOS!$M$34)</f>
        <v>81.908317187687473</v>
      </c>
      <c r="AB253" s="6">
        <f t="shared" si="14"/>
        <v>0</v>
      </c>
      <c r="AC253" s="6">
        <f>(L253-M253)*(W253+X253)+($W$291+$X$291-$W$253-$X$253)*(L253)</f>
        <v>35127.527399999999</v>
      </c>
      <c r="AD253" s="6">
        <f t="shared" si="16"/>
        <v>0</v>
      </c>
      <c r="AE253" s="6">
        <f ca="1">(L253-M253)*(Z253+AA253)+($Z$291+$AA$291-$Z$253-$AA$253)*(L253)</f>
        <v>35577.670256062338</v>
      </c>
      <c r="AF253" s="4" t="s">
        <v>816</v>
      </c>
    </row>
    <row r="254" spans="1:32" ht="11.25" customHeight="1" x14ac:dyDescent="0.3">
      <c r="A254" s="4" t="s">
        <v>21</v>
      </c>
      <c r="B254" s="4" t="s">
        <v>22</v>
      </c>
      <c r="C254" s="4" t="s">
        <v>23</v>
      </c>
      <c r="D254" s="4" t="s">
        <v>24</v>
      </c>
      <c r="E254" s="4" t="s">
        <v>29</v>
      </c>
      <c r="F254" s="4" t="s">
        <v>25</v>
      </c>
      <c r="G254" s="4" t="s">
        <v>25</v>
      </c>
      <c r="H254" s="4" t="s">
        <v>25</v>
      </c>
      <c r="I254" s="5">
        <v>44682</v>
      </c>
      <c r="J254" s="6">
        <v>0</v>
      </c>
      <c r="K254" s="6">
        <v>0</v>
      </c>
      <c r="L254" s="6">
        <v>105.64</v>
      </c>
      <c r="M254" s="6">
        <v>105.64</v>
      </c>
      <c r="N254" s="6">
        <v>105.64</v>
      </c>
      <c r="O254" s="6">
        <v>105.64</v>
      </c>
      <c r="P254" s="6">
        <v>104</v>
      </c>
      <c r="Q254" s="4" t="s">
        <v>26</v>
      </c>
      <c r="R254" s="4">
        <v>0</v>
      </c>
      <c r="S254" s="4">
        <v>0</v>
      </c>
      <c r="T254" s="4">
        <v>31</v>
      </c>
      <c r="U254" s="4">
        <v>72</v>
      </c>
      <c r="V254" s="6">
        <f>IF(ISERROR(VLOOKUP($S$254,'TAR FIN'!$A$1:$O$103,15,0)),0,VLOOKUP($S$254,'TAR FIN'!$A$1:$O$103,15,0))</f>
        <v>0</v>
      </c>
      <c r="W254" s="6">
        <f>IF(ISERROR(VLOOKUP($T$254,'TAR FIN'!$A$1:$O$103,15,0)),0,VLOOKUP($T$254,'TAR FIN'!$A$1:$O$103,15,0))</f>
        <v>105.1</v>
      </c>
      <c r="X254" s="6">
        <f>IF(ISERROR(VLOOKUP($U$254,'TAR FIN'!$A$1:$O$103,15,0)),0,VLOOKUP($U$254,'TAR FIN'!$A$1:$O$103,15,0))</f>
        <v>89.31</v>
      </c>
      <c r="Y254" s="6"/>
      <c r="Z254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54" s="6">
        <f>('TE BE'!$AB$14+'TE BF'!$AB$14+'TE CVA'!$AB$14)*(1-CUSTOS!$M$34)</f>
        <v>81.908317187687473</v>
      </c>
      <c r="AB254" s="6">
        <f t="shared" si="14"/>
        <v>0</v>
      </c>
      <c r="AC254" s="6">
        <f>(L254-M254)*(W254+X254)+($W$291+$X$291-$W$254-$X$254)*(L254)</f>
        <v>38142.378400000001</v>
      </c>
      <c r="AD254" s="6">
        <f t="shared" si="16"/>
        <v>0</v>
      </c>
      <c r="AE254" s="6">
        <f ca="1">(L254-M254)*(Z254+AA254)+($Z$291+$AA$291-$Z$254-$AA$254)*(L254)</f>
        <v>38631.155163433294</v>
      </c>
      <c r="AF254" s="4" t="s">
        <v>816</v>
      </c>
    </row>
    <row r="255" spans="1:32" ht="11.25" customHeight="1" x14ac:dyDescent="0.3">
      <c r="A255" s="4" t="s">
        <v>21</v>
      </c>
      <c r="B255" s="4" t="s">
        <v>22</v>
      </c>
      <c r="C255" s="4" t="s">
        <v>23</v>
      </c>
      <c r="D255" s="4" t="s">
        <v>24</v>
      </c>
      <c r="E255" s="4" t="s">
        <v>29</v>
      </c>
      <c r="F255" s="4" t="s">
        <v>25</v>
      </c>
      <c r="G255" s="4" t="s">
        <v>25</v>
      </c>
      <c r="H255" s="4" t="s">
        <v>25</v>
      </c>
      <c r="I255" s="5">
        <v>44713</v>
      </c>
      <c r="J255" s="6">
        <v>0</v>
      </c>
      <c r="K255" s="6">
        <v>0</v>
      </c>
      <c r="L255" s="6">
        <v>101.1</v>
      </c>
      <c r="M255" s="6">
        <v>101.1</v>
      </c>
      <c r="N255" s="6">
        <v>101.1</v>
      </c>
      <c r="O255" s="6">
        <v>101.1</v>
      </c>
      <c r="P255" s="6">
        <v>100</v>
      </c>
      <c r="Q255" s="4" t="s">
        <v>26</v>
      </c>
      <c r="R255" s="4">
        <v>0</v>
      </c>
      <c r="S255" s="4">
        <v>0</v>
      </c>
      <c r="T255" s="4">
        <v>31</v>
      </c>
      <c r="U255" s="4">
        <v>72</v>
      </c>
      <c r="V255" s="6">
        <f>IF(ISERROR(VLOOKUP($S$255,'TAR FIN'!$A$1:$O$103,15,0)),0,VLOOKUP($S$255,'TAR FIN'!$A$1:$O$103,15,0))</f>
        <v>0</v>
      </c>
      <c r="W255" s="6">
        <f>IF(ISERROR(VLOOKUP($T$255,'TAR FIN'!$A$1:$O$103,15,0)),0,VLOOKUP($T$255,'TAR FIN'!$A$1:$O$103,15,0))</f>
        <v>105.1</v>
      </c>
      <c r="X255" s="6">
        <f>IF(ISERROR(VLOOKUP($U$255,'TAR FIN'!$A$1:$O$103,15,0)),0,VLOOKUP($U$255,'TAR FIN'!$A$1:$O$103,15,0))</f>
        <v>89.31</v>
      </c>
      <c r="Y255" s="6"/>
      <c r="Z255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55" s="6">
        <f>('TE BE'!$AB$14+'TE BF'!$AB$14+'TE CVA'!$AB$14)*(1-CUSTOS!$M$34)</f>
        <v>81.908317187687473</v>
      </c>
      <c r="AB255" s="6">
        <f t="shared" si="14"/>
        <v>0</v>
      </c>
      <c r="AC255" s="6">
        <f>(L255-M255)*(W255+X255)+($W$291+$X$291-$W$255-$X$255)*(L255)</f>
        <v>36503.165999999997</v>
      </c>
      <c r="AD255" s="6">
        <f t="shared" si="16"/>
        <v>0</v>
      </c>
      <c r="AE255" s="6">
        <f ca="1">(L255-M255)*(Z255+AA255)+($Z$291+$AA$291-$Z$255-$AA$255)*(L255)</f>
        <v>36970.9370221801</v>
      </c>
      <c r="AF255" s="4" t="s">
        <v>816</v>
      </c>
    </row>
    <row r="256" spans="1:32" ht="11.25" customHeight="1" x14ac:dyDescent="0.3">
      <c r="A256" s="4" t="s">
        <v>21</v>
      </c>
      <c r="B256" s="4" t="s">
        <v>22</v>
      </c>
      <c r="C256" s="4" t="s">
        <v>23</v>
      </c>
      <c r="D256" s="4" t="s">
        <v>24</v>
      </c>
      <c r="E256" s="4" t="s">
        <v>29</v>
      </c>
      <c r="F256" s="4" t="s">
        <v>25</v>
      </c>
      <c r="G256" s="4" t="s">
        <v>25</v>
      </c>
      <c r="H256" s="4" t="s">
        <v>25</v>
      </c>
      <c r="I256" s="5">
        <v>44743</v>
      </c>
      <c r="J256" s="6">
        <v>0</v>
      </c>
      <c r="K256" s="6">
        <v>0</v>
      </c>
      <c r="L256" s="6">
        <v>101.28</v>
      </c>
      <c r="M256" s="6">
        <v>101.28</v>
      </c>
      <c r="N256" s="6">
        <v>101.28</v>
      </c>
      <c r="O256" s="6">
        <v>101.28</v>
      </c>
      <c r="P256" s="6">
        <v>97</v>
      </c>
      <c r="Q256" s="4" t="s">
        <v>26</v>
      </c>
      <c r="R256" s="4">
        <v>0</v>
      </c>
      <c r="S256" s="4">
        <v>0</v>
      </c>
      <c r="T256" s="4">
        <v>31</v>
      </c>
      <c r="U256" s="4">
        <v>72</v>
      </c>
      <c r="V256" s="6">
        <f>IF(ISERROR(VLOOKUP($S$256,'TAR FIN'!$A$1:$O$103,15,0)),0,VLOOKUP($S$256,'TAR FIN'!$A$1:$O$103,15,0))</f>
        <v>0</v>
      </c>
      <c r="W256" s="6">
        <f>IF(ISERROR(VLOOKUP($T$256,'TAR FIN'!$A$1:$O$103,15,0)),0,VLOOKUP($T$256,'TAR FIN'!$A$1:$O$103,15,0))</f>
        <v>105.1</v>
      </c>
      <c r="X256" s="6">
        <f>IF(ISERROR(VLOOKUP($U$256,'TAR FIN'!$A$1:$O$103,15,0)),0,VLOOKUP($U$256,'TAR FIN'!$A$1:$O$103,15,0))</f>
        <v>89.31</v>
      </c>
      <c r="Y256" s="6"/>
      <c r="Z256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56" s="6">
        <f>('TE BE'!$AB$14+'TE BF'!$AB$14+'TE CVA'!$AB$14)*(1-CUSTOS!$M$34)</f>
        <v>81.908317187687473</v>
      </c>
      <c r="AB256" s="6">
        <f t="shared" si="14"/>
        <v>0</v>
      </c>
      <c r="AC256" s="6">
        <f>(L256-M256)*(W256+X256)+($W$291+$X$291-$W$256-$X$256)*(L256)</f>
        <v>36568.156799999997</v>
      </c>
      <c r="AD256" s="6">
        <f t="shared" si="16"/>
        <v>0</v>
      </c>
      <c r="AE256" s="6">
        <f ca="1">(L256-M256)*(Z256+AA256)+($Z$291+$AA$291-$Z$256-$AA$256)*(L256)</f>
        <v>37036.760648925825</v>
      </c>
      <c r="AF256" s="4" t="s">
        <v>816</v>
      </c>
    </row>
    <row r="257" spans="1:32" ht="11.25" customHeight="1" x14ac:dyDescent="0.3">
      <c r="A257" s="4" t="s">
        <v>28</v>
      </c>
      <c r="B257" s="4" t="s">
        <v>22</v>
      </c>
      <c r="C257" s="4" t="s">
        <v>23</v>
      </c>
      <c r="D257" s="4" t="s">
        <v>24</v>
      </c>
      <c r="E257" s="4" t="s">
        <v>29</v>
      </c>
      <c r="F257" s="4" t="s">
        <v>25</v>
      </c>
      <c r="G257" s="4" t="s">
        <v>25</v>
      </c>
      <c r="H257" s="4" t="s">
        <v>25</v>
      </c>
      <c r="I257" s="5">
        <v>44743</v>
      </c>
      <c r="J257" s="6">
        <v>0</v>
      </c>
      <c r="K257" s="6">
        <v>0</v>
      </c>
      <c r="L257" s="6">
        <v>0.03</v>
      </c>
      <c r="M257" s="6">
        <v>-6.7500000000000004E-2</v>
      </c>
      <c r="N257" s="6">
        <v>0.03</v>
      </c>
      <c r="O257" s="6">
        <v>-6.7500000000000004E-2</v>
      </c>
      <c r="P257" s="6">
        <v>0</v>
      </c>
      <c r="Q257" s="4" t="s">
        <v>26</v>
      </c>
      <c r="R257" s="4">
        <v>0</v>
      </c>
      <c r="S257" s="4">
        <v>0</v>
      </c>
      <c r="T257" s="4">
        <v>31</v>
      </c>
      <c r="U257" s="4">
        <v>72</v>
      </c>
      <c r="V257" s="6">
        <f>IF(ISERROR(VLOOKUP($S$257,'TAR FIN'!$A$1:$O$103,15,0)),0,VLOOKUP($S$257,'TAR FIN'!$A$1:$O$103,15,0))</f>
        <v>0</v>
      </c>
      <c r="W257" s="6">
        <f>IF(ISERROR(VLOOKUP($T$257,'TAR FIN'!$A$1:$O$103,15,0)),0,VLOOKUP($T$257,'TAR FIN'!$A$1:$O$103,15,0))</f>
        <v>105.1</v>
      </c>
      <c r="X257" s="6">
        <f>IF(ISERROR(VLOOKUP($U$257,'TAR FIN'!$A$1:$O$103,15,0)),0,VLOOKUP($U$257,'TAR FIN'!$A$1:$O$103,15,0))</f>
        <v>89.31</v>
      </c>
      <c r="Y257" s="6"/>
      <c r="Z257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57" s="6">
        <f>('TE BE'!$AB$14+'TE BF'!$AB$14+'TE CVA'!$AB$14)*(1-CUSTOS!$M$34)</f>
        <v>81.908317187687473</v>
      </c>
      <c r="AB257" s="6">
        <f t="shared" si="14"/>
        <v>0</v>
      </c>
      <c r="AC257" s="6">
        <f>(L257-M257)*(W257+X257)+($W$291+$X$291-$W$257-$X$257)*(L257)</f>
        <v>29.786774999999999</v>
      </c>
      <c r="AD257" s="6">
        <f t="shared" si="16"/>
        <v>0</v>
      </c>
      <c r="AE257" s="6">
        <f ca="1">(L257-M257)*(Z257+AA257)+($Z$291+$AA$291-$Z$257-$AA$257)*(L257)</f>
        <v>30.169162258455575</v>
      </c>
      <c r="AF257" s="4" t="s">
        <v>816</v>
      </c>
    </row>
    <row r="258" spans="1:32" ht="11.25" customHeight="1" x14ac:dyDescent="0.3">
      <c r="A258" s="4" t="s">
        <v>21</v>
      </c>
      <c r="B258" s="4" t="s">
        <v>22</v>
      </c>
      <c r="C258" s="4" t="s">
        <v>23</v>
      </c>
      <c r="D258" s="4" t="s">
        <v>24</v>
      </c>
      <c r="E258" s="4" t="s">
        <v>29</v>
      </c>
      <c r="F258" s="4" t="s">
        <v>25</v>
      </c>
      <c r="G258" s="4" t="s">
        <v>25</v>
      </c>
      <c r="H258" s="4" t="s">
        <v>25</v>
      </c>
      <c r="I258" s="5">
        <v>44774</v>
      </c>
      <c r="J258" s="6">
        <v>0</v>
      </c>
      <c r="K258" s="6">
        <v>0</v>
      </c>
      <c r="L258" s="6">
        <v>100.56</v>
      </c>
      <c r="M258" s="6">
        <v>100.56</v>
      </c>
      <c r="N258" s="6">
        <v>100.56</v>
      </c>
      <c r="O258" s="6">
        <v>100.56</v>
      </c>
      <c r="P258" s="6">
        <v>114</v>
      </c>
      <c r="Q258" s="4" t="s">
        <v>26</v>
      </c>
      <c r="R258" s="4">
        <v>0</v>
      </c>
      <c r="S258" s="4">
        <v>0</v>
      </c>
      <c r="T258" s="4">
        <v>31</v>
      </c>
      <c r="U258" s="4">
        <v>72</v>
      </c>
      <c r="V258" s="6">
        <f>IF(ISERROR(VLOOKUP($S$258,'TAR FIN'!$A$1:$O$103,15,0)),0,VLOOKUP($S$258,'TAR FIN'!$A$1:$O$103,15,0))</f>
        <v>0</v>
      </c>
      <c r="W258" s="6">
        <f>IF(ISERROR(VLOOKUP($T$258,'TAR FIN'!$A$1:$O$103,15,0)),0,VLOOKUP($T$258,'TAR FIN'!$A$1:$O$103,15,0))</f>
        <v>105.1</v>
      </c>
      <c r="X258" s="6">
        <f>IF(ISERROR(VLOOKUP($U$258,'TAR FIN'!$A$1:$O$103,15,0)),0,VLOOKUP($U$258,'TAR FIN'!$A$1:$O$103,15,0))</f>
        <v>89.31</v>
      </c>
      <c r="Y258" s="6"/>
      <c r="Z258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58" s="6">
        <f>('TE BE'!$AB$14+'TE BF'!$AB$14+'TE CVA'!$AB$14)*(1-CUSTOS!$M$34)</f>
        <v>81.908317187687473</v>
      </c>
      <c r="AB258" s="6">
        <f t="shared" ref="AB258:AB321" si="18">(J258-K258)*V258</f>
        <v>0</v>
      </c>
      <c r="AC258" s="6">
        <f>(L258-M258)*(W258+X258)+($W$291+$X$291-$W$258-$X$258)*(L258)</f>
        <v>36308.193599999999</v>
      </c>
      <c r="AD258" s="6">
        <f t="shared" ref="AD258:AD321" si="19">(J258-K258)*Y258</f>
        <v>0</v>
      </c>
      <c r="AE258" s="6">
        <f ca="1">(L258-M258)*(Z258+AA258)+($Z$291+$AA$291-$Z$258-$AA$258)*(L258)</f>
        <v>36773.466141942939</v>
      </c>
      <c r="AF258" s="4" t="s">
        <v>816</v>
      </c>
    </row>
    <row r="259" spans="1:32" ht="11.25" customHeight="1" x14ac:dyDescent="0.3">
      <c r="A259" s="4" t="s">
        <v>21</v>
      </c>
      <c r="B259" s="4" t="s">
        <v>22</v>
      </c>
      <c r="C259" s="4" t="s">
        <v>23</v>
      </c>
      <c r="D259" s="4" t="s">
        <v>24</v>
      </c>
      <c r="E259" s="4" t="s">
        <v>29</v>
      </c>
      <c r="F259" s="4" t="s">
        <v>25</v>
      </c>
      <c r="G259" s="4" t="s">
        <v>25</v>
      </c>
      <c r="H259" s="4" t="s">
        <v>25</v>
      </c>
      <c r="I259" s="5">
        <v>44805</v>
      </c>
      <c r="J259" s="6">
        <v>0</v>
      </c>
      <c r="K259" s="6">
        <v>0</v>
      </c>
      <c r="L259" s="6">
        <v>100.8</v>
      </c>
      <c r="M259" s="6">
        <v>100.8</v>
      </c>
      <c r="N259" s="6">
        <v>100.8</v>
      </c>
      <c r="O259" s="6">
        <v>100.8</v>
      </c>
      <c r="P259" s="6">
        <v>89</v>
      </c>
      <c r="Q259" s="4" t="s">
        <v>26</v>
      </c>
      <c r="R259" s="4">
        <v>0</v>
      </c>
      <c r="S259" s="4">
        <v>0</v>
      </c>
      <c r="T259" s="4">
        <v>31</v>
      </c>
      <c r="U259" s="4">
        <v>72</v>
      </c>
      <c r="V259" s="6">
        <f>IF(ISERROR(VLOOKUP($S$259,'TAR FIN'!$A$1:$O$103,15,0)),0,VLOOKUP($S$259,'TAR FIN'!$A$1:$O$103,15,0))</f>
        <v>0</v>
      </c>
      <c r="W259" s="6">
        <f>IF(ISERROR(VLOOKUP($T$259,'TAR FIN'!$A$1:$O$103,15,0)),0,VLOOKUP($T$259,'TAR FIN'!$A$1:$O$103,15,0))</f>
        <v>105.1</v>
      </c>
      <c r="X259" s="6">
        <f>IF(ISERROR(VLOOKUP($U$259,'TAR FIN'!$A$1:$O$103,15,0)),0,VLOOKUP($U$259,'TAR FIN'!$A$1:$O$103,15,0))</f>
        <v>89.31</v>
      </c>
      <c r="Y259" s="6"/>
      <c r="Z259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59" s="6">
        <f>('TE BE'!$AB$14+'TE BF'!$AB$14+'TE CVA'!$AB$14)*(1-CUSTOS!$M$34)</f>
        <v>81.908317187687473</v>
      </c>
      <c r="AB259" s="6">
        <f t="shared" si="18"/>
        <v>0</v>
      </c>
      <c r="AC259" s="6">
        <f>(L259-M259)*(W259+X259)+($W$291+$X$291-$W$259-$X$259)*(L259)</f>
        <v>36394.847999999998</v>
      </c>
      <c r="AD259" s="6">
        <f t="shared" si="19"/>
        <v>0</v>
      </c>
      <c r="AE259" s="6">
        <f ca="1">(L259-M259)*(Z259+AA259)+($Z$291+$AA$291-$Z$259-$AA$259)*(L259)</f>
        <v>36861.230977603896</v>
      </c>
      <c r="AF259" s="4" t="s">
        <v>816</v>
      </c>
    </row>
    <row r="260" spans="1:32" ht="11.25" customHeight="1" x14ac:dyDescent="0.3">
      <c r="A260" s="4" t="s">
        <v>28</v>
      </c>
      <c r="B260" s="4" t="s">
        <v>22</v>
      </c>
      <c r="C260" s="4" t="s">
        <v>23</v>
      </c>
      <c r="D260" s="4" t="s">
        <v>24</v>
      </c>
      <c r="E260" s="4" t="s">
        <v>29</v>
      </c>
      <c r="F260" s="4" t="s">
        <v>25</v>
      </c>
      <c r="G260" s="4" t="s">
        <v>25</v>
      </c>
      <c r="H260" s="4" t="s">
        <v>25</v>
      </c>
      <c r="I260" s="5">
        <v>44805</v>
      </c>
      <c r="J260" s="6">
        <v>0</v>
      </c>
      <c r="K260" s="6">
        <v>0</v>
      </c>
      <c r="L260" s="6">
        <v>0.03</v>
      </c>
      <c r="M260" s="6">
        <v>0.03</v>
      </c>
      <c r="N260" s="6">
        <v>0.03</v>
      </c>
      <c r="O260" s="6">
        <v>0.03</v>
      </c>
      <c r="P260" s="6">
        <v>0</v>
      </c>
      <c r="Q260" s="4" t="s">
        <v>26</v>
      </c>
      <c r="R260" s="4">
        <v>0</v>
      </c>
      <c r="S260" s="4">
        <v>0</v>
      </c>
      <c r="T260" s="4">
        <v>31</v>
      </c>
      <c r="U260" s="4">
        <v>72</v>
      </c>
      <c r="V260" s="6">
        <f>IF(ISERROR(VLOOKUP($S$260,'TAR FIN'!$A$1:$O$103,15,0)),0,VLOOKUP($S$260,'TAR FIN'!$A$1:$O$103,15,0))</f>
        <v>0</v>
      </c>
      <c r="W260" s="6">
        <f>IF(ISERROR(VLOOKUP($T$260,'TAR FIN'!$A$1:$O$103,15,0)),0,VLOOKUP($T$260,'TAR FIN'!$A$1:$O$103,15,0))</f>
        <v>105.1</v>
      </c>
      <c r="X260" s="6">
        <f>IF(ISERROR(VLOOKUP($U$260,'TAR FIN'!$A$1:$O$103,15,0)),0,VLOOKUP($U$260,'TAR FIN'!$A$1:$O$103,15,0))</f>
        <v>89.31</v>
      </c>
      <c r="Y260" s="6"/>
      <c r="Z260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60" s="6">
        <f>('TE BE'!$AB$14+'TE BF'!$AB$14+'TE CVA'!$AB$14)*(1-CUSTOS!$M$34)</f>
        <v>81.908317187687473</v>
      </c>
      <c r="AB260" s="6">
        <f t="shared" si="18"/>
        <v>0</v>
      </c>
      <c r="AC260" s="6">
        <f>(L260-M260)*(W260+X260)+($W$291+$X$291-$W$260-$X$260)*(L260)</f>
        <v>10.831799999999999</v>
      </c>
      <c r="AD260" s="6">
        <f t="shared" si="19"/>
        <v>0</v>
      </c>
      <c r="AE260" s="6">
        <f ca="1">(L260-M260)*(Z260+AA260)+($Z$291+$AA$291-$Z$260-$AA$260)*(L260)</f>
        <v>10.970604457620208</v>
      </c>
      <c r="AF260" s="4" t="s">
        <v>816</v>
      </c>
    </row>
    <row r="261" spans="1:32" ht="11.25" customHeight="1" x14ac:dyDescent="0.3">
      <c r="A261" s="4" t="s">
        <v>57</v>
      </c>
      <c r="B261" s="4" t="s">
        <v>22</v>
      </c>
      <c r="C261" s="4" t="s">
        <v>23</v>
      </c>
      <c r="D261" s="4" t="s">
        <v>24</v>
      </c>
      <c r="E261" s="4" t="s">
        <v>29</v>
      </c>
      <c r="F261" s="4" t="s">
        <v>25</v>
      </c>
      <c r="G261" s="4" t="s">
        <v>25</v>
      </c>
      <c r="H261" s="4" t="s">
        <v>25</v>
      </c>
      <c r="I261" s="5">
        <v>44835</v>
      </c>
      <c r="J261" s="6">
        <v>0</v>
      </c>
      <c r="K261" s="6">
        <v>0</v>
      </c>
      <c r="L261" s="6">
        <v>100.8</v>
      </c>
      <c r="M261" s="6">
        <v>100.8</v>
      </c>
      <c r="N261" s="6">
        <v>100.8</v>
      </c>
      <c r="O261" s="6">
        <v>100.8</v>
      </c>
      <c r="P261" s="6">
        <v>89</v>
      </c>
      <c r="Q261" s="4" t="s">
        <v>26</v>
      </c>
      <c r="R261" s="4">
        <v>0</v>
      </c>
      <c r="S261" s="4">
        <v>0</v>
      </c>
      <c r="T261" s="4">
        <v>31</v>
      </c>
      <c r="U261" s="4">
        <v>72</v>
      </c>
      <c r="V261" s="6">
        <f>IF(ISERROR(VLOOKUP($S$261,'TAR FIN'!$A$1:$O$103,15,0)),0,VLOOKUP($S$261,'TAR FIN'!$A$1:$O$103,15,0))</f>
        <v>0</v>
      </c>
      <c r="W261" s="6">
        <f>IF(ISERROR(VLOOKUP($T$261,'TAR FIN'!$A$1:$O$103,15,0)),0,VLOOKUP($T$261,'TAR FIN'!$A$1:$O$103,15,0))</f>
        <v>105.1</v>
      </c>
      <c r="X261" s="6">
        <f>IF(ISERROR(VLOOKUP($U$261,'TAR FIN'!$A$1:$O$103,15,0)),0,VLOOKUP($U$261,'TAR FIN'!$A$1:$O$103,15,0))</f>
        <v>89.31</v>
      </c>
      <c r="Y261" s="6"/>
      <c r="Z261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61" s="6">
        <f>('TE BE'!$AB$14+'TE BF'!$AB$14+'TE CVA'!$AB$14)*(1-CUSTOS!$M$34)</f>
        <v>81.908317187687473</v>
      </c>
      <c r="AB261" s="6">
        <f t="shared" si="18"/>
        <v>0</v>
      </c>
      <c r="AC261" s="6">
        <f>(L261-M261)*(W261+X261)+($W$291+$X$291-$W$261-$X$261)*(L261)</f>
        <v>36394.847999999998</v>
      </c>
      <c r="AD261" s="6">
        <f t="shared" si="19"/>
        <v>0</v>
      </c>
      <c r="AE261" s="6">
        <f ca="1">(L261-M261)*(Z261+AA261)+($Z$291+$AA$291-$Z$261-$AA$261)*(L261)</f>
        <v>36861.230977603896</v>
      </c>
      <c r="AF261" s="4" t="s">
        <v>816</v>
      </c>
    </row>
    <row r="262" spans="1:32" ht="11.25" customHeight="1" x14ac:dyDescent="0.3">
      <c r="A262" s="4" t="s">
        <v>57</v>
      </c>
      <c r="B262" s="4" t="s">
        <v>22</v>
      </c>
      <c r="C262" s="4" t="s">
        <v>23</v>
      </c>
      <c r="D262" s="4" t="s">
        <v>24</v>
      </c>
      <c r="E262" s="4" t="s">
        <v>29</v>
      </c>
      <c r="F262" s="4" t="s">
        <v>25</v>
      </c>
      <c r="G262" s="4" t="s">
        <v>25</v>
      </c>
      <c r="H262" s="4" t="s">
        <v>25</v>
      </c>
      <c r="I262" s="5">
        <v>44835</v>
      </c>
      <c r="J262" s="6">
        <v>0</v>
      </c>
      <c r="K262" s="6">
        <v>0</v>
      </c>
      <c r="L262" s="6">
        <v>0.03</v>
      </c>
      <c r="M262" s="6">
        <v>0.03</v>
      </c>
      <c r="N262" s="6">
        <v>0.03</v>
      </c>
      <c r="O262" s="6">
        <v>0.03</v>
      </c>
      <c r="P262" s="6">
        <v>0</v>
      </c>
      <c r="Q262" s="4" t="s">
        <v>26</v>
      </c>
      <c r="R262" s="4">
        <v>0</v>
      </c>
      <c r="S262" s="4">
        <v>0</v>
      </c>
      <c r="T262" s="4">
        <v>31</v>
      </c>
      <c r="U262" s="4">
        <v>72</v>
      </c>
      <c r="V262" s="6">
        <f>IF(ISERROR(VLOOKUP($S$262,'TAR FIN'!$A$1:$O$103,15,0)),0,VLOOKUP($S$262,'TAR FIN'!$A$1:$O$103,15,0))</f>
        <v>0</v>
      </c>
      <c r="W262" s="6">
        <f>IF(ISERROR(VLOOKUP($T$262,'TAR FIN'!$A$1:$O$103,15,0)),0,VLOOKUP($T$262,'TAR FIN'!$A$1:$O$103,15,0))</f>
        <v>105.1</v>
      </c>
      <c r="X262" s="6">
        <f>IF(ISERROR(VLOOKUP($U$262,'TAR FIN'!$A$1:$O$103,15,0)),0,VLOOKUP($U$262,'TAR FIN'!$A$1:$O$103,15,0))</f>
        <v>89.31</v>
      </c>
      <c r="Y262" s="6"/>
      <c r="Z262" s="6">
        <f ca="1">('TUSD BE'!$AM$33+'TUSD BF'!$AM$33+'TUSD CVA'!$AM$33-('TUSD BE'!$P$33+'TUSD BF'!$P$33+'TUSD CVA'!$P$33)-('TUSD BE'!$Q$33+'TUSD BF'!$Q$33+'TUSD CVA'!$Q$33)-('TUSD BE'!$R$33+'TUSD BF'!$R$33+'TUSD CVA'!$R$33))*(1-CUSTOS!$M$34)</f>
        <v>114.99996794908552</v>
      </c>
      <c r="AA262" s="6">
        <f>('TE BE'!$AB$14+'TE BF'!$AB$14+'TE CVA'!$AB$14)*(1-CUSTOS!$M$34)</f>
        <v>81.908317187687473</v>
      </c>
      <c r="AB262" s="6">
        <f t="shared" si="18"/>
        <v>0</v>
      </c>
      <c r="AC262" s="6">
        <f>(L262-M262)*(W262+X262)+($W$291+$X$291-$W$262-$X$262)*(L262)</f>
        <v>10.831799999999999</v>
      </c>
      <c r="AD262" s="6">
        <f t="shared" si="19"/>
        <v>0</v>
      </c>
      <c r="AE262" s="6">
        <f ca="1">(L262-M262)*(Z262+AA262)+($Z$291+$AA$291-$Z$262-$AA$262)*(L262)</f>
        <v>10.970604457620208</v>
      </c>
      <c r="AF262" s="4" t="s">
        <v>816</v>
      </c>
    </row>
    <row r="263" spans="1:32" ht="11.25" customHeight="1" x14ac:dyDescent="0.3">
      <c r="A263" s="4" t="s">
        <v>21</v>
      </c>
      <c r="B263" s="4" t="s">
        <v>22</v>
      </c>
      <c r="C263" s="4" t="s">
        <v>23</v>
      </c>
      <c r="D263" s="4" t="s">
        <v>24</v>
      </c>
      <c r="E263" s="4" t="s">
        <v>30</v>
      </c>
      <c r="F263" s="4" t="s">
        <v>25</v>
      </c>
      <c r="G263" s="4" t="s">
        <v>25</v>
      </c>
      <c r="H263" s="4" t="s">
        <v>25</v>
      </c>
      <c r="I263" s="5">
        <v>44501</v>
      </c>
      <c r="J263" s="6">
        <v>0</v>
      </c>
      <c r="K263" s="6">
        <v>0</v>
      </c>
      <c r="L263" s="6">
        <v>153.358</v>
      </c>
      <c r="M263" s="6">
        <v>153.358</v>
      </c>
      <c r="N263" s="6">
        <v>153.358</v>
      </c>
      <c r="O263" s="6">
        <v>153.358</v>
      </c>
      <c r="P263" s="6">
        <v>651</v>
      </c>
      <c r="Q263" s="4" t="s">
        <v>26</v>
      </c>
      <c r="R263" s="4">
        <v>0</v>
      </c>
      <c r="S263" s="4">
        <v>0</v>
      </c>
      <c r="T263" s="4">
        <v>32</v>
      </c>
      <c r="U263" s="4">
        <v>73</v>
      </c>
      <c r="V263" s="6">
        <f>IF(ISERROR(VLOOKUP($S$263,'TAR FIN'!$A$1:$O$103,15,0)),0,VLOOKUP($S$263,'TAR FIN'!$A$1:$O$103,15,0))</f>
        <v>0</v>
      </c>
      <c r="W263" s="6">
        <f>IF(ISERROR(VLOOKUP($T$263,'TAR FIN'!$A$1:$O$103,15,0)),0,VLOOKUP($T$263,'TAR FIN'!$A$1:$O$103,15,0))</f>
        <v>180.18</v>
      </c>
      <c r="X263" s="6">
        <f>IF(ISERROR(VLOOKUP($U$263,'TAR FIN'!$A$1:$O$103,15,0)),0,VLOOKUP($U$263,'TAR FIN'!$A$1:$O$103,15,0))</f>
        <v>153.1</v>
      </c>
      <c r="Y263" s="6"/>
      <c r="Z263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63" s="6">
        <f>('TE BE'!$AB$15+'TE BF'!$AB$15+'TE CVA'!$AB$15)*(1-CUSTOS!$M$35)</f>
        <v>140.41425803603568</v>
      </c>
      <c r="AB263" s="6">
        <f t="shared" si="18"/>
        <v>0</v>
      </c>
      <c r="AC263" s="6">
        <f>(L263-M263)*(W263+X263)+($W$291+$X$291-$W$263-$X$263)*(L263)</f>
        <v>34074.614020000008</v>
      </c>
      <c r="AD263" s="6">
        <f t="shared" si="19"/>
        <v>0</v>
      </c>
      <c r="AE263" s="6">
        <f ca="1">(L263-M263)*(Z263+AA263)+($Z$291+$AA$291-$Z$263-$AA$263)*(L263)</f>
        <v>34511.383762291691</v>
      </c>
      <c r="AF263" s="4" t="s">
        <v>816</v>
      </c>
    </row>
    <row r="264" spans="1:32" ht="11.25" customHeight="1" x14ac:dyDescent="0.3">
      <c r="A264" s="4" t="s">
        <v>21</v>
      </c>
      <c r="B264" s="4" t="s">
        <v>22</v>
      </c>
      <c r="C264" s="4" t="s">
        <v>23</v>
      </c>
      <c r="D264" s="4" t="s">
        <v>24</v>
      </c>
      <c r="E264" s="4" t="s">
        <v>30</v>
      </c>
      <c r="F264" s="4" t="s">
        <v>25</v>
      </c>
      <c r="G264" s="4" t="s">
        <v>25</v>
      </c>
      <c r="H264" s="4" t="s">
        <v>25</v>
      </c>
      <c r="I264" s="5">
        <v>44531</v>
      </c>
      <c r="J264" s="6">
        <v>0</v>
      </c>
      <c r="K264" s="6">
        <v>0</v>
      </c>
      <c r="L264" s="6">
        <v>158.65600000000001</v>
      </c>
      <c r="M264" s="6">
        <v>158.65600000000001</v>
      </c>
      <c r="N264" s="6">
        <v>158.65600000000001</v>
      </c>
      <c r="O264" s="6">
        <v>158.65600000000001</v>
      </c>
      <c r="P264" s="6">
        <v>681</v>
      </c>
      <c r="Q264" s="4" t="s">
        <v>26</v>
      </c>
      <c r="R264" s="4">
        <v>0</v>
      </c>
      <c r="S264" s="4">
        <v>0</v>
      </c>
      <c r="T264" s="4">
        <v>32</v>
      </c>
      <c r="U264" s="4">
        <v>73</v>
      </c>
      <c r="V264" s="6">
        <f>IF(ISERROR(VLOOKUP($S$264,'TAR FIN'!$A$1:$O$103,15,0)),0,VLOOKUP($S$264,'TAR FIN'!$A$1:$O$103,15,0))</f>
        <v>0</v>
      </c>
      <c r="W264" s="6">
        <f>IF(ISERROR(VLOOKUP($T$264,'TAR FIN'!$A$1:$O$103,15,0)),0,VLOOKUP($T$264,'TAR FIN'!$A$1:$O$103,15,0))</f>
        <v>180.18</v>
      </c>
      <c r="X264" s="6">
        <f>IF(ISERROR(VLOOKUP($U$264,'TAR FIN'!$A$1:$O$103,15,0)),0,VLOOKUP($U$264,'TAR FIN'!$A$1:$O$103,15,0))</f>
        <v>153.1</v>
      </c>
      <c r="Y264" s="6"/>
      <c r="Z264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64" s="6">
        <f>('TE BE'!$AB$15+'TE BF'!$AB$15+'TE CVA'!$AB$15)*(1-CUSTOS!$M$35)</f>
        <v>140.41425803603568</v>
      </c>
      <c r="AB264" s="6">
        <f t="shared" si="18"/>
        <v>0</v>
      </c>
      <c r="AC264" s="6">
        <f>(L264-M264)*(W264+X264)+($W$291+$X$291-$W$264-$X$264)*(L264)</f>
        <v>35251.776640000004</v>
      </c>
      <c r="AD264" s="6">
        <f t="shared" si="19"/>
        <v>0</v>
      </c>
      <c r="AE264" s="6">
        <f ca="1">(L264-M264)*(Z264+AA264)+($Z$291+$AA$291-$Z$264-$AA$264)*(L264)</f>
        <v>35703.635299039837</v>
      </c>
      <c r="AF264" s="4" t="s">
        <v>816</v>
      </c>
    </row>
    <row r="265" spans="1:32" ht="11.25" customHeight="1" x14ac:dyDescent="0.3">
      <c r="A265" s="4" t="s">
        <v>21</v>
      </c>
      <c r="B265" s="4" t="s">
        <v>22</v>
      </c>
      <c r="C265" s="4" t="s">
        <v>23</v>
      </c>
      <c r="D265" s="4" t="s">
        <v>24</v>
      </c>
      <c r="E265" s="4" t="s">
        <v>30</v>
      </c>
      <c r="F265" s="4" t="s">
        <v>25</v>
      </c>
      <c r="G265" s="4" t="s">
        <v>25</v>
      </c>
      <c r="H265" s="4" t="s">
        <v>25</v>
      </c>
      <c r="I265" s="5">
        <v>44562</v>
      </c>
      <c r="J265" s="6">
        <v>0</v>
      </c>
      <c r="K265" s="6">
        <v>0</v>
      </c>
      <c r="L265" s="6">
        <v>164.26400000000001</v>
      </c>
      <c r="M265" s="6">
        <v>164.26400000000001</v>
      </c>
      <c r="N265" s="6">
        <v>164.26400000000001</v>
      </c>
      <c r="O265" s="6">
        <v>164.26400000000001</v>
      </c>
      <c r="P265" s="6">
        <v>674</v>
      </c>
      <c r="Q265" s="4" t="s">
        <v>26</v>
      </c>
      <c r="R265" s="4">
        <v>0</v>
      </c>
      <c r="S265" s="4">
        <v>0</v>
      </c>
      <c r="T265" s="4">
        <v>32</v>
      </c>
      <c r="U265" s="4">
        <v>73</v>
      </c>
      <c r="V265" s="6">
        <f>IF(ISERROR(VLOOKUP($S$265,'TAR FIN'!$A$1:$O$103,15,0)),0,VLOOKUP($S$265,'TAR FIN'!$A$1:$O$103,15,0))</f>
        <v>0</v>
      </c>
      <c r="W265" s="6">
        <f>IF(ISERROR(VLOOKUP($T$265,'TAR FIN'!$A$1:$O$103,15,0)),0,VLOOKUP($T$265,'TAR FIN'!$A$1:$O$103,15,0))</f>
        <v>180.18</v>
      </c>
      <c r="X265" s="6">
        <f>IF(ISERROR(VLOOKUP($U$265,'TAR FIN'!$A$1:$O$103,15,0)),0,VLOOKUP($U$265,'TAR FIN'!$A$1:$O$103,15,0))</f>
        <v>153.1</v>
      </c>
      <c r="Y265" s="6"/>
      <c r="Z265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65" s="6">
        <f>('TE BE'!$AB$15+'TE BF'!$AB$15+'TE CVA'!$AB$15)*(1-CUSTOS!$M$35)</f>
        <v>140.41425803603568</v>
      </c>
      <c r="AB265" s="6">
        <f t="shared" si="18"/>
        <v>0</v>
      </c>
      <c r="AC265" s="6">
        <f>(L265-M265)*(W265+X265)+($W$291+$X$291-$W$265-$X$265)*(L265)</f>
        <v>36497.81816000001</v>
      </c>
      <c r="AD265" s="6">
        <f t="shared" si="19"/>
        <v>0</v>
      </c>
      <c r="AE265" s="6">
        <f ca="1">(L265-M265)*(Z265+AA265)+($Z$291+$AA$291-$Z$265-$AA$265)*(L265)</f>
        <v>36965.648628236435</v>
      </c>
      <c r="AF265" s="4" t="s">
        <v>816</v>
      </c>
    </row>
    <row r="266" spans="1:32" ht="11.25" customHeight="1" x14ac:dyDescent="0.3">
      <c r="A266" s="4" t="s">
        <v>21</v>
      </c>
      <c r="B266" s="4" t="s">
        <v>22</v>
      </c>
      <c r="C266" s="4" t="s">
        <v>23</v>
      </c>
      <c r="D266" s="4" t="s">
        <v>24</v>
      </c>
      <c r="E266" s="4" t="s">
        <v>30</v>
      </c>
      <c r="F266" s="4" t="s">
        <v>25</v>
      </c>
      <c r="G266" s="4" t="s">
        <v>25</v>
      </c>
      <c r="H266" s="4" t="s">
        <v>25</v>
      </c>
      <c r="I266" s="5">
        <v>44593</v>
      </c>
      <c r="J266" s="6">
        <v>0</v>
      </c>
      <c r="K266" s="6">
        <v>0</v>
      </c>
      <c r="L266" s="6">
        <v>168.87899999999999</v>
      </c>
      <c r="M266" s="6">
        <v>168.87899999999999</v>
      </c>
      <c r="N266" s="6">
        <v>168.87899999999999</v>
      </c>
      <c r="O266" s="6">
        <v>168.87899999999999</v>
      </c>
      <c r="P266" s="6">
        <v>701</v>
      </c>
      <c r="Q266" s="4" t="s">
        <v>26</v>
      </c>
      <c r="R266" s="4">
        <v>0</v>
      </c>
      <c r="S266" s="4">
        <v>0</v>
      </c>
      <c r="T266" s="4">
        <v>32</v>
      </c>
      <c r="U266" s="4">
        <v>73</v>
      </c>
      <c r="V266" s="6">
        <f>IF(ISERROR(VLOOKUP($S$266,'TAR FIN'!$A$1:$O$103,15,0)),0,VLOOKUP($S$266,'TAR FIN'!$A$1:$O$103,15,0))</f>
        <v>0</v>
      </c>
      <c r="W266" s="6">
        <f>IF(ISERROR(VLOOKUP($T$266,'TAR FIN'!$A$1:$O$103,15,0)),0,VLOOKUP($T$266,'TAR FIN'!$A$1:$O$103,15,0))</f>
        <v>180.18</v>
      </c>
      <c r="X266" s="6">
        <f>IF(ISERROR(VLOOKUP($U$266,'TAR FIN'!$A$1:$O$103,15,0)),0,VLOOKUP($U$266,'TAR FIN'!$A$1:$O$103,15,0))</f>
        <v>153.1</v>
      </c>
      <c r="Y266" s="6"/>
      <c r="Z266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66" s="6">
        <f>('TE BE'!$AB$15+'TE BF'!$AB$15+'TE CVA'!$AB$15)*(1-CUSTOS!$M$35)</f>
        <v>140.41425803603568</v>
      </c>
      <c r="AB266" s="6">
        <f t="shared" si="18"/>
        <v>0</v>
      </c>
      <c r="AC266" s="6">
        <f>(L266-M266)*(W266+X266)+($W$291+$X$291-$W$266-$X$266)*(L266)</f>
        <v>37523.225010000002</v>
      </c>
      <c r="AD266" s="6">
        <f t="shared" si="19"/>
        <v>0</v>
      </c>
      <c r="AE266" s="6">
        <f ca="1">(L266-M266)*(Z266+AA266)+($Z$291+$AA$291-$Z$266-$AA$266)*(L266)</f>
        <v>38004.199183557808</v>
      </c>
      <c r="AF266" s="4" t="s">
        <v>816</v>
      </c>
    </row>
    <row r="267" spans="1:32" ht="11.25" customHeight="1" x14ac:dyDescent="0.3">
      <c r="A267" s="4" t="s">
        <v>21</v>
      </c>
      <c r="B267" s="4" t="s">
        <v>22</v>
      </c>
      <c r="C267" s="4" t="s">
        <v>23</v>
      </c>
      <c r="D267" s="4" t="s">
        <v>24</v>
      </c>
      <c r="E267" s="4" t="s">
        <v>30</v>
      </c>
      <c r="F267" s="4" t="s">
        <v>25</v>
      </c>
      <c r="G267" s="4" t="s">
        <v>25</v>
      </c>
      <c r="H267" s="4" t="s">
        <v>25</v>
      </c>
      <c r="I267" s="5">
        <v>44621</v>
      </c>
      <c r="J267" s="6">
        <v>0</v>
      </c>
      <c r="K267" s="6">
        <v>0</v>
      </c>
      <c r="L267" s="6">
        <v>173.79900000000001</v>
      </c>
      <c r="M267" s="6">
        <v>173.79900000000001</v>
      </c>
      <c r="N267" s="6">
        <v>173.79900000000001</v>
      </c>
      <c r="O267" s="6">
        <v>173.79900000000001</v>
      </c>
      <c r="P267" s="6">
        <v>871</v>
      </c>
      <c r="Q267" s="4" t="s">
        <v>26</v>
      </c>
      <c r="R267" s="4">
        <v>0</v>
      </c>
      <c r="S267" s="4">
        <v>0</v>
      </c>
      <c r="T267" s="4">
        <v>32</v>
      </c>
      <c r="U267" s="4">
        <v>73</v>
      </c>
      <c r="V267" s="6">
        <f>IF(ISERROR(VLOOKUP($S$267,'TAR FIN'!$A$1:$O$103,15,0)),0,VLOOKUP($S$267,'TAR FIN'!$A$1:$O$103,15,0))</f>
        <v>0</v>
      </c>
      <c r="W267" s="6">
        <f>IF(ISERROR(VLOOKUP($T$267,'TAR FIN'!$A$1:$O$103,15,0)),0,VLOOKUP($T$267,'TAR FIN'!$A$1:$O$103,15,0))</f>
        <v>180.18</v>
      </c>
      <c r="X267" s="6">
        <f>IF(ISERROR(VLOOKUP($U$267,'TAR FIN'!$A$1:$O$103,15,0)),0,VLOOKUP($U$267,'TAR FIN'!$A$1:$O$103,15,0))</f>
        <v>153.1</v>
      </c>
      <c r="Y267" s="6"/>
      <c r="Z267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67" s="6">
        <f>('TE BE'!$AB$15+'TE BF'!$AB$15+'TE CVA'!$AB$15)*(1-CUSTOS!$M$35)</f>
        <v>140.41425803603568</v>
      </c>
      <c r="AB267" s="6">
        <f t="shared" si="18"/>
        <v>0</v>
      </c>
      <c r="AC267" s="6">
        <f>(L267-M267)*(W267+X267)+($W$291+$X$291-$W$267-$X$267)*(L267)</f>
        <v>38616.399810000003</v>
      </c>
      <c r="AD267" s="6">
        <f t="shared" si="19"/>
        <v>0</v>
      </c>
      <c r="AE267" s="6">
        <f ca="1">(L267-M267)*(Z267+AA267)+($Z$291+$AA$291-$Z$267-$AA$267)*(L267)</f>
        <v>39111.386341126869</v>
      </c>
      <c r="AF267" s="4" t="s">
        <v>816</v>
      </c>
    </row>
    <row r="268" spans="1:32" ht="11.25" customHeight="1" x14ac:dyDescent="0.3">
      <c r="A268" s="4" t="s">
        <v>21</v>
      </c>
      <c r="B268" s="4" t="s">
        <v>22</v>
      </c>
      <c r="C268" s="4" t="s">
        <v>23</v>
      </c>
      <c r="D268" s="4" t="s">
        <v>24</v>
      </c>
      <c r="E268" s="4" t="s">
        <v>30</v>
      </c>
      <c r="F268" s="4" t="s">
        <v>25</v>
      </c>
      <c r="G268" s="4" t="s">
        <v>25</v>
      </c>
      <c r="H268" s="4" t="s">
        <v>25</v>
      </c>
      <c r="I268" s="5">
        <v>44652</v>
      </c>
      <c r="J268" s="6">
        <v>0</v>
      </c>
      <c r="K268" s="6">
        <v>0</v>
      </c>
      <c r="L268" s="6">
        <v>202.85900000000001</v>
      </c>
      <c r="M268" s="6">
        <v>202.85900000000001</v>
      </c>
      <c r="N268" s="6">
        <v>202.85900000000001</v>
      </c>
      <c r="O268" s="6">
        <v>202.85900000000001</v>
      </c>
      <c r="P268" s="6">
        <v>739</v>
      </c>
      <c r="Q268" s="4" t="s">
        <v>26</v>
      </c>
      <c r="R268" s="4">
        <v>0</v>
      </c>
      <c r="S268" s="4">
        <v>0</v>
      </c>
      <c r="T268" s="4">
        <v>32</v>
      </c>
      <c r="U268" s="4">
        <v>73</v>
      </c>
      <c r="V268" s="6">
        <f>IF(ISERROR(VLOOKUP($S$268,'TAR FIN'!$A$1:$O$103,15,0)),0,VLOOKUP($S$268,'TAR FIN'!$A$1:$O$103,15,0))</f>
        <v>0</v>
      </c>
      <c r="W268" s="6">
        <f>IF(ISERROR(VLOOKUP($T$268,'TAR FIN'!$A$1:$O$103,15,0)),0,VLOOKUP($T$268,'TAR FIN'!$A$1:$O$103,15,0))</f>
        <v>180.18</v>
      </c>
      <c r="X268" s="6">
        <f>IF(ISERROR(VLOOKUP($U$268,'TAR FIN'!$A$1:$O$103,15,0)),0,VLOOKUP($U$268,'TAR FIN'!$A$1:$O$103,15,0))</f>
        <v>153.1</v>
      </c>
      <c r="Y268" s="6"/>
      <c r="Z268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68" s="6">
        <f>('TE BE'!$AB$15+'TE BF'!$AB$15+'TE CVA'!$AB$15)*(1-CUSTOS!$M$35)</f>
        <v>140.41425803603568</v>
      </c>
      <c r="AB268" s="6">
        <f t="shared" si="18"/>
        <v>0</v>
      </c>
      <c r="AC268" s="6">
        <f>(L268-M268)*(W268+X268)+($W$291+$X$291-$W$268-$X$268)*(L268)</f>
        <v>45073.241210000007</v>
      </c>
      <c r="AD268" s="6">
        <f t="shared" si="19"/>
        <v>0</v>
      </c>
      <c r="AE268" s="6">
        <f ca="1">(L268-M268)*(Z268+AA268)+($Z$291+$AA$291-$Z$268-$AA$268)*(L268)</f>
        <v>45650.991788069296</v>
      </c>
      <c r="AF268" s="4" t="s">
        <v>816</v>
      </c>
    </row>
    <row r="269" spans="1:32" ht="11.25" customHeight="1" x14ac:dyDescent="0.3">
      <c r="A269" s="4" t="s">
        <v>21</v>
      </c>
      <c r="B269" s="4" t="s">
        <v>22</v>
      </c>
      <c r="C269" s="4" t="s">
        <v>23</v>
      </c>
      <c r="D269" s="4" t="s">
        <v>24</v>
      </c>
      <c r="E269" s="4" t="s">
        <v>30</v>
      </c>
      <c r="F269" s="4" t="s">
        <v>25</v>
      </c>
      <c r="G269" s="4" t="s">
        <v>25</v>
      </c>
      <c r="H269" s="4" t="s">
        <v>25</v>
      </c>
      <c r="I269" s="5">
        <v>44682</v>
      </c>
      <c r="J269" s="6">
        <v>0</v>
      </c>
      <c r="K269" s="6">
        <v>0</v>
      </c>
      <c r="L269" s="6">
        <v>215.45599999999999</v>
      </c>
      <c r="M269" s="6">
        <v>215.45599999999999</v>
      </c>
      <c r="N269" s="6">
        <v>215.45599999999999</v>
      </c>
      <c r="O269" s="6">
        <v>215.45599999999999</v>
      </c>
      <c r="P269" s="6">
        <v>953</v>
      </c>
      <c r="Q269" s="4" t="s">
        <v>26</v>
      </c>
      <c r="R269" s="4">
        <v>0</v>
      </c>
      <c r="S269" s="4">
        <v>0</v>
      </c>
      <c r="T269" s="4">
        <v>32</v>
      </c>
      <c r="U269" s="4">
        <v>73</v>
      </c>
      <c r="V269" s="6">
        <f>IF(ISERROR(VLOOKUP($S$269,'TAR FIN'!$A$1:$O$103,15,0)),0,VLOOKUP($S$269,'TAR FIN'!$A$1:$O$103,15,0))</f>
        <v>0</v>
      </c>
      <c r="W269" s="6">
        <f>IF(ISERROR(VLOOKUP($T$269,'TAR FIN'!$A$1:$O$103,15,0)),0,VLOOKUP($T$269,'TAR FIN'!$A$1:$O$103,15,0))</f>
        <v>180.18</v>
      </c>
      <c r="X269" s="6">
        <f>IF(ISERROR(VLOOKUP($U$269,'TAR FIN'!$A$1:$O$103,15,0)),0,VLOOKUP($U$269,'TAR FIN'!$A$1:$O$103,15,0))</f>
        <v>153.1</v>
      </c>
      <c r="Y269" s="6"/>
      <c r="Z269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69" s="6">
        <f>('TE BE'!$AB$15+'TE BF'!$AB$15+'TE CVA'!$AB$15)*(1-CUSTOS!$M$35)</f>
        <v>140.41425803603568</v>
      </c>
      <c r="AB269" s="6">
        <f t="shared" si="18"/>
        <v>0</v>
      </c>
      <c r="AC269" s="6">
        <f>(L269-M269)*(W269+X269)+($W$291+$X$291-$W$269-$X$269)*(L269)</f>
        <v>47872.168640000004</v>
      </c>
      <c r="AD269" s="6">
        <f t="shared" si="19"/>
        <v>0</v>
      </c>
      <c r="AE269" s="6">
        <f ca="1">(L269-M269)*(Z269+AA269)+($Z$291+$AA$291-$Z$269-$AA$269)*(L269)</f>
        <v>48485.795979918352</v>
      </c>
      <c r="AF269" s="4" t="s">
        <v>816</v>
      </c>
    </row>
    <row r="270" spans="1:32" ht="11.25" customHeight="1" x14ac:dyDescent="0.3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30</v>
      </c>
      <c r="F270" s="4" t="s">
        <v>25</v>
      </c>
      <c r="G270" s="4" t="s">
        <v>25</v>
      </c>
      <c r="H270" s="4" t="s">
        <v>25</v>
      </c>
      <c r="I270" s="5">
        <v>44713</v>
      </c>
      <c r="J270" s="6">
        <v>0</v>
      </c>
      <c r="K270" s="6">
        <v>0</v>
      </c>
      <c r="L270" s="6">
        <v>200.75899999999999</v>
      </c>
      <c r="M270" s="6">
        <v>200.75899999999999</v>
      </c>
      <c r="N270" s="6">
        <v>200.75899999999999</v>
      </c>
      <c r="O270" s="6">
        <v>200.75899999999999</v>
      </c>
      <c r="P270" s="6">
        <v>1051</v>
      </c>
      <c r="Q270" s="4" t="s">
        <v>26</v>
      </c>
      <c r="R270" s="4">
        <v>0</v>
      </c>
      <c r="S270" s="4">
        <v>0</v>
      </c>
      <c r="T270" s="4">
        <v>32</v>
      </c>
      <c r="U270" s="4">
        <v>73</v>
      </c>
      <c r="V270" s="6">
        <f>IF(ISERROR(VLOOKUP($S$270,'TAR FIN'!$A$1:$O$103,15,0)),0,VLOOKUP($S$270,'TAR FIN'!$A$1:$O$103,15,0))</f>
        <v>0</v>
      </c>
      <c r="W270" s="6">
        <f>IF(ISERROR(VLOOKUP($T$270,'TAR FIN'!$A$1:$O$103,15,0)),0,VLOOKUP($T$270,'TAR FIN'!$A$1:$O$103,15,0))</f>
        <v>180.18</v>
      </c>
      <c r="X270" s="6">
        <f>IF(ISERROR(VLOOKUP($U$270,'TAR FIN'!$A$1:$O$103,15,0)),0,VLOOKUP($U$270,'TAR FIN'!$A$1:$O$103,15,0))</f>
        <v>153.1</v>
      </c>
      <c r="Y270" s="6"/>
      <c r="Z270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70" s="6">
        <f>('TE BE'!$AB$15+'TE BF'!$AB$15+'TE CVA'!$AB$15)*(1-CUSTOS!$M$35)</f>
        <v>140.41425803603568</v>
      </c>
      <c r="AB270" s="6">
        <f t="shared" si="18"/>
        <v>0</v>
      </c>
      <c r="AC270" s="6">
        <f>(L270-M270)*(W270+X270)+($W$291+$X$291-$W$270-$X$270)*(L270)</f>
        <v>44606.642210000005</v>
      </c>
      <c r="AD270" s="6">
        <f t="shared" si="19"/>
        <v>0</v>
      </c>
      <c r="AE270" s="6">
        <f ca="1">(L270-M270)*(Z270+AA270)+($Z$291+$AA$291-$Z$270-$AA$270)*(L270)</f>
        <v>45178.411903741035</v>
      </c>
      <c r="AF270" s="4" t="s">
        <v>816</v>
      </c>
    </row>
    <row r="271" spans="1:32" ht="11.25" customHeight="1" x14ac:dyDescent="0.3">
      <c r="A271" s="4" t="s">
        <v>21</v>
      </c>
      <c r="B271" s="4" t="s">
        <v>22</v>
      </c>
      <c r="C271" s="4" t="s">
        <v>23</v>
      </c>
      <c r="D271" s="4" t="s">
        <v>24</v>
      </c>
      <c r="E271" s="4" t="s">
        <v>30</v>
      </c>
      <c r="F271" s="4" t="s">
        <v>25</v>
      </c>
      <c r="G271" s="4" t="s">
        <v>25</v>
      </c>
      <c r="H271" s="4" t="s">
        <v>25</v>
      </c>
      <c r="I271" s="5">
        <v>44743</v>
      </c>
      <c r="J271" s="6">
        <v>0</v>
      </c>
      <c r="K271" s="6">
        <v>0</v>
      </c>
      <c r="L271" s="6">
        <v>204.48699999999999</v>
      </c>
      <c r="M271" s="6">
        <v>204.48699999999999</v>
      </c>
      <c r="N271" s="6">
        <v>204.48699999999999</v>
      </c>
      <c r="O271" s="6">
        <v>204.48699999999999</v>
      </c>
      <c r="P271" s="6">
        <v>950</v>
      </c>
      <c r="Q271" s="4" t="s">
        <v>26</v>
      </c>
      <c r="R271" s="4">
        <v>0</v>
      </c>
      <c r="S271" s="4">
        <v>0</v>
      </c>
      <c r="T271" s="4">
        <v>32</v>
      </c>
      <c r="U271" s="4">
        <v>73</v>
      </c>
      <c r="V271" s="6">
        <f>IF(ISERROR(VLOOKUP($S$271,'TAR FIN'!$A$1:$O$103,15,0)),0,VLOOKUP($S$271,'TAR FIN'!$A$1:$O$103,15,0))</f>
        <v>0</v>
      </c>
      <c r="W271" s="6">
        <f>IF(ISERROR(VLOOKUP($T$271,'TAR FIN'!$A$1:$O$103,15,0)),0,VLOOKUP($T$271,'TAR FIN'!$A$1:$O$103,15,0))</f>
        <v>180.18</v>
      </c>
      <c r="X271" s="6">
        <f>IF(ISERROR(VLOOKUP($U$271,'TAR FIN'!$A$1:$O$103,15,0)),0,VLOOKUP($U$271,'TAR FIN'!$A$1:$O$103,15,0))</f>
        <v>153.1</v>
      </c>
      <c r="Y271" s="6"/>
      <c r="Z271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71" s="6">
        <f>('TE BE'!$AB$15+'TE BF'!$AB$15+'TE CVA'!$AB$15)*(1-CUSTOS!$M$35)</f>
        <v>140.41425803603568</v>
      </c>
      <c r="AB271" s="6">
        <f t="shared" si="18"/>
        <v>0</v>
      </c>
      <c r="AC271" s="6">
        <f>(L271-M271)*(W271+X271)+($W$291+$X$291-$W$271-$X$271)*(L271)</f>
        <v>45434.966530000005</v>
      </c>
      <c r="AD271" s="6">
        <f t="shared" si="19"/>
        <v>0</v>
      </c>
      <c r="AE271" s="6">
        <f ca="1">(L271-M271)*(Z271+AA271)+($Z$291+$AA$291-$Z$271-$AA$271)*(L271)</f>
        <v>46017.353717443766</v>
      </c>
      <c r="AF271" s="4" t="s">
        <v>816</v>
      </c>
    </row>
    <row r="272" spans="1:32" ht="11.25" customHeight="1" x14ac:dyDescent="0.3">
      <c r="A272" s="4" t="s">
        <v>21</v>
      </c>
      <c r="B272" s="4" t="s">
        <v>22</v>
      </c>
      <c r="C272" s="4" t="s">
        <v>23</v>
      </c>
      <c r="D272" s="4" t="s">
        <v>24</v>
      </c>
      <c r="E272" s="4" t="s">
        <v>30</v>
      </c>
      <c r="F272" s="4" t="s">
        <v>25</v>
      </c>
      <c r="G272" s="4" t="s">
        <v>25</v>
      </c>
      <c r="H272" s="4" t="s">
        <v>25</v>
      </c>
      <c r="I272" s="5">
        <v>44774</v>
      </c>
      <c r="J272" s="6">
        <v>0</v>
      </c>
      <c r="K272" s="6">
        <v>0</v>
      </c>
      <c r="L272" s="6">
        <v>199.404</v>
      </c>
      <c r="M272" s="6">
        <v>199.404</v>
      </c>
      <c r="N272" s="6">
        <v>199.404</v>
      </c>
      <c r="O272" s="6">
        <v>199.404</v>
      </c>
      <c r="P272" s="6">
        <v>1039</v>
      </c>
      <c r="Q272" s="4" t="s">
        <v>26</v>
      </c>
      <c r="R272" s="4">
        <v>0</v>
      </c>
      <c r="S272" s="4">
        <v>0</v>
      </c>
      <c r="T272" s="4">
        <v>32</v>
      </c>
      <c r="U272" s="4">
        <v>73</v>
      </c>
      <c r="V272" s="6">
        <f>IF(ISERROR(VLOOKUP($S$272,'TAR FIN'!$A$1:$O$103,15,0)),0,VLOOKUP($S$272,'TAR FIN'!$A$1:$O$103,15,0))</f>
        <v>0</v>
      </c>
      <c r="W272" s="6">
        <f>IF(ISERROR(VLOOKUP($T$272,'TAR FIN'!$A$1:$O$103,15,0)),0,VLOOKUP($T$272,'TAR FIN'!$A$1:$O$103,15,0))</f>
        <v>180.18</v>
      </c>
      <c r="X272" s="6">
        <f>IF(ISERROR(VLOOKUP($U$272,'TAR FIN'!$A$1:$O$103,15,0)),0,VLOOKUP($U$272,'TAR FIN'!$A$1:$O$103,15,0))</f>
        <v>153.1</v>
      </c>
      <c r="Y272" s="6"/>
      <c r="Z272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72" s="6">
        <f>('TE BE'!$AB$15+'TE BF'!$AB$15+'TE CVA'!$AB$15)*(1-CUSTOS!$M$35)</f>
        <v>140.41425803603568</v>
      </c>
      <c r="AB272" s="6">
        <f t="shared" si="18"/>
        <v>0</v>
      </c>
      <c r="AC272" s="6">
        <f>(L272-M272)*(W272+X272)+($W$291+$X$291-$W$272-$X$272)*(L272)</f>
        <v>44305.574760000003</v>
      </c>
      <c r="AD272" s="6">
        <f t="shared" si="19"/>
        <v>0</v>
      </c>
      <c r="AE272" s="6">
        <f ca="1">(L272-M272)*(Z272+AA272)+($Z$291+$AA$291-$Z$272-$AA$272)*(L272)</f>
        <v>44873.485359329236</v>
      </c>
      <c r="AF272" s="4" t="s">
        <v>816</v>
      </c>
    </row>
    <row r="273" spans="1:32" ht="11.25" customHeight="1" x14ac:dyDescent="0.3">
      <c r="A273" s="4" t="s">
        <v>21</v>
      </c>
      <c r="B273" s="4" t="s">
        <v>22</v>
      </c>
      <c r="C273" s="4" t="s">
        <v>23</v>
      </c>
      <c r="D273" s="4" t="s">
        <v>24</v>
      </c>
      <c r="E273" s="4" t="s">
        <v>30</v>
      </c>
      <c r="F273" s="4" t="s">
        <v>25</v>
      </c>
      <c r="G273" s="4" t="s">
        <v>25</v>
      </c>
      <c r="H273" s="4" t="s">
        <v>25</v>
      </c>
      <c r="I273" s="5">
        <v>44805</v>
      </c>
      <c r="J273" s="6">
        <v>0</v>
      </c>
      <c r="K273" s="6">
        <v>0</v>
      </c>
      <c r="L273" s="6">
        <v>210.48099999999999</v>
      </c>
      <c r="M273" s="6">
        <v>210.48099999999999</v>
      </c>
      <c r="N273" s="6">
        <v>210.48099999999999</v>
      </c>
      <c r="O273" s="6">
        <v>210.48099999999999</v>
      </c>
      <c r="P273" s="6">
        <v>753</v>
      </c>
      <c r="Q273" s="4" t="s">
        <v>26</v>
      </c>
      <c r="R273" s="4">
        <v>0</v>
      </c>
      <c r="S273" s="4">
        <v>0</v>
      </c>
      <c r="T273" s="4">
        <v>32</v>
      </c>
      <c r="U273" s="4">
        <v>73</v>
      </c>
      <c r="V273" s="6">
        <f>IF(ISERROR(VLOOKUP($S$273,'TAR FIN'!$A$1:$O$103,15,0)),0,VLOOKUP($S$273,'TAR FIN'!$A$1:$O$103,15,0))</f>
        <v>0</v>
      </c>
      <c r="W273" s="6">
        <f>IF(ISERROR(VLOOKUP($T$273,'TAR FIN'!$A$1:$O$103,15,0)),0,VLOOKUP($T$273,'TAR FIN'!$A$1:$O$103,15,0))</f>
        <v>180.18</v>
      </c>
      <c r="X273" s="6">
        <f>IF(ISERROR(VLOOKUP($U$273,'TAR FIN'!$A$1:$O$103,15,0)),0,VLOOKUP($U$273,'TAR FIN'!$A$1:$O$103,15,0))</f>
        <v>153.1</v>
      </c>
      <c r="Y273" s="6"/>
      <c r="Z273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73" s="6">
        <f>('TE BE'!$AB$15+'TE BF'!$AB$15+'TE CVA'!$AB$15)*(1-CUSTOS!$M$35)</f>
        <v>140.41425803603568</v>
      </c>
      <c r="AB273" s="6">
        <f t="shared" si="18"/>
        <v>0</v>
      </c>
      <c r="AC273" s="6">
        <f>(L273-M273)*(W273+X273)+($W$291+$X$291-$W$273-$X$273)*(L273)</f>
        <v>46766.773390000002</v>
      </c>
      <c r="AD273" s="6">
        <f t="shared" si="19"/>
        <v>0</v>
      </c>
      <c r="AE273" s="6">
        <f ca="1">(L273-M273)*(Z273+AA273)+($Z$291+$AA$291-$Z$273-$AA$273)*(L273)</f>
        <v>47366.231730140702</v>
      </c>
      <c r="AF273" s="4" t="s">
        <v>816</v>
      </c>
    </row>
    <row r="274" spans="1:32" ht="11.25" customHeight="1" x14ac:dyDescent="0.3">
      <c r="A274" s="4" t="s">
        <v>28</v>
      </c>
      <c r="B274" s="4" t="s">
        <v>22</v>
      </c>
      <c r="C274" s="4" t="s">
        <v>23</v>
      </c>
      <c r="D274" s="4" t="s">
        <v>24</v>
      </c>
      <c r="E274" s="4" t="s">
        <v>30</v>
      </c>
      <c r="F274" s="4" t="s">
        <v>25</v>
      </c>
      <c r="G274" s="4" t="s">
        <v>25</v>
      </c>
      <c r="H274" s="4" t="s">
        <v>25</v>
      </c>
      <c r="I274" s="5">
        <v>44805</v>
      </c>
      <c r="J274" s="6">
        <v>0</v>
      </c>
      <c r="K274" s="6">
        <v>0</v>
      </c>
      <c r="L274" s="6">
        <v>7.0000000000000007E-2</v>
      </c>
      <c r="M274" s="6">
        <v>7.0000000000000007E-2</v>
      </c>
      <c r="N274" s="6">
        <v>7.0000000000000007E-2</v>
      </c>
      <c r="O274" s="6">
        <v>7.0000000000000007E-2</v>
      </c>
      <c r="P274" s="6">
        <v>0</v>
      </c>
      <c r="Q274" s="4" t="s">
        <v>26</v>
      </c>
      <c r="R274" s="4">
        <v>0</v>
      </c>
      <c r="S274" s="4">
        <v>0</v>
      </c>
      <c r="T274" s="4">
        <v>32</v>
      </c>
      <c r="U274" s="4">
        <v>73</v>
      </c>
      <c r="V274" s="6">
        <f>IF(ISERROR(VLOOKUP($S$274,'TAR FIN'!$A$1:$O$103,15,0)),0,VLOOKUP($S$274,'TAR FIN'!$A$1:$O$103,15,0))</f>
        <v>0</v>
      </c>
      <c r="W274" s="6">
        <f>IF(ISERROR(VLOOKUP($T$274,'TAR FIN'!$A$1:$O$103,15,0)),0,VLOOKUP($T$274,'TAR FIN'!$A$1:$O$103,15,0))</f>
        <v>180.18</v>
      </c>
      <c r="X274" s="6">
        <f>IF(ISERROR(VLOOKUP($U$274,'TAR FIN'!$A$1:$O$103,15,0)),0,VLOOKUP($U$274,'TAR FIN'!$A$1:$O$103,15,0))</f>
        <v>153.1</v>
      </c>
      <c r="Y274" s="6"/>
      <c r="Z274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74" s="6">
        <f>('TE BE'!$AB$15+'TE BF'!$AB$15+'TE CVA'!$AB$15)*(1-CUSTOS!$M$35)</f>
        <v>140.41425803603568</v>
      </c>
      <c r="AB274" s="6">
        <f t="shared" si="18"/>
        <v>0</v>
      </c>
      <c r="AC274" s="6">
        <f>(L274-M274)*(W274+X274)+($W$291+$X$291-$W$274-$X$274)*(L274)</f>
        <v>15.553300000000004</v>
      </c>
      <c r="AD274" s="6">
        <f t="shared" si="19"/>
        <v>0</v>
      </c>
      <c r="AE274" s="6">
        <f ca="1">(L274-M274)*(Z274+AA274)+($Z$291+$AA$291-$Z$274-$AA$274)*(L274)</f>
        <v>15.752662810941841</v>
      </c>
      <c r="AF274" s="4" t="s">
        <v>816</v>
      </c>
    </row>
    <row r="275" spans="1:32" ht="11.25" customHeight="1" x14ac:dyDescent="0.3">
      <c r="A275" s="4" t="s">
        <v>57</v>
      </c>
      <c r="B275" s="4" t="s">
        <v>22</v>
      </c>
      <c r="C275" s="4" t="s">
        <v>23</v>
      </c>
      <c r="D275" s="4" t="s">
        <v>24</v>
      </c>
      <c r="E275" s="4" t="s">
        <v>30</v>
      </c>
      <c r="F275" s="4" t="s">
        <v>25</v>
      </c>
      <c r="G275" s="4" t="s">
        <v>25</v>
      </c>
      <c r="H275" s="4" t="s">
        <v>25</v>
      </c>
      <c r="I275" s="5">
        <v>44835</v>
      </c>
      <c r="J275" s="6">
        <v>0</v>
      </c>
      <c r="K275" s="6">
        <v>0</v>
      </c>
      <c r="L275" s="6">
        <v>210.48099999999999</v>
      </c>
      <c r="M275" s="6">
        <v>210.48099999999999</v>
      </c>
      <c r="N275" s="6">
        <v>210.48099999999999</v>
      </c>
      <c r="O275" s="6">
        <v>210.48099999999999</v>
      </c>
      <c r="P275" s="6">
        <v>753</v>
      </c>
      <c r="Q275" s="4" t="s">
        <v>26</v>
      </c>
      <c r="R275" s="4">
        <v>0</v>
      </c>
      <c r="S275" s="4">
        <v>0</v>
      </c>
      <c r="T275" s="4">
        <v>32</v>
      </c>
      <c r="U275" s="4">
        <v>73</v>
      </c>
      <c r="V275" s="6">
        <f>IF(ISERROR(VLOOKUP($S$275,'TAR FIN'!$A$1:$O$103,15,0)),0,VLOOKUP($S$275,'TAR FIN'!$A$1:$O$103,15,0))</f>
        <v>0</v>
      </c>
      <c r="W275" s="6">
        <f>IF(ISERROR(VLOOKUP($T$275,'TAR FIN'!$A$1:$O$103,15,0)),0,VLOOKUP($T$275,'TAR FIN'!$A$1:$O$103,15,0))</f>
        <v>180.18</v>
      </c>
      <c r="X275" s="6">
        <f>IF(ISERROR(VLOOKUP($U$275,'TAR FIN'!$A$1:$O$103,15,0)),0,VLOOKUP($U$275,'TAR FIN'!$A$1:$O$103,15,0))</f>
        <v>153.1</v>
      </c>
      <c r="Y275" s="6"/>
      <c r="Z275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75" s="6">
        <f>('TE BE'!$AB$15+'TE BF'!$AB$15+'TE CVA'!$AB$15)*(1-CUSTOS!$M$35)</f>
        <v>140.41425803603568</v>
      </c>
      <c r="AB275" s="6">
        <f t="shared" si="18"/>
        <v>0</v>
      </c>
      <c r="AC275" s="6">
        <f>(L275-M275)*(W275+X275)+($W$291+$X$291-$W$275-$X$275)*(L275)</f>
        <v>46766.773390000002</v>
      </c>
      <c r="AD275" s="6">
        <f t="shared" si="19"/>
        <v>0</v>
      </c>
      <c r="AE275" s="6">
        <f ca="1">(L275-M275)*(Z275+AA275)+($Z$291+$AA$291-$Z$275-$AA$275)*(L275)</f>
        <v>47366.231730140702</v>
      </c>
      <c r="AF275" s="4" t="s">
        <v>816</v>
      </c>
    </row>
    <row r="276" spans="1:32" ht="11.25" customHeight="1" x14ac:dyDescent="0.3">
      <c r="A276" s="4" t="s">
        <v>57</v>
      </c>
      <c r="B276" s="4" t="s">
        <v>22</v>
      </c>
      <c r="C276" s="4" t="s">
        <v>23</v>
      </c>
      <c r="D276" s="4" t="s">
        <v>24</v>
      </c>
      <c r="E276" s="4" t="s">
        <v>30</v>
      </c>
      <c r="F276" s="4" t="s">
        <v>25</v>
      </c>
      <c r="G276" s="4" t="s">
        <v>25</v>
      </c>
      <c r="H276" s="4" t="s">
        <v>25</v>
      </c>
      <c r="I276" s="5">
        <v>44835</v>
      </c>
      <c r="J276" s="6">
        <v>0</v>
      </c>
      <c r="K276" s="6">
        <v>0</v>
      </c>
      <c r="L276" s="6">
        <v>7.0000000000000007E-2</v>
      </c>
      <c r="M276" s="6">
        <v>7.0000000000000007E-2</v>
      </c>
      <c r="N276" s="6">
        <v>7.0000000000000007E-2</v>
      </c>
      <c r="O276" s="6">
        <v>7.0000000000000007E-2</v>
      </c>
      <c r="P276" s="6">
        <v>0</v>
      </c>
      <c r="Q276" s="4" t="s">
        <v>26</v>
      </c>
      <c r="R276" s="4">
        <v>0</v>
      </c>
      <c r="S276" s="4">
        <v>0</v>
      </c>
      <c r="T276" s="4">
        <v>32</v>
      </c>
      <c r="U276" s="4">
        <v>73</v>
      </c>
      <c r="V276" s="6">
        <f>IF(ISERROR(VLOOKUP($S$276,'TAR FIN'!$A$1:$O$103,15,0)),0,VLOOKUP($S$276,'TAR FIN'!$A$1:$O$103,15,0))</f>
        <v>0</v>
      </c>
      <c r="W276" s="6">
        <f>IF(ISERROR(VLOOKUP($T$276,'TAR FIN'!$A$1:$O$103,15,0)),0,VLOOKUP($T$276,'TAR FIN'!$A$1:$O$103,15,0))</f>
        <v>180.18</v>
      </c>
      <c r="X276" s="6">
        <f>IF(ISERROR(VLOOKUP($U$276,'TAR FIN'!$A$1:$O$103,15,0)),0,VLOOKUP($U$276,'TAR FIN'!$A$1:$O$103,15,0))</f>
        <v>153.1</v>
      </c>
      <c r="Y276" s="6"/>
      <c r="Z276" s="6">
        <f ca="1">('TUSD BE'!$AM$34+'TUSD BF'!$AM$34+'TUSD CVA'!$AM$34-('TUSD BE'!$P$34+'TUSD BF'!$P$34+'TUSD CVA'!$P$34)-('TUSD BE'!$Q$34+'TUSD BF'!$Q$34+'TUSD CVA'!$Q$34)-('TUSD BE'!$R$34+'TUSD BF'!$R$34+'TUSD CVA'!$R$34))*(1-CUSTOS!$M$35)</f>
        <v>197.14280219843232</v>
      </c>
      <c r="AA276" s="6">
        <f>('TE BE'!$AB$15+'TE BF'!$AB$15+'TE CVA'!$AB$15)*(1-CUSTOS!$M$35)</f>
        <v>140.41425803603568</v>
      </c>
      <c r="AB276" s="6">
        <f t="shared" si="18"/>
        <v>0</v>
      </c>
      <c r="AC276" s="6">
        <f>(L276-M276)*(W276+X276)+($W$291+$X$291-$W$276-$X$276)*(L276)</f>
        <v>15.553300000000004</v>
      </c>
      <c r="AD276" s="6">
        <f t="shared" si="19"/>
        <v>0</v>
      </c>
      <c r="AE276" s="6">
        <f ca="1">(L276-M276)*(Z276+AA276)+($Z$291+$AA$291-$Z$276-$AA$276)*(L276)</f>
        <v>15.752662810941841</v>
      </c>
      <c r="AF276" s="4" t="s">
        <v>816</v>
      </c>
    </row>
    <row r="277" spans="1:32" ht="11.25" customHeight="1" x14ac:dyDescent="0.3">
      <c r="A277" s="4" t="s">
        <v>21</v>
      </c>
      <c r="B277" s="4" t="s">
        <v>22</v>
      </c>
      <c r="C277" s="4" t="s">
        <v>23</v>
      </c>
      <c r="D277" s="4" t="s">
        <v>24</v>
      </c>
      <c r="E277" s="4" t="s">
        <v>31</v>
      </c>
      <c r="F277" s="4" t="s">
        <v>25</v>
      </c>
      <c r="G277" s="4" t="s">
        <v>25</v>
      </c>
      <c r="H277" s="4" t="s">
        <v>25</v>
      </c>
      <c r="I277" s="5">
        <v>44501</v>
      </c>
      <c r="J277" s="6">
        <v>0</v>
      </c>
      <c r="K277" s="6">
        <v>0</v>
      </c>
      <c r="L277" s="6">
        <v>109.375</v>
      </c>
      <c r="M277" s="6">
        <v>109.375</v>
      </c>
      <c r="N277" s="6">
        <v>109.375</v>
      </c>
      <c r="O277" s="6">
        <v>109.375</v>
      </c>
      <c r="P277" s="6">
        <v>1473</v>
      </c>
      <c r="Q277" s="4" t="s">
        <v>26</v>
      </c>
      <c r="R277" s="4">
        <v>0</v>
      </c>
      <c r="S277" s="4">
        <v>0</v>
      </c>
      <c r="T277" s="4">
        <v>33</v>
      </c>
      <c r="U277" s="4">
        <v>74</v>
      </c>
      <c r="V277" s="6">
        <f>IF(ISERROR(VLOOKUP($S$277,'TAR FIN'!$A$1:$O$103,15,0)),0,VLOOKUP($S$277,'TAR FIN'!$A$1:$O$103,15,0))</f>
        <v>0</v>
      </c>
      <c r="W277" s="6">
        <f>IF(ISERROR(VLOOKUP($T$277,'TAR FIN'!$A$1:$O$103,15,0)),0,VLOOKUP($T$277,'TAR FIN'!$A$1:$O$103,15,0))</f>
        <v>270.27</v>
      </c>
      <c r="X277" s="6">
        <f>IF(ISERROR(VLOOKUP($U$277,'TAR FIN'!$A$1:$O$103,15,0)),0,VLOOKUP($U$277,'TAR FIN'!$A$1:$O$103,15,0))</f>
        <v>229.65</v>
      </c>
      <c r="Y277" s="6"/>
      <c r="Z277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77" s="6">
        <f>('TE BE'!$AB$16+'TE BF'!$AB$16+'TE CVA'!$AB$16)*(1-CUSTOS!$M$36)</f>
        <v>210.62138705405351</v>
      </c>
      <c r="AB277" s="6">
        <f t="shared" si="18"/>
        <v>0</v>
      </c>
      <c r="AC277" s="6">
        <f>(L277-M277)*(W277+X277)+($W$291+$X$291-$W$277-$X$277)*(L277)</f>
        <v>6075.7812500000045</v>
      </c>
      <c r="AD277" s="6">
        <f t="shared" si="19"/>
        <v>0</v>
      </c>
      <c r="AE277" s="6">
        <f ca="1">(L277-M277)*(Z277+AA277)+($Z$291+$AA$291-$Z$277-$AA$277)*(L277)</f>
        <v>6153.3839105241514</v>
      </c>
      <c r="AF277" s="4" t="s">
        <v>816</v>
      </c>
    </row>
    <row r="278" spans="1:32" ht="11.25" customHeight="1" x14ac:dyDescent="0.3">
      <c r="A278" s="4" t="s">
        <v>21</v>
      </c>
      <c r="B278" s="4" t="s">
        <v>22</v>
      </c>
      <c r="C278" s="4" t="s">
        <v>23</v>
      </c>
      <c r="D278" s="4" t="s">
        <v>24</v>
      </c>
      <c r="E278" s="4" t="s">
        <v>31</v>
      </c>
      <c r="F278" s="4" t="s">
        <v>25</v>
      </c>
      <c r="G278" s="4" t="s">
        <v>25</v>
      </c>
      <c r="H278" s="4" t="s">
        <v>25</v>
      </c>
      <c r="I278" s="5">
        <v>44531</v>
      </c>
      <c r="J278" s="6">
        <v>0</v>
      </c>
      <c r="K278" s="6">
        <v>0</v>
      </c>
      <c r="L278" s="6">
        <v>109.339</v>
      </c>
      <c r="M278" s="6">
        <v>109.339</v>
      </c>
      <c r="N278" s="6">
        <v>109.339</v>
      </c>
      <c r="O278" s="6">
        <v>109.339</v>
      </c>
      <c r="P278" s="6">
        <v>1550</v>
      </c>
      <c r="Q278" s="4" t="s">
        <v>26</v>
      </c>
      <c r="R278" s="4">
        <v>0</v>
      </c>
      <c r="S278" s="4">
        <v>0</v>
      </c>
      <c r="T278" s="4">
        <v>33</v>
      </c>
      <c r="U278" s="4">
        <v>74</v>
      </c>
      <c r="V278" s="6">
        <f>IF(ISERROR(VLOOKUP($S$278,'TAR FIN'!$A$1:$O$103,15,0)),0,VLOOKUP($S$278,'TAR FIN'!$A$1:$O$103,15,0))</f>
        <v>0</v>
      </c>
      <c r="W278" s="6">
        <f>IF(ISERROR(VLOOKUP($T$278,'TAR FIN'!$A$1:$O$103,15,0)),0,VLOOKUP($T$278,'TAR FIN'!$A$1:$O$103,15,0))</f>
        <v>270.27</v>
      </c>
      <c r="X278" s="6">
        <f>IF(ISERROR(VLOOKUP($U$278,'TAR FIN'!$A$1:$O$103,15,0)),0,VLOOKUP($U$278,'TAR FIN'!$A$1:$O$103,15,0))</f>
        <v>229.65</v>
      </c>
      <c r="Y278" s="6"/>
      <c r="Z278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78" s="6">
        <f>('TE BE'!$AB$16+'TE BF'!$AB$16+'TE CVA'!$AB$16)*(1-CUSTOS!$M$36)</f>
        <v>210.62138705405351</v>
      </c>
      <c r="AB278" s="6">
        <f t="shared" si="18"/>
        <v>0</v>
      </c>
      <c r="AC278" s="6">
        <f>(L278-M278)*(W278+X278)+($W$291+$X$291-$W$278-$X$278)*(L278)</f>
        <v>6073.781450000004</v>
      </c>
      <c r="AD278" s="6">
        <f t="shared" si="19"/>
        <v>0</v>
      </c>
      <c r="AE278" s="6">
        <f ca="1">(L278-M278)*(Z278+AA278)+($Z$291+$AA$291-$Z$278-$AA$278)*(L278)</f>
        <v>6151.3585681627437</v>
      </c>
      <c r="AF278" s="4" t="s">
        <v>816</v>
      </c>
    </row>
    <row r="279" spans="1:32" ht="11.25" customHeight="1" x14ac:dyDescent="0.3">
      <c r="A279" s="4" t="s">
        <v>21</v>
      </c>
      <c r="B279" s="4" t="s">
        <v>22</v>
      </c>
      <c r="C279" s="4" t="s">
        <v>23</v>
      </c>
      <c r="D279" s="4" t="s">
        <v>24</v>
      </c>
      <c r="E279" s="4" t="s">
        <v>31</v>
      </c>
      <c r="F279" s="4" t="s">
        <v>25</v>
      </c>
      <c r="G279" s="4" t="s">
        <v>25</v>
      </c>
      <c r="H279" s="4" t="s">
        <v>25</v>
      </c>
      <c r="I279" s="5">
        <v>44562</v>
      </c>
      <c r="J279" s="6">
        <v>0</v>
      </c>
      <c r="K279" s="6">
        <v>0</v>
      </c>
      <c r="L279" s="6">
        <v>118.824</v>
      </c>
      <c r="M279" s="6">
        <v>118.824</v>
      </c>
      <c r="N279" s="6">
        <v>118.824</v>
      </c>
      <c r="O279" s="6">
        <v>118.824</v>
      </c>
      <c r="P279" s="6">
        <v>1563</v>
      </c>
      <c r="Q279" s="4" t="s">
        <v>26</v>
      </c>
      <c r="R279" s="4">
        <v>0</v>
      </c>
      <c r="S279" s="4">
        <v>0</v>
      </c>
      <c r="T279" s="4">
        <v>33</v>
      </c>
      <c r="U279" s="4">
        <v>74</v>
      </c>
      <c r="V279" s="6">
        <f>IF(ISERROR(VLOOKUP($S$279,'TAR FIN'!$A$1:$O$103,15,0)),0,VLOOKUP($S$279,'TAR FIN'!$A$1:$O$103,15,0))</f>
        <v>0</v>
      </c>
      <c r="W279" s="6">
        <f>IF(ISERROR(VLOOKUP($T$279,'TAR FIN'!$A$1:$O$103,15,0)),0,VLOOKUP($T$279,'TAR FIN'!$A$1:$O$103,15,0))</f>
        <v>270.27</v>
      </c>
      <c r="X279" s="6">
        <f>IF(ISERROR(VLOOKUP($U$279,'TAR FIN'!$A$1:$O$103,15,0)),0,VLOOKUP($U$279,'TAR FIN'!$A$1:$O$103,15,0))</f>
        <v>229.65</v>
      </c>
      <c r="Y279" s="6"/>
      <c r="Z279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79" s="6">
        <f>('TE BE'!$AB$16+'TE BF'!$AB$16+'TE CVA'!$AB$16)*(1-CUSTOS!$M$36)</f>
        <v>210.62138705405351</v>
      </c>
      <c r="AB279" s="6">
        <f t="shared" si="18"/>
        <v>0</v>
      </c>
      <c r="AC279" s="6">
        <f>(L279-M279)*(W279+X279)+($W$291+$X$291-$W$279-$X$279)*(L279)</f>
        <v>6600.6732000000047</v>
      </c>
      <c r="AD279" s="6">
        <f t="shared" si="19"/>
        <v>0</v>
      </c>
      <c r="AE279" s="6">
        <f ca="1">(L279-M279)*(Z279+AA279)+($Z$291+$AA$291-$Z$279-$AA$279)*(L279)</f>
        <v>6684.9800208833985</v>
      </c>
      <c r="AF279" s="4" t="s">
        <v>816</v>
      </c>
    </row>
    <row r="280" spans="1:32" ht="11.25" customHeight="1" x14ac:dyDescent="0.3">
      <c r="A280" s="4" t="s">
        <v>21</v>
      </c>
      <c r="B280" s="4" t="s">
        <v>22</v>
      </c>
      <c r="C280" s="4" t="s">
        <v>23</v>
      </c>
      <c r="D280" s="4" t="s">
        <v>24</v>
      </c>
      <c r="E280" s="4" t="s">
        <v>31</v>
      </c>
      <c r="F280" s="4" t="s">
        <v>25</v>
      </c>
      <c r="G280" s="4" t="s">
        <v>25</v>
      </c>
      <c r="H280" s="4" t="s">
        <v>25</v>
      </c>
      <c r="I280" s="5">
        <v>44593</v>
      </c>
      <c r="J280" s="6">
        <v>0</v>
      </c>
      <c r="K280" s="6">
        <v>0</v>
      </c>
      <c r="L280" s="6">
        <v>119.429</v>
      </c>
      <c r="M280" s="6">
        <v>119.429</v>
      </c>
      <c r="N280" s="6">
        <v>119.429</v>
      </c>
      <c r="O280" s="6">
        <v>119.429</v>
      </c>
      <c r="P280" s="6">
        <v>1643</v>
      </c>
      <c r="Q280" s="4" t="s">
        <v>26</v>
      </c>
      <c r="R280" s="4">
        <v>0</v>
      </c>
      <c r="S280" s="4">
        <v>0</v>
      </c>
      <c r="T280" s="4">
        <v>33</v>
      </c>
      <c r="U280" s="4">
        <v>74</v>
      </c>
      <c r="V280" s="6">
        <f>IF(ISERROR(VLOOKUP($S$280,'TAR FIN'!$A$1:$O$103,15,0)),0,VLOOKUP($S$280,'TAR FIN'!$A$1:$O$103,15,0))</f>
        <v>0</v>
      </c>
      <c r="W280" s="6">
        <f>IF(ISERROR(VLOOKUP($T$280,'TAR FIN'!$A$1:$O$103,15,0)),0,VLOOKUP($T$280,'TAR FIN'!$A$1:$O$103,15,0))</f>
        <v>270.27</v>
      </c>
      <c r="X280" s="6">
        <f>IF(ISERROR(VLOOKUP($U$280,'TAR FIN'!$A$1:$O$103,15,0)),0,VLOOKUP($U$280,'TAR FIN'!$A$1:$O$103,15,0))</f>
        <v>229.65</v>
      </c>
      <c r="Y280" s="6"/>
      <c r="Z280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80" s="6">
        <f>('TE BE'!$AB$16+'TE BF'!$AB$16+'TE CVA'!$AB$16)*(1-CUSTOS!$M$36)</f>
        <v>210.62138705405351</v>
      </c>
      <c r="AB280" s="6">
        <f t="shared" si="18"/>
        <v>0</v>
      </c>
      <c r="AC280" s="6">
        <f>(L280-M280)*(W280+X280)+($W$291+$X$291-$W$280-$X$280)*(L280)</f>
        <v>6634.2809500000049</v>
      </c>
      <c r="AD280" s="6">
        <f t="shared" si="19"/>
        <v>0</v>
      </c>
      <c r="AE280" s="6">
        <f ca="1">(L280-M280)*(Z280+AA280)+($Z$291+$AA$291-$Z$280-$AA$280)*(L280)</f>
        <v>6719.0170244570409</v>
      </c>
      <c r="AF280" s="4" t="s">
        <v>816</v>
      </c>
    </row>
    <row r="281" spans="1:32" ht="11.25" customHeight="1" x14ac:dyDescent="0.3">
      <c r="A281" s="4" t="s">
        <v>21</v>
      </c>
      <c r="B281" s="4" t="s">
        <v>22</v>
      </c>
      <c r="C281" s="4" t="s">
        <v>23</v>
      </c>
      <c r="D281" s="4" t="s">
        <v>24</v>
      </c>
      <c r="E281" s="4" t="s">
        <v>31</v>
      </c>
      <c r="F281" s="4" t="s">
        <v>25</v>
      </c>
      <c r="G281" s="4" t="s">
        <v>25</v>
      </c>
      <c r="H281" s="4" t="s">
        <v>25</v>
      </c>
      <c r="I281" s="5">
        <v>44621</v>
      </c>
      <c r="J281" s="6">
        <v>0</v>
      </c>
      <c r="K281" s="6">
        <v>0</v>
      </c>
      <c r="L281" s="6">
        <v>109.42</v>
      </c>
      <c r="M281" s="6">
        <v>109.42</v>
      </c>
      <c r="N281" s="6">
        <v>109.42</v>
      </c>
      <c r="O281" s="6">
        <v>109.42</v>
      </c>
      <c r="P281" s="6">
        <v>1674</v>
      </c>
      <c r="Q281" s="4" t="s">
        <v>26</v>
      </c>
      <c r="R281" s="4">
        <v>0</v>
      </c>
      <c r="S281" s="4">
        <v>0</v>
      </c>
      <c r="T281" s="4">
        <v>33</v>
      </c>
      <c r="U281" s="4">
        <v>74</v>
      </c>
      <c r="V281" s="6">
        <f>IF(ISERROR(VLOOKUP($S$281,'TAR FIN'!$A$1:$O$103,15,0)),0,VLOOKUP($S$281,'TAR FIN'!$A$1:$O$103,15,0))</f>
        <v>0</v>
      </c>
      <c r="W281" s="6">
        <f>IF(ISERROR(VLOOKUP($T$281,'TAR FIN'!$A$1:$O$103,15,0)),0,VLOOKUP($T$281,'TAR FIN'!$A$1:$O$103,15,0))</f>
        <v>270.27</v>
      </c>
      <c r="X281" s="6">
        <f>IF(ISERROR(VLOOKUP($U$281,'TAR FIN'!$A$1:$O$103,15,0)),0,VLOOKUP($U$281,'TAR FIN'!$A$1:$O$103,15,0))</f>
        <v>229.65</v>
      </c>
      <c r="Y281" s="6"/>
      <c r="Z281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81" s="6">
        <f>('TE BE'!$AB$16+'TE BF'!$AB$16+'TE CVA'!$AB$16)*(1-CUSTOS!$M$36)</f>
        <v>210.62138705405351</v>
      </c>
      <c r="AB281" s="6">
        <f t="shared" si="18"/>
        <v>0</v>
      </c>
      <c r="AC281" s="6">
        <f>(L281-M281)*(W281+X281)+($W$291+$X$291-$W$281-$X$281)*(L281)</f>
        <v>6078.2810000000045</v>
      </c>
      <c r="AD281" s="6">
        <f t="shared" si="19"/>
        <v>0</v>
      </c>
      <c r="AE281" s="6">
        <f ca="1">(L281-M281)*(Z281+AA281)+($Z$291+$AA$291-$Z$281-$AA$281)*(L281)</f>
        <v>6155.9155884759093</v>
      </c>
      <c r="AF281" s="4" t="s">
        <v>816</v>
      </c>
    </row>
    <row r="282" spans="1:32" ht="11.25" customHeight="1" x14ac:dyDescent="0.3">
      <c r="A282" s="4" t="s">
        <v>21</v>
      </c>
      <c r="B282" s="4" t="s">
        <v>22</v>
      </c>
      <c r="C282" s="4" t="s">
        <v>23</v>
      </c>
      <c r="D282" s="4" t="s">
        <v>24</v>
      </c>
      <c r="E282" s="4" t="s">
        <v>31</v>
      </c>
      <c r="F282" s="4" t="s">
        <v>25</v>
      </c>
      <c r="G282" s="4" t="s">
        <v>25</v>
      </c>
      <c r="H282" s="4" t="s">
        <v>25</v>
      </c>
      <c r="I282" s="5">
        <v>44652</v>
      </c>
      <c r="J282" s="6">
        <v>0</v>
      </c>
      <c r="K282" s="6">
        <v>0</v>
      </c>
      <c r="L282" s="6">
        <v>159.411</v>
      </c>
      <c r="M282" s="6">
        <v>159.411</v>
      </c>
      <c r="N282" s="6">
        <v>159.411</v>
      </c>
      <c r="O282" s="6">
        <v>159.411</v>
      </c>
      <c r="P282" s="6">
        <v>1893</v>
      </c>
      <c r="Q282" s="4" t="s">
        <v>26</v>
      </c>
      <c r="R282" s="4">
        <v>0</v>
      </c>
      <c r="S282" s="4">
        <v>0</v>
      </c>
      <c r="T282" s="4">
        <v>33</v>
      </c>
      <c r="U282" s="4">
        <v>74</v>
      </c>
      <c r="V282" s="6">
        <f>IF(ISERROR(VLOOKUP($S$282,'TAR FIN'!$A$1:$O$103,15,0)),0,VLOOKUP($S$282,'TAR FIN'!$A$1:$O$103,15,0))</f>
        <v>0</v>
      </c>
      <c r="W282" s="6">
        <f>IF(ISERROR(VLOOKUP($T$282,'TAR FIN'!$A$1:$O$103,15,0)),0,VLOOKUP($T$282,'TAR FIN'!$A$1:$O$103,15,0))</f>
        <v>270.27</v>
      </c>
      <c r="X282" s="6">
        <f>IF(ISERROR(VLOOKUP($U$282,'TAR FIN'!$A$1:$O$103,15,0)),0,VLOOKUP($U$282,'TAR FIN'!$A$1:$O$103,15,0))</f>
        <v>229.65</v>
      </c>
      <c r="Y282" s="6"/>
      <c r="Z282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82" s="6">
        <f>('TE BE'!$AB$16+'TE BF'!$AB$16+'TE CVA'!$AB$16)*(1-CUSTOS!$M$36)</f>
        <v>210.62138705405351</v>
      </c>
      <c r="AB282" s="6">
        <f t="shared" si="18"/>
        <v>0</v>
      </c>
      <c r="AC282" s="6">
        <f>(L282-M282)*(W282+X282)+($W$291+$X$291-$W$282-$X$282)*(L282)</f>
        <v>8855.2810500000069</v>
      </c>
      <c r="AD282" s="6">
        <f t="shared" si="19"/>
        <v>0</v>
      </c>
      <c r="AE282" s="6">
        <f ca="1">(L282-M282)*(Z282+AA282)+($Z$291+$AA$291-$Z$282-$AA$282)*(L282)</f>
        <v>8968.3847548394551</v>
      </c>
      <c r="AF282" s="4" t="s">
        <v>816</v>
      </c>
    </row>
    <row r="283" spans="1:32" ht="11.25" customHeight="1" x14ac:dyDescent="0.3">
      <c r="A283" s="4" t="s">
        <v>21</v>
      </c>
      <c r="B283" s="4" t="s">
        <v>22</v>
      </c>
      <c r="C283" s="4" t="s">
        <v>23</v>
      </c>
      <c r="D283" s="4" t="s">
        <v>24</v>
      </c>
      <c r="E283" s="4" t="s">
        <v>31</v>
      </c>
      <c r="F283" s="4" t="s">
        <v>25</v>
      </c>
      <c r="G283" s="4" t="s">
        <v>25</v>
      </c>
      <c r="H283" s="4" t="s">
        <v>25</v>
      </c>
      <c r="I283" s="5">
        <v>44682</v>
      </c>
      <c r="J283" s="6">
        <v>0</v>
      </c>
      <c r="K283" s="6">
        <v>0</v>
      </c>
      <c r="L283" s="6">
        <v>151.39599999999999</v>
      </c>
      <c r="M283" s="6">
        <v>151.39599999999999</v>
      </c>
      <c r="N283" s="6">
        <v>151.39599999999999</v>
      </c>
      <c r="O283" s="6">
        <v>151.39599999999999</v>
      </c>
      <c r="P283" s="6">
        <v>2031</v>
      </c>
      <c r="Q283" s="4" t="s">
        <v>26</v>
      </c>
      <c r="R283" s="4">
        <v>0</v>
      </c>
      <c r="S283" s="4">
        <v>0</v>
      </c>
      <c r="T283" s="4">
        <v>33</v>
      </c>
      <c r="U283" s="4">
        <v>74</v>
      </c>
      <c r="V283" s="6">
        <f>IF(ISERROR(VLOOKUP($S$283,'TAR FIN'!$A$1:$O$103,15,0)),0,VLOOKUP($S$283,'TAR FIN'!$A$1:$O$103,15,0))</f>
        <v>0</v>
      </c>
      <c r="W283" s="6">
        <f>IF(ISERROR(VLOOKUP($T$283,'TAR FIN'!$A$1:$O$103,15,0)),0,VLOOKUP($T$283,'TAR FIN'!$A$1:$O$103,15,0))</f>
        <v>270.27</v>
      </c>
      <c r="X283" s="6">
        <f>IF(ISERROR(VLOOKUP($U$283,'TAR FIN'!$A$1:$O$103,15,0)),0,VLOOKUP($U$283,'TAR FIN'!$A$1:$O$103,15,0))</f>
        <v>229.65</v>
      </c>
      <c r="Y283" s="6"/>
      <c r="Z283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83" s="6">
        <f>('TE BE'!$AB$16+'TE BF'!$AB$16+'TE CVA'!$AB$16)*(1-CUSTOS!$M$36)</f>
        <v>210.62138705405351</v>
      </c>
      <c r="AB283" s="6">
        <f t="shared" si="18"/>
        <v>0</v>
      </c>
      <c r="AC283" s="6">
        <f>(L283-M283)*(W283+X283)+($W$291+$X$291-$W$283-$X$283)*(L283)</f>
        <v>8410.0478000000057</v>
      </c>
      <c r="AD283" s="6">
        <f t="shared" si="19"/>
        <v>0</v>
      </c>
      <c r="AE283" s="6">
        <f ca="1">(L283-M283)*(Z283+AA283)+($Z$291+$AA$291-$Z$283-$AA$283)*(L283)</f>
        <v>8517.4647818762442</v>
      </c>
      <c r="AF283" s="4" t="s">
        <v>816</v>
      </c>
    </row>
    <row r="284" spans="1:32" ht="11.25" customHeight="1" x14ac:dyDescent="0.3">
      <c r="A284" s="4" t="s">
        <v>21</v>
      </c>
      <c r="B284" s="4" t="s">
        <v>22</v>
      </c>
      <c r="C284" s="4" t="s">
        <v>23</v>
      </c>
      <c r="D284" s="4" t="s">
        <v>24</v>
      </c>
      <c r="E284" s="4" t="s">
        <v>31</v>
      </c>
      <c r="F284" s="4" t="s">
        <v>25</v>
      </c>
      <c r="G284" s="4" t="s">
        <v>25</v>
      </c>
      <c r="H284" s="4" t="s">
        <v>25</v>
      </c>
      <c r="I284" s="5">
        <v>44713</v>
      </c>
      <c r="J284" s="6">
        <v>0</v>
      </c>
      <c r="K284" s="6">
        <v>0</v>
      </c>
      <c r="L284" s="6">
        <v>119.86199999999999</v>
      </c>
      <c r="M284" s="6">
        <v>119.86199999999999</v>
      </c>
      <c r="N284" s="6">
        <v>119.86199999999999</v>
      </c>
      <c r="O284" s="6">
        <v>119.86199999999999</v>
      </c>
      <c r="P284" s="6">
        <v>1966</v>
      </c>
      <c r="Q284" s="4" t="s">
        <v>26</v>
      </c>
      <c r="R284" s="4">
        <v>0</v>
      </c>
      <c r="S284" s="4">
        <v>0</v>
      </c>
      <c r="T284" s="4">
        <v>33</v>
      </c>
      <c r="U284" s="4">
        <v>74</v>
      </c>
      <c r="V284" s="6">
        <f>IF(ISERROR(VLOOKUP($S$284,'TAR FIN'!$A$1:$O$103,15,0)),0,VLOOKUP($S$284,'TAR FIN'!$A$1:$O$103,15,0))</f>
        <v>0</v>
      </c>
      <c r="W284" s="6">
        <f>IF(ISERROR(VLOOKUP($T$284,'TAR FIN'!$A$1:$O$103,15,0)),0,VLOOKUP($T$284,'TAR FIN'!$A$1:$O$103,15,0))</f>
        <v>270.27</v>
      </c>
      <c r="X284" s="6">
        <f>IF(ISERROR(VLOOKUP($U$284,'TAR FIN'!$A$1:$O$103,15,0)),0,VLOOKUP($U$284,'TAR FIN'!$A$1:$O$103,15,0))</f>
        <v>229.65</v>
      </c>
      <c r="Y284" s="6"/>
      <c r="Z284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84" s="6">
        <f>('TE BE'!$AB$16+'TE BF'!$AB$16+'TE CVA'!$AB$16)*(1-CUSTOS!$M$36)</f>
        <v>210.62138705405351</v>
      </c>
      <c r="AB284" s="6">
        <f t="shared" si="18"/>
        <v>0</v>
      </c>
      <c r="AC284" s="6">
        <f>(L284-M284)*(W284+X284)+($W$291+$X$291-$W$284-$X$284)*(L284)</f>
        <v>6658.3341000000046</v>
      </c>
      <c r="AD284" s="6">
        <f t="shared" si="19"/>
        <v>0</v>
      </c>
      <c r="AE284" s="6">
        <f ca="1">(L284-M284)*(Z284+AA284)+($Z$291+$AA$291-$Z$284-$AA$284)*(L284)</f>
        <v>6743.3773923039616</v>
      </c>
      <c r="AF284" s="4" t="s">
        <v>816</v>
      </c>
    </row>
    <row r="285" spans="1:32" ht="11.25" customHeight="1" x14ac:dyDescent="0.3">
      <c r="A285" s="4" t="s">
        <v>21</v>
      </c>
      <c r="B285" s="4" t="s">
        <v>22</v>
      </c>
      <c r="C285" s="4" t="s">
        <v>23</v>
      </c>
      <c r="D285" s="4" t="s">
        <v>24</v>
      </c>
      <c r="E285" s="4" t="s">
        <v>31</v>
      </c>
      <c r="F285" s="4" t="s">
        <v>25</v>
      </c>
      <c r="G285" s="4" t="s">
        <v>25</v>
      </c>
      <c r="H285" s="4" t="s">
        <v>25</v>
      </c>
      <c r="I285" s="5">
        <v>44743</v>
      </c>
      <c r="J285" s="6">
        <v>0</v>
      </c>
      <c r="K285" s="6">
        <v>0</v>
      </c>
      <c r="L285" s="6">
        <v>138.29599999999999</v>
      </c>
      <c r="M285" s="6">
        <v>138.29599999999999</v>
      </c>
      <c r="N285" s="6">
        <v>138.29599999999999</v>
      </c>
      <c r="O285" s="6">
        <v>138.29599999999999</v>
      </c>
      <c r="P285" s="6">
        <v>1982</v>
      </c>
      <c r="Q285" s="4" t="s">
        <v>26</v>
      </c>
      <c r="R285" s="4">
        <v>0</v>
      </c>
      <c r="S285" s="4">
        <v>0</v>
      </c>
      <c r="T285" s="4">
        <v>33</v>
      </c>
      <c r="U285" s="4">
        <v>74</v>
      </c>
      <c r="V285" s="6">
        <f>IF(ISERROR(VLOOKUP($S$285,'TAR FIN'!$A$1:$O$103,15,0)),0,VLOOKUP($S$285,'TAR FIN'!$A$1:$O$103,15,0))</f>
        <v>0</v>
      </c>
      <c r="W285" s="6">
        <f>IF(ISERROR(VLOOKUP($T$285,'TAR FIN'!$A$1:$O$103,15,0)),0,VLOOKUP($T$285,'TAR FIN'!$A$1:$O$103,15,0))</f>
        <v>270.27</v>
      </c>
      <c r="X285" s="6">
        <f>IF(ISERROR(VLOOKUP($U$285,'TAR FIN'!$A$1:$O$103,15,0)),0,VLOOKUP($U$285,'TAR FIN'!$A$1:$O$103,15,0))</f>
        <v>229.65</v>
      </c>
      <c r="Y285" s="6"/>
      <c r="Z285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85" s="6">
        <f>('TE BE'!$AB$16+'TE BF'!$AB$16+'TE CVA'!$AB$16)*(1-CUSTOS!$M$36)</f>
        <v>210.62138705405351</v>
      </c>
      <c r="AB285" s="6">
        <f t="shared" si="18"/>
        <v>0</v>
      </c>
      <c r="AC285" s="6">
        <f>(L285-M285)*(W285+X285)+($W$291+$X$291-$W$285-$X$285)*(L285)</f>
        <v>7682.3428000000049</v>
      </c>
      <c r="AD285" s="6">
        <f t="shared" si="19"/>
        <v>0</v>
      </c>
      <c r="AE285" s="6">
        <f ca="1">(L285-M285)*(Z285+AA285)+($Z$291+$AA$291-$Z$285-$AA$285)*(L285)</f>
        <v>7780.4652003643241</v>
      </c>
      <c r="AF285" s="4" t="s">
        <v>816</v>
      </c>
    </row>
    <row r="286" spans="1:32" ht="11.25" customHeight="1" x14ac:dyDescent="0.3">
      <c r="A286" s="4" t="s">
        <v>21</v>
      </c>
      <c r="B286" s="4" t="s">
        <v>22</v>
      </c>
      <c r="C286" s="4" t="s">
        <v>23</v>
      </c>
      <c r="D286" s="4" t="s">
        <v>24</v>
      </c>
      <c r="E286" s="4" t="s">
        <v>31</v>
      </c>
      <c r="F286" s="4" t="s">
        <v>25</v>
      </c>
      <c r="G286" s="4" t="s">
        <v>25</v>
      </c>
      <c r="H286" s="4" t="s">
        <v>25</v>
      </c>
      <c r="I286" s="5">
        <v>44774</v>
      </c>
      <c r="J286" s="6">
        <v>0</v>
      </c>
      <c r="K286" s="6">
        <v>0</v>
      </c>
      <c r="L286" s="6">
        <v>122.026</v>
      </c>
      <c r="M286" s="6">
        <v>122.026</v>
      </c>
      <c r="N286" s="6">
        <v>122.026</v>
      </c>
      <c r="O286" s="6">
        <v>122.026</v>
      </c>
      <c r="P286" s="6">
        <v>1935</v>
      </c>
      <c r="Q286" s="4" t="s">
        <v>26</v>
      </c>
      <c r="R286" s="4">
        <v>0</v>
      </c>
      <c r="S286" s="4">
        <v>0</v>
      </c>
      <c r="T286" s="4">
        <v>33</v>
      </c>
      <c r="U286" s="4">
        <v>74</v>
      </c>
      <c r="V286" s="6">
        <f>IF(ISERROR(VLOOKUP($S$286,'TAR FIN'!$A$1:$O$103,15,0)),0,VLOOKUP($S$286,'TAR FIN'!$A$1:$O$103,15,0))</f>
        <v>0</v>
      </c>
      <c r="W286" s="6">
        <f>IF(ISERROR(VLOOKUP($T$286,'TAR FIN'!$A$1:$O$103,15,0)),0,VLOOKUP($T$286,'TAR FIN'!$A$1:$O$103,15,0))</f>
        <v>270.27</v>
      </c>
      <c r="X286" s="6">
        <f>IF(ISERROR(VLOOKUP($U$286,'TAR FIN'!$A$1:$O$103,15,0)),0,VLOOKUP($U$286,'TAR FIN'!$A$1:$O$103,15,0))</f>
        <v>229.65</v>
      </c>
      <c r="Y286" s="6"/>
      <c r="Z286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86" s="6">
        <f>('TE BE'!$AB$16+'TE BF'!$AB$16+'TE CVA'!$AB$16)*(1-CUSTOS!$M$36)</f>
        <v>210.62138705405351</v>
      </c>
      <c r="AB286" s="6">
        <f t="shared" si="18"/>
        <v>0</v>
      </c>
      <c r="AC286" s="6">
        <f>(L286-M286)*(W286+X286)+($W$291+$X$291-$W$286-$X$286)*(L286)</f>
        <v>6778.544300000005</v>
      </c>
      <c r="AD286" s="6">
        <f t="shared" si="19"/>
        <v>0</v>
      </c>
      <c r="AE286" s="6">
        <f ca="1">(L286-M286)*(Z286+AA286)+($Z$291+$AA$291-$Z$286-$AA$286)*(L286)</f>
        <v>6865.1229720285264</v>
      </c>
      <c r="AF286" s="4" t="s">
        <v>816</v>
      </c>
    </row>
    <row r="287" spans="1:32" ht="11.25" customHeight="1" x14ac:dyDescent="0.3">
      <c r="A287" s="4" t="s">
        <v>21</v>
      </c>
      <c r="B287" s="4" t="s">
        <v>22</v>
      </c>
      <c r="C287" s="4" t="s">
        <v>23</v>
      </c>
      <c r="D287" s="4" t="s">
        <v>24</v>
      </c>
      <c r="E287" s="4" t="s">
        <v>31</v>
      </c>
      <c r="F287" s="4" t="s">
        <v>25</v>
      </c>
      <c r="G287" s="4" t="s">
        <v>25</v>
      </c>
      <c r="H287" s="4" t="s">
        <v>25</v>
      </c>
      <c r="I287" s="5">
        <v>44805</v>
      </c>
      <c r="J287" s="6">
        <v>0</v>
      </c>
      <c r="K287" s="6">
        <v>0</v>
      </c>
      <c r="L287" s="6">
        <v>166.53299999999999</v>
      </c>
      <c r="M287" s="6">
        <v>166.53299999999999</v>
      </c>
      <c r="N287" s="6">
        <v>166.53299999999999</v>
      </c>
      <c r="O287" s="6">
        <v>166.53299999999999</v>
      </c>
      <c r="P287" s="6">
        <v>1994</v>
      </c>
      <c r="Q287" s="4" t="s">
        <v>26</v>
      </c>
      <c r="R287" s="4">
        <v>0</v>
      </c>
      <c r="S287" s="4">
        <v>0</v>
      </c>
      <c r="T287" s="4">
        <v>33</v>
      </c>
      <c r="U287" s="4">
        <v>74</v>
      </c>
      <c r="V287" s="6">
        <f>IF(ISERROR(VLOOKUP($S$287,'TAR FIN'!$A$1:$O$103,15,0)),0,VLOOKUP($S$287,'TAR FIN'!$A$1:$O$103,15,0))</f>
        <v>0</v>
      </c>
      <c r="W287" s="6">
        <f>IF(ISERROR(VLOOKUP($T$287,'TAR FIN'!$A$1:$O$103,15,0)),0,VLOOKUP($T$287,'TAR FIN'!$A$1:$O$103,15,0))</f>
        <v>270.27</v>
      </c>
      <c r="X287" s="6">
        <f>IF(ISERROR(VLOOKUP($U$287,'TAR FIN'!$A$1:$O$103,15,0)),0,VLOOKUP($U$287,'TAR FIN'!$A$1:$O$103,15,0))</f>
        <v>229.65</v>
      </c>
      <c r="Y287" s="6"/>
      <c r="Z287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87" s="6">
        <f>('TE BE'!$AB$16+'TE BF'!$AB$16+'TE CVA'!$AB$16)*(1-CUSTOS!$M$36)</f>
        <v>210.62138705405351</v>
      </c>
      <c r="AB287" s="6">
        <f t="shared" si="18"/>
        <v>0</v>
      </c>
      <c r="AC287" s="6">
        <f>(L287-M287)*(W287+X287)+($W$291+$X$291-$W$287-$X$287)*(L287)</f>
        <v>9250.9081500000066</v>
      </c>
      <c r="AD287" s="6">
        <f t="shared" si="19"/>
        <v>0</v>
      </c>
      <c r="AE287" s="6">
        <f ca="1">(L287-M287)*(Z287+AA287)+($Z$291+$AA$291-$Z$287-$AA$287)*(L287)</f>
        <v>9369.0649853377672</v>
      </c>
      <c r="AF287" s="4" t="s">
        <v>816</v>
      </c>
    </row>
    <row r="288" spans="1:32" ht="11.25" customHeight="1" x14ac:dyDescent="0.3">
      <c r="A288" s="4" t="s">
        <v>28</v>
      </c>
      <c r="B288" s="4" t="s">
        <v>22</v>
      </c>
      <c r="C288" s="4" t="s">
        <v>23</v>
      </c>
      <c r="D288" s="4" t="s">
        <v>24</v>
      </c>
      <c r="E288" s="4" t="s">
        <v>31</v>
      </c>
      <c r="F288" s="4" t="s">
        <v>25</v>
      </c>
      <c r="G288" s="4" t="s">
        <v>25</v>
      </c>
      <c r="H288" s="4" t="s">
        <v>25</v>
      </c>
      <c r="I288" s="5">
        <v>44805</v>
      </c>
      <c r="J288" s="6">
        <v>0</v>
      </c>
      <c r="K288" s="6">
        <v>0</v>
      </c>
      <c r="L288" s="6">
        <v>5.0000000000000001E-3</v>
      </c>
      <c r="M288" s="6">
        <v>5.0000000000000001E-3</v>
      </c>
      <c r="N288" s="6">
        <v>5.0000000000000001E-3</v>
      </c>
      <c r="O288" s="6">
        <v>5.0000000000000001E-3</v>
      </c>
      <c r="P288" s="6">
        <v>4</v>
      </c>
      <c r="Q288" s="4" t="s">
        <v>26</v>
      </c>
      <c r="R288" s="4">
        <v>0</v>
      </c>
      <c r="S288" s="4">
        <v>0</v>
      </c>
      <c r="T288" s="4">
        <v>33</v>
      </c>
      <c r="U288" s="4">
        <v>74</v>
      </c>
      <c r="V288" s="6">
        <f>IF(ISERROR(VLOOKUP($S$288,'TAR FIN'!$A$1:$O$103,15,0)),0,VLOOKUP($S$288,'TAR FIN'!$A$1:$O$103,15,0))</f>
        <v>0</v>
      </c>
      <c r="W288" s="6">
        <f>IF(ISERROR(VLOOKUP($T$288,'TAR FIN'!$A$1:$O$103,15,0)),0,VLOOKUP($T$288,'TAR FIN'!$A$1:$O$103,15,0))</f>
        <v>270.27</v>
      </c>
      <c r="X288" s="6">
        <f>IF(ISERROR(VLOOKUP($U$288,'TAR FIN'!$A$1:$O$103,15,0)),0,VLOOKUP($U$288,'TAR FIN'!$A$1:$O$103,15,0))</f>
        <v>229.65</v>
      </c>
      <c r="Y288" s="6"/>
      <c r="Z288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88" s="6">
        <f>('TE BE'!$AB$16+'TE BF'!$AB$16+'TE CVA'!$AB$16)*(1-CUSTOS!$M$36)</f>
        <v>210.62138705405351</v>
      </c>
      <c r="AB288" s="6">
        <f t="shared" si="18"/>
        <v>0</v>
      </c>
      <c r="AC288" s="6">
        <f>(L288-M288)*(W288+X288)+($W$291+$X$291-$W$288-$X$288)*(L288)</f>
        <v>0.27775000000000022</v>
      </c>
      <c r="AD288" s="6">
        <f t="shared" si="19"/>
        <v>0</v>
      </c>
      <c r="AE288" s="6">
        <f ca="1">(L288-M288)*(Z288+AA288)+($Z$291+$AA$291-$Z$288-$AA$288)*(L288)</f>
        <v>0.28129755019538977</v>
      </c>
      <c r="AF288" s="4" t="s">
        <v>816</v>
      </c>
    </row>
    <row r="289" spans="1:32" ht="11.25" customHeight="1" x14ac:dyDescent="0.3">
      <c r="A289" s="4" t="s">
        <v>57</v>
      </c>
      <c r="B289" s="4" t="s">
        <v>22</v>
      </c>
      <c r="C289" s="4" t="s">
        <v>23</v>
      </c>
      <c r="D289" s="4" t="s">
        <v>24</v>
      </c>
      <c r="E289" s="4" t="s">
        <v>31</v>
      </c>
      <c r="F289" s="4" t="s">
        <v>25</v>
      </c>
      <c r="G289" s="4" t="s">
        <v>25</v>
      </c>
      <c r="H289" s="4" t="s">
        <v>25</v>
      </c>
      <c r="I289" s="5">
        <v>44835</v>
      </c>
      <c r="J289" s="6">
        <v>0</v>
      </c>
      <c r="K289" s="6">
        <v>0</v>
      </c>
      <c r="L289" s="6">
        <v>166.53299999999999</v>
      </c>
      <c r="M289" s="6">
        <v>166.53299999999999</v>
      </c>
      <c r="N289" s="6">
        <v>166.53299999999999</v>
      </c>
      <c r="O289" s="6">
        <v>166.53299999999999</v>
      </c>
      <c r="P289" s="6">
        <v>1994</v>
      </c>
      <c r="Q289" s="4" t="s">
        <v>26</v>
      </c>
      <c r="R289" s="4">
        <v>0</v>
      </c>
      <c r="S289" s="4">
        <v>0</v>
      </c>
      <c r="T289" s="4">
        <v>33</v>
      </c>
      <c r="U289" s="4">
        <v>74</v>
      </c>
      <c r="V289" s="6">
        <f>IF(ISERROR(VLOOKUP($S$289,'TAR FIN'!$A$1:$O$103,15,0)),0,VLOOKUP($S$289,'TAR FIN'!$A$1:$O$103,15,0))</f>
        <v>0</v>
      </c>
      <c r="W289" s="6">
        <f>IF(ISERROR(VLOOKUP($T$289,'TAR FIN'!$A$1:$O$103,15,0)),0,VLOOKUP($T$289,'TAR FIN'!$A$1:$O$103,15,0))</f>
        <v>270.27</v>
      </c>
      <c r="X289" s="6">
        <f>IF(ISERROR(VLOOKUP($U$289,'TAR FIN'!$A$1:$O$103,15,0)),0,VLOOKUP($U$289,'TAR FIN'!$A$1:$O$103,15,0))</f>
        <v>229.65</v>
      </c>
      <c r="Y289" s="6"/>
      <c r="Z289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89" s="6">
        <f>('TE BE'!$AB$16+'TE BF'!$AB$16+'TE CVA'!$AB$16)*(1-CUSTOS!$M$36)</f>
        <v>210.62138705405351</v>
      </c>
      <c r="AB289" s="6">
        <f t="shared" si="18"/>
        <v>0</v>
      </c>
      <c r="AC289" s="6">
        <f>(L289-M289)*(W289+X289)+($W$291+$X$291-$W$289-$X$289)*(L289)</f>
        <v>9250.9081500000066</v>
      </c>
      <c r="AD289" s="6">
        <f t="shared" si="19"/>
        <v>0</v>
      </c>
      <c r="AE289" s="6">
        <f ca="1">(L289-M289)*(Z289+AA289)+($Z$291+$AA$291-$Z$289-$AA$289)*(L289)</f>
        <v>9369.0649853377672</v>
      </c>
      <c r="AF289" s="4" t="s">
        <v>816</v>
      </c>
    </row>
    <row r="290" spans="1:32" ht="11.25" customHeight="1" x14ac:dyDescent="0.3">
      <c r="A290" s="4" t="s">
        <v>57</v>
      </c>
      <c r="B290" s="4" t="s">
        <v>22</v>
      </c>
      <c r="C290" s="4" t="s">
        <v>23</v>
      </c>
      <c r="D290" s="4" t="s">
        <v>24</v>
      </c>
      <c r="E290" s="4" t="s">
        <v>31</v>
      </c>
      <c r="F290" s="4" t="s">
        <v>25</v>
      </c>
      <c r="G290" s="4" t="s">
        <v>25</v>
      </c>
      <c r="H290" s="4" t="s">
        <v>25</v>
      </c>
      <c r="I290" s="5">
        <v>44835</v>
      </c>
      <c r="J290" s="6">
        <v>0</v>
      </c>
      <c r="K290" s="6">
        <v>0</v>
      </c>
      <c r="L290" s="6">
        <v>5.0000000000000001E-3</v>
      </c>
      <c r="M290" s="6">
        <v>5.0000000000000001E-3</v>
      </c>
      <c r="N290" s="6">
        <v>5.0000000000000001E-3</v>
      </c>
      <c r="O290" s="6">
        <v>5.0000000000000001E-3</v>
      </c>
      <c r="P290" s="6">
        <v>4</v>
      </c>
      <c r="Q290" s="4" t="s">
        <v>26</v>
      </c>
      <c r="R290" s="4">
        <v>0</v>
      </c>
      <c r="S290" s="4">
        <v>0</v>
      </c>
      <c r="T290" s="4">
        <v>33</v>
      </c>
      <c r="U290" s="4">
        <v>74</v>
      </c>
      <c r="V290" s="6">
        <f>IF(ISERROR(VLOOKUP($S$290,'TAR FIN'!$A$1:$O$103,15,0)),0,VLOOKUP($S$290,'TAR FIN'!$A$1:$O$103,15,0))</f>
        <v>0</v>
      </c>
      <c r="W290" s="6">
        <f>IF(ISERROR(VLOOKUP($T$290,'TAR FIN'!$A$1:$O$103,15,0)),0,VLOOKUP($T$290,'TAR FIN'!$A$1:$O$103,15,0))</f>
        <v>270.27</v>
      </c>
      <c r="X290" s="6">
        <f>IF(ISERROR(VLOOKUP($U$290,'TAR FIN'!$A$1:$O$103,15,0)),0,VLOOKUP($U$290,'TAR FIN'!$A$1:$O$103,15,0))</f>
        <v>229.65</v>
      </c>
      <c r="Y290" s="6"/>
      <c r="Z290" s="6">
        <f ca="1">('TUSD BE'!$AM$35+'TUSD BF'!$AM$35+'TUSD CVA'!$AM$35-('TUSD BE'!$P$35+'TUSD BF'!$P$35+'TUSD CVA'!$P$35)-('TUSD BE'!$Q$35+'TUSD BF'!$Q$35+'TUSD CVA'!$Q$35)-('TUSD BE'!$R$35+'TUSD BF'!$R$35+'TUSD CVA'!$R$35))*(1-CUSTOS!$M$36)</f>
        <v>295.71420329764851</v>
      </c>
      <c r="AA290" s="6">
        <f>('TE BE'!$AB$16+'TE BF'!$AB$16+'TE CVA'!$AB$16)*(1-CUSTOS!$M$36)</f>
        <v>210.62138705405351</v>
      </c>
      <c r="AB290" s="6">
        <f t="shared" si="18"/>
        <v>0</v>
      </c>
      <c r="AC290" s="6">
        <f>(L290-M290)*(W290+X290)+($W$291+$X$291-$W$290-$X$290)*(L290)</f>
        <v>0.27775000000000022</v>
      </c>
      <c r="AD290" s="6">
        <f t="shared" si="19"/>
        <v>0</v>
      </c>
      <c r="AE290" s="6">
        <f ca="1">(L290-M290)*(Z290+AA290)+($Z$291+$AA$291-$Z$290-$AA$290)*(L290)</f>
        <v>0.28129755019538977</v>
      </c>
      <c r="AF290" s="4" t="s">
        <v>816</v>
      </c>
    </row>
    <row r="291" spans="1:32" ht="11.25" customHeight="1" x14ac:dyDescent="0.3">
      <c r="A291" s="4" t="s">
        <v>21</v>
      </c>
      <c r="B291" s="4" t="s">
        <v>22</v>
      </c>
      <c r="C291" s="4" t="s">
        <v>23</v>
      </c>
      <c r="D291" s="4" t="s">
        <v>24</v>
      </c>
      <c r="E291" s="4" t="s">
        <v>32</v>
      </c>
      <c r="F291" s="4" t="s">
        <v>25</v>
      </c>
      <c r="G291" s="4" t="s">
        <v>25</v>
      </c>
      <c r="H291" s="4" t="s">
        <v>25</v>
      </c>
      <c r="I291" s="5">
        <v>44501</v>
      </c>
      <c r="J291" s="6">
        <v>0</v>
      </c>
      <c r="K291" s="6">
        <v>0</v>
      </c>
      <c r="L291" s="6">
        <v>18.216000000000001</v>
      </c>
      <c r="M291" s="6">
        <v>18.216000000000001</v>
      </c>
      <c r="N291" s="6">
        <v>18.216000000000001</v>
      </c>
      <c r="O291" s="6">
        <v>18.216000000000001</v>
      </c>
      <c r="P291" s="6">
        <v>297</v>
      </c>
      <c r="Q291" s="4" t="s">
        <v>26</v>
      </c>
      <c r="R291" s="4">
        <v>0</v>
      </c>
      <c r="S291" s="4">
        <v>0</v>
      </c>
      <c r="T291" s="4">
        <v>34</v>
      </c>
      <c r="U291" s="4">
        <v>75</v>
      </c>
      <c r="V291" s="6">
        <f>IF(ISERROR(VLOOKUP($S$291,'TAR FIN'!$A$1:$O$103,15,0)),0,VLOOKUP($S$291,'TAR FIN'!$A$1:$O$103,15,0))</f>
        <v>0</v>
      </c>
      <c r="W291" s="6">
        <f>IF(ISERROR(VLOOKUP($T$291,'TAR FIN'!$A$1:$O$103,15,0)),0,VLOOKUP($T$291,'TAR FIN'!$A$1:$O$103,15,0))</f>
        <v>300.3</v>
      </c>
      <c r="X291" s="6">
        <f>IF(ISERROR(VLOOKUP($U$291,'TAR FIN'!$A$1:$O$103,15,0)),0,VLOOKUP($U$291,'TAR FIN'!$A$1:$O$103,15,0))</f>
        <v>255.17</v>
      </c>
      <c r="Y291" s="6"/>
      <c r="Z291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291" s="6">
        <f>('TE BE'!$AB$17+'TE BF'!$AB$17+'TE CVA'!$AB$17)*(1-CUSTOS!$M$37)</f>
        <v>234.02376339339278</v>
      </c>
      <c r="AB291" s="6">
        <f t="shared" si="18"/>
        <v>0</v>
      </c>
      <c r="AC291" s="6">
        <f>(L291-M291)*(W291+X291)+($W$291+$X$291-$W$291-$X$291)*(L291)</f>
        <v>5.1772985898423943E-13</v>
      </c>
      <c r="AD291" s="6">
        <f t="shared" si="19"/>
        <v>0</v>
      </c>
      <c r="AE291" s="6">
        <f ca="1">(L291-M291)*(Z291+AA291)+($Z$291+$AA$291-$Z$291-$AA$291)*(L291)</f>
        <v>-5.1772985898423943E-13</v>
      </c>
      <c r="AF291" s="4" t="s">
        <v>816</v>
      </c>
    </row>
    <row r="292" spans="1:32" ht="11.25" customHeight="1" x14ac:dyDescent="0.3">
      <c r="A292" s="4" t="s">
        <v>21</v>
      </c>
      <c r="B292" s="4" t="s">
        <v>22</v>
      </c>
      <c r="C292" s="4" t="s">
        <v>23</v>
      </c>
      <c r="D292" s="4" t="s">
        <v>24</v>
      </c>
      <c r="E292" s="4" t="s">
        <v>32</v>
      </c>
      <c r="F292" s="4" t="s">
        <v>25</v>
      </c>
      <c r="G292" s="4" t="s">
        <v>25</v>
      </c>
      <c r="H292" s="4" t="s">
        <v>25</v>
      </c>
      <c r="I292" s="5">
        <v>44531</v>
      </c>
      <c r="J292" s="6">
        <v>0</v>
      </c>
      <c r="K292" s="6">
        <v>0</v>
      </c>
      <c r="L292" s="6">
        <v>17.201000000000001</v>
      </c>
      <c r="M292" s="6">
        <v>17.201000000000001</v>
      </c>
      <c r="N292" s="6">
        <v>17.201000000000001</v>
      </c>
      <c r="O292" s="6">
        <v>17.201000000000001</v>
      </c>
      <c r="P292" s="6">
        <v>280</v>
      </c>
      <c r="Q292" s="4" t="s">
        <v>26</v>
      </c>
      <c r="R292" s="4">
        <v>0</v>
      </c>
      <c r="S292" s="4">
        <v>0</v>
      </c>
      <c r="T292" s="4">
        <v>34</v>
      </c>
      <c r="U292" s="4">
        <v>75</v>
      </c>
      <c r="V292" s="6">
        <f>IF(ISERROR(VLOOKUP($S$292,'TAR FIN'!$A$1:$O$103,15,0)),0,VLOOKUP($S$292,'TAR FIN'!$A$1:$O$103,15,0))</f>
        <v>0</v>
      </c>
      <c r="W292" s="6">
        <f>IF(ISERROR(VLOOKUP($T$292,'TAR FIN'!$A$1:$O$103,15,0)),0,VLOOKUP($T$292,'TAR FIN'!$A$1:$O$103,15,0))</f>
        <v>300.3</v>
      </c>
      <c r="X292" s="6">
        <f>IF(ISERROR(VLOOKUP($U$292,'TAR FIN'!$A$1:$O$103,15,0)),0,VLOOKUP($U$292,'TAR FIN'!$A$1:$O$103,15,0))</f>
        <v>255.17</v>
      </c>
      <c r="Y292" s="6"/>
      <c r="Z292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292" s="6">
        <f>('TE BE'!$AB$17+'TE BF'!$AB$17+'TE CVA'!$AB$17)*(1-CUSTOS!$M$37)</f>
        <v>234.02376339339278</v>
      </c>
      <c r="AB292" s="6">
        <f t="shared" si="18"/>
        <v>0</v>
      </c>
      <c r="AC292" s="6">
        <f>(L292-M292)*(W292+X292)+($W$291+$X$291-$W$292-$X$292)*(L292)</f>
        <v>4.8888182391237935E-13</v>
      </c>
      <c r="AD292" s="6">
        <f t="shared" si="19"/>
        <v>0</v>
      </c>
      <c r="AE292" s="6">
        <f ca="1">(L292-M292)*(Z292+AA292)+($Z$291+$AA$291-$Z$292-$AA$292)*(L292)</f>
        <v>-4.8888182391237935E-13</v>
      </c>
      <c r="AF292" s="4" t="s">
        <v>816</v>
      </c>
    </row>
    <row r="293" spans="1:32" ht="11.25" customHeight="1" x14ac:dyDescent="0.3">
      <c r="A293" s="4" t="s">
        <v>21</v>
      </c>
      <c r="B293" s="4" t="s">
        <v>22</v>
      </c>
      <c r="C293" s="4" t="s">
        <v>23</v>
      </c>
      <c r="D293" s="4" t="s">
        <v>24</v>
      </c>
      <c r="E293" s="4" t="s">
        <v>32</v>
      </c>
      <c r="F293" s="4" t="s">
        <v>25</v>
      </c>
      <c r="G293" s="4" t="s">
        <v>25</v>
      </c>
      <c r="H293" s="4" t="s">
        <v>25</v>
      </c>
      <c r="I293" s="5">
        <v>44562</v>
      </c>
      <c r="J293" s="6">
        <v>0</v>
      </c>
      <c r="K293" s="6">
        <v>0</v>
      </c>
      <c r="L293" s="6">
        <v>19.754999999999999</v>
      </c>
      <c r="M293" s="6">
        <v>19.754999999999999</v>
      </c>
      <c r="N293" s="6">
        <v>19.754999999999999</v>
      </c>
      <c r="O293" s="6">
        <v>19.754999999999999</v>
      </c>
      <c r="P293" s="6">
        <v>342</v>
      </c>
      <c r="Q293" s="4" t="s">
        <v>26</v>
      </c>
      <c r="R293" s="4">
        <v>0</v>
      </c>
      <c r="S293" s="4">
        <v>0</v>
      </c>
      <c r="T293" s="4">
        <v>34</v>
      </c>
      <c r="U293" s="4">
        <v>75</v>
      </c>
      <c r="V293" s="6">
        <f>IF(ISERROR(VLOOKUP($S$293,'TAR FIN'!$A$1:$O$103,15,0)),0,VLOOKUP($S$293,'TAR FIN'!$A$1:$O$103,15,0))</f>
        <v>0</v>
      </c>
      <c r="W293" s="6">
        <f>IF(ISERROR(VLOOKUP($T$293,'TAR FIN'!$A$1:$O$103,15,0)),0,VLOOKUP($T$293,'TAR FIN'!$A$1:$O$103,15,0))</f>
        <v>300.3</v>
      </c>
      <c r="X293" s="6">
        <f>IF(ISERROR(VLOOKUP($U$293,'TAR FIN'!$A$1:$O$103,15,0)),0,VLOOKUP($U$293,'TAR FIN'!$A$1:$O$103,15,0))</f>
        <v>255.17</v>
      </c>
      <c r="Y293" s="6"/>
      <c r="Z293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293" s="6">
        <f>('TE BE'!$AB$17+'TE BF'!$AB$17+'TE CVA'!$AB$17)*(1-CUSTOS!$M$37)</f>
        <v>234.02376339339278</v>
      </c>
      <c r="AB293" s="6">
        <f t="shared" si="18"/>
        <v>0</v>
      </c>
      <c r="AC293" s="6">
        <f>(L293-M293)*(W293+X293)+($W$291+$X$291-$W$293-$X$293)*(L293)</f>
        <v>5.6147086979763114E-13</v>
      </c>
      <c r="AD293" s="6">
        <f t="shared" si="19"/>
        <v>0</v>
      </c>
      <c r="AE293" s="6">
        <f ca="1">(L293-M293)*(Z293+AA293)+($Z$291+$AA$291-$Z$293-$AA$293)*(L293)</f>
        <v>-5.6147086979763114E-13</v>
      </c>
      <c r="AF293" s="4" t="s">
        <v>816</v>
      </c>
    </row>
    <row r="294" spans="1:32" ht="11.25" customHeight="1" x14ac:dyDescent="0.3">
      <c r="A294" s="4" t="s">
        <v>21</v>
      </c>
      <c r="B294" s="4" t="s">
        <v>22</v>
      </c>
      <c r="C294" s="4" t="s">
        <v>23</v>
      </c>
      <c r="D294" s="4" t="s">
        <v>24</v>
      </c>
      <c r="E294" s="4" t="s">
        <v>32</v>
      </c>
      <c r="F294" s="4" t="s">
        <v>25</v>
      </c>
      <c r="G294" s="4" t="s">
        <v>25</v>
      </c>
      <c r="H294" s="4" t="s">
        <v>25</v>
      </c>
      <c r="I294" s="5">
        <v>44593</v>
      </c>
      <c r="J294" s="6">
        <v>0</v>
      </c>
      <c r="K294" s="6">
        <v>0</v>
      </c>
      <c r="L294" s="6">
        <v>20.62</v>
      </c>
      <c r="M294" s="6">
        <v>20.62</v>
      </c>
      <c r="N294" s="6">
        <v>20.62</v>
      </c>
      <c r="O294" s="6">
        <v>20.62</v>
      </c>
      <c r="P294" s="6">
        <v>320</v>
      </c>
      <c r="Q294" s="4" t="s">
        <v>26</v>
      </c>
      <c r="R294" s="4">
        <v>0</v>
      </c>
      <c r="S294" s="4">
        <v>0</v>
      </c>
      <c r="T294" s="4">
        <v>34</v>
      </c>
      <c r="U294" s="4">
        <v>75</v>
      </c>
      <c r="V294" s="6">
        <f>IF(ISERROR(VLOOKUP($S$294,'TAR FIN'!$A$1:$O$103,15,0)),0,VLOOKUP($S$294,'TAR FIN'!$A$1:$O$103,15,0))</f>
        <v>0</v>
      </c>
      <c r="W294" s="6">
        <f>IF(ISERROR(VLOOKUP($T$294,'TAR FIN'!$A$1:$O$103,15,0)),0,VLOOKUP($T$294,'TAR FIN'!$A$1:$O$103,15,0))</f>
        <v>300.3</v>
      </c>
      <c r="X294" s="6">
        <f>IF(ISERROR(VLOOKUP($U$294,'TAR FIN'!$A$1:$O$103,15,0)),0,VLOOKUP($U$294,'TAR FIN'!$A$1:$O$103,15,0))</f>
        <v>255.17</v>
      </c>
      <c r="Y294" s="6"/>
      <c r="Z294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294" s="6">
        <f>('TE BE'!$AB$17+'TE BF'!$AB$17+'TE CVA'!$AB$17)*(1-CUSTOS!$M$37)</f>
        <v>234.02376339339278</v>
      </c>
      <c r="AB294" s="6">
        <f t="shared" si="18"/>
        <v>0</v>
      </c>
      <c r="AC294" s="6">
        <f>(L294-M294)*(W294+X294)+($W$291+$X$291-$W$294-$X$294)*(L294)</f>
        <v>5.8605564845493066E-13</v>
      </c>
      <c r="AD294" s="6">
        <f t="shared" si="19"/>
        <v>0</v>
      </c>
      <c r="AE294" s="6">
        <f ca="1">(L294-M294)*(Z294+AA294)+($Z$291+$AA$291-$Z$294-$AA$294)*(L294)</f>
        <v>-5.8605564845493066E-13</v>
      </c>
      <c r="AF294" s="4" t="s">
        <v>816</v>
      </c>
    </row>
    <row r="295" spans="1:32" ht="11.25" customHeight="1" x14ac:dyDescent="0.3">
      <c r="A295" s="4" t="s">
        <v>21</v>
      </c>
      <c r="B295" s="4" t="s">
        <v>22</v>
      </c>
      <c r="C295" s="4" t="s">
        <v>23</v>
      </c>
      <c r="D295" s="4" t="s">
        <v>24</v>
      </c>
      <c r="E295" s="4" t="s">
        <v>32</v>
      </c>
      <c r="F295" s="4" t="s">
        <v>25</v>
      </c>
      <c r="G295" s="4" t="s">
        <v>25</v>
      </c>
      <c r="H295" s="4" t="s">
        <v>25</v>
      </c>
      <c r="I295" s="5">
        <v>44621</v>
      </c>
      <c r="J295" s="6">
        <v>0</v>
      </c>
      <c r="K295" s="6">
        <v>0</v>
      </c>
      <c r="L295" s="6">
        <v>15.47</v>
      </c>
      <c r="M295" s="6">
        <v>15.47</v>
      </c>
      <c r="N295" s="6">
        <v>15.47</v>
      </c>
      <c r="O295" s="6">
        <v>15.47</v>
      </c>
      <c r="P295" s="6">
        <v>256</v>
      </c>
      <c r="Q295" s="4" t="s">
        <v>26</v>
      </c>
      <c r="R295" s="4">
        <v>0</v>
      </c>
      <c r="S295" s="4">
        <v>0</v>
      </c>
      <c r="T295" s="4">
        <v>34</v>
      </c>
      <c r="U295" s="4">
        <v>75</v>
      </c>
      <c r="V295" s="6">
        <f>IF(ISERROR(VLOOKUP($S$295,'TAR FIN'!$A$1:$O$103,15,0)),0,VLOOKUP($S$295,'TAR FIN'!$A$1:$O$103,15,0))</f>
        <v>0</v>
      </c>
      <c r="W295" s="6">
        <f>IF(ISERROR(VLOOKUP($T$295,'TAR FIN'!$A$1:$O$103,15,0)),0,VLOOKUP($T$295,'TAR FIN'!$A$1:$O$103,15,0))</f>
        <v>300.3</v>
      </c>
      <c r="X295" s="6">
        <f>IF(ISERROR(VLOOKUP($U$295,'TAR FIN'!$A$1:$O$103,15,0)),0,VLOOKUP($U$295,'TAR FIN'!$A$1:$O$103,15,0))</f>
        <v>255.17</v>
      </c>
      <c r="Y295" s="6"/>
      <c r="Z295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295" s="6">
        <f>('TE BE'!$AB$17+'TE BF'!$AB$17+'TE CVA'!$AB$17)*(1-CUSTOS!$M$37)</f>
        <v>234.02376339339278</v>
      </c>
      <c r="AB295" s="6">
        <f t="shared" si="18"/>
        <v>0</v>
      </c>
      <c r="AC295" s="6">
        <f>(L295-M295)*(W295+X295)+($W$291+$X$291-$W$295-$X$295)*(L295)</f>
        <v>4.3968384488835001E-13</v>
      </c>
      <c r="AD295" s="6">
        <f t="shared" si="19"/>
        <v>0</v>
      </c>
      <c r="AE295" s="6">
        <f ca="1">(L295-M295)*(Z295+AA295)+($Z$291+$AA$291-$Z$295-$AA$295)*(L295)</f>
        <v>-4.3968384488835001E-13</v>
      </c>
      <c r="AF295" s="4" t="s">
        <v>816</v>
      </c>
    </row>
    <row r="296" spans="1:32" ht="11.25" customHeight="1" x14ac:dyDescent="0.3">
      <c r="A296" s="4" t="s">
        <v>21</v>
      </c>
      <c r="B296" s="4" t="s">
        <v>22</v>
      </c>
      <c r="C296" s="4" t="s">
        <v>23</v>
      </c>
      <c r="D296" s="4" t="s">
        <v>24</v>
      </c>
      <c r="E296" s="4" t="s">
        <v>32</v>
      </c>
      <c r="F296" s="4" t="s">
        <v>25</v>
      </c>
      <c r="G296" s="4" t="s">
        <v>25</v>
      </c>
      <c r="H296" s="4" t="s">
        <v>25</v>
      </c>
      <c r="I296" s="5">
        <v>44652</v>
      </c>
      <c r="J296" s="6">
        <v>0</v>
      </c>
      <c r="K296" s="6">
        <v>0</v>
      </c>
      <c r="L296" s="6">
        <v>38.283999999999999</v>
      </c>
      <c r="M296" s="6">
        <v>38.283999999999999</v>
      </c>
      <c r="N296" s="6">
        <v>38.283999999999999</v>
      </c>
      <c r="O296" s="6">
        <v>38.283999999999999</v>
      </c>
      <c r="P296" s="6">
        <v>522</v>
      </c>
      <c r="Q296" s="4" t="s">
        <v>26</v>
      </c>
      <c r="R296" s="4">
        <v>0</v>
      </c>
      <c r="S296" s="4">
        <v>0</v>
      </c>
      <c r="T296" s="4">
        <v>34</v>
      </c>
      <c r="U296" s="4">
        <v>75</v>
      </c>
      <c r="V296" s="6">
        <f>IF(ISERROR(VLOOKUP($S$296,'TAR FIN'!$A$1:$O$103,15,0)),0,VLOOKUP($S$296,'TAR FIN'!$A$1:$O$103,15,0))</f>
        <v>0</v>
      </c>
      <c r="W296" s="6">
        <f>IF(ISERROR(VLOOKUP($T$296,'TAR FIN'!$A$1:$O$103,15,0)),0,VLOOKUP($T$296,'TAR FIN'!$A$1:$O$103,15,0))</f>
        <v>300.3</v>
      </c>
      <c r="X296" s="6">
        <f>IF(ISERROR(VLOOKUP($U$296,'TAR FIN'!$A$1:$O$103,15,0)),0,VLOOKUP($U$296,'TAR FIN'!$A$1:$O$103,15,0))</f>
        <v>255.17</v>
      </c>
      <c r="Y296" s="6"/>
      <c r="Z296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296" s="6">
        <f>('TE BE'!$AB$17+'TE BF'!$AB$17+'TE CVA'!$AB$17)*(1-CUSTOS!$M$37)</f>
        <v>234.02376339339278</v>
      </c>
      <c r="AB296" s="6">
        <f t="shared" si="18"/>
        <v>0</v>
      </c>
      <c r="AC296" s="6">
        <f>(L296-M296)*(W296+X296)+($W$291+$X$291-$W$296-$X$296)*(L296)</f>
        <v>1.088096723833587E-12</v>
      </c>
      <c r="AD296" s="6">
        <f t="shared" si="19"/>
        <v>0</v>
      </c>
      <c r="AE296" s="6">
        <f ca="1">(L296-M296)*(Z296+AA296)+($Z$291+$AA$291-$Z$296-$AA$296)*(L296)</f>
        <v>-1.088096723833587E-12</v>
      </c>
      <c r="AF296" s="4" t="s">
        <v>816</v>
      </c>
    </row>
    <row r="297" spans="1:32" ht="11.25" customHeight="1" x14ac:dyDescent="0.3">
      <c r="A297" s="4" t="s">
        <v>21</v>
      </c>
      <c r="B297" s="4" t="s">
        <v>22</v>
      </c>
      <c r="C297" s="4" t="s">
        <v>23</v>
      </c>
      <c r="D297" s="4" t="s">
        <v>24</v>
      </c>
      <c r="E297" s="4" t="s">
        <v>32</v>
      </c>
      <c r="F297" s="4" t="s">
        <v>25</v>
      </c>
      <c r="G297" s="4" t="s">
        <v>25</v>
      </c>
      <c r="H297" s="4" t="s">
        <v>25</v>
      </c>
      <c r="I297" s="5">
        <v>44682</v>
      </c>
      <c r="J297" s="6">
        <v>0</v>
      </c>
      <c r="K297" s="6">
        <v>0</v>
      </c>
      <c r="L297" s="6">
        <v>30.593</v>
      </c>
      <c r="M297" s="6">
        <v>30.593</v>
      </c>
      <c r="N297" s="6">
        <v>30.593</v>
      </c>
      <c r="O297" s="6">
        <v>30.593</v>
      </c>
      <c r="P297" s="6">
        <v>432</v>
      </c>
      <c r="Q297" s="4" t="s">
        <v>26</v>
      </c>
      <c r="R297" s="4">
        <v>0</v>
      </c>
      <c r="S297" s="4">
        <v>0</v>
      </c>
      <c r="T297" s="4">
        <v>34</v>
      </c>
      <c r="U297" s="4">
        <v>75</v>
      </c>
      <c r="V297" s="6">
        <f>IF(ISERROR(VLOOKUP($S$297,'TAR FIN'!$A$1:$O$103,15,0)),0,VLOOKUP($S$297,'TAR FIN'!$A$1:$O$103,15,0))</f>
        <v>0</v>
      </c>
      <c r="W297" s="6">
        <f>IF(ISERROR(VLOOKUP($T$297,'TAR FIN'!$A$1:$O$103,15,0)),0,VLOOKUP($T$297,'TAR FIN'!$A$1:$O$103,15,0))</f>
        <v>300.3</v>
      </c>
      <c r="X297" s="6">
        <f>IF(ISERROR(VLOOKUP($U$297,'TAR FIN'!$A$1:$O$103,15,0)),0,VLOOKUP($U$297,'TAR FIN'!$A$1:$O$103,15,0))</f>
        <v>255.17</v>
      </c>
      <c r="Y297" s="6"/>
      <c r="Z297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297" s="6">
        <f>('TE BE'!$AB$17+'TE BF'!$AB$17+'TE CVA'!$AB$17)*(1-CUSTOS!$M$37)</f>
        <v>234.02376339339278</v>
      </c>
      <c r="AB297" s="6">
        <f t="shared" si="18"/>
        <v>0</v>
      </c>
      <c r="AC297" s="6">
        <f>(L297-M297)*(W297+X297)+($W$291+$X$291-$W$297-$X$297)*(L297)</f>
        <v>8.695053566043498E-13</v>
      </c>
      <c r="AD297" s="6">
        <f t="shared" si="19"/>
        <v>0</v>
      </c>
      <c r="AE297" s="6">
        <f ca="1">(L297-M297)*(Z297+AA297)+($Z$291+$AA$291-$Z$297-$AA$297)*(L297)</f>
        <v>-8.695053566043498E-13</v>
      </c>
      <c r="AF297" s="4" t="s">
        <v>816</v>
      </c>
    </row>
    <row r="298" spans="1:32" ht="11.25" customHeight="1" x14ac:dyDescent="0.3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32</v>
      </c>
      <c r="F298" s="4" t="s">
        <v>25</v>
      </c>
      <c r="G298" s="4" t="s">
        <v>25</v>
      </c>
      <c r="H298" s="4" t="s">
        <v>25</v>
      </c>
      <c r="I298" s="5">
        <v>44713</v>
      </c>
      <c r="J298" s="6">
        <v>0</v>
      </c>
      <c r="K298" s="6">
        <v>0</v>
      </c>
      <c r="L298" s="6">
        <v>15.170999999999999</v>
      </c>
      <c r="M298" s="6">
        <v>15.170999999999999</v>
      </c>
      <c r="N298" s="6">
        <v>15.170999999999999</v>
      </c>
      <c r="O298" s="6">
        <v>15.170999999999999</v>
      </c>
      <c r="P298" s="6">
        <v>253</v>
      </c>
      <c r="Q298" s="4" t="s">
        <v>26</v>
      </c>
      <c r="R298" s="4">
        <v>0</v>
      </c>
      <c r="S298" s="4">
        <v>0</v>
      </c>
      <c r="T298" s="4">
        <v>34</v>
      </c>
      <c r="U298" s="4">
        <v>75</v>
      </c>
      <c r="V298" s="6">
        <f>IF(ISERROR(VLOOKUP($S$298,'TAR FIN'!$A$1:$O$103,15,0)),0,VLOOKUP($S$298,'TAR FIN'!$A$1:$O$103,15,0))</f>
        <v>0</v>
      </c>
      <c r="W298" s="6">
        <f>IF(ISERROR(VLOOKUP($T$298,'TAR FIN'!$A$1:$O$103,15,0)),0,VLOOKUP($T$298,'TAR FIN'!$A$1:$O$103,15,0))</f>
        <v>300.3</v>
      </c>
      <c r="X298" s="6">
        <f>IF(ISERROR(VLOOKUP($U$298,'TAR FIN'!$A$1:$O$103,15,0)),0,VLOOKUP($U$298,'TAR FIN'!$A$1:$O$103,15,0))</f>
        <v>255.17</v>
      </c>
      <c r="Y298" s="6"/>
      <c r="Z298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298" s="6">
        <f>('TE BE'!$AB$17+'TE BF'!$AB$17+'TE CVA'!$AB$17)*(1-CUSTOS!$M$37)</f>
        <v>234.02376339339278</v>
      </c>
      <c r="AB298" s="6">
        <f t="shared" si="18"/>
        <v>0</v>
      </c>
      <c r="AC298" s="6">
        <f>(L298-M298)*(W298+X298)+($W$291+$X$291-$W$298-$X$298)*(L298)</f>
        <v>4.3118575376865918E-13</v>
      </c>
      <c r="AD298" s="6">
        <f t="shared" si="19"/>
        <v>0</v>
      </c>
      <c r="AE298" s="6">
        <f ca="1">(L298-M298)*(Z298+AA298)+($Z$291+$AA$291-$Z$298-$AA$298)*(L298)</f>
        <v>-4.3118575376865918E-13</v>
      </c>
      <c r="AF298" s="4" t="s">
        <v>816</v>
      </c>
    </row>
    <row r="299" spans="1:32" ht="11.25" customHeight="1" x14ac:dyDescent="0.3">
      <c r="A299" s="4" t="s">
        <v>21</v>
      </c>
      <c r="B299" s="4" t="s">
        <v>22</v>
      </c>
      <c r="C299" s="4" t="s">
        <v>23</v>
      </c>
      <c r="D299" s="4" t="s">
        <v>24</v>
      </c>
      <c r="E299" s="4" t="s">
        <v>32</v>
      </c>
      <c r="F299" s="4" t="s">
        <v>25</v>
      </c>
      <c r="G299" s="4" t="s">
        <v>25</v>
      </c>
      <c r="H299" s="4" t="s">
        <v>25</v>
      </c>
      <c r="I299" s="5">
        <v>44743</v>
      </c>
      <c r="J299" s="6">
        <v>0</v>
      </c>
      <c r="K299" s="6">
        <v>0</v>
      </c>
      <c r="L299" s="6">
        <v>20.350999999999999</v>
      </c>
      <c r="M299" s="6">
        <v>20.350999999999999</v>
      </c>
      <c r="N299" s="6">
        <v>20.350999999999999</v>
      </c>
      <c r="O299" s="6">
        <v>20.350999999999999</v>
      </c>
      <c r="P299" s="6">
        <v>347</v>
      </c>
      <c r="Q299" s="4" t="s">
        <v>26</v>
      </c>
      <c r="R299" s="4">
        <v>0</v>
      </c>
      <c r="S299" s="4">
        <v>0</v>
      </c>
      <c r="T299" s="4">
        <v>34</v>
      </c>
      <c r="U299" s="4">
        <v>75</v>
      </c>
      <c r="V299" s="6">
        <f>IF(ISERROR(VLOOKUP($S$299,'TAR FIN'!$A$1:$O$103,15,0)),0,VLOOKUP($S$299,'TAR FIN'!$A$1:$O$103,15,0))</f>
        <v>0</v>
      </c>
      <c r="W299" s="6">
        <f>IF(ISERROR(VLOOKUP($T$299,'TAR FIN'!$A$1:$O$103,15,0)),0,VLOOKUP($T$299,'TAR FIN'!$A$1:$O$103,15,0))</f>
        <v>300.3</v>
      </c>
      <c r="X299" s="6">
        <f>IF(ISERROR(VLOOKUP($U$299,'TAR FIN'!$A$1:$O$103,15,0)),0,VLOOKUP($U$299,'TAR FIN'!$A$1:$O$103,15,0))</f>
        <v>255.17</v>
      </c>
      <c r="Y299" s="6"/>
      <c r="Z299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299" s="6">
        <f>('TE BE'!$AB$17+'TE BF'!$AB$17+'TE CVA'!$AB$17)*(1-CUSTOS!$M$37)</f>
        <v>234.02376339339278</v>
      </c>
      <c r="AB299" s="6">
        <f t="shared" si="18"/>
        <v>0</v>
      </c>
      <c r="AC299" s="6">
        <f>(L299-M299)*(W299+X299)+($W$291+$X$291-$W$299-$X$299)*(L299)</f>
        <v>5.7841020861815193E-13</v>
      </c>
      <c r="AD299" s="6">
        <f t="shared" si="19"/>
        <v>0</v>
      </c>
      <c r="AE299" s="6">
        <f ca="1">(L299-M299)*(Z299+AA299)+($Z$291+$AA$291-$Z$299-$AA$299)*(L299)</f>
        <v>-5.7841020861815193E-13</v>
      </c>
      <c r="AF299" s="4" t="s">
        <v>816</v>
      </c>
    </row>
    <row r="300" spans="1:32" ht="11.25" customHeight="1" x14ac:dyDescent="0.3">
      <c r="A300" s="4" t="s">
        <v>21</v>
      </c>
      <c r="B300" s="4" t="s">
        <v>22</v>
      </c>
      <c r="C300" s="4" t="s">
        <v>23</v>
      </c>
      <c r="D300" s="4" t="s">
        <v>24</v>
      </c>
      <c r="E300" s="4" t="s">
        <v>32</v>
      </c>
      <c r="F300" s="4" t="s">
        <v>25</v>
      </c>
      <c r="G300" s="4" t="s">
        <v>25</v>
      </c>
      <c r="H300" s="4" t="s">
        <v>25</v>
      </c>
      <c r="I300" s="5">
        <v>44774</v>
      </c>
      <c r="J300" s="6">
        <v>0</v>
      </c>
      <c r="K300" s="6">
        <v>0</v>
      </c>
      <c r="L300" s="6">
        <v>15.516</v>
      </c>
      <c r="M300" s="6">
        <v>15.516</v>
      </c>
      <c r="N300" s="6">
        <v>15.516</v>
      </c>
      <c r="O300" s="6">
        <v>15.516</v>
      </c>
      <c r="P300" s="6">
        <v>264</v>
      </c>
      <c r="Q300" s="4" t="s">
        <v>26</v>
      </c>
      <c r="R300" s="4">
        <v>0</v>
      </c>
      <c r="S300" s="4">
        <v>0</v>
      </c>
      <c r="T300" s="4">
        <v>34</v>
      </c>
      <c r="U300" s="4">
        <v>75</v>
      </c>
      <c r="V300" s="6">
        <f>IF(ISERROR(VLOOKUP($S$300,'TAR FIN'!$A$1:$O$103,15,0)),0,VLOOKUP($S$300,'TAR FIN'!$A$1:$O$103,15,0))</f>
        <v>0</v>
      </c>
      <c r="W300" s="6">
        <f>IF(ISERROR(VLOOKUP($T$300,'TAR FIN'!$A$1:$O$103,15,0)),0,VLOOKUP($T$300,'TAR FIN'!$A$1:$O$103,15,0))</f>
        <v>300.3</v>
      </c>
      <c r="X300" s="6">
        <f>IF(ISERROR(VLOOKUP($U$300,'TAR FIN'!$A$1:$O$103,15,0)),0,VLOOKUP($U$300,'TAR FIN'!$A$1:$O$103,15,0))</f>
        <v>255.17</v>
      </c>
      <c r="Y300" s="6"/>
      <c r="Z300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300" s="6">
        <f>('TE BE'!$AB$17+'TE BF'!$AB$17+'TE CVA'!$AB$17)*(1-CUSTOS!$M$37)</f>
        <v>234.02376339339278</v>
      </c>
      <c r="AB300" s="6">
        <f t="shared" si="18"/>
        <v>0</v>
      </c>
      <c r="AC300" s="6">
        <f>(L300-M300)*(W300+X300)+($W$291+$X$291-$W$300-$X$300)*(L300)</f>
        <v>4.4099124352214858E-13</v>
      </c>
      <c r="AD300" s="6">
        <f t="shared" si="19"/>
        <v>0</v>
      </c>
      <c r="AE300" s="6">
        <f ca="1">(L300-M300)*(Z300+AA300)+($Z$291+$AA$291-$Z$300-$AA$300)*(L300)</f>
        <v>-4.4099124352214858E-13</v>
      </c>
      <c r="AF300" s="4" t="s">
        <v>816</v>
      </c>
    </row>
    <row r="301" spans="1:32" ht="11.25" customHeight="1" x14ac:dyDescent="0.3">
      <c r="A301" s="4" t="s">
        <v>21</v>
      </c>
      <c r="B301" s="4" t="s">
        <v>22</v>
      </c>
      <c r="C301" s="4" t="s">
        <v>23</v>
      </c>
      <c r="D301" s="4" t="s">
        <v>24</v>
      </c>
      <c r="E301" s="4" t="s">
        <v>32</v>
      </c>
      <c r="F301" s="4" t="s">
        <v>25</v>
      </c>
      <c r="G301" s="4" t="s">
        <v>25</v>
      </c>
      <c r="H301" s="4" t="s">
        <v>25</v>
      </c>
      <c r="I301" s="5">
        <v>44805</v>
      </c>
      <c r="J301" s="6">
        <v>0</v>
      </c>
      <c r="K301" s="6">
        <v>0</v>
      </c>
      <c r="L301" s="6">
        <v>36.475000000000001</v>
      </c>
      <c r="M301" s="6">
        <v>36.475000000000001</v>
      </c>
      <c r="N301" s="6">
        <v>36.475000000000001</v>
      </c>
      <c r="O301" s="6">
        <v>36.475000000000001</v>
      </c>
      <c r="P301" s="6">
        <v>524</v>
      </c>
      <c r="Q301" s="4" t="s">
        <v>26</v>
      </c>
      <c r="R301" s="4">
        <v>0</v>
      </c>
      <c r="S301" s="4">
        <v>0</v>
      </c>
      <c r="T301" s="4">
        <v>34</v>
      </c>
      <c r="U301" s="4">
        <v>75</v>
      </c>
      <c r="V301" s="6">
        <f>IF(ISERROR(VLOOKUP($S$301,'TAR FIN'!$A$1:$O$103,15,0)),0,VLOOKUP($S$301,'TAR FIN'!$A$1:$O$103,15,0))</f>
        <v>0</v>
      </c>
      <c r="W301" s="6">
        <f>IF(ISERROR(VLOOKUP($T$301,'TAR FIN'!$A$1:$O$103,15,0)),0,VLOOKUP($T$301,'TAR FIN'!$A$1:$O$103,15,0))</f>
        <v>300.3</v>
      </c>
      <c r="X301" s="6">
        <f>IF(ISERROR(VLOOKUP($U$301,'TAR FIN'!$A$1:$O$103,15,0)),0,VLOOKUP($U$301,'TAR FIN'!$A$1:$O$103,15,0))</f>
        <v>255.17</v>
      </c>
      <c r="Y301" s="6"/>
      <c r="Z301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301" s="6">
        <f>('TE BE'!$AB$17+'TE BF'!$AB$17+'TE CVA'!$AB$17)*(1-CUSTOS!$M$37)</f>
        <v>234.02376339339278</v>
      </c>
      <c r="AB301" s="6">
        <f t="shared" si="18"/>
        <v>0</v>
      </c>
      <c r="AC301" s="6">
        <f>(L301-M301)*(W301+X301)+($W$291+$X$291-$W$301-$X$301)*(L301)</f>
        <v>1.0366818514739862E-12</v>
      </c>
      <c r="AD301" s="6">
        <f t="shared" si="19"/>
        <v>0</v>
      </c>
      <c r="AE301" s="6">
        <f ca="1">(L301-M301)*(Z301+AA301)+($Z$291+$AA$291-$Z$301-$AA$301)*(L301)</f>
        <v>-1.0366818514739862E-12</v>
      </c>
      <c r="AF301" s="4" t="s">
        <v>816</v>
      </c>
    </row>
    <row r="302" spans="1:32" ht="11.25" customHeight="1" x14ac:dyDescent="0.3">
      <c r="A302" s="4" t="s">
        <v>57</v>
      </c>
      <c r="B302" s="4" t="s">
        <v>22</v>
      </c>
      <c r="C302" s="4" t="s">
        <v>23</v>
      </c>
      <c r="D302" s="4" t="s">
        <v>24</v>
      </c>
      <c r="E302" s="4" t="s">
        <v>32</v>
      </c>
      <c r="F302" s="4" t="s">
        <v>25</v>
      </c>
      <c r="G302" s="4" t="s">
        <v>25</v>
      </c>
      <c r="H302" s="4" t="s">
        <v>25</v>
      </c>
      <c r="I302" s="5">
        <v>44835</v>
      </c>
      <c r="J302" s="6">
        <v>0</v>
      </c>
      <c r="K302" s="6">
        <v>0</v>
      </c>
      <c r="L302" s="6">
        <v>36.475000000000001</v>
      </c>
      <c r="M302" s="6">
        <v>36.475000000000001</v>
      </c>
      <c r="N302" s="6">
        <v>36.475000000000001</v>
      </c>
      <c r="O302" s="6">
        <v>36.475000000000001</v>
      </c>
      <c r="P302" s="6">
        <v>524</v>
      </c>
      <c r="Q302" s="4" t="s">
        <v>26</v>
      </c>
      <c r="R302" s="4">
        <v>0</v>
      </c>
      <c r="S302" s="4">
        <v>0</v>
      </c>
      <c r="T302" s="4">
        <v>34</v>
      </c>
      <c r="U302" s="4">
        <v>75</v>
      </c>
      <c r="V302" s="6">
        <f>IF(ISERROR(VLOOKUP($S$302,'TAR FIN'!$A$1:$O$103,15,0)),0,VLOOKUP($S$302,'TAR FIN'!$A$1:$O$103,15,0))</f>
        <v>0</v>
      </c>
      <c r="W302" s="6">
        <f>IF(ISERROR(VLOOKUP($T$302,'TAR FIN'!$A$1:$O$103,15,0)),0,VLOOKUP($T$302,'TAR FIN'!$A$1:$O$103,15,0))</f>
        <v>300.3</v>
      </c>
      <c r="X302" s="6">
        <f>IF(ISERROR(VLOOKUP($U$302,'TAR FIN'!$A$1:$O$103,15,0)),0,VLOOKUP($U$302,'TAR FIN'!$A$1:$O$103,15,0))</f>
        <v>255.17</v>
      </c>
      <c r="Y302" s="6"/>
      <c r="Z302" s="6">
        <f ca="1">('TUSD BE'!$AM$36+'TUSD BF'!$AM$36+'TUSD CVA'!$AM$36-('TUSD BE'!$P$36+'TUSD BF'!$P$36+'TUSD CVA'!$P$36)-('TUSD BE'!$Q$36+'TUSD BF'!$Q$36+'TUSD CVA'!$Q$36)-('TUSD BE'!$R$36+'TUSD BF'!$R$36+'TUSD CVA'!$R$36))*(1-CUSTOS!$M$37)</f>
        <v>328.57133699738722</v>
      </c>
      <c r="AA302" s="6">
        <f>('TE BE'!$AB$17+'TE BF'!$AB$17+'TE CVA'!$AB$17)*(1-CUSTOS!$M$37)</f>
        <v>234.02376339339278</v>
      </c>
      <c r="AB302" s="6">
        <f t="shared" si="18"/>
        <v>0</v>
      </c>
      <c r="AC302" s="6">
        <f>(L302-M302)*(W302+X302)+($W$291+$X$291-$W$302-$X$302)*(L302)</f>
        <v>1.0366818514739862E-12</v>
      </c>
      <c r="AD302" s="6">
        <f t="shared" si="19"/>
        <v>0</v>
      </c>
      <c r="AE302" s="6">
        <f ca="1">(L302-M302)*(Z302+AA302)+($Z$291+$AA$291-$Z$302-$AA$302)*(L302)</f>
        <v>-1.0366818514739862E-12</v>
      </c>
      <c r="AF302" s="4" t="s">
        <v>816</v>
      </c>
    </row>
    <row r="303" spans="1:32" ht="11.25" customHeight="1" x14ac:dyDescent="0.3">
      <c r="A303" s="4" t="s">
        <v>21</v>
      </c>
      <c r="B303" s="4" t="s">
        <v>43</v>
      </c>
      <c r="C303" s="4" t="s">
        <v>23</v>
      </c>
      <c r="D303" s="4" t="s">
        <v>44</v>
      </c>
      <c r="E303" s="4" t="s">
        <v>53</v>
      </c>
      <c r="F303" s="4" t="s">
        <v>54</v>
      </c>
      <c r="G303" s="4" t="s">
        <v>25</v>
      </c>
      <c r="H303" s="4" t="s">
        <v>25</v>
      </c>
      <c r="I303" s="5">
        <v>44501</v>
      </c>
      <c r="J303" s="6">
        <v>0</v>
      </c>
      <c r="K303" s="6">
        <v>0</v>
      </c>
      <c r="L303" s="6">
        <v>20.692</v>
      </c>
      <c r="M303" s="6">
        <v>20.692</v>
      </c>
      <c r="N303" s="6">
        <v>20.692</v>
      </c>
      <c r="O303" s="6">
        <v>20.692</v>
      </c>
      <c r="P303" s="6">
        <v>0</v>
      </c>
      <c r="Q303" s="4" t="s">
        <v>26</v>
      </c>
      <c r="R303" s="4">
        <v>0</v>
      </c>
      <c r="S303" s="4">
        <v>0</v>
      </c>
      <c r="T303" s="4">
        <v>43</v>
      </c>
      <c r="U303" s="4">
        <v>84</v>
      </c>
      <c r="V303" s="6">
        <f>IF(ISERROR(VLOOKUP($S$303,'TAR FIN'!$A$1:$O$103,15,0)),0,VLOOKUP($S$303,'TAR FIN'!$A$1:$O$103,15,0))</f>
        <v>0</v>
      </c>
      <c r="W303" s="6">
        <f>IF(ISERROR(VLOOKUP($T$303,'TAR FIN'!$A$1:$O$103,15,0)),0,VLOOKUP($T$303,'TAR FIN'!$A$1:$O$103,15,0))</f>
        <v>334.07</v>
      </c>
      <c r="X303" s="6">
        <f>IF(ISERROR(VLOOKUP($U$303,'TAR FIN'!$A$1:$O$103,15,0)),0,VLOOKUP($U$303,'TAR FIN'!$A$1:$O$103,15,0))</f>
        <v>224.55</v>
      </c>
      <c r="Y303" s="6"/>
      <c r="Z303" s="6">
        <f ca="1">('TUSD BE'!$AM$45+'TUSD BF'!$AM$45+'TUSD CVA'!$AM$45)*(1-CUSTOS!$M$38)</f>
        <v>453.14332034419533</v>
      </c>
      <c r="AA303" s="6">
        <f>('TE BE'!$AB$26+'TE BF'!$AB$26+'TE CVA'!$AB$26)*(1-CUSTOS!$M$38)</f>
        <v>219.98233758978921</v>
      </c>
      <c r="AB303" s="6">
        <f t="shared" si="18"/>
        <v>0</v>
      </c>
      <c r="AC303" s="6">
        <f>(L303-M303)*(W303+X303)+($W$247+$X$247-$W$303-$X$303)*(L303)</f>
        <v>1576.1096399999992</v>
      </c>
      <c r="AD303" s="6">
        <f t="shared" si="19"/>
        <v>0</v>
      </c>
      <c r="AE303" s="6">
        <f ca="1">(L303-M303)*(Z303+AA303)+($Z$247+$AA$247-$Z$303-$AA$303)*(L303)</f>
        <v>889.04145408319221</v>
      </c>
      <c r="AF303" s="4" t="s">
        <v>811</v>
      </c>
    </row>
    <row r="304" spans="1:32" ht="11.25" customHeight="1" x14ac:dyDescent="0.3">
      <c r="A304" s="4" t="s">
        <v>21</v>
      </c>
      <c r="B304" s="4" t="s">
        <v>43</v>
      </c>
      <c r="C304" s="4" t="s">
        <v>23</v>
      </c>
      <c r="D304" s="4" t="s">
        <v>44</v>
      </c>
      <c r="E304" s="4" t="s">
        <v>53</v>
      </c>
      <c r="F304" s="4" t="s">
        <v>54</v>
      </c>
      <c r="G304" s="4" t="s">
        <v>25</v>
      </c>
      <c r="H304" s="4" t="s">
        <v>25</v>
      </c>
      <c r="I304" s="5">
        <v>44531</v>
      </c>
      <c r="J304" s="6">
        <v>0</v>
      </c>
      <c r="K304" s="6">
        <v>0</v>
      </c>
      <c r="L304" s="6">
        <v>6.3330000000000002</v>
      </c>
      <c r="M304" s="6">
        <v>6.3330000000000002</v>
      </c>
      <c r="N304" s="6">
        <v>6.3330000000000002</v>
      </c>
      <c r="O304" s="6">
        <v>6.3330000000000002</v>
      </c>
      <c r="P304" s="6">
        <v>0</v>
      </c>
      <c r="Q304" s="4" t="s">
        <v>26</v>
      </c>
      <c r="R304" s="4">
        <v>0</v>
      </c>
      <c r="S304" s="4">
        <v>0</v>
      </c>
      <c r="T304" s="4">
        <v>43</v>
      </c>
      <c r="U304" s="4">
        <v>84</v>
      </c>
      <c r="V304" s="6">
        <f>IF(ISERROR(VLOOKUP($S$304,'TAR FIN'!$A$1:$O$103,15,0)),0,VLOOKUP($S$304,'TAR FIN'!$A$1:$O$103,15,0))</f>
        <v>0</v>
      </c>
      <c r="W304" s="6">
        <f>IF(ISERROR(VLOOKUP($T$304,'TAR FIN'!$A$1:$O$103,15,0)),0,VLOOKUP($T$304,'TAR FIN'!$A$1:$O$103,15,0))</f>
        <v>334.07</v>
      </c>
      <c r="X304" s="6">
        <f>IF(ISERROR(VLOOKUP($U$304,'TAR FIN'!$A$1:$O$103,15,0)),0,VLOOKUP($U$304,'TAR FIN'!$A$1:$O$103,15,0))</f>
        <v>224.55</v>
      </c>
      <c r="Y304" s="6"/>
      <c r="Z304" s="6">
        <f ca="1">('TUSD BE'!$AM$45+'TUSD BF'!$AM$45+'TUSD CVA'!$AM$45)*(1-CUSTOS!$M$38)</f>
        <v>453.14332034419533</v>
      </c>
      <c r="AA304" s="6">
        <f>('TE BE'!$AB$26+'TE BF'!$AB$26+'TE CVA'!$AB$26)*(1-CUSTOS!$M$38)</f>
        <v>219.98233758978921</v>
      </c>
      <c r="AB304" s="6">
        <f t="shared" si="18"/>
        <v>0</v>
      </c>
      <c r="AC304" s="6">
        <f>(L304-M304)*(W304+X304)+($W$247+$X$247-$W$304-$X$304)*(L304)</f>
        <v>482.38460999999978</v>
      </c>
      <c r="AD304" s="6">
        <f t="shared" si="19"/>
        <v>0</v>
      </c>
      <c r="AE304" s="6">
        <f ca="1">(L304-M304)*(Z304+AA304)+($Z$247+$AA$247-$Z$304-$AA$304)*(L304)</f>
        <v>272.1003058529314</v>
      </c>
      <c r="AF304" s="4" t="s">
        <v>811</v>
      </c>
    </row>
    <row r="305" spans="1:32" ht="11.25" customHeight="1" x14ac:dyDescent="0.3">
      <c r="A305" s="4" t="s">
        <v>21</v>
      </c>
      <c r="B305" s="4" t="s">
        <v>43</v>
      </c>
      <c r="C305" s="4" t="s">
        <v>23</v>
      </c>
      <c r="D305" s="4" t="s">
        <v>44</v>
      </c>
      <c r="E305" s="4" t="s">
        <v>53</v>
      </c>
      <c r="F305" s="4" t="s">
        <v>54</v>
      </c>
      <c r="G305" s="4" t="s">
        <v>25</v>
      </c>
      <c r="H305" s="4" t="s">
        <v>25</v>
      </c>
      <c r="I305" s="5">
        <v>44562</v>
      </c>
      <c r="J305" s="6">
        <v>0</v>
      </c>
      <c r="K305" s="6">
        <v>0</v>
      </c>
      <c r="L305" s="6">
        <v>3.2189999999999999</v>
      </c>
      <c r="M305" s="6">
        <v>3.2189999999999999</v>
      </c>
      <c r="N305" s="6">
        <v>3.2189999999999999</v>
      </c>
      <c r="O305" s="6">
        <v>3.2189999999999999</v>
      </c>
      <c r="P305" s="6">
        <v>0</v>
      </c>
      <c r="Q305" s="4" t="s">
        <v>26</v>
      </c>
      <c r="R305" s="4">
        <v>0</v>
      </c>
      <c r="S305" s="4">
        <v>0</v>
      </c>
      <c r="T305" s="4">
        <v>43</v>
      </c>
      <c r="U305" s="4">
        <v>84</v>
      </c>
      <c r="V305" s="6">
        <f>IF(ISERROR(VLOOKUP($S$305,'TAR FIN'!$A$1:$O$103,15,0)),0,VLOOKUP($S$305,'TAR FIN'!$A$1:$O$103,15,0))</f>
        <v>0</v>
      </c>
      <c r="W305" s="6">
        <f>IF(ISERROR(VLOOKUP($T$305,'TAR FIN'!$A$1:$O$103,15,0)),0,VLOOKUP($T$305,'TAR FIN'!$A$1:$O$103,15,0))</f>
        <v>334.07</v>
      </c>
      <c r="X305" s="6">
        <f>IF(ISERROR(VLOOKUP($U$305,'TAR FIN'!$A$1:$O$103,15,0)),0,VLOOKUP($U$305,'TAR FIN'!$A$1:$O$103,15,0))</f>
        <v>224.55</v>
      </c>
      <c r="Y305" s="6"/>
      <c r="Z305" s="6">
        <f ca="1">('TUSD BE'!$AM$45+'TUSD BF'!$AM$45+'TUSD CVA'!$AM$45)*(1-CUSTOS!$M$38)</f>
        <v>453.14332034419533</v>
      </c>
      <c r="AA305" s="6">
        <f>('TE BE'!$AB$26+'TE BF'!$AB$26+'TE CVA'!$AB$26)*(1-CUSTOS!$M$38)</f>
        <v>219.98233758978921</v>
      </c>
      <c r="AB305" s="6">
        <f t="shared" si="18"/>
        <v>0</v>
      </c>
      <c r="AC305" s="6">
        <f>(L305-M305)*(W305+X305)+($W$247+$X$247-$W$305-$X$305)*(L305)</f>
        <v>245.19122999999985</v>
      </c>
      <c r="AD305" s="6">
        <f t="shared" si="19"/>
        <v>0</v>
      </c>
      <c r="AE305" s="6">
        <f ca="1">(L305-M305)*(Z305+AA305)+($Z$247+$AA$247-$Z$305-$AA$305)*(L305)</f>
        <v>138.30583997167</v>
      </c>
      <c r="AF305" s="4" t="s">
        <v>811</v>
      </c>
    </row>
    <row r="306" spans="1:32" ht="11.25" customHeight="1" x14ac:dyDescent="0.3">
      <c r="A306" s="4" t="s">
        <v>21</v>
      </c>
      <c r="B306" s="4" t="s">
        <v>43</v>
      </c>
      <c r="C306" s="4" t="s">
        <v>23</v>
      </c>
      <c r="D306" s="4" t="s">
        <v>44</v>
      </c>
      <c r="E306" s="4" t="s">
        <v>53</v>
      </c>
      <c r="F306" s="4" t="s">
        <v>54</v>
      </c>
      <c r="G306" s="4" t="s">
        <v>25</v>
      </c>
      <c r="H306" s="4" t="s">
        <v>25</v>
      </c>
      <c r="I306" s="5">
        <v>44593</v>
      </c>
      <c r="J306" s="6">
        <v>0</v>
      </c>
      <c r="K306" s="6">
        <v>0</v>
      </c>
      <c r="L306" s="6">
        <v>7.2119999999999997</v>
      </c>
      <c r="M306" s="6">
        <v>7.2119999999999997</v>
      </c>
      <c r="N306" s="6">
        <v>7.2119999999999997</v>
      </c>
      <c r="O306" s="6">
        <v>7.2119999999999997</v>
      </c>
      <c r="P306" s="6">
        <v>0</v>
      </c>
      <c r="Q306" s="4" t="s">
        <v>26</v>
      </c>
      <c r="R306" s="4">
        <v>0</v>
      </c>
      <c r="S306" s="4">
        <v>0</v>
      </c>
      <c r="T306" s="4">
        <v>43</v>
      </c>
      <c r="U306" s="4">
        <v>84</v>
      </c>
      <c r="V306" s="6">
        <f>IF(ISERROR(VLOOKUP($S$306,'TAR FIN'!$A$1:$O$103,15,0)),0,VLOOKUP($S$306,'TAR FIN'!$A$1:$O$103,15,0))</f>
        <v>0</v>
      </c>
      <c r="W306" s="6">
        <f>IF(ISERROR(VLOOKUP($T$306,'TAR FIN'!$A$1:$O$103,15,0)),0,VLOOKUP($T$306,'TAR FIN'!$A$1:$O$103,15,0))</f>
        <v>334.07</v>
      </c>
      <c r="X306" s="6">
        <f>IF(ISERROR(VLOOKUP($U$306,'TAR FIN'!$A$1:$O$103,15,0)),0,VLOOKUP($U$306,'TAR FIN'!$A$1:$O$103,15,0))</f>
        <v>224.55</v>
      </c>
      <c r="Y306" s="6"/>
      <c r="Z306" s="6">
        <f ca="1">('TUSD BE'!$AM$45+'TUSD BF'!$AM$45+'TUSD CVA'!$AM$45)*(1-CUSTOS!$M$38)</f>
        <v>453.14332034419533</v>
      </c>
      <c r="AA306" s="6">
        <f>('TE BE'!$AB$26+'TE BF'!$AB$26+'TE CVA'!$AB$26)*(1-CUSTOS!$M$38)</f>
        <v>219.98233758978921</v>
      </c>
      <c r="AB306" s="6">
        <f t="shared" si="18"/>
        <v>0</v>
      </c>
      <c r="AC306" s="6">
        <f>(L306-M306)*(W306+X306)+($W$247+$X$247-$W$306-$X$306)*(L306)</f>
        <v>549.33803999999964</v>
      </c>
      <c r="AD306" s="6">
        <f t="shared" si="19"/>
        <v>0</v>
      </c>
      <c r="AE306" s="6">
        <f ca="1">(L306-M306)*(Z306+AA306)+($Z$247+$AA$247-$Z$306-$AA$306)*(L306)</f>
        <v>309.86695180978069</v>
      </c>
      <c r="AF306" s="4" t="s">
        <v>811</v>
      </c>
    </row>
    <row r="307" spans="1:32" ht="11.25" customHeight="1" x14ac:dyDescent="0.3">
      <c r="A307" s="4" t="s">
        <v>21</v>
      </c>
      <c r="B307" s="4" t="s">
        <v>43</v>
      </c>
      <c r="C307" s="4" t="s">
        <v>23</v>
      </c>
      <c r="D307" s="4" t="s">
        <v>44</v>
      </c>
      <c r="E307" s="4" t="s">
        <v>53</v>
      </c>
      <c r="F307" s="4" t="s">
        <v>54</v>
      </c>
      <c r="G307" s="4" t="s">
        <v>25</v>
      </c>
      <c r="H307" s="4" t="s">
        <v>25</v>
      </c>
      <c r="I307" s="5">
        <v>44621</v>
      </c>
      <c r="J307" s="6">
        <v>0</v>
      </c>
      <c r="K307" s="6">
        <v>0</v>
      </c>
      <c r="L307" s="6">
        <v>16.541</v>
      </c>
      <c r="M307" s="6">
        <v>16.541</v>
      </c>
      <c r="N307" s="6">
        <v>16.541</v>
      </c>
      <c r="O307" s="6">
        <v>16.541</v>
      </c>
      <c r="P307" s="6">
        <v>0</v>
      </c>
      <c r="Q307" s="4" t="s">
        <v>26</v>
      </c>
      <c r="R307" s="4">
        <v>0</v>
      </c>
      <c r="S307" s="4">
        <v>0</v>
      </c>
      <c r="T307" s="4">
        <v>43</v>
      </c>
      <c r="U307" s="4">
        <v>84</v>
      </c>
      <c r="V307" s="6">
        <f>IF(ISERROR(VLOOKUP($S$307,'TAR FIN'!$A$1:$O$103,15,0)),0,VLOOKUP($S$307,'TAR FIN'!$A$1:$O$103,15,0))</f>
        <v>0</v>
      </c>
      <c r="W307" s="6">
        <f>IF(ISERROR(VLOOKUP($T$307,'TAR FIN'!$A$1:$O$103,15,0)),0,VLOOKUP($T$307,'TAR FIN'!$A$1:$O$103,15,0))</f>
        <v>334.07</v>
      </c>
      <c r="X307" s="6">
        <f>IF(ISERROR(VLOOKUP($U$307,'TAR FIN'!$A$1:$O$103,15,0)),0,VLOOKUP($U$307,'TAR FIN'!$A$1:$O$103,15,0))</f>
        <v>224.55</v>
      </c>
      <c r="Y307" s="6"/>
      <c r="Z307" s="6">
        <f ca="1">('TUSD BE'!$AM$45+'TUSD BF'!$AM$45+'TUSD CVA'!$AM$45)*(1-CUSTOS!$M$38)</f>
        <v>453.14332034419533</v>
      </c>
      <c r="AA307" s="6">
        <f>('TE BE'!$AB$26+'TE BF'!$AB$26+'TE CVA'!$AB$26)*(1-CUSTOS!$M$38)</f>
        <v>219.98233758978921</v>
      </c>
      <c r="AB307" s="6">
        <f t="shared" si="18"/>
        <v>0</v>
      </c>
      <c r="AC307" s="6">
        <f>(L307-M307)*(W307+X307)+($W$247+$X$247-$W$307-$X$307)*(L307)</f>
        <v>1259.9279699999993</v>
      </c>
      <c r="AD307" s="6">
        <f t="shared" si="19"/>
        <v>0</v>
      </c>
      <c r="AE307" s="6">
        <f ca="1">(L307-M307)*(Z307+AA307)+($Z$247+$AA$247-$Z$307-$AA$307)*(L307)</f>
        <v>710.69179837570471</v>
      </c>
      <c r="AF307" s="4" t="s">
        <v>811</v>
      </c>
    </row>
    <row r="308" spans="1:32" ht="11.25" customHeight="1" x14ac:dyDescent="0.3">
      <c r="A308" s="4" t="s">
        <v>21</v>
      </c>
      <c r="B308" s="4" t="s">
        <v>43</v>
      </c>
      <c r="C308" s="4" t="s">
        <v>23</v>
      </c>
      <c r="D308" s="4" t="s">
        <v>44</v>
      </c>
      <c r="E308" s="4" t="s">
        <v>53</v>
      </c>
      <c r="F308" s="4" t="s">
        <v>54</v>
      </c>
      <c r="G308" s="4" t="s">
        <v>25</v>
      </c>
      <c r="H308" s="4" t="s">
        <v>25</v>
      </c>
      <c r="I308" s="5">
        <v>44652</v>
      </c>
      <c r="J308" s="6">
        <v>0</v>
      </c>
      <c r="K308" s="6">
        <v>0</v>
      </c>
      <c r="L308" s="6">
        <v>78.981999999999999</v>
      </c>
      <c r="M308" s="6">
        <v>78.981999999999999</v>
      </c>
      <c r="N308" s="6">
        <v>78.981999999999999</v>
      </c>
      <c r="O308" s="6">
        <v>78.981999999999999</v>
      </c>
      <c r="P308" s="6">
        <v>0</v>
      </c>
      <c r="Q308" s="4" t="s">
        <v>26</v>
      </c>
      <c r="R308" s="4">
        <v>0</v>
      </c>
      <c r="S308" s="4">
        <v>0</v>
      </c>
      <c r="T308" s="4">
        <v>43</v>
      </c>
      <c r="U308" s="4">
        <v>84</v>
      </c>
      <c r="V308" s="6">
        <f>IF(ISERROR(VLOOKUP($S$308,'TAR FIN'!$A$1:$O$103,15,0)),0,VLOOKUP($S$308,'TAR FIN'!$A$1:$O$103,15,0))</f>
        <v>0</v>
      </c>
      <c r="W308" s="6">
        <f>IF(ISERROR(VLOOKUP($T$308,'TAR FIN'!$A$1:$O$103,15,0)),0,VLOOKUP($T$308,'TAR FIN'!$A$1:$O$103,15,0))</f>
        <v>334.07</v>
      </c>
      <c r="X308" s="6">
        <f>IF(ISERROR(VLOOKUP($U$308,'TAR FIN'!$A$1:$O$103,15,0)),0,VLOOKUP($U$308,'TAR FIN'!$A$1:$O$103,15,0))</f>
        <v>224.55</v>
      </c>
      <c r="Y308" s="6"/>
      <c r="Z308" s="6">
        <f ca="1">('TUSD BE'!$AM$45+'TUSD BF'!$AM$45+'TUSD CVA'!$AM$45)*(1-CUSTOS!$M$38)</f>
        <v>453.14332034419533</v>
      </c>
      <c r="AA308" s="6">
        <f>('TE BE'!$AB$26+'TE BF'!$AB$26+'TE CVA'!$AB$26)*(1-CUSTOS!$M$38)</f>
        <v>219.98233758978921</v>
      </c>
      <c r="AB308" s="6">
        <f t="shared" si="18"/>
        <v>0</v>
      </c>
      <c r="AC308" s="6">
        <f>(L308-M308)*(W308+X308)+($W$247+$X$247-$W$308-$X$308)*(L308)</f>
        <v>6016.0589399999972</v>
      </c>
      <c r="AD308" s="6">
        <f t="shared" si="19"/>
        <v>0</v>
      </c>
      <c r="AE308" s="6">
        <f ca="1">(L308-M308)*(Z308+AA308)+($Z$247+$AA$247-$Z$308-$AA$308)*(L308)</f>
        <v>3393.4985562728921</v>
      </c>
      <c r="AF308" s="4" t="s">
        <v>811</v>
      </c>
    </row>
    <row r="309" spans="1:32" ht="11.25" customHeight="1" x14ac:dyDescent="0.3">
      <c r="A309" s="4" t="s">
        <v>21</v>
      </c>
      <c r="B309" s="4" t="s">
        <v>43</v>
      </c>
      <c r="C309" s="4" t="s">
        <v>23</v>
      </c>
      <c r="D309" s="4" t="s">
        <v>44</v>
      </c>
      <c r="E309" s="4" t="s">
        <v>53</v>
      </c>
      <c r="F309" s="4" t="s">
        <v>54</v>
      </c>
      <c r="G309" s="4" t="s">
        <v>25</v>
      </c>
      <c r="H309" s="4" t="s">
        <v>25</v>
      </c>
      <c r="I309" s="5">
        <v>44682</v>
      </c>
      <c r="J309" s="6">
        <v>0</v>
      </c>
      <c r="K309" s="6">
        <v>0</v>
      </c>
      <c r="L309" s="6">
        <v>107.337</v>
      </c>
      <c r="M309" s="6">
        <v>107.337</v>
      </c>
      <c r="N309" s="6">
        <v>107.337</v>
      </c>
      <c r="O309" s="6">
        <v>107.337</v>
      </c>
      <c r="P309" s="6">
        <v>0</v>
      </c>
      <c r="Q309" s="4" t="s">
        <v>26</v>
      </c>
      <c r="R309" s="4">
        <v>0</v>
      </c>
      <c r="S309" s="4">
        <v>0</v>
      </c>
      <c r="T309" s="4">
        <v>43</v>
      </c>
      <c r="U309" s="4">
        <v>84</v>
      </c>
      <c r="V309" s="6">
        <f>IF(ISERROR(VLOOKUP($S$309,'TAR FIN'!$A$1:$O$103,15,0)),0,VLOOKUP($S$309,'TAR FIN'!$A$1:$O$103,15,0))</f>
        <v>0</v>
      </c>
      <c r="W309" s="6">
        <f>IF(ISERROR(VLOOKUP($T$309,'TAR FIN'!$A$1:$O$103,15,0)),0,VLOOKUP($T$309,'TAR FIN'!$A$1:$O$103,15,0))</f>
        <v>334.07</v>
      </c>
      <c r="X309" s="6">
        <f>IF(ISERROR(VLOOKUP($U$309,'TAR FIN'!$A$1:$O$103,15,0)),0,VLOOKUP($U$309,'TAR FIN'!$A$1:$O$103,15,0))</f>
        <v>224.55</v>
      </c>
      <c r="Y309" s="6"/>
      <c r="Z309" s="6">
        <f ca="1">('TUSD BE'!$AM$45+'TUSD BF'!$AM$45+'TUSD CVA'!$AM$45)*(1-CUSTOS!$M$38)</f>
        <v>453.14332034419533</v>
      </c>
      <c r="AA309" s="6">
        <f>('TE BE'!$AB$26+'TE BF'!$AB$26+'TE CVA'!$AB$26)*(1-CUSTOS!$M$38)</f>
        <v>219.98233758978921</v>
      </c>
      <c r="AB309" s="6">
        <f t="shared" si="18"/>
        <v>0</v>
      </c>
      <c r="AC309" s="6">
        <f>(L309-M309)*(W309+X309)+($W$247+$X$247-$W$309-$X$309)*(L309)</f>
        <v>8175.8592899999958</v>
      </c>
      <c r="AD309" s="6">
        <f t="shared" si="19"/>
        <v>0</v>
      </c>
      <c r="AE309" s="6">
        <f ca="1">(L309-M309)*(Z309+AA309)+($Z$247+$AA$247-$Z$309-$AA$309)*(L309)</f>
        <v>4611.7843880208584</v>
      </c>
      <c r="AF309" s="4" t="s">
        <v>811</v>
      </c>
    </row>
    <row r="310" spans="1:32" ht="11.25" customHeight="1" x14ac:dyDescent="0.3">
      <c r="A310" s="4" t="s">
        <v>21</v>
      </c>
      <c r="B310" s="4" t="s">
        <v>43</v>
      </c>
      <c r="C310" s="4" t="s">
        <v>23</v>
      </c>
      <c r="D310" s="4" t="s">
        <v>44</v>
      </c>
      <c r="E310" s="4" t="s">
        <v>53</v>
      </c>
      <c r="F310" s="4" t="s">
        <v>54</v>
      </c>
      <c r="G310" s="4" t="s">
        <v>25</v>
      </c>
      <c r="H310" s="4" t="s">
        <v>25</v>
      </c>
      <c r="I310" s="5">
        <v>44713</v>
      </c>
      <c r="J310" s="6">
        <v>0</v>
      </c>
      <c r="K310" s="6">
        <v>0</v>
      </c>
      <c r="L310" s="6">
        <v>101.113</v>
      </c>
      <c r="M310" s="6">
        <v>101.113</v>
      </c>
      <c r="N310" s="6">
        <v>101.113</v>
      </c>
      <c r="O310" s="6">
        <v>101.113</v>
      </c>
      <c r="P310" s="6">
        <v>0</v>
      </c>
      <c r="Q310" s="4" t="s">
        <v>26</v>
      </c>
      <c r="R310" s="4">
        <v>0</v>
      </c>
      <c r="S310" s="4">
        <v>0</v>
      </c>
      <c r="T310" s="4">
        <v>43</v>
      </c>
      <c r="U310" s="4">
        <v>84</v>
      </c>
      <c r="V310" s="6">
        <f>IF(ISERROR(VLOOKUP($S$310,'TAR FIN'!$A$1:$O$103,15,0)),0,VLOOKUP($S$310,'TAR FIN'!$A$1:$O$103,15,0))</f>
        <v>0</v>
      </c>
      <c r="W310" s="6">
        <f>IF(ISERROR(VLOOKUP($T$310,'TAR FIN'!$A$1:$O$103,15,0)),0,VLOOKUP($T$310,'TAR FIN'!$A$1:$O$103,15,0))</f>
        <v>334.07</v>
      </c>
      <c r="X310" s="6">
        <f>IF(ISERROR(VLOOKUP($U$310,'TAR FIN'!$A$1:$O$103,15,0)),0,VLOOKUP($U$310,'TAR FIN'!$A$1:$O$103,15,0))</f>
        <v>224.55</v>
      </c>
      <c r="Y310" s="6"/>
      <c r="Z310" s="6">
        <f ca="1">('TUSD BE'!$AM$45+'TUSD BF'!$AM$45+'TUSD CVA'!$AM$45)*(1-CUSTOS!$M$38)</f>
        <v>453.14332034419533</v>
      </c>
      <c r="AA310" s="6">
        <f>('TE BE'!$AB$26+'TE BF'!$AB$26+'TE CVA'!$AB$26)*(1-CUSTOS!$M$38)</f>
        <v>219.98233758978921</v>
      </c>
      <c r="AB310" s="6">
        <f t="shared" si="18"/>
        <v>0</v>
      </c>
      <c r="AC310" s="6">
        <f>(L310-M310)*(W310+X310)+($W$247+$X$247-$W$310-$X$310)*(L310)</f>
        <v>7701.7772099999956</v>
      </c>
      <c r="AD310" s="6">
        <f t="shared" si="19"/>
        <v>0</v>
      </c>
      <c r="AE310" s="6">
        <f ca="1">(L310-M310)*(Z310+AA310)+($Z$247+$AA$247-$Z$310-$AA$310)*(L310)</f>
        <v>4344.3673181284466</v>
      </c>
      <c r="AF310" s="4" t="s">
        <v>811</v>
      </c>
    </row>
    <row r="311" spans="1:32" ht="11.25" customHeight="1" x14ac:dyDescent="0.3">
      <c r="A311" s="4" t="s">
        <v>21</v>
      </c>
      <c r="B311" s="4" t="s">
        <v>43</v>
      </c>
      <c r="C311" s="4" t="s">
        <v>23</v>
      </c>
      <c r="D311" s="4" t="s">
        <v>44</v>
      </c>
      <c r="E311" s="4" t="s">
        <v>53</v>
      </c>
      <c r="F311" s="4" t="s">
        <v>54</v>
      </c>
      <c r="G311" s="4" t="s">
        <v>25</v>
      </c>
      <c r="H311" s="4" t="s">
        <v>25</v>
      </c>
      <c r="I311" s="5">
        <v>44743</v>
      </c>
      <c r="J311" s="6">
        <v>0</v>
      </c>
      <c r="K311" s="6">
        <v>0</v>
      </c>
      <c r="L311" s="6">
        <v>103.361</v>
      </c>
      <c r="M311" s="6">
        <v>103.361</v>
      </c>
      <c r="N311" s="6">
        <v>103.361</v>
      </c>
      <c r="O311" s="6">
        <v>103.361</v>
      </c>
      <c r="P311" s="6">
        <v>0</v>
      </c>
      <c r="Q311" s="4" t="s">
        <v>26</v>
      </c>
      <c r="R311" s="4">
        <v>0</v>
      </c>
      <c r="S311" s="4">
        <v>0</v>
      </c>
      <c r="T311" s="4">
        <v>43</v>
      </c>
      <c r="U311" s="4">
        <v>84</v>
      </c>
      <c r="V311" s="6">
        <f>IF(ISERROR(VLOOKUP($S$311,'TAR FIN'!$A$1:$O$103,15,0)),0,VLOOKUP($S$311,'TAR FIN'!$A$1:$O$103,15,0))</f>
        <v>0</v>
      </c>
      <c r="W311" s="6">
        <f>IF(ISERROR(VLOOKUP($T$311,'TAR FIN'!$A$1:$O$103,15,0)),0,VLOOKUP($T$311,'TAR FIN'!$A$1:$O$103,15,0))</f>
        <v>334.07</v>
      </c>
      <c r="X311" s="6">
        <f>IF(ISERROR(VLOOKUP($U$311,'TAR FIN'!$A$1:$O$103,15,0)),0,VLOOKUP($U$311,'TAR FIN'!$A$1:$O$103,15,0))</f>
        <v>224.55</v>
      </c>
      <c r="Y311" s="6"/>
      <c r="Z311" s="6">
        <f ca="1">('TUSD BE'!$AM$45+'TUSD BF'!$AM$45+'TUSD CVA'!$AM$45)*(1-CUSTOS!$M$38)</f>
        <v>453.14332034419533</v>
      </c>
      <c r="AA311" s="6">
        <f>('TE BE'!$AB$26+'TE BF'!$AB$26+'TE CVA'!$AB$26)*(1-CUSTOS!$M$38)</f>
        <v>219.98233758978921</v>
      </c>
      <c r="AB311" s="6">
        <f t="shared" si="18"/>
        <v>0</v>
      </c>
      <c r="AC311" s="6">
        <f>(L311-M311)*(W311+X311)+($W$247+$X$247-$W$311-$X$311)*(L311)</f>
        <v>7873.0073699999957</v>
      </c>
      <c r="AD311" s="6">
        <f t="shared" si="19"/>
        <v>0</v>
      </c>
      <c r="AE311" s="6">
        <f ca="1">(L311-M311)*(Z311+AA311)+($Z$247+$AA$247-$Z$311-$AA$311)*(L311)</f>
        <v>4440.9536891307189</v>
      </c>
      <c r="AF311" s="4" t="s">
        <v>811</v>
      </c>
    </row>
    <row r="312" spans="1:32" ht="11.25" customHeight="1" x14ac:dyDescent="0.3">
      <c r="A312" s="4" t="s">
        <v>21</v>
      </c>
      <c r="B312" s="4" t="s">
        <v>43</v>
      </c>
      <c r="C312" s="4" t="s">
        <v>23</v>
      </c>
      <c r="D312" s="4" t="s">
        <v>44</v>
      </c>
      <c r="E312" s="4" t="s">
        <v>53</v>
      </c>
      <c r="F312" s="4" t="s">
        <v>54</v>
      </c>
      <c r="G312" s="4" t="s">
        <v>25</v>
      </c>
      <c r="H312" s="4" t="s">
        <v>25</v>
      </c>
      <c r="I312" s="5">
        <v>44774</v>
      </c>
      <c r="J312" s="6">
        <v>0</v>
      </c>
      <c r="K312" s="6">
        <v>0</v>
      </c>
      <c r="L312" s="6">
        <v>103.392</v>
      </c>
      <c r="M312" s="6">
        <v>103.392</v>
      </c>
      <c r="N312" s="6">
        <v>103.392</v>
      </c>
      <c r="O312" s="6">
        <v>103.392</v>
      </c>
      <c r="P312" s="6">
        <v>0</v>
      </c>
      <c r="Q312" s="4" t="s">
        <v>26</v>
      </c>
      <c r="R312" s="4">
        <v>0</v>
      </c>
      <c r="S312" s="4">
        <v>0</v>
      </c>
      <c r="T312" s="4">
        <v>43</v>
      </c>
      <c r="U312" s="4">
        <v>84</v>
      </c>
      <c r="V312" s="6">
        <f>IF(ISERROR(VLOOKUP($S$312,'TAR FIN'!$A$1:$O$103,15,0)),0,VLOOKUP($S$312,'TAR FIN'!$A$1:$O$103,15,0))</f>
        <v>0</v>
      </c>
      <c r="W312" s="6">
        <f>IF(ISERROR(VLOOKUP($T$312,'TAR FIN'!$A$1:$O$103,15,0)),0,VLOOKUP($T$312,'TAR FIN'!$A$1:$O$103,15,0))</f>
        <v>334.07</v>
      </c>
      <c r="X312" s="6">
        <f>IF(ISERROR(VLOOKUP($U$312,'TAR FIN'!$A$1:$O$103,15,0)),0,VLOOKUP($U$312,'TAR FIN'!$A$1:$O$103,15,0))</f>
        <v>224.55</v>
      </c>
      <c r="Y312" s="6"/>
      <c r="Z312" s="6">
        <f ca="1">('TUSD BE'!$AM$45+'TUSD BF'!$AM$45+'TUSD CVA'!$AM$45)*(1-CUSTOS!$M$38)</f>
        <v>453.14332034419533</v>
      </c>
      <c r="AA312" s="6">
        <f>('TE BE'!$AB$26+'TE BF'!$AB$26+'TE CVA'!$AB$26)*(1-CUSTOS!$M$38)</f>
        <v>219.98233758978921</v>
      </c>
      <c r="AB312" s="6">
        <f t="shared" si="18"/>
        <v>0</v>
      </c>
      <c r="AC312" s="6">
        <f>(L312-M312)*(W312+X312)+($W$247+$X$247-$W$312-$X$312)*(L312)</f>
        <v>7875.3686399999951</v>
      </c>
      <c r="AD312" s="6">
        <f t="shared" si="19"/>
        <v>0</v>
      </c>
      <c r="AE312" s="6">
        <f ca="1">(L312-M312)*(Z312+AA312)+($Z$247+$AA$247-$Z$312-$AA$312)*(L312)</f>
        <v>4442.285618624077</v>
      </c>
      <c r="AF312" s="4" t="s">
        <v>811</v>
      </c>
    </row>
    <row r="313" spans="1:32" ht="11.25" customHeight="1" x14ac:dyDescent="0.3">
      <c r="A313" s="4" t="s">
        <v>28</v>
      </c>
      <c r="B313" s="4" t="s">
        <v>43</v>
      </c>
      <c r="C313" s="4" t="s">
        <v>23</v>
      </c>
      <c r="D313" s="4" t="s">
        <v>44</v>
      </c>
      <c r="E313" s="4" t="s">
        <v>53</v>
      </c>
      <c r="F313" s="4" t="s">
        <v>54</v>
      </c>
      <c r="G313" s="4" t="s">
        <v>25</v>
      </c>
      <c r="H313" s="4" t="s">
        <v>25</v>
      </c>
      <c r="I313" s="5">
        <v>44774</v>
      </c>
      <c r="J313" s="6">
        <v>0</v>
      </c>
      <c r="K313" s="6">
        <v>0</v>
      </c>
      <c r="L313" s="6">
        <v>27.16</v>
      </c>
      <c r="M313" s="6">
        <v>27.16</v>
      </c>
      <c r="N313" s="6">
        <v>27.16</v>
      </c>
      <c r="O313" s="6">
        <v>27.16</v>
      </c>
      <c r="P313" s="6">
        <v>0</v>
      </c>
      <c r="Q313" s="4" t="s">
        <v>26</v>
      </c>
      <c r="R313" s="4">
        <v>0</v>
      </c>
      <c r="S313" s="4">
        <v>0</v>
      </c>
      <c r="T313" s="4">
        <v>43</v>
      </c>
      <c r="U313" s="4">
        <v>84</v>
      </c>
      <c r="V313" s="6">
        <f>IF(ISERROR(VLOOKUP($S$313,'TAR FIN'!$A$1:$O$103,15,0)),0,VLOOKUP($S$313,'TAR FIN'!$A$1:$O$103,15,0))</f>
        <v>0</v>
      </c>
      <c r="W313" s="6">
        <f>IF(ISERROR(VLOOKUP($T$313,'TAR FIN'!$A$1:$O$103,15,0)),0,VLOOKUP($T$313,'TAR FIN'!$A$1:$O$103,15,0))</f>
        <v>334.07</v>
      </c>
      <c r="X313" s="6">
        <f>IF(ISERROR(VLOOKUP($U$313,'TAR FIN'!$A$1:$O$103,15,0)),0,VLOOKUP($U$313,'TAR FIN'!$A$1:$O$103,15,0))</f>
        <v>224.55</v>
      </c>
      <c r="Y313" s="6"/>
      <c r="Z313" s="6">
        <f ca="1">('TUSD BE'!$AM$45+'TUSD BF'!$AM$45+'TUSD CVA'!$AM$45)*(1-CUSTOS!$M$38)</f>
        <v>453.14332034419533</v>
      </c>
      <c r="AA313" s="6">
        <f>('TE BE'!$AB$26+'TE BF'!$AB$26+'TE CVA'!$AB$26)*(1-CUSTOS!$M$38)</f>
        <v>219.98233758978921</v>
      </c>
      <c r="AB313" s="6">
        <f t="shared" si="18"/>
        <v>0</v>
      </c>
      <c r="AC313" s="6">
        <f>(L313-M313)*(W313+X313)+($W$247+$X$247-$W$313-$X$313)*(L313)</f>
        <v>2068.7771999999991</v>
      </c>
      <c r="AD313" s="6">
        <f t="shared" si="19"/>
        <v>0</v>
      </c>
      <c r="AE313" s="6">
        <f ca="1">(L313-M313)*(Z313+AA313)+($Z$247+$AA$247-$Z$313-$AA$313)*(L313)</f>
        <v>1166.9420980523632</v>
      </c>
      <c r="AF313" s="4" t="s">
        <v>811</v>
      </c>
    </row>
    <row r="314" spans="1:32" ht="11.25" customHeight="1" x14ac:dyDescent="0.3">
      <c r="A314" s="4" t="s">
        <v>21</v>
      </c>
      <c r="B314" s="4" t="s">
        <v>43</v>
      </c>
      <c r="C314" s="4" t="s">
        <v>23</v>
      </c>
      <c r="D314" s="4" t="s">
        <v>44</v>
      </c>
      <c r="E314" s="4" t="s">
        <v>53</v>
      </c>
      <c r="F314" s="4" t="s">
        <v>54</v>
      </c>
      <c r="G314" s="4" t="s">
        <v>25</v>
      </c>
      <c r="H314" s="4" t="s">
        <v>25</v>
      </c>
      <c r="I314" s="5">
        <v>44805</v>
      </c>
      <c r="J314" s="6">
        <v>0</v>
      </c>
      <c r="K314" s="6">
        <v>0</v>
      </c>
      <c r="L314" s="6">
        <v>130.322</v>
      </c>
      <c r="M314" s="6">
        <v>130.322</v>
      </c>
      <c r="N314" s="6">
        <v>130.322</v>
      </c>
      <c r="O314" s="6">
        <v>130.322</v>
      </c>
      <c r="P314" s="6">
        <v>0</v>
      </c>
      <c r="Q314" s="4" t="s">
        <v>26</v>
      </c>
      <c r="R314" s="4">
        <v>0</v>
      </c>
      <c r="S314" s="4">
        <v>0</v>
      </c>
      <c r="T314" s="4">
        <v>43</v>
      </c>
      <c r="U314" s="4">
        <v>84</v>
      </c>
      <c r="V314" s="6">
        <f>IF(ISERROR(VLOOKUP($S$314,'TAR FIN'!$A$1:$O$103,15,0)),0,VLOOKUP($S$314,'TAR FIN'!$A$1:$O$103,15,0))</f>
        <v>0</v>
      </c>
      <c r="W314" s="6">
        <f>IF(ISERROR(VLOOKUP($T$314,'TAR FIN'!$A$1:$O$103,15,0)),0,VLOOKUP($T$314,'TAR FIN'!$A$1:$O$103,15,0))</f>
        <v>334.07</v>
      </c>
      <c r="X314" s="6">
        <f>IF(ISERROR(VLOOKUP($U$314,'TAR FIN'!$A$1:$O$103,15,0)),0,VLOOKUP($U$314,'TAR FIN'!$A$1:$O$103,15,0))</f>
        <v>224.55</v>
      </c>
      <c r="Y314" s="6"/>
      <c r="Z314" s="6">
        <f ca="1">('TUSD BE'!$AM$45+'TUSD BF'!$AM$45+'TUSD CVA'!$AM$45)*(1-CUSTOS!$M$38)</f>
        <v>453.14332034419533</v>
      </c>
      <c r="AA314" s="6">
        <f>('TE BE'!$AB$26+'TE BF'!$AB$26+'TE CVA'!$AB$26)*(1-CUSTOS!$M$38)</f>
        <v>219.98233758978921</v>
      </c>
      <c r="AB314" s="6">
        <f t="shared" si="18"/>
        <v>0</v>
      </c>
      <c r="AC314" s="6">
        <f>(L314-M314)*(W314+X314)+($W$247+$X$247-$W$314-$X$314)*(L314)</f>
        <v>9926.6267399999942</v>
      </c>
      <c r="AD314" s="6">
        <f t="shared" si="19"/>
        <v>0</v>
      </c>
      <c r="AE314" s="6">
        <f ca="1">(L314-M314)*(Z314+AA314)+($Z$247+$AA$247-$Z$314-$AA$314)*(L314)</f>
        <v>5599.3456591450695</v>
      </c>
      <c r="AF314" s="4" t="s">
        <v>811</v>
      </c>
    </row>
    <row r="315" spans="1:32" ht="11.25" customHeight="1" x14ac:dyDescent="0.3">
      <c r="A315" s="4" t="s">
        <v>28</v>
      </c>
      <c r="B315" s="4" t="s">
        <v>43</v>
      </c>
      <c r="C315" s="4" t="s">
        <v>23</v>
      </c>
      <c r="D315" s="4" t="s">
        <v>44</v>
      </c>
      <c r="E315" s="4" t="s">
        <v>53</v>
      </c>
      <c r="F315" s="4" t="s">
        <v>54</v>
      </c>
      <c r="G315" s="4" t="s">
        <v>25</v>
      </c>
      <c r="H315" s="4" t="s">
        <v>25</v>
      </c>
      <c r="I315" s="5">
        <v>44805</v>
      </c>
      <c r="J315" s="6">
        <v>0</v>
      </c>
      <c r="K315" s="6">
        <v>0</v>
      </c>
      <c r="L315" s="6">
        <v>7.8</v>
      </c>
      <c r="M315" s="6">
        <v>7.8</v>
      </c>
      <c r="N315" s="6">
        <v>7.8</v>
      </c>
      <c r="O315" s="6">
        <v>7.8</v>
      </c>
      <c r="P315" s="6">
        <v>0</v>
      </c>
      <c r="Q315" s="4" t="s">
        <v>26</v>
      </c>
      <c r="R315" s="4">
        <v>0</v>
      </c>
      <c r="S315" s="4">
        <v>0</v>
      </c>
      <c r="T315" s="4">
        <v>43</v>
      </c>
      <c r="U315" s="4">
        <v>84</v>
      </c>
      <c r="V315" s="6">
        <f>IF(ISERROR(VLOOKUP($S$315,'TAR FIN'!$A$1:$O$103,15,0)),0,VLOOKUP($S$315,'TAR FIN'!$A$1:$O$103,15,0))</f>
        <v>0</v>
      </c>
      <c r="W315" s="6">
        <f>IF(ISERROR(VLOOKUP($T$315,'TAR FIN'!$A$1:$O$103,15,0)),0,VLOOKUP($T$315,'TAR FIN'!$A$1:$O$103,15,0))</f>
        <v>334.07</v>
      </c>
      <c r="X315" s="6">
        <f>IF(ISERROR(VLOOKUP($U$315,'TAR FIN'!$A$1:$O$103,15,0)),0,VLOOKUP($U$315,'TAR FIN'!$A$1:$O$103,15,0))</f>
        <v>224.55</v>
      </c>
      <c r="Y315" s="6"/>
      <c r="Z315" s="6">
        <f ca="1">('TUSD BE'!$AM$45+'TUSD BF'!$AM$45+'TUSD CVA'!$AM$45)*(1-CUSTOS!$M$38)</f>
        <v>453.14332034419533</v>
      </c>
      <c r="AA315" s="6">
        <f>('TE BE'!$AB$26+'TE BF'!$AB$26+'TE CVA'!$AB$26)*(1-CUSTOS!$M$38)</f>
        <v>219.98233758978921</v>
      </c>
      <c r="AB315" s="6">
        <f t="shared" si="18"/>
        <v>0</v>
      </c>
      <c r="AC315" s="6">
        <f>(L315-M315)*(W315+X315)+($W$247+$X$247-$W$315-$X$315)*(L315)</f>
        <v>594.12599999999964</v>
      </c>
      <c r="AD315" s="6">
        <f t="shared" si="19"/>
        <v>0</v>
      </c>
      <c r="AE315" s="6">
        <f ca="1">(L315-M315)*(Z315+AA315)+($Z$247+$AA$247-$Z$315-$AA$315)*(L315)</f>
        <v>335.13064671606895</v>
      </c>
      <c r="AF315" s="4" t="s">
        <v>811</v>
      </c>
    </row>
    <row r="316" spans="1:32" ht="11.25" customHeight="1" x14ac:dyDescent="0.3">
      <c r="A316" s="4" t="s">
        <v>57</v>
      </c>
      <c r="B316" s="4" t="s">
        <v>43</v>
      </c>
      <c r="C316" s="4" t="s">
        <v>23</v>
      </c>
      <c r="D316" s="4" t="s">
        <v>44</v>
      </c>
      <c r="E316" s="4" t="s">
        <v>53</v>
      </c>
      <c r="F316" s="4" t="s">
        <v>54</v>
      </c>
      <c r="G316" s="4" t="s">
        <v>25</v>
      </c>
      <c r="H316" s="4" t="s">
        <v>25</v>
      </c>
      <c r="I316" s="5">
        <v>44835</v>
      </c>
      <c r="J316" s="6">
        <v>0</v>
      </c>
      <c r="K316" s="6">
        <v>0</v>
      </c>
      <c r="L316" s="6">
        <v>130.322</v>
      </c>
      <c r="M316" s="6">
        <v>130.322</v>
      </c>
      <c r="N316" s="6">
        <v>130.322</v>
      </c>
      <c r="O316" s="6">
        <v>130.322</v>
      </c>
      <c r="P316" s="6">
        <v>0</v>
      </c>
      <c r="Q316" s="4" t="s">
        <v>26</v>
      </c>
      <c r="R316" s="4">
        <v>0</v>
      </c>
      <c r="S316" s="4">
        <v>0</v>
      </c>
      <c r="T316" s="4">
        <v>43</v>
      </c>
      <c r="U316" s="4">
        <v>84</v>
      </c>
      <c r="V316" s="6">
        <f>IF(ISERROR(VLOOKUP($S$316,'TAR FIN'!$A$1:$O$103,15,0)),0,VLOOKUP($S$316,'TAR FIN'!$A$1:$O$103,15,0))</f>
        <v>0</v>
      </c>
      <c r="W316" s="6">
        <f>IF(ISERROR(VLOOKUP($T$316,'TAR FIN'!$A$1:$O$103,15,0)),0,VLOOKUP($T$316,'TAR FIN'!$A$1:$O$103,15,0))</f>
        <v>334.07</v>
      </c>
      <c r="X316" s="6">
        <f>IF(ISERROR(VLOOKUP($U$316,'TAR FIN'!$A$1:$O$103,15,0)),0,VLOOKUP($U$316,'TAR FIN'!$A$1:$O$103,15,0))</f>
        <v>224.55</v>
      </c>
      <c r="Y316" s="6"/>
      <c r="Z316" s="6">
        <f ca="1">('TUSD BE'!$AM$45+'TUSD BF'!$AM$45+'TUSD CVA'!$AM$45)*(1-CUSTOS!$M$38)</f>
        <v>453.14332034419533</v>
      </c>
      <c r="AA316" s="6">
        <f>('TE BE'!$AB$26+'TE BF'!$AB$26+'TE CVA'!$AB$26)*(1-CUSTOS!$M$38)</f>
        <v>219.98233758978921</v>
      </c>
      <c r="AB316" s="6">
        <f t="shared" si="18"/>
        <v>0</v>
      </c>
      <c r="AC316" s="6">
        <f>(L316-M316)*(W316+X316)+($W$247+$X$247-$W$316-$X$316)*(L316)</f>
        <v>9926.6267399999942</v>
      </c>
      <c r="AD316" s="6">
        <f t="shared" si="19"/>
        <v>0</v>
      </c>
      <c r="AE316" s="6">
        <f ca="1">(L316-M316)*(Z316+AA316)+($Z$247+$AA$247-$Z$316-$AA$316)*(L316)</f>
        <v>5599.3456591450695</v>
      </c>
      <c r="AF316" s="4" t="s">
        <v>811</v>
      </c>
    </row>
    <row r="317" spans="1:32" ht="11.25" customHeight="1" x14ac:dyDescent="0.3">
      <c r="A317" s="4" t="s">
        <v>57</v>
      </c>
      <c r="B317" s="4" t="s">
        <v>43</v>
      </c>
      <c r="C317" s="4" t="s">
        <v>23</v>
      </c>
      <c r="D317" s="4" t="s">
        <v>44</v>
      </c>
      <c r="E317" s="4" t="s">
        <v>53</v>
      </c>
      <c r="F317" s="4" t="s">
        <v>54</v>
      </c>
      <c r="G317" s="4" t="s">
        <v>25</v>
      </c>
      <c r="H317" s="4" t="s">
        <v>25</v>
      </c>
      <c r="I317" s="5">
        <v>44835</v>
      </c>
      <c r="J317" s="6">
        <v>0</v>
      </c>
      <c r="K317" s="6">
        <v>0</v>
      </c>
      <c r="L317" s="6">
        <v>7.8</v>
      </c>
      <c r="M317" s="6">
        <v>7.8</v>
      </c>
      <c r="N317" s="6">
        <v>7.8</v>
      </c>
      <c r="O317" s="6">
        <v>7.8</v>
      </c>
      <c r="P317" s="6">
        <v>0</v>
      </c>
      <c r="Q317" s="4" t="s">
        <v>26</v>
      </c>
      <c r="R317" s="4">
        <v>0</v>
      </c>
      <c r="S317" s="4">
        <v>0</v>
      </c>
      <c r="T317" s="4">
        <v>43</v>
      </c>
      <c r="U317" s="4">
        <v>84</v>
      </c>
      <c r="V317" s="6">
        <f>IF(ISERROR(VLOOKUP($S$317,'TAR FIN'!$A$1:$O$103,15,0)),0,VLOOKUP($S$317,'TAR FIN'!$A$1:$O$103,15,0))</f>
        <v>0</v>
      </c>
      <c r="W317" s="6">
        <f>IF(ISERROR(VLOOKUP($T$317,'TAR FIN'!$A$1:$O$103,15,0)),0,VLOOKUP($T$317,'TAR FIN'!$A$1:$O$103,15,0))</f>
        <v>334.07</v>
      </c>
      <c r="X317" s="6">
        <f>IF(ISERROR(VLOOKUP($U$317,'TAR FIN'!$A$1:$O$103,15,0)),0,VLOOKUP($U$317,'TAR FIN'!$A$1:$O$103,15,0))</f>
        <v>224.55</v>
      </c>
      <c r="Y317" s="6"/>
      <c r="Z317" s="6">
        <f ca="1">('TUSD BE'!$AM$45+'TUSD BF'!$AM$45+'TUSD CVA'!$AM$45)*(1-CUSTOS!$M$38)</f>
        <v>453.14332034419533</v>
      </c>
      <c r="AA317" s="6">
        <f>('TE BE'!$AB$26+'TE BF'!$AB$26+'TE CVA'!$AB$26)*(1-CUSTOS!$M$38)</f>
        <v>219.98233758978921</v>
      </c>
      <c r="AB317" s="6">
        <f t="shared" si="18"/>
        <v>0</v>
      </c>
      <c r="AC317" s="6">
        <f>(L317-M317)*(W317+X317)+($W$247+$X$247-$W$317-$X$317)*(L317)</f>
        <v>594.12599999999964</v>
      </c>
      <c r="AD317" s="6">
        <f t="shared" si="19"/>
        <v>0</v>
      </c>
      <c r="AE317" s="6">
        <f ca="1">(L317-M317)*(Z317+AA317)+($Z$247+$AA$247-$Z$317-$AA$317)*(L317)</f>
        <v>335.13064671606895</v>
      </c>
      <c r="AF317" s="4" t="s">
        <v>811</v>
      </c>
    </row>
    <row r="318" spans="1:32" ht="11.25" customHeight="1" x14ac:dyDescent="0.3">
      <c r="A318" s="4" t="s">
        <v>21</v>
      </c>
      <c r="B318" s="4" t="s">
        <v>43</v>
      </c>
      <c r="C318" s="4" t="s">
        <v>23</v>
      </c>
      <c r="D318" s="4" t="s">
        <v>44</v>
      </c>
      <c r="E318" s="4" t="s">
        <v>53</v>
      </c>
      <c r="F318" s="4" t="s">
        <v>55</v>
      </c>
      <c r="G318" s="4" t="s">
        <v>25</v>
      </c>
      <c r="H318" s="4" t="s">
        <v>25</v>
      </c>
      <c r="I318" s="5">
        <v>44501</v>
      </c>
      <c r="J318" s="6">
        <v>0</v>
      </c>
      <c r="K318" s="6">
        <v>0</v>
      </c>
      <c r="L318" s="6">
        <v>17.97</v>
      </c>
      <c r="M318" s="6">
        <v>5.9301000000000004</v>
      </c>
      <c r="N318" s="6">
        <v>17.97</v>
      </c>
      <c r="O318" s="6">
        <v>5.9301000000000004</v>
      </c>
      <c r="P318" s="6">
        <v>0</v>
      </c>
      <c r="Q318" s="4" t="s">
        <v>26</v>
      </c>
      <c r="R318" s="4">
        <v>0</v>
      </c>
      <c r="S318" s="4">
        <v>0</v>
      </c>
      <c r="T318" s="4">
        <v>43</v>
      </c>
      <c r="U318" s="4">
        <v>84</v>
      </c>
      <c r="V318" s="6">
        <f>IF(ISERROR(VLOOKUP($S$318,'TAR FIN'!$A$1:$O$103,15,0)),0,VLOOKUP($S$318,'TAR FIN'!$A$1:$O$103,15,0))</f>
        <v>0</v>
      </c>
      <c r="W318" s="6">
        <f>IF(ISERROR(VLOOKUP($T$318,'TAR FIN'!$A$1:$O$103,15,0)),0,VLOOKUP($T$318,'TAR FIN'!$A$1:$O$103,15,0))</f>
        <v>334.07</v>
      </c>
      <c r="X318" s="6">
        <f>IF(ISERROR(VLOOKUP($U$318,'TAR FIN'!$A$1:$O$103,15,0)),0,VLOOKUP($U$318,'TAR FIN'!$A$1:$O$103,15,0))</f>
        <v>224.55</v>
      </c>
      <c r="Y318" s="6"/>
      <c r="Z318" s="6">
        <f ca="1">('TUSD BE'!$AM$45+'TUSD BF'!$AM$45+'TUSD CVA'!$AM$45)*(1-CUSTOS!$M$38)</f>
        <v>453.14332034419533</v>
      </c>
      <c r="AA318" s="6">
        <f>('TE BE'!$AB$26+'TE BF'!$AB$26+'TE CVA'!$AB$26)*(1-CUSTOS!$M$38)</f>
        <v>219.98233758978921</v>
      </c>
      <c r="AB318" s="6">
        <f t="shared" si="18"/>
        <v>0</v>
      </c>
      <c r="AC318" s="6">
        <f>(L318-M318)*(W318+X318)+($W$247+$X$247-$W$318-$X$318)*(L318)</f>
        <v>8094.5038379999987</v>
      </c>
      <c r="AD318" s="6">
        <f t="shared" si="19"/>
        <v>0</v>
      </c>
      <c r="AE318" s="6">
        <f ca="1">(L318-M318)*(Z318+AA318)+($Z$247+$AA$247-$Z$318-$AA$318)*(L318)</f>
        <v>8876.4550604321685</v>
      </c>
      <c r="AF318" s="4" t="s">
        <v>812</v>
      </c>
    </row>
    <row r="319" spans="1:32" ht="11.25" customHeight="1" x14ac:dyDescent="0.3">
      <c r="A319" s="4" t="s">
        <v>21</v>
      </c>
      <c r="B319" s="4" t="s">
        <v>43</v>
      </c>
      <c r="C319" s="4" t="s">
        <v>23</v>
      </c>
      <c r="D319" s="4" t="s">
        <v>44</v>
      </c>
      <c r="E319" s="4" t="s">
        <v>53</v>
      </c>
      <c r="F319" s="4" t="s">
        <v>55</v>
      </c>
      <c r="G319" s="4" t="s">
        <v>25</v>
      </c>
      <c r="H319" s="4" t="s">
        <v>25</v>
      </c>
      <c r="I319" s="5">
        <v>44531</v>
      </c>
      <c r="J319" s="6">
        <v>0</v>
      </c>
      <c r="K319" s="6">
        <v>0</v>
      </c>
      <c r="L319" s="6">
        <v>6.3819999999999997</v>
      </c>
      <c r="M319" s="6">
        <v>2.1060599999999998</v>
      </c>
      <c r="N319" s="6">
        <v>6.3819999999999997</v>
      </c>
      <c r="O319" s="6">
        <v>2.1060599999999998</v>
      </c>
      <c r="P319" s="6">
        <v>0</v>
      </c>
      <c r="Q319" s="4" t="s">
        <v>26</v>
      </c>
      <c r="R319" s="4">
        <v>0</v>
      </c>
      <c r="S319" s="4">
        <v>0</v>
      </c>
      <c r="T319" s="4">
        <v>43</v>
      </c>
      <c r="U319" s="4">
        <v>84</v>
      </c>
      <c r="V319" s="6">
        <f>IF(ISERROR(VLOOKUP($S$319,'TAR FIN'!$A$1:$O$103,15,0)),0,VLOOKUP($S$319,'TAR FIN'!$A$1:$O$103,15,0))</f>
        <v>0</v>
      </c>
      <c r="W319" s="6">
        <f>IF(ISERROR(VLOOKUP($T$319,'TAR FIN'!$A$1:$O$103,15,0)),0,VLOOKUP($T$319,'TAR FIN'!$A$1:$O$103,15,0))</f>
        <v>334.07</v>
      </c>
      <c r="X319" s="6">
        <f>IF(ISERROR(VLOOKUP($U$319,'TAR FIN'!$A$1:$O$103,15,0)),0,VLOOKUP($U$319,'TAR FIN'!$A$1:$O$103,15,0))</f>
        <v>224.55</v>
      </c>
      <c r="Y319" s="6"/>
      <c r="Z319" s="6">
        <f ca="1">('TUSD BE'!$AM$45+'TUSD BF'!$AM$45+'TUSD CVA'!$AM$45)*(1-CUSTOS!$M$38)</f>
        <v>453.14332034419533</v>
      </c>
      <c r="AA319" s="6">
        <f>('TE BE'!$AB$26+'TE BF'!$AB$26+'TE CVA'!$AB$26)*(1-CUSTOS!$M$38)</f>
        <v>219.98233758978921</v>
      </c>
      <c r="AB319" s="6">
        <f t="shared" si="18"/>
        <v>0</v>
      </c>
      <c r="AC319" s="6">
        <f>(L319-M319)*(W319+X319)+($W$247+$X$247-$W$319-$X$319)*(L319)</f>
        <v>2874.7425428000001</v>
      </c>
      <c r="AD319" s="6">
        <f t="shared" si="19"/>
        <v>0</v>
      </c>
      <c r="AE319" s="6">
        <f ca="1">(L319-M319)*(Z319+AA319)+($Z$247+$AA$247-$Z$319-$AA$319)*(L319)</f>
        <v>3152.4505395480305</v>
      </c>
      <c r="AF319" s="4" t="s">
        <v>812</v>
      </c>
    </row>
    <row r="320" spans="1:32" ht="11.25" customHeight="1" x14ac:dyDescent="0.3">
      <c r="A320" s="4" t="s">
        <v>21</v>
      </c>
      <c r="B320" s="4" t="s">
        <v>43</v>
      </c>
      <c r="C320" s="4" t="s">
        <v>23</v>
      </c>
      <c r="D320" s="4" t="s">
        <v>44</v>
      </c>
      <c r="E320" s="4" t="s">
        <v>53</v>
      </c>
      <c r="F320" s="4" t="s">
        <v>55</v>
      </c>
      <c r="G320" s="4" t="s">
        <v>25</v>
      </c>
      <c r="H320" s="4" t="s">
        <v>25</v>
      </c>
      <c r="I320" s="5">
        <v>44562</v>
      </c>
      <c r="J320" s="6">
        <v>0</v>
      </c>
      <c r="K320" s="6">
        <v>0</v>
      </c>
      <c r="L320" s="6">
        <v>0.55400000000000005</v>
      </c>
      <c r="M320" s="6">
        <v>0.18282000000000001</v>
      </c>
      <c r="N320" s="6">
        <v>0.55400000000000005</v>
      </c>
      <c r="O320" s="6">
        <v>0.18282000000000001</v>
      </c>
      <c r="P320" s="6">
        <v>0</v>
      </c>
      <c r="Q320" s="4" t="s">
        <v>26</v>
      </c>
      <c r="R320" s="4">
        <v>0</v>
      </c>
      <c r="S320" s="4">
        <v>0</v>
      </c>
      <c r="T320" s="4">
        <v>43</v>
      </c>
      <c r="U320" s="4">
        <v>84</v>
      </c>
      <c r="V320" s="6">
        <f>IF(ISERROR(VLOOKUP($S$320,'TAR FIN'!$A$1:$O$103,15,0)),0,VLOOKUP($S$320,'TAR FIN'!$A$1:$O$103,15,0))</f>
        <v>0</v>
      </c>
      <c r="W320" s="6">
        <f>IF(ISERROR(VLOOKUP($T$320,'TAR FIN'!$A$1:$O$103,15,0)),0,VLOOKUP($T$320,'TAR FIN'!$A$1:$O$103,15,0))</f>
        <v>334.07</v>
      </c>
      <c r="X320" s="6">
        <f>IF(ISERROR(VLOOKUP($U$320,'TAR FIN'!$A$1:$O$103,15,0)),0,VLOOKUP($U$320,'TAR FIN'!$A$1:$O$103,15,0))</f>
        <v>224.55</v>
      </c>
      <c r="Y320" s="6"/>
      <c r="Z320" s="6">
        <f ca="1">('TUSD BE'!$AM$45+'TUSD BF'!$AM$45+'TUSD CVA'!$AM$45)*(1-CUSTOS!$M$38)</f>
        <v>453.14332034419533</v>
      </c>
      <c r="AA320" s="6">
        <f>('TE BE'!$AB$26+'TE BF'!$AB$26+'TE CVA'!$AB$26)*(1-CUSTOS!$M$38)</f>
        <v>219.98233758978921</v>
      </c>
      <c r="AB320" s="6">
        <f t="shared" si="18"/>
        <v>0</v>
      </c>
      <c r="AC320" s="6">
        <f>(L320-M320)*(W320+X320)+($W$247+$X$247-$W$320-$X$320)*(L320)</f>
        <v>249.54675160000002</v>
      </c>
      <c r="AD320" s="6">
        <f t="shared" si="19"/>
        <v>0</v>
      </c>
      <c r="AE320" s="6">
        <f ca="1">(L320-M320)*(Z320+AA320)+($Z$247+$AA$247-$Z$320-$AA$320)*(L320)</f>
        <v>273.65365072228286</v>
      </c>
      <c r="AF320" s="4" t="s">
        <v>812</v>
      </c>
    </row>
    <row r="321" spans="1:32" ht="11.25" customHeight="1" x14ac:dyDescent="0.3">
      <c r="A321" s="4" t="s">
        <v>21</v>
      </c>
      <c r="B321" s="4" t="s">
        <v>43</v>
      </c>
      <c r="C321" s="4" t="s">
        <v>23</v>
      </c>
      <c r="D321" s="4" t="s">
        <v>44</v>
      </c>
      <c r="E321" s="4" t="s">
        <v>53</v>
      </c>
      <c r="F321" s="4" t="s">
        <v>55</v>
      </c>
      <c r="G321" s="4" t="s">
        <v>25</v>
      </c>
      <c r="H321" s="4" t="s">
        <v>25</v>
      </c>
      <c r="I321" s="5">
        <v>44593</v>
      </c>
      <c r="J321" s="6">
        <v>0</v>
      </c>
      <c r="K321" s="6">
        <v>0</v>
      </c>
      <c r="L321" s="6">
        <v>5.9119999999999999</v>
      </c>
      <c r="M321" s="6">
        <v>1.95096</v>
      </c>
      <c r="N321" s="6">
        <v>5.9119999999999999</v>
      </c>
      <c r="O321" s="6">
        <v>1.95096</v>
      </c>
      <c r="P321" s="6">
        <v>0</v>
      </c>
      <c r="Q321" s="4" t="s">
        <v>26</v>
      </c>
      <c r="R321" s="4">
        <v>0</v>
      </c>
      <c r="S321" s="4">
        <v>0</v>
      </c>
      <c r="T321" s="4">
        <v>43</v>
      </c>
      <c r="U321" s="4">
        <v>84</v>
      </c>
      <c r="V321" s="6">
        <f>IF(ISERROR(VLOOKUP($S$321,'TAR FIN'!$A$1:$O$103,15,0)),0,VLOOKUP($S$321,'TAR FIN'!$A$1:$O$103,15,0))</f>
        <v>0</v>
      </c>
      <c r="W321" s="6">
        <f>IF(ISERROR(VLOOKUP($T$321,'TAR FIN'!$A$1:$O$103,15,0)),0,VLOOKUP($T$321,'TAR FIN'!$A$1:$O$103,15,0))</f>
        <v>334.07</v>
      </c>
      <c r="X321" s="6">
        <f>IF(ISERROR(VLOOKUP($U$321,'TAR FIN'!$A$1:$O$103,15,0)),0,VLOOKUP($U$321,'TAR FIN'!$A$1:$O$103,15,0))</f>
        <v>224.55</v>
      </c>
      <c r="Y321" s="6"/>
      <c r="Z321" s="6">
        <f ca="1">('TUSD BE'!$AM$45+'TUSD BF'!$AM$45+'TUSD CVA'!$AM$45)*(1-CUSTOS!$M$38)</f>
        <v>453.14332034419533</v>
      </c>
      <c r="AA321" s="6">
        <f>('TE BE'!$AB$26+'TE BF'!$AB$26+'TE CVA'!$AB$26)*(1-CUSTOS!$M$38)</f>
        <v>219.98233758978921</v>
      </c>
      <c r="AB321" s="6">
        <f t="shared" si="18"/>
        <v>0</v>
      </c>
      <c r="AC321" s="6">
        <f>(L321-M321)*(W321+X321)+($W$247+$X$247-$W$321-$X$321)*(L321)</f>
        <v>2663.0332047999996</v>
      </c>
      <c r="AD321" s="6">
        <f t="shared" si="19"/>
        <v>0</v>
      </c>
      <c r="AE321" s="6">
        <f ca="1">(L321-M321)*(Z321+AA321)+($Z$247+$AA$247-$Z$321-$AA$321)*(L321)</f>
        <v>2920.2895001265988</v>
      </c>
      <c r="AF321" s="4" t="s">
        <v>812</v>
      </c>
    </row>
    <row r="322" spans="1:32" ht="11.25" customHeight="1" x14ac:dyDescent="0.3">
      <c r="A322" s="4" t="s">
        <v>21</v>
      </c>
      <c r="B322" s="4" t="s">
        <v>43</v>
      </c>
      <c r="C322" s="4" t="s">
        <v>23</v>
      </c>
      <c r="D322" s="4" t="s">
        <v>44</v>
      </c>
      <c r="E322" s="4" t="s">
        <v>53</v>
      </c>
      <c r="F322" s="4" t="s">
        <v>55</v>
      </c>
      <c r="G322" s="4" t="s">
        <v>25</v>
      </c>
      <c r="H322" s="4" t="s">
        <v>25</v>
      </c>
      <c r="I322" s="5">
        <v>44621</v>
      </c>
      <c r="J322" s="6">
        <v>0</v>
      </c>
      <c r="K322" s="6">
        <v>0</v>
      </c>
      <c r="L322" s="6">
        <v>11.507999999999999</v>
      </c>
      <c r="M322" s="6">
        <v>3.7976399999999999</v>
      </c>
      <c r="N322" s="6">
        <v>11.507999999999999</v>
      </c>
      <c r="O322" s="6">
        <v>3.7976399999999999</v>
      </c>
      <c r="P322" s="6">
        <v>0</v>
      </c>
      <c r="Q322" s="4" t="s">
        <v>26</v>
      </c>
      <c r="R322" s="4">
        <v>0</v>
      </c>
      <c r="S322" s="4">
        <v>0</v>
      </c>
      <c r="T322" s="4">
        <v>43</v>
      </c>
      <c r="U322" s="4">
        <v>84</v>
      </c>
      <c r="V322" s="6">
        <f>IF(ISERROR(VLOOKUP($S$322,'TAR FIN'!$A$1:$O$103,15,0)),0,VLOOKUP($S$322,'TAR FIN'!$A$1:$O$103,15,0))</f>
        <v>0</v>
      </c>
      <c r="W322" s="6">
        <f>IF(ISERROR(VLOOKUP($T$322,'TAR FIN'!$A$1:$O$103,15,0)),0,VLOOKUP($T$322,'TAR FIN'!$A$1:$O$103,15,0))</f>
        <v>334.07</v>
      </c>
      <c r="X322" s="6">
        <f>IF(ISERROR(VLOOKUP($U$322,'TAR FIN'!$A$1:$O$103,15,0)),0,VLOOKUP($U$322,'TAR FIN'!$A$1:$O$103,15,0))</f>
        <v>224.55</v>
      </c>
      <c r="Y322" s="6"/>
      <c r="Z322" s="6">
        <f ca="1">('TUSD BE'!$AM$45+'TUSD BF'!$AM$45+'TUSD CVA'!$AM$45)*(1-CUSTOS!$M$38)</f>
        <v>453.14332034419533</v>
      </c>
      <c r="AA322" s="6">
        <f>('TE BE'!$AB$26+'TE BF'!$AB$26+'TE CVA'!$AB$26)*(1-CUSTOS!$M$38)</f>
        <v>219.98233758978921</v>
      </c>
      <c r="AB322" s="6">
        <f t="shared" ref="AB322:AB385" si="20">(J322-K322)*V322</f>
        <v>0</v>
      </c>
      <c r="AC322" s="6">
        <f>(L322-M322)*(W322+X322)+($W$247+$X$247-$W$322-$X$322)*(L322)</f>
        <v>5183.725663199999</v>
      </c>
      <c r="AD322" s="6">
        <f t="shared" ref="AD322:AD385" si="21">(J322-K322)*Y322</f>
        <v>0</v>
      </c>
      <c r="AE322" s="6">
        <f ca="1">(L322-M322)*(Z322+AA322)+($Z$247+$AA$247-$Z$322-$AA$322)*(L322)</f>
        <v>5684.4877482166612</v>
      </c>
      <c r="AF322" s="4" t="s">
        <v>812</v>
      </c>
    </row>
    <row r="323" spans="1:32" ht="11.25" customHeight="1" x14ac:dyDescent="0.3">
      <c r="A323" s="4" t="s">
        <v>21</v>
      </c>
      <c r="B323" s="4" t="s">
        <v>43</v>
      </c>
      <c r="C323" s="4" t="s">
        <v>23</v>
      </c>
      <c r="D323" s="4" t="s">
        <v>44</v>
      </c>
      <c r="E323" s="4" t="s">
        <v>53</v>
      </c>
      <c r="F323" s="4" t="s">
        <v>55</v>
      </c>
      <c r="G323" s="4" t="s">
        <v>25</v>
      </c>
      <c r="H323" s="4" t="s">
        <v>25</v>
      </c>
      <c r="I323" s="5">
        <v>44652</v>
      </c>
      <c r="J323" s="6">
        <v>0</v>
      </c>
      <c r="K323" s="6">
        <v>0</v>
      </c>
      <c r="L323" s="6">
        <v>83.4</v>
      </c>
      <c r="M323" s="6">
        <v>27.521999999999998</v>
      </c>
      <c r="N323" s="6">
        <v>83.4</v>
      </c>
      <c r="O323" s="6">
        <v>27.521999999999998</v>
      </c>
      <c r="P323" s="6">
        <v>0</v>
      </c>
      <c r="Q323" s="4" t="s">
        <v>26</v>
      </c>
      <c r="R323" s="4">
        <v>0</v>
      </c>
      <c r="S323" s="4">
        <v>0</v>
      </c>
      <c r="T323" s="4">
        <v>43</v>
      </c>
      <c r="U323" s="4">
        <v>84</v>
      </c>
      <c r="V323" s="6">
        <f>IF(ISERROR(VLOOKUP($S$323,'TAR FIN'!$A$1:$O$103,15,0)),0,VLOOKUP($S$323,'TAR FIN'!$A$1:$O$103,15,0))</f>
        <v>0</v>
      </c>
      <c r="W323" s="6">
        <f>IF(ISERROR(VLOOKUP($T$323,'TAR FIN'!$A$1:$O$103,15,0)),0,VLOOKUP($T$323,'TAR FIN'!$A$1:$O$103,15,0))</f>
        <v>334.07</v>
      </c>
      <c r="X323" s="6">
        <f>IF(ISERROR(VLOOKUP($U$323,'TAR FIN'!$A$1:$O$103,15,0)),0,VLOOKUP($U$323,'TAR FIN'!$A$1:$O$103,15,0))</f>
        <v>224.55</v>
      </c>
      <c r="Y323" s="6"/>
      <c r="Z323" s="6">
        <f ca="1">('TUSD BE'!$AM$45+'TUSD BF'!$AM$45+'TUSD CVA'!$AM$45)*(1-CUSTOS!$M$38)</f>
        <v>453.14332034419533</v>
      </c>
      <c r="AA323" s="6">
        <f>('TE BE'!$AB$26+'TE BF'!$AB$26+'TE CVA'!$AB$26)*(1-CUSTOS!$M$38)</f>
        <v>219.98233758978921</v>
      </c>
      <c r="AB323" s="6">
        <f t="shared" si="20"/>
        <v>0</v>
      </c>
      <c r="AC323" s="6">
        <f>(L323-M323)*(W323+X323)+($W$247+$X$247-$W$323-$X$323)*(L323)</f>
        <v>37567.146359999999</v>
      </c>
      <c r="AD323" s="6">
        <f t="shared" si="21"/>
        <v>0</v>
      </c>
      <c r="AE323" s="6">
        <f ca="1">(L323-M323)*(Z323+AA323)+($Z$247+$AA$247-$Z$323-$AA$323)*(L323)</f>
        <v>41196.235505845463</v>
      </c>
      <c r="AF323" s="4" t="s">
        <v>812</v>
      </c>
    </row>
    <row r="324" spans="1:32" ht="11.25" customHeight="1" x14ac:dyDescent="0.3">
      <c r="A324" s="4" t="s">
        <v>21</v>
      </c>
      <c r="B324" s="4" t="s">
        <v>43</v>
      </c>
      <c r="C324" s="4" t="s">
        <v>23</v>
      </c>
      <c r="D324" s="4" t="s">
        <v>44</v>
      </c>
      <c r="E324" s="4" t="s">
        <v>53</v>
      </c>
      <c r="F324" s="4" t="s">
        <v>55</v>
      </c>
      <c r="G324" s="4" t="s">
        <v>25</v>
      </c>
      <c r="H324" s="4" t="s">
        <v>25</v>
      </c>
      <c r="I324" s="5">
        <v>44682</v>
      </c>
      <c r="J324" s="6">
        <v>0</v>
      </c>
      <c r="K324" s="6">
        <v>0</v>
      </c>
      <c r="L324" s="6">
        <v>105.05800000000001</v>
      </c>
      <c r="M324" s="6">
        <v>34.669139999999999</v>
      </c>
      <c r="N324" s="6">
        <v>105.05800000000001</v>
      </c>
      <c r="O324" s="6">
        <v>34.669139999999999</v>
      </c>
      <c r="P324" s="6">
        <v>0</v>
      </c>
      <c r="Q324" s="4" t="s">
        <v>26</v>
      </c>
      <c r="R324" s="4">
        <v>0</v>
      </c>
      <c r="S324" s="4">
        <v>0</v>
      </c>
      <c r="T324" s="4">
        <v>43</v>
      </c>
      <c r="U324" s="4">
        <v>84</v>
      </c>
      <c r="V324" s="6">
        <f>IF(ISERROR(VLOOKUP($S$324,'TAR FIN'!$A$1:$O$103,15,0)),0,VLOOKUP($S$324,'TAR FIN'!$A$1:$O$103,15,0))</f>
        <v>0</v>
      </c>
      <c r="W324" s="6">
        <f>IF(ISERROR(VLOOKUP($T$324,'TAR FIN'!$A$1:$O$103,15,0)),0,VLOOKUP($T$324,'TAR FIN'!$A$1:$O$103,15,0))</f>
        <v>334.07</v>
      </c>
      <c r="X324" s="6">
        <f>IF(ISERROR(VLOOKUP($U$324,'TAR FIN'!$A$1:$O$103,15,0)),0,VLOOKUP($U$324,'TAR FIN'!$A$1:$O$103,15,0))</f>
        <v>224.55</v>
      </c>
      <c r="Y324" s="6"/>
      <c r="Z324" s="6">
        <f ca="1">('TUSD BE'!$AM$45+'TUSD BF'!$AM$45+'TUSD CVA'!$AM$45)*(1-CUSTOS!$M$38)</f>
        <v>453.14332034419533</v>
      </c>
      <c r="AA324" s="6">
        <f>('TE BE'!$AB$26+'TE BF'!$AB$26+'TE CVA'!$AB$26)*(1-CUSTOS!$M$38)</f>
        <v>219.98233758978921</v>
      </c>
      <c r="AB324" s="6">
        <f t="shared" si="20"/>
        <v>0</v>
      </c>
      <c r="AC324" s="6">
        <f>(L324-M324)*(W324+X324)+($W$247+$X$247-$W$324-$X$324)*(L324)</f>
        <v>47322.892833200007</v>
      </c>
      <c r="AD324" s="6">
        <f t="shared" si="21"/>
        <v>0</v>
      </c>
      <c r="AE324" s="6">
        <f ca="1">(L324-M324)*(Z324+AA324)+($Z$247+$AA$247-$Z$324-$AA$324)*(L324)</f>
        <v>51894.413786248362</v>
      </c>
      <c r="AF324" s="4" t="s">
        <v>812</v>
      </c>
    </row>
    <row r="325" spans="1:32" ht="11.25" customHeight="1" x14ac:dyDescent="0.3">
      <c r="A325" s="4" t="s">
        <v>21</v>
      </c>
      <c r="B325" s="4" t="s">
        <v>43</v>
      </c>
      <c r="C325" s="4" t="s">
        <v>23</v>
      </c>
      <c r="D325" s="4" t="s">
        <v>44</v>
      </c>
      <c r="E325" s="4" t="s">
        <v>53</v>
      </c>
      <c r="F325" s="4" t="s">
        <v>55</v>
      </c>
      <c r="G325" s="4" t="s">
        <v>25</v>
      </c>
      <c r="H325" s="4" t="s">
        <v>25</v>
      </c>
      <c r="I325" s="5">
        <v>44713</v>
      </c>
      <c r="J325" s="6">
        <v>0</v>
      </c>
      <c r="K325" s="6">
        <v>0</v>
      </c>
      <c r="L325" s="6">
        <v>106.611</v>
      </c>
      <c r="M325" s="6">
        <v>35.181629999999998</v>
      </c>
      <c r="N325" s="6">
        <v>106.611</v>
      </c>
      <c r="O325" s="6">
        <v>35.181629999999998</v>
      </c>
      <c r="P325" s="6">
        <v>0</v>
      </c>
      <c r="Q325" s="4" t="s">
        <v>26</v>
      </c>
      <c r="R325" s="4">
        <v>0</v>
      </c>
      <c r="S325" s="4">
        <v>0</v>
      </c>
      <c r="T325" s="4">
        <v>43</v>
      </c>
      <c r="U325" s="4">
        <v>84</v>
      </c>
      <c r="V325" s="6">
        <f>IF(ISERROR(VLOOKUP($S$325,'TAR FIN'!$A$1:$O$103,15,0)),0,VLOOKUP($S$325,'TAR FIN'!$A$1:$O$103,15,0))</f>
        <v>0</v>
      </c>
      <c r="W325" s="6">
        <f>IF(ISERROR(VLOOKUP($T$325,'TAR FIN'!$A$1:$O$103,15,0)),0,VLOOKUP($T$325,'TAR FIN'!$A$1:$O$103,15,0))</f>
        <v>334.07</v>
      </c>
      <c r="X325" s="6">
        <f>IF(ISERROR(VLOOKUP($U$325,'TAR FIN'!$A$1:$O$103,15,0)),0,VLOOKUP($U$325,'TAR FIN'!$A$1:$O$103,15,0))</f>
        <v>224.55</v>
      </c>
      <c r="Y325" s="6"/>
      <c r="Z325" s="6">
        <f ca="1">('TUSD BE'!$AM$45+'TUSD BF'!$AM$45+'TUSD CVA'!$AM$45)*(1-CUSTOS!$M$38)</f>
        <v>453.14332034419533</v>
      </c>
      <c r="AA325" s="6">
        <f>('TE BE'!$AB$26+'TE BF'!$AB$26+'TE CVA'!$AB$26)*(1-CUSTOS!$M$38)</f>
        <v>219.98233758978921</v>
      </c>
      <c r="AB325" s="6">
        <f t="shared" si="20"/>
        <v>0</v>
      </c>
      <c r="AC325" s="6">
        <f>(L325-M325)*(W325+X325)+($W$247+$X$247-$W$325-$X$325)*(L325)</f>
        <v>48022.434539399997</v>
      </c>
      <c r="AD325" s="6">
        <f t="shared" si="21"/>
        <v>0</v>
      </c>
      <c r="AE325" s="6">
        <f ca="1">(L325-M325)*(Z325+AA325)+($Z$247+$AA$247-$Z$325-$AA$325)*(L325)</f>
        <v>52661.533135655758</v>
      </c>
      <c r="AF325" s="4" t="s">
        <v>812</v>
      </c>
    </row>
    <row r="326" spans="1:32" ht="11.25" customHeight="1" x14ac:dyDescent="0.3">
      <c r="A326" s="4" t="s">
        <v>21</v>
      </c>
      <c r="B326" s="4" t="s">
        <v>43</v>
      </c>
      <c r="C326" s="4" t="s">
        <v>23</v>
      </c>
      <c r="D326" s="4" t="s">
        <v>44</v>
      </c>
      <c r="E326" s="4" t="s">
        <v>53</v>
      </c>
      <c r="F326" s="4" t="s">
        <v>55</v>
      </c>
      <c r="G326" s="4" t="s">
        <v>25</v>
      </c>
      <c r="H326" s="4" t="s">
        <v>25</v>
      </c>
      <c r="I326" s="5">
        <v>44743</v>
      </c>
      <c r="J326" s="6">
        <v>0</v>
      </c>
      <c r="K326" s="6">
        <v>0</v>
      </c>
      <c r="L326" s="6">
        <v>115.55500000000001</v>
      </c>
      <c r="M326" s="6">
        <v>38.133150000000001</v>
      </c>
      <c r="N326" s="6">
        <v>115.55500000000001</v>
      </c>
      <c r="O326" s="6">
        <v>38.133150000000001</v>
      </c>
      <c r="P326" s="6">
        <v>0</v>
      </c>
      <c r="Q326" s="4" t="s">
        <v>26</v>
      </c>
      <c r="R326" s="4">
        <v>0</v>
      </c>
      <c r="S326" s="4">
        <v>0</v>
      </c>
      <c r="T326" s="4">
        <v>43</v>
      </c>
      <c r="U326" s="4">
        <v>84</v>
      </c>
      <c r="V326" s="6">
        <f>IF(ISERROR(VLOOKUP($S$326,'TAR FIN'!$A$1:$O$103,15,0)),0,VLOOKUP($S$326,'TAR FIN'!$A$1:$O$103,15,0))</f>
        <v>0</v>
      </c>
      <c r="W326" s="6">
        <f>IF(ISERROR(VLOOKUP($T$326,'TAR FIN'!$A$1:$O$103,15,0)),0,VLOOKUP($T$326,'TAR FIN'!$A$1:$O$103,15,0))</f>
        <v>334.07</v>
      </c>
      <c r="X326" s="6">
        <f>IF(ISERROR(VLOOKUP($U$326,'TAR FIN'!$A$1:$O$103,15,0)),0,VLOOKUP($U$326,'TAR FIN'!$A$1:$O$103,15,0))</f>
        <v>224.55</v>
      </c>
      <c r="Y326" s="6"/>
      <c r="Z326" s="6">
        <f ca="1">('TUSD BE'!$AM$45+'TUSD BF'!$AM$45+'TUSD CVA'!$AM$45)*(1-CUSTOS!$M$38)</f>
        <v>453.14332034419533</v>
      </c>
      <c r="AA326" s="6">
        <f>('TE BE'!$AB$26+'TE BF'!$AB$26+'TE CVA'!$AB$26)*(1-CUSTOS!$M$38)</f>
        <v>219.98233758978921</v>
      </c>
      <c r="AB326" s="6">
        <f t="shared" si="20"/>
        <v>0</v>
      </c>
      <c r="AC326" s="6">
        <f>(L326-M326)*(W326+X326)+($W$247+$X$247-$W$326-$X$326)*(L326)</f>
        <v>52051.218197000002</v>
      </c>
      <c r="AD326" s="6">
        <f t="shared" si="21"/>
        <v>0</v>
      </c>
      <c r="AE326" s="6">
        <f ca="1">(L326-M326)*(Z326+AA326)+($Z$247+$AA$247-$Z$326-$AA$326)*(L326)</f>
        <v>57079.508319879766</v>
      </c>
      <c r="AF326" s="4" t="s">
        <v>812</v>
      </c>
    </row>
    <row r="327" spans="1:32" ht="11.25" customHeight="1" x14ac:dyDescent="0.3">
      <c r="A327" s="4" t="s">
        <v>21</v>
      </c>
      <c r="B327" s="4" t="s">
        <v>43</v>
      </c>
      <c r="C327" s="4" t="s">
        <v>23</v>
      </c>
      <c r="D327" s="4" t="s">
        <v>44</v>
      </c>
      <c r="E327" s="4" t="s">
        <v>53</v>
      </c>
      <c r="F327" s="4" t="s">
        <v>55</v>
      </c>
      <c r="G327" s="4" t="s">
        <v>25</v>
      </c>
      <c r="H327" s="4" t="s">
        <v>25</v>
      </c>
      <c r="I327" s="5">
        <v>44774</v>
      </c>
      <c r="J327" s="6">
        <v>0</v>
      </c>
      <c r="K327" s="6">
        <v>0</v>
      </c>
      <c r="L327" s="6">
        <v>97.406000000000006</v>
      </c>
      <c r="M327" s="6">
        <v>32.143979999999999</v>
      </c>
      <c r="N327" s="6">
        <v>97.406000000000006</v>
      </c>
      <c r="O327" s="6">
        <v>32.143979999999999</v>
      </c>
      <c r="P327" s="6">
        <v>0</v>
      </c>
      <c r="Q327" s="4" t="s">
        <v>26</v>
      </c>
      <c r="R327" s="4">
        <v>0</v>
      </c>
      <c r="S327" s="4">
        <v>0</v>
      </c>
      <c r="T327" s="4">
        <v>43</v>
      </c>
      <c r="U327" s="4">
        <v>84</v>
      </c>
      <c r="V327" s="6">
        <f>IF(ISERROR(VLOOKUP($S$327,'TAR FIN'!$A$1:$O$103,15,0)),0,VLOOKUP($S$327,'TAR FIN'!$A$1:$O$103,15,0))</f>
        <v>0</v>
      </c>
      <c r="W327" s="6">
        <f>IF(ISERROR(VLOOKUP($T$327,'TAR FIN'!$A$1:$O$103,15,0)),0,VLOOKUP($T$327,'TAR FIN'!$A$1:$O$103,15,0))</f>
        <v>334.07</v>
      </c>
      <c r="X327" s="6">
        <f>IF(ISERROR(VLOOKUP($U$327,'TAR FIN'!$A$1:$O$103,15,0)),0,VLOOKUP($U$327,'TAR FIN'!$A$1:$O$103,15,0))</f>
        <v>224.55</v>
      </c>
      <c r="Y327" s="6"/>
      <c r="Z327" s="6">
        <f ca="1">('TUSD BE'!$AM$45+'TUSD BF'!$AM$45+'TUSD CVA'!$AM$45)*(1-CUSTOS!$M$38)</f>
        <v>453.14332034419533</v>
      </c>
      <c r="AA327" s="6">
        <f>('TE BE'!$AB$26+'TE BF'!$AB$26+'TE CVA'!$AB$26)*(1-CUSTOS!$M$38)</f>
        <v>219.98233758978921</v>
      </c>
      <c r="AB327" s="6">
        <f t="shared" si="20"/>
        <v>0</v>
      </c>
      <c r="AC327" s="6">
        <f>(L327-M327)*(W327+X327)+($W$247+$X$247-$W$327-$X$327)*(L327)</f>
        <v>43876.084632400001</v>
      </c>
      <c r="AD327" s="6">
        <f t="shared" si="21"/>
        <v>0</v>
      </c>
      <c r="AE327" s="6">
        <f ca="1">(L327-M327)*(Z327+AA327)+($Z$247+$AA$247-$Z$327-$AA$327)*(L327)</f>
        <v>48114.634480604116</v>
      </c>
      <c r="AF327" s="4" t="s">
        <v>812</v>
      </c>
    </row>
    <row r="328" spans="1:32" ht="11.25" customHeight="1" x14ac:dyDescent="0.3">
      <c r="A328" s="4" t="s">
        <v>28</v>
      </c>
      <c r="B328" s="4" t="s">
        <v>43</v>
      </c>
      <c r="C328" s="4" t="s">
        <v>23</v>
      </c>
      <c r="D328" s="4" t="s">
        <v>44</v>
      </c>
      <c r="E328" s="4" t="s">
        <v>53</v>
      </c>
      <c r="F328" s="4" t="s">
        <v>55</v>
      </c>
      <c r="G328" s="4" t="s">
        <v>25</v>
      </c>
      <c r="H328" s="4" t="s">
        <v>25</v>
      </c>
      <c r="I328" s="5">
        <v>44774</v>
      </c>
      <c r="J328" s="6">
        <v>0</v>
      </c>
      <c r="K328" s="6">
        <v>0</v>
      </c>
      <c r="L328" s="6">
        <v>18.099</v>
      </c>
      <c r="M328" s="6">
        <v>5.9726699999999999</v>
      </c>
      <c r="N328" s="6">
        <v>18.099</v>
      </c>
      <c r="O328" s="6">
        <v>5.9726699999999999</v>
      </c>
      <c r="P328" s="6">
        <v>0</v>
      </c>
      <c r="Q328" s="4" t="s">
        <v>26</v>
      </c>
      <c r="R328" s="4">
        <v>0</v>
      </c>
      <c r="S328" s="4">
        <v>0</v>
      </c>
      <c r="T328" s="4">
        <v>43</v>
      </c>
      <c r="U328" s="4">
        <v>84</v>
      </c>
      <c r="V328" s="6">
        <f>IF(ISERROR(VLOOKUP($S$328,'TAR FIN'!$A$1:$O$103,15,0)),0,VLOOKUP($S$328,'TAR FIN'!$A$1:$O$103,15,0))</f>
        <v>0</v>
      </c>
      <c r="W328" s="6">
        <f>IF(ISERROR(VLOOKUP($T$328,'TAR FIN'!$A$1:$O$103,15,0)),0,VLOOKUP($T$328,'TAR FIN'!$A$1:$O$103,15,0))</f>
        <v>334.07</v>
      </c>
      <c r="X328" s="6">
        <f>IF(ISERROR(VLOOKUP($U$328,'TAR FIN'!$A$1:$O$103,15,0)),0,VLOOKUP($U$328,'TAR FIN'!$A$1:$O$103,15,0))</f>
        <v>224.55</v>
      </c>
      <c r="Y328" s="6"/>
      <c r="Z328" s="6">
        <f ca="1">('TUSD BE'!$AM$45+'TUSD BF'!$AM$45+'TUSD CVA'!$AM$45)*(1-CUSTOS!$M$38)</f>
        <v>453.14332034419533</v>
      </c>
      <c r="AA328" s="6">
        <f>('TE BE'!$AB$26+'TE BF'!$AB$26+'TE CVA'!$AB$26)*(1-CUSTOS!$M$38)</f>
        <v>219.98233758978921</v>
      </c>
      <c r="AB328" s="6">
        <f t="shared" si="20"/>
        <v>0</v>
      </c>
      <c r="AC328" s="6">
        <f>(L328-M328)*(W328+X328)+($W$247+$X$247-$W$328-$X$328)*(L328)</f>
        <v>8152.6112945999994</v>
      </c>
      <c r="AD328" s="6">
        <f t="shared" si="21"/>
        <v>0</v>
      </c>
      <c r="AE328" s="6">
        <f ca="1">(L328-M328)*(Z328+AA328)+($Z$247+$AA$247-$Z$328-$AA$328)*(L328)</f>
        <v>8940.1758563584772</v>
      </c>
      <c r="AF328" s="4" t="s">
        <v>812</v>
      </c>
    </row>
    <row r="329" spans="1:32" ht="11.25" customHeight="1" x14ac:dyDescent="0.3">
      <c r="A329" s="4" t="s">
        <v>21</v>
      </c>
      <c r="B329" s="4" t="s">
        <v>43</v>
      </c>
      <c r="C329" s="4" t="s">
        <v>23</v>
      </c>
      <c r="D329" s="4" t="s">
        <v>44</v>
      </c>
      <c r="E329" s="4" t="s">
        <v>53</v>
      </c>
      <c r="F329" s="4" t="s">
        <v>55</v>
      </c>
      <c r="G329" s="4" t="s">
        <v>25</v>
      </c>
      <c r="H329" s="4" t="s">
        <v>25</v>
      </c>
      <c r="I329" s="5">
        <v>44805</v>
      </c>
      <c r="J329" s="6">
        <v>0</v>
      </c>
      <c r="K329" s="6">
        <v>0</v>
      </c>
      <c r="L329" s="6">
        <v>116.042</v>
      </c>
      <c r="M329" s="6">
        <v>38.293860000000002</v>
      </c>
      <c r="N329" s="6">
        <v>116.042</v>
      </c>
      <c r="O329" s="6">
        <v>38.293860000000002</v>
      </c>
      <c r="P329" s="6">
        <v>0</v>
      </c>
      <c r="Q329" s="4" t="s">
        <v>26</v>
      </c>
      <c r="R329" s="4">
        <v>0</v>
      </c>
      <c r="S329" s="4">
        <v>0</v>
      </c>
      <c r="T329" s="4">
        <v>43</v>
      </c>
      <c r="U329" s="4">
        <v>84</v>
      </c>
      <c r="V329" s="6">
        <f>IF(ISERROR(VLOOKUP($S$329,'TAR FIN'!$A$1:$O$103,15,0)),0,VLOOKUP($S$329,'TAR FIN'!$A$1:$O$103,15,0))</f>
        <v>0</v>
      </c>
      <c r="W329" s="6">
        <f>IF(ISERROR(VLOOKUP($T$329,'TAR FIN'!$A$1:$O$103,15,0)),0,VLOOKUP($T$329,'TAR FIN'!$A$1:$O$103,15,0))</f>
        <v>334.07</v>
      </c>
      <c r="X329" s="6">
        <f>IF(ISERROR(VLOOKUP($U$329,'TAR FIN'!$A$1:$O$103,15,0)),0,VLOOKUP($U$329,'TAR FIN'!$A$1:$O$103,15,0))</f>
        <v>224.55</v>
      </c>
      <c r="Y329" s="6"/>
      <c r="Z329" s="6">
        <f ca="1">('TUSD BE'!$AM$45+'TUSD BF'!$AM$45+'TUSD CVA'!$AM$45)*(1-CUSTOS!$M$38)</f>
        <v>453.14332034419533</v>
      </c>
      <c r="AA329" s="6">
        <f>('TE BE'!$AB$26+'TE BF'!$AB$26+'TE CVA'!$AB$26)*(1-CUSTOS!$M$38)</f>
        <v>219.98233758978921</v>
      </c>
      <c r="AB329" s="6">
        <f t="shared" si="20"/>
        <v>0</v>
      </c>
      <c r="AC329" s="6">
        <f>(L329-M329)*(W329+X329)+($W$247+$X$247-$W$329-$X$329)*(L329)</f>
        <v>52270.585106800005</v>
      </c>
      <c r="AD329" s="6">
        <f t="shared" si="21"/>
        <v>0</v>
      </c>
      <c r="AE329" s="6">
        <f ca="1">(L329-M329)*(Z329+AA329)+($Z$247+$AA$247-$Z$329-$AA$329)*(L329)</f>
        <v>57320.066673493035</v>
      </c>
      <c r="AF329" s="4" t="s">
        <v>812</v>
      </c>
    </row>
    <row r="330" spans="1:32" ht="11.25" customHeight="1" x14ac:dyDescent="0.3">
      <c r="A330" s="4" t="s">
        <v>28</v>
      </c>
      <c r="B330" s="4" t="s">
        <v>43</v>
      </c>
      <c r="C330" s="4" t="s">
        <v>23</v>
      </c>
      <c r="D330" s="4" t="s">
        <v>44</v>
      </c>
      <c r="E330" s="4" t="s">
        <v>53</v>
      </c>
      <c r="F330" s="4" t="s">
        <v>55</v>
      </c>
      <c r="G330" s="4" t="s">
        <v>25</v>
      </c>
      <c r="H330" s="4" t="s">
        <v>25</v>
      </c>
      <c r="I330" s="5">
        <v>44805</v>
      </c>
      <c r="J330" s="6">
        <v>0</v>
      </c>
      <c r="K330" s="6">
        <v>0</v>
      </c>
      <c r="L330" s="6">
        <v>16.12</v>
      </c>
      <c r="M330" s="6">
        <v>5.3196000000000003</v>
      </c>
      <c r="N330" s="6">
        <v>16.12</v>
      </c>
      <c r="O330" s="6">
        <v>5.3196000000000003</v>
      </c>
      <c r="P330" s="6">
        <v>0</v>
      </c>
      <c r="Q330" s="4" t="s">
        <v>26</v>
      </c>
      <c r="R330" s="4">
        <v>0</v>
      </c>
      <c r="S330" s="4">
        <v>0</v>
      </c>
      <c r="T330" s="4">
        <v>43</v>
      </c>
      <c r="U330" s="4">
        <v>84</v>
      </c>
      <c r="V330" s="6">
        <f>IF(ISERROR(VLOOKUP($S$330,'TAR FIN'!$A$1:$O$103,15,0)),0,VLOOKUP($S$330,'TAR FIN'!$A$1:$O$103,15,0))</f>
        <v>0</v>
      </c>
      <c r="W330" s="6">
        <f>IF(ISERROR(VLOOKUP($T$330,'TAR FIN'!$A$1:$O$103,15,0)),0,VLOOKUP($T$330,'TAR FIN'!$A$1:$O$103,15,0))</f>
        <v>334.07</v>
      </c>
      <c r="X330" s="6">
        <f>IF(ISERROR(VLOOKUP($U$330,'TAR FIN'!$A$1:$O$103,15,0)),0,VLOOKUP($U$330,'TAR FIN'!$A$1:$O$103,15,0))</f>
        <v>224.55</v>
      </c>
      <c r="Y330" s="6"/>
      <c r="Z330" s="6">
        <f ca="1">('TUSD BE'!$AM$45+'TUSD BF'!$AM$45+'TUSD CVA'!$AM$45)*(1-CUSTOS!$M$38)</f>
        <v>453.14332034419533</v>
      </c>
      <c r="AA330" s="6">
        <f>('TE BE'!$AB$26+'TE BF'!$AB$26+'TE CVA'!$AB$26)*(1-CUSTOS!$M$38)</f>
        <v>219.98233758978921</v>
      </c>
      <c r="AB330" s="6">
        <f t="shared" si="20"/>
        <v>0</v>
      </c>
      <c r="AC330" s="6">
        <f>(L330-M330)*(W330+X330)+($W$247+$X$247-$W$330-$X$330)*(L330)</f>
        <v>7261.1798479999998</v>
      </c>
      <c r="AD330" s="6">
        <f t="shared" si="21"/>
        <v>0</v>
      </c>
      <c r="AE330" s="6">
        <f ca="1">(L330-M330)*(Z330+AA330)+($Z$247+$AA$247-$Z$330-$AA$330)*(L330)</f>
        <v>7962.6296924967482</v>
      </c>
      <c r="AF330" s="4" t="s">
        <v>812</v>
      </c>
    </row>
    <row r="331" spans="1:32" ht="11.25" customHeight="1" x14ac:dyDescent="0.3">
      <c r="A331" s="4" t="s">
        <v>57</v>
      </c>
      <c r="B331" s="4" t="s">
        <v>43</v>
      </c>
      <c r="C331" s="4" t="s">
        <v>23</v>
      </c>
      <c r="D331" s="4" t="s">
        <v>44</v>
      </c>
      <c r="E331" s="4" t="s">
        <v>53</v>
      </c>
      <c r="F331" s="4" t="s">
        <v>55</v>
      </c>
      <c r="G331" s="4" t="s">
        <v>25</v>
      </c>
      <c r="H331" s="4" t="s">
        <v>25</v>
      </c>
      <c r="I331" s="5">
        <v>44835</v>
      </c>
      <c r="J331" s="6">
        <v>0</v>
      </c>
      <c r="K331" s="6">
        <v>0</v>
      </c>
      <c r="L331" s="6">
        <v>116.042</v>
      </c>
      <c r="M331" s="6">
        <v>38.293860000000002</v>
      </c>
      <c r="N331" s="6">
        <v>116.042</v>
      </c>
      <c r="O331" s="6">
        <v>38.293860000000002</v>
      </c>
      <c r="P331" s="6">
        <v>0</v>
      </c>
      <c r="Q331" s="4" t="s">
        <v>26</v>
      </c>
      <c r="R331" s="4">
        <v>0</v>
      </c>
      <c r="S331" s="4">
        <v>0</v>
      </c>
      <c r="T331" s="4">
        <v>43</v>
      </c>
      <c r="U331" s="4">
        <v>84</v>
      </c>
      <c r="V331" s="6">
        <f>IF(ISERROR(VLOOKUP($S$331,'TAR FIN'!$A$1:$O$103,15,0)),0,VLOOKUP($S$331,'TAR FIN'!$A$1:$O$103,15,0))</f>
        <v>0</v>
      </c>
      <c r="W331" s="6">
        <f>IF(ISERROR(VLOOKUP($T$331,'TAR FIN'!$A$1:$O$103,15,0)),0,VLOOKUP($T$331,'TAR FIN'!$A$1:$O$103,15,0))</f>
        <v>334.07</v>
      </c>
      <c r="X331" s="6">
        <f>IF(ISERROR(VLOOKUP($U$331,'TAR FIN'!$A$1:$O$103,15,0)),0,VLOOKUP($U$331,'TAR FIN'!$A$1:$O$103,15,0))</f>
        <v>224.55</v>
      </c>
      <c r="Y331" s="6"/>
      <c r="Z331" s="6">
        <f ca="1">('TUSD BE'!$AM$45+'TUSD BF'!$AM$45+'TUSD CVA'!$AM$45)*(1-CUSTOS!$M$38)</f>
        <v>453.14332034419533</v>
      </c>
      <c r="AA331" s="6">
        <f>('TE BE'!$AB$26+'TE BF'!$AB$26+'TE CVA'!$AB$26)*(1-CUSTOS!$M$38)</f>
        <v>219.98233758978921</v>
      </c>
      <c r="AB331" s="6">
        <f t="shared" si="20"/>
        <v>0</v>
      </c>
      <c r="AC331" s="6">
        <f>(L331-M331)*(W331+X331)+($W$247+$X$247-$W$331-$X$331)*(L331)</f>
        <v>52270.585106800005</v>
      </c>
      <c r="AD331" s="6">
        <f t="shared" si="21"/>
        <v>0</v>
      </c>
      <c r="AE331" s="6">
        <f ca="1">(L331-M331)*(Z331+AA331)+($Z$247+$AA$247-$Z$331-$AA$331)*(L331)</f>
        <v>57320.066673493035</v>
      </c>
      <c r="AF331" s="4" t="s">
        <v>812</v>
      </c>
    </row>
    <row r="332" spans="1:32" ht="11.25" customHeight="1" x14ac:dyDescent="0.3">
      <c r="A332" s="4" t="s">
        <v>57</v>
      </c>
      <c r="B332" s="4" t="s">
        <v>43</v>
      </c>
      <c r="C332" s="4" t="s">
        <v>23</v>
      </c>
      <c r="D332" s="4" t="s">
        <v>44</v>
      </c>
      <c r="E332" s="4" t="s">
        <v>53</v>
      </c>
      <c r="F332" s="4" t="s">
        <v>55</v>
      </c>
      <c r="G332" s="4" t="s">
        <v>25</v>
      </c>
      <c r="H332" s="4" t="s">
        <v>25</v>
      </c>
      <c r="I332" s="5">
        <v>44835</v>
      </c>
      <c r="J332" s="6">
        <v>0</v>
      </c>
      <c r="K332" s="6">
        <v>0</v>
      </c>
      <c r="L332" s="6">
        <v>16.12</v>
      </c>
      <c r="M332" s="6">
        <v>5.3196000000000003</v>
      </c>
      <c r="N332" s="6">
        <v>16.12</v>
      </c>
      <c r="O332" s="6">
        <v>5.3196000000000003</v>
      </c>
      <c r="P332" s="6">
        <v>0</v>
      </c>
      <c r="Q332" s="4" t="s">
        <v>26</v>
      </c>
      <c r="R332" s="4">
        <v>0</v>
      </c>
      <c r="S332" s="4">
        <v>0</v>
      </c>
      <c r="T332" s="4">
        <v>43</v>
      </c>
      <c r="U332" s="4">
        <v>84</v>
      </c>
      <c r="V332" s="6">
        <f>IF(ISERROR(VLOOKUP($S$332,'TAR FIN'!$A$1:$O$103,15,0)),0,VLOOKUP($S$332,'TAR FIN'!$A$1:$O$103,15,0))</f>
        <v>0</v>
      </c>
      <c r="W332" s="6">
        <f>IF(ISERROR(VLOOKUP($T$332,'TAR FIN'!$A$1:$O$103,15,0)),0,VLOOKUP($T$332,'TAR FIN'!$A$1:$O$103,15,0))</f>
        <v>334.07</v>
      </c>
      <c r="X332" s="6">
        <f>IF(ISERROR(VLOOKUP($U$332,'TAR FIN'!$A$1:$O$103,15,0)),0,VLOOKUP($U$332,'TAR FIN'!$A$1:$O$103,15,0))</f>
        <v>224.55</v>
      </c>
      <c r="Y332" s="6"/>
      <c r="Z332" s="6">
        <f ca="1">('TUSD BE'!$AM$45+'TUSD BF'!$AM$45+'TUSD CVA'!$AM$45)*(1-CUSTOS!$M$38)</f>
        <v>453.14332034419533</v>
      </c>
      <c r="AA332" s="6">
        <f>('TE BE'!$AB$26+'TE BF'!$AB$26+'TE CVA'!$AB$26)*(1-CUSTOS!$M$38)</f>
        <v>219.98233758978921</v>
      </c>
      <c r="AB332" s="6">
        <f t="shared" si="20"/>
        <v>0</v>
      </c>
      <c r="AC332" s="6">
        <f>(L332-M332)*(W332+X332)+($W$247+$X$247-$W$332-$X$332)*(L332)</f>
        <v>7261.1798479999998</v>
      </c>
      <c r="AD332" s="6">
        <f t="shared" si="21"/>
        <v>0</v>
      </c>
      <c r="AE332" s="6">
        <f ca="1">(L332-M332)*(Z332+AA332)+($Z$247+$AA$247-$Z$332-$AA$332)*(L332)</f>
        <v>7962.6296924967482</v>
      </c>
      <c r="AF332" s="4" t="s">
        <v>812</v>
      </c>
    </row>
    <row r="333" spans="1:32" ht="11.25" customHeight="1" x14ac:dyDescent="0.3">
      <c r="A333" s="4" t="s">
        <v>21</v>
      </c>
      <c r="B333" s="4" t="s">
        <v>43</v>
      </c>
      <c r="C333" s="4" t="s">
        <v>23</v>
      </c>
      <c r="D333" s="4" t="s">
        <v>44</v>
      </c>
      <c r="E333" s="4" t="s">
        <v>56</v>
      </c>
      <c r="F333" s="4" t="s">
        <v>54</v>
      </c>
      <c r="G333" s="4" t="s">
        <v>25</v>
      </c>
      <c r="H333" s="4" t="s">
        <v>25</v>
      </c>
      <c r="I333" s="5">
        <v>44501</v>
      </c>
      <c r="J333" s="6">
        <v>0</v>
      </c>
      <c r="K333" s="6">
        <v>0</v>
      </c>
      <c r="L333" s="6">
        <v>8.7739999999999991</v>
      </c>
      <c r="M333" s="6">
        <v>8.7739999999999991</v>
      </c>
      <c r="N333" s="6">
        <v>8.7739999999999991</v>
      </c>
      <c r="O333" s="6">
        <v>8.7739999999999991</v>
      </c>
      <c r="P333" s="6">
        <v>0</v>
      </c>
      <c r="Q333" s="4" t="s">
        <v>26</v>
      </c>
      <c r="R333" s="4">
        <v>0</v>
      </c>
      <c r="S333" s="4">
        <v>0</v>
      </c>
      <c r="T333" s="4">
        <v>43</v>
      </c>
      <c r="U333" s="4">
        <v>84</v>
      </c>
      <c r="V333" s="6">
        <f>IF(ISERROR(VLOOKUP($S$333,'TAR FIN'!$A$1:$O$103,15,0)),0,VLOOKUP($S$333,'TAR FIN'!$A$1:$O$103,15,0))</f>
        <v>0</v>
      </c>
      <c r="W333" s="6">
        <f>IF(ISERROR(VLOOKUP($T$333,'TAR FIN'!$A$1:$O$103,15,0)),0,VLOOKUP($T$333,'TAR FIN'!$A$1:$O$103,15,0))</f>
        <v>334.07</v>
      </c>
      <c r="X333" s="6">
        <f>IF(ISERROR(VLOOKUP($U$333,'TAR FIN'!$A$1:$O$103,15,0)),0,VLOOKUP($U$333,'TAR FIN'!$A$1:$O$103,15,0))</f>
        <v>224.55</v>
      </c>
      <c r="Y333" s="6"/>
      <c r="Z333" s="6">
        <f ca="1">('TUSD BE'!$AM$45+'TUSD BF'!$AM$45+'TUSD CVA'!$AM$45)*(1-CUSTOS!$M$38)</f>
        <v>453.14332034419533</v>
      </c>
      <c r="AA333" s="6">
        <f>('TE BE'!$AB$26+'TE BF'!$AB$26+'TE CVA'!$AB$26)*(1-CUSTOS!$M$38)</f>
        <v>219.98233758978921</v>
      </c>
      <c r="AB333" s="6">
        <f t="shared" si="20"/>
        <v>0</v>
      </c>
      <c r="AC333" s="6">
        <f>(L333-M333)*(W333+X333)+($W$247+$X$247-$W$333-$X$333)*(L333)</f>
        <v>668.31557999999961</v>
      </c>
      <c r="AD333" s="6">
        <f t="shared" si="21"/>
        <v>0</v>
      </c>
      <c r="AE333" s="6">
        <f ca="1">(L333-M333)*(Z333+AA333)+($Z$247+$AA$247-$Z$333-$AA$333)*(L333)</f>
        <v>376.97901208804984</v>
      </c>
      <c r="AF333" s="4" t="s">
        <v>811</v>
      </c>
    </row>
    <row r="334" spans="1:32" ht="11.25" customHeight="1" x14ac:dyDescent="0.3">
      <c r="A334" s="4" t="s">
        <v>28</v>
      </c>
      <c r="B334" s="4" t="s">
        <v>43</v>
      </c>
      <c r="C334" s="4" t="s">
        <v>23</v>
      </c>
      <c r="D334" s="4" t="s">
        <v>44</v>
      </c>
      <c r="E334" s="4" t="s">
        <v>56</v>
      </c>
      <c r="F334" s="4" t="s">
        <v>54</v>
      </c>
      <c r="G334" s="4" t="s">
        <v>25</v>
      </c>
      <c r="H334" s="4" t="s">
        <v>25</v>
      </c>
      <c r="I334" s="5">
        <v>44501</v>
      </c>
      <c r="J334" s="6">
        <v>0</v>
      </c>
      <c r="K334" s="6">
        <v>0</v>
      </c>
      <c r="L334" s="6">
        <v>0.38200000000000001</v>
      </c>
      <c r="M334" s="6">
        <v>0.38200000000000001</v>
      </c>
      <c r="N334" s="6">
        <v>0.38200000000000001</v>
      </c>
      <c r="O334" s="6">
        <v>0.38200000000000001</v>
      </c>
      <c r="P334" s="6">
        <v>0</v>
      </c>
      <c r="Q334" s="4" t="s">
        <v>26</v>
      </c>
      <c r="R334" s="4">
        <v>0</v>
      </c>
      <c r="S334" s="4">
        <v>0</v>
      </c>
      <c r="T334" s="4">
        <v>43</v>
      </c>
      <c r="U334" s="4">
        <v>84</v>
      </c>
      <c r="V334" s="6">
        <f>IF(ISERROR(VLOOKUP($S$334,'TAR FIN'!$A$1:$O$103,15,0)),0,VLOOKUP($S$334,'TAR FIN'!$A$1:$O$103,15,0))</f>
        <v>0</v>
      </c>
      <c r="W334" s="6">
        <f>IF(ISERROR(VLOOKUP($T$334,'TAR FIN'!$A$1:$O$103,15,0)),0,VLOOKUP($T$334,'TAR FIN'!$A$1:$O$103,15,0))</f>
        <v>334.07</v>
      </c>
      <c r="X334" s="6">
        <f>IF(ISERROR(VLOOKUP($U$334,'TAR FIN'!$A$1:$O$103,15,0)),0,VLOOKUP($U$334,'TAR FIN'!$A$1:$O$103,15,0))</f>
        <v>224.55</v>
      </c>
      <c r="Y334" s="6"/>
      <c r="Z334" s="6">
        <f ca="1">('TUSD BE'!$AM$45+'TUSD BF'!$AM$45+'TUSD CVA'!$AM$45)*(1-CUSTOS!$M$38)</f>
        <v>453.14332034419533</v>
      </c>
      <c r="AA334" s="6">
        <f>('TE BE'!$AB$26+'TE BF'!$AB$26+'TE CVA'!$AB$26)*(1-CUSTOS!$M$38)</f>
        <v>219.98233758978921</v>
      </c>
      <c r="AB334" s="6">
        <f t="shared" si="20"/>
        <v>0</v>
      </c>
      <c r="AC334" s="6">
        <f>(L334-M334)*(W334+X334)+($W$247+$X$247-$W$334-$X$334)*(L334)</f>
        <v>29.096939999999986</v>
      </c>
      <c r="AD334" s="6">
        <f t="shared" si="21"/>
        <v>0</v>
      </c>
      <c r="AE334" s="6">
        <f ca="1">(L334-M334)*(Z334+AA334)+($Z$247+$AA$247-$Z$334-$AA$334)*(L334)</f>
        <v>16.41280859558184</v>
      </c>
      <c r="AF334" s="4" t="s">
        <v>811</v>
      </c>
    </row>
    <row r="335" spans="1:32" ht="11.25" customHeight="1" x14ac:dyDescent="0.3">
      <c r="A335" s="4" t="s">
        <v>21</v>
      </c>
      <c r="B335" s="4" t="s">
        <v>43</v>
      </c>
      <c r="C335" s="4" t="s">
        <v>23</v>
      </c>
      <c r="D335" s="4" t="s">
        <v>44</v>
      </c>
      <c r="E335" s="4" t="s">
        <v>56</v>
      </c>
      <c r="F335" s="4" t="s">
        <v>54</v>
      </c>
      <c r="G335" s="4" t="s">
        <v>25</v>
      </c>
      <c r="H335" s="4" t="s">
        <v>25</v>
      </c>
      <c r="I335" s="5">
        <v>44531</v>
      </c>
      <c r="J335" s="6">
        <v>0</v>
      </c>
      <c r="K335" s="6">
        <v>0</v>
      </c>
      <c r="L335" s="6">
        <v>7.7729999999999997</v>
      </c>
      <c r="M335" s="6">
        <v>7.7729999999999997</v>
      </c>
      <c r="N335" s="6">
        <v>7.7729999999999997</v>
      </c>
      <c r="O335" s="6">
        <v>7.7729999999999997</v>
      </c>
      <c r="P335" s="6">
        <v>0</v>
      </c>
      <c r="Q335" s="4" t="s">
        <v>26</v>
      </c>
      <c r="R335" s="4">
        <v>0</v>
      </c>
      <c r="S335" s="4">
        <v>0</v>
      </c>
      <c r="T335" s="4">
        <v>43</v>
      </c>
      <c r="U335" s="4">
        <v>84</v>
      </c>
      <c r="V335" s="6">
        <f>IF(ISERROR(VLOOKUP($S$335,'TAR FIN'!$A$1:$O$103,15,0)),0,VLOOKUP($S$335,'TAR FIN'!$A$1:$O$103,15,0))</f>
        <v>0</v>
      </c>
      <c r="W335" s="6">
        <f>IF(ISERROR(VLOOKUP($T$335,'TAR FIN'!$A$1:$O$103,15,0)),0,VLOOKUP($T$335,'TAR FIN'!$A$1:$O$103,15,0))</f>
        <v>334.07</v>
      </c>
      <c r="X335" s="6">
        <f>IF(ISERROR(VLOOKUP($U$335,'TAR FIN'!$A$1:$O$103,15,0)),0,VLOOKUP($U$335,'TAR FIN'!$A$1:$O$103,15,0))</f>
        <v>224.55</v>
      </c>
      <c r="Y335" s="6"/>
      <c r="Z335" s="6">
        <f ca="1">('TUSD BE'!$AM$45+'TUSD BF'!$AM$45+'TUSD CVA'!$AM$45)*(1-CUSTOS!$M$38)</f>
        <v>453.14332034419533</v>
      </c>
      <c r="AA335" s="6">
        <f>('TE BE'!$AB$26+'TE BF'!$AB$26+'TE CVA'!$AB$26)*(1-CUSTOS!$M$38)</f>
        <v>219.98233758978921</v>
      </c>
      <c r="AB335" s="6">
        <f t="shared" si="20"/>
        <v>0</v>
      </c>
      <c r="AC335" s="6">
        <f>(L335-M335)*(W335+X335)+($W$247+$X$247-$W$335-$X$335)*(L335)</f>
        <v>592.06940999999961</v>
      </c>
      <c r="AD335" s="6">
        <f t="shared" si="21"/>
        <v>0</v>
      </c>
      <c r="AE335" s="6">
        <f ca="1">(L335-M335)*(Z335+AA335)+($Z$247+$AA$247-$Z$335-$AA$335)*(L335)</f>
        <v>333.97057909282103</v>
      </c>
      <c r="AF335" s="4" t="s">
        <v>811</v>
      </c>
    </row>
    <row r="336" spans="1:32" ht="11.25" customHeight="1" x14ac:dyDescent="0.3">
      <c r="A336" s="4" t="s">
        <v>28</v>
      </c>
      <c r="B336" s="4" t="s">
        <v>43</v>
      </c>
      <c r="C336" s="4" t="s">
        <v>23</v>
      </c>
      <c r="D336" s="4" t="s">
        <v>44</v>
      </c>
      <c r="E336" s="4" t="s">
        <v>56</v>
      </c>
      <c r="F336" s="4" t="s">
        <v>54</v>
      </c>
      <c r="G336" s="4" t="s">
        <v>25</v>
      </c>
      <c r="H336" s="4" t="s">
        <v>25</v>
      </c>
      <c r="I336" s="5">
        <v>44531</v>
      </c>
      <c r="J336" s="6">
        <v>0</v>
      </c>
      <c r="K336" s="6">
        <v>0</v>
      </c>
      <c r="L336" s="6">
        <v>0.65700000000000003</v>
      </c>
      <c r="M336" s="6">
        <v>0.65700000000000003</v>
      </c>
      <c r="N336" s="6">
        <v>0.65700000000000003</v>
      </c>
      <c r="O336" s="6">
        <v>0.65700000000000003</v>
      </c>
      <c r="P336" s="6">
        <v>0</v>
      </c>
      <c r="Q336" s="4" t="s">
        <v>26</v>
      </c>
      <c r="R336" s="4">
        <v>0</v>
      </c>
      <c r="S336" s="4">
        <v>0</v>
      </c>
      <c r="T336" s="4">
        <v>43</v>
      </c>
      <c r="U336" s="4">
        <v>84</v>
      </c>
      <c r="V336" s="6">
        <f>IF(ISERROR(VLOOKUP($S$336,'TAR FIN'!$A$1:$O$103,15,0)),0,VLOOKUP($S$336,'TAR FIN'!$A$1:$O$103,15,0))</f>
        <v>0</v>
      </c>
      <c r="W336" s="6">
        <f>IF(ISERROR(VLOOKUP($T$336,'TAR FIN'!$A$1:$O$103,15,0)),0,VLOOKUP($T$336,'TAR FIN'!$A$1:$O$103,15,0))</f>
        <v>334.07</v>
      </c>
      <c r="X336" s="6">
        <f>IF(ISERROR(VLOOKUP($U$336,'TAR FIN'!$A$1:$O$103,15,0)),0,VLOOKUP($U$336,'TAR FIN'!$A$1:$O$103,15,0))</f>
        <v>224.55</v>
      </c>
      <c r="Y336" s="6"/>
      <c r="Z336" s="6">
        <f ca="1">('TUSD BE'!$AM$45+'TUSD BF'!$AM$45+'TUSD CVA'!$AM$45)*(1-CUSTOS!$M$38)</f>
        <v>453.14332034419533</v>
      </c>
      <c r="AA336" s="6">
        <f>('TE BE'!$AB$26+'TE BF'!$AB$26+'TE CVA'!$AB$26)*(1-CUSTOS!$M$38)</f>
        <v>219.98233758978921</v>
      </c>
      <c r="AB336" s="6">
        <f t="shared" si="20"/>
        <v>0</v>
      </c>
      <c r="AC336" s="6">
        <f>(L336-M336)*(W336+X336)+($W$247+$X$247-$W$336-$X$336)*(L336)</f>
        <v>50.043689999999977</v>
      </c>
      <c r="AD336" s="6">
        <f t="shared" si="21"/>
        <v>0</v>
      </c>
      <c r="AE336" s="6">
        <f ca="1">(L336-M336)*(Z336+AA336)+($Z$247+$AA$247-$Z$336-$AA$336)*(L336)</f>
        <v>28.228312165699656</v>
      </c>
      <c r="AF336" s="4" t="s">
        <v>811</v>
      </c>
    </row>
    <row r="337" spans="1:32" ht="11.25" customHeight="1" x14ac:dyDescent="0.3">
      <c r="A337" s="4" t="s">
        <v>21</v>
      </c>
      <c r="B337" s="4" t="s">
        <v>43</v>
      </c>
      <c r="C337" s="4" t="s">
        <v>23</v>
      </c>
      <c r="D337" s="4" t="s">
        <v>44</v>
      </c>
      <c r="E337" s="4" t="s">
        <v>56</v>
      </c>
      <c r="F337" s="4" t="s">
        <v>54</v>
      </c>
      <c r="G337" s="4" t="s">
        <v>25</v>
      </c>
      <c r="H337" s="4" t="s">
        <v>25</v>
      </c>
      <c r="I337" s="5">
        <v>44562</v>
      </c>
      <c r="J337" s="6">
        <v>0</v>
      </c>
      <c r="K337" s="6">
        <v>0</v>
      </c>
      <c r="L337" s="6">
        <v>8.7479999999999993</v>
      </c>
      <c r="M337" s="6">
        <v>8.7479999999999993</v>
      </c>
      <c r="N337" s="6">
        <v>8.7479999999999993</v>
      </c>
      <c r="O337" s="6">
        <v>8.7479999999999993</v>
      </c>
      <c r="P337" s="6">
        <v>0</v>
      </c>
      <c r="Q337" s="4" t="s">
        <v>26</v>
      </c>
      <c r="R337" s="4">
        <v>0</v>
      </c>
      <c r="S337" s="4">
        <v>0</v>
      </c>
      <c r="T337" s="4">
        <v>43</v>
      </c>
      <c r="U337" s="4">
        <v>84</v>
      </c>
      <c r="V337" s="6">
        <f>IF(ISERROR(VLOOKUP($S$337,'TAR FIN'!$A$1:$O$103,15,0)),0,VLOOKUP($S$337,'TAR FIN'!$A$1:$O$103,15,0))</f>
        <v>0</v>
      </c>
      <c r="W337" s="6">
        <f>IF(ISERROR(VLOOKUP($T$337,'TAR FIN'!$A$1:$O$103,15,0)),0,VLOOKUP($T$337,'TAR FIN'!$A$1:$O$103,15,0))</f>
        <v>334.07</v>
      </c>
      <c r="X337" s="6">
        <f>IF(ISERROR(VLOOKUP($U$337,'TAR FIN'!$A$1:$O$103,15,0)),0,VLOOKUP($U$337,'TAR FIN'!$A$1:$O$103,15,0))</f>
        <v>224.55</v>
      </c>
      <c r="Y337" s="6"/>
      <c r="Z337" s="6">
        <f ca="1">('TUSD BE'!$AM$45+'TUSD BF'!$AM$45+'TUSD CVA'!$AM$45)*(1-CUSTOS!$M$38)</f>
        <v>453.14332034419533</v>
      </c>
      <c r="AA337" s="6">
        <f>('TE BE'!$AB$26+'TE BF'!$AB$26+'TE CVA'!$AB$26)*(1-CUSTOS!$M$38)</f>
        <v>219.98233758978921</v>
      </c>
      <c r="AB337" s="6">
        <f t="shared" si="20"/>
        <v>0</v>
      </c>
      <c r="AC337" s="6">
        <f>(L337-M337)*(W337+X337)+($W$247+$X$247-$W$337-$X$337)*(L337)</f>
        <v>666.33515999999963</v>
      </c>
      <c r="AD337" s="6">
        <f t="shared" si="21"/>
        <v>0</v>
      </c>
      <c r="AE337" s="6">
        <f ca="1">(L337-M337)*(Z337+AA337)+($Z$247+$AA$247-$Z$337-$AA$337)*(L337)</f>
        <v>375.86190993232964</v>
      </c>
      <c r="AF337" s="4" t="s">
        <v>811</v>
      </c>
    </row>
    <row r="338" spans="1:32" ht="11.25" customHeight="1" x14ac:dyDescent="0.3">
      <c r="A338" s="4" t="s">
        <v>28</v>
      </c>
      <c r="B338" s="4" t="s">
        <v>43</v>
      </c>
      <c r="C338" s="4" t="s">
        <v>23</v>
      </c>
      <c r="D338" s="4" t="s">
        <v>44</v>
      </c>
      <c r="E338" s="4" t="s">
        <v>56</v>
      </c>
      <c r="F338" s="4" t="s">
        <v>54</v>
      </c>
      <c r="G338" s="4" t="s">
        <v>25</v>
      </c>
      <c r="H338" s="4" t="s">
        <v>25</v>
      </c>
      <c r="I338" s="5">
        <v>44562</v>
      </c>
      <c r="J338" s="6">
        <v>0</v>
      </c>
      <c r="K338" s="6">
        <v>0</v>
      </c>
      <c r="L338" s="6">
        <v>0.95899999999999996</v>
      </c>
      <c r="M338" s="6">
        <v>0.95899999999999996</v>
      </c>
      <c r="N338" s="6">
        <v>0.95899999999999996</v>
      </c>
      <c r="O338" s="6">
        <v>0.95899999999999996</v>
      </c>
      <c r="P338" s="6">
        <v>0</v>
      </c>
      <c r="Q338" s="4" t="s">
        <v>26</v>
      </c>
      <c r="R338" s="4">
        <v>0</v>
      </c>
      <c r="S338" s="4">
        <v>0</v>
      </c>
      <c r="T338" s="4">
        <v>43</v>
      </c>
      <c r="U338" s="4">
        <v>84</v>
      </c>
      <c r="V338" s="6">
        <f>IF(ISERROR(VLOOKUP($S$338,'TAR FIN'!$A$1:$O$103,15,0)),0,VLOOKUP($S$338,'TAR FIN'!$A$1:$O$103,15,0))</f>
        <v>0</v>
      </c>
      <c r="W338" s="6">
        <f>IF(ISERROR(VLOOKUP($T$338,'TAR FIN'!$A$1:$O$103,15,0)),0,VLOOKUP($T$338,'TAR FIN'!$A$1:$O$103,15,0))</f>
        <v>334.07</v>
      </c>
      <c r="X338" s="6">
        <f>IF(ISERROR(VLOOKUP($U$338,'TAR FIN'!$A$1:$O$103,15,0)),0,VLOOKUP($U$338,'TAR FIN'!$A$1:$O$103,15,0))</f>
        <v>224.55</v>
      </c>
      <c r="Y338" s="6"/>
      <c r="Z338" s="6">
        <f ca="1">('TUSD BE'!$AM$45+'TUSD BF'!$AM$45+'TUSD CVA'!$AM$45)*(1-CUSTOS!$M$38)</f>
        <v>453.14332034419533</v>
      </c>
      <c r="AA338" s="6">
        <f>('TE BE'!$AB$26+'TE BF'!$AB$26+'TE CVA'!$AB$26)*(1-CUSTOS!$M$38)</f>
        <v>219.98233758978921</v>
      </c>
      <c r="AB338" s="6">
        <f t="shared" si="20"/>
        <v>0</v>
      </c>
      <c r="AC338" s="6">
        <f>(L338-M338)*(W338+X338)+($W$247+$X$247-$W$338-$X$338)*(L338)</f>
        <v>73.047029999999964</v>
      </c>
      <c r="AD338" s="6">
        <f t="shared" si="21"/>
        <v>0</v>
      </c>
      <c r="AE338" s="6">
        <f ca="1">(L338-M338)*(Z338+AA338)+($Z$247+$AA$247-$Z$338-$AA$338)*(L338)</f>
        <v>41.203883359065401</v>
      </c>
      <c r="AF338" s="4" t="s">
        <v>811</v>
      </c>
    </row>
    <row r="339" spans="1:32" ht="11.25" customHeight="1" x14ac:dyDescent="0.3">
      <c r="A339" s="4" t="s">
        <v>21</v>
      </c>
      <c r="B339" s="4" t="s">
        <v>43</v>
      </c>
      <c r="C339" s="4" t="s">
        <v>23</v>
      </c>
      <c r="D339" s="4" t="s">
        <v>44</v>
      </c>
      <c r="E339" s="4" t="s">
        <v>56</v>
      </c>
      <c r="F339" s="4" t="s">
        <v>54</v>
      </c>
      <c r="G339" s="4" t="s">
        <v>25</v>
      </c>
      <c r="H339" s="4" t="s">
        <v>25</v>
      </c>
      <c r="I339" s="5">
        <v>44593</v>
      </c>
      <c r="J339" s="6">
        <v>0</v>
      </c>
      <c r="K339" s="6">
        <v>0</v>
      </c>
      <c r="L339" s="6">
        <v>9.0630000000000006</v>
      </c>
      <c r="M339" s="6">
        <v>9.0630000000000006</v>
      </c>
      <c r="N339" s="6">
        <v>9.0630000000000006</v>
      </c>
      <c r="O339" s="6">
        <v>9.0630000000000006</v>
      </c>
      <c r="P339" s="6">
        <v>0</v>
      </c>
      <c r="Q339" s="4" t="s">
        <v>26</v>
      </c>
      <c r="R339" s="4">
        <v>0</v>
      </c>
      <c r="S339" s="4">
        <v>0</v>
      </c>
      <c r="T339" s="4">
        <v>43</v>
      </c>
      <c r="U339" s="4">
        <v>84</v>
      </c>
      <c r="V339" s="6">
        <f>IF(ISERROR(VLOOKUP($S$339,'TAR FIN'!$A$1:$O$103,15,0)),0,VLOOKUP($S$339,'TAR FIN'!$A$1:$O$103,15,0))</f>
        <v>0</v>
      </c>
      <c r="W339" s="6">
        <f>IF(ISERROR(VLOOKUP($T$339,'TAR FIN'!$A$1:$O$103,15,0)),0,VLOOKUP($T$339,'TAR FIN'!$A$1:$O$103,15,0))</f>
        <v>334.07</v>
      </c>
      <c r="X339" s="6">
        <f>IF(ISERROR(VLOOKUP($U$339,'TAR FIN'!$A$1:$O$103,15,0)),0,VLOOKUP($U$339,'TAR FIN'!$A$1:$O$103,15,0))</f>
        <v>224.55</v>
      </c>
      <c r="Y339" s="6"/>
      <c r="Z339" s="6">
        <f ca="1">('TUSD BE'!$AM$45+'TUSD BF'!$AM$45+'TUSD CVA'!$AM$45)*(1-CUSTOS!$M$38)</f>
        <v>453.14332034419533</v>
      </c>
      <c r="AA339" s="6">
        <f>('TE BE'!$AB$26+'TE BF'!$AB$26+'TE CVA'!$AB$26)*(1-CUSTOS!$M$38)</f>
        <v>219.98233758978921</v>
      </c>
      <c r="AB339" s="6">
        <f t="shared" si="20"/>
        <v>0</v>
      </c>
      <c r="AC339" s="6">
        <f>(L339-M339)*(W339+X339)+($W$247+$X$247-$W$339-$X$339)*(L339)</f>
        <v>690.32870999999966</v>
      </c>
      <c r="AD339" s="6">
        <f t="shared" si="21"/>
        <v>0</v>
      </c>
      <c r="AE339" s="6">
        <f ca="1">(L339-M339)*(Z339+AA339)+($Z$247+$AA$247-$Z$339-$AA$339)*(L339)</f>
        <v>389.39603220355554</v>
      </c>
      <c r="AF339" s="4" t="s">
        <v>811</v>
      </c>
    </row>
    <row r="340" spans="1:32" ht="11.25" customHeight="1" x14ac:dyDescent="0.3">
      <c r="A340" s="4" t="s">
        <v>28</v>
      </c>
      <c r="B340" s="4" t="s">
        <v>43</v>
      </c>
      <c r="C340" s="4" t="s">
        <v>23</v>
      </c>
      <c r="D340" s="4" t="s">
        <v>44</v>
      </c>
      <c r="E340" s="4" t="s">
        <v>56</v>
      </c>
      <c r="F340" s="4" t="s">
        <v>54</v>
      </c>
      <c r="G340" s="4" t="s">
        <v>25</v>
      </c>
      <c r="H340" s="4" t="s">
        <v>25</v>
      </c>
      <c r="I340" s="5">
        <v>44593</v>
      </c>
      <c r="J340" s="6">
        <v>0</v>
      </c>
      <c r="K340" s="6">
        <v>0</v>
      </c>
      <c r="L340" s="6">
        <v>0.318</v>
      </c>
      <c r="M340" s="6">
        <v>0.318</v>
      </c>
      <c r="N340" s="6">
        <v>0.318</v>
      </c>
      <c r="O340" s="6">
        <v>0.318</v>
      </c>
      <c r="P340" s="6">
        <v>0</v>
      </c>
      <c r="Q340" s="4" t="s">
        <v>26</v>
      </c>
      <c r="R340" s="4">
        <v>0</v>
      </c>
      <c r="S340" s="4">
        <v>0</v>
      </c>
      <c r="T340" s="4">
        <v>43</v>
      </c>
      <c r="U340" s="4">
        <v>84</v>
      </c>
      <c r="V340" s="6">
        <f>IF(ISERROR(VLOOKUP($S$340,'TAR FIN'!$A$1:$O$103,15,0)),0,VLOOKUP($S$340,'TAR FIN'!$A$1:$O$103,15,0))</f>
        <v>0</v>
      </c>
      <c r="W340" s="6">
        <f>IF(ISERROR(VLOOKUP($T$340,'TAR FIN'!$A$1:$O$103,15,0)),0,VLOOKUP($T$340,'TAR FIN'!$A$1:$O$103,15,0))</f>
        <v>334.07</v>
      </c>
      <c r="X340" s="6">
        <f>IF(ISERROR(VLOOKUP($U$340,'TAR FIN'!$A$1:$O$103,15,0)),0,VLOOKUP($U$340,'TAR FIN'!$A$1:$O$103,15,0))</f>
        <v>224.55</v>
      </c>
      <c r="Y340" s="6"/>
      <c r="Z340" s="6">
        <f ca="1">('TUSD BE'!$AM$45+'TUSD BF'!$AM$45+'TUSD CVA'!$AM$45)*(1-CUSTOS!$M$38)</f>
        <v>453.14332034419533</v>
      </c>
      <c r="AA340" s="6">
        <f>('TE BE'!$AB$26+'TE BF'!$AB$26+'TE CVA'!$AB$26)*(1-CUSTOS!$M$38)</f>
        <v>219.98233758978921</v>
      </c>
      <c r="AB340" s="6">
        <f t="shared" si="20"/>
        <v>0</v>
      </c>
      <c r="AC340" s="6">
        <f>(L340-M340)*(W340+X340)+($W$247+$X$247-$W$340-$X$340)*(L340)</f>
        <v>24.222059999999988</v>
      </c>
      <c r="AD340" s="6">
        <f t="shared" si="21"/>
        <v>0</v>
      </c>
      <c r="AE340" s="6">
        <f ca="1">(L340-M340)*(Z340+AA340)+($Z$247+$AA$247-$Z$340-$AA$340)*(L340)</f>
        <v>13.663018673808967</v>
      </c>
      <c r="AF340" s="4" t="s">
        <v>811</v>
      </c>
    </row>
    <row r="341" spans="1:32" ht="11.25" customHeight="1" x14ac:dyDescent="0.3">
      <c r="A341" s="4" t="s">
        <v>21</v>
      </c>
      <c r="B341" s="4" t="s">
        <v>43</v>
      </c>
      <c r="C341" s="4" t="s">
        <v>23</v>
      </c>
      <c r="D341" s="4" t="s">
        <v>44</v>
      </c>
      <c r="E341" s="4" t="s">
        <v>56</v>
      </c>
      <c r="F341" s="4" t="s">
        <v>54</v>
      </c>
      <c r="G341" s="4" t="s">
        <v>25</v>
      </c>
      <c r="H341" s="4" t="s">
        <v>25</v>
      </c>
      <c r="I341" s="5">
        <v>44621</v>
      </c>
      <c r="J341" s="6">
        <v>0</v>
      </c>
      <c r="K341" s="6">
        <v>0</v>
      </c>
      <c r="L341" s="6">
        <v>8.8219999999999992</v>
      </c>
      <c r="M341" s="6">
        <v>8.8219999999999992</v>
      </c>
      <c r="N341" s="6">
        <v>8.8219999999999992</v>
      </c>
      <c r="O341" s="6">
        <v>8.8219999999999992</v>
      </c>
      <c r="P341" s="6">
        <v>0</v>
      </c>
      <c r="Q341" s="4" t="s">
        <v>26</v>
      </c>
      <c r="R341" s="4">
        <v>0</v>
      </c>
      <c r="S341" s="4">
        <v>0</v>
      </c>
      <c r="T341" s="4">
        <v>43</v>
      </c>
      <c r="U341" s="4">
        <v>84</v>
      </c>
      <c r="V341" s="6">
        <f>IF(ISERROR(VLOOKUP($S$341,'TAR FIN'!$A$1:$O$103,15,0)),0,VLOOKUP($S$341,'TAR FIN'!$A$1:$O$103,15,0))</f>
        <v>0</v>
      </c>
      <c r="W341" s="6">
        <f>IF(ISERROR(VLOOKUP($T$341,'TAR FIN'!$A$1:$O$103,15,0)),0,VLOOKUP($T$341,'TAR FIN'!$A$1:$O$103,15,0))</f>
        <v>334.07</v>
      </c>
      <c r="X341" s="6">
        <f>IF(ISERROR(VLOOKUP($U$341,'TAR FIN'!$A$1:$O$103,15,0)),0,VLOOKUP($U$341,'TAR FIN'!$A$1:$O$103,15,0))</f>
        <v>224.55</v>
      </c>
      <c r="Y341" s="6"/>
      <c r="Z341" s="6">
        <f ca="1">('TUSD BE'!$AM$45+'TUSD BF'!$AM$45+'TUSD CVA'!$AM$45)*(1-CUSTOS!$M$38)</f>
        <v>453.14332034419533</v>
      </c>
      <c r="AA341" s="6">
        <f>('TE BE'!$AB$26+'TE BF'!$AB$26+'TE CVA'!$AB$26)*(1-CUSTOS!$M$38)</f>
        <v>219.98233758978921</v>
      </c>
      <c r="AB341" s="6">
        <f t="shared" si="20"/>
        <v>0</v>
      </c>
      <c r="AC341" s="6">
        <f>(L341-M341)*(W341+X341)+($W$247+$X$247-$W$341-$X$341)*(L341)</f>
        <v>671.97173999999961</v>
      </c>
      <c r="AD341" s="6">
        <f t="shared" si="21"/>
        <v>0</v>
      </c>
      <c r="AE341" s="6">
        <f ca="1">(L341-M341)*(Z341+AA341)+($Z$247+$AA$247-$Z$341-$AA$341)*(L341)</f>
        <v>379.04135452937953</v>
      </c>
      <c r="AF341" s="4" t="s">
        <v>811</v>
      </c>
    </row>
    <row r="342" spans="1:32" ht="11.25" customHeight="1" x14ac:dyDescent="0.3">
      <c r="A342" s="4" t="s">
        <v>28</v>
      </c>
      <c r="B342" s="4" t="s">
        <v>43</v>
      </c>
      <c r="C342" s="4" t="s">
        <v>23</v>
      </c>
      <c r="D342" s="4" t="s">
        <v>44</v>
      </c>
      <c r="E342" s="4" t="s">
        <v>56</v>
      </c>
      <c r="F342" s="4" t="s">
        <v>54</v>
      </c>
      <c r="G342" s="4" t="s">
        <v>25</v>
      </c>
      <c r="H342" s="4" t="s">
        <v>25</v>
      </c>
      <c r="I342" s="5">
        <v>44621</v>
      </c>
      <c r="J342" s="6">
        <v>0</v>
      </c>
      <c r="K342" s="6">
        <v>0</v>
      </c>
      <c r="L342" s="6">
        <v>0.71099999999999997</v>
      </c>
      <c r="M342" s="6">
        <v>0.71099999999999997</v>
      </c>
      <c r="N342" s="6">
        <v>0.71099999999999997</v>
      </c>
      <c r="O342" s="6">
        <v>0.71099999999999997</v>
      </c>
      <c r="P342" s="6">
        <v>0</v>
      </c>
      <c r="Q342" s="4" t="s">
        <v>26</v>
      </c>
      <c r="R342" s="4">
        <v>0</v>
      </c>
      <c r="S342" s="4">
        <v>0</v>
      </c>
      <c r="T342" s="4">
        <v>43</v>
      </c>
      <c r="U342" s="4">
        <v>84</v>
      </c>
      <c r="V342" s="6">
        <f>IF(ISERROR(VLOOKUP($S$342,'TAR FIN'!$A$1:$O$103,15,0)),0,VLOOKUP($S$342,'TAR FIN'!$A$1:$O$103,15,0))</f>
        <v>0</v>
      </c>
      <c r="W342" s="6">
        <f>IF(ISERROR(VLOOKUP($T$342,'TAR FIN'!$A$1:$O$103,15,0)),0,VLOOKUP($T$342,'TAR FIN'!$A$1:$O$103,15,0))</f>
        <v>334.07</v>
      </c>
      <c r="X342" s="6">
        <f>IF(ISERROR(VLOOKUP($U$342,'TAR FIN'!$A$1:$O$103,15,0)),0,VLOOKUP($U$342,'TAR FIN'!$A$1:$O$103,15,0))</f>
        <v>224.55</v>
      </c>
      <c r="Y342" s="6"/>
      <c r="Z342" s="6">
        <f ca="1">('TUSD BE'!$AM$45+'TUSD BF'!$AM$45+'TUSD CVA'!$AM$45)*(1-CUSTOS!$M$38)</f>
        <v>453.14332034419533</v>
      </c>
      <c r="AA342" s="6">
        <f>('TE BE'!$AB$26+'TE BF'!$AB$26+'TE CVA'!$AB$26)*(1-CUSTOS!$M$38)</f>
        <v>219.98233758978921</v>
      </c>
      <c r="AB342" s="6">
        <f t="shared" si="20"/>
        <v>0</v>
      </c>
      <c r="AC342" s="6">
        <f>(L342-M342)*(W342+X342)+($W$247+$X$247-$W$342-$X$342)*(L342)</f>
        <v>54.156869999999969</v>
      </c>
      <c r="AD342" s="6">
        <f t="shared" si="21"/>
        <v>0</v>
      </c>
      <c r="AE342" s="6">
        <f ca="1">(L342-M342)*(Z342+AA342)+($Z$247+$AA$247-$Z$342-$AA$342)*(L342)</f>
        <v>30.548447412195518</v>
      </c>
      <c r="AF342" s="4" t="s">
        <v>811</v>
      </c>
    </row>
    <row r="343" spans="1:32" ht="11.25" customHeight="1" x14ac:dyDescent="0.3">
      <c r="A343" s="4" t="s">
        <v>21</v>
      </c>
      <c r="B343" s="4" t="s">
        <v>43</v>
      </c>
      <c r="C343" s="4" t="s">
        <v>23</v>
      </c>
      <c r="D343" s="4" t="s">
        <v>44</v>
      </c>
      <c r="E343" s="4" t="s">
        <v>56</v>
      </c>
      <c r="F343" s="4" t="s">
        <v>54</v>
      </c>
      <c r="G343" s="4" t="s">
        <v>25</v>
      </c>
      <c r="H343" s="4" t="s">
        <v>25</v>
      </c>
      <c r="I343" s="5">
        <v>44652</v>
      </c>
      <c r="J343" s="6">
        <v>0</v>
      </c>
      <c r="K343" s="6">
        <v>0</v>
      </c>
      <c r="L343" s="6">
        <v>17.407</v>
      </c>
      <c r="M343" s="6">
        <v>17.407</v>
      </c>
      <c r="N343" s="6">
        <v>17.407</v>
      </c>
      <c r="O343" s="6">
        <v>17.407</v>
      </c>
      <c r="P343" s="6">
        <v>0</v>
      </c>
      <c r="Q343" s="4" t="s">
        <v>26</v>
      </c>
      <c r="R343" s="4">
        <v>0</v>
      </c>
      <c r="S343" s="4">
        <v>0</v>
      </c>
      <c r="T343" s="4">
        <v>43</v>
      </c>
      <c r="U343" s="4">
        <v>84</v>
      </c>
      <c r="V343" s="6">
        <f>IF(ISERROR(VLOOKUP($S$343,'TAR FIN'!$A$1:$O$103,15,0)),0,VLOOKUP($S$343,'TAR FIN'!$A$1:$O$103,15,0))</f>
        <v>0</v>
      </c>
      <c r="W343" s="6">
        <f>IF(ISERROR(VLOOKUP($T$343,'TAR FIN'!$A$1:$O$103,15,0)),0,VLOOKUP($T$343,'TAR FIN'!$A$1:$O$103,15,0))</f>
        <v>334.07</v>
      </c>
      <c r="X343" s="6">
        <f>IF(ISERROR(VLOOKUP($U$343,'TAR FIN'!$A$1:$O$103,15,0)),0,VLOOKUP($U$343,'TAR FIN'!$A$1:$O$103,15,0))</f>
        <v>224.55</v>
      </c>
      <c r="Y343" s="6"/>
      <c r="Z343" s="6">
        <f ca="1">('TUSD BE'!$AM$45+'TUSD BF'!$AM$45+'TUSD CVA'!$AM$45)*(1-CUSTOS!$M$38)</f>
        <v>453.14332034419533</v>
      </c>
      <c r="AA343" s="6">
        <f>('TE BE'!$AB$26+'TE BF'!$AB$26+'TE CVA'!$AB$26)*(1-CUSTOS!$M$38)</f>
        <v>219.98233758978921</v>
      </c>
      <c r="AB343" s="6">
        <f t="shared" si="20"/>
        <v>0</v>
      </c>
      <c r="AC343" s="6">
        <f>(L343-M343)*(W343+X343)+($W$247+$X$247-$W$343-$X$343)*(L343)</f>
        <v>1325.8911899999994</v>
      </c>
      <c r="AD343" s="6">
        <f t="shared" si="21"/>
        <v>0</v>
      </c>
      <c r="AE343" s="6">
        <f ca="1">(L343-M343)*(Z343+AA343)+($Z$247+$AA$247-$Z$343-$AA$343)*(L343)</f>
        <v>747.89989325469389</v>
      </c>
      <c r="AF343" s="4" t="s">
        <v>811</v>
      </c>
    </row>
    <row r="344" spans="1:32" ht="11.25" customHeight="1" x14ac:dyDescent="0.3">
      <c r="A344" s="4" t="s">
        <v>28</v>
      </c>
      <c r="B344" s="4" t="s">
        <v>43</v>
      </c>
      <c r="C344" s="4" t="s">
        <v>23</v>
      </c>
      <c r="D344" s="4" t="s">
        <v>44</v>
      </c>
      <c r="E344" s="4" t="s">
        <v>56</v>
      </c>
      <c r="F344" s="4" t="s">
        <v>54</v>
      </c>
      <c r="G344" s="4" t="s">
        <v>25</v>
      </c>
      <c r="H344" s="4" t="s">
        <v>25</v>
      </c>
      <c r="I344" s="5">
        <v>44652</v>
      </c>
      <c r="J344" s="6">
        <v>0</v>
      </c>
      <c r="K344" s="6">
        <v>0</v>
      </c>
      <c r="L344" s="6">
        <v>0.83199999999999996</v>
      </c>
      <c r="M344" s="6">
        <v>0.83199999999999996</v>
      </c>
      <c r="N344" s="6">
        <v>0.83199999999999996</v>
      </c>
      <c r="O344" s="6">
        <v>0.83199999999999996</v>
      </c>
      <c r="P344" s="6">
        <v>0</v>
      </c>
      <c r="Q344" s="4" t="s">
        <v>26</v>
      </c>
      <c r="R344" s="4">
        <v>0</v>
      </c>
      <c r="S344" s="4">
        <v>0</v>
      </c>
      <c r="T344" s="4">
        <v>43</v>
      </c>
      <c r="U344" s="4">
        <v>84</v>
      </c>
      <c r="V344" s="6">
        <f>IF(ISERROR(VLOOKUP($S$344,'TAR FIN'!$A$1:$O$103,15,0)),0,VLOOKUP($S$344,'TAR FIN'!$A$1:$O$103,15,0))</f>
        <v>0</v>
      </c>
      <c r="W344" s="6">
        <f>IF(ISERROR(VLOOKUP($T$344,'TAR FIN'!$A$1:$O$103,15,0)),0,VLOOKUP($T$344,'TAR FIN'!$A$1:$O$103,15,0))</f>
        <v>334.07</v>
      </c>
      <c r="X344" s="6">
        <f>IF(ISERROR(VLOOKUP($U$344,'TAR FIN'!$A$1:$O$103,15,0)),0,VLOOKUP($U$344,'TAR FIN'!$A$1:$O$103,15,0))</f>
        <v>224.55</v>
      </c>
      <c r="Y344" s="6"/>
      <c r="Z344" s="6">
        <f ca="1">('TUSD BE'!$AM$45+'TUSD BF'!$AM$45+'TUSD CVA'!$AM$45)*(1-CUSTOS!$M$38)</f>
        <v>453.14332034419533</v>
      </c>
      <c r="AA344" s="6">
        <f>('TE BE'!$AB$26+'TE BF'!$AB$26+'TE CVA'!$AB$26)*(1-CUSTOS!$M$38)</f>
        <v>219.98233758978921</v>
      </c>
      <c r="AB344" s="6">
        <f t="shared" si="20"/>
        <v>0</v>
      </c>
      <c r="AC344" s="6">
        <f>(L344-M344)*(W344+X344)+($W$247+$X$247-$W$344-$X$344)*(L344)</f>
        <v>63.37343999999996</v>
      </c>
      <c r="AD344" s="6">
        <f t="shared" si="21"/>
        <v>0</v>
      </c>
      <c r="AE344" s="6">
        <f ca="1">(L344-M344)*(Z344+AA344)+($Z$247+$AA$247-$Z$344-$AA$344)*(L344)</f>
        <v>35.747268983047356</v>
      </c>
      <c r="AF344" s="4" t="s">
        <v>811</v>
      </c>
    </row>
    <row r="345" spans="1:32" ht="11.25" customHeight="1" x14ac:dyDescent="0.3">
      <c r="A345" s="4" t="s">
        <v>21</v>
      </c>
      <c r="B345" s="4" t="s">
        <v>43</v>
      </c>
      <c r="C345" s="4" t="s">
        <v>23</v>
      </c>
      <c r="D345" s="4" t="s">
        <v>44</v>
      </c>
      <c r="E345" s="4" t="s">
        <v>56</v>
      </c>
      <c r="F345" s="4" t="s">
        <v>54</v>
      </c>
      <c r="G345" s="4" t="s">
        <v>25</v>
      </c>
      <c r="H345" s="4" t="s">
        <v>25</v>
      </c>
      <c r="I345" s="5">
        <v>44682</v>
      </c>
      <c r="J345" s="6">
        <v>0</v>
      </c>
      <c r="K345" s="6">
        <v>0</v>
      </c>
      <c r="L345" s="6">
        <v>9.9469999999999992</v>
      </c>
      <c r="M345" s="6">
        <v>9.9469999999999992</v>
      </c>
      <c r="N345" s="6">
        <v>9.9469999999999992</v>
      </c>
      <c r="O345" s="6">
        <v>9.9469999999999992</v>
      </c>
      <c r="P345" s="6">
        <v>0</v>
      </c>
      <c r="Q345" s="4" t="s">
        <v>26</v>
      </c>
      <c r="R345" s="4">
        <v>0</v>
      </c>
      <c r="S345" s="4">
        <v>0</v>
      </c>
      <c r="T345" s="4">
        <v>43</v>
      </c>
      <c r="U345" s="4">
        <v>84</v>
      </c>
      <c r="V345" s="6">
        <f>IF(ISERROR(VLOOKUP($S$345,'TAR FIN'!$A$1:$O$103,15,0)),0,VLOOKUP($S$345,'TAR FIN'!$A$1:$O$103,15,0))</f>
        <v>0</v>
      </c>
      <c r="W345" s="6">
        <f>IF(ISERROR(VLOOKUP($T$345,'TAR FIN'!$A$1:$O$103,15,0)),0,VLOOKUP($T$345,'TAR FIN'!$A$1:$O$103,15,0))</f>
        <v>334.07</v>
      </c>
      <c r="X345" s="6">
        <f>IF(ISERROR(VLOOKUP($U$345,'TAR FIN'!$A$1:$O$103,15,0)),0,VLOOKUP($U$345,'TAR FIN'!$A$1:$O$103,15,0))</f>
        <v>224.55</v>
      </c>
      <c r="Y345" s="6"/>
      <c r="Z345" s="6">
        <f ca="1">('TUSD BE'!$AM$45+'TUSD BF'!$AM$45+'TUSD CVA'!$AM$45)*(1-CUSTOS!$M$38)</f>
        <v>453.14332034419533</v>
      </c>
      <c r="AA345" s="6">
        <f>('TE BE'!$AB$26+'TE BF'!$AB$26+'TE CVA'!$AB$26)*(1-CUSTOS!$M$38)</f>
        <v>219.98233758978921</v>
      </c>
      <c r="AB345" s="6">
        <f t="shared" si="20"/>
        <v>0</v>
      </c>
      <c r="AC345" s="6">
        <f>(L345-M345)*(W345+X345)+($W$247+$X$247-$W$345-$X$345)*(L345)</f>
        <v>757.66298999999958</v>
      </c>
      <c r="AD345" s="6">
        <f t="shared" si="21"/>
        <v>0</v>
      </c>
      <c r="AE345" s="6">
        <f ca="1">(L345-M345)*(Z345+AA345)+($Z$247+$AA$247-$Z$345-$AA$345)*(L345)</f>
        <v>427.37750549804332</v>
      </c>
      <c r="AF345" s="4" t="s">
        <v>811</v>
      </c>
    </row>
    <row r="346" spans="1:32" ht="11.25" customHeight="1" x14ac:dyDescent="0.3">
      <c r="A346" s="4" t="s">
        <v>28</v>
      </c>
      <c r="B346" s="4" t="s">
        <v>43</v>
      </c>
      <c r="C346" s="4" t="s">
        <v>23</v>
      </c>
      <c r="D346" s="4" t="s">
        <v>44</v>
      </c>
      <c r="E346" s="4" t="s">
        <v>56</v>
      </c>
      <c r="F346" s="4" t="s">
        <v>54</v>
      </c>
      <c r="G346" s="4" t="s">
        <v>25</v>
      </c>
      <c r="H346" s="4" t="s">
        <v>25</v>
      </c>
      <c r="I346" s="5">
        <v>44682</v>
      </c>
      <c r="J346" s="6">
        <v>0</v>
      </c>
      <c r="K346" s="6">
        <v>0</v>
      </c>
      <c r="L346" s="6">
        <v>4.1079999999999997</v>
      </c>
      <c r="M346" s="6">
        <v>4.1079999999999997</v>
      </c>
      <c r="N346" s="6">
        <v>4.1079999999999997</v>
      </c>
      <c r="O346" s="6">
        <v>4.1079999999999997</v>
      </c>
      <c r="P346" s="6">
        <v>0</v>
      </c>
      <c r="Q346" s="4" t="s">
        <v>26</v>
      </c>
      <c r="R346" s="4">
        <v>0</v>
      </c>
      <c r="S346" s="4">
        <v>0</v>
      </c>
      <c r="T346" s="4">
        <v>43</v>
      </c>
      <c r="U346" s="4">
        <v>84</v>
      </c>
      <c r="V346" s="6">
        <f>IF(ISERROR(VLOOKUP($S$346,'TAR FIN'!$A$1:$O$103,15,0)),0,VLOOKUP($S$346,'TAR FIN'!$A$1:$O$103,15,0))</f>
        <v>0</v>
      </c>
      <c r="W346" s="6">
        <f>IF(ISERROR(VLOOKUP($T$346,'TAR FIN'!$A$1:$O$103,15,0)),0,VLOOKUP($T$346,'TAR FIN'!$A$1:$O$103,15,0))</f>
        <v>334.07</v>
      </c>
      <c r="X346" s="6">
        <f>IF(ISERROR(VLOOKUP($U$346,'TAR FIN'!$A$1:$O$103,15,0)),0,VLOOKUP($U$346,'TAR FIN'!$A$1:$O$103,15,0))</f>
        <v>224.55</v>
      </c>
      <c r="Y346" s="6"/>
      <c r="Z346" s="6">
        <f ca="1">('TUSD BE'!$AM$45+'TUSD BF'!$AM$45+'TUSD CVA'!$AM$45)*(1-CUSTOS!$M$38)</f>
        <v>453.14332034419533</v>
      </c>
      <c r="AA346" s="6">
        <f>('TE BE'!$AB$26+'TE BF'!$AB$26+'TE CVA'!$AB$26)*(1-CUSTOS!$M$38)</f>
        <v>219.98233758978921</v>
      </c>
      <c r="AB346" s="6">
        <f t="shared" si="20"/>
        <v>0</v>
      </c>
      <c r="AC346" s="6">
        <f>(L346-M346)*(W346+X346)+($W$247+$X$247-$W$346-$X$346)*(L346)</f>
        <v>312.90635999999978</v>
      </c>
      <c r="AD346" s="6">
        <f t="shared" si="21"/>
        <v>0</v>
      </c>
      <c r="AE346" s="6">
        <f ca="1">(L346-M346)*(Z346+AA346)+($Z$247+$AA$247-$Z$346-$AA$346)*(L346)</f>
        <v>176.50214060379631</v>
      </c>
      <c r="AF346" s="4" t="s">
        <v>811</v>
      </c>
    </row>
    <row r="347" spans="1:32" ht="11.25" customHeight="1" x14ac:dyDescent="0.3">
      <c r="A347" s="4" t="s">
        <v>21</v>
      </c>
      <c r="B347" s="4" t="s">
        <v>43</v>
      </c>
      <c r="C347" s="4" t="s">
        <v>23</v>
      </c>
      <c r="D347" s="4" t="s">
        <v>44</v>
      </c>
      <c r="E347" s="4" t="s">
        <v>56</v>
      </c>
      <c r="F347" s="4" t="s">
        <v>54</v>
      </c>
      <c r="G347" s="4" t="s">
        <v>25</v>
      </c>
      <c r="H347" s="4" t="s">
        <v>25</v>
      </c>
      <c r="I347" s="5">
        <v>44713</v>
      </c>
      <c r="J347" s="6">
        <v>0</v>
      </c>
      <c r="K347" s="6">
        <v>0</v>
      </c>
      <c r="L347" s="6">
        <v>9.6579999999999995</v>
      </c>
      <c r="M347" s="6">
        <v>9.6579999999999995</v>
      </c>
      <c r="N347" s="6">
        <v>9.6579999999999995</v>
      </c>
      <c r="O347" s="6">
        <v>9.6579999999999995</v>
      </c>
      <c r="P347" s="6">
        <v>0</v>
      </c>
      <c r="Q347" s="4" t="s">
        <v>26</v>
      </c>
      <c r="R347" s="4">
        <v>0</v>
      </c>
      <c r="S347" s="4">
        <v>0</v>
      </c>
      <c r="T347" s="4">
        <v>43</v>
      </c>
      <c r="U347" s="4">
        <v>84</v>
      </c>
      <c r="V347" s="6">
        <f>IF(ISERROR(VLOOKUP($S$347,'TAR FIN'!$A$1:$O$103,15,0)),0,VLOOKUP($S$347,'TAR FIN'!$A$1:$O$103,15,0))</f>
        <v>0</v>
      </c>
      <c r="W347" s="6">
        <f>IF(ISERROR(VLOOKUP($T$347,'TAR FIN'!$A$1:$O$103,15,0)),0,VLOOKUP($T$347,'TAR FIN'!$A$1:$O$103,15,0))</f>
        <v>334.07</v>
      </c>
      <c r="X347" s="6">
        <f>IF(ISERROR(VLOOKUP($U$347,'TAR FIN'!$A$1:$O$103,15,0)),0,VLOOKUP($U$347,'TAR FIN'!$A$1:$O$103,15,0))</f>
        <v>224.55</v>
      </c>
      <c r="Y347" s="6"/>
      <c r="Z347" s="6">
        <f ca="1">('TUSD BE'!$AM$45+'TUSD BF'!$AM$45+'TUSD CVA'!$AM$45)*(1-CUSTOS!$M$38)</f>
        <v>453.14332034419533</v>
      </c>
      <c r="AA347" s="6">
        <f>('TE BE'!$AB$26+'TE BF'!$AB$26+'TE CVA'!$AB$26)*(1-CUSTOS!$M$38)</f>
        <v>219.98233758978921</v>
      </c>
      <c r="AB347" s="6">
        <f t="shared" si="20"/>
        <v>0</v>
      </c>
      <c r="AC347" s="6">
        <f>(L347-M347)*(W347+X347)+($W$247+$X$247-$W$347-$X$347)*(L347)</f>
        <v>735.64985999999953</v>
      </c>
      <c r="AD347" s="6">
        <f t="shared" si="21"/>
        <v>0</v>
      </c>
      <c r="AE347" s="6">
        <f ca="1">(L347-M347)*(Z347+AA347)+($Z$247+$AA$247-$Z$347-$AA$347)*(L347)</f>
        <v>414.96048538253768</v>
      </c>
      <c r="AF347" s="4" t="s">
        <v>811</v>
      </c>
    </row>
    <row r="348" spans="1:32" ht="11.25" customHeight="1" x14ac:dyDescent="0.3">
      <c r="A348" s="4" t="s">
        <v>28</v>
      </c>
      <c r="B348" s="4" t="s">
        <v>43</v>
      </c>
      <c r="C348" s="4" t="s">
        <v>23</v>
      </c>
      <c r="D348" s="4" t="s">
        <v>44</v>
      </c>
      <c r="E348" s="4" t="s">
        <v>56</v>
      </c>
      <c r="F348" s="4" t="s">
        <v>54</v>
      </c>
      <c r="G348" s="4" t="s">
        <v>25</v>
      </c>
      <c r="H348" s="4" t="s">
        <v>25</v>
      </c>
      <c r="I348" s="5">
        <v>44713</v>
      </c>
      <c r="J348" s="6">
        <v>0</v>
      </c>
      <c r="K348" s="6">
        <v>0</v>
      </c>
      <c r="L348" s="6">
        <v>1.2729999999999999</v>
      </c>
      <c r="M348" s="6">
        <v>1.2729999999999999</v>
      </c>
      <c r="N348" s="6">
        <v>1.2729999999999999</v>
      </c>
      <c r="O348" s="6">
        <v>1.2729999999999999</v>
      </c>
      <c r="P348" s="6">
        <v>0</v>
      </c>
      <c r="Q348" s="4" t="s">
        <v>26</v>
      </c>
      <c r="R348" s="4">
        <v>0</v>
      </c>
      <c r="S348" s="4">
        <v>0</v>
      </c>
      <c r="T348" s="4">
        <v>43</v>
      </c>
      <c r="U348" s="4">
        <v>84</v>
      </c>
      <c r="V348" s="6">
        <f>IF(ISERROR(VLOOKUP($S$348,'TAR FIN'!$A$1:$O$103,15,0)),0,VLOOKUP($S$348,'TAR FIN'!$A$1:$O$103,15,0))</f>
        <v>0</v>
      </c>
      <c r="W348" s="6">
        <f>IF(ISERROR(VLOOKUP($T$348,'TAR FIN'!$A$1:$O$103,15,0)),0,VLOOKUP($T$348,'TAR FIN'!$A$1:$O$103,15,0))</f>
        <v>334.07</v>
      </c>
      <c r="X348" s="6">
        <f>IF(ISERROR(VLOOKUP($U$348,'TAR FIN'!$A$1:$O$103,15,0)),0,VLOOKUP($U$348,'TAR FIN'!$A$1:$O$103,15,0))</f>
        <v>224.55</v>
      </c>
      <c r="Y348" s="6"/>
      <c r="Z348" s="6">
        <f ca="1">('TUSD BE'!$AM$45+'TUSD BF'!$AM$45+'TUSD CVA'!$AM$45)*(1-CUSTOS!$M$38)</f>
        <v>453.14332034419533</v>
      </c>
      <c r="AA348" s="6">
        <f>('TE BE'!$AB$26+'TE BF'!$AB$26+'TE CVA'!$AB$26)*(1-CUSTOS!$M$38)</f>
        <v>219.98233758978921</v>
      </c>
      <c r="AB348" s="6">
        <f t="shared" si="20"/>
        <v>0</v>
      </c>
      <c r="AC348" s="6">
        <f>(L348-M348)*(W348+X348)+($W$247+$X$247-$W$348-$X$348)*(L348)</f>
        <v>96.964409999999944</v>
      </c>
      <c r="AD348" s="6">
        <f t="shared" si="21"/>
        <v>0</v>
      </c>
      <c r="AE348" s="6">
        <f ca="1">(L348-M348)*(Z348+AA348)+($Z$247+$AA$247-$Z$348-$AA$348)*(L348)</f>
        <v>54.695040162763561</v>
      </c>
      <c r="AF348" s="4" t="s">
        <v>811</v>
      </c>
    </row>
    <row r="349" spans="1:32" ht="11.25" customHeight="1" x14ac:dyDescent="0.3">
      <c r="A349" s="4" t="s">
        <v>21</v>
      </c>
      <c r="B349" s="4" t="s">
        <v>43</v>
      </c>
      <c r="C349" s="4" t="s">
        <v>23</v>
      </c>
      <c r="D349" s="4" t="s">
        <v>44</v>
      </c>
      <c r="E349" s="4" t="s">
        <v>56</v>
      </c>
      <c r="F349" s="4" t="s">
        <v>54</v>
      </c>
      <c r="G349" s="4" t="s">
        <v>25</v>
      </c>
      <c r="H349" s="4" t="s">
        <v>25</v>
      </c>
      <c r="I349" s="5">
        <v>44743</v>
      </c>
      <c r="J349" s="6">
        <v>0</v>
      </c>
      <c r="K349" s="6">
        <v>0</v>
      </c>
      <c r="L349" s="6">
        <v>12.952</v>
      </c>
      <c r="M349" s="6">
        <v>12.952</v>
      </c>
      <c r="N349" s="6">
        <v>12.952</v>
      </c>
      <c r="O349" s="6">
        <v>12.952</v>
      </c>
      <c r="P349" s="6">
        <v>0</v>
      </c>
      <c r="Q349" s="4" t="s">
        <v>26</v>
      </c>
      <c r="R349" s="4">
        <v>0</v>
      </c>
      <c r="S349" s="4">
        <v>0</v>
      </c>
      <c r="T349" s="4">
        <v>43</v>
      </c>
      <c r="U349" s="4">
        <v>84</v>
      </c>
      <c r="V349" s="6">
        <f>IF(ISERROR(VLOOKUP($S$349,'TAR FIN'!$A$1:$O$103,15,0)),0,VLOOKUP($S$349,'TAR FIN'!$A$1:$O$103,15,0))</f>
        <v>0</v>
      </c>
      <c r="W349" s="6">
        <f>IF(ISERROR(VLOOKUP($T$349,'TAR FIN'!$A$1:$O$103,15,0)),0,VLOOKUP($T$349,'TAR FIN'!$A$1:$O$103,15,0))</f>
        <v>334.07</v>
      </c>
      <c r="X349" s="6">
        <f>IF(ISERROR(VLOOKUP($U$349,'TAR FIN'!$A$1:$O$103,15,0)),0,VLOOKUP($U$349,'TAR FIN'!$A$1:$O$103,15,0))</f>
        <v>224.55</v>
      </c>
      <c r="Y349" s="6"/>
      <c r="Z349" s="6">
        <f ca="1">('TUSD BE'!$AM$45+'TUSD BF'!$AM$45+'TUSD CVA'!$AM$45)*(1-CUSTOS!$M$38)</f>
        <v>453.14332034419533</v>
      </c>
      <c r="AA349" s="6">
        <f>('TE BE'!$AB$26+'TE BF'!$AB$26+'TE CVA'!$AB$26)*(1-CUSTOS!$M$38)</f>
        <v>219.98233758978921</v>
      </c>
      <c r="AB349" s="6">
        <f t="shared" si="20"/>
        <v>0</v>
      </c>
      <c r="AC349" s="6">
        <f>(L349-M349)*(W349+X349)+($W$247+$X$247-$W$349-$X$349)*(L349)</f>
        <v>986.55383999999947</v>
      </c>
      <c r="AD349" s="6">
        <f t="shared" si="21"/>
        <v>0</v>
      </c>
      <c r="AE349" s="6">
        <f ca="1">(L349-M349)*(Z349+AA349)+($Z$247+$AA$247-$Z$349-$AA$349)*(L349)</f>
        <v>556.48873541878527</v>
      </c>
      <c r="AF349" s="4" t="s">
        <v>811</v>
      </c>
    </row>
    <row r="350" spans="1:32" ht="11.25" customHeight="1" x14ac:dyDescent="0.3">
      <c r="A350" s="4" t="s">
        <v>28</v>
      </c>
      <c r="B350" s="4" t="s">
        <v>43</v>
      </c>
      <c r="C350" s="4" t="s">
        <v>23</v>
      </c>
      <c r="D350" s="4" t="s">
        <v>44</v>
      </c>
      <c r="E350" s="4" t="s">
        <v>56</v>
      </c>
      <c r="F350" s="4" t="s">
        <v>54</v>
      </c>
      <c r="G350" s="4" t="s">
        <v>25</v>
      </c>
      <c r="H350" s="4" t="s">
        <v>25</v>
      </c>
      <c r="I350" s="5">
        <v>44743</v>
      </c>
      <c r="J350" s="6">
        <v>0</v>
      </c>
      <c r="K350" s="6">
        <v>0</v>
      </c>
      <c r="L350" s="6">
        <v>0.16300000000000001</v>
      </c>
      <c r="M350" s="6">
        <v>0.16300000000000001</v>
      </c>
      <c r="N350" s="6">
        <v>0.16300000000000001</v>
      </c>
      <c r="O350" s="6">
        <v>0.16300000000000001</v>
      </c>
      <c r="P350" s="6">
        <v>0</v>
      </c>
      <c r="Q350" s="4" t="s">
        <v>26</v>
      </c>
      <c r="R350" s="4">
        <v>0</v>
      </c>
      <c r="S350" s="4">
        <v>0</v>
      </c>
      <c r="T350" s="4">
        <v>43</v>
      </c>
      <c r="U350" s="4">
        <v>84</v>
      </c>
      <c r="V350" s="6">
        <f>IF(ISERROR(VLOOKUP($S$350,'TAR FIN'!$A$1:$O$103,15,0)),0,VLOOKUP($S$350,'TAR FIN'!$A$1:$O$103,15,0))</f>
        <v>0</v>
      </c>
      <c r="W350" s="6">
        <f>IF(ISERROR(VLOOKUP($T$350,'TAR FIN'!$A$1:$O$103,15,0)),0,VLOOKUP($T$350,'TAR FIN'!$A$1:$O$103,15,0))</f>
        <v>334.07</v>
      </c>
      <c r="X350" s="6">
        <f>IF(ISERROR(VLOOKUP($U$350,'TAR FIN'!$A$1:$O$103,15,0)),0,VLOOKUP($U$350,'TAR FIN'!$A$1:$O$103,15,0))</f>
        <v>224.55</v>
      </c>
      <c r="Y350" s="6"/>
      <c r="Z350" s="6">
        <f ca="1">('TUSD BE'!$AM$45+'TUSD BF'!$AM$45+'TUSD CVA'!$AM$45)*(1-CUSTOS!$M$38)</f>
        <v>453.14332034419533</v>
      </c>
      <c r="AA350" s="6">
        <f>('TE BE'!$AB$26+'TE BF'!$AB$26+'TE CVA'!$AB$26)*(1-CUSTOS!$M$38)</f>
        <v>219.98233758978921</v>
      </c>
      <c r="AB350" s="6">
        <f t="shared" si="20"/>
        <v>0</v>
      </c>
      <c r="AC350" s="6">
        <f>(L350-M350)*(W350+X350)+($W$247+$X$247-$W$350-$X$350)*(L350)</f>
        <v>12.415709999999994</v>
      </c>
      <c r="AD350" s="6">
        <f t="shared" si="21"/>
        <v>0</v>
      </c>
      <c r="AE350" s="6">
        <f ca="1">(L350-M350)*(Z350+AA350)+($Z$247+$AA$247-$Z$350-$AA$350)*(L350)</f>
        <v>7.003371207015288</v>
      </c>
      <c r="AF350" s="4" t="s">
        <v>811</v>
      </c>
    </row>
    <row r="351" spans="1:32" ht="11.25" customHeight="1" x14ac:dyDescent="0.3">
      <c r="A351" s="4" t="s">
        <v>21</v>
      </c>
      <c r="B351" s="4" t="s">
        <v>43</v>
      </c>
      <c r="C351" s="4" t="s">
        <v>23</v>
      </c>
      <c r="D351" s="4" t="s">
        <v>44</v>
      </c>
      <c r="E351" s="4" t="s">
        <v>56</v>
      </c>
      <c r="F351" s="4" t="s">
        <v>54</v>
      </c>
      <c r="G351" s="4" t="s">
        <v>25</v>
      </c>
      <c r="H351" s="4" t="s">
        <v>25</v>
      </c>
      <c r="I351" s="5">
        <v>44774</v>
      </c>
      <c r="J351" s="6">
        <v>0</v>
      </c>
      <c r="K351" s="6">
        <v>0</v>
      </c>
      <c r="L351" s="6">
        <v>8.8119999999999994</v>
      </c>
      <c r="M351" s="6">
        <v>8.8119999999999994</v>
      </c>
      <c r="N351" s="6">
        <v>8.8119999999999994</v>
      </c>
      <c r="O351" s="6">
        <v>8.8119999999999994</v>
      </c>
      <c r="P351" s="6">
        <v>0</v>
      </c>
      <c r="Q351" s="4" t="s">
        <v>26</v>
      </c>
      <c r="R351" s="4">
        <v>0</v>
      </c>
      <c r="S351" s="4">
        <v>0</v>
      </c>
      <c r="T351" s="4">
        <v>43</v>
      </c>
      <c r="U351" s="4">
        <v>84</v>
      </c>
      <c r="V351" s="6">
        <f>IF(ISERROR(VLOOKUP($S$351,'TAR FIN'!$A$1:$O$103,15,0)),0,VLOOKUP($S$351,'TAR FIN'!$A$1:$O$103,15,0))</f>
        <v>0</v>
      </c>
      <c r="W351" s="6">
        <f>IF(ISERROR(VLOOKUP($T$351,'TAR FIN'!$A$1:$O$103,15,0)),0,VLOOKUP($T$351,'TAR FIN'!$A$1:$O$103,15,0))</f>
        <v>334.07</v>
      </c>
      <c r="X351" s="6">
        <f>IF(ISERROR(VLOOKUP($U$351,'TAR FIN'!$A$1:$O$103,15,0)),0,VLOOKUP($U$351,'TAR FIN'!$A$1:$O$103,15,0))</f>
        <v>224.55</v>
      </c>
      <c r="Y351" s="6"/>
      <c r="Z351" s="6">
        <f ca="1">('TUSD BE'!$AM$45+'TUSD BF'!$AM$45+'TUSD CVA'!$AM$45)*(1-CUSTOS!$M$38)</f>
        <v>453.14332034419533</v>
      </c>
      <c r="AA351" s="6">
        <f>('TE BE'!$AB$26+'TE BF'!$AB$26+'TE CVA'!$AB$26)*(1-CUSTOS!$M$38)</f>
        <v>219.98233758978921</v>
      </c>
      <c r="AB351" s="6">
        <f t="shared" si="20"/>
        <v>0</v>
      </c>
      <c r="AC351" s="6">
        <f>(L351-M351)*(W351+X351)+($W$247+$X$247-$W$351-$X$351)*(L351)</f>
        <v>671.21003999999959</v>
      </c>
      <c r="AD351" s="6">
        <f t="shared" si="21"/>
        <v>0</v>
      </c>
      <c r="AE351" s="6">
        <f ca="1">(L351-M351)*(Z351+AA351)+($Z$247+$AA$247-$Z$351-$AA$351)*(L351)</f>
        <v>378.61169985410254</v>
      </c>
      <c r="AF351" s="4" t="s">
        <v>811</v>
      </c>
    </row>
    <row r="352" spans="1:32" ht="11.25" customHeight="1" x14ac:dyDescent="0.3">
      <c r="A352" s="4" t="s">
        <v>28</v>
      </c>
      <c r="B352" s="4" t="s">
        <v>43</v>
      </c>
      <c r="C352" s="4" t="s">
        <v>23</v>
      </c>
      <c r="D352" s="4" t="s">
        <v>44</v>
      </c>
      <c r="E352" s="4" t="s">
        <v>56</v>
      </c>
      <c r="F352" s="4" t="s">
        <v>54</v>
      </c>
      <c r="G352" s="4" t="s">
        <v>25</v>
      </c>
      <c r="H352" s="4" t="s">
        <v>25</v>
      </c>
      <c r="I352" s="5">
        <v>44774</v>
      </c>
      <c r="J352" s="6">
        <v>0</v>
      </c>
      <c r="K352" s="6">
        <v>0</v>
      </c>
      <c r="L352" s="6">
        <v>2.0569999999999999</v>
      </c>
      <c r="M352" s="6">
        <v>2.0569999999999999</v>
      </c>
      <c r="N352" s="6">
        <v>2.0569999999999999</v>
      </c>
      <c r="O352" s="6">
        <v>2.0569999999999999</v>
      </c>
      <c r="P352" s="6">
        <v>0</v>
      </c>
      <c r="Q352" s="4" t="s">
        <v>26</v>
      </c>
      <c r="R352" s="4">
        <v>0</v>
      </c>
      <c r="S352" s="4">
        <v>0</v>
      </c>
      <c r="T352" s="4">
        <v>43</v>
      </c>
      <c r="U352" s="4">
        <v>84</v>
      </c>
      <c r="V352" s="6">
        <f>IF(ISERROR(VLOOKUP($S$352,'TAR FIN'!$A$1:$O$103,15,0)),0,VLOOKUP($S$352,'TAR FIN'!$A$1:$O$103,15,0))</f>
        <v>0</v>
      </c>
      <c r="W352" s="6">
        <f>IF(ISERROR(VLOOKUP($T$352,'TAR FIN'!$A$1:$O$103,15,0)),0,VLOOKUP($T$352,'TAR FIN'!$A$1:$O$103,15,0))</f>
        <v>334.07</v>
      </c>
      <c r="X352" s="6">
        <f>IF(ISERROR(VLOOKUP($U$352,'TAR FIN'!$A$1:$O$103,15,0)),0,VLOOKUP($U$352,'TAR FIN'!$A$1:$O$103,15,0))</f>
        <v>224.55</v>
      </c>
      <c r="Y352" s="6"/>
      <c r="Z352" s="6">
        <f ca="1">('TUSD BE'!$AM$45+'TUSD BF'!$AM$45+'TUSD CVA'!$AM$45)*(1-CUSTOS!$M$38)</f>
        <v>453.14332034419533</v>
      </c>
      <c r="AA352" s="6">
        <f>('TE BE'!$AB$26+'TE BF'!$AB$26+'TE CVA'!$AB$26)*(1-CUSTOS!$M$38)</f>
        <v>219.98233758978921</v>
      </c>
      <c r="AB352" s="6">
        <f t="shared" si="20"/>
        <v>0</v>
      </c>
      <c r="AC352" s="6">
        <f>(L352-M352)*(W352+X352)+($W$247+$X$247-$W$352-$X$352)*(L352)</f>
        <v>156.68168999999992</v>
      </c>
      <c r="AD352" s="6">
        <f t="shared" si="21"/>
        <v>0</v>
      </c>
      <c r="AE352" s="6">
        <f ca="1">(L352-M352)*(Z352+AA352)+($Z$247+$AA$247-$Z$352-$AA$352)*(L352)</f>
        <v>88.379966704481262</v>
      </c>
      <c r="AF352" s="4" t="s">
        <v>811</v>
      </c>
    </row>
    <row r="353" spans="1:32" ht="11.25" customHeight="1" x14ac:dyDescent="0.3">
      <c r="A353" s="4" t="s">
        <v>21</v>
      </c>
      <c r="B353" s="4" t="s">
        <v>43</v>
      </c>
      <c r="C353" s="4" t="s">
        <v>23</v>
      </c>
      <c r="D353" s="4" t="s">
        <v>44</v>
      </c>
      <c r="E353" s="4" t="s">
        <v>56</v>
      </c>
      <c r="F353" s="4" t="s">
        <v>54</v>
      </c>
      <c r="G353" s="4" t="s">
        <v>25</v>
      </c>
      <c r="H353" s="4" t="s">
        <v>25</v>
      </c>
      <c r="I353" s="5">
        <v>44805</v>
      </c>
      <c r="J353" s="6">
        <v>0</v>
      </c>
      <c r="K353" s="6">
        <v>0</v>
      </c>
      <c r="L353" s="6">
        <v>10.707000000000001</v>
      </c>
      <c r="M353" s="6">
        <v>10.707000000000001</v>
      </c>
      <c r="N353" s="6">
        <v>10.707000000000001</v>
      </c>
      <c r="O353" s="6">
        <v>10.707000000000001</v>
      </c>
      <c r="P353" s="6">
        <v>0</v>
      </c>
      <c r="Q353" s="4" t="s">
        <v>26</v>
      </c>
      <c r="R353" s="4">
        <v>0</v>
      </c>
      <c r="S353" s="4">
        <v>0</v>
      </c>
      <c r="T353" s="4">
        <v>43</v>
      </c>
      <c r="U353" s="4">
        <v>84</v>
      </c>
      <c r="V353" s="6">
        <f>IF(ISERROR(VLOOKUP($S$353,'TAR FIN'!$A$1:$O$103,15,0)),0,VLOOKUP($S$353,'TAR FIN'!$A$1:$O$103,15,0))</f>
        <v>0</v>
      </c>
      <c r="W353" s="6">
        <f>IF(ISERROR(VLOOKUP($T$353,'TAR FIN'!$A$1:$O$103,15,0)),0,VLOOKUP($T$353,'TAR FIN'!$A$1:$O$103,15,0))</f>
        <v>334.07</v>
      </c>
      <c r="X353" s="6">
        <f>IF(ISERROR(VLOOKUP($U$353,'TAR FIN'!$A$1:$O$103,15,0)),0,VLOOKUP($U$353,'TAR FIN'!$A$1:$O$103,15,0))</f>
        <v>224.55</v>
      </c>
      <c r="Y353" s="6"/>
      <c r="Z353" s="6">
        <f ca="1">('TUSD BE'!$AM$45+'TUSD BF'!$AM$45+'TUSD CVA'!$AM$45)*(1-CUSTOS!$M$38)</f>
        <v>453.14332034419533</v>
      </c>
      <c r="AA353" s="6">
        <f>('TE BE'!$AB$26+'TE BF'!$AB$26+'TE CVA'!$AB$26)*(1-CUSTOS!$M$38)</f>
        <v>219.98233758978921</v>
      </c>
      <c r="AB353" s="6">
        <f t="shared" si="20"/>
        <v>0</v>
      </c>
      <c r="AC353" s="6">
        <f>(L353-M353)*(W353+X353)+($W$247+$X$247-$W$353-$X$353)*(L353)</f>
        <v>815.55218999999965</v>
      </c>
      <c r="AD353" s="6">
        <f t="shared" si="21"/>
        <v>0</v>
      </c>
      <c r="AE353" s="6">
        <f ca="1">(L353-M353)*(Z353+AA353)+($Z$247+$AA$247-$Z$353-$AA$353)*(L353)</f>
        <v>460.03126081909625</v>
      </c>
      <c r="AF353" s="4" t="s">
        <v>811</v>
      </c>
    </row>
    <row r="354" spans="1:32" ht="11.25" customHeight="1" x14ac:dyDescent="0.3">
      <c r="A354" s="4" t="s">
        <v>28</v>
      </c>
      <c r="B354" s="4" t="s">
        <v>43</v>
      </c>
      <c r="C354" s="4" t="s">
        <v>23</v>
      </c>
      <c r="D354" s="4" t="s">
        <v>44</v>
      </c>
      <c r="E354" s="4" t="s">
        <v>56</v>
      </c>
      <c r="F354" s="4" t="s">
        <v>54</v>
      </c>
      <c r="G354" s="4" t="s">
        <v>25</v>
      </c>
      <c r="H354" s="4" t="s">
        <v>25</v>
      </c>
      <c r="I354" s="5">
        <v>44805</v>
      </c>
      <c r="J354" s="6">
        <v>0</v>
      </c>
      <c r="K354" s="6">
        <v>0</v>
      </c>
      <c r="L354" s="6">
        <v>6.9749999999999996</v>
      </c>
      <c r="M354" s="6">
        <v>6.9749999999999996</v>
      </c>
      <c r="N354" s="6">
        <v>6.9749999999999996</v>
      </c>
      <c r="O354" s="6">
        <v>6.9749999999999996</v>
      </c>
      <c r="P354" s="6">
        <v>0</v>
      </c>
      <c r="Q354" s="4" t="s">
        <v>26</v>
      </c>
      <c r="R354" s="4">
        <v>0</v>
      </c>
      <c r="S354" s="4">
        <v>0</v>
      </c>
      <c r="T354" s="4">
        <v>43</v>
      </c>
      <c r="U354" s="4">
        <v>84</v>
      </c>
      <c r="V354" s="6">
        <f>IF(ISERROR(VLOOKUP($S$354,'TAR FIN'!$A$1:$O$103,15,0)),0,VLOOKUP($S$354,'TAR FIN'!$A$1:$O$103,15,0))</f>
        <v>0</v>
      </c>
      <c r="W354" s="6">
        <f>IF(ISERROR(VLOOKUP($T$354,'TAR FIN'!$A$1:$O$103,15,0)),0,VLOOKUP($T$354,'TAR FIN'!$A$1:$O$103,15,0))</f>
        <v>334.07</v>
      </c>
      <c r="X354" s="6">
        <f>IF(ISERROR(VLOOKUP($U$354,'TAR FIN'!$A$1:$O$103,15,0)),0,VLOOKUP($U$354,'TAR FIN'!$A$1:$O$103,15,0))</f>
        <v>224.55</v>
      </c>
      <c r="Y354" s="6"/>
      <c r="Z354" s="6">
        <f ca="1">('TUSD BE'!$AM$45+'TUSD BF'!$AM$45+'TUSD CVA'!$AM$45)*(1-CUSTOS!$M$38)</f>
        <v>453.14332034419533</v>
      </c>
      <c r="AA354" s="6">
        <f>('TE BE'!$AB$26+'TE BF'!$AB$26+'TE CVA'!$AB$26)*(1-CUSTOS!$M$38)</f>
        <v>219.98233758978921</v>
      </c>
      <c r="AB354" s="6">
        <f t="shared" si="20"/>
        <v>0</v>
      </c>
      <c r="AC354" s="6">
        <f>(L354-M354)*(W354+X354)+($W$247+$X$247-$W$354-$X$354)*(L354)</f>
        <v>531.28574999999967</v>
      </c>
      <c r="AD354" s="6">
        <f t="shared" si="21"/>
        <v>0</v>
      </c>
      <c r="AE354" s="6">
        <f ca="1">(L354-M354)*(Z354+AA354)+($Z$247+$AA$247-$Z$354-$AA$354)*(L354)</f>
        <v>299.68413600571552</v>
      </c>
      <c r="AF354" s="4" t="s">
        <v>811</v>
      </c>
    </row>
    <row r="355" spans="1:32" ht="11.25" customHeight="1" x14ac:dyDescent="0.3">
      <c r="A355" s="4" t="s">
        <v>57</v>
      </c>
      <c r="B355" s="4" t="s">
        <v>43</v>
      </c>
      <c r="C355" s="4" t="s">
        <v>23</v>
      </c>
      <c r="D355" s="4" t="s">
        <v>44</v>
      </c>
      <c r="E355" s="4" t="s">
        <v>56</v>
      </c>
      <c r="F355" s="4" t="s">
        <v>54</v>
      </c>
      <c r="G355" s="4" t="s">
        <v>25</v>
      </c>
      <c r="H355" s="4" t="s">
        <v>25</v>
      </c>
      <c r="I355" s="5">
        <v>44835</v>
      </c>
      <c r="J355" s="6">
        <v>0</v>
      </c>
      <c r="K355" s="6">
        <v>0</v>
      </c>
      <c r="L355" s="6">
        <v>10.707000000000001</v>
      </c>
      <c r="M355" s="6">
        <v>10.707000000000001</v>
      </c>
      <c r="N355" s="6">
        <v>10.707000000000001</v>
      </c>
      <c r="O355" s="6">
        <v>10.707000000000001</v>
      </c>
      <c r="P355" s="6">
        <v>0</v>
      </c>
      <c r="Q355" s="4" t="s">
        <v>26</v>
      </c>
      <c r="R355" s="4">
        <v>0</v>
      </c>
      <c r="S355" s="4">
        <v>0</v>
      </c>
      <c r="T355" s="4">
        <v>43</v>
      </c>
      <c r="U355" s="4">
        <v>84</v>
      </c>
      <c r="V355" s="6">
        <f>IF(ISERROR(VLOOKUP($S$355,'TAR FIN'!$A$1:$O$103,15,0)),0,VLOOKUP($S$355,'TAR FIN'!$A$1:$O$103,15,0))</f>
        <v>0</v>
      </c>
      <c r="W355" s="6">
        <f>IF(ISERROR(VLOOKUP($T$355,'TAR FIN'!$A$1:$O$103,15,0)),0,VLOOKUP($T$355,'TAR FIN'!$A$1:$O$103,15,0))</f>
        <v>334.07</v>
      </c>
      <c r="X355" s="6">
        <f>IF(ISERROR(VLOOKUP($U$355,'TAR FIN'!$A$1:$O$103,15,0)),0,VLOOKUP($U$355,'TAR FIN'!$A$1:$O$103,15,0))</f>
        <v>224.55</v>
      </c>
      <c r="Y355" s="6"/>
      <c r="Z355" s="6">
        <f ca="1">('TUSD BE'!$AM$45+'TUSD BF'!$AM$45+'TUSD CVA'!$AM$45)*(1-CUSTOS!$M$38)</f>
        <v>453.14332034419533</v>
      </c>
      <c r="AA355" s="6">
        <f>('TE BE'!$AB$26+'TE BF'!$AB$26+'TE CVA'!$AB$26)*(1-CUSTOS!$M$38)</f>
        <v>219.98233758978921</v>
      </c>
      <c r="AB355" s="6">
        <f t="shared" si="20"/>
        <v>0</v>
      </c>
      <c r="AC355" s="6">
        <f>(L355-M355)*(W355+X355)+($W$247+$X$247-$W$355-$X$355)*(L355)</f>
        <v>815.55218999999965</v>
      </c>
      <c r="AD355" s="6">
        <f t="shared" si="21"/>
        <v>0</v>
      </c>
      <c r="AE355" s="6">
        <f ca="1">(L355-M355)*(Z355+AA355)+($Z$247+$AA$247-$Z$355-$AA$355)*(L355)</f>
        <v>460.03126081909625</v>
      </c>
      <c r="AF355" s="4" t="s">
        <v>811</v>
      </c>
    </row>
    <row r="356" spans="1:32" ht="11.25" customHeight="1" x14ac:dyDescent="0.3">
      <c r="A356" s="4" t="s">
        <v>57</v>
      </c>
      <c r="B356" s="4" t="s">
        <v>43</v>
      </c>
      <c r="C356" s="4" t="s">
        <v>23</v>
      </c>
      <c r="D356" s="4" t="s">
        <v>44</v>
      </c>
      <c r="E356" s="4" t="s">
        <v>56</v>
      </c>
      <c r="F356" s="4" t="s">
        <v>54</v>
      </c>
      <c r="G356" s="4" t="s">
        <v>25</v>
      </c>
      <c r="H356" s="4" t="s">
        <v>25</v>
      </c>
      <c r="I356" s="5">
        <v>44835</v>
      </c>
      <c r="J356" s="6">
        <v>0</v>
      </c>
      <c r="K356" s="6">
        <v>0</v>
      </c>
      <c r="L356" s="6">
        <v>6.9749999999999996</v>
      </c>
      <c r="M356" s="6">
        <v>6.9749999999999996</v>
      </c>
      <c r="N356" s="6">
        <v>6.9749999999999996</v>
      </c>
      <c r="O356" s="6">
        <v>6.9749999999999996</v>
      </c>
      <c r="P356" s="6">
        <v>0</v>
      </c>
      <c r="Q356" s="4" t="s">
        <v>26</v>
      </c>
      <c r="R356" s="4">
        <v>0</v>
      </c>
      <c r="S356" s="4">
        <v>0</v>
      </c>
      <c r="T356" s="4">
        <v>43</v>
      </c>
      <c r="U356" s="4">
        <v>84</v>
      </c>
      <c r="V356" s="6">
        <f>IF(ISERROR(VLOOKUP($S$356,'TAR FIN'!$A$1:$O$103,15,0)),0,VLOOKUP($S$356,'TAR FIN'!$A$1:$O$103,15,0))</f>
        <v>0</v>
      </c>
      <c r="W356" s="6">
        <f>IF(ISERROR(VLOOKUP($T$356,'TAR FIN'!$A$1:$O$103,15,0)),0,VLOOKUP($T$356,'TAR FIN'!$A$1:$O$103,15,0))</f>
        <v>334.07</v>
      </c>
      <c r="X356" s="6">
        <f>IF(ISERROR(VLOOKUP($U$356,'TAR FIN'!$A$1:$O$103,15,0)),0,VLOOKUP($U$356,'TAR FIN'!$A$1:$O$103,15,0))</f>
        <v>224.55</v>
      </c>
      <c r="Y356" s="6"/>
      <c r="Z356" s="6">
        <f ca="1">('TUSD BE'!$AM$45+'TUSD BF'!$AM$45+'TUSD CVA'!$AM$45)*(1-CUSTOS!$M$38)</f>
        <v>453.14332034419533</v>
      </c>
      <c r="AA356" s="6">
        <f>('TE BE'!$AB$26+'TE BF'!$AB$26+'TE CVA'!$AB$26)*(1-CUSTOS!$M$38)</f>
        <v>219.98233758978921</v>
      </c>
      <c r="AB356" s="6">
        <f t="shared" si="20"/>
        <v>0</v>
      </c>
      <c r="AC356" s="6">
        <f>(L356-M356)*(W356+X356)+($W$247+$X$247-$W$356-$X$356)*(L356)</f>
        <v>531.28574999999967</v>
      </c>
      <c r="AD356" s="6">
        <f t="shared" si="21"/>
        <v>0</v>
      </c>
      <c r="AE356" s="6">
        <f ca="1">(L356-M356)*(Z356+AA356)+($Z$247+$AA$247-$Z$356-$AA$356)*(L356)</f>
        <v>299.68413600571552</v>
      </c>
      <c r="AF356" s="4" t="s">
        <v>811</v>
      </c>
    </row>
    <row r="357" spans="1:32" ht="11.25" customHeight="1" x14ac:dyDescent="0.3">
      <c r="A357" s="4" t="s">
        <v>21</v>
      </c>
      <c r="B357" s="4" t="s">
        <v>43</v>
      </c>
      <c r="C357" s="4" t="s">
        <v>23</v>
      </c>
      <c r="D357" s="4" t="s">
        <v>44</v>
      </c>
      <c r="E357" s="4" t="s">
        <v>56</v>
      </c>
      <c r="F357" s="4" t="s">
        <v>55</v>
      </c>
      <c r="G357" s="4" t="s">
        <v>25</v>
      </c>
      <c r="H357" s="4" t="s">
        <v>25</v>
      </c>
      <c r="I357" s="5">
        <v>44501</v>
      </c>
      <c r="J357" s="6">
        <v>0</v>
      </c>
      <c r="K357" s="6">
        <v>0</v>
      </c>
      <c r="L357" s="6">
        <v>16.626000000000001</v>
      </c>
      <c r="M357" s="6">
        <v>5.48658</v>
      </c>
      <c r="N357" s="6">
        <v>16.626000000000001</v>
      </c>
      <c r="O357" s="6">
        <v>5.48658</v>
      </c>
      <c r="P357" s="6">
        <v>0</v>
      </c>
      <c r="Q357" s="4" t="s">
        <v>26</v>
      </c>
      <c r="R357" s="4">
        <v>0</v>
      </c>
      <c r="S357" s="4">
        <v>0</v>
      </c>
      <c r="T357" s="4">
        <v>43</v>
      </c>
      <c r="U357" s="4">
        <v>84</v>
      </c>
      <c r="V357" s="6">
        <f>IF(ISERROR(VLOOKUP($S$357,'TAR FIN'!$A$1:$O$103,15,0)),0,VLOOKUP($S$357,'TAR FIN'!$A$1:$O$103,15,0))</f>
        <v>0</v>
      </c>
      <c r="W357" s="6">
        <f>IF(ISERROR(VLOOKUP($T$357,'TAR FIN'!$A$1:$O$103,15,0)),0,VLOOKUP($T$357,'TAR FIN'!$A$1:$O$103,15,0))</f>
        <v>334.07</v>
      </c>
      <c r="X357" s="6">
        <f>IF(ISERROR(VLOOKUP($U$357,'TAR FIN'!$A$1:$O$103,15,0)),0,VLOOKUP($U$357,'TAR FIN'!$A$1:$O$103,15,0))</f>
        <v>224.55</v>
      </c>
      <c r="Y357" s="6"/>
      <c r="Z357" s="6">
        <f ca="1">('TUSD BE'!$AM$45+'TUSD BF'!$AM$45+'TUSD CVA'!$AM$45)*(1-CUSTOS!$M$38)</f>
        <v>453.14332034419533</v>
      </c>
      <c r="AA357" s="6">
        <f>('TE BE'!$AB$26+'TE BF'!$AB$26+'TE CVA'!$AB$26)*(1-CUSTOS!$M$38)</f>
        <v>219.98233758978921</v>
      </c>
      <c r="AB357" s="6">
        <f t="shared" si="20"/>
        <v>0</v>
      </c>
      <c r="AC357" s="6">
        <f>(L357-M357)*(W357+X357)+($W$247+$X$247-$W$357-$X$357)*(L357)</f>
        <v>7489.1052203999998</v>
      </c>
      <c r="AD357" s="6">
        <f t="shared" si="21"/>
        <v>0</v>
      </c>
      <c r="AE357" s="6">
        <f ca="1">(L357-M357)*(Z357+AA357)+($Z$247+$AA$247-$Z$357-$AA$357)*(L357)</f>
        <v>8212.5732796185457</v>
      </c>
      <c r="AF357" s="4" t="s">
        <v>812</v>
      </c>
    </row>
    <row r="358" spans="1:32" ht="11.25" customHeight="1" x14ac:dyDescent="0.3">
      <c r="A358" s="4" t="s">
        <v>28</v>
      </c>
      <c r="B358" s="4" t="s">
        <v>43</v>
      </c>
      <c r="C358" s="4" t="s">
        <v>23</v>
      </c>
      <c r="D358" s="4" t="s">
        <v>44</v>
      </c>
      <c r="E358" s="4" t="s">
        <v>56</v>
      </c>
      <c r="F358" s="4" t="s">
        <v>55</v>
      </c>
      <c r="G358" s="4" t="s">
        <v>25</v>
      </c>
      <c r="H358" s="4" t="s">
        <v>25</v>
      </c>
      <c r="I358" s="5">
        <v>44501</v>
      </c>
      <c r="J358" s="6">
        <v>0</v>
      </c>
      <c r="K358" s="6">
        <v>0</v>
      </c>
      <c r="L358" s="6">
        <v>2.2549999999999999</v>
      </c>
      <c r="M358" s="6">
        <v>2.2549999999999999</v>
      </c>
      <c r="N358" s="6">
        <v>2.2549999999999999</v>
      </c>
      <c r="O358" s="6">
        <v>2.2549999999999999</v>
      </c>
      <c r="P358" s="6">
        <v>0</v>
      </c>
      <c r="Q358" s="4" t="s">
        <v>26</v>
      </c>
      <c r="R358" s="4">
        <v>0</v>
      </c>
      <c r="S358" s="4">
        <v>0</v>
      </c>
      <c r="T358" s="4">
        <v>43</v>
      </c>
      <c r="U358" s="4">
        <v>84</v>
      </c>
      <c r="V358" s="6">
        <f>IF(ISERROR(VLOOKUP($S$358,'TAR FIN'!$A$1:$O$103,15,0)),0,VLOOKUP($S$358,'TAR FIN'!$A$1:$O$103,15,0))</f>
        <v>0</v>
      </c>
      <c r="W358" s="6">
        <f>IF(ISERROR(VLOOKUP($T$358,'TAR FIN'!$A$1:$O$103,15,0)),0,VLOOKUP($T$358,'TAR FIN'!$A$1:$O$103,15,0))</f>
        <v>334.07</v>
      </c>
      <c r="X358" s="6">
        <f>IF(ISERROR(VLOOKUP($U$358,'TAR FIN'!$A$1:$O$103,15,0)),0,VLOOKUP($U$358,'TAR FIN'!$A$1:$O$103,15,0))</f>
        <v>224.55</v>
      </c>
      <c r="Y358" s="6"/>
      <c r="Z358" s="6">
        <f ca="1">('TUSD BE'!$AM$45+'TUSD BF'!$AM$45+'TUSD CVA'!$AM$45)*(1-CUSTOS!$M$38)</f>
        <v>453.14332034419533</v>
      </c>
      <c r="AA358" s="6">
        <f>('TE BE'!$AB$26+'TE BF'!$AB$26+'TE CVA'!$AB$26)*(1-CUSTOS!$M$38)</f>
        <v>219.98233758978921</v>
      </c>
      <c r="AB358" s="6">
        <f t="shared" si="20"/>
        <v>0</v>
      </c>
      <c r="AC358" s="6">
        <f>(L358-M358)*(W358+X358)+($W$247+$X$247-$W$358-$X$358)*(L358)</f>
        <v>171.76334999999989</v>
      </c>
      <c r="AD358" s="6">
        <f t="shared" si="21"/>
        <v>0</v>
      </c>
      <c r="AE358" s="6">
        <f ca="1">(L358-M358)*(Z358+AA358)+($Z$247+$AA$247-$Z$358-$AA$358)*(L358)</f>
        <v>96.887129274966085</v>
      </c>
      <c r="AF358" s="4" t="s">
        <v>811</v>
      </c>
    </row>
    <row r="359" spans="1:32" ht="11.25" customHeight="1" x14ac:dyDescent="0.3">
      <c r="A359" s="4" t="s">
        <v>21</v>
      </c>
      <c r="B359" s="4" t="s">
        <v>43</v>
      </c>
      <c r="C359" s="4" t="s">
        <v>23</v>
      </c>
      <c r="D359" s="4" t="s">
        <v>44</v>
      </c>
      <c r="E359" s="4" t="s">
        <v>56</v>
      </c>
      <c r="F359" s="4" t="s">
        <v>55</v>
      </c>
      <c r="G359" s="4" t="s">
        <v>25</v>
      </c>
      <c r="H359" s="4" t="s">
        <v>25</v>
      </c>
      <c r="I359" s="5">
        <v>44531</v>
      </c>
      <c r="J359" s="6">
        <v>0</v>
      </c>
      <c r="K359" s="6">
        <v>0</v>
      </c>
      <c r="L359" s="6">
        <v>19.251999999999999</v>
      </c>
      <c r="M359" s="6">
        <v>6.3531599999999999</v>
      </c>
      <c r="N359" s="6">
        <v>19.251999999999999</v>
      </c>
      <c r="O359" s="6">
        <v>6.3531599999999999</v>
      </c>
      <c r="P359" s="6">
        <v>0</v>
      </c>
      <c r="Q359" s="4" t="s">
        <v>26</v>
      </c>
      <c r="R359" s="4">
        <v>0</v>
      </c>
      <c r="S359" s="4">
        <v>0</v>
      </c>
      <c r="T359" s="4">
        <v>43</v>
      </c>
      <c r="U359" s="4">
        <v>84</v>
      </c>
      <c r="V359" s="6">
        <f>IF(ISERROR(VLOOKUP($S$359,'TAR FIN'!$A$1:$O$103,15,0)),0,VLOOKUP($S$359,'TAR FIN'!$A$1:$O$103,15,0))</f>
        <v>0</v>
      </c>
      <c r="W359" s="6">
        <f>IF(ISERROR(VLOOKUP($T$359,'TAR FIN'!$A$1:$O$103,15,0)),0,VLOOKUP($T$359,'TAR FIN'!$A$1:$O$103,15,0))</f>
        <v>334.07</v>
      </c>
      <c r="X359" s="6">
        <f>IF(ISERROR(VLOOKUP($U$359,'TAR FIN'!$A$1:$O$103,15,0)),0,VLOOKUP($U$359,'TAR FIN'!$A$1:$O$103,15,0))</f>
        <v>224.55</v>
      </c>
      <c r="Y359" s="6"/>
      <c r="Z359" s="6">
        <f ca="1">('TUSD BE'!$AM$45+'TUSD BF'!$AM$45+'TUSD CVA'!$AM$45)*(1-CUSTOS!$M$38)</f>
        <v>453.14332034419533</v>
      </c>
      <c r="AA359" s="6">
        <f>('TE BE'!$AB$26+'TE BF'!$AB$26+'TE CVA'!$AB$26)*(1-CUSTOS!$M$38)</f>
        <v>219.98233758978921</v>
      </c>
      <c r="AB359" s="6">
        <f t="shared" si="20"/>
        <v>0</v>
      </c>
      <c r="AC359" s="6">
        <f>(L359-M359)*(W359+X359)+($W$247+$X$247-$W$359-$X$359)*(L359)</f>
        <v>8671.9748407999996</v>
      </c>
      <c r="AD359" s="6">
        <f t="shared" si="21"/>
        <v>0</v>
      </c>
      <c r="AE359" s="6">
        <f ca="1">(L359-M359)*(Z359+AA359)+($Z$247+$AA$247-$Z$359-$AA$359)*(L359)</f>
        <v>9509.7113424284998</v>
      </c>
      <c r="AF359" s="4" t="s">
        <v>812</v>
      </c>
    </row>
    <row r="360" spans="1:32" ht="11.25" customHeight="1" x14ac:dyDescent="0.3">
      <c r="A360" s="4" t="s">
        <v>28</v>
      </c>
      <c r="B360" s="4" t="s">
        <v>43</v>
      </c>
      <c r="C360" s="4" t="s">
        <v>23</v>
      </c>
      <c r="D360" s="4" t="s">
        <v>44</v>
      </c>
      <c r="E360" s="4" t="s">
        <v>56</v>
      </c>
      <c r="F360" s="4" t="s">
        <v>55</v>
      </c>
      <c r="G360" s="4" t="s">
        <v>25</v>
      </c>
      <c r="H360" s="4" t="s">
        <v>25</v>
      </c>
      <c r="I360" s="5">
        <v>44531</v>
      </c>
      <c r="J360" s="6">
        <v>0</v>
      </c>
      <c r="K360" s="6">
        <v>0</v>
      </c>
      <c r="L360" s="6">
        <v>2.0499999999999998</v>
      </c>
      <c r="M360" s="6">
        <v>0.67649999999999999</v>
      </c>
      <c r="N360" s="6">
        <v>2.0499999999999998</v>
      </c>
      <c r="O360" s="6">
        <v>0.67649999999999999</v>
      </c>
      <c r="P360" s="6">
        <v>0</v>
      </c>
      <c r="Q360" s="4" t="s">
        <v>26</v>
      </c>
      <c r="R360" s="4">
        <v>0</v>
      </c>
      <c r="S360" s="4">
        <v>0</v>
      </c>
      <c r="T360" s="4">
        <v>43</v>
      </c>
      <c r="U360" s="4">
        <v>84</v>
      </c>
      <c r="V360" s="6">
        <f>IF(ISERROR(VLOOKUP($S$360,'TAR FIN'!$A$1:$O$103,15,0)),0,VLOOKUP($S$360,'TAR FIN'!$A$1:$O$103,15,0))</f>
        <v>0</v>
      </c>
      <c r="W360" s="6">
        <f>IF(ISERROR(VLOOKUP($T$360,'TAR FIN'!$A$1:$O$103,15,0)),0,VLOOKUP($T$360,'TAR FIN'!$A$1:$O$103,15,0))</f>
        <v>334.07</v>
      </c>
      <c r="X360" s="6">
        <f>IF(ISERROR(VLOOKUP($U$360,'TAR FIN'!$A$1:$O$103,15,0)),0,VLOOKUP($U$360,'TAR FIN'!$A$1:$O$103,15,0))</f>
        <v>224.55</v>
      </c>
      <c r="Y360" s="6"/>
      <c r="Z360" s="6">
        <f ca="1">('TUSD BE'!$AM$45+'TUSD BF'!$AM$45+'TUSD CVA'!$AM$45)*(1-CUSTOS!$M$38)</f>
        <v>453.14332034419533</v>
      </c>
      <c r="AA360" s="6">
        <f>('TE BE'!$AB$26+'TE BF'!$AB$26+'TE CVA'!$AB$26)*(1-CUSTOS!$M$38)</f>
        <v>219.98233758978921</v>
      </c>
      <c r="AB360" s="6">
        <f t="shared" si="20"/>
        <v>0</v>
      </c>
      <c r="AC360" s="6">
        <f>(L360-M360)*(W360+X360)+($W$247+$X$247-$W$360-$X$360)*(L360)</f>
        <v>923.41306999999983</v>
      </c>
      <c r="AD360" s="6">
        <f t="shared" si="21"/>
        <v>0</v>
      </c>
      <c r="AE360" s="6">
        <f ca="1">(L360-M360)*(Z360+AA360)+($Z$247+$AA$247-$Z$360-$AA$360)*(L360)</f>
        <v>1012.617299604115</v>
      </c>
      <c r="AF360" s="4" t="s">
        <v>812</v>
      </c>
    </row>
    <row r="361" spans="1:32" ht="11.25" customHeight="1" x14ac:dyDescent="0.3">
      <c r="A361" s="4" t="s">
        <v>21</v>
      </c>
      <c r="B361" s="4" t="s">
        <v>43</v>
      </c>
      <c r="C361" s="4" t="s">
        <v>23</v>
      </c>
      <c r="D361" s="4" t="s">
        <v>44</v>
      </c>
      <c r="E361" s="4" t="s">
        <v>56</v>
      </c>
      <c r="F361" s="4" t="s">
        <v>55</v>
      </c>
      <c r="G361" s="4" t="s">
        <v>25</v>
      </c>
      <c r="H361" s="4" t="s">
        <v>25</v>
      </c>
      <c r="I361" s="5">
        <v>44562</v>
      </c>
      <c r="J361" s="6">
        <v>0</v>
      </c>
      <c r="K361" s="6">
        <v>0</v>
      </c>
      <c r="L361" s="6">
        <v>18.866</v>
      </c>
      <c r="M361" s="6">
        <v>6.2257800000000003</v>
      </c>
      <c r="N361" s="6">
        <v>18.866</v>
      </c>
      <c r="O361" s="6">
        <v>6.2257800000000003</v>
      </c>
      <c r="P361" s="6">
        <v>0</v>
      </c>
      <c r="Q361" s="4" t="s">
        <v>26</v>
      </c>
      <c r="R361" s="4">
        <v>0</v>
      </c>
      <c r="S361" s="4">
        <v>0</v>
      </c>
      <c r="T361" s="4">
        <v>43</v>
      </c>
      <c r="U361" s="4">
        <v>84</v>
      </c>
      <c r="V361" s="6">
        <f>IF(ISERROR(VLOOKUP($S$361,'TAR FIN'!$A$1:$O$103,15,0)),0,VLOOKUP($S$361,'TAR FIN'!$A$1:$O$103,15,0))</f>
        <v>0</v>
      </c>
      <c r="W361" s="6">
        <f>IF(ISERROR(VLOOKUP($T$361,'TAR FIN'!$A$1:$O$103,15,0)),0,VLOOKUP($T$361,'TAR FIN'!$A$1:$O$103,15,0))</f>
        <v>334.07</v>
      </c>
      <c r="X361" s="6">
        <f>IF(ISERROR(VLOOKUP($U$361,'TAR FIN'!$A$1:$O$103,15,0)),0,VLOOKUP($U$361,'TAR FIN'!$A$1:$O$103,15,0))</f>
        <v>224.55</v>
      </c>
      <c r="Y361" s="6"/>
      <c r="Z361" s="6">
        <f ca="1">('TUSD BE'!$AM$45+'TUSD BF'!$AM$45+'TUSD CVA'!$AM$45)*(1-CUSTOS!$M$38)</f>
        <v>453.14332034419533</v>
      </c>
      <c r="AA361" s="6">
        <f>('TE BE'!$AB$26+'TE BF'!$AB$26+'TE CVA'!$AB$26)*(1-CUSTOS!$M$38)</f>
        <v>219.98233758978921</v>
      </c>
      <c r="AB361" s="6">
        <f t="shared" si="20"/>
        <v>0</v>
      </c>
      <c r="AC361" s="6">
        <f>(L361-M361)*(W361+X361)+($W$247+$X$247-$W$361-$X$361)*(L361)</f>
        <v>8498.1029163999992</v>
      </c>
      <c r="AD361" s="6">
        <f t="shared" si="21"/>
        <v>0</v>
      </c>
      <c r="AE361" s="6">
        <f ca="1">(L361-M361)*(Z361+AA361)+($Z$247+$AA$247-$Z$361-$AA$361)*(L361)</f>
        <v>9319.04291430792</v>
      </c>
      <c r="AF361" s="4" t="s">
        <v>812</v>
      </c>
    </row>
    <row r="362" spans="1:32" ht="11.25" customHeight="1" x14ac:dyDescent="0.3">
      <c r="A362" s="4" t="s">
        <v>28</v>
      </c>
      <c r="B362" s="4" t="s">
        <v>43</v>
      </c>
      <c r="C362" s="4" t="s">
        <v>23</v>
      </c>
      <c r="D362" s="4" t="s">
        <v>44</v>
      </c>
      <c r="E362" s="4" t="s">
        <v>56</v>
      </c>
      <c r="F362" s="4" t="s">
        <v>55</v>
      </c>
      <c r="G362" s="4" t="s">
        <v>25</v>
      </c>
      <c r="H362" s="4" t="s">
        <v>25</v>
      </c>
      <c r="I362" s="5">
        <v>44562</v>
      </c>
      <c r="J362" s="6">
        <v>0</v>
      </c>
      <c r="K362" s="6">
        <v>0</v>
      </c>
      <c r="L362" s="6">
        <v>2.2549999999999999</v>
      </c>
      <c r="M362" s="6">
        <v>0.74414999999999998</v>
      </c>
      <c r="N362" s="6">
        <v>2.2549999999999999</v>
      </c>
      <c r="O362" s="6">
        <v>0.74414999999999998</v>
      </c>
      <c r="P362" s="6">
        <v>0</v>
      </c>
      <c r="Q362" s="4" t="s">
        <v>26</v>
      </c>
      <c r="R362" s="4">
        <v>0</v>
      </c>
      <c r="S362" s="4">
        <v>0</v>
      </c>
      <c r="T362" s="4">
        <v>43</v>
      </c>
      <c r="U362" s="4">
        <v>84</v>
      </c>
      <c r="V362" s="6">
        <f>IF(ISERROR(VLOOKUP($S$362,'TAR FIN'!$A$1:$O$103,15,0)),0,VLOOKUP($S$362,'TAR FIN'!$A$1:$O$103,15,0))</f>
        <v>0</v>
      </c>
      <c r="W362" s="6">
        <f>IF(ISERROR(VLOOKUP($T$362,'TAR FIN'!$A$1:$O$103,15,0)),0,VLOOKUP($T$362,'TAR FIN'!$A$1:$O$103,15,0))</f>
        <v>334.07</v>
      </c>
      <c r="X362" s="6">
        <f>IF(ISERROR(VLOOKUP($U$362,'TAR FIN'!$A$1:$O$103,15,0)),0,VLOOKUP($U$362,'TAR FIN'!$A$1:$O$103,15,0))</f>
        <v>224.55</v>
      </c>
      <c r="Y362" s="6"/>
      <c r="Z362" s="6">
        <f ca="1">('TUSD BE'!$AM$45+'TUSD BF'!$AM$45+'TUSD CVA'!$AM$45)*(1-CUSTOS!$M$38)</f>
        <v>453.14332034419533</v>
      </c>
      <c r="AA362" s="6">
        <f>('TE BE'!$AB$26+'TE BF'!$AB$26+'TE CVA'!$AB$26)*(1-CUSTOS!$M$38)</f>
        <v>219.98233758978921</v>
      </c>
      <c r="AB362" s="6">
        <f t="shared" si="20"/>
        <v>0</v>
      </c>
      <c r="AC362" s="6">
        <f>(L362-M362)*(W362+X362)+($W$247+$X$247-$W$362-$X$362)*(L362)</f>
        <v>1015.754377</v>
      </c>
      <c r="AD362" s="6">
        <f t="shared" si="21"/>
        <v>0</v>
      </c>
      <c r="AE362" s="6">
        <f ca="1">(L362-M362)*(Z362+AA362)+($Z$247+$AA$247-$Z$362-$AA$362)*(L362)</f>
        <v>1113.8790295645265</v>
      </c>
      <c r="AF362" s="4" t="s">
        <v>812</v>
      </c>
    </row>
    <row r="363" spans="1:32" ht="11.25" customHeight="1" x14ac:dyDescent="0.3">
      <c r="A363" s="4" t="s">
        <v>21</v>
      </c>
      <c r="B363" s="4" t="s">
        <v>43</v>
      </c>
      <c r="C363" s="4" t="s">
        <v>23</v>
      </c>
      <c r="D363" s="4" t="s">
        <v>44</v>
      </c>
      <c r="E363" s="4" t="s">
        <v>56</v>
      </c>
      <c r="F363" s="4" t="s">
        <v>55</v>
      </c>
      <c r="G363" s="4" t="s">
        <v>25</v>
      </c>
      <c r="H363" s="4" t="s">
        <v>25</v>
      </c>
      <c r="I363" s="5">
        <v>44593</v>
      </c>
      <c r="J363" s="6">
        <v>0</v>
      </c>
      <c r="K363" s="6">
        <v>0</v>
      </c>
      <c r="L363" s="6">
        <v>17.338000000000001</v>
      </c>
      <c r="M363" s="6">
        <v>5.7215400000000001</v>
      </c>
      <c r="N363" s="6">
        <v>17.338000000000001</v>
      </c>
      <c r="O363" s="6">
        <v>5.7215400000000001</v>
      </c>
      <c r="P363" s="6">
        <v>0</v>
      </c>
      <c r="Q363" s="4" t="s">
        <v>26</v>
      </c>
      <c r="R363" s="4">
        <v>0</v>
      </c>
      <c r="S363" s="4">
        <v>0</v>
      </c>
      <c r="T363" s="4">
        <v>43</v>
      </c>
      <c r="U363" s="4">
        <v>84</v>
      </c>
      <c r="V363" s="6">
        <f>IF(ISERROR(VLOOKUP($S$363,'TAR FIN'!$A$1:$O$103,15,0)),0,VLOOKUP($S$363,'TAR FIN'!$A$1:$O$103,15,0))</f>
        <v>0</v>
      </c>
      <c r="W363" s="6">
        <f>IF(ISERROR(VLOOKUP($T$363,'TAR FIN'!$A$1:$O$103,15,0)),0,VLOOKUP($T$363,'TAR FIN'!$A$1:$O$103,15,0))</f>
        <v>334.07</v>
      </c>
      <c r="X363" s="6">
        <f>IF(ISERROR(VLOOKUP($U$363,'TAR FIN'!$A$1:$O$103,15,0)),0,VLOOKUP($U$363,'TAR FIN'!$A$1:$O$103,15,0))</f>
        <v>224.55</v>
      </c>
      <c r="Y363" s="6"/>
      <c r="Z363" s="6">
        <f ca="1">('TUSD BE'!$AM$45+'TUSD BF'!$AM$45+'TUSD CVA'!$AM$45)*(1-CUSTOS!$M$38)</f>
        <v>453.14332034419533</v>
      </c>
      <c r="AA363" s="6">
        <f>('TE BE'!$AB$26+'TE BF'!$AB$26+'TE CVA'!$AB$26)*(1-CUSTOS!$M$38)</f>
        <v>219.98233758978921</v>
      </c>
      <c r="AB363" s="6">
        <f t="shared" si="20"/>
        <v>0</v>
      </c>
      <c r="AC363" s="6">
        <f>(L363-M363)*(W363+X363)+($W$247+$X$247-$W$363-$X$363)*(L363)</f>
        <v>7809.8223451999993</v>
      </c>
      <c r="AD363" s="6">
        <f t="shared" si="21"/>
        <v>0</v>
      </c>
      <c r="AE363" s="6">
        <f ca="1">(L363-M363)*(Z363+AA363)+($Z$247+$AA$247-$Z$363-$AA$363)*(L363)</f>
        <v>8564.2725563590957</v>
      </c>
      <c r="AF363" s="4" t="s">
        <v>812</v>
      </c>
    </row>
    <row r="364" spans="1:32" ht="11.25" customHeight="1" x14ac:dyDescent="0.3">
      <c r="A364" s="4" t="s">
        <v>28</v>
      </c>
      <c r="B364" s="4" t="s">
        <v>43</v>
      </c>
      <c r="C364" s="4" t="s">
        <v>23</v>
      </c>
      <c r="D364" s="4" t="s">
        <v>44</v>
      </c>
      <c r="E364" s="4" t="s">
        <v>56</v>
      </c>
      <c r="F364" s="4" t="s">
        <v>55</v>
      </c>
      <c r="G364" s="4" t="s">
        <v>25</v>
      </c>
      <c r="H364" s="4" t="s">
        <v>25</v>
      </c>
      <c r="I364" s="5">
        <v>44593</v>
      </c>
      <c r="J364" s="6">
        <v>0</v>
      </c>
      <c r="K364" s="6">
        <v>0</v>
      </c>
      <c r="L364" s="6">
        <v>1.968</v>
      </c>
      <c r="M364" s="6">
        <v>0.64944000000000002</v>
      </c>
      <c r="N364" s="6">
        <v>1.968</v>
      </c>
      <c r="O364" s="6">
        <v>0.64944000000000002</v>
      </c>
      <c r="P364" s="6">
        <v>0</v>
      </c>
      <c r="Q364" s="4" t="s">
        <v>26</v>
      </c>
      <c r="R364" s="4">
        <v>0</v>
      </c>
      <c r="S364" s="4">
        <v>0</v>
      </c>
      <c r="T364" s="4">
        <v>43</v>
      </c>
      <c r="U364" s="4">
        <v>84</v>
      </c>
      <c r="V364" s="6">
        <f>IF(ISERROR(VLOOKUP($S$364,'TAR FIN'!$A$1:$O$103,15,0)),0,VLOOKUP($S$364,'TAR FIN'!$A$1:$O$103,15,0))</f>
        <v>0</v>
      </c>
      <c r="W364" s="6">
        <f>IF(ISERROR(VLOOKUP($T$364,'TAR FIN'!$A$1:$O$103,15,0)),0,VLOOKUP($T$364,'TAR FIN'!$A$1:$O$103,15,0))</f>
        <v>334.07</v>
      </c>
      <c r="X364" s="6">
        <f>IF(ISERROR(VLOOKUP($U$364,'TAR FIN'!$A$1:$O$103,15,0)),0,VLOOKUP($U$364,'TAR FIN'!$A$1:$O$103,15,0))</f>
        <v>224.55</v>
      </c>
      <c r="Y364" s="6"/>
      <c r="Z364" s="6">
        <f ca="1">('TUSD BE'!$AM$45+'TUSD BF'!$AM$45+'TUSD CVA'!$AM$45)*(1-CUSTOS!$M$38)</f>
        <v>453.14332034419533</v>
      </c>
      <c r="AA364" s="6">
        <f>('TE BE'!$AB$26+'TE BF'!$AB$26+'TE CVA'!$AB$26)*(1-CUSTOS!$M$38)</f>
        <v>219.98233758978921</v>
      </c>
      <c r="AB364" s="6">
        <f t="shared" si="20"/>
        <v>0</v>
      </c>
      <c r="AC364" s="6">
        <f>(L364-M364)*(W364+X364)+($W$247+$X$247-$W$364-$X$364)*(L364)</f>
        <v>886.47654719999991</v>
      </c>
      <c r="AD364" s="6">
        <f t="shared" si="21"/>
        <v>0</v>
      </c>
      <c r="AE364" s="6">
        <f ca="1">(L364-M364)*(Z364+AA364)+($Z$247+$AA$247-$Z$364-$AA$364)*(L364)</f>
        <v>972.11260761995038</v>
      </c>
      <c r="AF364" s="4" t="s">
        <v>812</v>
      </c>
    </row>
    <row r="365" spans="1:32" ht="11.25" customHeight="1" x14ac:dyDescent="0.3">
      <c r="A365" s="4" t="s">
        <v>21</v>
      </c>
      <c r="B365" s="4" t="s">
        <v>43</v>
      </c>
      <c r="C365" s="4" t="s">
        <v>23</v>
      </c>
      <c r="D365" s="4" t="s">
        <v>44</v>
      </c>
      <c r="E365" s="4" t="s">
        <v>56</v>
      </c>
      <c r="F365" s="4" t="s">
        <v>55</v>
      </c>
      <c r="G365" s="4" t="s">
        <v>25</v>
      </c>
      <c r="H365" s="4" t="s">
        <v>25</v>
      </c>
      <c r="I365" s="5">
        <v>44621</v>
      </c>
      <c r="J365" s="6">
        <v>0</v>
      </c>
      <c r="K365" s="6">
        <v>0</v>
      </c>
      <c r="L365" s="6">
        <v>17.251999999999999</v>
      </c>
      <c r="M365" s="6">
        <v>5.6931599999999998</v>
      </c>
      <c r="N365" s="6">
        <v>17.251999999999999</v>
      </c>
      <c r="O365" s="6">
        <v>5.6931599999999998</v>
      </c>
      <c r="P365" s="6">
        <v>0</v>
      </c>
      <c r="Q365" s="4" t="s">
        <v>26</v>
      </c>
      <c r="R365" s="4">
        <v>0</v>
      </c>
      <c r="S365" s="4">
        <v>0</v>
      </c>
      <c r="T365" s="4">
        <v>43</v>
      </c>
      <c r="U365" s="4">
        <v>84</v>
      </c>
      <c r="V365" s="6">
        <f>IF(ISERROR(VLOOKUP($S$365,'TAR FIN'!$A$1:$O$103,15,0)),0,VLOOKUP($S$365,'TAR FIN'!$A$1:$O$103,15,0))</f>
        <v>0</v>
      </c>
      <c r="W365" s="6">
        <f>IF(ISERROR(VLOOKUP($T$365,'TAR FIN'!$A$1:$O$103,15,0)),0,VLOOKUP($T$365,'TAR FIN'!$A$1:$O$103,15,0))</f>
        <v>334.07</v>
      </c>
      <c r="X365" s="6">
        <f>IF(ISERROR(VLOOKUP($U$365,'TAR FIN'!$A$1:$O$103,15,0)),0,VLOOKUP($U$365,'TAR FIN'!$A$1:$O$103,15,0))</f>
        <v>224.55</v>
      </c>
      <c r="Y365" s="6"/>
      <c r="Z365" s="6">
        <f ca="1">('TUSD BE'!$AM$45+'TUSD BF'!$AM$45+'TUSD CVA'!$AM$45)*(1-CUSTOS!$M$38)</f>
        <v>453.14332034419533</v>
      </c>
      <c r="AA365" s="6">
        <f>('TE BE'!$AB$26+'TE BF'!$AB$26+'TE CVA'!$AB$26)*(1-CUSTOS!$M$38)</f>
        <v>219.98233758978921</v>
      </c>
      <c r="AB365" s="6">
        <f t="shared" si="20"/>
        <v>0</v>
      </c>
      <c r="AC365" s="6">
        <f>(L365-M365)*(W365+X365)+($W$247+$X$247-$W$365-$X$365)*(L365)</f>
        <v>7771.0840407999995</v>
      </c>
      <c r="AD365" s="6">
        <f t="shared" si="21"/>
        <v>0</v>
      </c>
      <c r="AE365" s="6">
        <f ca="1">(L365-M365)*(Z365+AA365)+($Z$247+$AA$247-$Z$365-$AA$365)*(L365)</f>
        <v>8521.7920257415572</v>
      </c>
      <c r="AF365" s="4" t="s">
        <v>812</v>
      </c>
    </row>
    <row r="366" spans="1:32" ht="11.25" customHeight="1" x14ac:dyDescent="0.3">
      <c r="A366" s="4" t="s">
        <v>28</v>
      </c>
      <c r="B366" s="4" t="s">
        <v>43</v>
      </c>
      <c r="C366" s="4" t="s">
        <v>23</v>
      </c>
      <c r="D366" s="4" t="s">
        <v>44</v>
      </c>
      <c r="E366" s="4" t="s">
        <v>56</v>
      </c>
      <c r="F366" s="4" t="s">
        <v>55</v>
      </c>
      <c r="G366" s="4" t="s">
        <v>25</v>
      </c>
      <c r="H366" s="4" t="s">
        <v>25</v>
      </c>
      <c r="I366" s="5">
        <v>44621</v>
      </c>
      <c r="J366" s="6">
        <v>0</v>
      </c>
      <c r="K366" s="6">
        <v>0</v>
      </c>
      <c r="L366" s="6">
        <v>1.64</v>
      </c>
      <c r="M366" s="6">
        <v>0.54120000000000001</v>
      </c>
      <c r="N366" s="6">
        <v>1.64</v>
      </c>
      <c r="O366" s="6">
        <v>0.54120000000000001</v>
      </c>
      <c r="P366" s="6">
        <v>0</v>
      </c>
      <c r="Q366" s="4" t="s">
        <v>26</v>
      </c>
      <c r="R366" s="4">
        <v>0</v>
      </c>
      <c r="S366" s="4">
        <v>0</v>
      </c>
      <c r="T366" s="4">
        <v>43</v>
      </c>
      <c r="U366" s="4">
        <v>84</v>
      </c>
      <c r="V366" s="6">
        <f>IF(ISERROR(VLOOKUP($S$366,'TAR FIN'!$A$1:$O$103,15,0)),0,VLOOKUP($S$366,'TAR FIN'!$A$1:$O$103,15,0))</f>
        <v>0</v>
      </c>
      <c r="W366" s="6">
        <f>IF(ISERROR(VLOOKUP($T$366,'TAR FIN'!$A$1:$O$103,15,0)),0,VLOOKUP($T$366,'TAR FIN'!$A$1:$O$103,15,0))</f>
        <v>334.07</v>
      </c>
      <c r="X366" s="6">
        <f>IF(ISERROR(VLOOKUP($U$366,'TAR FIN'!$A$1:$O$103,15,0)),0,VLOOKUP($U$366,'TAR FIN'!$A$1:$O$103,15,0))</f>
        <v>224.55</v>
      </c>
      <c r="Y366" s="6"/>
      <c r="Z366" s="6">
        <f ca="1">('TUSD BE'!$AM$45+'TUSD BF'!$AM$45+'TUSD CVA'!$AM$45)*(1-CUSTOS!$M$38)</f>
        <v>453.14332034419533</v>
      </c>
      <c r="AA366" s="6">
        <f>('TE BE'!$AB$26+'TE BF'!$AB$26+'TE CVA'!$AB$26)*(1-CUSTOS!$M$38)</f>
        <v>219.98233758978921</v>
      </c>
      <c r="AB366" s="6">
        <f t="shared" si="20"/>
        <v>0</v>
      </c>
      <c r="AC366" s="6">
        <f>(L366-M366)*(W366+X366)+($W$247+$X$247-$W$366-$X$366)*(L366)</f>
        <v>738.73045599999978</v>
      </c>
      <c r="AD366" s="6">
        <f t="shared" si="21"/>
        <v>0</v>
      </c>
      <c r="AE366" s="6">
        <f ca="1">(L366-M366)*(Z366+AA366)+($Z$247+$AA$247-$Z$366-$AA$366)*(L366)</f>
        <v>810.09383968329189</v>
      </c>
      <c r="AF366" s="4" t="s">
        <v>812</v>
      </c>
    </row>
    <row r="367" spans="1:32" ht="11.25" customHeight="1" x14ac:dyDescent="0.3">
      <c r="A367" s="4" t="s">
        <v>21</v>
      </c>
      <c r="B367" s="4" t="s">
        <v>43</v>
      </c>
      <c r="C367" s="4" t="s">
        <v>23</v>
      </c>
      <c r="D367" s="4" t="s">
        <v>44</v>
      </c>
      <c r="E367" s="4" t="s">
        <v>56</v>
      </c>
      <c r="F367" s="4" t="s">
        <v>55</v>
      </c>
      <c r="G367" s="4" t="s">
        <v>25</v>
      </c>
      <c r="H367" s="4" t="s">
        <v>25</v>
      </c>
      <c r="I367" s="5">
        <v>44652</v>
      </c>
      <c r="J367" s="6">
        <v>0</v>
      </c>
      <c r="K367" s="6">
        <v>0</v>
      </c>
      <c r="L367" s="6">
        <v>18.675999999999998</v>
      </c>
      <c r="M367" s="6">
        <v>6.1630799999999999</v>
      </c>
      <c r="N367" s="6">
        <v>18.675999999999998</v>
      </c>
      <c r="O367" s="6">
        <v>6.1630799999999999</v>
      </c>
      <c r="P367" s="6">
        <v>0</v>
      </c>
      <c r="Q367" s="4" t="s">
        <v>26</v>
      </c>
      <c r="R367" s="4">
        <v>0</v>
      </c>
      <c r="S367" s="4">
        <v>0</v>
      </c>
      <c r="T367" s="4">
        <v>43</v>
      </c>
      <c r="U367" s="4">
        <v>84</v>
      </c>
      <c r="V367" s="6">
        <f>IF(ISERROR(VLOOKUP($S$367,'TAR FIN'!$A$1:$O$103,15,0)),0,VLOOKUP($S$367,'TAR FIN'!$A$1:$O$103,15,0))</f>
        <v>0</v>
      </c>
      <c r="W367" s="6">
        <f>IF(ISERROR(VLOOKUP($T$367,'TAR FIN'!$A$1:$O$103,15,0)),0,VLOOKUP($T$367,'TAR FIN'!$A$1:$O$103,15,0))</f>
        <v>334.07</v>
      </c>
      <c r="X367" s="6">
        <f>IF(ISERROR(VLOOKUP($U$367,'TAR FIN'!$A$1:$O$103,15,0)),0,VLOOKUP($U$367,'TAR FIN'!$A$1:$O$103,15,0))</f>
        <v>224.55</v>
      </c>
      <c r="Y367" s="6"/>
      <c r="Z367" s="6">
        <f ca="1">('TUSD BE'!$AM$45+'TUSD BF'!$AM$45+'TUSD CVA'!$AM$45)*(1-CUSTOS!$M$38)</f>
        <v>453.14332034419533</v>
      </c>
      <c r="AA367" s="6">
        <f>('TE BE'!$AB$26+'TE BF'!$AB$26+'TE CVA'!$AB$26)*(1-CUSTOS!$M$38)</f>
        <v>219.98233758978921</v>
      </c>
      <c r="AB367" s="6">
        <f t="shared" si="20"/>
        <v>0</v>
      </c>
      <c r="AC367" s="6">
        <f>(L367-M367)*(W367+X367)+($W$247+$X$247-$W$367-$X$367)*(L367)</f>
        <v>8412.5182903999976</v>
      </c>
      <c r="AD367" s="6">
        <f t="shared" si="21"/>
        <v>0</v>
      </c>
      <c r="AE367" s="6">
        <f ca="1">(L367-M367)*(Z367+AA367)+($Z$247+$AA$247-$Z$367-$AA$367)*(L367)</f>
        <v>9225.1905792226571</v>
      </c>
      <c r="AF367" s="4" t="s">
        <v>812</v>
      </c>
    </row>
    <row r="368" spans="1:32" ht="11.25" customHeight="1" x14ac:dyDescent="0.3">
      <c r="A368" s="4" t="s">
        <v>28</v>
      </c>
      <c r="B368" s="4" t="s">
        <v>43</v>
      </c>
      <c r="C368" s="4" t="s">
        <v>23</v>
      </c>
      <c r="D368" s="4" t="s">
        <v>44</v>
      </c>
      <c r="E368" s="4" t="s">
        <v>56</v>
      </c>
      <c r="F368" s="4" t="s">
        <v>55</v>
      </c>
      <c r="G368" s="4" t="s">
        <v>25</v>
      </c>
      <c r="H368" s="4" t="s">
        <v>25</v>
      </c>
      <c r="I368" s="5">
        <v>44652</v>
      </c>
      <c r="J368" s="6">
        <v>0</v>
      </c>
      <c r="K368" s="6">
        <v>0</v>
      </c>
      <c r="L368" s="6">
        <v>2.0499999999999998</v>
      </c>
      <c r="M368" s="6">
        <v>0.67649999999999999</v>
      </c>
      <c r="N368" s="6">
        <v>2.0499999999999998</v>
      </c>
      <c r="O368" s="6">
        <v>0.67649999999999999</v>
      </c>
      <c r="P368" s="6">
        <v>0</v>
      </c>
      <c r="Q368" s="4" t="s">
        <v>26</v>
      </c>
      <c r="R368" s="4">
        <v>0</v>
      </c>
      <c r="S368" s="4">
        <v>0</v>
      </c>
      <c r="T368" s="4">
        <v>43</v>
      </c>
      <c r="U368" s="4">
        <v>84</v>
      </c>
      <c r="V368" s="6">
        <f>IF(ISERROR(VLOOKUP($S$368,'TAR FIN'!$A$1:$O$103,15,0)),0,VLOOKUP($S$368,'TAR FIN'!$A$1:$O$103,15,0))</f>
        <v>0</v>
      </c>
      <c r="W368" s="6">
        <f>IF(ISERROR(VLOOKUP($T$368,'TAR FIN'!$A$1:$O$103,15,0)),0,VLOOKUP($T$368,'TAR FIN'!$A$1:$O$103,15,0))</f>
        <v>334.07</v>
      </c>
      <c r="X368" s="6">
        <f>IF(ISERROR(VLOOKUP($U$368,'TAR FIN'!$A$1:$O$103,15,0)),0,VLOOKUP($U$368,'TAR FIN'!$A$1:$O$103,15,0))</f>
        <v>224.55</v>
      </c>
      <c r="Y368" s="6"/>
      <c r="Z368" s="6">
        <f ca="1">('TUSD BE'!$AM$45+'TUSD BF'!$AM$45+'TUSD CVA'!$AM$45)*(1-CUSTOS!$M$38)</f>
        <v>453.14332034419533</v>
      </c>
      <c r="AA368" s="6">
        <f>('TE BE'!$AB$26+'TE BF'!$AB$26+'TE CVA'!$AB$26)*(1-CUSTOS!$M$38)</f>
        <v>219.98233758978921</v>
      </c>
      <c r="AB368" s="6">
        <f t="shared" si="20"/>
        <v>0</v>
      </c>
      <c r="AC368" s="6">
        <f>(L368-M368)*(W368+X368)+($W$247+$X$247-$W$368-$X$368)*(L368)</f>
        <v>923.41306999999983</v>
      </c>
      <c r="AD368" s="6">
        <f t="shared" si="21"/>
        <v>0</v>
      </c>
      <c r="AE368" s="6">
        <f ca="1">(L368-M368)*(Z368+AA368)+($Z$247+$AA$247-$Z$368-$AA$368)*(L368)</f>
        <v>1012.617299604115</v>
      </c>
      <c r="AF368" s="4" t="s">
        <v>812</v>
      </c>
    </row>
    <row r="369" spans="1:32" ht="11.25" customHeight="1" x14ac:dyDescent="0.3">
      <c r="A369" s="4" t="s">
        <v>21</v>
      </c>
      <c r="B369" s="4" t="s">
        <v>43</v>
      </c>
      <c r="C369" s="4" t="s">
        <v>23</v>
      </c>
      <c r="D369" s="4" t="s">
        <v>44</v>
      </c>
      <c r="E369" s="4" t="s">
        <v>56</v>
      </c>
      <c r="F369" s="4" t="s">
        <v>55</v>
      </c>
      <c r="G369" s="4" t="s">
        <v>25</v>
      </c>
      <c r="H369" s="4" t="s">
        <v>25</v>
      </c>
      <c r="I369" s="5">
        <v>44682</v>
      </c>
      <c r="J369" s="6">
        <v>0</v>
      </c>
      <c r="K369" s="6">
        <v>0</v>
      </c>
      <c r="L369" s="6">
        <v>17.824999999999999</v>
      </c>
      <c r="M369" s="6">
        <v>5.88225</v>
      </c>
      <c r="N369" s="6">
        <v>17.824999999999999</v>
      </c>
      <c r="O369" s="6">
        <v>5.88225</v>
      </c>
      <c r="P369" s="6">
        <v>0</v>
      </c>
      <c r="Q369" s="4" t="s">
        <v>26</v>
      </c>
      <c r="R369" s="4">
        <v>0</v>
      </c>
      <c r="S369" s="4">
        <v>0</v>
      </c>
      <c r="T369" s="4">
        <v>43</v>
      </c>
      <c r="U369" s="4">
        <v>84</v>
      </c>
      <c r="V369" s="6">
        <f>IF(ISERROR(VLOOKUP($S$369,'TAR FIN'!$A$1:$O$103,15,0)),0,VLOOKUP($S$369,'TAR FIN'!$A$1:$O$103,15,0))</f>
        <v>0</v>
      </c>
      <c r="W369" s="6">
        <f>IF(ISERROR(VLOOKUP($T$369,'TAR FIN'!$A$1:$O$103,15,0)),0,VLOOKUP($T$369,'TAR FIN'!$A$1:$O$103,15,0))</f>
        <v>334.07</v>
      </c>
      <c r="X369" s="6">
        <f>IF(ISERROR(VLOOKUP($U$369,'TAR FIN'!$A$1:$O$103,15,0)),0,VLOOKUP($U$369,'TAR FIN'!$A$1:$O$103,15,0))</f>
        <v>224.55</v>
      </c>
      <c r="Y369" s="6"/>
      <c r="Z369" s="6">
        <f ca="1">('TUSD BE'!$AM$45+'TUSD BF'!$AM$45+'TUSD CVA'!$AM$45)*(1-CUSTOS!$M$38)</f>
        <v>453.14332034419533</v>
      </c>
      <c r="AA369" s="6">
        <f>('TE BE'!$AB$26+'TE BF'!$AB$26+'TE CVA'!$AB$26)*(1-CUSTOS!$M$38)</f>
        <v>219.98233758978921</v>
      </c>
      <c r="AB369" s="6">
        <f t="shared" si="20"/>
        <v>0</v>
      </c>
      <c r="AC369" s="6">
        <f>(L369-M369)*(W369+X369)+($W$247+$X$247-$W$369-$X$369)*(L369)</f>
        <v>8029.1892549999993</v>
      </c>
      <c r="AD369" s="6">
        <f t="shared" si="21"/>
        <v>0</v>
      </c>
      <c r="AE369" s="6">
        <f ca="1">(L369-M369)*(Z369+AA369)+($Z$247+$AA$247-$Z$369-$AA$369)*(L369)</f>
        <v>8804.8309099723665</v>
      </c>
      <c r="AF369" s="4" t="s">
        <v>812</v>
      </c>
    </row>
    <row r="370" spans="1:32" ht="11.25" customHeight="1" x14ac:dyDescent="0.3">
      <c r="A370" s="4" t="s">
        <v>28</v>
      </c>
      <c r="B370" s="4" t="s">
        <v>43</v>
      </c>
      <c r="C370" s="4" t="s">
        <v>23</v>
      </c>
      <c r="D370" s="4" t="s">
        <v>44</v>
      </c>
      <c r="E370" s="4" t="s">
        <v>56</v>
      </c>
      <c r="F370" s="4" t="s">
        <v>55</v>
      </c>
      <c r="G370" s="4" t="s">
        <v>25</v>
      </c>
      <c r="H370" s="4" t="s">
        <v>25</v>
      </c>
      <c r="I370" s="5">
        <v>44682</v>
      </c>
      <c r="J370" s="6">
        <v>0</v>
      </c>
      <c r="K370" s="6">
        <v>0</v>
      </c>
      <c r="L370" s="6">
        <v>2.7469999999999999</v>
      </c>
      <c r="M370" s="6">
        <v>0.90651000000000004</v>
      </c>
      <c r="N370" s="6">
        <v>2.7469999999999999</v>
      </c>
      <c r="O370" s="6">
        <v>0.90651000000000004</v>
      </c>
      <c r="P370" s="6">
        <v>0</v>
      </c>
      <c r="Q370" s="4" t="s">
        <v>26</v>
      </c>
      <c r="R370" s="4">
        <v>0</v>
      </c>
      <c r="S370" s="4">
        <v>0</v>
      </c>
      <c r="T370" s="4">
        <v>43</v>
      </c>
      <c r="U370" s="4">
        <v>84</v>
      </c>
      <c r="V370" s="6">
        <f>IF(ISERROR(VLOOKUP($S$370,'TAR FIN'!$A$1:$O$103,15,0)),0,VLOOKUP($S$370,'TAR FIN'!$A$1:$O$103,15,0))</f>
        <v>0</v>
      </c>
      <c r="W370" s="6">
        <f>IF(ISERROR(VLOOKUP($T$370,'TAR FIN'!$A$1:$O$103,15,0)),0,VLOOKUP($T$370,'TAR FIN'!$A$1:$O$103,15,0))</f>
        <v>334.07</v>
      </c>
      <c r="X370" s="6">
        <f>IF(ISERROR(VLOOKUP($U$370,'TAR FIN'!$A$1:$O$103,15,0)),0,VLOOKUP($U$370,'TAR FIN'!$A$1:$O$103,15,0))</f>
        <v>224.55</v>
      </c>
      <c r="Y370" s="6"/>
      <c r="Z370" s="6">
        <f ca="1">('TUSD BE'!$AM$45+'TUSD BF'!$AM$45+'TUSD CVA'!$AM$45)*(1-CUSTOS!$M$38)</f>
        <v>453.14332034419533</v>
      </c>
      <c r="AA370" s="6">
        <f>('TE BE'!$AB$26+'TE BF'!$AB$26+'TE CVA'!$AB$26)*(1-CUSTOS!$M$38)</f>
        <v>219.98233758978921</v>
      </c>
      <c r="AB370" s="6">
        <f t="shared" si="20"/>
        <v>0</v>
      </c>
      <c r="AC370" s="6">
        <f>(L370-M370)*(W370+X370)+($W$247+$X$247-$W$370-$X$370)*(L370)</f>
        <v>1237.3735137999997</v>
      </c>
      <c r="AD370" s="6">
        <f t="shared" si="21"/>
        <v>0</v>
      </c>
      <c r="AE370" s="6">
        <f ca="1">(L370-M370)*(Z370+AA370)+($Z$247+$AA$247-$Z$370-$AA$370)*(L370)</f>
        <v>1356.9071814695142</v>
      </c>
      <c r="AF370" s="4" t="s">
        <v>812</v>
      </c>
    </row>
    <row r="371" spans="1:32" ht="11.25" customHeight="1" x14ac:dyDescent="0.3">
      <c r="A371" s="4" t="s">
        <v>21</v>
      </c>
      <c r="B371" s="4" t="s">
        <v>43</v>
      </c>
      <c r="C371" s="4" t="s">
        <v>23</v>
      </c>
      <c r="D371" s="4" t="s">
        <v>44</v>
      </c>
      <c r="E371" s="4" t="s">
        <v>56</v>
      </c>
      <c r="F371" s="4" t="s">
        <v>55</v>
      </c>
      <c r="G371" s="4" t="s">
        <v>25</v>
      </c>
      <c r="H371" s="4" t="s">
        <v>25</v>
      </c>
      <c r="I371" s="5">
        <v>44713</v>
      </c>
      <c r="J371" s="6">
        <v>0</v>
      </c>
      <c r="K371" s="6">
        <v>0</v>
      </c>
      <c r="L371" s="6">
        <v>16.347999999999999</v>
      </c>
      <c r="M371" s="6">
        <v>5.3948400000000003</v>
      </c>
      <c r="N371" s="6">
        <v>16.347999999999999</v>
      </c>
      <c r="O371" s="6">
        <v>5.3948400000000003</v>
      </c>
      <c r="P371" s="6">
        <v>0</v>
      </c>
      <c r="Q371" s="4" t="s">
        <v>26</v>
      </c>
      <c r="R371" s="4">
        <v>0</v>
      </c>
      <c r="S371" s="4">
        <v>0</v>
      </c>
      <c r="T371" s="4">
        <v>43</v>
      </c>
      <c r="U371" s="4">
        <v>84</v>
      </c>
      <c r="V371" s="6">
        <f>IF(ISERROR(VLOOKUP($S$371,'TAR FIN'!$A$1:$O$103,15,0)),0,VLOOKUP($S$371,'TAR FIN'!$A$1:$O$103,15,0))</f>
        <v>0</v>
      </c>
      <c r="W371" s="6">
        <f>IF(ISERROR(VLOOKUP($T$371,'TAR FIN'!$A$1:$O$103,15,0)),0,VLOOKUP($T$371,'TAR FIN'!$A$1:$O$103,15,0))</f>
        <v>334.07</v>
      </c>
      <c r="X371" s="6">
        <f>IF(ISERROR(VLOOKUP($U$371,'TAR FIN'!$A$1:$O$103,15,0)),0,VLOOKUP($U$371,'TAR FIN'!$A$1:$O$103,15,0))</f>
        <v>224.55</v>
      </c>
      <c r="Y371" s="6"/>
      <c r="Z371" s="6">
        <f ca="1">('TUSD BE'!$AM$45+'TUSD BF'!$AM$45+'TUSD CVA'!$AM$45)*(1-CUSTOS!$M$38)</f>
        <v>453.14332034419533</v>
      </c>
      <c r="AA371" s="6">
        <f>('TE BE'!$AB$26+'TE BF'!$AB$26+'TE CVA'!$AB$26)*(1-CUSTOS!$M$38)</f>
        <v>219.98233758978921</v>
      </c>
      <c r="AB371" s="6">
        <f t="shared" si="20"/>
        <v>0</v>
      </c>
      <c r="AC371" s="6">
        <f>(L371-M371)*(W371+X371)+($W$247+$X$247-$W$371-$X$371)*(L371)</f>
        <v>7363.8813991999987</v>
      </c>
      <c r="AD371" s="6">
        <f t="shared" si="21"/>
        <v>0</v>
      </c>
      <c r="AE371" s="6">
        <f ca="1">(L371-M371)*(Z371+AA371)+($Z$247+$AA$247-$Z$371-$AA$371)*(L371)</f>
        <v>8075.252494599059</v>
      </c>
      <c r="AF371" s="4" t="s">
        <v>812</v>
      </c>
    </row>
    <row r="372" spans="1:32" ht="11.25" customHeight="1" x14ac:dyDescent="0.3">
      <c r="A372" s="4" t="s">
        <v>28</v>
      </c>
      <c r="B372" s="4" t="s">
        <v>43</v>
      </c>
      <c r="C372" s="4" t="s">
        <v>23</v>
      </c>
      <c r="D372" s="4" t="s">
        <v>44</v>
      </c>
      <c r="E372" s="4" t="s">
        <v>56</v>
      </c>
      <c r="F372" s="4" t="s">
        <v>55</v>
      </c>
      <c r="G372" s="4" t="s">
        <v>25</v>
      </c>
      <c r="H372" s="4" t="s">
        <v>25</v>
      </c>
      <c r="I372" s="5">
        <v>44713</v>
      </c>
      <c r="J372" s="6">
        <v>0</v>
      </c>
      <c r="K372" s="6">
        <v>0</v>
      </c>
      <c r="L372" s="6">
        <v>2.0910000000000002</v>
      </c>
      <c r="M372" s="6">
        <v>0.69003000000000003</v>
      </c>
      <c r="N372" s="6">
        <v>2.0910000000000002</v>
      </c>
      <c r="O372" s="6">
        <v>0.69003000000000003</v>
      </c>
      <c r="P372" s="6">
        <v>0</v>
      </c>
      <c r="Q372" s="4" t="s">
        <v>26</v>
      </c>
      <c r="R372" s="4">
        <v>0</v>
      </c>
      <c r="S372" s="4">
        <v>0</v>
      </c>
      <c r="T372" s="4">
        <v>43</v>
      </c>
      <c r="U372" s="4">
        <v>84</v>
      </c>
      <c r="V372" s="6">
        <f>IF(ISERROR(VLOOKUP($S$372,'TAR FIN'!$A$1:$O$103,15,0)),0,VLOOKUP($S$372,'TAR FIN'!$A$1:$O$103,15,0))</f>
        <v>0</v>
      </c>
      <c r="W372" s="6">
        <f>IF(ISERROR(VLOOKUP($T$372,'TAR FIN'!$A$1:$O$103,15,0)),0,VLOOKUP($T$372,'TAR FIN'!$A$1:$O$103,15,0))</f>
        <v>334.07</v>
      </c>
      <c r="X372" s="6">
        <f>IF(ISERROR(VLOOKUP($U$372,'TAR FIN'!$A$1:$O$103,15,0)),0,VLOOKUP($U$372,'TAR FIN'!$A$1:$O$103,15,0))</f>
        <v>224.55</v>
      </c>
      <c r="Y372" s="6"/>
      <c r="Z372" s="6">
        <f ca="1">('TUSD BE'!$AM$45+'TUSD BF'!$AM$45+'TUSD CVA'!$AM$45)*(1-CUSTOS!$M$38)</f>
        <v>453.14332034419533</v>
      </c>
      <c r="AA372" s="6">
        <f>('TE BE'!$AB$26+'TE BF'!$AB$26+'TE CVA'!$AB$26)*(1-CUSTOS!$M$38)</f>
        <v>219.98233758978921</v>
      </c>
      <c r="AB372" s="6">
        <f t="shared" si="20"/>
        <v>0</v>
      </c>
      <c r="AC372" s="6">
        <f>(L372-M372)*(W372+X372)+($W$247+$X$247-$W$372-$X$372)*(L372)</f>
        <v>941.88133139999991</v>
      </c>
      <c r="AD372" s="6">
        <f t="shared" si="21"/>
        <v>0</v>
      </c>
      <c r="AE372" s="6">
        <f ca="1">(L372-M372)*(Z372+AA372)+($Z$247+$AA$247-$Z$372-$AA$372)*(L372)</f>
        <v>1032.8696455961974</v>
      </c>
      <c r="AF372" s="4" t="s">
        <v>812</v>
      </c>
    </row>
    <row r="373" spans="1:32" ht="11.25" customHeight="1" x14ac:dyDescent="0.3">
      <c r="A373" s="4" t="s">
        <v>21</v>
      </c>
      <c r="B373" s="4" t="s">
        <v>43</v>
      </c>
      <c r="C373" s="4" t="s">
        <v>23</v>
      </c>
      <c r="D373" s="4" t="s">
        <v>44</v>
      </c>
      <c r="E373" s="4" t="s">
        <v>56</v>
      </c>
      <c r="F373" s="4" t="s">
        <v>55</v>
      </c>
      <c r="G373" s="4" t="s">
        <v>25</v>
      </c>
      <c r="H373" s="4" t="s">
        <v>25</v>
      </c>
      <c r="I373" s="5">
        <v>44743</v>
      </c>
      <c r="J373" s="6">
        <v>0</v>
      </c>
      <c r="K373" s="6">
        <v>0</v>
      </c>
      <c r="L373" s="6">
        <v>17.5</v>
      </c>
      <c r="M373" s="6">
        <v>5.7750000000000004</v>
      </c>
      <c r="N373" s="6">
        <v>17.5</v>
      </c>
      <c r="O373" s="6">
        <v>5.7750000000000004</v>
      </c>
      <c r="P373" s="6">
        <v>0</v>
      </c>
      <c r="Q373" s="4" t="s">
        <v>26</v>
      </c>
      <c r="R373" s="4">
        <v>0</v>
      </c>
      <c r="S373" s="4">
        <v>0</v>
      </c>
      <c r="T373" s="4">
        <v>43</v>
      </c>
      <c r="U373" s="4">
        <v>84</v>
      </c>
      <c r="V373" s="6">
        <f>IF(ISERROR(VLOOKUP($S$373,'TAR FIN'!$A$1:$O$103,15,0)),0,VLOOKUP($S$373,'TAR FIN'!$A$1:$O$103,15,0))</f>
        <v>0</v>
      </c>
      <c r="W373" s="6">
        <f>IF(ISERROR(VLOOKUP($T$373,'TAR FIN'!$A$1:$O$103,15,0)),0,VLOOKUP($T$373,'TAR FIN'!$A$1:$O$103,15,0))</f>
        <v>334.07</v>
      </c>
      <c r="X373" s="6">
        <f>IF(ISERROR(VLOOKUP($U$373,'TAR FIN'!$A$1:$O$103,15,0)),0,VLOOKUP($U$373,'TAR FIN'!$A$1:$O$103,15,0))</f>
        <v>224.55</v>
      </c>
      <c r="Y373" s="6"/>
      <c r="Z373" s="6">
        <f ca="1">('TUSD BE'!$AM$45+'TUSD BF'!$AM$45+'TUSD CVA'!$AM$45)*(1-CUSTOS!$M$38)</f>
        <v>453.14332034419533</v>
      </c>
      <c r="AA373" s="6">
        <f>('TE BE'!$AB$26+'TE BF'!$AB$26+'TE CVA'!$AB$26)*(1-CUSTOS!$M$38)</f>
        <v>219.98233758978921</v>
      </c>
      <c r="AB373" s="6">
        <f t="shared" si="20"/>
        <v>0</v>
      </c>
      <c r="AC373" s="6">
        <f>(L373-M373)*(W373+X373)+($W$247+$X$247-$W$373-$X$373)*(L373)</f>
        <v>7882.7944999999991</v>
      </c>
      <c r="AD373" s="6">
        <f t="shared" si="21"/>
        <v>0</v>
      </c>
      <c r="AE373" s="6">
        <f ca="1">(L373-M373)*(Z373+AA373)+($Z$247+$AA$247-$Z$373-$AA$373)*(L373)</f>
        <v>8644.294021010739</v>
      </c>
      <c r="AF373" s="4" t="s">
        <v>812</v>
      </c>
    </row>
    <row r="374" spans="1:32" ht="11.25" customHeight="1" x14ac:dyDescent="0.3">
      <c r="A374" s="4" t="s">
        <v>28</v>
      </c>
      <c r="B374" s="4" t="s">
        <v>43</v>
      </c>
      <c r="C374" s="4" t="s">
        <v>23</v>
      </c>
      <c r="D374" s="4" t="s">
        <v>44</v>
      </c>
      <c r="E374" s="4" t="s">
        <v>56</v>
      </c>
      <c r="F374" s="4" t="s">
        <v>55</v>
      </c>
      <c r="G374" s="4" t="s">
        <v>25</v>
      </c>
      <c r="H374" s="4" t="s">
        <v>25</v>
      </c>
      <c r="I374" s="5">
        <v>44743</v>
      </c>
      <c r="J374" s="6">
        <v>0</v>
      </c>
      <c r="K374" s="6">
        <v>0</v>
      </c>
      <c r="L374" s="6">
        <v>0.877</v>
      </c>
      <c r="M374" s="6">
        <v>0.28941</v>
      </c>
      <c r="N374" s="6">
        <v>0.877</v>
      </c>
      <c r="O374" s="6">
        <v>0.28941</v>
      </c>
      <c r="P374" s="6">
        <v>0</v>
      </c>
      <c r="Q374" s="4" t="s">
        <v>26</v>
      </c>
      <c r="R374" s="4">
        <v>0</v>
      </c>
      <c r="S374" s="4">
        <v>0</v>
      </c>
      <c r="T374" s="4">
        <v>43</v>
      </c>
      <c r="U374" s="4">
        <v>84</v>
      </c>
      <c r="V374" s="6">
        <f>IF(ISERROR(VLOOKUP($S$374,'TAR FIN'!$A$1:$O$103,15,0)),0,VLOOKUP($S$374,'TAR FIN'!$A$1:$O$103,15,0))</f>
        <v>0</v>
      </c>
      <c r="W374" s="6">
        <f>IF(ISERROR(VLOOKUP($T$374,'TAR FIN'!$A$1:$O$103,15,0)),0,VLOOKUP($T$374,'TAR FIN'!$A$1:$O$103,15,0))</f>
        <v>334.07</v>
      </c>
      <c r="X374" s="6">
        <f>IF(ISERROR(VLOOKUP($U$374,'TAR FIN'!$A$1:$O$103,15,0)),0,VLOOKUP($U$374,'TAR FIN'!$A$1:$O$103,15,0))</f>
        <v>224.55</v>
      </c>
      <c r="Y374" s="6"/>
      <c r="Z374" s="6">
        <f ca="1">('TUSD BE'!$AM$45+'TUSD BF'!$AM$45+'TUSD CVA'!$AM$45)*(1-CUSTOS!$M$38)</f>
        <v>453.14332034419533</v>
      </c>
      <c r="AA374" s="6">
        <f>('TE BE'!$AB$26+'TE BF'!$AB$26+'TE CVA'!$AB$26)*(1-CUSTOS!$M$38)</f>
        <v>219.98233758978921</v>
      </c>
      <c r="AB374" s="6">
        <f t="shared" si="20"/>
        <v>0</v>
      </c>
      <c r="AC374" s="6">
        <f>(L374-M374)*(W374+X374)+($W$247+$X$247-$W$374-$X$374)*(L374)</f>
        <v>395.04061579999996</v>
      </c>
      <c r="AD374" s="6">
        <f t="shared" si="21"/>
        <v>0</v>
      </c>
      <c r="AE374" s="6">
        <f ca="1">(L374-M374)*(Z374+AA374)+($Z$247+$AA$247-$Z$374-$AA$374)*(L374)</f>
        <v>433.20262036722386</v>
      </c>
      <c r="AF374" s="4" t="s">
        <v>812</v>
      </c>
    </row>
    <row r="375" spans="1:32" ht="11.25" customHeight="1" x14ac:dyDescent="0.3">
      <c r="A375" s="4" t="s">
        <v>21</v>
      </c>
      <c r="B375" s="4" t="s">
        <v>43</v>
      </c>
      <c r="C375" s="4" t="s">
        <v>23</v>
      </c>
      <c r="D375" s="4" t="s">
        <v>44</v>
      </c>
      <c r="E375" s="4" t="s">
        <v>56</v>
      </c>
      <c r="F375" s="4" t="s">
        <v>55</v>
      </c>
      <c r="G375" s="4" t="s">
        <v>25</v>
      </c>
      <c r="H375" s="4" t="s">
        <v>25</v>
      </c>
      <c r="I375" s="5">
        <v>44774</v>
      </c>
      <c r="J375" s="6">
        <v>0</v>
      </c>
      <c r="K375" s="6">
        <v>0</v>
      </c>
      <c r="L375" s="6">
        <v>12.945</v>
      </c>
      <c r="M375" s="6">
        <v>4.2718499999999997</v>
      </c>
      <c r="N375" s="6">
        <v>12.945</v>
      </c>
      <c r="O375" s="6">
        <v>4.2718499999999997</v>
      </c>
      <c r="P375" s="6">
        <v>0</v>
      </c>
      <c r="Q375" s="4" t="s">
        <v>26</v>
      </c>
      <c r="R375" s="4">
        <v>0</v>
      </c>
      <c r="S375" s="4">
        <v>0</v>
      </c>
      <c r="T375" s="4">
        <v>43</v>
      </c>
      <c r="U375" s="4">
        <v>84</v>
      </c>
      <c r="V375" s="6">
        <f>IF(ISERROR(VLOOKUP($S$375,'TAR FIN'!$A$1:$O$103,15,0)),0,VLOOKUP($S$375,'TAR FIN'!$A$1:$O$103,15,0))</f>
        <v>0</v>
      </c>
      <c r="W375" s="6">
        <f>IF(ISERROR(VLOOKUP($T$375,'TAR FIN'!$A$1:$O$103,15,0)),0,VLOOKUP($T$375,'TAR FIN'!$A$1:$O$103,15,0))</f>
        <v>334.07</v>
      </c>
      <c r="X375" s="6">
        <f>IF(ISERROR(VLOOKUP($U$375,'TAR FIN'!$A$1:$O$103,15,0)),0,VLOOKUP($U$375,'TAR FIN'!$A$1:$O$103,15,0))</f>
        <v>224.55</v>
      </c>
      <c r="Y375" s="6"/>
      <c r="Z375" s="6">
        <f ca="1">('TUSD BE'!$AM$45+'TUSD BF'!$AM$45+'TUSD CVA'!$AM$45)*(1-CUSTOS!$M$38)</f>
        <v>453.14332034419533</v>
      </c>
      <c r="AA375" s="6">
        <f>('TE BE'!$AB$26+'TE BF'!$AB$26+'TE CVA'!$AB$26)*(1-CUSTOS!$M$38)</f>
        <v>219.98233758978921</v>
      </c>
      <c r="AB375" s="6">
        <f t="shared" si="20"/>
        <v>0</v>
      </c>
      <c r="AC375" s="6">
        <f>(L375-M375)*(W375+X375)+($W$247+$X$247-$W$375-$X$375)*(L375)</f>
        <v>5831.0157029999991</v>
      </c>
      <c r="AD375" s="6">
        <f t="shared" si="21"/>
        <v>0</v>
      </c>
      <c r="AE375" s="6">
        <f ca="1">(L375-M375)*(Z375+AA375)+($Z$247+$AA$247-$Z$375-$AA$375)*(L375)</f>
        <v>6394.3077772562292</v>
      </c>
      <c r="AF375" s="4" t="s">
        <v>812</v>
      </c>
    </row>
    <row r="376" spans="1:32" ht="11.25" customHeight="1" x14ac:dyDescent="0.3">
      <c r="A376" s="4" t="s">
        <v>28</v>
      </c>
      <c r="B376" s="4" t="s">
        <v>43</v>
      </c>
      <c r="C376" s="4" t="s">
        <v>23</v>
      </c>
      <c r="D376" s="4" t="s">
        <v>44</v>
      </c>
      <c r="E376" s="4" t="s">
        <v>56</v>
      </c>
      <c r="F376" s="4" t="s">
        <v>55</v>
      </c>
      <c r="G376" s="4" t="s">
        <v>25</v>
      </c>
      <c r="H376" s="4" t="s">
        <v>25</v>
      </c>
      <c r="I376" s="5">
        <v>44774</v>
      </c>
      <c r="J376" s="6">
        <v>0</v>
      </c>
      <c r="K376" s="6">
        <v>0</v>
      </c>
      <c r="L376" s="6">
        <v>1.337</v>
      </c>
      <c r="M376" s="6">
        <v>0.44120999999999999</v>
      </c>
      <c r="N376" s="6">
        <v>1.337</v>
      </c>
      <c r="O376" s="6">
        <v>0.44120999999999999</v>
      </c>
      <c r="P376" s="6">
        <v>0</v>
      </c>
      <c r="Q376" s="4" t="s">
        <v>26</v>
      </c>
      <c r="R376" s="4">
        <v>0</v>
      </c>
      <c r="S376" s="4">
        <v>0</v>
      </c>
      <c r="T376" s="4">
        <v>43</v>
      </c>
      <c r="U376" s="4">
        <v>84</v>
      </c>
      <c r="V376" s="6">
        <f>IF(ISERROR(VLOOKUP($S$376,'TAR FIN'!$A$1:$O$103,15,0)),0,VLOOKUP($S$376,'TAR FIN'!$A$1:$O$103,15,0))</f>
        <v>0</v>
      </c>
      <c r="W376" s="6">
        <f>IF(ISERROR(VLOOKUP($T$376,'TAR FIN'!$A$1:$O$103,15,0)),0,VLOOKUP($T$376,'TAR FIN'!$A$1:$O$103,15,0))</f>
        <v>334.07</v>
      </c>
      <c r="X376" s="6">
        <f>IF(ISERROR(VLOOKUP($U$376,'TAR FIN'!$A$1:$O$103,15,0)),0,VLOOKUP($U$376,'TAR FIN'!$A$1:$O$103,15,0))</f>
        <v>224.55</v>
      </c>
      <c r="Y376" s="6"/>
      <c r="Z376" s="6">
        <f ca="1">('TUSD BE'!$AM$45+'TUSD BF'!$AM$45+'TUSD CVA'!$AM$45)*(1-CUSTOS!$M$38)</f>
        <v>453.14332034419533</v>
      </c>
      <c r="AA376" s="6">
        <f>('TE BE'!$AB$26+'TE BF'!$AB$26+'TE CVA'!$AB$26)*(1-CUSTOS!$M$38)</f>
        <v>219.98233758978921</v>
      </c>
      <c r="AB376" s="6">
        <f t="shared" si="20"/>
        <v>0</v>
      </c>
      <c r="AC376" s="6">
        <f>(L376-M376)*(W376+X376)+($W$247+$X$247-$W$376-$X$376)*(L376)</f>
        <v>602.24549979999995</v>
      </c>
      <c r="AD376" s="6">
        <f t="shared" si="21"/>
        <v>0</v>
      </c>
      <c r="AE376" s="6">
        <f ca="1">(L376-M376)*(Z376+AA376)+($Z$247+$AA$247-$Z$376-$AA$376)*(L376)</f>
        <v>660.42406320522036</v>
      </c>
      <c r="AF376" s="4" t="s">
        <v>812</v>
      </c>
    </row>
    <row r="377" spans="1:32" ht="11.25" customHeight="1" x14ac:dyDescent="0.3">
      <c r="A377" s="4" t="s">
        <v>21</v>
      </c>
      <c r="B377" s="4" t="s">
        <v>43</v>
      </c>
      <c r="C377" s="4" t="s">
        <v>23</v>
      </c>
      <c r="D377" s="4" t="s">
        <v>44</v>
      </c>
      <c r="E377" s="4" t="s">
        <v>56</v>
      </c>
      <c r="F377" s="4" t="s">
        <v>55</v>
      </c>
      <c r="G377" s="4" t="s">
        <v>25</v>
      </c>
      <c r="H377" s="4" t="s">
        <v>25</v>
      </c>
      <c r="I377" s="5">
        <v>44805</v>
      </c>
      <c r="J377" s="6">
        <v>0</v>
      </c>
      <c r="K377" s="6">
        <v>0</v>
      </c>
      <c r="L377" s="6">
        <v>14.973000000000001</v>
      </c>
      <c r="M377" s="6">
        <v>4.94109</v>
      </c>
      <c r="N377" s="6">
        <v>14.973000000000001</v>
      </c>
      <c r="O377" s="6">
        <v>4.94109</v>
      </c>
      <c r="P377" s="6">
        <v>0</v>
      </c>
      <c r="Q377" s="4" t="s">
        <v>26</v>
      </c>
      <c r="R377" s="4">
        <v>0</v>
      </c>
      <c r="S377" s="4">
        <v>0</v>
      </c>
      <c r="T377" s="4">
        <v>43</v>
      </c>
      <c r="U377" s="4">
        <v>84</v>
      </c>
      <c r="V377" s="6">
        <f>IF(ISERROR(VLOOKUP($S$377,'TAR FIN'!$A$1:$O$103,15,0)),0,VLOOKUP($S$377,'TAR FIN'!$A$1:$O$103,15,0))</f>
        <v>0</v>
      </c>
      <c r="W377" s="6">
        <f>IF(ISERROR(VLOOKUP($T$377,'TAR FIN'!$A$1:$O$103,15,0)),0,VLOOKUP($T$377,'TAR FIN'!$A$1:$O$103,15,0))</f>
        <v>334.07</v>
      </c>
      <c r="X377" s="6">
        <f>IF(ISERROR(VLOOKUP($U$377,'TAR FIN'!$A$1:$O$103,15,0)),0,VLOOKUP($U$377,'TAR FIN'!$A$1:$O$103,15,0))</f>
        <v>224.55</v>
      </c>
      <c r="Y377" s="6"/>
      <c r="Z377" s="6">
        <f ca="1">('TUSD BE'!$AM$45+'TUSD BF'!$AM$45+'TUSD CVA'!$AM$45)*(1-CUSTOS!$M$38)</f>
        <v>453.14332034419533</v>
      </c>
      <c r="AA377" s="6">
        <f>('TE BE'!$AB$26+'TE BF'!$AB$26+'TE CVA'!$AB$26)*(1-CUSTOS!$M$38)</f>
        <v>219.98233758978921</v>
      </c>
      <c r="AB377" s="6">
        <f t="shared" si="20"/>
        <v>0</v>
      </c>
      <c r="AC377" s="6">
        <f>(L377-M377)*(W377+X377)+($W$247+$X$247-$W$377-$X$377)*(L377)</f>
        <v>6744.5189741999993</v>
      </c>
      <c r="AD377" s="6">
        <f t="shared" si="21"/>
        <v>0</v>
      </c>
      <c r="AE377" s="6">
        <f ca="1">(L377-M377)*(Z377+AA377)+($Z$247+$AA$247-$Z$377-$AA$377)*(L377)</f>
        <v>7396.0579643767878</v>
      </c>
      <c r="AF377" s="4" t="s">
        <v>812</v>
      </c>
    </row>
    <row r="378" spans="1:32" ht="11.25" customHeight="1" x14ac:dyDescent="0.3">
      <c r="A378" s="4" t="s">
        <v>28</v>
      </c>
      <c r="B378" s="4" t="s">
        <v>43</v>
      </c>
      <c r="C378" s="4" t="s">
        <v>23</v>
      </c>
      <c r="D378" s="4" t="s">
        <v>44</v>
      </c>
      <c r="E378" s="4" t="s">
        <v>56</v>
      </c>
      <c r="F378" s="4" t="s">
        <v>55</v>
      </c>
      <c r="G378" s="4" t="s">
        <v>25</v>
      </c>
      <c r="H378" s="4" t="s">
        <v>25</v>
      </c>
      <c r="I378" s="5">
        <v>44805</v>
      </c>
      <c r="J378" s="6">
        <v>0</v>
      </c>
      <c r="K378" s="6">
        <v>0</v>
      </c>
      <c r="L378" s="6">
        <v>0.85499999999999998</v>
      </c>
      <c r="M378" s="6">
        <v>0.28215000000000001</v>
      </c>
      <c r="N378" s="6">
        <v>0.85499999999999998</v>
      </c>
      <c r="O378" s="6">
        <v>0.28215000000000001</v>
      </c>
      <c r="P378" s="6">
        <v>0</v>
      </c>
      <c r="Q378" s="4" t="s">
        <v>26</v>
      </c>
      <c r="R378" s="4">
        <v>0</v>
      </c>
      <c r="S378" s="4">
        <v>0</v>
      </c>
      <c r="T378" s="4">
        <v>43</v>
      </c>
      <c r="U378" s="4">
        <v>84</v>
      </c>
      <c r="V378" s="6">
        <f>IF(ISERROR(VLOOKUP($S$378,'TAR FIN'!$A$1:$O$103,15,0)),0,VLOOKUP($S$378,'TAR FIN'!$A$1:$O$103,15,0))</f>
        <v>0</v>
      </c>
      <c r="W378" s="6">
        <f>IF(ISERROR(VLOOKUP($T$378,'TAR FIN'!$A$1:$O$103,15,0)),0,VLOOKUP($T$378,'TAR FIN'!$A$1:$O$103,15,0))</f>
        <v>334.07</v>
      </c>
      <c r="X378" s="6">
        <f>IF(ISERROR(VLOOKUP($U$378,'TAR FIN'!$A$1:$O$103,15,0)),0,VLOOKUP($U$378,'TAR FIN'!$A$1:$O$103,15,0))</f>
        <v>224.55</v>
      </c>
      <c r="Y378" s="6"/>
      <c r="Z378" s="6">
        <f ca="1">('TUSD BE'!$AM$45+'TUSD BF'!$AM$45+'TUSD CVA'!$AM$45)*(1-CUSTOS!$M$38)</f>
        <v>453.14332034419533</v>
      </c>
      <c r="AA378" s="6">
        <f>('TE BE'!$AB$26+'TE BF'!$AB$26+'TE CVA'!$AB$26)*(1-CUSTOS!$M$38)</f>
        <v>219.98233758978921</v>
      </c>
      <c r="AB378" s="6">
        <f t="shared" si="20"/>
        <v>0</v>
      </c>
      <c r="AC378" s="6">
        <f>(L378-M378)*(W378+X378)+($W$247+$X$247-$W$378-$X$378)*(L378)</f>
        <v>385.13081699999998</v>
      </c>
      <c r="AD378" s="6">
        <f t="shared" si="21"/>
        <v>0</v>
      </c>
      <c r="AE378" s="6">
        <f ca="1">(L378-M378)*(Z378+AA378)+($Z$247+$AA$247-$Z$378-$AA$378)*(L378)</f>
        <v>422.33550788366745</v>
      </c>
      <c r="AF378" s="4" t="s">
        <v>812</v>
      </c>
    </row>
    <row r="379" spans="1:32" ht="11.25" customHeight="1" x14ac:dyDescent="0.3">
      <c r="A379" s="4" t="s">
        <v>57</v>
      </c>
      <c r="B379" s="4" t="s">
        <v>43</v>
      </c>
      <c r="C379" s="4" t="s">
        <v>23</v>
      </c>
      <c r="D379" s="4" t="s">
        <v>44</v>
      </c>
      <c r="E379" s="4" t="s">
        <v>56</v>
      </c>
      <c r="F379" s="4" t="s">
        <v>55</v>
      </c>
      <c r="G379" s="4" t="s">
        <v>25</v>
      </c>
      <c r="H379" s="4" t="s">
        <v>25</v>
      </c>
      <c r="I379" s="5">
        <v>44835</v>
      </c>
      <c r="J379" s="6">
        <v>0</v>
      </c>
      <c r="K379" s="6">
        <v>0</v>
      </c>
      <c r="L379" s="6">
        <v>14.973000000000001</v>
      </c>
      <c r="M379" s="6">
        <v>4.94109</v>
      </c>
      <c r="N379" s="6">
        <v>14.973000000000001</v>
      </c>
      <c r="O379" s="6">
        <v>4.94109</v>
      </c>
      <c r="P379" s="6">
        <v>0</v>
      </c>
      <c r="Q379" s="4" t="s">
        <v>26</v>
      </c>
      <c r="R379" s="4">
        <v>0</v>
      </c>
      <c r="S379" s="4">
        <v>0</v>
      </c>
      <c r="T379" s="4">
        <v>43</v>
      </c>
      <c r="U379" s="4">
        <v>84</v>
      </c>
      <c r="V379" s="6">
        <f>IF(ISERROR(VLOOKUP($S$379,'TAR FIN'!$A$1:$O$103,15,0)),0,VLOOKUP($S$379,'TAR FIN'!$A$1:$O$103,15,0))</f>
        <v>0</v>
      </c>
      <c r="W379" s="6">
        <f>IF(ISERROR(VLOOKUP($T$379,'TAR FIN'!$A$1:$O$103,15,0)),0,VLOOKUP($T$379,'TAR FIN'!$A$1:$O$103,15,0))</f>
        <v>334.07</v>
      </c>
      <c r="X379" s="6">
        <f>IF(ISERROR(VLOOKUP($U$379,'TAR FIN'!$A$1:$O$103,15,0)),0,VLOOKUP($U$379,'TAR FIN'!$A$1:$O$103,15,0))</f>
        <v>224.55</v>
      </c>
      <c r="Y379" s="6"/>
      <c r="Z379" s="6">
        <f ca="1">('TUSD BE'!$AM$45+'TUSD BF'!$AM$45+'TUSD CVA'!$AM$45)*(1-CUSTOS!$M$38)</f>
        <v>453.14332034419533</v>
      </c>
      <c r="AA379" s="6">
        <f>('TE BE'!$AB$26+'TE BF'!$AB$26+'TE CVA'!$AB$26)*(1-CUSTOS!$M$38)</f>
        <v>219.98233758978921</v>
      </c>
      <c r="AB379" s="6">
        <f t="shared" si="20"/>
        <v>0</v>
      </c>
      <c r="AC379" s="6">
        <f>(L379-M379)*(W379+X379)+($W$247+$X$247-$W$379-$X$379)*(L379)</f>
        <v>6744.5189741999993</v>
      </c>
      <c r="AD379" s="6">
        <f t="shared" si="21"/>
        <v>0</v>
      </c>
      <c r="AE379" s="6">
        <f ca="1">(L379-M379)*(Z379+AA379)+($Z$247+$AA$247-$Z$379-$AA$379)*(L379)</f>
        <v>7396.0579643767878</v>
      </c>
      <c r="AF379" s="4" t="s">
        <v>812</v>
      </c>
    </row>
    <row r="380" spans="1:32" ht="11.25" customHeight="1" x14ac:dyDescent="0.3">
      <c r="A380" s="4" t="s">
        <v>57</v>
      </c>
      <c r="B380" s="4" t="s">
        <v>43</v>
      </c>
      <c r="C380" s="4" t="s">
        <v>23</v>
      </c>
      <c r="D380" s="4" t="s">
        <v>44</v>
      </c>
      <c r="E380" s="4" t="s">
        <v>56</v>
      </c>
      <c r="F380" s="4" t="s">
        <v>55</v>
      </c>
      <c r="G380" s="4" t="s">
        <v>25</v>
      </c>
      <c r="H380" s="4" t="s">
        <v>25</v>
      </c>
      <c r="I380" s="5">
        <v>44835</v>
      </c>
      <c r="J380" s="6">
        <v>0</v>
      </c>
      <c r="K380" s="6">
        <v>0</v>
      </c>
      <c r="L380" s="6">
        <v>0.85499999999999998</v>
      </c>
      <c r="M380" s="6">
        <v>0.28215000000000001</v>
      </c>
      <c r="N380" s="6">
        <v>0.85499999999999998</v>
      </c>
      <c r="O380" s="6">
        <v>0.28215000000000001</v>
      </c>
      <c r="P380" s="6">
        <v>0</v>
      </c>
      <c r="Q380" s="4" t="s">
        <v>26</v>
      </c>
      <c r="R380" s="4">
        <v>0</v>
      </c>
      <c r="S380" s="4">
        <v>0</v>
      </c>
      <c r="T380" s="4">
        <v>43</v>
      </c>
      <c r="U380" s="4">
        <v>84</v>
      </c>
      <c r="V380" s="6">
        <f>IF(ISERROR(VLOOKUP($S$380,'TAR FIN'!$A$1:$O$103,15,0)),0,VLOOKUP($S$380,'TAR FIN'!$A$1:$O$103,15,0))</f>
        <v>0</v>
      </c>
      <c r="W380" s="6">
        <f>IF(ISERROR(VLOOKUP($T$380,'TAR FIN'!$A$1:$O$103,15,0)),0,VLOOKUP($T$380,'TAR FIN'!$A$1:$O$103,15,0))</f>
        <v>334.07</v>
      </c>
      <c r="X380" s="6">
        <f>IF(ISERROR(VLOOKUP($U$380,'TAR FIN'!$A$1:$O$103,15,0)),0,VLOOKUP($U$380,'TAR FIN'!$A$1:$O$103,15,0))</f>
        <v>224.55</v>
      </c>
      <c r="Y380" s="6"/>
      <c r="Z380" s="6">
        <f ca="1">('TUSD BE'!$AM$45+'TUSD BF'!$AM$45+'TUSD CVA'!$AM$45)*(1-CUSTOS!$M$38)</f>
        <v>453.14332034419533</v>
      </c>
      <c r="AA380" s="6">
        <f>('TE BE'!$AB$26+'TE BF'!$AB$26+'TE CVA'!$AB$26)*(1-CUSTOS!$M$38)</f>
        <v>219.98233758978921</v>
      </c>
      <c r="AB380" s="6">
        <f t="shared" si="20"/>
        <v>0</v>
      </c>
      <c r="AC380" s="6">
        <f>(L380-M380)*(W380+X380)+($W$247+$X$247-$W$380-$X$380)*(L380)</f>
        <v>385.13081699999998</v>
      </c>
      <c r="AD380" s="6">
        <f t="shared" si="21"/>
        <v>0</v>
      </c>
      <c r="AE380" s="6">
        <f ca="1">(L380-M380)*(Z380+AA380)+($Z$247+$AA$247-$Z$380-$AA$380)*(L380)</f>
        <v>422.33550788366745</v>
      </c>
      <c r="AF380" s="4" t="s">
        <v>812</v>
      </c>
    </row>
    <row r="381" spans="1:32" ht="11.25" customHeight="1" x14ac:dyDescent="0.3">
      <c r="A381" s="4" t="s">
        <v>21</v>
      </c>
      <c r="B381" s="4" t="s">
        <v>43</v>
      </c>
      <c r="C381" s="4" t="s">
        <v>23</v>
      </c>
      <c r="D381" s="4" t="s">
        <v>44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44501</v>
      </c>
      <c r="J381" s="6">
        <v>0</v>
      </c>
      <c r="K381" s="6">
        <v>0</v>
      </c>
      <c r="L381" s="6">
        <v>1381.0450000000001</v>
      </c>
      <c r="M381" s="6">
        <v>1381.0450000000001</v>
      </c>
      <c r="N381" s="6">
        <v>1381.0450000000001</v>
      </c>
      <c r="O381" s="6">
        <v>1381.0450000000001</v>
      </c>
      <c r="P381" s="6">
        <v>4522</v>
      </c>
      <c r="Q381" s="4" t="s">
        <v>26</v>
      </c>
      <c r="R381" s="4">
        <v>0</v>
      </c>
      <c r="S381" s="4">
        <v>0</v>
      </c>
      <c r="T381" s="4">
        <v>43</v>
      </c>
      <c r="U381" s="4">
        <v>84</v>
      </c>
      <c r="V381" s="6">
        <f>IF(ISERROR(VLOOKUP($S$381,'TAR FIN'!$A$1:$O$103,15,0)),0,VLOOKUP($S$381,'TAR FIN'!$A$1:$O$103,15,0))</f>
        <v>0</v>
      </c>
      <c r="W381" s="6">
        <f>IF(ISERROR(VLOOKUP($T$381,'TAR FIN'!$A$1:$O$103,15,0)),0,VLOOKUP($T$381,'TAR FIN'!$A$1:$O$103,15,0))</f>
        <v>334.07</v>
      </c>
      <c r="X381" s="6">
        <f>IF(ISERROR(VLOOKUP($U$381,'TAR FIN'!$A$1:$O$103,15,0)),0,VLOOKUP($U$381,'TAR FIN'!$A$1:$O$103,15,0))</f>
        <v>224.55</v>
      </c>
      <c r="Y381" s="6"/>
      <c r="Z381" s="6">
        <f ca="1">('TUSD BE'!$AM$45+'TUSD BF'!$AM$45+'TUSD CVA'!$AM$45)*(1-CUSTOS!$M$38)</f>
        <v>453.14332034419533</v>
      </c>
      <c r="AA381" s="6">
        <f>('TE BE'!$AB$26+'TE BF'!$AB$26+'TE CVA'!$AB$26)*(1-CUSTOS!$M$38)</f>
        <v>219.98233758978921</v>
      </c>
      <c r="AB381" s="6">
        <f t="shared" si="20"/>
        <v>0</v>
      </c>
      <c r="AC381" s="6">
        <f>(L381-M381)*(W381+X381)+($W$247+$X$247-$W$381-$X$381)*(L381)</f>
        <v>105194.19764999994</v>
      </c>
      <c r="AD381" s="6">
        <f t="shared" si="21"/>
        <v>0</v>
      </c>
      <c r="AE381" s="6">
        <f ca="1">(L381-M381)*(Z381+AA381)+($Z$247+$AA$247-$Z$381-$AA$381)*(L381)</f>
        <v>59337.244101794036</v>
      </c>
      <c r="AF381" s="4" t="s">
        <v>811</v>
      </c>
    </row>
    <row r="382" spans="1:32" ht="11.25" customHeight="1" x14ac:dyDescent="0.3">
      <c r="A382" s="4" t="s">
        <v>28</v>
      </c>
      <c r="B382" s="4" t="s">
        <v>43</v>
      </c>
      <c r="C382" s="4" t="s">
        <v>23</v>
      </c>
      <c r="D382" s="4" t="s">
        <v>44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44501</v>
      </c>
      <c r="J382" s="6">
        <v>0</v>
      </c>
      <c r="K382" s="6">
        <v>0</v>
      </c>
      <c r="L382" s="6">
        <v>11.712</v>
      </c>
      <c r="M382" s="6">
        <v>11.712</v>
      </c>
      <c r="N382" s="6">
        <v>11.712</v>
      </c>
      <c r="O382" s="6">
        <v>11.712</v>
      </c>
      <c r="P382" s="6">
        <v>61</v>
      </c>
      <c r="Q382" s="4" t="s">
        <v>26</v>
      </c>
      <c r="R382" s="4">
        <v>0</v>
      </c>
      <c r="S382" s="4">
        <v>0</v>
      </c>
      <c r="T382" s="4">
        <v>43</v>
      </c>
      <c r="U382" s="4">
        <v>84</v>
      </c>
      <c r="V382" s="6">
        <f>IF(ISERROR(VLOOKUP($S$382,'TAR FIN'!$A$1:$O$103,15,0)),0,VLOOKUP($S$382,'TAR FIN'!$A$1:$O$103,15,0))</f>
        <v>0</v>
      </c>
      <c r="W382" s="6">
        <f>IF(ISERROR(VLOOKUP($T$382,'TAR FIN'!$A$1:$O$103,15,0)),0,VLOOKUP($T$382,'TAR FIN'!$A$1:$O$103,15,0))</f>
        <v>334.07</v>
      </c>
      <c r="X382" s="6">
        <f>IF(ISERROR(VLOOKUP($U$382,'TAR FIN'!$A$1:$O$103,15,0)),0,VLOOKUP($U$382,'TAR FIN'!$A$1:$O$103,15,0))</f>
        <v>224.55</v>
      </c>
      <c r="Y382" s="6"/>
      <c r="Z382" s="6">
        <f ca="1">('TUSD BE'!$AM$45+'TUSD BF'!$AM$45+'TUSD CVA'!$AM$45)*(1-CUSTOS!$M$38)</f>
        <v>453.14332034419533</v>
      </c>
      <c r="AA382" s="6">
        <f>('TE BE'!$AB$26+'TE BF'!$AB$26+'TE CVA'!$AB$26)*(1-CUSTOS!$M$38)</f>
        <v>219.98233758978921</v>
      </c>
      <c r="AB382" s="6">
        <f t="shared" si="20"/>
        <v>0</v>
      </c>
      <c r="AC382" s="6">
        <f>(L382-M382)*(W382+X382)+($W$247+$X$247-$W$382-$X$382)*(L382)</f>
        <v>892.10303999999951</v>
      </c>
      <c r="AD382" s="6">
        <f t="shared" si="21"/>
        <v>0</v>
      </c>
      <c r="AE382" s="6">
        <f ca="1">(L382-M382)*(Z382+AA382)+($Z$247+$AA$247-$Z$382-$AA$382)*(L382)</f>
        <v>503.21155568443589</v>
      </c>
      <c r="AF382" s="4" t="s">
        <v>811</v>
      </c>
    </row>
    <row r="383" spans="1:32" ht="11.25" customHeight="1" x14ac:dyDescent="0.3">
      <c r="A383" s="4" t="s">
        <v>21</v>
      </c>
      <c r="B383" s="4" t="s">
        <v>43</v>
      </c>
      <c r="C383" s="4" t="s">
        <v>23</v>
      </c>
      <c r="D383" s="4" t="s">
        <v>44</v>
      </c>
      <c r="E383" s="4" t="s">
        <v>25</v>
      </c>
      <c r="F383" s="4" t="s">
        <v>25</v>
      </c>
      <c r="G383" s="4" t="s">
        <v>25</v>
      </c>
      <c r="H383" s="4" t="s">
        <v>25</v>
      </c>
      <c r="I383" s="5">
        <v>44531</v>
      </c>
      <c r="J383" s="6">
        <v>0</v>
      </c>
      <c r="K383" s="6">
        <v>0</v>
      </c>
      <c r="L383" s="6">
        <v>1271.596</v>
      </c>
      <c r="M383" s="6">
        <v>1271.596</v>
      </c>
      <c r="N383" s="6">
        <v>1271.596</v>
      </c>
      <c r="O383" s="6">
        <v>1271.596</v>
      </c>
      <c r="P383" s="6">
        <v>4519</v>
      </c>
      <c r="Q383" s="4" t="s">
        <v>26</v>
      </c>
      <c r="R383" s="4">
        <v>0</v>
      </c>
      <c r="S383" s="4">
        <v>0</v>
      </c>
      <c r="T383" s="4">
        <v>43</v>
      </c>
      <c r="U383" s="4">
        <v>84</v>
      </c>
      <c r="V383" s="6">
        <f>IF(ISERROR(VLOOKUP($S$383,'TAR FIN'!$A$1:$O$103,15,0)),0,VLOOKUP($S$383,'TAR FIN'!$A$1:$O$103,15,0))</f>
        <v>0</v>
      </c>
      <c r="W383" s="6">
        <f>IF(ISERROR(VLOOKUP($T$383,'TAR FIN'!$A$1:$O$103,15,0)),0,VLOOKUP($T$383,'TAR FIN'!$A$1:$O$103,15,0))</f>
        <v>334.07</v>
      </c>
      <c r="X383" s="6">
        <f>IF(ISERROR(VLOOKUP($U$383,'TAR FIN'!$A$1:$O$103,15,0)),0,VLOOKUP($U$383,'TAR FIN'!$A$1:$O$103,15,0))</f>
        <v>224.55</v>
      </c>
      <c r="Y383" s="6"/>
      <c r="Z383" s="6">
        <f ca="1">('TUSD BE'!$AM$45+'TUSD BF'!$AM$45+'TUSD CVA'!$AM$45)*(1-CUSTOS!$M$38)</f>
        <v>453.14332034419533</v>
      </c>
      <c r="AA383" s="6">
        <f>('TE BE'!$AB$26+'TE BF'!$AB$26+'TE CVA'!$AB$26)*(1-CUSTOS!$M$38)</f>
        <v>219.98233758978921</v>
      </c>
      <c r="AB383" s="6">
        <f t="shared" si="20"/>
        <v>0</v>
      </c>
      <c r="AC383" s="6">
        <f>(L383-M383)*(W383+X383)+($W$247+$X$247-$W$383-$X$383)*(L383)</f>
        <v>96857.467319999952</v>
      </c>
      <c r="AD383" s="6">
        <f t="shared" si="21"/>
        <v>0</v>
      </c>
      <c r="AE383" s="6">
        <f ca="1">(L383-M383)*(Z383+AA383)+($Z$247+$AA$247-$Z$383-$AA$383)*(L383)</f>
        <v>54634.716646354675</v>
      </c>
      <c r="AF383" s="4" t="s">
        <v>811</v>
      </c>
    </row>
    <row r="384" spans="1:32" ht="11.25" customHeight="1" x14ac:dyDescent="0.3">
      <c r="A384" s="4" t="s">
        <v>28</v>
      </c>
      <c r="B384" s="4" t="s">
        <v>43</v>
      </c>
      <c r="C384" s="4" t="s">
        <v>23</v>
      </c>
      <c r="D384" s="4" t="s">
        <v>44</v>
      </c>
      <c r="E384" s="4" t="s">
        <v>25</v>
      </c>
      <c r="F384" s="4" t="s">
        <v>25</v>
      </c>
      <c r="G384" s="4" t="s">
        <v>25</v>
      </c>
      <c r="H384" s="4" t="s">
        <v>25</v>
      </c>
      <c r="I384" s="5">
        <v>44531</v>
      </c>
      <c r="J384" s="6">
        <v>0</v>
      </c>
      <c r="K384" s="6">
        <v>0</v>
      </c>
      <c r="L384" s="6">
        <v>12.464</v>
      </c>
      <c r="M384" s="6">
        <v>12.464</v>
      </c>
      <c r="N384" s="6">
        <v>12.464</v>
      </c>
      <c r="O384" s="6">
        <v>12.464</v>
      </c>
      <c r="P384" s="6">
        <v>66</v>
      </c>
      <c r="Q384" s="4" t="s">
        <v>26</v>
      </c>
      <c r="R384" s="4">
        <v>0</v>
      </c>
      <c r="S384" s="4">
        <v>0</v>
      </c>
      <c r="T384" s="4">
        <v>43</v>
      </c>
      <c r="U384" s="4">
        <v>84</v>
      </c>
      <c r="V384" s="6">
        <f>IF(ISERROR(VLOOKUP($S$384,'TAR FIN'!$A$1:$O$103,15,0)),0,VLOOKUP($S$384,'TAR FIN'!$A$1:$O$103,15,0))</f>
        <v>0</v>
      </c>
      <c r="W384" s="6">
        <f>IF(ISERROR(VLOOKUP($T$384,'TAR FIN'!$A$1:$O$103,15,0)),0,VLOOKUP($T$384,'TAR FIN'!$A$1:$O$103,15,0))</f>
        <v>334.07</v>
      </c>
      <c r="X384" s="6">
        <f>IF(ISERROR(VLOOKUP($U$384,'TAR FIN'!$A$1:$O$103,15,0)),0,VLOOKUP($U$384,'TAR FIN'!$A$1:$O$103,15,0))</f>
        <v>224.55</v>
      </c>
      <c r="Y384" s="6"/>
      <c r="Z384" s="6">
        <f ca="1">('TUSD BE'!$AM$45+'TUSD BF'!$AM$45+'TUSD CVA'!$AM$45)*(1-CUSTOS!$M$38)</f>
        <v>453.14332034419533</v>
      </c>
      <c r="AA384" s="6">
        <f>('TE BE'!$AB$26+'TE BF'!$AB$26+'TE CVA'!$AB$26)*(1-CUSTOS!$M$38)</f>
        <v>219.98233758978921</v>
      </c>
      <c r="AB384" s="6">
        <f t="shared" si="20"/>
        <v>0</v>
      </c>
      <c r="AC384" s="6">
        <f>(L384-M384)*(W384+X384)+($W$247+$X$247-$W$384-$X$384)*(L384)</f>
        <v>949.38287999999955</v>
      </c>
      <c r="AD384" s="6">
        <f t="shared" si="21"/>
        <v>0</v>
      </c>
      <c r="AE384" s="6">
        <f ca="1">(L384-M384)*(Z384+AA384)+($Z$247+$AA$247-$Z$384-$AA$384)*(L384)</f>
        <v>535.52158726526716</v>
      </c>
      <c r="AF384" s="4" t="s">
        <v>811</v>
      </c>
    </row>
    <row r="385" spans="1:32" ht="11.25" customHeight="1" x14ac:dyDescent="0.3">
      <c r="A385" s="4" t="s">
        <v>21</v>
      </c>
      <c r="B385" s="4" t="s">
        <v>43</v>
      </c>
      <c r="C385" s="4" t="s">
        <v>23</v>
      </c>
      <c r="D385" s="4" t="s">
        <v>44</v>
      </c>
      <c r="E385" s="4" t="s">
        <v>25</v>
      </c>
      <c r="F385" s="4" t="s">
        <v>25</v>
      </c>
      <c r="G385" s="4" t="s">
        <v>25</v>
      </c>
      <c r="H385" s="4" t="s">
        <v>25</v>
      </c>
      <c r="I385" s="5">
        <v>44562</v>
      </c>
      <c r="J385" s="6">
        <v>0</v>
      </c>
      <c r="K385" s="6">
        <v>0</v>
      </c>
      <c r="L385" s="6">
        <v>1167.3910000000001</v>
      </c>
      <c r="M385" s="6">
        <v>1167.3910000000001</v>
      </c>
      <c r="N385" s="6">
        <v>1167.3910000000001</v>
      </c>
      <c r="O385" s="6">
        <v>1167.3910000000001</v>
      </c>
      <c r="P385" s="6">
        <v>4510</v>
      </c>
      <c r="Q385" s="4" t="s">
        <v>26</v>
      </c>
      <c r="R385" s="4">
        <v>0</v>
      </c>
      <c r="S385" s="4">
        <v>0</v>
      </c>
      <c r="T385" s="4">
        <v>43</v>
      </c>
      <c r="U385" s="4">
        <v>84</v>
      </c>
      <c r="V385" s="6">
        <f>IF(ISERROR(VLOOKUP($S$385,'TAR FIN'!$A$1:$O$103,15,0)),0,VLOOKUP($S$385,'TAR FIN'!$A$1:$O$103,15,0))</f>
        <v>0</v>
      </c>
      <c r="W385" s="6">
        <f>IF(ISERROR(VLOOKUP($T$385,'TAR FIN'!$A$1:$O$103,15,0)),0,VLOOKUP($T$385,'TAR FIN'!$A$1:$O$103,15,0))</f>
        <v>334.07</v>
      </c>
      <c r="X385" s="6">
        <f>IF(ISERROR(VLOOKUP($U$385,'TAR FIN'!$A$1:$O$103,15,0)),0,VLOOKUP($U$385,'TAR FIN'!$A$1:$O$103,15,0))</f>
        <v>224.55</v>
      </c>
      <c r="Y385" s="6"/>
      <c r="Z385" s="6">
        <f ca="1">('TUSD BE'!$AM$45+'TUSD BF'!$AM$45+'TUSD CVA'!$AM$45)*(1-CUSTOS!$M$38)</f>
        <v>453.14332034419533</v>
      </c>
      <c r="AA385" s="6">
        <f>('TE BE'!$AB$26+'TE BF'!$AB$26+'TE CVA'!$AB$26)*(1-CUSTOS!$M$38)</f>
        <v>219.98233758978921</v>
      </c>
      <c r="AB385" s="6">
        <f t="shared" si="20"/>
        <v>0</v>
      </c>
      <c r="AC385" s="6">
        <f>(L385-M385)*(W385+X385)+($W$247+$X$247-$W$385-$X$385)*(L385)</f>
        <v>88920.172469999961</v>
      </c>
      <c r="AD385" s="6">
        <f t="shared" si="21"/>
        <v>0</v>
      </c>
      <c r="AE385" s="6">
        <f ca="1">(L385-M385)*(Z385+AA385)+($Z$247+$AA$247-$Z$385-$AA$385)*(L385)</f>
        <v>50157.500102630576</v>
      </c>
      <c r="AF385" s="4" t="s">
        <v>811</v>
      </c>
    </row>
    <row r="386" spans="1:32" ht="11.25" customHeight="1" x14ac:dyDescent="0.3">
      <c r="A386" s="4" t="s">
        <v>28</v>
      </c>
      <c r="B386" s="4" t="s">
        <v>43</v>
      </c>
      <c r="C386" s="4" t="s">
        <v>23</v>
      </c>
      <c r="D386" s="4" t="s">
        <v>44</v>
      </c>
      <c r="E386" s="4" t="s">
        <v>25</v>
      </c>
      <c r="F386" s="4" t="s">
        <v>25</v>
      </c>
      <c r="G386" s="4" t="s">
        <v>25</v>
      </c>
      <c r="H386" s="4" t="s">
        <v>25</v>
      </c>
      <c r="I386" s="5">
        <v>44562</v>
      </c>
      <c r="J386" s="6">
        <v>0</v>
      </c>
      <c r="K386" s="6">
        <v>0</v>
      </c>
      <c r="L386" s="6">
        <v>17.41</v>
      </c>
      <c r="M386" s="6">
        <v>17.41</v>
      </c>
      <c r="N386" s="6">
        <v>17.41</v>
      </c>
      <c r="O386" s="6">
        <v>17.41</v>
      </c>
      <c r="P386" s="6">
        <v>70</v>
      </c>
      <c r="Q386" s="4" t="s">
        <v>26</v>
      </c>
      <c r="R386" s="4">
        <v>0</v>
      </c>
      <c r="S386" s="4">
        <v>0</v>
      </c>
      <c r="T386" s="4">
        <v>43</v>
      </c>
      <c r="U386" s="4">
        <v>84</v>
      </c>
      <c r="V386" s="6">
        <f>IF(ISERROR(VLOOKUP($S$386,'TAR FIN'!$A$1:$O$103,15,0)),0,VLOOKUP($S$386,'TAR FIN'!$A$1:$O$103,15,0))</f>
        <v>0</v>
      </c>
      <c r="W386" s="6">
        <f>IF(ISERROR(VLOOKUP($T$386,'TAR FIN'!$A$1:$O$103,15,0)),0,VLOOKUP($T$386,'TAR FIN'!$A$1:$O$103,15,0))</f>
        <v>334.07</v>
      </c>
      <c r="X386" s="6">
        <f>IF(ISERROR(VLOOKUP($U$386,'TAR FIN'!$A$1:$O$103,15,0)),0,VLOOKUP($U$386,'TAR FIN'!$A$1:$O$103,15,0))</f>
        <v>224.55</v>
      </c>
      <c r="Y386" s="6"/>
      <c r="Z386" s="6">
        <f ca="1">('TUSD BE'!$AM$45+'TUSD BF'!$AM$45+'TUSD CVA'!$AM$45)*(1-CUSTOS!$M$38)</f>
        <v>453.14332034419533</v>
      </c>
      <c r="AA386" s="6">
        <f>('TE BE'!$AB$26+'TE BF'!$AB$26+'TE CVA'!$AB$26)*(1-CUSTOS!$M$38)</f>
        <v>219.98233758978921</v>
      </c>
      <c r="AB386" s="6">
        <f t="shared" ref="AB386:AB404" si="22">(J386-K386)*V386</f>
        <v>0</v>
      </c>
      <c r="AC386" s="6">
        <f>(L386-M386)*(W386+X386)+($W$247+$X$247-$W$386-$X$386)*(L386)</f>
        <v>1326.1196999999993</v>
      </c>
      <c r="AD386" s="6">
        <f t="shared" ref="AD386:AD404" si="23">(J386-K386)*Y386</f>
        <v>0</v>
      </c>
      <c r="AE386" s="6">
        <f ca="1">(L386-M386)*(Z386+AA386)+($Z$247+$AA$247-$Z$386-$AA$386)*(L386)</f>
        <v>748.028789657277</v>
      </c>
      <c r="AF386" s="4" t="s">
        <v>811</v>
      </c>
    </row>
    <row r="387" spans="1:32" ht="11.25" customHeight="1" x14ac:dyDescent="0.3">
      <c r="A387" s="4" t="s">
        <v>21</v>
      </c>
      <c r="B387" s="4" t="s">
        <v>43</v>
      </c>
      <c r="C387" s="4" t="s">
        <v>23</v>
      </c>
      <c r="D387" s="4" t="s">
        <v>44</v>
      </c>
      <c r="E387" s="4" t="s">
        <v>25</v>
      </c>
      <c r="F387" s="4" t="s">
        <v>25</v>
      </c>
      <c r="G387" s="4" t="s">
        <v>25</v>
      </c>
      <c r="H387" s="4" t="s">
        <v>25</v>
      </c>
      <c r="I387" s="5">
        <v>44593</v>
      </c>
      <c r="J387" s="6">
        <v>0</v>
      </c>
      <c r="K387" s="6">
        <v>0</v>
      </c>
      <c r="L387" s="6">
        <v>1228.2760000000001</v>
      </c>
      <c r="M387" s="6">
        <v>1228.2760000000001</v>
      </c>
      <c r="N387" s="6">
        <v>1228.2760000000001</v>
      </c>
      <c r="O387" s="6">
        <v>1228.2760000000001</v>
      </c>
      <c r="P387" s="6">
        <v>4501</v>
      </c>
      <c r="Q387" s="4" t="s">
        <v>26</v>
      </c>
      <c r="R387" s="4">
        <v>0</v>
      </c>
      <c r="S387" s="4">
        <v>0</v>
      </c>
      <c r="T387" s="4">
        <v>43</v>
      </c>
      <c r="U387" s="4">
        <v>84</v>
      </c>
      <c r="V387" s="6">
        <f>IF(ISERROR(VLOOKUP($S$387,'TAR FIN'!$A$1:$O$103,15,0)),0,VLOOKUP($S$387,'TAR FIN'!$A$1:$O$103,15,0))</f>
        <v>0</v>
      </c>
      <c r="W387" s="6">
        <f>IF(ISERROR(VLOOKUP($T$387,'TAR FIN'!$A$1:$O$103,15,0)),0,VLOOKUP($T$387,'TAR FIN'!$A$1:$O$103,15,0))</f>
        <v>334.07</v>
      </c>
      <c r="X387" s="6">
        <f>IF(ISERROR(VLOOKUP($U$387,'TAR FIN'!$A$1:$O$103,15,0)),0,VLOOKUP($U$387,'TAR FIN'!$A$1:$O$103,15,0))</f>
        <v>224.55</v>
      </c>
      <c r="Y387" s="6"/>
      <c r="Z387" s="6">
        <f ca="1">('TUSD BE'!$AM$45+'TUSD BF'!$AM$45+'TUSD CVA'!$AM$45)*(1-CUSTOS!$M$38)</f>
        <v>453.14332034419533</v>
      </c>
      <c r="AA387" s="6">
        <f>('TE BE'!$AB$26+'TE BF'!$AB$26+'TE CVA'!$AB$26)*(1-CUSTOS!$M$38)</f>
        <v>219.98233758978921</v>
      </c>
      <c r="AB387" s="6">
        <f t="shared" si="22"/>
        <v>0</v>
      </c>
      <c r="AC387" s="6">
        <f>(L387-M387)*(W387+X387)+($W$247+$X$247-$W$387-$X$387)*(L387)</f>
        <v>93557.782919999954</v>
      </c>
      <c r="AD387" s="6">
        <f t="shared" si="23"/>
        <v>0</v>
      </c>
      <c r="AE387" s="6">
        <f ca="1">(L387-M387)*(Z387+AA387)+($Z$247+$AA$247-$Z$387-$AA$387)*(L387)</f>
        <v>52773.452593054659</v>
      </c>
      <c r="AF387" s="4" t="s">
        <v>811</v>
      </c>
    </row>
    <row r="388" spans="1:32" ht="11.25" customHeight="1" x14ac:dyDescent="0.3">
      <c r="A388" s="4" t="s">
        <v>28</v>
      </c>
      <c r="B388" s="4" t="s">
        <v>43</v>
      </c>
      <c r="C388" s="4" t="s">
        <v>23</v>
      </c>
      <c r="D388" s="4" t="s">
        <v>44</v>
      </c>
      <c r="E388" s="4" t="s">
        <v>25</v>
      </c>
      <c r="F388" s="4" t="s">
        <v>25</v>
      </c>
      <c r="G388" s="4" t="s">
        <v>25</v>
      </c>
      <c r="H388" s="4" t="s">
        <v>25</v>
      </c>
      <c r="I388" s="5">
        <v>44593</v>
      </c>
      <c r="J388" s="6">
        <v>0</v>
      </c>
      <c r="K388" s="6">
        <v>0</v>
      </c>
      <c r="L388" s="6">
        <v>12.071999999999999</v>
      </c>
      <c r="M388" s="6">
        <v>12.071999999999999</v>
      </c>
      <c r="N388" s="6">
        <v>12.071999999999999</v>
      </c>
      <c r="O388" s="6">
        <v>12.071999999999999</v>
      </c>
      <c r="P388" s="6">
        <v>72</v>
      </c>
      <c r="Q388" s="4" t="s">
        <v>26</v>
      </c>
      <c r="R388" s="4">
        <v>0</v>
      </c>
      <c r="S388" s="4">
        <v>0</v>
      </c>
      <c r="T388" s="4">
        <v>43</v>
      </c>
      <c r="U388" s="4">
        <v>84</v>
      </c>
      <c r="V388" s="6">
        <f>IF(ISERROR(VLOOKUP($S$388,'TAR FIN'!$A$1:$O$103,15,0)),0,VLOOKUP($S$388,'TAR FIN'!$A$1:$O$103,15,0))</f>
        <v>0</v>
      </c>
      <c r="W388" s="6">
        <f>IF(ISERROR(VLOOKUP($T$388,'TAR FIN'!$A$1:$O$103,15,0)),0,VLOOKUP($T$388,'TAR FIN'!$A$1:$O$103,15,0))</f>
        <v>334.07</v>
      </c>
      <c r="X388" s="6">
        <f>IF(ISERROR(VLOOKUP($U$388,'TAR FIN'!$A$1:$O$103,15,0)),0,VLOOKUP($U$388,'TAR FIN'!$A$1:$O$103,15,0))</f>
        <v>224.55</v>
      </c>
      <c r="Y388" s="6"/>
      <c r="Z388" s="6">
        <f ca="1">('TUSD BE'!$AM$45+'TUSD BF'!$AM$45+'TUSD CVA'!$AM$45)*(1-CUSTOS!$M$38)</f>
        <v>453.14332034419533</v>
      </c>
      <c r="AA388" s="6">
        <f>('TE BE'!$AB$26+'TE BF'!$AB$26+'TE CVA'!$AB$26)*(1-CUSTOS!$M$38)</f>
        <v>219.98233758978921</v>
      </c>
      <c r="AB388" s="6">
        <f t="shared" si="22"/>
        <v>0</v>
      </c>
      <c r="AC388" s="6">
        <f>(L388-M388)*(W388+X388)+($W$247+$X$247-$W$388-$X$388)*(L388)</f>
        <v>919.52423999999939</v>
      </c>
      <c r="AD388" s="6">
        <f t="shared" si="23"/>
        <v>0</v>
      </c>
      <c r="AE388" s="6">
        <f ca="1">(L388-M388)*(Z388+AA388)+($Z$247+$AA$247-$Z$388-$AA$388)*(L388)</f>
        <v>518.6791239944082</v>
      </c>
      <c r="AF388" s="4" t="s">
        <v>811</v>
      </c>
    </row>
    <row r="389" spans="1:32" ht="11.25" customHeight="1" x14ac:dyDescent="0.3">
      <c r="A389" s="4" t="s">
        <v>21</v>
      </c>
      <c r="B389" s="4" t="s">
        <v>43</v>
      </c>
      <c r="C389" s="4" t="s">
        <v>23</v>
      </c>
      <c r="D389" s="4" t="s">
        <v>44</v>
      </c>
      <c r="E389" s="4" t="s">
        <v>25</v>
      </c>
      <c r="F389" s="4" t="s">
        <v>25</v>
      </c>
      <c r="G389" s="4" t="s">
        <v>25</v>
      </c>
      <c r="H389" s="4" t="s">
        <v>25</v>
      </c>
      <c r="I389" s="5">
        <v>44621</v>
      </c>
      <c r="J389" s="6">
        <v>0</v>
      </c>
      <c r="K389" s="6">
        <v>0</v>
      </c>
      <c r="L389" s="6">
        <v>1114.348</v>
      </c>
      <c r="M389" s="6">
        <v>1114.348</v>
      </c>
      <c r="N389" s="6">
        <v>1114.348</v>
      </c>
      <c r="O389" s="6">
        <v>1114.348</v>
      </c>
      <c r="P389" s="6">
        <v>4482</v>
      </c>
      <c r="Q389" s="4" t="s">
        <v>26</v>
      </c>
      <c r="R389" s="4">
        <v>0</v>
      </c>
      <c r="S389" s="4">
        <v>0</v>
      </c>
      <c r="T389" s="4">
        <v>43</v>
      </c>
      <c r="U389" s="4">
        <v>84</v>
      </c>
      <c r="V389" s="6">
        <f>IF(ISERROR(VLOOKUP($S$389,'TAR FIN'!$A$1:$O$103,15,0)),0,VLOOKUP($S$389,'TAR FIN'!$A$1:$O$103,15,0))</f>
        <v>0</v>
      </c>
      <c r="W389" s="6">
        <f>IF(ISERROR(VLOOKUP($T$389,'TAR FIN'!$A$1:$O$103,15,0)),0,VLOOKUP($T$389,'TAR FIN'!$A$1:$O$103,15,0))</f>
        <v>334.07</v>
      </c>
      <c r="X389" s="6">
        <f>IF(ISERROR(VLOOKUP($U$389,'TAR FIN'!$A$1:$O$103,15,0)),0,VLOOKUP($U$389,'TAR FIN'!$A$1:$O$103,15,0))</f>
        <v>224.55</v>
      </c>
      <c r="Y389" s="6"/>
      <c r="Z389" s="6">
        <f ca="1">('TUSD BE'!$AM$45+'TUSD BF'!$AM$45+'TUSD CVA'!$AM$45)*(1-CUSTOS!$M$38)</f>
        <v>453.14332034419533</v>
      </c>
      <c r="AA389" s="6">
        <f>('TE BE'!$AB$26+'TE BF'!$AB$26+'TE CVA'!$AB$26)*(1-CUSTOS!$M$38)</f>
        <v>219.98233758978921</v>
      </c>
      <c r="AB389" s="6">
        <f t="shared" si="22"/>
        <v>0</v>
      </c>
      <c r="AC389" s="6">
        <f>(L389-M389)*(W389+X389)+($W$247+$X$247-$W$389-$X$389)*(L389)</f>
        <v>84879.887159999955</v>
      </c>
      <c r="AD389" s="6">
        <f t="shared" si="23"/>
        <v>0</v>
      </c>
      <c r="AE389" s="6">
        <f ca="1">(L389-M389)*(Z389+AA389)+($Z$247+$AA$247-$Z$389-$AA$389)*(L389)</f>
        <v>47878.482808558721</v>
      </c>
      <c r="AF389" s="4" t="s">
        <v>811</v>
      </c>
    </row>
    <row r="390" spans="1:32" ht="11.25" customHeight="1" x14ac:dyDescent="0.3">
      <c r="A390" s="4" t="s">
        <v>28</v>
      </c>
      <c r="B390" s="4" t="s">
        <v>43</v>
      </c>
      <c r="C390" s="4" t="s">
        <v>23</v>
      </c>
      <c r="D390" s="4" t="s">
        <v>44</v>
      </c>
      <c r="E390" s="4" t="s">
        <v>25</v>
      </c>
      <c r="F390" s="4" t="s">
        <v>25</v>
      </c>
      <c r="G390" s="4" t="s">
        <v>25</v>
      </c>
      <c r="H390" s="4" t="s">
        <v>25</v>
      </c>
      <c r="I390" s="5">
        <v>44621</v>
      </c>
      <c r="J390" s="6">
        <v>0</v>
      </c>
      <c r="K390" s="6">
        <v>0</v>
      </c>
      <c r="L390" s="6">
        <v>11.337</v>
      </c>
      <c r="M390" s="6">
        <v>11.337</v>
      </c>
      <c r="N390" s="6">
        <v>11.337</v>
      </c>
      <c r="O390" s="6">
        <v>11.337</v>
      </c>
      <c r="P390" s="6">
        <v>82</v>
      </c>
      <c r="Q390" s="4" t="s">
        <v>26</v>
      </c>
      <c r="R390" s="4">
        <v>0</v>
      </c>
      <c r="S390" s="4">
        <v>0</v>
      </c>
      <c r="T390" s="4">
        <v>43</v>
      </c>
      <c r="U390" s="4">
        <v>84</v>
      </c>
      <c r="V390" s="6">
        <f>IF(ISERROR(VLOOKUP($S$390,'TAR FIN'!$A$1:$O$103,15,0)),0,VLOOKUP($S$390,'TAR FIN'!$A$1:$O$103,15,0))</f>
        <v>0</v>
      </c>
      <c r="W390" s="6">
        <f>IF(ISERROR(VLOOKUP($T$390,'TAR FIN'!$A$1:$O$103,15,0)),0,VLOOKUP($T$390,'TAR FIN'!$A$1:$O$103,15,0))</f>
        <v>334.07</v>
      </c>
      <c r="X390" s="6">
        <f>IF(ISERROR(VLOOKUP($U$390,'TAR FIN'!$A$1:$O$103,15,0)),0,VLOOKUP($U$390,'TAR FIN'!$A$1:$O$103,15,0))</f>
        <v>224.55</v>
      </c>
      <c r="Y390" s="6"/>
      <c r="Z390" s="6">
        <f ca="1">('TUSD BE'!$AM$45+'TUSD BF'!$AM$45+'TUSD CVA'!$AM$45)*(1-CUSTOS!$M$38)</f>
        <v>453.14332034419533</v>
      </c>
      <c r="AA390" s="6">
        <f>('TE BE'!$AB$26+'TE BF'!$AB$26+'TE CVA'!$AB$26)*(1-CUSTOS!$M$38)</f>
        <v>219.98233758978921</v>
      </c>
      <c r="AB390" s="6">
        <f t="shared" si="22"/>
        <v>0</v>
      </c>
      <c r="AC390" s="6">
        <f>(L390-M390)*(W390+X390)+($W$247+$X$247-$W$390-$X$390)*(L390)</f>
        <v>863.53928999999948</v>
      </c>
      <c r="AD390" s="6">
        <f t="shared" si="23"/>
        <v>0</v>
      </c>
      <c r="AE390" s="6">
        <f ca="1">(L390-M390)*(Z390+AA390)+($Z$247+$AA$247-$Z$390-$AA$390)*(L390)</f>
        <v>487.09950536154793</v>
      </c>
      <c r="AF390" s="4" t="s">
        <v>811</v>
      </c>
    </row>
    <row r="391" spans="1:32" ht="11.25" customHeight="1" x14ac:dyDescent="0.3">
      <c r="A391" s="4" t="s">
        <v>21</v>
      </c>
      <c r="B391" s="4" t="s">
        <v>43</v>
      </c>
      <c r="C391" s="4" t="s">
        <v>23</v>
      </c>
      <c r="D391" s="4" t="s">
        <v>44</v>
      </c>
      <c r="E391" s="4" t="s">
        <v>25</v>
      </c>
      <c r="F391" s="4" t="s">
        <v>25</v>
      </c>
      <c r="G391" s="4" t="s">
        <v>25</v>
      </c>
      <c r="H391" s="4" t="s">
        <v>25</v>
      </c>
      <c r="I391" s="5">
        <v>44652</v>
      </c>
      <c r="J391" s="6">
        <v>0</v>
      </c>
      <c r="K391" s="6">
        <v>0</v>
      </c>
      <c r="L391" s="6">
        <v>1176.8989999999999</v>
      </c>
      <c r="M391" s="6">
        <v>1176.8989999999999</v>
      </c>
      <c r="N391" s="6">
        <v>1176.8989999999999</v>
      </c>
      <c r="O391" s="6">
        <v>1176.8989999999999</v>
      </c>
      <c r="P391" s="6">
        <v>4469</v>
      </c>
      <c r="Q391" s="4" t="s">
        <v>26</v>
      </c>
      <c r="R391" s="4">
        <v>0</v>
      </c>
      <c r="S391" s="4">
        <v>0</v>
      </c>
      <c r="T391" s="4">
        <v>43</v>
      </c>
      <c r="U391" s="4">
        <v>84</v>
      </c>
      <c r="V391" s="6">
        <f>IF(ISERROR(VLOOKUP($S$391,'TAR FIN'!$A$1:$O$103,15,0)),0,VLOOKUP($S$391,'TAR FIN'!$A$1:$O$103,15,0))</f>
        <v>0</v>
      </c>
      <c r="W391" s="6">
        <f>IF(ISERROR(VLOOKUP($T$391,'TAR FIN'!$A$1:$O$103,15,0)),0,VLOOKUP($T$391,'TAR FIN'!$A$1:$O$103,15,0))</f>
        <v>334.07</v>
      </c>
      <c r="X391" s="6">
        <f>IF(ISERROR(VLOOKUP($U$391,'TAR FIN'!$A$1:$O$103,15,0)),0,VLOOKUP($U$391,'TAR FIN'!$A$1:$O$103,15,0))</f>
        <v>224.55</v>
      </c>
      <c r="Y391" s="6"/>
      <c r="Z391" s="6">
        <f ca="1">('TUSD BE'!$AM$45+'TUSD BF'!$AM$45+'TUSD CVA'!$AM$45)*(1-CUSTOS!$M$38)</f>
        <v>453.14332034419533</v>
      </c>
      <c r="AA391" s="6">
        <f>('TE BE'!$AB$26+'TE BF'!$AB$26+'TE CVA'!$AB$26)*(1-CUSTOS!$M$38)</f>
        <v>219.98233758978921</v>
      </c>
      <c r="AB391" s="6">
        <f t="shared" si="22"/>
        <v>0</v>
      </c>
      <c r="AC391" s="6">
        <f>(L391-M391)*(W391+X391)+($W$247+$X$247-$W$391-$X$391)*(L391)</f>
        <v>89644.39682999994</v>
      </c>
      <c r="AD391" s="6">
        <f t="shared" si="23"/>
        <v>0</v>
      </c>
      <c r="AE391" s="6">
        <f ca="1">(L391-M391)*(Z391+AA391)+($Z$247+$AA$247-$Z$391-$AA$391)*(L391)</f>
        <v>50566.015767883953</v>
      </c>
      <c r="AF391" s="4" t="s">
        <v>811</v>
      </c>
    </row>
    <row r="392" spans="1:32" ht="11.25" customHeight="1" x14ac:dyDescent="0.3">
      <c r="A392" s="4" t="s">
        <v>28</v>
      </c>
      <c r="B392" s="4" t="s">
        <v>43</v>
      </c>
      <c r="C392" s="4" t="s">
        <v>23</v>
      </c>
      <c r="D392" s="4" t="s">
        <v>44</v>
      </c>
      <c r="E392" s="4" t="s">
        <v>25</v>
      </c>
      <c r="F392" s="4" t="s">
        <v>25</v>
      </c>
      <c r="G392" s="4" t="s">
        <v>25</v>
      </c>
      <c r="H392" s="4" t="s">
        <v>25</v>
      </c>
      <c r="I392" s="5">
        <v>44652</v>
      </c>
      <c r="J392" s="6">
        <v>0</v>
      </c>
      <c r="K392" s="6">
        <v>0</v>
      </c>
      <c r="L392" s="6">
        <v>27.274000000000001</v>
      </c>
      <c r="M392" s="6">
        <v>27.274000000000001</v>
      </c>
      <c r="N392" s="6">
        <v>27.274000000000001</v>
      </c>
      <c r="O392" s="6">
        <v>27.274000000000001</v>
      </c>
      <c r="P392" s="6">
        <v>91</v>
      </c>
      <c r="Q392" s="4" t="s">
        <v>26</v>
      </c>
      <c r="R392" s="4">
        <v>0</v>
      </c>
      <c r="S392" s="4">
        <v>0</v>
      </c>
      <c r="T392" s="4">
        <v>43</v>
      </c>
      <c r="U392" s="4">
        <v>84</v>
      </c>
      <c r="V392" s="6">
        <f>IF(ISERROR(VLOOKUP($S$392,'TAR FIN'!$A$1:$O$103,15,0)),0,VLOOKUP($S$392,'TAR FIN'!$A$1:$O$103,15,0))</f>
        <v>0</v>
      </c>
      <c r="W392" s="6">
        <f>IF(ISERROR(VLOOKUP($T$392,'TAR FIN'!$A$1:$O$103,15,0)),0,VLOOKUP($T$392,'TAR FIN'!$A$1:$O$103,15,0))</f>
        <v>334.07</v>
      </c>
      <c r="X392" s="6">
        <f>IF(ISERROR(VLOOKUP($U$392,'TAR FIN'!$A$1:$O$103,15,0)),0,VLOOKUP($U$392,'TAR FIN'!$A$1:$O$103,15,0))</f>
        <v>224.55</v>
      </c>
      <c r="Y392" s="6"/>
      <c r="Z392" s="6">
        <f ca="1">('TUSD BE'!$AM$45+'TUSD BF'!$AM$45+'TUSD CVA'!$AM$45)*(1-CUSTOS!$M$38)</f>
        <v>453.14332034419533</v>
      </c>
      <c r="AA392" s="6">
        <f>('TE BE'!$AB$26+'TE BF'!$AB$26+'TE CVA'!$AB$26)*(1-CUSTOS!$M$38)</f>
        <v>219.98233758978921</v>
      </c>
      <c r="AB392" s="6">
        <f t="shared" si="22"/>
        <v>0</v>
      </c>
      <c r="AC392" s="6">
        <f>(L392-M392)*(W392+X392)+($W$247+$X$247-$W$392-$X$392)*(L392)</f>
        <v>2077.460579999999</v>
      </c>
      <c r="AD392" s="6">
        <f t="shared" si="23"/>
        <v>0</v>
      </c>
      <c r="AE392" s="6">
        <f ca="1">(L392-M392)*(Z392+AA392)+($Z$247+$AA$247-$Z$392-$AA$392)*(L392)</f>
        <v>1171.8401613505212</v>
      </c>
      <c r="AF392" s="4" t="s">
        <v>811</v>
      </c>
    </row>
    <row r="393" spans="1:32" ht="11.25" customHeight="1" x14ac:dyDescent="0.3">
      <c r="A393" s="4" t="s">
        <v>21</v>
      </c>
      <c r="B393" s="4" t="s">
        <v>43</v>
      </c>
      <c r="C393" s="4" t="s">
        <v>23</v>
      </c>
      <c r="D393" s="4" t="s">
        <v>44</v>
      </c>
      <c r="E393" s="4" t="s">
        <v>25</v>
      </c>
      <c r="F393" s="4" t="s">
        <v>25</v>
      </c>
      <c r="G393" s="4" t="s">
        <v>25</v>
      </c>
      <c r="H393" s="4" t="s">
        <v>25</v>
      </c>
      <c r="I393" s="5">
        <v>44682</v>
      </c>
      <c r="J393" s="6">
        <v>0</v>
      </c>
      <c r="K393" s="6">
        <v>0</v>
      </c>
      <c r="L393" s="6">
        <v>1273.9549999999999</v>
      </c>
      <c r="M393" s="6">
        <v>1273.9549999999999</v>
      </c>
      <c r="N393" s="6">
        <v>1273.9549999999999</v>
      </c>
      <c r="O393" s="6">
        <v>1273.9549999999999</v>
      </c>
      <c r="P393" s="6">
        <v>4481</v>
      </c>
      <c r="Q393" s="4" t="s">
        <v>26</v>
      </c>
      <c r="R393" s="4">
        <v>0</v>
      </c>
      <c r="S393" s="4">
        <v>0</v>
      </c>
      <c r="T393" s="4">
        <v>43</v>
      </c>
      <c r="U393" s="4">
        <v>84</v>
      </c>
      <c r="V393" s="6">
        <f>IF(ISERROR(VLOOKUP($S$393,'TAR FIN'!$A$1:$O$103,15,0)),0,VLOOKUP($S$393,'TAR FIN'!$A$1:$O$103,15,0))</f>
        <v>0</v>
      </c>
      <c r="W393" s="6">
        <f>IF(ISERROR(VLOOKUP($T$393,'TAR FIN'!$A$1:$O$103,15,0)),0,VLOOKUP($T$393,'TAR FIN'!$A$1:$O$103,15,0))</f>
        <v>334.07</v>
      </c>
      <c r="X393" s="6">
        <f>IF(ISERROR(VLOOKUP($U$393,'TAR FIN'!$A$1:$O$103,15,0)),0,VLOOKUP($U$393,'TAR FIN'!$A$1:$O$103,15,0))</f>
        <v>224.55</v>
      </c>
      <c r="Y393" s="6"/>
      <c r="Z393" s="6">
        <f ca="1">('TUSD BE'!$AM$45+'TUSD BF'!$AM$45+'TUSD CVA'!$AM$45)*(1-CUSTOS!$M$38)</f>
        <v>453.14332034419533</v>
      </c>
      <c r="AA393" s="6">
        <f>('TE BE'!$AB$26+'TE BF'!$AB$26+'TE CVA'!$AB$26)*(1-CUSTOS!$M$38)</f>
        <v>219.98233758978921</v>
      </c>
      <c r="AB393" s="6">
        <f t="shared" si="22"/>
        <v>0</v>
      </c>
      <c r="AC393" s="6">
        <f>(L393-M393)*(W393+X393)+($W$247+$X$247-$W$393-$X$393)*(L393)</f>
        <v>97037.152349999946</v>
      </c>
      <c r="AD393" s="6">
        <f t="shared" si="23"/>
        <v>0</v>
      </c>
      <c r="AE393" s="6">
        <f ca="1">(L393-M393)*(Z393+AA393)+($Z$247+$AA$247-$Z$393-$AA$393)*(L393)</f>
        <v>54736.072184252516</v>
      </c>
      <c r="AF393" s="4" t="s">
        <v>811</v>
      </c>
    </row>
    <row r="394" spans="1:32" ht="11.25" customHeight="1" x14ac:dyDescent="0.3">
      <c r="A394" s="4" t="s">
        <v>28</v>
      </c>
      <c r="B394" s="4" t="s">
        <v>43</v>
      </c>
      <c r="C394" s="4" t="s">
        <v>23</v>
      </c>
      <c r="D394" s="4" t="s">
        <v>44</v>
      </c>
      <c r="E394" s="4" t="s">
        <v>25</v>
      </c>
      <c r="F394" s="4" t="s">
        <v>25</v>
      </c>
      <c r="G394" s="4" t="s">
        <v>25</v>
      </c>
      <c r="H394" s="4" t="s">
        <v>25</v>
      </c>
      <c r="I394" s="5">
        <v>44682</v>
      </c>
      <c r="J394" s="6">
        <v>0</v>
      </c>
      <c r="K394" s="6">
        <v>0</v>
      </c>
      <c r="L394" s="6">
        <v>24.559000000000001</v>
      </c>
      <c r="M394" s="6">
        <v>24.559000000000001</v>
      </c>
      <c r="N394" s="6">
        <v>24.559000000000001</v>
      </c>
      <c r="O394" s="6">
        <v>24.559000000000001</v>
      </c>
      <c r="P394" s="6">
        <v>100</v>
      </c>
      <c r="Q394" s="4" t="s">
        <v>26</v>
      </c>
      <c r="R394" s="4">
        <v>0</v>
      </c>
      <c r="S394" s="4">
        <v>0</v>
      </c>
      <c r="T394" s="4">
        <v>43</v>
      </c>
      <c r="U394" s="4">
        <v>84</v>
      </c>
      <c r="V394" s="6">
        <f>IF(ISERROR(VLOOKUP($S$394,'TAR FIN'!$A$1:$O$103,15,0)),0,VLOOKUP($S$394,'TAR FIN'!$A$1:$O$103,15,0))</f>
        <v>0</v>
      </c>
      <c r="W394" s="6">
        <f>IF(ISERROR(VLOOKUP($T$394,'TAR FIN'!$A$1:$O$103,15,0)),0,VLOOKUP($T$394,'TAR FIN'!$A$1:$O$103,15,0))</f>
        <v>334.07</v>
      </c>
      <c r="X394" s="6">
        <f>IF(ISERROR(VLOOKUP($U$394,'TAR FIN'!$A$1:$O$103,15,0)),0,VLOOKUP($U$394,'TAR FIN'!$A$1:$O$103,15,0))</f>
        <v>224.55</v>
      </c>
      <c r="Y394" s="6"/>
      <c r="Z394" s="6">
        <f ca="1">('TUSD BE'!$AM$45+'TUSD BF'!$AM$45+'TUSD CVA'!$AM$45)*(1-CUSTOS!$M$38)</f>
        <v>453.14332034419533</v>
      </c>
      <c r="AA394" s="6">
        <f>('TE BE'!$AB$26+'TE BF'!$AB$26+'TE CVA'!$AB$26)*(1-CUSTOS!$M$38)</f>
        <v>219.98233758978921</v>
      </c>
      <c r="AB394" s="6">
        <f t="shared" si="22"/>
        <v>0</v>
      </c>
      <c r="AC394" s="6">
        <f>(L394-M394)*(W394+X394)+($W$247+$X$247-$W$394-$X$394)*(L394)</f>
        <v>1870.6590299999991</v>
      </c>
      <c r="AD394" s="6">
        <f t="shared" si="23"/>
        <v>0</v>
      </c>
      <c r="AE394" s="6">
        <f ca="1">(L394-M394)*(Z394+AA394)+($Z$247+$AA$247-$Z$394-$AA$394)*(L394)</f>
        <v>1055.1889170128127</v>
      </c>
      <c r="AF394" s="4" t="s">
        <v>811</v>
      </c>
    </row>
    <row r="395" spans="1:32" ht="11.25" customHeight="1" x14ac:dyDescent="0.3">
      <c r="A395" s="4" t="s">
        <v>21</v>
      </c>
      <c r="B395" s="4" t="s">
        <v>43</v>
      </c>
      <c r="C395" s="4" t="s">
        <v>23</v>
      </c>
      <c r="D395" s="4" t="s">
        <v>44</v>
      </c>
      <c r="E395" s="4" t="s">
        <v>25</v>
      </c>
      <c r="F395" s="4" t="s">
        <v>25</v>
      </c>
      <c r="G395" s="4" t="s">
        <v>25</v>
      </c>
      <c r="H395" s="4" t="s">
        <v>25</v>
      </c>
      <c r="I395" s="5">
        <v>44713</v>
      </c>
      <c r="J395" s="6">
        <v>0</v>
      </c>
      <c r="K395" s="6">
        <v>0</v>
      </c>
      <c r="L395" s="6">
        <v>1163.0940000000001</v>
      </c>
      <c r="M395" s="6">
        <v>1163.0940000000001</v>
      </c>
      <c r="N395" s="6">
        <v>1163.0940000000001</v>
      </c>
      <c r="O395" s="6">
        <v>1163.0940000000001</v>
      </c>
      <c r="P395" s="6">
        <v>4476</v>
      </c>
      <c r="Q395" s="4" t="s">
        <v>26</v>
      </c>
      <c r="R395" s="4">
        <v>0</v>
      </c>
      <c r="S395" s="4">
        <v>0</v>
      </c>
      <c r="T395" s="4">
        <v>43</v>
      </c>
      <c r="U395" s="4">
        <v>84</v>
      </c>
      <c r="V395" s="6">
        <f>IF(ISERROR(VLOOKUP($S$395,'TAR FIN'!$A$1:$O$103,15,0)),0,VLOOKUP($S$395,'TAR FIN'!$A$1:$O$103,15,0))</f>
        <v>0</v>
      </c>
      <c r="W395" s="6">
        <f>IF(ISERROR(VLOOKUP($T$395,'TAR FIN'!$A$1:$O$103,15,0)),0,VLOOKUP($T$395,'TAR FIN'!$A$1:$O$103,15,0))</f>
        <v>334.07</v>
      </c>
      <c r="X395" s="6">
        <f>IF(ISERROR(VLOOKUP($U$395,'TAR FIN'!$A$1:$O$103,15,0)),0,VLOOKUP($U$395,'TAR FIN'!$A$1:$O$103,15,0))</f>
        <v>224.55</v>
      </c>
      <c r="Y395" s="6"/>
      <c r="Z395" s="6">
        <f ca="1">('TUSD BE'!$AM$45+'TUSD BF'!$AM$45+'TUSD CVA'!$AM$45)*(1-CUSTOS!$M$38)</f>
        <v>453.14332034419533</v>
      </c>
      <c r="AA395" s="6">
        <f>('TE BE'!$AB$26+'TE BF'!$AB$26+'TE CVA'!$AB$26)*(1-CUSTOS!$M$38)</f>
        <v>219.98233758978921</v>
      </c>
      <c r="AB395" s="6">
        <f t="shared" si="22"/>
        <v>0</v>
      </c>
      <c r="AC395" s="6">
        <f>(L395-M395)*(W395+X395)+($W$247+$X$247-$W$395-$X$395)*(L395)</f>
        <v>88592.869979999959</v>
      </c>
      <c r="AD395" s="6">
        <f t="shared" si="23"/>
        <v>0</v>
      </c>
      <c r="AE395" s="6">
        <f ca="1">(L395-M395)*(Z395+AA395)+($Z$247+$AA$247-$Z$395-$AA$395)*(L395)</f>
        <v>49972.877488664046</v>
      </c>
      <c r="AF395" s="4" t="s">
        <v>811</v>
      </c>
    </row>
    <row r="396" spans="1:32" ht="11.25" customHeight="1" x14ac:dyDescent="0.3">
      <c r="A396" s="4" t="s">
        <v>28</v>
      </c>
      <c r="B396" s="4" t="s">
        <v>43</v>
      </c>
      <c r="C396" s="4" t="s">
        <v>23</v>
      </c>
      <c r="D396" s="4" t="s">
        <v>44</v>
      </c>
      <c r="E396" s="4" t="s">
        <v>25</v>
      </c>
      <c r="F396" s="4" t="s">
        <v>25</v>
      </c>
      <c r="G396" s="4" t="s">
        <v>25</v>
      </c>
      <c r="H396" s="4" t="s">
        <v>25</v>
      </c>
      <c r="I396" s="5">
        <v>44713</v>
      </c>
      <c r="J396" s="6">
        <v>0</v>
      </c>
      <c r="K396" s="6">
        <v>0</v>
      </c>
      <c r="L396" s="6">
        <v>23.04</v>
      </c>
      <c r="M396" s="6">
        <v>23.04</v>
      </c>
      <c r="N396" s="6">
        <v>23.04</v>
      </c>
      <c r="O396" s="6">
        <v>23.04</v>
      </c>
      <c r="P396" s="6">
        <v>105</v>
      </c>
      <c r="Q396" s="4" t="s">
        <v>26</v>
      </c>
      <c r="R396" s="4">
        <v>0</v>
      </c>
      <c r="S396" s="4">
        <v>0</v>
      </c>
      <c r="T396" s="4">
        <v>43</v>
      </c>
      <c r="U396" s="4">
        <v>84</v>
      </c>
      <c r="V396" s="6">
        <f>IF(ISERROR(VLOOKUP($S$396,'TAR FIN'!$A$1:$O$103,15,0)),0,VLOOKUP($S$396,'TAR FIN'!$A$1:$O$103,15,0))</f>
        <v>0</v>
      </c>
      <c r="W396" s="6">
        <f>IF(ISERROR(VLOOKUP($T$396,'TAR FIN'!$A$1:$O$103,15,0)),0,VLOOKUP($T$396,'TAR FIN'!$A$1:$O$103,15,0))</f>
        <v>334.07</v>
      </c>
      <c r="X396" s="6">
        <f>IF(ISERROR(VLOOKUP($U$396,'TAR FIN'!$A$1:$O$103,15,0)),0,VLOOKUP($U$396,'TAR FIN'!$A$1:$O$103,15,0))</f>
        <v>224.55</v>
      </c>
      <c r="Y396" s="6"/>
      <c r="Z396" s="6">
        <f ca="1">('TUSD BE'!$AM$45+'TUSD BF'!$AM$45+'TUSD CVA'!$AM$45)*(1-CUSTOS!$M$38)</f>
        <v>453.14332034419533</v>
      </c>
      <c r="AA396" s="6">
        <f>('TE BE'!$AB$26+'TE BF'!$AB$26+'TE CVA'!$AB$26)*(1-CUSTOS!$M$38)</f>
        <v>219.98233758978921</v>
      </c>
      <c r="AB396" s="6">
        <f t="shared" si="22"/>
        <v>0</v>
      </c>
      <c r="AC396" s="6">
        <f>(L396-M396)*(W396+X396)+($W$247+$X$247-$W$396-$X$396)*(L396)</f>
        <v>1754.956799999999</v>
      </c>
      <c r="AD396" s="6">
        <f t="shared" si="23"/>
        <v>0</v>
      </c>
      <c r="AE396" s="6">
        <f ca="1">(L396-M396)*(Z396+AA396)+($Z$247+$AA$247-$Z$396-$AA$396)*(L396)</f>
        <v>989.92437183823449</v>
      </c>
      <c r="AF396" s="4" t="s">
        <v>811</v>
      </c>
    </row>
    <row r="397" spans="1:32" ht="11.25" customHeight="1" x14ac:dyDescent="0.3">
      <c r="A397" s="4" t="s">
        <v>21</v>
      </c>
      <c r="B397" s="4" t="s">
        <v>43</v>
      </c>
      <c r="C397" s="4" t="s">
        <v>23</v>
      </c>
      <c r="D397" s="4" t="s">
        <v>44</v>
      </c>
      <c r="E397" s="4" t="s">
        <v>25</v>
      </c>
      <c r="F397" s="4" t="s">
        <v>25</v>
      </c>
      <c r="G397" s="4" t="s">
        <v>25</v>
      </c>
      <c r="H397" s="4" t="s">
        <v>25</v>
      </c>
      <c r="I397" s="5">
        <v>44743</v>
      </c>
      <c r="J397" s="6">
        <v>0</v>
      </c>
      <c r="K397" s="6">
        <v>0</v>
      </c>
      <c r="L397" s="6">
        <v>1133.1010000000001</v>
      </c>
      <c r="M397" s="6">
        <v>1133.1010000000001</v>
      </c>
      <c r="N397" s="6">
        <v>1133.1010000000001</v>
      </c>
      <c r="O397" s="6">
        <v>1133.1010000000001</v>
      </c>
      <c r="P397" s="6">
        <v>4468</v>
      </c>
      <c r="Q397" s="4" t="s">
        <v>26</v>
      </c>
      <c r="R397" s="4">
        <v>0</v>
      </c>
      <c r="S397" s="4">
        <v>0</v>
      </c>
      <c r="T397" s="4">
        <v>43</v>
      </c>
      <c r="U397" s="4">
        <v>84</v>
      </c>
      <c r="V397" s="6">
        <f>IF(ISERROR(VLOOKUP($S$397,'TAR FIN'!$A$1:$O$103,15,0)),0,VLOOKUP($S$397,'TAR FIN'!$A$1:$O$103,15,0))</f>
        <v>0</v>
      </c>
      <c r="W397" s="6">
        <f>IF(ISERROR(VLOOKUP($T$397,'TAR FIN'!$A$1:$O$103,15,0)),0,VLOOKUP($T$397,'TAR FIN'!$A$1:$O$103,15,0))</f>
        <v>334.07</v>
      </c>
      <c r="X397" s="6">
        <f>IF(ISERROR(VLOOKUP($U$397,'TAR FIN'!$A$1:$O$103,15,0)),0,VLOOKUP($U$397,'TAR FIN'!$A$1:$O$103,15,0))</f>
        <v>224.55</v>
      </c>
      <c r="Y397" s="6"/>
      <c r="Z397" s="6">
        <f ca="1">('TUSD BE'!$AM$45+'TUSD BF'!$AM$45+'TUSD CVA'!$AM$45)*(1-CUSTOS!$M$38)</f>
        <v>453.14332034419533</v>
      </c>
      <c r="AA397" s="6">
        <f>('TE BE'!$AB$26+'TE BF'!$AB$26+'TE CVA'!$AB$26)*(1-CUSTOS!$M$38)</f>
        <v>219.98233758978921</v>
      </c>
      <c r="AB397" s="6">
        <f t="shared" si="22"/>
        <v>0</v>
      </c>
      <c r="AC397" s="6">
        <f>(L397-M397)*(W397+X397)+($W$247+$X$247-$W$397-$X$397)*(L397)</f>
        <v>86308.303169999956</v>
      </c>
      <c r="AD397" s="6">
        <f t="shared" si="23"/>
        <v>0</v>
      </c>
      <c r="AE397" s="6">
        <f ca="1">(L397-M397)*(Z397+AA397)+($Z$247+$AA$247-$Z$397-$AA$397)*(L397)</f>
        <v>48684.214221105707</v>
      </c>
      <c r="AF397" s="4" t="s">
        <v>811</v>
      </c>
    </row>
    <row r="398" spans="1:32" ht="11.25" customHeight="1" x14ac:dyDescent="0.3">
      <c r="A398" s="4" t="s">
        <v>28</v>
      </c>
      <c r="B398" s="4" t="s">
        <v>43</v>
      </c>
      <c r="C398" s="4" t="s">
        <v>23</v>
      </c>
      <c r="D398" s="4" t="s">
        <v>44</v>
      </c>
      <c r="E398" s="4" t="s">
        <v>25</v>
      </c>
      <c r="F398" s="4" t="s">
        <v>25</v>
      </c>
      <c r="G398" s="4" t="s">
        <v>25</v>
      </c>
      <c r="H398" s="4" t="s">
        <v>25</v>
      </c>
      <c r="I398" s="5">
        <v>44743</v>
      </c>
      <c r="J398" s="6">
        <v>0</v>
      </c>
      <c r="K398" s="6">
        <v>0</v>
      </c>
      <c r="L398" s="6">
        <v>25.085000000000001</v>
      </c>
      <c r="M398" s="6">
        <v>25.085000000000001</v>
      </c>
      <c r="N398" s="6">
        <v>25.085000000000001</v>
      </c>
      <c r="O398" s="6">
        <v>25.085000000000001</v>
      </c>
      <c r="P398" s="6">
        <v>109</v>
      </c>
      <c r="Q398" s="4" t="s">
        <v>26</v>
      </c>
      <c r="R398" s="4">
        <v>0</v>
      </c>
      <c r="S398" s="4">
        <v>0</v>
      </c>
      <c r="T398" s="4">
        <v>43</v>
      </c>
      <c r="U398" s="4">
        <v>84</v>
      </c>
      <c r="V398" s="6">
        <f>IF(ISERROR(VLOOKUP($S$398,'TAR FIN'!$A$1:$O$103,15,0)),0,VLOOKUP($S$398,'TAR FIN'!$A$1:$O$103,15,0))</f>
        <v>0</v>
      </c>
      <c r="W398" s="6">
        <f>IF(ISERROR(VLOOKUP($T$398,'TAR FIN'!$A$1:$O$103,15,0)),0,VLOOKUP($T$398,'TAR FIN'!$A$1:$O$103,15,0))</f>
        <v>334.07</v>
      </c>
      <c r="X398" s="6">
        <f>IF(ISERROR(VLOOKUP($U$398,'TAR FIN'!$A$1:$O$103,15,0)),0,VLOOKUP($U$398,'TAR FIN'!$A$1:$O$103,15,0))</f>
        <v>224.55</v>
      </c>
      <c r="Y398" s="6"/>
      <c r="Z398" s="6">
        <f ca="1">('TUSD BE'!$AM$45+'TUSD BF'!$AM$45+'TUSD CVA'!$AM$45)*(1-CUSTOS!$M$38)</f>
        <v>453.14332034419533</v>
      </c>
      <c r="AA398" s="6">
        <f>('TE BE'!$AB$26+'TE BF'!$AB$26+'TE CVA'!$AB$26)*(1-CUSTOS!$M$38)</f>
        <v>219.98233758978921</v>
      </c>
      <c r="AB398" s="6">
        <f t="shared" si="22"/>
        <v>0</v>
      </c>
      <c r="AC398" s="6">
        <f>(L398-M398)*(W398+X398)+($W$247+$X$247-$W$398-$X$398)*(L398)</f>
        <v>1910.724449999999</v>
      </c>
      <c r="AD398" s="6">
        <f t="shared" si="23"/>
        <v>0</v>
      </c>
      <c r="AE398" s="6">
        <f ca="1">(L398-M398)*(Z398+AA398)+($Z$247+$AA$247-$Z$398-$AA$398)*(L398)</f>
        <v>1077.7887529323834</v>
      </c>
      <c r="AF398" s="4" t="s">
        <v>811</v>
      </c>
    </row>
    <row r="399" spans="1:32" ht="11.25" customHeight="1" x14ac:dyDescent="0.3">
      <c r="A399" s="4" t="s">
        <v>21</v>
      </c>
      <c r="B399" s="4" t="s">
        <v>43</v>
      </c>
      <c r="C399" s="4" t="s">
        <v>23</v>
      </c>
      <c r="D399" s="4" t="s">
        <v>44</v>
      </c>
      <c r="E399" s="4" t="s">
        <v>25</v>
      </c>
      <c r="F399" s="4" t="s">
        <v>25</v>
      </c>
      <c r="G399" s="4" t="s">
        <v>25</v>
      </c>
      <c r="H399" s="4" t="s">
        <v>25</v>
      </c>
      <c r="I399" s="5">
        <v>44774</v>
      </c>
      <c r="J399" s="6">
        <v>0</v>
      </c>
      <c r="K399" s="6">
        <v>0</v>
      </c>
      <c r="L399" s="6">
        <v>1323.0640000000001</v>
      </c>
      <c r="M399" s="6">
        <v>1323.0640000000001</v>
      </c>
      <c r="N399" s="6">
        <v>1323.0640000000001</v>
      </c>
      <c r="O399" s="6">
        <v>1323.0640000000001</v>
      </c>
      <c r="P399" s="6">
        <v>4459</v>
      </c>
      <c r="Q399" s="4" t="s">
        <v>26</v>
      </c>
      <c r="R399" s="4">
        <v>0</v>
      </c>
      <c r="S399" s="4">
        <v>0</v>
      </c>
      <c r="T399" s="4">
        <v>43</v>
      </c>
      <c r="U399" s="4">
        <v>84</v>
      </c>
      <c r="V399" s="6">
        <f>IF(ISERROR(VLOOKUP($S$399,'TAR FIN'!$A$1:$O$103,15,0)),0,VLOOKUP($S$399,'TAR FIN'!$A$1:$O$103,15,0))</f>
        <v>0</v>
      </c>
      <c r="W399" s="6">
        <f>IF(ISERROR(VLOOKUP($T$399,'TAR FIN'!$A$1:$O$103,15,0)),0,VLOOKUP($T$399,'TAR FIN'!$A$1:$O$103,15,0))</f>
        <v>334.07</v>
      </c>
      <c r="X399" s="6">
        <f>IF(ISERROR(VLOOKUP($U$399,'TAR FIN'!$A$1:$O$103,15,0)),0,VLOOKUP($U$399,'TAR FIN'!$A$1:$O$103,15,0))</f>
        <v>224.55</v>
      </c>
      <c r="Y399" s="6"/>
      <c r="Z399" s="6">
        <f ca="1">('TUSD BE'!$AM$45+'TUSD BF'!$AM$45+'TUSD CVA'!$AM$45)*(1-CUSTOS!$M$38)</f>
        <v>453.14332034419533</v>
      </c>
      <c r="AA399" s="6">
        <f>('TE BE'!$AB$26+'TE BF'!$AB$26+'TE CVA'!$AB$26)*(1-CUSTOS!$M$38)</f>
        <v>219.98233758978921</v>
      </c>
      <c r="AB399" s="6">
        <f t="shared" si="22"/>
        <v>0</v>
      </c>
      <c r="AC399" s="6">
        <f>(L399-M399)*(W399+X399)+($W$247+$X$247-$W$399-$X$399)*(L399)</f>
        <v>100777.78487999995</v>
      </c>
      <c r="AD399" s="6">
        <f t="shared" si="23"/>
        <v>0</v>
      </c>
      <c r="AE399" s="6">
        <f ca="1">(L399-M399)*(Z399+AA399)+($Z$247+$AA$247-$Z$399-$AA$399)*(L399)</f>
        <v>56846.063329070399</v>
      </c>
      <c r="AF399" s="4" t="s">
        <v>811</v>
      </c>
    </row>
    <row r="400" spans="1:32" ht="11.25" customHeight="1" x14ac:dyDescent="0.3">
      <c r="A400" s="4" t="s">
        <v>28</v>
      </c>
      <c r="B400" s="4" t="s">
        <v>43</v>
      </c>
      <c r="C400" s="4" t="s">
        <v>23</v>
      </c>
      <c r="D400" s="4" t="s">
        <v>44</v>
      </c>
      <c r="E400" s="4" t="s">
        <v>25</v>
      </c>
      <c r="F400" s="4" t="s">
        <v>25</v>
      </c>
      <c r="G400" s="4" t="s">
        <v>25</v>
      </c>
      <c r="H400" s="4" t="s">
        <v>25</v>
      </c>
      <c r="I400" s="5">
        <v>44774</v>
      </c>
      <c r="J400" s="6">
        <v>0</v>
      </c>
      <c r="K400" s="6">
        <v>0</v>
      </c>
      <c r="L400" s="6">
        <v>24.838999999999999</v>
      </c>
      <c r="M400" s="6">
        <v>24.838999999999999</v>
      </c>
      <c r="N400" s="6">
        <v>24.838999999999999</v>
      </c>
      <c r="O400" s="6">
        <v>24.838999999999999</v>
      </c>
      <c r="P400" s="6">
        <v>117</v>
      </c>
      <c r="Q400" s="4" t="s">
        <v>26</v>
      </c>
      <c r="R400" s="4">
        <v>0</v>
      </c>
      <c r="S400" s="4">
        <v>0</v>
      </c>
      <c r="T400" s="4">
        <v>43</v>
      </c>
      <c r="U400" s="4">
        <v>84</v>
      </c>
      <c r="V400" s="6">
        <f>IF(ISERROR(VLOOKUP($S$400,'TAR FIN'!$A$1:$O$103,15,0)),0,VLOOKUP($S$400,'TAR FIN'!$A$1:$O$103,15,0))</f>
        <v>0</v>
      </c>
      <c r="W400" s="6">
        <f>IF(ISERROR(VLOOKUP($T$400,'TAR FIN'!$A$1:$O$103,15,0)),0,VLOOKUP($T$400,'TAR FIN'!$A$1:$O$103,15,0))</f>
        <v>334.07</v>
      </c>
      <c r="X400" s="6">
        <f>IF(ISERROR(VLOOKUP($U$400,'TAR FIN'!$A$1:$O$103,15,0)),0,VLOOKUP($U$400,'TAR FIN'!$A$1:$O$103,15,0))</f>
        <v>224.55</v>
      </c>
      <c r="Y400" s="6"/>
      <c r="Z400" s="6">
        <f ca="1">('TUSD BE'!$AM$45+'TUSD BF'!$AM$45+'TUSD CVA'!$AM$45)*(1-CUSTOS!$M$38)</f>
        <v>453.14332034419533</v>
      </c>
      <c r="AA400" s="6">
        <f>('TE BE'!$AB$26+'TE BF'!$AB$26+'TE CVA'!$AB$26)*(1-CUSTOS!$M$38)</f>
        <v>219.98233758978921</v>
      </c>
      <c r="AB400" s="6">
        <f t="shared" si="22"/>
        <v>0</v>
      </c>
      <c r="AC400" s="6">
        <f>(L400-M400)*(W400+X400)+($W$247+$X$247-$W$400-$X$400)*(L400)</f>
        <v>1891.986629999999</v>
      </c>
      <c r="AD400" s="6">
        <f t="shared" si="23"/>
        <v>0</v>
      </c>
      <c r="AE400" s="6">
        <f ca="1">(L400-M400)*(Z400+AA400)+($Z$247+$AA$247-$Z$400-$AA$400)*(L400)</f>
        <v>1067.2192479205689</v>
      </c>
      <c r="AF400" s="4" t="s">
        <v>811</v>
      </c>
    </row>
    <row r="401" spans="1:32" ht="11.25" customHeight="1" x14ac:dyDescent="0.3">
      <c r="A401" s="4" t="s">
        <v>21</v>
      </c>
      <c r="B401" s="4" t="s">
        <v>43</v>
      </c>
      <c r="C401" s="4" t="s">
        <v>23</v>
      </c>
      <c r="D401" s="4" t="s">
        <v>44</v>
      </c>
      <c r="E401" s="4" t="s">
        <v>25</v>
      </c>
      <c r="F401" s="4" t="s">
        <v>25</v>
      </c>
      <c r="G401" s="4" t="s">
        <v>25</v>
      </c>
      <c r="H401" s="4" t="s">
        <v>25</v>
      </c>
      <c r="I401" s="5">
        <v>44805</v>
      </c>
      <c r="J401" s="6">
        <v>0</v>
      </c>
      <c r="K401" s="6">
        <v>0</v>
      </c>
      <c r="L401" s="6">
        <v>1539.942</v>
      </c>
      <c r="M401" s="6">
        <v>1539.942</v>
      </c>
      <c r="N401" s="6">
        <v>1539.942</v>
      </c>
      <c r="O401" s="6">
        <v>1539.942</v>
      </c>
      <c r="P401" s="6">
        <v>4452</v>
      </c>
      <c r="Q401" s="4" t="s">
        <v>26</v>
      </c>
      <c r="R401" s="4">
        <v>0</v>
      </c>
      <c r="S401" s="4">
        <v>0</v>
      </c>
      <c r="T401" s="4">
        <v>43</v>
      </c>
      <c r="U401" s="4">
        <v>84</v>
      </c>
      <c r="V401" s="6">
        <f>IF(ISERROR(VLOOKUP($S$401,'TAR FIN'!$A$1:$O$103,15,0)),0,VLOOKUP($S$401,'TAR FIN'!$A$1:$O$103,15,0))</f>
        <v>0</v>
      </c>
      <c r="W401" s="6">
        <f>IF(ISERROR(VLOOKUP($T$401,'TAR FIN'!$A$1:$O$103,15,0)),0,VLOOKUP($T$401,'TAR FIN'!$A$1:$O$103,15,0))</f>
        <v>334.07</v>
      </c>
      <c r="X401" s="6">
        <f>IF(ISERROR(VLOOKUP($U$401,'TAR FIN'!$A$1:$O$103,15,0)),0,VLOOKUP($U$401,'TAR FIN'!$A$1:$O$103,15,0))</f>
        <v>224.55</v>
      </c>
      <c r="Y401" s="6"/>
      <c r="Z401" s="6">
        <f ca="1">('TUSD BE'!$AM$45+'TUSD BF'!$AM$45+'TUSD CVA'!$AM$45)*(1-CUSTOS!$M$38)</f>
        <v>453.14332034419533</v>
      </c>
      <c r="AA401" s="6">
        <f>('TE BE'!$AB$26+'TE BF'!$AB$26+'TE CVA'!$AB$26)*(1-CUSTOS!$M$38)</f>
        <v>219.98233758978921</v>
      </c>
      <c r="AB401" s="6">
        <f t="shared" si="22"/>
        <v>0</v>
      </c>
      <c r="AC401" s="6">
        <f>(L401-M401)*(W401+X401)+($W$247+$X$247-$W$401-$X$401)*(L401)</f>
        <v>117297.38213999994</v>
      </c>
      <c r="AD401" s="6">
        <f t="shared" si="23"/>
        <v>0</v>
      </c>
      <c r="AE401" s="6">
        <f ca="1">(L401-M401)*(Z401+AA401)+($Z$247+$AA$247-$Z$401-$AA$401)*(L401)</f>
        <v>66164.327995543164</v>
      </c>
      <c r="AF401" s="4" t="s">
        <v>811</v>
      </c>
    </row>
    <row r="402" spans="1:32" ht="11.25" customHeight="1" x14ac:dyDescent="0.3">
      <c r="A402" s="4" t="s">
        <v>28</v>
      </c>
      <c r="B402" s="4" t="s">
        <v>43</v>
      </c>
      <c r="C402" s="4" t="s">
        <v>23</v>
      </c>
      <c r="D402" s="4" t="s">
        <v>44</v>
      </c>
      <c r="E402" s="4" t="s">
        <v>25</v>
      </c>
      <c r="F402" s="4" t="s">
        <v>25</v>
      </c>
      <c r="G402" s="4" t="s">
        <v>25</v>
      </c>
      <c r="H402" s="4" t="s">
        <v>25</v>
      </c>
      <c r="I402" s="5">
        <v>44805</v>
      </c>
      <c r="J402" s="6">
        <v>0</v>
      </c>
      <c r="K402" s="6">
        <v>0</v>
      </c>
      <c r="L402" s="6">
        <v>27.417000000000002</v>
      </c>
      <c r="M402" s="6">
        <v>27.417000000000002</v>
      </c>
      <c r="N402" s="6">
        <v>27.417000000000002</v>
      </c>
      <c r="O402" s="6">
        <v>27.417000000000002</v>
      </c>
      <c r="P402" s="6">
        <v>125</v>
      </c>
      <c r="Q402" s="4" t="s">
        <v>26</v>
      </c>
      <c r="R402" s="4">
        <v>0</v>
      </c>
      <c r="S402" s="4">
        <v>0</v>
      </c>
      <c r="T402" s="4">
        <v>43</v>
      </c>
      <c r="U402" s="4">
        <v>84</v>
      </c>
      <c r="V402" s="6">
        <f>IF(ISERROR(VLOOKUP($S$402,'TAR FIN'!$A$1:$O$103,15,0)),0,VLOOKUP($S$402,'TAR FIN'!$A$1:$O$103,15,0))</f>
        <v>0</v>
      </c>
      <c r="W402" s="6">
        <f>IF(ISERROR(VLOOKUP($T$402,'TAR FIN'!$A$1:$O$103,15,0)),0,VLOOKUP($T$402,'TAR FIN'!$A$1:$O$103,15,0))</f>
        <v>334.07</v>
      </c>
      <c r="X402" s="6">
        <f>IF(ISERROR(VLOOKUP($U$402,'TAR FIN'!$A$1:$O$103,15,0)),0,VLOOKUP($U$402,'TAR FIN'!$A$1:$O$103,15,0))</f>
        <v>224.55</v>
      </c>
      <c r="Y402" s="6"/>
      <c r="Z402" s="6">
        <f ca="1">('TUSD BE'!$AM$45+'TUSD BF'!$AM$45+'TUSD CVA'!$AM$45)*(1-CUSTOS!$M$38)</f>
        <v>453.14332034419533</v>
      </c>
      <c r="AA402" s="6">
        <f>('TE BE'!$AB$26+'TE BF'!$AB$26+'TE CVA'!$AB$26)*(1-CUSTOS!$M$38)</f>
        <v>219.98233758978921</v>
      </c>
      <c r="AB402" s="6">
        <f t="shared" si="22"/>
        <v>0</v>
      </c>
      <c r="AC402" s="6">
        <f>(L402-M402)*(W402+X402)+($W$247+$X$247-$W$402-$X$402)*(L402)</f>
        <v>2088.3528899999992</v>
      </c>
      <c r="AD402" s="6">
        <f t="shared" si="23"/>
        <v>0</v>
      </c>
      <c r="AE402" s="6">
        <f ca="1">(L402-M402)*(Z402+AA402)+($Z$247+$AA$247-$Z$402-$AA$402)*(L402)</f>
        <v>1177.9842232069825</v>
      </c>
      <c r="AF402" s="4" t="s">
        <v>811</v>
      </c>
    </row>
    <row r="403" spans="1:32" ht="11.25" customHeight="1" x14ac:dyDescent="0.3">
      <c r="A403" s="4" t="s">
        <v>57</v>
      </c>
      <c r="B403" s="4" t="s">
        <v>43</v>
      </c>
      <c r="C403" s="4" t="s">
        <v>23</v>
      </c>
      <c r="D403" s="4" t="s">
        <v>44</v>
      </c>
      <c r="E403" s="4" t="s">
        <v>25</v>
      </c>
      <c r="F403" s="4" t="s">
        <v>25</v>
      </c>
      <c r="G403" s="4" t="s">
        <v>25</v>
      </c>
      <c r="H403" s="4" t="s">
        <v>25</v>
      </c>
      <c r="I403" s="5">
        <v>44835</v>
      </c>
      <c r="J403" s="6">
        <v>0</v>
      </c>
      <c r="K403" s="6">
        <v>0</v>
      </c>
      <c r="L403" s="6">
        <v>1539.942</v>
      </c>
      <c r="M403" s="6">
        <v>1539.942</v>
      </c>
      <c r="N403" s="6">
        <v>1539.942</v>
      </c>
      <c r="O403" s="6">
        <v>1539.942</v>
      </c>
      <c r="P403" s="6">
        <v>4452</v>
      </c>
      <c r="Q403" s="4" t="s">
        <v>26</v>
      </c>
      <c r="R403" s="4">
        <v>0</v>
      </c>
      <c r="S403" s="4">
        <v>0</v>
      </c>
      <c r="T403" s="4">
        <v>43</v>
      </c>
      <c r="U403" s="4">
        <v>84</v>
      </c>
      <c r="V403" s="6">
        <f>IF(ISERROR(VLOOKUP($S$403,'TAR FIN'!$A$1:$O$103,15,0)),0,VLOOKUP($S$403,'TAR FIN'!$A$1:$O$103,15,0))</f>
        <v>0</v>
      </c>
      <c r="W403" s="6">
        <f>IF(ISERROR(VLOOKUP($T$403,'TAR FIN'!$A$1:$O$103,15,0)),0,VLOOKUP($T$403,'TAR FIN'!$A$1:$O$103,15,0))</f>
        <v>334.07</v>
      </c>
      <c r="X403" s="6">
        <f>IF(ISERROR(VLOOKUP($U$403,'TAR FIN'!$A$1:$O$103,15,0)),0,VLOOKUP($U$403,'TAR FIN'!$A$1:$O$103,15,0))</f>
        <v>224.55</v>
      </c>
      <c r="Y403" s="6"/>
      <c r="Z403" s="6">
        <f ca="1">('TUSD BE'!$AM$45+'TUSD BF'!$AM$45+'TUSD CVA'!$AM$45)*(1-CUSTOS!$M$38)</f>
        <v>453.14332034419533</v>
      </c>
      <c r="AA403" s="6">
        <f>('TE BE'!$AB$26+'TE BF'!$AB$26+'TE CVA'!$AB$26)*(1-CUSTOS!$M$38)</f>
        <v>219.98233758978921</v>
      </c>
      <c r="AB403" s="6">
        <f t="shared" si="22"/>
        <v>0</v>
      </c>
      <c r="AC403" s="6">
        <f>(L403-M403)*(W403+X403)+($W$247+$X$247-$W$403-$X$403)*(L403)</f>
        <v>117297.38213999994</v>
      </c>
      <c r="AD403" s="6">
        <f t="shared" si="23"/>
        <v>0</v>
      </c>
      <c r="AE403" s="6">
        <f ca="1">(L403-M403)*(Z403+AA403)+($Z$247+$AA$247-$Z$403-$AA$403)*(L403)</f>
        <v>66164.327995543164</v>
      </c>
      <c r="AF403" s="4" t="s">
        <v>811</v>
      </c>
    </row>
    <row r="404" spans="1:32" ht="11.25" customHeight="1" x14ac:dyDescent="0.3">
      <c r="A404" s="4" t="s">
        <v>57</v>
      </c>
      <c r="B404" s="4" t="s">
        <v>43</v>
      </c>
      <c r="C404" s="4" t="s">
        <v>23</v>
      </c>
      <c r="D404" s="4" t="s">
        <v>44</v>
      </c>
      <c r="E404" s="4" t="s">
        <v>25</v>
      </c>
      <c r="F404" s="4" t="s">
        <v>25</v>
      </c>
      <c r="G404" s="4" t="s">
        <v>25</v>
      </c>
      <c r="H404" s="4" t="s">
        <v>25</v>
      </c>
      <c r="I404" s="5">
        <v>44835</v>
      </c>
      <c r="J404" s="6">
        <v>0</v>
      </c>
      <c r="K404" s="6">
        <v>0</v>
      </c>
      <c r="L404" s="6">
        <v>27.417000000000002</v>
      </c>
      <c r="M404" s="6">
        <v>27.417000000000002</v>
      </c>
      <c r="N404" s="6">
        <v>27.417000000000002</v>
      </c>
      <c r="O404" s="6">
        <v>27.417000000000002</v>
      </c>
      <c r="P404" s="6">
        <v>125</v>
      </c>
      <c r="Q404" s="4" t="s">
        <v>26</v>
      </c>
      <c r="R404" s="4">
        <v>0</v>
      </c>
      <c r="S404" s="4">
        <v>0</v>
      </c>
      <c r="T404" s="4">
        <v>43</v>
      </c>
      <c r="U404" s="4">
        <v>84</v>
      </c>
      <c r="V404" s="6">
        <f>IF(ISERROR(VLOOKUP($S$404,'TAR FIN'!$A$1:$O$103,15,0)),0,VLOOKUP($S$404,'TAR FIN'!$A$1:$O$103,15,0))</f>
        <v>0</v>
      </c>
      <c r="W404" s="6">
        <f>IF(ISERROR(VLOOKUP($T$404,'TAR FIN'!$A$1:$O$103,15,0)),0,VLOOKUP($T$404,'TAR FIN'!$A$1:$O$103,15,0))</f>
        <v>334.07</v>
      </c>
      <c r="X404" s="6">
        <f>IF(ISERROR(VLOOKUP($U$404,'TAR FIN'!$A$1:$O$103,15,0)),0,VLOOKUP($U$404,'TAR FIN'!$A$1:$O$103,15,0))</f>
        <v>224.55</v>
      </c>
      <c r="Y404" s="6"/>
      <c r="Z404" s="6">
        <f ca="1">('TUSD BE'!$AM$45+'TUSD BF'!$AM$45+'TUSD CVA'!$AM$45)*(1-CUSTOS!$M$38)</f>
        <v>453.14332034419533</v>
      </c>
      <c r="AA404" s="6">
        <f>('TE BE'!$AB$26+'TE BF'!$AB$26+'TE CVA'!$AB$26)*(1-CUSTOS!$M$38)</f>
        <v>219.98233758978921</v>
      </c>
      <c r="AB404" s="6">
        <f t="shared" si="22"/>
        <v>0</v>
      </c>
      <c r="AC404" s="6">
        <f>(L404-M404)*(W404+X404)+($W$247+$X$247-$W$404-$X$404)*(L404)</f>
        <v>2088.3528899999992</v>
      </c>
      <c r="AD404" s="6">
        <f t="shared" si="23"/>
        <v>0</v>
      </c>
      <c r="AE404" s="6">
        <f ca="1">(L404-M404)*(Z404+AA404)+($Z$247+$AA$247-$Z$404-$AA$404)*(L404)</f>
        <v>1177.9842232069825</v>
      </c>
      <c r="AF404" s="4" t="s">
        <v>811</v>
      </c>
    </row>
    <row r="405" spans="1:32" ht="11.25" customHeight="1" x14ac:dyDescent="0.3">
      <c r="A405" s="4" t="s">
        <v>21</v>
      </c>
      <c r="B405" s="4" t="s">
        <v>37</v>
      </c>
      <c r="C405" s="4" t="s">
        <v>23</v>
      </c>
      <c r="D405" s="4" t="s">
        <v>50</v>
      </c>
      <c r="E405" s="4" t="s">
        <v>51</v>
      </c>
      <c r="F405" s="4" t="s">
        <v>25</v>
      </c>
      <c r="G405" s="4" t="s">
        <v>25</v>
      </c>
      <c r="H405" s="4" t="s">
        <v>25</v>
      </c>
      <c r="I405" s="5">
        <v>44501</v>
      </c>
      <c r="J405" s="6">
        <v>0</v>
      </c>
      <c r="K405" s="52">
        <v>0</v>
      </c>
      <c r="L405" s="6">
        <v>136.46199999999999</v>
      </c>
      <c r="M405" s="52">
        <v>136.46199999999999</v>
      </c>
      <c r="N405" s="6">
        <v>136.46199999999999</v>
      </c>
      <c r="O405" s="52">
        <v>136.46199999999999</v>
      </c>
      <c r="P405" s="6">
        <v>60</v>
      </c>
      <c r="Q405" s="4" t="s">
        <v>26</v>
      </c>
      <c r="R405" s="4">
        <v>0</v>
      </c>
      <c r="S405" s="4">
        <v>0</v>
      </c>
      <c r="T405" s="4">
        <v>58</v>
      </c>
      <c r="U405" s="4">
        <v>99</v>
      </c>
      <c r="V405" s="52">
        <f>IF(ISERROR(VLOOKUP($S$405,'TAR FIN'!$A$1:$O$103,15,0)),0,VLOOKUP($S$405,'TAR FIN'!$A$1:$O$103,15,0))</f>
        <v>0</v>
      </c>
      <c r="W405" s="52">
        <f>IF(ISERROR(VLOOKUP($T$405,'TAR FIN'!$A$1:$O$103,15,0)),0,VLOOKUP($T$405,'TAR FIN'!$A$1:$O$103,15,0))*(1-0.06)</f>
        <v>356.84280000000001</v>
      </c>
      <c r="X405" s="52">
        <f>IF(ISERROR(VLOOKUP($U$405,'TAR FIN'!$A$1:$O$103,15,0)),0,VLOOKUP($U$405,'TAR FIN'!$A$1:$O$103,15,0))*(1-0.06)</f>
        <v>239.85979999999998</v>
      </c>
      <c r="Y405" s="52"/>
      <c r="Z405" s="52">
        <f ca="1">('TUSD BE'!$AM$60+'TUSD BF'!$AM$60+'TUSD CVA'!$AM$60)*1*(1-0.03)</f>
        <v>467.60534120624413</v>
      </c>
      <c r="AA405" s="52">
        <f>('TE BE'!$AB$41+'TE BF'!$AB$41+'TE CVA'!$AB$41)*1*(1-0.03)</f>
        <v>227.00305049159098</v>
      </c>
      <c r="AB405" s="52">
        <f>(SUBSIDIO!$J$405*SUBSIDIO!$V$405)*(0.06)/(1-0.06)</f>
        <v>0</v>
      </c>
      <c r="AC405" s="52">
        <f>((SUBSIDIO!$L$405*SUBSIDIO!$W$405)+(SUBSIDIO!$N$405*SUBSIDIO!$X$405))*(0.06)/(1-0.06)</f>
        <v>5197.4827787999993</v>
      </c>
      <c r="AD405" s="52">
        <f>(SUBSIDIO!$J$405*SUBSIDIO!$Y$405)*(0.03)/(1-0.03)</f>
        <v>0</v>
      </c>
      <c r="AE405" s="52">
        <f ca="1">((SUBSIDIO!$L$405*SUBSIDIO!$Z$405)+(SUBSIDIO!$N$405*SUBSIDIO!$AA$405))*(0.03)/(1-0.03)</f>
        <v>2931.5768148825764</v>
      </c>
      <c r="AF405" s="4" t="s">
        <v>814</v>
      </c>
    </row>
    <row r="406" spans="1:32" ht="11.25" customHeight="1" x14ac:dyDescent="0.3">
      <c r="A406" s="4" t="s">
        <v>21</v>
      </c>
      <c r="B406" s="4" t="s">
        <v>37</v>
      </c>
      <c r="C406" s="4" t="s">
        <v>23</v>
      </c>
      <c r="D406" s="4" t="s">
        <v>50</v>
      </c>
      <c r="E406" s="4" t="s">
        <v>51</v>
      </c>
      <c r="F406" s="4" t="s">
        <v>25</v>
      </c>
      <c r="G406" s="4" t="s">
        <v>25</v>
      </c>
      <c r="H406" s="4" t="s">
        <v>25</v>
      </c>
      <c r="I406" s="5">
        <v>44531</v>
      </c>
      <c r="J406" s="6">
        <v>0</v>
      </c>
      <c r="K406" s="52">
        <v>0</v>
      </c>
      <c r="L406" s="6">
        <v>126.931</v>
      </c>
      <c r="M406" s="52">
        <v>126.931</v>
      </c>
      <c r="N406" s="6">
        <v>126.931</v>
      </c>
      <c r="O406" s="52">
        <v>126.931</v>
      </c>
      <c r="P406" s="6">
        <v>60</v>
      </c>
      <c r="Q406" s="4" t="s">
        <v>26</v>
      </c>
      <c r="R406" s="4">
        <v>0</v>
      </c>
      <c r="S406" s="4">
        <v>0</v>
      </c>
      <c r="T406" s="4">
        <v>58</v>
      </c>
      <c r="U406" s="4">
        <v>99</v>
      </c>
      <c r="V406" s="52">
        <f>IF(ISERROR(VLOOKUP($S$406,'TAR FIN'!$A$1:$O$103,15,0)),0,VLOOKUP($S$406,'TAR FIN'!$A$1:$O$103,15,0))</f>
        <v>0</v>
      </c>
      <c r="W406" s="52">
        <f>IF(ISERROR(VLOOKUP($T$406,'TAR FIN'!$A$1:$O$103,15,0)),0,VLOOKUP($T$406,'TAR FIN'!$A$1:$O$103,15,0))*(1-0.06)</f>
        <v>356.84280000000001</v>
      </c>
      <c r="X406" s="52">
        <f>IF(ISERROR(VLOOKUP($U$406,'TAR FIN'!$A$1:$O$103,15,0)),0,VLOOKUP($U$406,'TAR FIN'!$A$1:$O$103,15,0))*(1-0.06)</f>
        <v>239.85979999999998</v>
      </c>
      <c r="Y406" s="52"/>
      <c r="Z406" s="52">
        <f ca="1">('TUSD BE'!$AM$60+'TUSD BF'!$AM$60+'TUSD CVA'!$AM$60)*1*(1-0.03)</f>
        <v>467.60534120624413</v>
      </c>
      <c r="AA406" s="52">
        <f>('TE BE'!$AB$41+'TE BF'!$AB$41+'TE CVA'!$AB$41)*1*(1-0.03)</f>
        <v>227.00305049159098</v>
      </c>
      <c r="AB406" s="52">
        <f>(SUBSIDIO!$J$406*SUBSIDIO!$V$406)*(0.06)/(1-0.06)</f>
        <v>0</v>
      </c>
      <c r="AC406" s="52">
        <f>((SUBSIDIO!$L$406*SUBSIDIO!$W$406)+(SUBSIDIO!$N$406*SUBSIDIO!$X$406))*(0.06)/(1-0.06)</f>
        <v>4834.4717693999992</v>
      </c>
      <c r="AD406" s="52">
        <f>(SUBSIDIO!$J$406*SUBSIDIO!$Y$406)*(0.03)/(1-0.03)</f>
        <v>0</v>
      </c>
      <c r="AE406" s="52">
        <f ca="1">((SUBSIDIO!$L$406*SUBSIDIO!$Z$406)+(SUBSIDIO!$N$406*SUBSIDIO!$AA$406))*(0.03)/(1-0.03)</f>
        <v>2726.8248793793168</v>
      </c>
      <c r="AF406" s="4" t="s">
        <v>814</v>
      </c>
    </row>
    <row r="407" spans="1:32" ht="11.25" customHeight="1" x14ac:dyDescent="0.3">
      <c r="A407" s="4" t="s">
        <v>21</v>
      </c>
      <c r="B407" s="4" t="s">
        <v>37</v>
      </c>
      <c r="C407" s="4" t="s">
        <v>23</v>
      </c>
      <c r="D407" s="4" t="s">
        <v>50</v>
      </c>
      <c r="E407" s="4" t="s">
        <v>51</v>
      </c>
      <c r="F407" s="4" t="s">
        <v>25</v>
      </c>
      <c r="G407" s="4" t="s">
        <v>25</v>
      </c>
      <c r="H407" s="4" t="s">
        <v>25</v>
      </c>
      <c r="I407" s="5">
        <v>44562</v>
      </c>
      <c r="J407" s="6">
        <v>0</v>
      </c>
      <c r="K407" s="52">
        <v>0</v>
      </c>
      <c r="L407" s="6">
        <v>127.96</v>
      </c>
      <c r="M407" s="52">
        <v>127.96</v>
      </c>
      <c r="N407" s="6">
        <v>127.96</v>
      </c>
      <c r="O407" s="52">
        <v>127.96</v>
      </c>
      <c r="P407" s="6">
        <v>60</v>
      </c>
      <c r="Q407" s="4" t="s">
        <v>26</v>
      </c>
      <c r="R407" s="4">
        <v>0</v>
      </c>
      <c r="S407" s="4">
        <v>0</v>
      </c>
      <c r="T407" s="4">
        <v>58</v>
      </c>
      <c r="U407" s="4">
        <v>99</v>
      </c>
      <c r="V407" s="52">
        <f>IF(ISERROR(VLOOKUP($S$407,'TAR FIN'!$A$1:$O$103,15,0)),0,VLOOKUP($S$407,'TAR FIN'!$A$1:$O$103,15,0))</f>
        <v>0</v>
      </c>
      <c r="W407" s="52">
        <f>IF(ISERROR(VLOOKUP($T$407,'TAR FIN'!$A$1:$O$103,15,0)),0,VLOOKUP($T$407,'TAR FIN'!$A$1:$O$103,15,0))*(1-0.06)</f>
        <v>356.84280000000001</v>
      </c>
      <c r="X407" s="52">
        <f>IF(ISERROR(VLOOKUP($U$407,'TAR FIN'!$A$1:$O$103,15,0)),0,VLOOKUP($U$407,'TAR FIN'!$A$1:$O$103,15,0))*(1-0.06)</f>
        <v>239.85979999999998</v>
      </c>
      <c r="Y407" s="52"/>
      <c r="Z407" s="52">
        <f ca="1">('TUSD BE'!$AM$60+'TUSD BF'!$AM$60+'TUSD CVA'!$AM$60)*1*(1-0.03)</f>
        <v>467.60534120624413</v>
      </c>
      <c r="AA407" s="52">
        <f>('TE BE'!$AB$41+'TE BF'!$AB$41+'TE CVA'!$AB$41)*1*(1-0.03)</f>
        <v>227.00305049159098</v>
      </c>
      <c r="AB407" s="52">
        <f>(SUBSIDIO!$J$407*SUBSIDIO!$V$407)*(0.06)/(1-0.06)</f>
        <v>0</v>
      </c>
      <c r="AC407" s="52">
        <f>((SUBSIDIO!$L$407*SUBSIDIO!$W$407)+(SUBSIDIO!$N$407*SUBSIDIO!$X$407))*(0.06)/(1-0.06)</f>
        <v>4873.6637039999987</v>
      </c>
      <c r="AD407" s="52">
        <f>(SUBSIDIO!$J$407*SUBSIDIO!$Y$407)*(0.03)/(1-0.03)</f>
        <v>0</v>
      </c>
      <c r="AE407" s="52">
        <f ca="1">((SUBSIDIO!$L$407*SUBSIDIO!$Z$407)+(SUBSIDIO!$N$407*SUBSIDIO!$AA$407))*(0.03)/(1-0.03)</f>
        <v>2748.930612422319</v>
      </c>
      <c r="AF407" s="4" t="s">
        <v>814</v>
      </c>
    </row>
    <row r="408" spans="1:32" ht="11.25" customHeight="1" x14ac:dyDescent="0.3">
      <c r="A408" s="4" t="s">
        <v>21</v>
      </c>
      <c r="B408" s="4" t="s">
        <v>37</v>
      </c>
      <c r="C408" s="4" t="s">
        <v>23</v>
      </c>
      <c r="D408" s="4" t="s">
        <v>50</v>
      </c>
      <c r="E408" s="4" t="s">
        <v>51</v>
      </c>
      <c r="F408" s="4" t="s">
        <v>25</v>
      </c>
      <c r="G408" s="4" t="s">
        <v>25</v>
      </c>
      <c r="H408" s="4" t="s">
        <v>25</v>
      </c>
      <c r="I408" s="5">
        <v>44593</v>
      </c>
      <c r="J408" s="6">
        <v>0</v>
      </c>
      <c r="K408" s="52">
        <v>0</v>
      </c>
      <c r="L408" s="6">
        <v>119.953</v>
      </c>
      <c r="M408" s="52">
        <v>119.953</v>
      </c>
      <c r="N408" s="6">
        <v>119.953</v>
      </c>
      <c r="O408" s="52">
        <v>119.953</v>
      </c>
      <c r="P408" s="6">
        <v>60</v>
      </c>
      <c r="Q408" s="4" t="s">
        <v>26</v>
      </c>
      <c r="R408" s="4">
        <v>0</v>
      </c>
      <c r="S408" s="4">
        <v>0</v>
      </c>
      <c r="T408" s="4">
        <v>58</v>
      </c>
      <c r="U408" s="4">
        <v>99</v>
      </c>
      <c r="V408" s="52">
        <f>IF(ISERROR(VLOOKUP($S$408,'TAR FIN'!$A$1:$O$103,15,0)),0,VLOOKUP($S$408,'TAR FIN'!$A$1:$O$103,15,0))</f>
        <v>0</v>
      </c>
      <c r="W408" s="52">
        <f>IF(ISERROR(VLOOKUP($T$408,'TAR FIN'!$A$1:$O$103,15,0)),0,VLOOKUP($T$408,'TAR FIN'!$A$1:$O$103,15,0))*(1-0.06)</f>
        <v>356.84280000000001</v>
      </c>
      <c r="X408" s="52">
        <f>IF(ISERROR(VLOOKUP($U$408,'TAR FIN'!$A$1:$O$103,15,0)),0,VLOOKUP($U$408,'TAR FIN'!$A$1:$O$103,15,0))*(1-0.06)</f>
        <v>239.85979999999998</v>
      </c>
      <c r="Y408" s="52"/>
      <c r="Z408" s="52">
        <f ca="1">('TUSD BE'!$AM$60+'TUSD BF'!$AM$60+'TUSD CVA'!$AM$60)*1*(1-0.03)</f>
        <v>467.60534120624413</v>
      </c>
      <c r="AA408" s="52">
        <f>('TE BE'!$AB$41+'TE BF'!$AB$41+'TE CVA'!$AB$41)*1*(1-0.03)</f>
        <v>227.00305049159098</v>
      </c>
      <c r="AB408" s="52">
        <f>(SUBSIDIO!$J$408*SUBSIDIO!$V$408)*(0.06)/(1-0.06)</f>
        <v>0</v>
      </c>
      <c r="AC408" s="52">
        <f>((SUBSIDIO!$L$408*SUBSIDIO!$W$408)+(SUBSIDIO!$N$408*SUBSIDIO!$X$408))*(0.06)/(1-0.06)</f>
        <v>4568.6978921999998</v>
      </c>
      <c r="AD408" s="52">
        <f>(SUBSIDIO!$J$408*SUBSIDIO!$Y$408)*(0.03)/(1-0.03)</f>
        <v>0</v>
      </c>
      <c r="AE408" s="52">
        <f ca="1">((SUBSIDIO!$L$408*SUBSIDIO!$Z$408)+(SUBSIDIO!$N$408*SUBSIDIO!$AA$408))*(0.03)/(1-0.03)</f>
        <v>2576.9183631751675</v>
      </c>
      <c r="AF408" s="4" t="s">
        <v>814</v>
      </c>
    </row>
    <row r="409" spans="1:32" ht="11.25" customHeight="1" x14ac:dyDescent="0.3">
      <c r="A409" s="4" t="s">
        <v>21</v>
      </c>
      <c r="B409" s="4" t="s">
        <v>37</v>
      </c>
      <c r="C409" s="4" t="s">
        <v>23</v>
      </c>
      <c r="D409" s="4" t="s">
        <v>50</v>
      </c>
      <c r="E409" s="4" t="s">
        <v>51</v>
      </c>
      <c r="F409" s="4" t="s">
        <v>25</v>
      </c>
      <c r="G409" s="4" t="s">
        <v>25</v>
      </c>
      <c r="H409" s="4" t="s">
        <v>25</v>
      </c>
      <c r="I409" s="5">
        <v>44621</v>
      </c>
      <c r="J409" s="6">
        <v>0</v>
      </c>
      <c r="K409" s="52">
        <v>0</v>
      </c>
      <c r="L409" s="6">
        <v>113.24</v>
      </c>
      <c r="M409" s="52">
        <v>113.24</v>
      </c>
      <c r="N409" s="6">
        <v>113.24</v>
      </c>
      <c r="O409" s="52">
        <v>113.24</v>
      </c>
      <c r="P409" s="6">
        <v>60</v>
      </c>
      <c r="Q409" s="4" t="s">
        <v>26</v>
      </c>
      <c r="R409" s="4">
        <v>0</v>
      </c>
      <c r="S409" s="4">
        <v>0</v>
      </c>
      <c r="T409" s="4">
        <v>58</v>
      </c>
      <c r="U409" s="4">
        <v>99</v>
      </c>
      <c r="V409" s="52">
        <f>IF(ISERROR(VLOOKUP($S$409,'TAR FIN'!$A$1:$O$103,15,0)),0,VLOOKUP($S$409,'TAR FIN'!$A$1:$O$103,15,0))</f>
        <v>0</v>
      </c>
      <c r="W409" s="52">
        <f>IF(ISERROR(VLOOKUP($T$409,'TAR FIN'!$A$1:$O$103,15,0)),0,VLOOKUP($T$409,'TAR FIN'!$A$1:$O$103,15,0))*(1-0.06)</f>
        <v>356.84280000000001</v>
      </c>
      <c r="X409" s="52">
        <f>IF(ISERROR(VLOOKUP($U$409,'TAR FIN'!$A$1:$O$103,15,0)),0,VLOOKUP($U$409,'TAR FIN'!$A$1:$O$103,15,0))*(1-0.06)</f>
        <v>239.85979999999998</v>
      </c>
      <c r="Y409" s="52"/>
      <c r="Z409" s="52">
        <f ca="1">('TUSD BE'!$AM$60+'TUSD BF'!$AM$60+'TUSD CVA'!$AM$60)*1*(1-0.03)</f>
        <v>467.60534120624413</v>
      </c>
      <c r="AA409" s="52">
        <f>('TE BE'!$AB$41+'TE BF'!$AB$41+'TE CVA'!$AB$41)*1*(1-0.03)</f>
        <v>227.00305049159098</v>
      </c>
      <c r="AB409" s="52">
        <f>(SUBSIDIO!$J$409*SUBSIDIO!$V$409)*(0.06)/(1-0.06)</f>
        <v>0</v>
      </c>
      <c r="AC409" s="52">
        <f>((SUBSIDIO!$L$409*SUBSIDIO!$W$409)+(SUBSIDIO!$N$409*SUBSIDIO!$X$409))*(0.06)/(1-0.06)</f>
        <v>4313.0171760000003</v>
      </c>
      <c r="AD409" s="52">
        <f>(SUBSIDIO!$J$409*SUBSIDIO!$Y$409)*(0.03)/(1-0.03)</f>
        <v>0</v>
      </c>
      <c r="AE409" s="52">
        <f ca="1">((SUBSIDIO!$L$409*SUBSIDIO!$Z$409)+(SUBSIDIO!$N$409*SUBSIDIO!$AA$409))*(0.03)/(1-0.03)</f>
        <v>2432.7047714184382</v>
      </c>
      <c r="AF409" s="4" t="s">
        <v>814</v>
      </c>
    </row>
    <row r="410" spans="1:32" ht="11.25" customHeight="1" x14ac:dyDescent="0.3">
      <c r="A410" s="4" t="s">
        <v>21</v>
      </c>
      <c r="B410" s="4" t="s">
        <v>37</v>
      </c>
      <c r="C410" s="4" t="s">
        <v>23</v>
      </c>
      <c r="D410" s="4" t="s">
        <v>50</v>
      </c>
      <c r="E410" s="4" t="s">
        <v>51</v>
      </c>
      <c r="F410" s="4" t="s">
        <v>25</v>
      </c>
      <c r="G410" s="4" t="s">
        <v>25</v>
      </c>
      <c r="H410" s="4" t="s">
        <v>25</v>
      </c>
      <c r="I410" s="5">
        <v>44652</v>
      </c>
      <c r="J410" s="6">
        <v>0</v>
      </c>
      <c r="K410" s="52">
        <v>0</v>
      </c>
      <c r="L410" s="6">
        <v>128.71899999999999</v>
      </c>
      <c r="M410" s="52">
        <v>128.71899999999999</v>
      </c>
      <c r="N410" s="6">
        <v>128.71899999999999</v>
      </c>
      <c r="O410" s="52">
        <v>128.71899999999999</v>
      </c>
      <c r="P410" s="6">
        <v>60</v>
      </c>
      <c r="Q410" s="4" t="s">
        <v>26</v>
      </c>
      <c r="R410" s="4">
        <v>0</v>
      </c>
      <c r="S410" s="4">
        <v>0</v>
      </c>
      <c r="T410" s="4">
        <v>58</v>
      </c>
      <c r="U410" s="4">
        <v>99</v>
      </c>
      <c r="V410" s="52">
        <f>IF(ISERROR(VLOOKUP($S$410,'TAR FIN'!$A$1:$O$103,15,0)),0,VLOOKUP($S$410,'TAR FIN'!$A$1:$O$103,15,0))</f>
        <v>0</v>
      </c>
      <c r="W410" s="52">
        <f>IF(ISERROR(VLOOKUP($T$410,'TAR FIN'!$A$1:$O$103,15,0)),0,VLOOKUP($T$410,'TAR FIN'!$A$1:$O$103,15,0))*(1-0.06)</f>
        <v>356.84280000000001</v>
      </c>
      <c r="X410" s="52">
        <f>IF(ISERROR(VLOOKUP($U$410,'TAR FIN'!$A$1:$O$103,15,0)),0,VLOOKUP($U$410,'TAR FIN'!$A$1:$O$103,15,0))*(1-0.06)</f>
        <v>239.85979999999998</v>
      </c>
      <c r="Y410" s="52"/>
      <c r="Z410" s="52">
        <f ca="1">('TUSD BE'!$AM$60+'TUSD BF'!$AM$60+'TUSD CVA'!$AM$60)*1*(1-0.03)</f>
        <v>467.60534120624413</v>
      </c>
      <c r="AA410" s="52">
        <f>('TE BE'!$AB$41+'TE BF'!$AB$41+'TE CVA'!$AB$41)*1*(1-0.03)</f>
        <v>227.00305049159098</v>
      </c>
      <c r="AB410" s="52">
        <f>(SUBSIDIO!$J$410*SUBSIDIO!$V$410)*(0.06)/(1-0.06)</f>
        <v>0</v>
      </c>
      <c r="AC410" s="52">
        <f>((SUBSIDIO!$L$410*SUBSIDIO!$W$410)+(SUBSIDIO!$N$410*SUBSIDIO!$X$410))*(0.06)/(1-0.06)</f>
        <v>4902.5720406</v>
      </c>
      <c r="AD410" s="52">
        <f>(SUBSIDIO!$J$410*SUBSIDIO!$Y$410)*(0.03)/(1-0.03)</f>
        <v>0</v>
      </c>
      <c r="AE410" s="52">
        <f ca="1">((SUBSIDIO!$L$410*SUBSIDIO!$Z$410)+(SUBSIDIO!$N$410*SUBSIDIO!$AA$410))*(0.03)/(1-0.03)</f>
        <v>2765.2360073490818</v>
      </c>
      <c r="AF410" s="4" t="s">
        <v>814</v>
      </c>
    </row>
    <row r="411" spans="1:32" ht="11.25" customHeight="1" x14ac:dyDescent="0.3">
      <c r="A411" s="4" t="s">
        <v>21</v>
      </c>
      <c r="B411" s="4" t="s">
        <v>37</v>
      </c>
      <c r="C411" s="4" t="s">
        <v>23</v>
      </c>
      <c r="D411" s="4" t="s">
        <v>50</v>
      </c>
      <c r="E411" s="4" t="s">
        <v>51</v>
      </c>
      <c r="F411" s="4" t="s">
        <v>25</v>
      </c>
      <c r="G411" s="4" t="s">
        <v>25</v>
      </c>
      <c r="H411" s="4" t="s">
        <v>25</v>
      </c>
      <c r="I411" s="5">
        <v>44682</v>
      </c>
      <c r="J411" s="6">
        <v>0</v>
      </c>
      <c r="K411" s="52">
        <v>0</v>
      </c>
      <c r="L411" s="6">
        <v>136.97</v>
      </c>
      <c r="M411" s="52">
        <v>136.97</v>
      </c>
      <c r="N411" s="6">
        <v>136.97</v>
      </c>
      <c r="O411" s="52">
        <v>136.97</v>
      </c>
      <c r="P411" s="6">
        <v>60</v>
      </c>
      <c r="Q411" s="4" t="s">
        <v>26</v>
      </c>
      <c r="R411" s="4">
        <v>0</v>
      </c>
      <c r="S411" s="4">
        <v>0</v>
      </c>
      <c r="T411" s="4">
        <v>58</v>
      </c>
      <c r="U411" s="4">
        <v>99</v>
      </c>
      <c r="V411" s="52">
        <f>IF(ISERROR(VLOOKUP($S$411,'TAR FIN'!$A$1:$O$103,15,0)),0,VLOOKUP($S$411,'TAR FIN'!$A$1:$O$103,15,0))</f>
        <v>0</v>
      </c>
      <c r="W411" s="52">
        <f>IF(ISERROR(VLOOKUP($T$411,'TAR FIN'!$A$1:$O$103,15,0)),0,VLOOKUP($T$411,'TAR FIN'!$A$1:$O$103,15,0))*(1-0.06)</f>
        <v>356.84280000000001</v>
      </c>
      <c r="X411" s="52">
        <f>IF(ISERROR(VLOOKUP($U$411,'TAR FIN'!$A$1:$O$103,15,0)),0,VLOOKUP($U$411,'TAR FIN'!$A$1:$O$103,15,0))*(1-0.06)</f>
        <v>239.85979999999998</v>
      </c>
      <c r="Y411" s="52"/>
      <c r="Z411" s="52">
        <f ca="1">('TUSD BE'!$AM$60+'TUSD BF'!$AM$60+'TUSD CVA'!$AM$60)*1*(1-0.03)</f>
        <v>467.60534120624413</v>
      </c>
      <c r="AA411" s="52">
        <f>('TE BE'!$AB$41+'TE BF'!$AB$41+'TE CVA'!$AB$41)*1*(1-0.03)</f>
        <v>227.00305049159098</v>
      </c>
      <c r="AB411" s="52">
        <f>(SUBSIDIO!$J$411*SUBSIDIO!$V$411)*(0.06)/(1-0.06)</f>
        <v>0</v>
      </c>
      <c r="AC411" s="52">
        <f>((SUBSIDIO!$L$411*SUBSIDIO!$W$411)+(SUBSIDIO!$N$411*SUBSIDIO!$X$411))*(0.06)/(1-0.06)</f>
        <v>5216.8311779999995</v>
      </c>
      <c r="AD411" s="52">
        <f>(SUBSIDIO!$J$411*SUBSIDIO!$Y$411)*(0.03)/(1-0.03)</f>
        <v>0</v>
      </c>
      <c r="AE411" s="52">
        <f ca="1">((SUBSIDIO!$L$411*SUBSIDIO!$Z$411)+(SUBSIDIO!$N$411*SUBSIDIO!$AA$411))*(0.03)/(1-0.03)</f>
        <v>2942.4900436346124</v>
      </c>
      <c r="AF411" s="4" t="s">
        <v>814</v>
      </c>
    </row>
    <row r="412" spans="1:32" ht="11.25" customHeight="1" x14ac:dyDescent="0.3">
      <c r="A412" s="4" t="s">
        <v>21</v>
      </c>
      <c r="B412" s="4" t="s">
        <v>37</v>
      </c>
      <c r="C412" s="4" t="s">
        <v>23</v>
      </c>
      <c r="D412" s="4" t="s">
        <v>50</v>
      </c>
      <c r="E412" s="4" t="s">
        <v>51</v>
      </c>
      <c r="F412" s="4" t="s">
        <v>25</v>
      </c>
      <c r="G412" s="4" t="s">
        <v>25</v>
      </c>
      <c r="H412" s="4" t="s">
        <v>25</v>
      </c>
      <c r="I412" s="5">
        <v>44713</v>
      </c>
      <c r="J412" s="6">
        <v>0</v>
      </c>
      <c r="K412" s="52">
        <v>0</v>
      </c>
      <c r="L412" s="6">
        <v>121.28700000000001</v>
      </c>
      <c r="M412" s="52">
        <v>121.28700000000001</v>
      </c>
      <c r="N412" s="6">
        <v>121.28700000000001</v>
      </c>
      <c r="O412" s="52">
        <v>121.28700000000001</v>
      </c>
      <c r="P412" s="6">
        <v>60</v>
      </c>
      <c r="Q412" s="4" t="s">
        <v>26</v>
      </c>
      <c r="R412" s="4">
        <v>0</v>
      </c>
      <c r="S412" s="4">
        <v>0</v>
      </c>
      <c r="T412" s="4">
        <v>58</v>
      </c>
      <c r="U412" s="4">
        <v>99</v>
      </c>
      <c r="V412" s="52">
        <f>IF(ISERROR(VLOOKUP($S$412,'TAR FIN'!$A$1:$O$103,15,0)),0,VLOOKUP($S$412,'TAR FIN'!$A$1:$O$103,15,0))</f>
        <v>0</v>
      </c>
      <c r="W412" s="52">
        <f>IF(ISERROR(VLOOKUP($T$412,'TAR FIN'!$A$1:$O$103,15,0)),0,VLOOKUP($T$412,'TAR FIN'!$A$1:$O$103,15,0))*(1-0.06)</f>
        <v>356.84280000000001</v>
      </c>
      <c r="X412" s="52">
        <f>IF(ISERROR(VLOOKUP($U$412,'TAR FIN'!$A$1:$O$103,15,0)),0,VLOOKUP($U$412,'TAR FIN'!$A$1:$O$103,15,0))*(1-0.06)</f>
        <v>239.85979999999998</v>
      </c>
      <c r="Y412" s="52"/>
      <c r="Z412" s="52">
        <f ca="1">('TUSD BE'!$AM$60+'TUSD BF'!$AM$60+'TUSD CVA'!$AM$60)*1*(1-0.03)</f>
        <v>467.60534120624413</v>
      </c>
      <c r="AA412" s="52">
        <f>('TE BE'!$AB$41+'TE BF'!$AB$41+'TE CVA'!$AB$41)*1*(1-0.03)</f>
        <v>227.00305049159098</v>
      </c>
      <c r="AB412" s="52">
        <f>(SUBSIDIO!$J$412*SUBSIDIO!$V$412)*(0.06)/(1-0.06)</f>
        <v>0</v>
      </c>
      <c r="AC412" s="52">
        <f>((SUBSIDIO!$L$412*SUBSIDIO!$W$412)+(SUBSIDIO!$N$412*SUBSIDIO!$X$412))*(0.06)/(1-0.06)</f>
        <v>4619.5064837999998</v>
      </c>
      <c r="AD412" s="52">
        <f>(SUBSIDIO!$J$412*SUBSIDIO!$Y$412)*(0.03)/(1-0.03)</f>
        <v>0</v>
      </c>
      <c r="AE412" s="52">
        <f ca="1">((SUBSIDIO!$L$412*SUBSIDIO!$Z$412)+(SUBSIDIO!$N$412*SUBSIDIO!$AA$412))*(0.03)/(1-0.03)</f>
        <v>2605.5763300161443</v>
      </c>
      <c r="AF412" s="4" t="s">
        <v>814</v>
      </c>
    </row>
    <row r="413" spans="1:32" ht="11.25" customHeight="1" x14ac:dyDescent="0.3">
      <c r="A413" s="4" t="s">
        <v>21</v>
      </c>
      <c r="B413" s="4" t="s">
        <v>37</v>
      </c>
      <c r="C413" s="4" t="s">
        <v>23</v>
      </c>
      <c r="D413" s="4" t="s">
        <v>50</v>
      </c>
      <c r="E413" s="4" t="s">
        <v>51</v>
      </c>
      <c r="F413" s="4" t="s">
        <v>25</v>
      </c>
      <c r="G413" s="4" t="s">
        <v>25</v>
      </c>
      <c r="H413" s="4" t="s">
        <v>25</v>
      </c>
      <c r="I413" s="5">
        <v>44743</v>
      </c>
      <c r="J413" s="6">
        <v>0</v>
      </c>
      <c r="K413" s="52">
        <v>0</v>
      </c>
      <c r="L413" s="6">
        <v>134.69</v>
      </c>
      <c r="M413" s="52">
        <v>134.69</v>
      </c>
      <c r="N413" s="6">
        <v>134.69</v>
      </c>
      <c r="O413" s="52">
        <v>134.69</v>
      </c>
      <c r="P413" s="6">
        <v>60</v>
      </c>
      <c r="Q413" s="4" t="s">
        <v>26</v>
      </c>
      <c r="R413" s="4">
        <v>0</v>
      </c>
      <c r="S413" s="4">
        <v>0</v>
      </c>
      <c r="T413" s="4">
        <v>58</v>
      </c>
      <c r="U413" s="4">
        <v>99</v>
      </c>
      <c r="V413" s="52">
        <f>IF(ISERROR(VLOOKUP($S$413,'TAR FIN'!$A$1:$O$103,15,0)),0,VLOOKUP($S$413,'TAR FIN'!$A$1:$O$103,15,0))</f>
        <v>0</v>
      </c>
      <c r="W413" s="52">
        <f>IF(ISERROR(VLOOKUP($T$413,'TAR FIN'!$A$1:$O$103,15,0)),0,VLOOKUP($T$413,'TAR FIN'!$A$1:$O$103,15,0))*(1-0.06)</f>
        <v>356.84280000000001</v>
      </c>
      <c r="X413" s="52">
        <f>IF(ISERROR(VLOOKUP($U$413,'TAR FIN'!$A$1:$O$103,15,0)),0,VLOOKUP($U$413,'TAR FIN'!$A$1:$O$103,15,0))*(1-0.06)</f>
        <v>239.85979999999998</v>
      </c>
      <c r="Y413" s="52"/>
      <c r="Z413" s="52">
        <f ca="1">('TUSD BE'!$AM$60+'TUSD BF'!$AM$60+'TUSD CVA'!$AM$60)*1*(1-0.03)</f>
        <v>467.60534120624413</v>
      </c>
      <c r="AA413" s="52">
        <f>('TE BE'!$AB$41+'TE BF'!$AB$41+'TE CVA'!$AB$41)*1*(1-0.03)</f>
        <v>227.00305049159098</v>
      </c>
      <c r="AB413" s="52">
        <f>(SUBSIDIO!$J$413*SUBSIDIO!$V$413)*(0.06)/(1-0.06)</f>
        <v>0</v>
      </c>
      <c r="AC413" s="52">
        <f>((SUBSIDIO!$L$413*SUBSIDIO!$W$413)+(SUBSIDIO!$N$413*SUBSIDIO!$X$413))*(0.06)/(1-0.06)</f>
        <v>5129.9919060000002</v>
      </c>
      <c r="AD413" s="52">
        <f>(SUBSIDIO!$J$413*SUBSIDIO!$Y$413)*(0.03)/(1-0.03)</f>
        <v>0</v>
      </c>
      <c r="AE413" s="52">
        <f ca="1">((SUBSIDIO!$L$413*SUBSIDIO!$Z$413)+(SUBSIDIO!$N$413*SUBSIDIO!$AA$413))*(0.03)/(1-0.03)</f>
        <v>2893.5094106530337</v>
      </c>
      <c r="AF413" s="4" t="s">
        <v>814</v>
      </c>
    </row>
    <row r="414" spans="1:32" ht="11.25" customHeight="1" x14ac:dyDescent="0.3">
      <c r="A414" s="4" t="s">
        <v>21</v>
      </c>
      <c r="B414" s="4" t="s">
        <v>37</v>
      </c>
      <c r="C414" s="4" t="s">
        <v>23</v>
      </c>
      <c r="D414" s="4" t="s">
        <v>50</v>
      </c>
      <c r="E414" s="4" t="s">
        <v>51</v>
      </c>
      <c r="F414" s="4" t="s">
        <v>25</v>
      </c>
      <c r="G414" s="4" t="s">
        <v>25</v>
      </c>
      <c r="H414" s="4" t="s">
        <v>25</v>
      </c>
      <c r="I414" s="5">
        <v>44774</v>
      </c>
      <c r="J414" s="6">
        <v>0</v>
      </c>
      <c r="K414" s="52">
        <v>0</v>
      </c>
      <c r="L414" s="6">
        <v>135.35599999999999</v>
      </c>
      <c r="M414" s="52">
        <v>135.35599999999999</v>
      </c>
      <c r="N414" s="6">
        <v>135.35599999999999</v>
      </c>
      <c r="O414" s="52">
        <v>135.35599999999999</v>
      </c>
      <c r="P414" s="6">
        <v>60</v>
      </c>
      <c r="Q414" s="4" t="s">
        <v>26</v>
      </c>
      <c r="R414" s="4">
        <v>0</v>
      </c>
      <c r="S414" s="4">
        <v>0</v>
      </c>
      <c r="T414" s="4">
        <v>58</v>
      </c>
      <c r="U414" s="4">
        <v>99</v>
      </c>
      <c r="V414" s="52">
        <f>IF(ISERROR(VLOOKUP($S$414,'TAR FIN'!$A$1:$O$103,15,0)),0,VLOOKUP($S$414,'TAR FIN'!$A$1:$O$103,15,0))</f>
        <v>0</v>
      </c>
      <c r="W414" s="52">
        <f>IF(ISERROR(VLOOKUP($T$414,'TAR FIN'!$A$1:$O$103,15,0)),0,VLOOKUP($T$414,'TAR FIN'!$A$1:$O$103,15,0))*(1-0.06)</f>
        <v>356.84280000000001</v>
      </c>
      <c r="X414" s="52">
        <f>IF(ISERROR(VLOOKUP($U$414,'TAR FIN'!$A$1:$O$103,15,0)),0,VLOOKUP($U$414,'TAR FIN'!$A$1:$O$103,15,0))*(1-0.06)</f>
        <v>239.85979999999998</v>
      </c>
      <c r="Y414" s="52"/>
      <c r="Z414" s="52">
        <f ca="1">('TUSD BE'!$AM$60+'TUSD BF'!$AM$60+'TUSD CVA'!$AM$60)*1*(1-0.03)</f>
        <v>467.60534120624413</v>
      </c>
      <c r="AA414" s="52">
        <f>('TE BE'!$AB$41+'TE BF'!$AB$41+'TE CVA'!$AB$41)*1*(1-0.03)</f>
        <v>227.00305049159098</v>
      </c>
      <c r="AB414" s="52">
        <f>(SUBSIDIO!$J$414*SUBSIDIO!$V$414)*(0.06)/(1-0.06)</f>
        <v>0</v>
      </c>
      <c r="AC414" s="52">
        <f>((SUBSIDIO!$L$414*SUBSIDIO!$W$414)+(SUBSIDIO!$N$414*SUBSIDIO!$X$414))*(0.06)/(1-0.06)</f>
        <v>5155.3581144</v>
      </c>
      <c r="AD414" s="52">
        <f>(SUBSIDIO!$J$414*SUBSIDIO!$Y$414)*(0.03)/(1-0.03)</f>
        <v>0</v>
      </c>
      <c r="AE414" s="52">
        <f ca="1">((SUBSIDIO!$L$414*SUBSIDIO!$Z$414)+(SUBSIDIO!$N$414*SUBSIDIO!$AA$414))*(0.03)/(1-0.03)</f>
        <v>2907.8169113397576</v>
      </c>
      <c r="AF414" s="4" t="s">
        <v>814</v>
      </c>
    </row>
    <row r="415" spans="1:32" ht="11.25" customHeight="1" x14ac:dyDescent="0.3">
      <c r="A415" s="4" t="s">
        <v>21</v>
      </c>
      <c r="B415" s="4" t="s">
        <v>37</v>
      </c>
      <c r="C415" s="4" t="s">
        <v>23</v>
      </c>
      <c r="D415" s="4" t="s">
        <v>50</v>
      </c>
      <c r="E415" s="4" t="s">
        <v>51</v>
      </c>
      <c r="F415" s="4" t="s">
        <v>25</v>
      </c>
      <c r="G415" s="4" t="s">
        <v>25</v>
      </c>
      <c r="H415" s="4" t="s">
        <v>25</v>
      </c>
      <c r="I415" s="5">
        <v>44805</v>
      </c>
      <c r="J415" s="6">
        <v>0</v>
      </c>
      <c r="K415" s="52">
        <v>0</v>
      </c>
      <c r="L415" s="6">
        <v>140.65799999999999</v>
      </c>
      <c r="M415" s="52">
        <v>140.65799999999999</v>
      </c>
      <c r="N415" s="6">
        <v>140.65799999999999</v>
      </c>
      <c r="O415" s="52">
        <v>140.65799999999999</v>
      </c>
      <c r="P415" s="6">
        <v>60</v>
      </c>
      <c r="Q415" s="4" t="s">
        <v>26</v>
      </c>
      <c r="R415" s="4">
        <v>0</v>
      </c>
      <c r="S415" s="4">
        <v>0</v>
      </c>
      <c r="T415" s="4">
        <v>58</v>
      </c>
      <c r="U415" s="4">
        <v>99</v>
      </c>
      <c r="V415" s="52">
        <f>IF(ISERROR(VLOOKUP($S$415,'TAR FIN'!$A$1:$O$103,15,0)),0,VLOOKUP($S$415,'TAR FIN'!$A$1:$O$103,15,0))</f>
        <v>0</v>
      </c>
      <c r="W415" s="52">
        <f>IF(ISERROR(VLOOKUP($T$415,'TAR FIN'!$A$1:$O$103,15,0)),0,VLOOKUP($T$415,'TAR FIN'!$A$1:$O$103,15,0))*(1-0.06)</f>
        <v>356.84280000000001</v>
      </c>
      <c r="X415" s="52">
        <f>IF(ISERROR(VLOOKUP($U$415,'TAR FIN'!$A$1:$O$103,15,0)),0,VLOOKUP($U$415,'TAR FIN'!$A$1:$O$103,15,0))*(1-0.06)</f>
        <v>239.85979999999998</v>
      </c>
      <c r="Y415" s="52"/>
      <c r="Z415" s="52">
        <f ca="1">('TUSD BE'!$AM$60+'TUSD BF'!$AM$60+'TUSD CVA'!$AM$60)*1*(1-0.03)</f>
        <v>467.60534120624413</v>
      </c>
      <c r="AA415" s="52">
        <f>('TE BE'!$AB$41+'TE BF'!$AB$41+'TE CVA'!$AB$41)*1*(1-0.03)</f>
        <v>227.00305049159098</v>
      </c>
      <c r="AB415" s="52">
        <f>(SUBSIDIO!$J$415*SUBSIDIO!$V$415)*(0.06)/(1-0.06)</f>
        <v>0</v>
      </c>
      <c r="AC415" s="52">
        <f>((SUBSIDIO!$L$415*SUBSIDIO!$W$415)+(SUBSIDIO!$N$415*SUBSIDIO!$X$415))*(0.06)/(1-0.06)</f>
        <v>5357.2975091999988</v>
      </c>
      <c r="AD415" s="52">
        <f>(SUBSIDIO!$J$415*SUBSIDIO!$Y$415)*(0.03)/(1-0.03)</f>
        <v>0</v>
      </c>
      <c r="AE415" s="52">
        <f ca="1">((SUBSIDIO!$L$415*SUBSIDIO!$Z$415)+(SUBSIDIO!$N$415*SUBSIDIO!$AA$415))*(0.03)/(1-0.03)</f>
        <v>3021.7183657556934</v>
      </c>
      <c r="AF415" s="4" t="s">
        <v>814</v>
      </c>
    </row>
    <row r="416" spans="1:32" ht="11.25" customHeight="1" x14ac:dyDescent="0.3">
      <c r="A416" s="4" t="s">
        <v>57</v>
      </c>
      <c r="B416" s="4" t="s">
        <v>37</v>
      </c>
      <c r="C416" s="4" t="s">
        <v>23</v>
      </c>
      <c r="D416" s="4" t="s">
        <v>50</v>
      </c>
      <c r="E416" s="4" t="s">
        <v>51</v>
      </c>
      <c r="F416" s="4" t="s">
        <v>25</v>
      </c>
      <c r="G416" s="4" t="s">
        <v>25</v>
      </c>
      <c r="H416" s="4" t="s">
        <v>25</v>
      </c>
      <c r="I416" s="5">
        <v>44835</v>
      </c>
      <c r="J416" s="6">
        <v>0</v>
      </c>
      <c r="K416" s="52">
        <v>0</v>
      </c>
      <c r="L416" s="6">
        <v>140.65799999999999</v>
      </c>
      <c r="M416" s="52">
        <v>140.65799999999999</v>
      </c>
      <c r="N416" s="6">
        <v>140.65799999999999</v>
      </c>
      <c r="O416" s="52">
        <v>140.65799999999999</v>
      </c>
      <c r="P416" s="6">
        <v>60</v>
      </c>
      <c r="Q416" s="4" t="s">
        <v>26</v>
      </c>
      <c r="R416" s="4">
        <v>0</v>
      </c>
      <c r="S416" s="4">
        <v>0</v>
      </c>
      <c r="T416" s="4">
        <v>58</v>
      </c>
      <c r="U416" s="4">
        <v>99</v>
      </c>
      <c r="V416" s="52">
        <f>IF(ISERROR(VLOOKUP($S$416,'TAR FIN'!$A$1:$O$103,15,0)),0,VLOOKUP($S$416,'TAR FIN'!$A$1:$O$103,15,0))</f>
        <v>0</v>
      </c>
      <c r="W416" s="52">
        <f>IF(ISERROR(VLOOKUP($T$416,'TAR FIN'!$A$1:$O$103,15,0)),0,VLOOKUP($T$416,'TAR FIN'!$A$1:$O$103,15,0))*(1-0.06)</f>
        <v>356.84280000000001</v>
      </c>
      <c r="X416" s="52">
        <f>IF(ISERROR(VLOOKUP($U$416,'TAR FIN'!$A$1:$O$103,15,0)),0,VLOOKUP($U$416,'TAR FIN'!$A$1:$O$103,15,0))*(1-0.06)</f>
        <v>239.85979999999998</v>
      </c>
      <c r="Y416" s="52"/>
      <c r="Z416" s="52">
        <f ca="1">('TUSD BE'!$AM$60+'TUSD BF'!$AM$60+'TUSD CVA'!$AM$60)*1*(1-0.03)</f>
        <v>467.60534120624413</v>
      </c>
      <c r="AA416" s="52">
        <f>('TE BE'!$AB$41+'TE BF'!$AB$41+'TE CVA'!$AB$41)*1*(1-0.03)</f>
        <v>227.00305049159098</v>
      </c>
      <c r="AB416" s="52">
        <f>(SUBSIDIO!$J$416*SUBSIDIO!$V$416)*(0.06)/(1-0.06)</f>
        <v>0</v>
      </c>
      <c r="AC416" s="52">
        <f>((SUBSIDIO!$L$416*SUBSIDIO!$W$416)+(SUBSIDIO!$N$416*SUBSIDIO!$X$416))*(0.06)/(1-0.06)</f>
        <v>5357.2975091999988</v>
      </c>
      <c r="AD416" s="52">
        <f>(SUBSIDIO!$J$416*SUBSIDIO!$Y$416)*(0.03)/(1-0.03)</f>
        <v>0</v>
      </c>
      <c r="AE416" s="52">
        <f ca="1">((SUBSIDIO!$L$416*SUBSIDIO!$Z$416)+(SUBSIDIO!$N$416*SUBSIDIO!$AA$416))*(0.03)/(1-0.03)</f>
        <v>3021.7183657556934</v>
      </c>
      <c r="AF416" s="4" t="s">
        <v>814</v>
      </c>
    </row>
    <row r="417" spans="22:31" ht="11.25" customHeight="1" x14ac:dyDescent="0.3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3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3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3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3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3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3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3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3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3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3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3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3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3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3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3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3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3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3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3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3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3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3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3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3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3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3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3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3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3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3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3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3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3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3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3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3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3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3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3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3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3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3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3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3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3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3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3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3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3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3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3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3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3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3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3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3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3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3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3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3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3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3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3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3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3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3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3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3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3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3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3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3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3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3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3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3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3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3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3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3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3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3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3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3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3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3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3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3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3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3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3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3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3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3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3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3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3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3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3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3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3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3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3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3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3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3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3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3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3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3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3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3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3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3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3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3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3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3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3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3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3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3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3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3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3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3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3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3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3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3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3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3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3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3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3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3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3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3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3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3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3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3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3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3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3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3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3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3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3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3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3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3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3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3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3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3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3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3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3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3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3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3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3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3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3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3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3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3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3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3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3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3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3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3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3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3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3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3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3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3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3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3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3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3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3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3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3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3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3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3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3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3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3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3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3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3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3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3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3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3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3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3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3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3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3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3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3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3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3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3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3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3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3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3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3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3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3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3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3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3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3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3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3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3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3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3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3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3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3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3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3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3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3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3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3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3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3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3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3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3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3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3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3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3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3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3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3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3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3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3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3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3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3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3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3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3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3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3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3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3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3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3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3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3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3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3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3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3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3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3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3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3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3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3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3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3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3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3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3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3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3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3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3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3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3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3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3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3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3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3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3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3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3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3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3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3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3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3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3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3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3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3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3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3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3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3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3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3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3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3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3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3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3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3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3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3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3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3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3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3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3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3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3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3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3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3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3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3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3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3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3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3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3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3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3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3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3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3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22:31" ht="11.25" customHeight="1" x14ac:dyDescent="0.3"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22:31" ht="11.25" customHeight="1" x14ac:dyDescent="0.3"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22:31" ht="11.25" customHeight="1" x14ac:dyDescent="0.3"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22:31" ht="11.25" customHeight="1" x14ac:dyDescent="0.3"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22:31" ht="11.25" customHeight="1" x14ac:dyDescent="0.3"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22:31" ht="11.25" customHeight="1" x14ac:dyDescent="0.3"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22:31" ht="11.25" customHeight="1" x14ac:dyDescent="0.3"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22:31" ht="11.25" customHeight="1" x14ac:dyDescent="0.3"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22:31" ht="11.25" customHeight="1" x14ac:dyDescent="0.3"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22:31" ht="11.25" customHeight="1" x14ac:dyDescent="0.3"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22:31" ht="11.25" customHeight="1" x14ac:dyDescent="0.3"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22:31" ht="11.25" customHeight="1" x14ac:dyDescent="0.3"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22:31" ht="11.25" customHeight="1" x14ac:dyDescent="0.3"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22:31" ht="11.25" customHeight="1" x14ac:dyDescent="0.3"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22:31" ht="11.25" customHeight="1" x14ac:dyDescent="0.3"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22:31" ht="11.25" customHeight="1" x14ac:dyDescent="0.3"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22:31" ht="11.25" customHeight="1" x14ac:dyDescent="0.3"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22:31" ht="11.25" customHeight="1" x14ac:dyDescent="0.3"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22:31" ht="11.25" customHeight="1" x14ac:dyDescent="0.3"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22:31" ht="11.25" customHeight="1" x14ac:dyDescent="0.3"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22:31" ht="11.25" customHeight="1" x14ac:dyDescent="0.3"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22:31" ht="11.25" customHeight="1" x14ac:dyDescent="0.3"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22:31" ht="11.25" customHeight="1" x14ac:dyDescent="0.3"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22:31" ht="11.25" customHeight="1" x14ac:dyDescent="0.3"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22:31" ht="11.25" customHeight="1" x14ac:dyDescent="0.3"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22:31" ht="11.25" customHeight="1" x14ac:dyDescent="0.3"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22:31" ht="11.25" customHeight="1" x14ac:dyDescent="0.3"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22:31" ht="11.25" customHeight="1" x14ac:dyDescent="0.3"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22:31" ht="11.25" customHeight="1" x14ac:dyDescent="0.3"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22:31" ht="11.25" customHeight="1" x14ac:dyDescent="0.3"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22:31" ht="11.25" customHeight="1" x14ac:dyDescent="0.3"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22:31" ht="11.25" customHeight="1" x14ac:dyDescent="0.3"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22:31" ht="11.25" customHeight="1" x14ac:dyDescent="0.3"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22:31" ht="11.25" customHeight="1" x14ac:dyDescent="0.3"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22:31" ht="11.25" customHeight="1" x14ac:dyDescent="0.3"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22:31" ht="11.25" customHeight="1" x14ac:dyDescent="0.3"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22:31" ht="11.25" customHeight="1" x14ac:dyDescent="0.3"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22:31" ht="11.25" customHeight="1" x14ac:dyDescent="0.3"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22:31" ht="11.25" customHeight="1" x14ac:dyDescent="0.3"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22:31" ht="11.25" customHeight="1" x14ac:dyDescent="0.3"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22:31" ht="11.25" customHeight="1" x14ac:dyDescent="0.3"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22:31" ht="11.25" customHeight="1" x14ac:dyDescent="0.3"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22:31" ht="11.25" customHeight="1" x14ac:dyDescent="0.3"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22:31" ht="11.25" customHeight="1" x14ac:dyDescent="0.3"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22:31" ht="11.25" customHeight="1" x14ac:dyDescent="0.3"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22:31" ht="11.25" customHeight="1" x14ac:dyDescent="0.3"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22:31" ht="11.25" customHeight="1" x14ac:dyDescent="0.3"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22:31" ht="11.25" customHeight="1" x14ac:dyDescent="0.3"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22:31" ht="11.25" customHeight="1" x14ac:dyDescent="0.3"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22:31" ht="11.25" customHeight="1" x14ac:dyDescent="0.3"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22:31" ht="11.25" customHeight="1" x14ac:dyDescent="0.3"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22:31" ht="11.25" customHeight="1" x14ac:dyDescent="0.3"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22:31" ht="11.25" customHeight="1" x14ac:dyDescent="0.3"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22:31" ht="11.25" customHeight="1" x14ac:dyDescent="0.3"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22:31" ht="11.25" customHeight="1" x14ac:dyDescent="0.3"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22:31" ht="11.25" customHeight="1" x14ac:dyDescent="0.3"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22:31" ht="11.25" customHeight="1" x14ac:dyDescent="0.3"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22:31" ht="11.25" customHeight="1" x14ac:dyDescent="0.3"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22:31" ht="11.25" customHeight="1" x14ac:dyDescent="0.3"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22:31" ht="11.25" customHeight="1" x14ac:dyDescent="0.3"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22:31" ht="11.25" customHeight="1" x14ac:dyDescent="0.3"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22:31" ht="11.25" customHeight="1" x14ac:dyDescent="0.3"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22:31" ht="11.25" customHeight="1" x14ac:dyDescent="0.3"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22:31" ht="11.25" customHeight="1" x14ac:dyDescent="0.3"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22:31" ht="11.25" customHeight="1" x14ac:dyDescent="0.3"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22:31" ht="11.25" customHeight="1" x14ac:dyDescent="0.3"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22:31" ht="11.25" customHeight="1" x14ac:dyDescent="0.3"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22:31" ht="11.25" customHeight="1" x14ac:dyDescent="0.3"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22:31" ht="11.25" customHeight="1" x14ac:dyDescent="0.3"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22:31" ht="11.25" customHeight="1" x14ac:dyDescent="0.3"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22:31" ht="11.25" customHeight="1" x14ac:dyDescent="0.3"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22:31" ht="11.25" customHeight="1" x14ac:dyDescent="0.3"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22:31" ht="11.25" customHeight="1" x14ac:dyDescent="0.3"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22:31" ht="11.25" customHeight="1" x14ac:dyDescent="0.3"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22:31" ht="11.25" customHeight="1" x14ac:dyDescent="0.3"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22:31" ht="11.25" customHeight="1" x14ac:dyDescent="0.3"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22:31" ht="11.25" customHeight="1" x14ac:dyDescent="0.3"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22:31" ht="11.25" customHeight="1" x14ac:dyDescent="0.3"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22:31" ht="11.25" customHeight="1" x14ac:dyDescent="0.3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22:31" ht="11.25" customHeight="1" x14ac:dyDescent="0.3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22:31" ht="11.25" customHeight="1" x14ac:dyDescent="0.3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22:31" ht="11.25" customHeight="1" x14ac:dyDescent="0.3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22:31" ht="11.25" customHeight="1" x14ac:dyDescent="0.3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22:31" ht="11.25" customHeight="1" x14ac:dyDescent="0.3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22:31" ht="11.25" customHeight="1" x14ac:dyDescent="0.3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22:31" ht="11.25" customHeight="1" x14ac:dyDescent="0.3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22:31" ht="11.25" customHeight="1" x14ac:dyDescent="0.3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22:31" ht="11.25" customHeight="1" x14ac:dyDescent="0.3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22:31" ht="11.25" customHeight="1" x14ac:dyDescent="0.3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22:31" ht="11.25" customHeight="1" x14ac:dyDescent="0.3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22:31" ht="11.25" customHeight="1" x14ac:dyDescent="0.3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22:31" ht="11.25" customHeight="1" x14ac:dyDescent="0.3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22:31" ht="11.25" customHeight="1" x14ac:dyDescent="0.3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3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3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3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3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3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3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3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3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3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3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3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3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3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3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3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3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3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3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3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3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3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3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3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3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3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3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3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3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3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3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3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3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3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3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3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3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3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3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3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A8268-0188-4C36-8A15-B8B769BFE02D}">
  <sheetPr codeName="Planilha18"/>
  <dimension ref="A1:J903"/>
  <sheetViews>
    <sheetView showGridLines="0" workbookViewId="0"/>
  </sheetViews>
  <sheetFormatPr defaultRowHeight="11.25" customHeight="1" x14ac:dyDescent="0.2"/>
  <cols>
    <col min="1" max="1" width="53.109375" style="14" bestFit="1" customWidth="1"/>
    <col min="2" max="2" width="23.88671875" style="39" bestFit="1" customWidth="1"/>
    <col min="3" max="3" width="24.88671875" style="39" bestFit="1" customWidth="1"/>
    <col min="4" max="4" width="25.21875" style="39" bestFit="1" customWidth="1"/>
    <col min="5" max="5" width="26.109375" style="39" bestFit="1" customWidth="1"/>
    <col min="6" max="6" width="23" style="39" bestFit="1" customWidth="1"/>
    <col min="7" max="7" width="23.88671875" style="39" bestFit="1" customWidth="1"/>
    <col min="8" max="8" width="17.77734375" style="40" bestFit="1" customWidth="1"/>
    <col min="9" max="9" width="15.5546875" style="40" bestFit="1" customWidth="1"/>
    <col min="10" max="10" width="13.44140625" style="40" bestFit="1" customWidth="1"/>
    <col min="11" max="16384" width="8.88671875" style="14"/>
  </cols>
  <sheetData>
    <row r="1" spans="1:10" ht="11.25" customHeight="1" x14ac:dyDescent="0.2">
      <c r="A1" s="38" t="s">
        <v>796</v>
      </c>
      <c r="B1" s="39" t="s">
        <v>797</v>
      </c>
      <c r="C1" s="39" t="s">
        <v>798</v>
      </c>
      <c r="D1" s="39" t="s">
        <v>799</v>
      </c>
      <c r="E1" s="39" t="s">
        <v>800</v>
      </c>
      <c r="F1" s="39" t="s">
        <v>801</v>
      </c>
      <c r="G1" s="39" t="s">
        <v>802</v>
      </c>
      <c r="H1" s="40" t="s">
        <v>803</v>
      </c>
      <c r="I1" s="40" t="s">
        <v>804</v>
      </c>
      <c r="J1" s="40" t="s">
        <v>805</v>
      </c>
    </row>
    <row r="2" spans="1:10" ht="11.25" customHeight="1" x14ac:dyDescent="0.2">
      <c r="A2" s="41" t="s">
        <v>26</v>
      </c>
      <c r="B2" s="39">
        <v>2541655.784</v>
      </c>
      <c r="C2" s="39">
        <v>4369576.9860035433</v>
      </c>
      <c r="D2" s="39">
        <v>37319692.981112607</v>
      </c>
      <c r="E2" s="39">
        <v>48927064.331984803</v>
      </c>
      <c r="F2" s="39">
        <v>28508036.159489803</v>
      </c>
      <c r="G2" s="39">
        <v>26943561.491616257</v>
      </c>
      <c r="H2" s="40">
        <v>0.33705062595961599</v>
      </c>
      <c r="I2" s="40">
        <v>-5.4878373912569667E-2</v>
      </c>
      <c r="J2" s="40">
        <v>0.1736276828889618</v>
      </c>
    </row>
    <row r="3" spans="1:10" ht="11.25" customHeight="1" x14ac:dyDescent="0.2">
      <c r="A3" s="42" t="s">
        <v>45</v>
      </c>
      <c r="B3" s="39">
        <v>274508.1336</v>
      </c>
      <c r="C3" s="39">
        <v>470727.54371148004</v>
      </c>
      <c r="D3" s="39">
        <v>98944.220736000017</v>
      </c>
      <c r="E3" s="39">
        <v>170938.23411709967</v>
      </c>
      <c r="F3" s="39">
        <v>266820.27776960004</v>
      </c>
      <c r="G3" s="39">
        <v>250067.72237125583</v>
      </c>
      <c r="H3" s="40">
        <v>0.71819984632166634</v>
      </c>
      <c r="I3" s="40">
        <v>-6.2785915442341578E-2</v>
      </c>
      <c r="J3" s="40">
        <v>0.39274030387224501</v>
      </c>
    </row>
    <row r="4" spans="1:10" ht="11.25" customHeight="1" x14ac:dyDescent="0.2">
      <c r="A4" s="43" t="s">
        <v>42</v>
      </c>
      <c r="B4" s="39">
        <v>262066.34160000004</v>
      </c>
      <c r="C4" s="39">
        <v>449318.09650366934</v>
      </c>
      <c r="D4" s="39">
        <v>89512.317900000009</v>
      </c>
      <c r="E4" s="39">
        <v>154718.87554423104</v>
      </c>
      <c r="F4" s="39">
        <v>255820.47073680002</v>
      </c>
      <c r="G4" s="39">
        <v>239768.84842564169</v>
      </c>
      <c r="H4" s="40">
        <v>0.7180706386074045</v>
      </c>
      <c r="I4" s="40">
        <v>-6.2745652312058309E-2</v>
      </c>
      <c r="J4" s="40">
        <v>0.38921144016880072</v>
      </c>
    </row>
    <row r="5" spans="1:10" ht="11.25" customHeight="1" x14ac:dyDescent="0.2">
      <c r="A5" s="44" t="s">
        <v>41</v>
      </c>
      <c r="B5" s="39">
        <v>1939.5</v>
      </c>
      <c r="C5" s="39">
        <v>3325.2972352351162</v>
      </c>
      <c r="D5" s="39">
        <v>0</v>
      </c>
      <c r="E5" s="39">
        <v>0</v>
      </c>
      <c r="F5" s="39">
        <v>0</v>
      </c>
      <c r="G5" s="39">
        <v>0</v>
      </c>
      <c r="H5" s="40">
        <v>0.71451262450895392</v>
      </c>
      <c r="I5" s="40">
        <v>0</v>
      </c>
      <c r="J5" s="40">
        <v>0.71451262450895392</v>
      </c>
    </row>
    <row r="6" spans="1:10" ht="11.25" customHeight="1" x14ac:dyDescent="0.2">
      <c r="A6" s="45" t="s">
        <v>25</v>
      </c>
      <c r="B6" s="39">
        <v>1939.5</v>
      </c>
      <c r="C6" s="39">
        <v>3325.2972352351162</v>
      </c>
      <c r="D6" s="39">
        <v>0</v>
      </c>
      <c r="E6" s="39">
        <v>0</v>
      </c>
      <c r="F6" s="39">
        <v>0</v>
      </c>
      <c r="G6" s="39">
        <v>0</v>
      </c>
      <c r="H6" s="40">
        <v>0.71451262450895392</v>
      </c>
      <c r="I6" s="40">
        <v>0</v>
      </c>
      <c r="J6" s="40">
        <v>0.71451262450895392</v>
      </c>
    </row>
    <row r="7" spans="1:10" ht="11.25" customHeight="1" x14ac:dyDescent="0.2">
      <c r="A7" s="46" t="s">
        <v>25</v>
      </c>
      <c r="B7" s="39">
        <v>1939.5</v>
      </c>
      <c r="C7" s="39">
        <v>3325.2972352351162</v>
      </c>
      <c r="D7" s="39">
        <v>0</v>
      </c>
      <c r="E7" s="39">
        <v>0</v>
      </c>
      <c r="F7" s="39">
        <v>0</v>
      </c>
      <c r="G7" s="39">
        <v>0</v>
      </c>
      <c r="H7" s="40">
        <v>0.71451262450895392</v>
      </c>
      <c r="I7" s="40">
        <v>0</v>
      </c>
      <c r="J7" s="40">
        <v>0.71451262450895392</v>
      </c>
    </row>
    <row r="8" spans="1:10" ht="11.25" customHeight="1" x14ac:dyDescent="0.2">
      <c r="A8" s="47" t="s">
        <v>25</v>
      </c>
      <c r="B8" s="39">
        <v>1939.5</v>
      </c>
      <c r="C8" s="39">
        <v>3325.2972352351162</v>
      </c>
      <c r="D8" s="39">
        <v>0</v>
      </c>
      <c r="E8" s="39">
        <v>0</v>
      </c>
      <c r="F8" s="39">
        <v>0</v>
      </c>
      <c r="G8" s="39">
        <v>0</v>
      </c>
      <c r="H8" s="40">
        <v>0.71451262450895392</v>
      </c>
      <c r="I8" s="40">
        <v>0</v>
      </c>
      <c r="J8" s="40">
        <v>0.71451262450895392</v>
      </c>
    </row>
    <row r="9" spans="1:10" ht="11.25" customHeight="1" x14ac:dyDescent="0.2">
      <c r="A9" s="48" t="s">
        <v>35</v>
      </c>
      <c r="B9" s="39">
        <v>567.6</v>
      </c>
      <c r="C9" s="39">
        <v>976.70835802056422</v>
      </c>
      <c r="D9" s="39">
        <v>0</v>
      </c>
      <c r="E9" s="39">
        <v>0</v>
      </c>
      <c r="F9" s="39">
        <v>0</v>
      </c>
      <c r="G9" s="39">
        <v>0</v>
      </c>
      <c r="H9" s="40">
        <v>0.72076877734419331</v>
      </c>
      <c r="I9" s="40">
        <v>0</v>
      </c>
      <c r="J9" s="40">
        <v>0.72076877734419331</v>
      </c>
    </row>
    <row r="10" spans="1:10" ht="11.25" customHeight="1" x14ac:dyDescent="0.2">
      <c r="A10" s="49">
        <v>44562</v>
      </c>
      <c r="B10" s="39">
        <v>567.6</v>
      </c>
      <c r="C10" s="39">
        <v>976.70835802056422</v>
      </c>
      <c r="D10" s="39">
        <v>0</v>
      </c>
      <c r="E10" s="39">
        <v>0</v>
      </c>
      <c r="F10" s="39">
        <v>0</v>
      </c>
      <c r="G10" s="39">
        <v>0</v>
      </c>
      <c r="H10" s="40">
        <v>0.72076877734419331</v>
      </c>
      <c r="I10" s="40">
        <v>0</v>
      </c>
      <c r="J10" s="40">
        <v>0.72076877734419331</v>
      </c>
    </row>
    <row r="11" spans="1:10" ht="11.25" customHeight="1" x14ac:dyDescent="0.2">
      <c r="A11" s="48" t="s">
        <v>34</v>
      </c>
      <c r="B11" s="39">
        <v>1371.8999999999999</v>
      </c>
      <c r="C11" s="39">
        <v>2348.5888772145522</v>
      </c>
      <c r="D11" s="39">
        <v>0</v>
      </c>
      <c r="E11" s="39">
        <v>0</v>
      </c>
      <c r="F11" s="39">
        <v>0</v>
      </c>
      <c r="G11" s="39">
        <v>0</v>
      </c>
      <c r="H11" s="40">
        <v>0.71192424900834794</v>
      </c>
      <c r="I11" s="40">
        <v>0</v>
      </c>
      <c r="J11" s="40">
        <v>0.71192424900834794</v>
      </c>
    </row>
    <row r="12" spans="1:10" ht="11.25" customHeight="1" x14ac:dyDescent="0.2">
      <c r="A12" s="49">
        <v>44562</v>
      </c>
      <c r="B12" s="39">
        <v>1371.8999999999999</v>
      </c>
      <c r="C12" s="39">
        <v>2348.5888772145522</v>
      </c>
      <c r="D12" s="39">
        <v>0</v>
      </c>
      <c r="E12" s="39">
        <v>0</v>
      </c>
      <c r="F12" s="39">
        <v>0</v>
      </c>
      <c r="G12" s="39">
        <v>0</v>
      </c>
      <c r="H12" s="40">
        <v>0.71192424900834794</v>
      </c>
      <c r="I12" s="40">
        <v>0</v>
      </c>
      <c r="J12" s="40">
        <v>0.71192424900834794</v>
      </c>
    </row>
    <row r="13" spans="1:10" ht="11.25" customHeight="1" x14ac:dyDescent="0.2">
      <c r="A13" s="44" t="s">
        <v>44</v>
      </c>
      <c r="B13" s="39">
        <v>260126.84160000004</v>
      </c>
      <c r="C13" s="39">
        <v>445992.79926843417</v>
      </c>
      <c r="D13" s="39">
        <v>89512.317900000009</v>
      </c>
      <c r="E13" s="39">
        <v>154718.87554423104</v>
      </c>
      <c r="F13" s="39">
        <v>255820.47073680002</v>
      </c>
      <c r="G13" s="39">
        <v>239768.84842564169</v>
      </c>
      <c r="H13" s="40">
        <v>0.71809037543652221</v>
      </c>
      <c r="I13" s="40">
        <v>-6.2745652312058309E-2</v>
      </c>
      <c r="J13" s="40">
        <v>0.3881693861398956</v>
      </c>
    </row>
    <row r="14" spans="1:10" ht="11.25" customHeight="1" x14ac:dyDescent="0.2">
      <c r="A14" s="45" t="s">
        <v>53</v>
      </c>
      <c r="B14" s="39">
        <v>260126.84160000004</v>
      </c>
      <c r="C14" s="39">
        <v>445992.79926843417</v>
      </c>
      <c r="D14" s="39">
        <v>89512.317900000009</v>
      </c>
      <c r="E14" s="39">
        <v>154718.87554423104</v>
      </c>
      <c r="F14" s="39">
        <v>255820.47073680002</v>
      </c>
      <c r="G14" s="39">
        <v>239768.84842564169</v>
      </c>
      <c r="H14" s="40">
        <v>0.71809037543652221</v>
      </c>
      <c r="I14" s="40">
        <v>-6.2745652312058309E-2</v>
      </c>
      <c r="J14" s="40">
        <v>0.3881693861398956</v>
      </c>
    </row>
    <row r="15" spans="1:10" ht="11.25" customHeight="1" x14ac:dyDescent="0.2">
      <c r="A15" s="46" t="s">
        <v>55</v>
      </c>
      <c r="B15" s="39">
        <v>0</v>
      </c>
      <c r="C15" s="39">
        <v>0</v>
      </c>
      <c r="D15" s="39">
        <v>14235.791003999999</v>
      </c>
      <c r="E15" s="39">
        <v>24606.061247147747</v>
      </c>
      <c r="F15" s="39">
        <v>40663.877892000004</v>
      </c>
      <c r="G15" s="39">
        <v>38112.687376306043</v>
      </c>
      <c r="H15" s="40">
        <v>0.72846463117039928</v>
      </c>
      <c r="I15" s="40">
        <v>-6.273849539066878E-2</v>
      </c>
      <c r="J15" s="40">
        <v>0.14242489772144129</v>
      </c>
    </row>
    <row r="16" spans="1:10" ht="11.25" customHeight="1" x14ac:dyDescent="0.2">
      <c r="A16" s="47" t="s">
        <v>25</v>
      </c>
      <c r="B16" s="39">
        <v>0</v>
      </c>
      <c r="C16" s="39">
        <v>0</v>
      </c>
      <c r="D16" s="39">
        <v>14235.791003999999</v>
      </c>
      <c r="E16" s="39">
        <v>24606.061247147747</v>
      </c>
      <c r="F16" s="39">
        <v>40663.877892000004</v>
      </c>
      <c r="G16" s="39">
        <v>38112.687376306043</v>
      </c>
      <c r="H16" s="40">
        <v>0.72846463117039928</v>
      </c>
      <c r="I16" s="40">
        <v>-6.273849539066878E-2</v>
      </c>
      <c r="J16" s="40">
        <v>0.14242489772144129</v>
      </c>
    </row>
    <row r="17" spans="1:10" ht="11.25" customHeight="1" x14ac:dyDescent="0.2">
      <c r="A17" s="48" t="s">
        <v>35</v>
      </c>
      <c r="B17" s="39">
        <v>0</v>
      </c>
      <c r="C17" s="39">
        <v>0</v>
      </c>
      <c r="D17" s="39">
        <v>14235.791003999999</v>
      </c>
      <c r="E17" s="39">
        <v>24606.061247147747</v>
      </c>
      <c r="F17" s="39">
        <v>40663.877892000004</v>
      </c>
      <c r="G17" s="39">
        <v>38112.687376306043</v>
      </c>
      <c r="H17" s="40">
        <v>0.72846463117039928</v>
      </c>
      <c r="I17" s="40">
        <v>-6.273849539066878E-2</v>
      </c>
      <c r="J17" s="40">
        <v>0.14242489772144129</v>
      </c>
    </row>
    <row r="18" spans="1:10" ht="11.25" customHeight="1" x14ac:dyDescent="0.2">
      <c r="A18" s="49">
        <v>44713</v>
      </c>
      <c r="B18" s="39">
        <v>0</v>
      </c>
      <c r="C18" s="39">
        <v>0</v>
      </c>
      <c r="D18" s="39">
        <v>2877.5574239999996</v>
      </c>
      <c r="E18" s="39">
        <v>4973.7562315458035</v>
      </c>
      <c r="F18" s="39">
        <v>8219.6095519999999</v>
      </c>
      <c r="G18" s="39">
        <v>7703.9236160087503</v>
      </c>
      <c r="H18" s="40">
        <v>0.72846463117039928</v>
      </c>
      <c r="I18" s="40">
        <v>-6.2738495390668891E-2</v>
      </c>
      <c r="J18" s="40">
        <v>0.14242489772144107</v>
      </c>
    </row>
    <row r="19" spans="1:10" ht="11.25" customHeight="1" x14ac:dyDescent="0.2">
      <c r="A19" s="49">
        <v>44743</v>
      </c>
      <c r="B19" s="39">
        <v>0</v>
      </c>
      <c r="C19" s="39">
        <v>0</v>
      </c>
      <c r="D19" s="39">
        <v>2877.5574239999996</v>
      </c>
      <c r="E19" s="39">
        <v>4973.7562315458035</v>
      </c>
      <c r="F19" s="39">
        <v>8219.6095519999999</v>
      </c>
      <c r="G19" s="39">
        <v>7703.9236160087503</v>
      </c>
      <c r="H19" s="40">
        <v>0.72846463117039928</v>
      </c>
      <c r="I19" s="40">
        <v>-6.2738495390668891E-2</v>
      </c>
      <c r="J19" s="40">
        <v>0.14242489772144107</v>
      </c>
    </row>
    <row r="20" spans="1:10" ht="11.25" customHeight="1" x14ac:dyDescent="0.2">
      <c r="A20" s="49">
        <v>44774</v>
      </c>
      <c r="B20" s="39">
        <v>0</v>
      </c>
      <c r="C20" s="39">
        <v>0</v>
      </c>
      <c r="D20" s="39">
        <v>8480.6761559999995</v>
      </c>
      <c r="E20" s="39">
        <v>14658.54878405614</v>
      </c>
      <c r="F20" s="39">
        <v>24224.658788000001</v>
      </c>
      <c r="G20" s="39">
        <v>22704.840144288541</v>
      </c>
      <c r="H20" s="40">
        <v>0.7284646311703995</v>
      </c>
      <c r="I20" s="40">
        <v>-6.2738495390668669E-2</v>
      </c>
      <c r="J20" s="40">
        <v>0.14242489772144107</v>
      </c>
    </row>
    <row r="21" spans="1:10" ht="11.25" customHeight="1" x14ac:dyDescent="0.2">
      <c r="A21" s="46" t="s">
        <v>25</v>
      </c>
      <c r="B21" s="39">
        <v>260126.84160000004</v>
      </c>
      <c r="C21" s="39">
        <v>445992.79926843417</v>
      </c>
      <c r="D21" s="39">
        <v>75276.52689600001</v>
      </c>
      <c r="E21" s="39">
        <v>130112.81429708327</v>
      </c>
      <c r="F21" s="39">
        <v>215156.59284480003</v>
      </c>
      <c r="G21" s="39">
        <v>201656.16104933567</v>
      </c>
      <c r="H21" s="40">
        <v>0.71765005267795323</v>
      </c>
      <c r="I21" s="40">
        <v>-6.2747004946312246E-2</v>
      </c>
      <c r="J21" s="40">
        <v>0.41267405773703469</v>
      </c>
    </row>
    <row r="22" spans="1:10" ht="11.25" customHeight="1" x14ac:dyDescent="0.2">
      <c r="A22" s="47" t="s">
        <v>25</v>
      </c>
      <c r="B22" s="39">
        <v>260126.84160000004</v>
      </c>
      <c r="C22" s="39">
        <v>445992.79926843417</v>
      </c>
      <c r="D22" s="39">
        <v>75276.52689600001</v>
      </c>
      <c r="E22" s="39">
        <v>130112.81429708327</v>
      </c>
      <c r="F22" s="39">
        <v>215156.59284480003</v>
      </c>
      <c r="G22" s="39">
        <v>201656.16104933567</v>
      </c>
      <c r="H22" s="40">
        <v>0.71765005267795323</v>
      </c>
      <c r="I22" s="40">
        <v>-6.2747004946312246E-2</v>
      </c>
      <c r="J22" s="40">
        <v>0.41267405773703469</v>
      </c>
    </row>
    <row r="23" spans="1:10" ht="11.25" customHeight="1" x14ac:dyDescent="0.2">
      <c r="A23" s="48" t="s">
        <v>35</v>
      </c>
      <c r="B23" s="39">
        <v>76358.092800000013</v>
      </c>
      <c r="C23" s="39">
        <v>131394.62198779045</v>
      </c>
      <c r="D23" s="39">
        <v>75200.729414400004</v>
      </c>
      <c r="E23" s="39">
        <v>129981.80103100589</v>
      </c>
      <c r="F23" s="39">
        <v>214807.40181120002</v>
      </c>
      <c r="G23" s="39">
        <v>201330.70862278651</v>
      </c>
      <c r="H23" s="40">
        <v>0.72458731995848313</v>
      </c>
      <c r="I23" s="40">
        <v>-6.273849539066878E-2</v>
      </c>
      <c r="J23" s="40">
        <v>0.26296339918401146</v>
      </c>
    </row>
    <row r="24" spans="1:10" ht="11.25" customHeight="1" x14ac:dyDescent="0.2">
      <c r="A24" s="49">
        <v>44501</v>
      </c>
      <c r="B24" s="39">
        <v>2070.6048000000001</v>
      </c>
      <c r="C24" s="39">
        <v>3563.0320900590182</v>
      </c>
      <c r="D24" s="39">
        <v>0</v>
      </c>
      <c r="E24" s="39">
        <v>0</v>
      </c>
      <c r="F24" s="39">
        <v>0</v>
      </c>
      <c r="G24" s="39">
        <v>0</v>
      </c>
      <c r="H24" s="40">
        <v>0.72076877734419331</v>
      </c>
      <c r="I24" s="40">
        <v>0</v>
      </c>
      <c r="J24" s="40">
        <v>0.72076877734419331</v>
      </c>
    </row>
    <row r="25" spans="1:10" ht="11.25" customHeight="1" x14ac:dyDescent="0.2">
      <c r="A25" s="49">
        <v>44531</v>
      </c>
      <c r="B25" s="39">
        <v>2070.6048000000001</v>
      </c>
      <c r="C25" s="39">
        <v>3563.0320900590182</v>
      </c>
      <c r="D25" s="39">
        <v>0</v>
      </c>
      <c r="E25" s="39">
        <v>0</v>
      </c>
      <c r="F25" s="39">
        <v>0</v>
      </c>
      <c r="G25" s="39">
        <v>0</v>
      </c>
      <c r="H25" s="40">
        <v>0.72076877734419331</v>
      </c>
      <c r="I25" s="40">
        <v>0</v>
      </c>
      <c r="J25" s="40">
        <v>0.72076877734419331</v>
      </c>
    </row>
    <row r="26" spans="1:10" ht="11.25" customHeight="1" x14ac:dyDescent="0.2">
      <c r="A26" s="49">
        <v>44593</v>
      </c>
      <c r="B26" s="39">
        <v>2070.6048000000001</v>
      </c>
      <c r="C26" s="39">
        <v>3563.0320900590182</v>
      </c>
      <c r="D26" s="39">
        <v>0</v>
      </c>
      <c r="E26" s="39">
        <v>0</v>
      </c>
      <c r="F26" s="39">
        <v>0</v>
      </c>
      <c r="G26" s="39">
        <v>0</v>
      </c>
      <c r="H26" s="40">
        <v>0.72076877734419331</v>
      </c>
      <c r="I26" s="40">
        <v>0</v>
      </c>
      <c r="J26" s="40">
        <v>0.72076877734419331</v>
      </c>
    </row>
    <row r="27" spans="1:10" ht="11.25" customHeight="1" x14ac:dyDescent="0.2">
      <c r="A27" s="49">
        <v>44621</v>
      </c>
      <c r="B27" s="39">
        <v>2070.6048000000001</v>
      </c>
      <c r="C27" s="39">
        <v>3563.0320900590182</v>
      </c>
      <c r="D27" s="39">
        <v>0</v>
      </c>
      <c r="E27" s="39">
        <v>0</v>
      </c>
      <c r="F27" s="39">
        <v>0</v>
      </c>
      <c r="G27" s="39">
        <v>0</v>
      </c>
      <c r="H27" s="40">
        <v>0.72076877734419331</v>
      </c>
      <c r="I27" s="40">
        <v>0</v>
      </c>
      <c r="J27" s="40">
        <v>0.72076877734419331</v>
      </c>
    </row>
    <row r="28" spans="1:10" ht="11.25" customHeight="1" x14ac:dyDescent="0.2">
      <c r="A28" s="49">
        <v>44652</v>
      </c>
      <c r="B28" s="39">
        <v>2070.6048000000001</v>
      </c>
      <c r="C28" s="39">
        <v>3563.0320900590182</v>
      </c>
      <c r="D28" s="39">
        <v>0</v>
      </c>
      <c r="E28" s="39">
        <v>0</v>
      </c>
      <c r="F28" s="39">
        <v>0</v>
      </c>
      <c r="G28" s="39">
        <v>0</v>
      </c>
      <c r="H28" s="40">
        <v>0.72076877734419331</v>
      </c>
      <c r="I28" s="40">
        <v>0</v>
      </c>
      <c r="J28" s="40">
        <v>0.72076877734419331</v>
      </c>
    </row>
    <row r="29" spans="1:10" ht="11.25" customHeight="1" x14ac:dyDescent="0.2">
      <c r="A29" s="49">
        <v>44682</v>
      </c>
      <c r="B29" s="39">
        <v>2070.6048000000001</v>
      </c>
      <c r="C29" s="39">
        <v>3563.0320900590182</v>
      </c>
      <c r="D29" s="39">
        <v>0</v>
      </c>
      <c r="E29" s="39">
        <v>0</v>
      </c>
      <c r="F29" s="39">
        <v>0</v>
      </c>
      <c r="G29" s="39">
        <v>0</v>
      </c>
      <c r="H29" s="40">
        <v>0.72076877734419331</v>
      </c>
      <c r="I29" s="40">
        <v>0</v>
      </c>
      <c r="J29" s="40">
        <v>0.72076877734419331</v>
      </c>
    </row>
    <row r="30" spans="1:10" ht="11.25" customHeight="1" x14ac:dyDescent="0.2">
      <c r="A30" s="49">
        <v>44713</v>
      </c>
      <c r="B30" s="39">
        <v>19979.52</v>
      </c>
      <c r="C30" s="39">
        <v>34380.134202323861</v>
      </c>
      <c r="D30" s="39">
        <v>20374.836278399998</v>
      </c>
      <c r="E30" s="39">
        <v>35217.183873101923</v>
      </c>
      <c r="F30" s="39">
        <v>58199.776483200003</v>
      </c>
      <c r="G30" s="39">
        <v>54548.410074570806</v>
      </c>
      <c r="H30" s="40">
        <v>0.72465439902651396</v>
      </c>
      <c r="I30" s="40">
        <v>-6.273849539066878E-2</v>
      </c>
      <c r="J30" s="40">
        <v>0.25967044375807169</v>
      </c>
    </row>
    <row r="31" spans="1:10" ht="11.25" customHeight="1" x14ac:dyDescent="0.2">
      <c r="A31" s="49">
        <v>44743</v>
      </c>
      <c r="B31" s="39">
        <v>19979.52</v>
      </c>
      <c r="C31" s="39">
        <v>34380.134202323861</v>
      </c>
      <c r="D31" s="39">
        <v>20374.836278399998</v>
      </c>
      <c r="E31" s="39">
        <v>35217.183873101923</v>
      </c>
      <c r="F31" s="39">
        <v>58199.776483200003</v>
      </c>
      <c r="G31" s="39">
        <v>54548.410074570806</v>
      </c>
      <c r="H31" s="40">
        <v>0.72465439902651396</v>
      </c>
      <c r="I31" s="40">
        <v>-6.273849539066878E-2</v>
      </c>
      <c r="J31" s="40">
        <v>0.25967044375807169</v>
      </c>
    </row>
    <row r="32" spans="1:10" ht="11.25" customHeight="1" x14ac:dyDescent="0.2">
      <c r="A32" s="49">
        <v>44774</v>
      </c>
      <c r="B32" s="39">
        <v>19979.52</v>
      </c>
      <c r="C32" s="39">
        <v>34380.134202323861</v>
      </c>
      <c r="D32" s="39">
        <v>34451.056857600001</v>
      </c>
      <c r="E32" s="39">
        <v>59547.433284802035</v>
      </c>
      <c r="F32" s="39">
        <v>98407.848844799999</v>
      </c>
      <c r="G32" s="39">
        <v>92233.888473644882</v>
      </c>
      <c r="H32" s="40">
        <v>0.72563975819798854</v>
      </c>
      <c r="I32" s="40">
        <v>-6.273849539066878E-2</v>
      </c>
      <c r="J32" s="40">
        <v>0.21802782975045742</v>
      </c>
    </row>
    <row r="33" spans="1:10" ht="11.25" customHeight="1" x14ac:dyDescent="0.2">
      <c r="A33" s="49">
        <v>44805</v>
      </c>
      <c r="B33" s="39">
        <v>1997.952</v>
      </c>
      <c r="C33" s="39">
        <v>3438.0134202323861</v>
      </c>
      <c r="D33" s="39">
        <v>0</v>
      </c>
      <c r="E33" s="39">
        <v>0</v>
      </c>
      <c r="F33" s="39">
        <v>0</v>
      </c>
      <c r="G33" s="39">
        <v>0</v>
      </c>
      <c r="H33" s="40">
        <v>0.72076877734419353</v>
      </c>
      <c r="I33" s="40">
        <v>0</v>
      </c>
      <c r="J33" s="40">
        <v>0.72076877734419353</v>
      </c>
    </row>
    <row r="34" spans="1:10" ht="11.25" customHeight="1" x14ac:dyDescent="0.2">
      <c r="A34" s="49">
        <v>44835</v>
      </c>
      <c r="B34" s="39">
        <v>1997.952</v>
      </c>
      <c r="C34" s="39">
        <v>3438.0134202323861</v>
      </c>
      <c r="D34" s="39">
        <v>0</v>
      </c>
      <c r="E34" s="39">
        <v>0</v>
      </c>
      <c r="F34" s="39">
        <v>0</v>
      </c>
      <c r="G34" s="39">
        <v>0</v>
      </c>
      <c r="H34" s="40">
        <v>0.72076877734419353</v>
      </c>
      <c r="I34" s="40">
        <v>0</v>
      </c>
      <c r="J34" s="40">
        <v>0.72076877734419353</v>
      </c>
    </row>
    <row r="35" spans="1:10" ht="11.25" customHeight="1" x14ac:dyDescent="0.2">
      <c r="A35" s="48" t="s">
        <v>34</v>
      </c>
      <c r="B35" s="39">
        <v>183768.74879999997</v>
      </c>
      <c r="C35" s="39">
        <v>314598.17728064366</v>
      </c>
      <c r="D35" s="39">
        <v>75.797481599999998</v>
      </c>
      <c r="E35" s="39">
        <v>131.01326607738912</v>
      </c>
      <c r="F35" s="39">
        <v>349.19103360000003</v>
      </c>
      <c r="G35" s="39">
        <v>325.45242654916626</v>
      </c>
      <c r="H35" s="40">
        <v>0.71193106846172816</v>
      </c>
      <c r="I35" s="40">
        <v>-6.7981719937363683E-2</v>
      </c>
      <c r="J35" s="40">
        <v>0.71045252442071716</v>
      </c>
    </row>
    <row r="36" spans="1:10" ht="11.25" customHeight="1" x14ac:dyDescent="0.2">
      <c r="A36" s="49">
        <v>44501</v>
      </c>
      <c r="B36" s="39">
        <v>4872.9888000000001</v>
      </c>
      <c r="C36" s="39">
        <v>8342.1876918660892</v>
      </c>
      <c r="D36" s="39">
        <v>0</v>
      </c>
      <c r="E36" s="39">
        <v>0</v>
      </c>
      <c r="F36" s="39">
        <v>0</v>
      </c>
      <c r="G36" s="39">
        <v>0</v>
      </c>
      <c r="H36" s="40">
        <v>0.71192424900834772</v>
      </c>
      <c r="I36" s="40">
        <v>0</v>
      </c>
      <c r="J36" s="40">
        <v>0.71192424900834772</v>
      </c>
    </row>
    <row r="37" spans="1:10" ht="11.25" customHeight="1" x14ac:dyDescent="0.2">
      <c r="A37" s="49">
        <v>44531</v>
      </c>
      <c r="B37" s="39">
        <v>4872.9888000000001</v>
      </c>
      <c r="C37" s="39">
        <v>8342.1876918660892</v>
      </c>
      <c r="D37" s="39">
        <v>0</v>
      </c>
      <c r="E37" s="39">
        <v>0</v>
      </c>
      <c r="F37" s="39">
        <v>0</v>
      </c>
      <c r="G37" s="39">
        <v>0</v>
      </c>
      <c r="H37" s="40">
        <v>0.71192424900834772</v>
      </c>
      <c r="I37" s="40">
        <v>0</v>
      </c>
      <c r="J37" s="40">
        <v>0.71192424900834772</v>
      </c>
    </row>
    <row r="38" spans="1:10" ht="11.25" customHeight="1" x14ac:dyDescent="0.2">
      <c r="A38" s="49">
        <v>44593</v>
      </c>
      <c r="B38" s="39">
        <v>4872.9888000000001</v>
      </c>
      <c r="C38" s="39">
        <v>8342.1876918660892</v>
      </c>
      <c r="D38" s="39">
        <v>0</v>
      </c>
      <c r="E38" s="39">
        <v>0</v>
      </c>
      <c r="F38" s="39">
        <v>0</v>
      </c>
      <c r="G38" s="39">
        <v>0</v>
      </c>
      <c r="H38" s="40">
        <v>0.71192424900834772</v>
      </c>
      <c r="I38" s="40">
        <v>0</v>
      </c>
      <c r="J38" s="40">
        <v>0.71192424900834772</v>
      </c>
    </row>
    <row r="39" spans="1:10" ht="11.25" customHeight="1" x14ac:dyDescent="0.2">
      <c r="A39" s="49">
        <v>44621</v>
      </c>
      <c r="B39" s="39">
        <v>4872.9888000000001</v>
      </c>
      <c r="C39" s="39">
        <v>8342.1876918660892</v>
      </c>
      <c r="D39" s="39">
        <v>0</v>
      </c>
      <c r="E39" s="39">
        <v>0</v>
      </c>
      <c r="F39" s="39">
        <v>0</v>
      </c>
      <c r="G39" s="39">
        <v>0</v>
      </c>
      <c r="H39" s="40">
        <v>0.71192424900834772</v>
      </c>
      <c r="I39" s="40">
        <v>0</v>
      </c>
      <c r="J39" s="40">
        <v>0.71192424900834772</v>
      </c>
    </row>
    <row r="40" spans="1:10" ht="11.25" customHeight="1" x14ac:dyDescent="0.2">
      <c r="A40" s="49">
        <v>44652</v>
      </c>
      <c r="B40" s="39">
        <v>4872.9888000000001</v>
      </c>
      <c r="C40" s="39">
        <v>8342.1876918660892</v>
      </c>
      <c r="D40" s="39">
        <v>0</v>
      </c>
      <c r="E40" s="39">
        <v>0</v>
      </c>
      <c r="F40" s="39">
        <v>0</v>
      </c>
      <c r="G40" s="39">
        <v>0</v>
      </c>
      <c r="H40" s="40">
        <v>0.71192424900834772</v>
      </c>
      <c r="I40" s="40">
        <v>0</v>
      </c>
      <c r="J40" s="40">
        <v>0.71192424900834772</v>
      </c>
    </row>
    <row r="41" spans="1:10" ht="11.25" customHeight="1" x14ac:dyDescent="0.2">
      <c r="A41" s="49">
        <v>44682</v>
      </c>
      <c r="B41" s="39">
        <v>4872.9888000000001</v>
      </c>
      <c r="C41" s="39">
        <v>8342.1876918660892</v>
      </c>
      <c r="D41" s="39">
        <v>0</v>
      </c>
      <c r="E41" s="39">
        <v>0</v>
      </c>
      <c r="F41" s="39">
        <v>0</v>
      </c>
      <c r="G41" s="39">
        <v>0</v>
      </c>
      <c r="H41" s="40">
        <v>0.71192424900834772</v>
      </c>
      <c r="I41" s="40">
        <v>0</v>
      </c>
      <c r="J41" s="40">
        <v>0.71192424900834772</v>
      </c>
    </row>
    <row r="42" spans="1:10" ht="11.25" customHeight="1" x14ac:dyDescent="0.2">
      <c r="A42" s="49">
        <v>44713</v>
      </c>
      <c r="B42" s="39">
        <v>48290.879999999997</v>
      </c>
      <c r="C42" s="39">
        <v>82670.328477952236</v>
      </c>
      <c r="D42" s="39">
        <v>35.6550048</v>
      </c>
      <c r="E42" s="39">
        <v>61.628414721010813</v>
      </c>
      <c r="F42" s="39">
        <v>164.25886080000001</v>
      </c>
      <c r="G42" s="39">
        <v>153.092260927864</v>
      </c>
      <c r="H42" s="40">
        <v>0.71193645239527226</v>
      </c>
      <c r="I42" s="40">
        <v>-6.7981719937363683E-2</v>
      </c>
      <c r="J42" s="40">
        <v>0.70929453915170582</v>
      </c>
    </row>
    <row r="43" spans="1:10" ht="11.25" customHeight="1" x14ac:dyDescent="0.2">
      <c r="A43" s="49">
        <v>44743</v>
      </c>
      <c r="B43" s="39">
        <v>48290.879999999997</v>
      </c>
      <c r="C43" s="39">
        <v>82670.328477952236</v>
      </c>
      <c r="D43" s="39">
        <v>35.6550048</v>
      </c>
      <c r="E43" s="39">
        <v>61.628414721010813</v>
      </c>
      <c r="F43" s="39">
        <v>164.25886080000001</v>
      </c>
      <c r="G43" s="39">
        <v>153.092260927864</v>
      </c>
      <c r="H43" s="40">
        <v>0.71193645239527226</v>
      </c>
      <c r="I43" s="40">
        <v>-6.7981719937363683E-2</v>
      </c>
      <c r="J43" s="40">
        <v>0.70929453915170582</v>
      </c>
    </row>
    <row r="44" spans="1:10" ht="11.25" customHeight="1" x14ac:dyDescent="0.2">
      <c r="A44" s="49">
        <v>44774</v>
      </c>
      <c r="B44" s="39">
        <v>48290.879999999997</v>
      </c>
      <c r="C44" s="39">
        <v>82670.328477952236</v>
      </c>
      <c r="D44" s="39">
        <v>4.4874719999999995</v>
      </c>
      <c r="E44" s="39">
        <v>7.7564366353674936</v>
      </c>
      <c r="F44" s="39">
        <v>20.673311999999999</v>
      </c>
      <c r="G44" s="39">
        <v>19.267904693438261</v>
      </c>
      <c r="H44" s="40">
        <v>0.71192578589492084</v>
      </c>
      <c r="I44" s="40">
        <v>-6.7981719937363572E-2</v>
      </c>
      <c r="J44" s="40">
        <v>0.71159208158186904</v>
      </c>
    </row>
    <row r="45" spans="1:10" ht="11.25" customHeight="1" x14ac:dyDescent="0.2">
      <c r="A45" s="49">
        <v>44805</v>
      </c>
      <c r="B45" s="39">
        <v>4829.0879999999997</v>
      </c>
      <c r="C45" s="39">
        <v>8267.0328477952226</v>
      </c>
      <c r="D45" s="39">
        <v>0</v>
      </c>
      <c r="E45" s="39">
        <v>0</v>
      </c>
      <c r="F45" s="39">
        <v>0</v>
      </c>
      <c r="G45" s="39">
        <v>0</v>
      </c>
      <c r="H45" s="40">
        <v>0.7119242490083475</v>
      </c>
      <c r="I45" s="40">
        <v>0</v>
      </c>
      <c r="J45" s="40">
        <v>0.7119242490083475</v>
      </c>
    </row>
    <row r="46" spans="1:10" ht="11.25" customHeight="1" x14ac:dyDescent="0.2">
      <c r="A46" s="49">
        <v>44835</v>
      </c>
      <c r="B46" s="39">
        <v>4829.0879999999997</v>
      </c>
      <c r="C46" s="39">
        <v>8267.0328477952226</v>
      </c>
      <c r="D46" s="39">
        <v>0</v>
      </c>
      <c r="E46" s="39">
        <v>0</v>
      </c>
      <c r="F46" s="39">
        <v>0</v>
      </c>
      <c r="G46" s="39">
        <v>0</v>
      </c>
      <c r="H46" s="40">
        <v>0.7119242490083475</v>
      </c>
      <c r="I46" s="40">
        <v>0</v>
      </c>
      <c r="J46" s="40">
        <v>0.7119242490083475</v>
      </c>
    </row>
    <row r="47" spans="1:10" ht="11.25" customHeight="1" x14ac:dyDescent="0.2">
      <c r="A47" s="43" t="s">
        <v>40</v>
      </c>
      <c r="B47" s="39">
        <v>12441.792000000001</v>
      </c>
      <c r="C47" s="39">
        <v>21409.447207810768</v>
      </c>
      <c r="D47" s="39">
        <v>9431.9028359999993</v>
      </c>
      <c r="E47" s="39">
        <v>16219.358572868676</v>
      </c>
      <c r="F47" s="39">
        <v>10999.807032800003</v>
      </c>
      <c r="G47" s="39">
        <v>10298.873945614123</v>
      </c>
      <c r="H47" s="40">
        <v>0.72027661823047295</v>
      </c>
      <c r="I47" s="40">
        <v>-6.3722307591013938E-2</v>
      </c>
      <c r="J47" s="40">
        <v>0.45794262861241974</v>
      </c>
    </row>
    <row r="48" spans="1:10" ht="11.25" customHeight="1" x14ac:dyDescent="0.2">
      <c r="A48" s="44" t="s">
        <v>44</v>
      </c>
      <c r="B48" s="39">
        <v>12441.792000000001</v>
      </c>
      <c r="C48" s="39">
        <v>21409.447207810768</v>
      </c>
      <c r="D48" s="39">
        <v>9431.9028359999993</v>
      </c>
      <c r="E48" s="39">
        <v>16219.358572868676</v>
      </c>
      <c r="F48" s="39">
        <v>10999.807032800003</v>
      </c>
      <c r="G48" s="39">
        <v>10298.873945614123</v>
      </c>
      <c r="H48" s="40">
        <v>0.72027661823047295</v>
      </c>
      <c r="I48" s="40">
        <v>-6.3722307591013938E-2</v>
      </c>
      <c r="J48" s="40">
        <v>0.45794262861241974</v>
      </c>
    </row>
    <row r="49" spans="1:10" ht="11.25" customHeight="1" x14ac:dyDescent="0.2">
      <c r="A49" s="45" t="s">
        <v>53</v>
      </c>
      <c r="B49" s="39">
        <v>3850.5984000000008</v>
      </c>
      <c r="C49" s="39">
        <v>6625.9895008115082</v>
      </c>
      <c r="D49" s="39">
        <v>6092.8527240000003</v>
      </c>
      <c r="E49" s="39">
        <v>10474.022504171982</v>
      </c>
      <c r="F49" s="39">
        <v>6452.7271735999993</v>
      </c>
      <c r="G49" s="39">
        <v>6040.45886593463</v>
      </c>
      <c r="H49" s="40">
        <v>0.71972605805946621</v>
      </c>
      <c r="I49" s="40">
        <v>-6.3890553028815522E-2</v>
      </c>
      <c r="J49" s="40">
        <v>0.4113332052692622</v>
      </c>
    </row>
    <row r="50" spans="1:10" ht="11.25" customHeight="1" x14ac:dyDescent="0.2">
      <c r="A50" s="46" t="s">
        <v>55</v>
      </c>
      <c r="B50" s="39">
        <v>0</v>
      </c>
      <c r="C50" s="39">
        <v>0</v>
      </c>
      <c r="D50" s="39">
        <v>177.01717200000002</v>
      </c>
      <c r="E50" s="39">
        <v>305.96792091180714</v>
      </c>
      <c r="F50" s="39">
        <v>505.64135600000009</v>
      </c>
      <c r="G50" s="39">
        <v>473.91817811726253</v>
      </c>
      <c r="H50" s="40">
        <v>0.72846463117039928</v>
      </c>
      <c r="I50" s="40">
        <v>-6.2738495390668891E-2</v>
      </c>
      <c r="J50" s="40">
        <v>0.14242489772144107</v>
      </c>
    </row>
    <row r="51" spans="1:10" ht="11.25" customHeight="1" x14ac:dyDescent="0.2">
      <c r="A51" s="47" t="s">
        <v>25</v>
      </c>
      <c r="B51" s="39">
        <v>0</v>
      </c>
      <c r="C51" s="39">
        <v>0</v>
      </c>
      <c r="D51" s="39">
        <v>177.01717200000002</v>
      </c>
      <c r="E51" s="39">
        <v>305.96792091180714</v>
      </c>
      <c r="F51" s="39">
        <v>505.64135600000009</v>
      </c>
      <c r="G51" s="39">
        <v>473.91817811726253</v>
      </c>
      <c r="H51" s="40">
        <v>0.72846463117039928</v>
      </c>
      <c r="I51" s="40">
        <v>-6.2738495390668891E-2</v>
      </c>
      <c r="J51" s="40">
        <v>0.14242489772144107</v>
      </c>
    </row>
    <row r="52" spans="1:10" ht="11.25" customHeight="1" x14ac:dyDescent="0.2">
      <c r="A52" s="48" t="s">
        <v>35</v>
      </c>
      <c r="B52" s="39">
        <v>0</v>
      </c>
      <c r="C52" s="39">
        <v>0</v>
      </c>
      <c r="D52" s="39">
        <v>177.01717200000002</v>
      </c>
      <c r="E52" s="39">
        <v>305.96792091180714</v>
      </c>
      <c r="F52" s="39">
        <v>505.64135600000009</v>
      </c>
      <c r="G52" s="39">
        <v>473.91817811726253</v>
      </c>
      <c r="H52" s="40">
        <v>0.72846463117039928</v>
      </c>
      <c r="I52" s="40">
        <v>-6.2738495390668891E-2</v>
      </c>
      <c r="J52" s="40">
        <v>0.14242489772144107</v>
      </c>
    </row>
    <row r="53" spans="1:10" ht="11.25" customHeight="1" x14ac:dyDescent="0.2">
      <c r="A53" s="49">
        <v>44805</v>
      </c>
      <c r="B53" s="39">
        <v>0</v>
      </c>
      <c r="C53" s="39">
        <v>0</v>
      </c>
      <c r="D53" s="39">
        <v>88.508586000000008</v>
      </c>
      <c r="E53" s="39">
        <v>152.98396045590357</v>
      </c>
      <c r="F53" s="39">
        <v>252.82067800000004</v>
      </c>
      <c r="G53" s="39">
        <v>236.95908905863126</v>
      </c>
      <c r="H53" s="40">
        <v>0.72846463117039928</v>
      </c>
      <c r="I53" s="40">
        <v>-6.2738495390668891E-2</v>
      </c>
      <c r="J53" s="40">
        <v>0.14242489772144107</v>
      </c>
    </row>
    <row r="54" spans="1:10" ht="11.25" customHeight="1" x14ac:dyDescent="0.2">
      <c r="A54" s="49">
        <v>44835</v>
      </c>
      <c r="B54" s="39">
        <v>0</v>
      </c>
      <c r="C54" s="39">
        <v>0</v>
      </c>
      <c r="D54" s="39">
        <v>88.508586000000008</v>
      </c>
      <c r="E54" s="39">
        <v>152.98396045590357</v>
      </c>
      <c r="F54" s="39">
        <v>252.82067800000004</v>
      </c>
      <c r="G54" s="39">
        <v>236.95908905863126</v>
      </c>
      <c r="H54" s="40">
        <v>0.72846463117039928</v>
      </c>
      <c r="I54" s="40">
        <v>-6.2738495390668891E-2</v>
      </c>
      <c r="J54" s="40">
        <v>0.14242489772144107</v>
      </c>
    </row>
    <row r="55" spans="1:10" ht="11.25" customHeight="1" x14ac:dyDescent="0.2">
      <c r="A55" s="46" t="s">
        <v>25</v>
      </c>
      <c r="B55" s="39">
        <v>3850.5984000000008</v>
      </c>
      <c r="C55" s="39">
        <v>6625.9895008115082</v>
      </c>
      <c r="D55" s="39">
        <v>5915.8355520000005</v>
      </c>
      <c r="E55" s="39">
        <v>10168.054583260175</v>
      </c>
      <c r="F55" s="39">
        <v>5947.0858175999992</v>
      </c>
      <c r="G55" s="39">
        <v>5566.5406878173681</v>
      </c>
      <c r="H55" s="40">
        <v>0.7195676709237917</v>
      </c>
      <c r="I55" s="40">
        <v>-6.3988504866775875E-2</v>
      </c>
      <c r="J55" s="40">
        <v>0.42301566420202863</v>
      </c>
    </row>
    <row r="56" spans="1:10" ht="11.25" customHeight="1" x14ac:dyDescent="0.2">
      <c r="A56" s="47" t="s">
        <v>25</v>
      </c>
      <c r="B56" s="39">
        <v>3850.5984000000008</v>
      </c>
      <c r="C56" s="39">
        <v>6625.9895008115082</v>
      </c>
      <c r="D56" s="39">
        <v>5915.8355520000005</v>
      </c>
      <c r="E56" s="39">
        <v>10168.054583260175</v>
      </c>
      <c r="F56" s="39">
        <v>5947.0858175999992</v>
      </c>
      <c r="G56" s="39">
        <v>5566.5406878173681</v>
      </c>
      <c r="H56" s="40">
        <v>0.7195676709237917</v>
      </c>
      <c r="I56" s="40">
        <v>-6.3988504866775875E-2</v>
      </c>
      <c r="J56" s="40">
        <v>0.42301566420202863</v>
      </c>
    </row>
    <row r="57" spans="1:10" ht="11.25" customHeight="1" x14ac:dyDescent="0.2">
      <c r="A57" s="48" t="s">
        <v>35</v>
      </c>
      <c r="B57" s="39">
        <v>0</v>
      </c>
      <c r="C57" s="39">
        <v>0</v>
      </c>
      <c r="D57" s="39">
        <v>1585.6278335999998</v>
      </c>
      <c r="E57" s="39">
        <v>2740.7016285769432</v>
      </c>
      <c r="F57" s="39">
        <v>4529.2724927999998</v>
      </c>
      <c r="G57" s="39">
        <v>4245.1127513873844</v>
      </c>
      <c r="H57" s="40">
        <v>0.7284646311703995</v>
      </c>
      <c r="I57" s="40">
        <v>-6.2738495390668669E-2</v>
      </c>
      <c r="J57" s="40">
        <v>0.14242489772144129</v>
      </c>
    </row>
    <row r="58" spans="1:10" ht="11.25" customHeight="1" x14ac:dyDescent="0.2">
      <c r="A58" s="49">
        <v>44805</v>
      </c>
      <c r="B58" s="39">
        <v>0</v>
      </c>
      <c r="C58" s="39">
        <v>0</v>
      </c>
      <c r="D58" s="39">
        <v>792.8139167999999</v>
      </c>
      <c r="E58" s="39">
        <v>1370.3508142884716</v>
      </c>
      <c r="F58" s="39">
        <v>2264.6362463999999</v>
      </c>
      <c r="G58" s="39">
        <v>2122.5563756936922</v>
      </c>
      <c r="H58" s="40">
        <v>0.7284646311703995</v>
      </c>
      <c r="I58" s="40">
        <v>-6.2738495390668669E-2</v>
      </c>
      <c r="J58" s="40">
        <v>0.14242489772144129</v>
      </c>
    </row>
    <row r="59" spans="1:10" ht="11.25" customHeight="1" x14ac:dyDescent="0.2">
      <c r="A59" s="49">
        <v>44835</v>
      </c>
      <c r="B59" s="39">
        <v>0</v>
      </c>
      <c r="C59" s="39">
        <v>0</v>
      </c>
      <c r="D59" s="39">
        <v>792.8139167999999</v>
      </c>
      <c r="E59" s="39">
        <v>1370.3508142884716</v>
      </c>
      <c r="F59" s="39">
        <v>2264.6362463999999</v>
      </c>
      <c r="G59" s="39">
        <v>2122.5563756936922</v>
      </c>
      <c r="H59" s="40">
        <v>0.7284646311703995</v>
      </c>
      <c r="I59" s="40">
        <v>-6.2738495390668669E-2</v>
      </c>
      <c r="J59" s="40">
        <v>0.14242489772144129</v>
      </c>
    </row>
    <row r="60" spans="1:10" ht="11.25" customHeight="1" x14ac:dyDescent="0.2">
      <c r="A60" s="48" t="s">
        <v>25</v>
      </c>
      <c r="B60" s="39">
        <v>3850.5984000000008</v>
      </c>
      <c r="C60" s="39">
        <v>6625.9895008115082</v>
      </c>
      <c r="D60" s="39">
        <v>0</v>
      </c>
      <c r="E60" s="39">
        <v>0</v>
      </c>
      <c r="F60" s="39">
        <v>0</v>
      </c>
      <c r="G60" s="39">
        <v>0</v>
      </c>
      <c r="H60" s="40">
        <v>0.72076877734419331</v>
      </c>
      <c r="I60" s="40">
        <v>0</v>
      </c>
      <c r="J60" s="40">
        <v>0.72076877734419331</v>
      </c>
    </row>
    <row r="61" spans="1:10" ht="11.25" customHeight="1" x14ac:dyDescent="0.2">
      <c r="A61" s="49">
        <v>44805</v>
      </c>
      <c r="B61" s="39">
        <v>1925.2992000000004</v>
      </c>
      <c r="C61" s="39">
        <v>3312.9947504057541</v>
      </c>
      <c r="D61" s="39">
        <v>0</v>
      </c>
      <c r="E61" s="39">
        <v>0</v>
      </c>
      <c r="F61" s="39">
        <v>0</v>
      </c>
      <c r="G61" s="39">
        <v>0</v>
      </c>
      <c r="H61" s="40">
        <v>0.72076877734419331</v>
      </c>
      <c r="I61" s="40">
        <v>0</v>
      </c>
      <c r="J61" s="40">
        <v>0.72076877734419331</v>
      </c>
    </row>
    <row r="62" spans="1:10" ht="11.25" customHeight="1" x14ac:dyDescent="0.2">
      <c r="A62" s="49">
        <v>44835</v>
      </c>
      <c r="B62" s="39">
        <v>1925.2992000000004</v>
      </c>
      <c r="C62" s="39">
        <v>3312.9947504057541</v>
      </c>
      <c r="D62" s="39">
        <v>0</v>
      </c>
      <c r="E62" s="39">
        <v>0</v>
      </c>
      <c r="F62" s="39">
        <v>0</v>
      </c>
      <c r="G62" s="39">
        <v>0</v>
      </c>
      <c r="H62" s="40">
        <v>0.72076877734419331</v>
      </c>
      <c r="I62" s="40">
        <v>0</v>
      </c>
      <c r="J62" s="40">
        <v>0.72076877734419331</v>
      </c>
    </row>
    <row r="63" spans="1:10" ht="11.25" customHeight="1" x14ac:dyDescent="0.2">
      <c r="A63" s="48" t="s">
        <v>34</v>
      </c>
      <c r="B63" s="39">
        <v>0</v>
      </c>
      <c r="C63" s="39">
        <v>0</v>
      </c>
      <c r="D63" s="39">
        <v>4330.2077184</v>
      </c>
      <c r="E63" s="39">
        <v>7427.3529546832324</v>
      </c>
      <c r="F63" s="39">
        <v>1417.8133248000001</v>
      </c>
      <c r="G63" s="39">
        <v>1321.4279364299841</v>
      </c>
      <c r="H63" s="40">
        <v>0.71524172457657964</v>
      </c>
      <c r="I63" s="40">
        <v>-6.7981719937363683E-2</v>
      </c>
      <c r="J63" s="40">
        <v>0.52205095029412973</v>
      </c>
    </row>
    <row r="64" spans="1:10" ht="11.25" customHeight="1" x14ac:dyDescent="0.2">
      <c r="A64" s="49">
        <v>44805</v>
      </c>
      <c r="B64" s="39">
        <v>0</v>
      </c>
      <c r="C64" s="39">
        <v>0</v>
      </c>
      <c r="D64" s="39">
        <v>2165.1038592</v>
      </c>
      <c r="E64" s="39">
        <v>3713.6764773416162</v>
      </c>
      <c r="F64" s="39">
        <v>708.90666240000007</v>
      </c>
      <c r="G64" s="39">
        <v>660.71396821499206</v>
      </c>
      <c r="H64" s="40">
        <v>0.71524172457657964</v>
      </c>
      <c r="I64" s="40">
        <v>-6.7981719937363683E-2</v>
      </c>
      <c r="J64" s="40">
        <v>0.52205095029412973</v>
      </c>
    </row>
    <row r="65" spans="1:10" ht="11.25" customHeight="1" x14ac:dyDescent="0.2">
      <c r="A65" s="49">
        <v>44835</v>
      </c>
      <c r="B65" s="39">
        <v>0</v>
      </c>
      <c r="C65" s="39">
        <v>0</v>
      </c>
      <c r="D65" s="39">
        <v>2165.1038592</v>
      </c>
      <c r="E65" s="39">
        <v>3713.6764773416162</v>
      </c>
      <c r="F65" s="39">
        <v>708.90666240000007</v>
      </c>
      <c r="G65" s="39">
        <v>660.71396821499206</v>
      </c>
      <c r="H65" s="40">
        <v>0.71524172457657964</v>
      </c>
      <c r="I65" s="40">
        <v>-6.7981719937363683E-2</v>
      </c>
      <c r="J65" s="40">
        <v>0.52205095029412973</v>
      </c>
    </row>
    <row r="66" spans="1:10" ht="11.25" customHeight="1" x14ac:dyDescent="0.2">
      <c r="A66" s="45" t="s">
        <v>56</v>
      </c>
      <c r="B66" s="39">
        <v>853.67039999999997</v>
      </c>
      <c r="C66" s="39">
        <v>1468.9693704629287</v>
      </c>
      <c r="D66" s="39">
        <v>3339.0501120000004</v>
      </c>
      <c r="E66" s="39">
        <v>5745.3360686966962</v>
      </c>
      <c r="F66" s="39">
        <v>4547.079859200001</v>
      </c>
      <c r="G66" s="39">
        <v>4258.4150796794938</v>
      </c>
      <c r="H66" s="40">
        <v>0.72067406317963156</v>
      </c>
      <c r="I66" s="40">
        <v>-6.3483551742874789E-2</v>
      </c>
      <c r="J66" s="40">
        <v>0.31269823469250269</v>
      </c>
    </row>
    <row r="67" spans="1:10" ht="11.25" customHeight="1" x14ac:dyDescent="0.2">
      <c r="A67" s="46" t="s">
        <v>25</v>
      </c>
      <c r="B67" s="39">
        <v>853.67039999999997</v>
      </c>
      <c r="C67" s="39">
        <v>1468.9693704629287</v>
      </c>
      <c r="D67" s="39">
        <v>3339.0501120000004</v>
      </c>
      <c r="E67" s="39">
        <v>5745.3360686966962</v>
      </c>
      <c r="F67" s="39">
        <v>4547.079859200001</v>
      </c>
      <c r="G67" s="39">
        <v>4258.4150796794938</v>
      </c>
      <c r="H67" s="40">
        <v>0.72067406317963156</v>
      </c>
      <c r="I67" s="40">
        <v>-6.3483551742874789E-2</v>
      </c>
      <c r="J67" s="40">
        <v>0.31269823469250269</v>
      </c>
    </row>
    <row r="68" spans="1:10" ht="11.25" customHeight="1" x14ac:dyDescent="0.2">
      <c r="A68" s="47" t="s">
        <v>25</v>
      </c>
      <c r="B68" s="39">
        <v>853.67039999999997</v>
      </c>
      <c r="C68" s="39">
        <v>1468.9693704629287</v>
      </c>
      <c r="D68" s="39">
        <v>3339.0501120000004</v>
      </c>
      <c r="E68" s="39">
        <v>5745.3360686966962</v>
      </c>
      <c r="F68" s="39">
        <v>4547.079859200001</v>
      </c>
      <c r="G68" s="39">
        <v>4258.4150796794938</v>
      </c>
      <c r="H68" s="40">
        <v>0.72067406317963156</v>
      </c>
      <c r="I68" s="40">
        <v>-6.3483551742874789E-2</v>
      </c>
      <c r="J68" s="40">
        <v>0.31269823469250269</v>
      </c>
    </row>
    <row r="69" spans="1:10" ht="11.25" customHeight="1" x14ac:dyDescent="0.2">
      <c r="A69" s="48" t="s">
        <v>35</v>
      </c>
      <c r="B69" s="39">
        <v>0</v>
      </c>
      <c r="C69" s="39">
        <v>0</v>
      </c>
      <c r="D69" s="39">
        <v>1365.6601151999998</v>
      </c>
      <c r="E69" s="39">
        <v>2360.495207323293</v>
      </c>
      <c r="F69" s="39">
        <v>3900.9448896000004</v>
      </c>
      <c r="G69" s="39">
        <v>3656.2054766245774</v>
      </c>
      <c r="H69" s="40">
        <v>0.7284646311703995</v>
      </c>
      <c r="I69" s="40">
        <v>-6.2738495390668891E-2</v>
      </c>
      <c r="J69" s="40">
        <v>0.14242489772144129</v>
      </c>
    </row>
    <row r="70" spans="1:10" ht="11.25" customHeight="1" x14ac:dyDescent="0.2">
      <c r="A70" s="49">
        <v>44593</v>
      </c>
      <c r="B70" s="39">
        <v>0</v>
      </c>
      <c r="C70" s="39">
        <v>0</v>
      </c>
      <c r="D70" s="39">
        <v>34.349558399999999</v>
      </c>
      <c r="E70" s="39">
        <v>59.371996790722093</v>
      </c>
      <c r="F70" s="39">
        <v>98.117923200000007</v>
      </c>
      <c r="G70" s="39">
        <v>91.962152327574813</v>
      </c>
      <c r="H70" s="40">
        <v>0.7284646311703995</v>
      </c>
      <c r="I70" s="40">
        <v>-6.273849539066878E-2</v>
      </c>
      <c r="J70" s="40">
        <v>0.14242489772144129</v>
      </c>
    </row>
    <row r="71" spans="1:10" ht="11.25" customHeight="1" x14ac:dyDescent="0.2">
      <c r="A71" s="49">
        <v>44621</v>
      </c>
      <c r="B71" s="39">
        <v>0</v>
      </c>
      <c r="C71" s="39">
        <v>0</v>
      </c>
      <c r="D71" s="39">
        <v>36.715679999999999</v>
      </c>
      <c r="E71" s="39">
        <v>63.461754289370404</v>
      </c>
      <c r="F71" s="39">
        <v>104.87664000000001</v>
      </c>
      <c r="G71" s="39">
        <v>98.296837404771168</v>
      </c>
      <c r="H71" s="40">
        <v>0.72846463117039928</v>
      </c>
      <c r="I71" s="40">
        <v>-6.2738495390668891E-2</v>
      </c>
      <c r="J71" s="40">
        <v>0.14242489772144107</v>
      </c>
    </row>
    <row r="72" spans="1:10" ht="11.25" customHeight="1" x14ac:dyDescent="0.2">
      <c r="A72" s="49">
        <v>44652</v>
      </c>
      <c r="B72" s="39">
        <v>0</v>
      </c>
      <c r="C72" s="39">
        <v>0</v>
      </c>
      <c r="D72" s="39">
        <v>39.408163199999997</v>
      </c>
      <c r="E72" s="39">
        <v>68.115616270590891</v>
      </c>
      <c r="F72" s="39">
        <v>112.5675936</v>
      </c>
      <c r="G72" s="39">
        <v>105.50527214778772</v>
      </c>
      <c r="H72" s="40">
        <v>0.72846463117039906</v>
      </c>
      <c r="I72" s="40">
        <v>-6.273849539066878E-2</v>
      </c>
      <c r="J72" s="40">
        <v>0.14242489772144129</v>
      </c>
    </row>
    <row r="73" spans="1:10" ht="11.25" customHeight="1" x14ac:dyDescent="0.2">
      <c r="A73" s="49">
        <v>44682</v>
      </c>
      <c r="B73" s="39">
        <v>0</v>
      </c>
      <c r="C73" s="39">
        <v>0</v>
      </c>
      <c r="D73" s="39">
        <v>47.8935648</v>
      </c>
      <c r="E73" s="39">
        <v>82.782332817467619</v>
      </c>
      <c r="F73" s="39">
        <v>136.80575040000002</v>
      </c>
      <c r="G73" s="39">
        <v>128.22276345911263</v>
      </c>
      <c r="H73" s="40">
        <v>0.72846463117039928</v>
      </c>
      <c r="I73" s="40">
        <v>-6.2738495390668891E-2</v>
      </c>
      <c r="J73" s="40">
        <v>0.14242489772144107</v>
      </c>
    </row>
    <row r="74" spans="1:10" ht="11.25" customHeight="1" x14ac:dyDescent="0.2">
      <c r="A74" s="49">
        <v>44713</v>
      </c>
      <c r="B74" s="39">
        <v>0</v>
      </c>
      <c r="C74" s="39">
        <v>0</v>
      </c>
      <c r="D74" s="39">
        <v>45.445852799999997</v>
      </c>
      <c r="E74" s="39">
        <v>78.551549198176247</v>
      </c>
      <c r="F74" s="39">
        <v>129.81397440000001</v>
      </c>
      <c r="G74" s="39">
        <v>121.6696409654612</v>
      </c>
      <c r="H74" s="40">
        <v>0.72846463117039906</v>
      </c>
      <c r="I74" s="40">
        <v>-6.2738495390668891E-2</v>
      </c>
      <c r="J74" s="40">
        <v>0.14242489772144107</v>
      </c>
    </row>
    <row r="75" spans="1:10" ht="11.25" customHeight="1" x14ac:dyDescent="0.2">
      <c r="A75" s="49">
        <v>44743</v>
      </c>
      <c r="B75" s="39">
        <v>0</v>
      </c>
      <c r="C75" s="39">
        <v>0</v>
      </c>
      <c r="D75" s="39">
        <v>76.939747199999999</v>
      </c>
      <c r="E75" s="39">
        <v>132.98763176639176</v>
      </c>
      <c r="F75" s="39">
        <v>219.77482560000001</v>
      </c>
      <c r="G75" s="39">
        <v>205.98648371710937</v>
      </c>
      <c r="H75" s="40">
        <v>0.72846463117039928</v>
      </c>
      <c r="I75" s="40">
        <v>-6.2738495390668891E-2</v>
      </c>
      <c r="J75" s="40">
        <v>0.14242489772144107</v>
      </c>
    </row>
    <row r="76" spans="1:10" ht="11.25" customHeight="1" x14ac:dyDescent="0.2">
      <c r="A76" s="49">
        <v>44774</v>
      </c>
      <c r="B76" s="39">
        <v>0</v>
      </c>
      <c r="C76" s="39">
        <v>0</v>
      </c>
      <c r="D76" s="39">
        <v>225.92381760000001</v>
      </c>
      <c r="E76" s="39">
        <v>390.50132806059258</v>
      </c>
      <c r="F76" s="39">
        <v>645.34092480000004</v>
      </c>
      <c r="G76" s="39">
        <v>604.85320616402532</v>
      </c>
      <c r="H76" s="40">
        <v>0.72846463117039928</v>
      </c>
      <c r="I76" s="40">
        <v>-6.273849539066878E-2</v>
      </c>
      <c r="J76" s="40">
        <v>0.14242489772144129</v>
      </c>
    </row>
    <row r="77" spans="1:10" ht="11.25" customHeight="1" x14ac:dyDescent="0.2">
      <c r="A77" s="49">
        <v>44805</v>
      </c>
      <c r="B77" s="39">
        <v>0</v>
      </c>
      <c r="C77" s="39">
        <v>0</v>
      </c>
      <c r="D77" s="39">
        <v>429.49186559999998</v>
      </c>
      <c r="E77" s="39">
        <v>742.36149906499065</v>
      </c>
      <c r="F77" s="39">
        <v>1226.8236288000001</v>
      </c>
      <c r="G77" s="39">
        <v>1149.8545602193676</v>
      </c>
      <c r="H77" s="40">
        <v>0.72846463117039928</v>
      </c>
      <c r="I77" s="40">
        <v>-6.2738495390668891E-2</v>
      </c>
      <c r="J77" s="40">
        <v>0.14242489772144129</v>
      </c>
    </row>
    <row r="78" spans="1:10" ht="11.25" customHeight="1" x14ac:dyDescent="0.2">
      <c r="A78" s="49">
        <v>44835</v>
      </c>
      <c r="B78" s="39">
        <v>0</v>
      </c>
      <c r="C78" s="39">
        <v>0</v>
      </c>
      <c r="D78" s="39">
        <v>429.49186559999998</v>
      </c>
      <c r="E78" s="39">
        <v>742.36149906499065</v>
      </c>
      <c r="F78" s="39">
        <v>1226.8236288000001</v>
      </c>
      <c r="G78" s="39">
        <v>1149.8545602193676</v>
      </c>
      <c r="H78" s="40">
        <v>0.72846463117039928</v>
      </c>
      <c r="I78" s="40">
        <v>-6.2738495390668891E-2</v>
      </c>
      <c r="J78" s="40">
        <v>0.14242489772144129</v>
      </c>
    </row>
    <row r="79" spans="1:10" ht="11.25" customHeight="1" x14ac:dyDescent="0.2">
      <c r="A79" s="48" t="s">
        <v>25</v>
      </c>
      <c r="B79" s="39">
        <v>853.67039999999997</v>
      </c>
      <c r="C79" s="39">
        <v>1468.9693704629287</v>
      </c>
      <c r="D79" s="39">
        <v>0</v>
      </c>
      <c r="E79" s="39">
        <v>0</v>
      </c>
      <c r="F79" s="39">
        <v>0</v>
      </c>
      <c r="G79" s="39">
        <v>0</v>
      </c>
      <c r="H79" s="40">
        <v>0.72076877734419376</v>
      </c>
      <c r="I79" s="40">
        <v>0</v>
      </c>
      <c r="J79" s="40">
        <v>0.72076877734419376</v>
      </c>
    </row>
    <row r="80" spans="1:10" ht="11.25" customHeight="1" x14ac:dyDescent="0.2">
      <c r="A80" s="49">
        <v>44593</v>
      </c>
      <c r="B80" s="39">
        <v>18.1632</v>
      </c>
      <c r="C80" s="39">
        <v>31.254667456658055</v>
      </c>
      <c r="D80" s="39">
        <v>0</v>
      </c>
      <c r="E80" s="39">
        <v>0</v>
      </c>
      <c r="F80" s="39">
        <v>0</v>
      </c>
      <c r="G80" s="39">
        <v>0</v>
      </c>
      <c r="H80" s="40">
        <v>0.72076877734419353</v>
      </c>
      <c r="I80" s="40">
        <v>0</v>
      </c>
      <c r="J80" s="40">
        <v>0.72076877734419353</v>
      </c>
    </row>
    <row r="81" spans="1:10" ht="11.25" customHeight="1" x14ac:dyDescent="0.2">
      <c r="A81" s="49">
        <v>44621</v>
      </c>
      <c r="B81" s="39">
        <v>18.1632</v>
      </c>
      <c r="C81" s="39">
        <v>31.254667456658055</v>
      </c>
      <c r="D81" s="39">
        <v>0</v>
      </c>
      <c r="E81" s="39">
        <v>0</v>
      </c>
      <c r="F81" s="39">
        <v>0</v>
      </c>
      <c r="G81" s="39">
        <v>0</v>
      </c>
      <c r="H81" s="40">
        <v>0.72076877734419353</v>
      </c>
      <c r="I81" s="40">
        <v>0</v>
      </c>
      <c r="J81" s="40">
        <v>0.72076877734419353</v>
      </c>
    </row>
    <row r="82" spans="1:10" ht="11.25" customHeight="1" x14ac:dyDescent="0.2">
      <c r="A82" s="49">
        <v>44652</v>
      </c>
      <c r="B82" s="39">
        <v>54.489600000000003</v>
      </c>
      <c r="C82" s="39">
        <v>93.764002369974165</v>
      </c>
      <c r="D82" s="39">
        <v>0</v>
      </c>
      <c r="E82" s="39">
        <v>0</v>
      </c>
      <c r="F82" s="39">
        <v>0</v>
      </c>
      <c r="G82" s="39">
        <v>0</v>
      </c>
      <c r="H82" s="40">
        <v>0.72076877734419331</v>
      </c>
      <c r="I82" s="40">
        <v>0</v>
      </c>
      <c r="J82" s="40">
        <v>0.72076877734419331</v>
      </c>
    </row>
    <row r="83" spans="1:10" ht="11.25" customHeight="1" x14ac:dyDescent="0.2">
      <c r="A83" s="49">
        <v>44682</v>
      </c>
      <c r="B83" s="39">
        <v>54.489600000000003</v>
      </c>
      <c r="C83" s="39">
        <v>93.764002369974165</v>
      </c>
      <c r="D83" s="39">
        <v>0</v>
      </c>
      <c r="E83" s="39">
        <v>0</v>
      </c>
      <c r="F83" s="39">
        <v>0</v>
      </c>
      <c r="G83" s="39">
        <v>0</v>
      </c>
      <c r="H83" s="40">
        <v>0.72076877734419331</v>
      </c>
      <c r="I83" s="40">
        <v>0</v>
      </c>
      <c r="J83" s="40">
        <v>0.72076877734419331</v>
      </c>
    </row>
    <row r="84" spans="1:10" ht="11.25" customHeight="1" x14ac:dyDescent="0.2">
      <c r="A84" s="49">
        <v>44713</v>
      </c>
      <c r="B84" s="39">
        <v>54.489600000000003</v>
      </c>
      <c r="C84" s="39">
        <v>93.764002369974165</v>
      </c>
      <c r="D84" s="39">
        <v>0</v>
      </c>
      <c r="E84" s="39">
        <v>0</v>
      </c>
      <c r="F84" s="39">
        <v>0</v>
      </c>
      <c r="G84" s="39">
        <v>0</v>
      </c>
      <c r="H84" s="40">
        <v>0.72076877734419331</v>
      </c>
      <c r="I84" s="40">
        <v>0</v>
      </c>
      <c r="J84" s="40">
        <v>0.72076877734419331</v>
      </c>
    </row>
    <row r="85" spans="1:10" ht="11.25" customHeight="1" x14ac:dyDescent="0.2">
      <c r="A85" s="49">
        <v>44743</v>
      </c>
      <c r="B85" s="39">
        <v>72.652799999999999</v>
      </c>
      <c r="C85" s="39">
        <v>125.01866982663222</v>
      </c>
      <c r="D85" s="39">
        <v>0</v>
      </c>
      <c r="E85" s="39">
        <v>0</v>
      </c>
      <c r="F85" s="39">
        <v>0</v>
      </c>
      <c r="G85" s="39">
        <v>0</v>
      </c>
      <c r="H85" s="40">
        <v>0.72076877734419353</v>
      </c>
      <c r="I85" s="40">
        <v>0</v>
      </c>
      <c r="J85" s="40">
        <v>0.72076877734419353</v>
      </c>
    </row>
    <row r="86" spans="1:10" ht="11.25" customHeight="1" x14ac:dyDescent="0.2">
      <c r="A86" s="49">
        <v>44774</v>
      </c>
      <c r="B86" s="39">
        <v>181.63200000000001</v>
      </c>
      <c r="C86" s="39">
        <v>312.54667456658052</v>
      </c>
      <c r="D86" s="39">
        <v>0</v>
      </c>
      <c r="E86" s="39">
        <v>0</v>
      </c>
      <c r="F86" s="39">
        <v>0</v>
      </c>
      <c r="G86" s="39">
        <v>0</v>
      </c>
      <c r="H86" s="40">
        <v>0.72076877734419331</v>
      </c>
      <c r="I86" s="40">
        <v>0</v>
      </c>
      <c r="J86" s="40">
        <v>0.72076877734419331</v>
      </c>
    </row>
    <row r="87" spans="1:10" ht="11.25" customHeight="1" x14ac:dyDescent="0.2">
      <c r="A87" s="49">
        <v>44805</v>
      </c>
      <c r="B87" s="39">
        <v>199.79520000000002</v>
      </c>
      <c r="C87" s="39">
        <v>343.80134202323865</v>
      </c>
      <c r="D87" s="39">
        <v>0</v>
      </c>
      <c r="E87" s="39">
        <v>0</v>
      </c>
      <c r="F87" s="39">
        <v>0</v>
      </c>
      <c r="G87" s="39">
        <v>0</v>
      </c>
      <c r="H87" s="40">
        <v>0.72076877734419353</v>
      </c>
      <c r="I87" s="40">
        <v>0</v>
      </c>
      <c r="J87" s="40">
        <v>0.72076877734419353</v>
      </c>
    </row>
    <row r="88" spans="1:10" ht="11.25" customHeight="1" x14ac:dyDescent="0.2">
      <c r="A88" s="49">
        <v>44835</v>
      </c>
      <c r="B88" s="39">
        <v>199.79520000000002</v>
      </c>
      <c r="C88" s="39">
        <v>343.80134202323865</v>
      </c>
      <c r="D88" s="39">
        <v>0</v>
      </c>
      <c r="E88" s="39">
        <v>0</v>
      </c>
      <c r="F88" s="39">
        <v>0</v>
      </c>
      <c r="G88" s="39">
        <v>0</v>
      </c>
      <c r="H88" s="40">
        <v>0.72076877734419353</v>
      </c>
      <c r="I88" s="40">
        <v>0</v>
      </c>
      <c r="J88" s="40">
        <v>0.72076877734419353</v>
      </c>
    </row>
    <row r="89" spans="1:10" ht="11.25" customHeight="1" x14ac:dyDescent="0.2">
      <c r="A89" s="48" t="s">
        <v>34</v>
      </c>
      <c r="B89" s="39">
        <v>0</v>
      </c>
      <c r="C89" s="39">
        <v>0</v>
      </c>
      <c r="D89" s="39">
        <v>1973.3899968000001</v>
      </c>
      <c r="E89" s="39">
        <v>3384.8408613734036</v>
      </c>
      <c r="F89" s="39">
        <v>646.13496960000009</v>
      </c>
      <c r="G89" s="39">
        <v>602.20960305491587</v>
      </c>
      <c r="H89" s="40">
        <v>0.71524172457657986</v>
      </c>
      <c r="I89" s="40">
        <v>-6.7981719937363683E-2</v>
      </c>
      <c r="J89" s="40">
        <v>0.52205095029413018</v>
      </c>
    </row>
    <row r="90" spans="1:10" ht="11.25" customHeight="1" x14ac:dyDescent="0.2">
      <c r="A90" s="49">
        <v>44593</v>
      </c>
      <c r="B90" s="39">
        <v>0</v>
      </c>
      <c r="C90" s="39">
        <v>0</v>
      </c>
      <c r="D90" s="39">
        <v>64.287283200000005</v>
      </c>
      <c r="E90" s="39">
        <v>110.26823050431099</v>
      </c>
      <c r="F90" s="39">
        <v>21.049190400000001</v>
      </c>
      <c r="G90" s="39">
        <v>19.618230233318958</v>
      </c>
      <c r="H90" s="40">
        <v>0.71524172457657986</v>
      </c>
      <c r="I90" s="40">
        <v>-6.7981719937363572E-2</v>
      </c>
      <c r="J90" s="40">
        <v>0.52205095029413018</v>
      </c>
    </row>
    <row r="91" spans="1:10" ht="11.25" customHeight="1" x14ac:dyDescent="0.2">
      <c r="A91" s="49">
        <v>44621</v>
      </c>
      <c r="B91" s="39">
        <v>0</v>
      </c>
      <c r="C91" s="39">
        <v>0</v>
      </c>
      <c r="D91" s="39">
        <v>78.063129599999996</v>
      </c>
      <c r="E91" s="39">
        <v>133.89713704094905</v>
      </c>
      <c r="F91" s="39">
        <v>25.559731200000002</v>
      </c>
      <c r="G91" s="39">
        <v>23.822136711887307</v>
      </c>
      <c r="H91" s="40">
        <v>0.71524172457657986</v>
      </c>
      <c r="I91" s="40">
        <v>-6.7981719937363572E-2</v>
      </c>
      <c r="J91" s="40">
        <v>0.52205095029413018</v>
      </c>
    </row>
    <row r="92" spans="1:10" ht="11.25" customHeight="1" x14ac:dyDescent="0.2">
      <c r="A92" s="49">
        <v>44652</v>
      </c>
      <c r="B92" s="39">
        <v>0</v>
      </c>
      <c r="C92" s="39">
        <v>0</v>
      </c>
      <c r="D92" s="39">
        <v>83.803065599999996</v>
      </c>
      <c r="E92" s="39">
        <v>143.74251476454825</v>
      </c>
      <c r="F92" s="39">
        <v>27.439123200000004</v>
      </c>
      <c r="G92" s="39">
        <v>25.573764411290785</v>
      </c>
      <c r="H92" s="40">
        <v>0.71524172457657986</v>
      </c>
      <c r="I92" s="40">
        <v>-6.7981719937363683E-2</v>
      </c>
      <c r="J92" s="40">
        <v>0.52205095029412996</v>
      </c>
    </row>
    <row r="93" spans="1:10" ht="11.25" customHeight="1" x14ac:dyDescent="0.2">
      <c r="A93" s="49">
        <v>44682</v>
      </c>
      <c r="B93" s="39">
        <v>0</v>
      </c>
      <c r="C93" s="39">
        <v>0</v>
      </c>
      <c r="D93" s="39">
        <v>114.79872</v>
      </c>
      <c r="E93" s="39">
        <v>196.9075544719839</v>
      </c>
      <c r="F93" s="39">
        <v>37.58784</v>
      </c>
      <c r="G93" s="39">
        <v>35.032553988069566</v>
      </c>
      <c r="H93" s="40">
        <v>0.71524172457657964</v>
      </c>
      <c r="I93" s="40">
        <v>-6.7981719937363683E-2</v>
      </c>
      <c r="J93" s="40">
        <v>0.52205095029412996</v>
      </c>
    </row>
    <row r="94" spans="1:10" ht="11.25" customHeight="1" x14ac:dyDescent="0.2">
      <c r="A94" s="49">
        <v>44713</v>
      </c>
      <c r="B94" s="39">
        <v>0</v>
      </c>
      <c r="C94" s="39">
        <v>0</v>
      </c>
      <c r="D94" s="39">
        <v>111.35475839999999</v>
      </c>
      <c r="E94" s="39">
        <v>191.00032783782436</v>
      </c>
      <c r="F94" s="39">
        <v>36.4602048</v>
      </c>
      <c r="G94" s="39">
        <v>33.98157736842748</v>
      </c>
      <c r="H94" s="40">
        <v>0.71524172457657964</v>
      </c>
      <c r="I94" s="40">
        <v>-6.7981719937363572E-2</v>
      </c>
      <c r="J94" s="40">
        <v>0.52205095029412996</v>
      </c>
    </row>
    <row r="95" spans="1:10" ht="11.25" customHeight="1" x14ac:dyDescent="0.2">
      <c r="A95" s="49">
        <v>44743</v>
      </c>
      <c r="B95" s="39">
        <v>0</v>
      </c>
      <c r="C95" s="39">
        <v>0</v>
      </c>
      <c r="D95" s="39">
        <v>117.09469439999998</v>
      </c>
      <c r="E95" s="39">
        <v>200.84570556142356</v>
      </c>
      <c r="F95" s="39">
        <v>38.339596800000002</v>
      </c>
      <c r="G95" s="39">
        <v>35.733205067830959</v>
      </c>
      <c r="H95" s="40">
        <v>0.71524172457657986</v>
      </c>
      <c r="I95" s="40">
        <v>-6.7981719937363683E-2</v>
      </c>
      <c r="J95" s="40">
        <v>0.52205095029412996</v>
      </c>
    </row>
    <row r="96" spans="1:10" ht="11.25" customHeight="1" x14ac:dyDescent="0.2">
      <c r="A96" s="49">
        <v>44774</v>
      </c>
      <c r="B96" s="39">
        <v>0</v>
      </c>
      <c r="C96" s="39">
        <v>0</v>
      </c>
      <c r="D96" s="39">
        <v>148.09034879999999</v>
      </c>
      <c r="E96" s="39">
        <v>254.01074526885924</v>
      </c>
      <c r="F96" s="39">
        <v>48.488313600000005</v>
      </c>
      <c r="G96" s="39">
        <v>45.191994644609743</v>
      </c>
      <c r="H96" s="40">
        <v>0.71524172457658008</v>
      </c>
      <c r="I96" s="40">
        <v>-6.7981719937363683E-2</v>
      </c>
      <c r="J96" s="40">
        <v>0.52205095029413018</v>
      </c>
    </row>
    <row r="97" spans="1:10" ht="11.25" customHeight="1" x14ac:dyDescent="0.2">
      <c r="A97" s="49">
        <v>44805</v>
      </c>
      <c r="B97" s="39">
        <v>0</v>
      </c>
      <c r="C97" s="39">
        <v>0</v>
      </c>
      <c r="D97" s="39">
        <v>627.94899840000005</v>
      </c>
      <c r="E97" s="39">
        <v>1077.0843229617519</v>
      </c>
      <c r="F97" s="39">
        <v>205.60548480000003</v>
      </c>
      <c r="G97" s="39">
        <v>191.62807031474054</v>
      </c>
      <c r="H97" s="40">
        <v>0.71524172457657964</v>
      </c>
      <c r="I97" s="40">
        <v>-6.7981719937363683E-2</v>
      </c>
      <c r="J97" s="40">
        <v>0.52205095029412996</v>
      </c>
    </row>
    <row r="98" spans="1:10" ht="11.25" customHeight="1" x14ac:dyDescent="0.2">
      <c r="A98" s="49">
        <v>44835</v>
      </c>
      <c r="B98" s="39">
        <v>0</v>
      </c>
      <c r="C98" s="39">
        <v>0</v>
      </c>
      <c r="D98" s="39">
        <v>627.94899840000005</v>
      </c>
      <c r="E98" s="39">
        <v>1077.0843229617519</v>
      </c>
      <c r="F98" s="39">
        <v>205.60548480000003</v>
      </c>
      <c r="G98" s="39">
        <v>191.62807031474054</v>
      </c>
      <c r="H98" s="40">
        <v>0.71524172457657964</v>
      </c>
      <c r="I98" s="40">
        <v>-6.7981719937363683E-2</v>
      </c>
      <c r="J98" s="40">
        <v>0.52205095029412996</v>
      </c>
    </row>
    <row r="99" spans="1:10" ht="11.25" customHeight="1" x14ac:dyDescent="0.2">
      <c r="A99" s="45" t="s">
        <v>25</v>
      </c>
      <c r="B99" s="39">
        <v>7737.5231999999996</v>
      </c>
      <c r="C99" s="39">
        <v>13314.488336536331</v>
      </c>
      <c r="D99" s="39">
        <v>0</v>
      </c>
      <c r="E99" s="39">
        <v>0</v>
      </c>
      <c r="F99" s="39">
        <v>0</v>
      </c>
      <c r="G99" s="39">
        <v>0</v>
      </c>
      <c r="H99" s="40">
        <v>0.72076877734419353</v>
      </c>
      <c r="I99" s="40">
        <v>0</v>
      </c>
      <c r="J99" s="40">
        <v>0.72076877734419353</v>
      </c>
    </row>
    <row r="100" spans="1:10" ht="11.25" customHeight="1" x14ac:dyDescent="0.2">
      <c r="A100" s="46" t="s">
        <v>25</v>
      </c>
      <c r="B100" s="39">
        <v>7737.5231999999996</v>
      </c>
      <c r="C100" s="39">
        <v>13314.488336536331</v>
      </c>
      <c r="D100" s="39">
        <v>0</v>
      </c>
      <c r="E100" s="39">
        <v>0</v>
      </c>
      <c r="F100" s="39">
        <v>0</v>
      </c>
      <c r="G100" s="39">
        <v>0</v>
      </c>
      <c r="H100" s="40">
        <v>0.72076877734419353</v>
      </c>
      <c r="I100" s="40">
        <v>0</v>
      </c>
      <c r="J100" s="40">
        <v>0.72076877734419353</v>
      </c>
    </row>
    <row r="101" spans="1:10" ht="11.25" customHeight="1" x14ac:dyDescent="0.2">
      <c r="A101" s="47" t="s">
        <v>25</v>
      </c>
      <c r="B101" s="39">
        <v>7737.5231999999996</v>
      </c>
      <c r="C101" s="39">
        <v>13314.488336536331</v>
      </c>
      <c r="D101" s="39">
        <v>0</v>
      </c>
      <c r="E101" s="39">
        <v>0</v>
      </c>
      <c r="F101" s="39">
        <v>0</v>
      </c>
      <c r="G101" s="39">
        <v>0</v>
      </c>
      <c r="H101" s="40">
        <v>0.72076877734419353</v>
      </c>
      <c r="I101" s="40">
        <v>0</v>
      </c>
      <c r="J101" s="40">
        <v>0.72076877734419353</v>
      </c>
    </row>
    <row r="102" spans="1:10" ht="11.25" customHeight="1" x14ac:dyDescent="0.2">
      <c r="A102" s="48" t="s">
        <v>25</v>
      </c>
      <c r="B102" s="39">
        <v>7737.5231999999996</v>
      </c>
      <c r="C102" s="39">
        <v>13314.488336536331</v>
      </c>
      <c r="D102" s="39">
        <v>0</v>
      </c>
      <c r="E102" s="39">
        <v>0</v>
      </c>
      <c r="F102" s="39">
        <v>0</v>
      </c>
      <c r="G102" s="39">
        <v>0</v>
      </c>
      <c r="H102" s="40">
        <v>0.72076877734419353</v>
      </c>
      <c r="I102" s="40">
        <v>0</v>
      </c>
      <c r="J102" s="40">
        <v>0.72076877734419353</v>
      </c>
    </row>
    <row r="103" spans="1:10" ht="11.25" customHeight="1" x14ac:dyDescent="0.2">
      <c r="A103" s="49">
        <v>44501</v>
      </c>
      <c r="B103" s="39">
        <v>672.03840000000002</v>
      </c>
      <c r="C103" s="39">
        <v>1156.4226958963479</v>
      </c>
      <c r="D103" s="39">
        <v>0</v>
      </c>
      <c r="E103" s="39">
        <v>0</v>
      </c>
      <c r="F103" s="39">
        <v>0</v>
      </c>
      <c r="G103" s="39">
        <v>0</v>
      </c>
      <c r="H103" s="40">
        <v>0.72076877734419331</v>
      </c>
      <c r="I103" s="40">
        <v>0</v>
      </c>
      <c r="J103" s="40">
        <v>0.72076877734419331</v>
      </c>
    </row>
    <row r="104" spans="1:10" ht="11.25" customHeight="1" x14ac:dyDescent="0.2">
      <c r="A104" s="49">
        <v>44531</v>
      </c>
      <c r="B104" s="39">
        <v>490.40640000000002</v>
      </c>
      <c r="C104" s="39">
        <v>843.87602132976747</v>
      </c>
      <c r="D104" s="39">
        <v>0</v>
      </c>
      <c r="E104" s="39">
        <v>0</v>
      </c>
      <c r="F104" s="39">
        <v>0</v>
      </c>
      <c r="G104" s="39">
        <v>0</v>
      </c>
      <c r="H104" s="40">
        <v>0.72076877734419331</v>
      </c>
      <c r="I104" s="40">
        <v>0</v>
      </c>
      <c r="J104" s="40">
        <v>0.72076877734419331</v>
      </c>
    </row>
    <row r="105" spans="1:10" ht="11.25" customHeight="1" x14ac:dyDescent="0.2">
      <c r="A105" s="49">
        <v>44562</v>
      </c>
      <c r="B105" s="39">
        <v>635.7120000000001</v>
      </c>
      <c r="C105" s="39">
        <v>1093.9133609830319</v>
      </c>
      <c r="D105" s="39">
        <v>0</v>
      </c>
      <c r="E105" s="39">
        <v>0</v>
      </c>
      <c r="F105" s="39">
        <v>0</v>
      </c>
      <c r="G105" s="39">
        <v>0</v>
      </c>
      <c r="H105" s="40">
        <v>0.72076877734419309</v>
      </c>
      <c r="I105" s="40">
        <v>0</v>
      </c>
      <c r="J105" s="40">
        <v>0.72076877734419309</v>
      </c>
    </row>
    <row r="106" spans="1:10" ht="11.25" customHeight="1" x14ac:dyDescent="0.2">
      <c r="A106" s="49">
        <v>44593</v>
      </c>
      <c r="B106" s="39">
        <v>3541.8240000000001</v>
      </c>
      <c r="C106" s="39">
        <v>6094.6601540483207</v>
      </c>
      <c r="D106" s="39">
        <v>0</v>
      </c>
      <c r="E106" s="39">
        <v>0</v>
      </c>
      <c r="F106" s="39">
        <v>0</v>
      </c>
      <c r="G106" s="39">
        <v>0</v>
      </c>
      <c r="H106" s="40">
        <v>0.72076877734419353</v>
      </c>
      <c r="I106" s="40">
        <v>0</v>
      </c>
      <c r="J106" s="40">
        <v>0.72076877734419353</v>
      </c>
    </row>
    <row r="107" spans="1:10" ht="11.25" customHeight="1" x14ac:dyDescent="0.2">
      <c r="A107" s="49">
        <v>44621</v>
      </c>
      <c r="B107" s="39">
        <v>617.54880000000003</v>
      </c>
      <c r="C107" s="39">
        <v>1062.658693526374</v>
      </c>
      <c r="D107" s="39">
        <v>0</v>
      </c>
      <c r="E107" s="39">
        <v>0</v>
      </c>
      <c r="F107" s="39">
        <v>0</v>
      </c>
      <c r="G107" s="39">
        <v>0</v>
      </c>
      <c r="H107" s="40">
        <v>0.72076877734419353</v>
      </c>
      <c r="I107" s="40">
        <v>0</v>
      </c>
      <c r="J107" s="40">
        <v>0.72076877734419353</v>
      </c>
    </row>
    <row r="108" spans="1:10" ht="11.25" customHeight="1" x14ac:dyDescent="0.2">
      <c r="A108" s="49">
        <v>44652</v>
      </c>
      <c r="B108" s="39">
        <v>472.24320000000006</v>
      </c>
      <c r="C108" s="39">
        <v>812.62135387310946</v>
      </c>
      <c r="D108" s="39">
        <v>0</v>
      </c>
      <c r="E108" s="39">
        <v>0</v>
      </c>
      <c r="F108" s="39">
        <v>0</v>
      </c>
      <c r="G108" s="39">
        <v>0</v>
      </c>
      <c r="H108" s="40">
        <v>0.72076877734419331</v>
      </c>
      <c r="I108" s="40">
        <v>0</v>
      </c>
      <c r="J108" s="40">
        <v>0.72076877734419331</v>
      </c>
    </row>
    <row r="109" spans="1:10" ht="11.25" customHeight="1" x14ac:dyDescent="0.2">
      <c r="A109" s="49">
        <v>44682</v>
      </c>
      <c r="B109" s="39">
        <v>563.05920000000003</v>
      </c>
      <c r="C109" s="39">
        <v>968.89469115639963</v>
      </c>
      <c r="D109" s="39">
        <v>0</v>
      </c>
      <c r="E109" s="39">
        <v>0</v>
      </c>
      <c r="F109" s="39">
        <v>0</v>
      </c>
      <c r="G109" s="39">
        <v>0</v>
      </c>
      <c r="H109" s="40">
        <v>0.72076877734419331</v>
      </c>
      <c r="I109" s="40">
        <v>0</v>
      </c>
      <c r="J109" s="40">
        <v>0.72076877734419331</v>
      </c>
    </row>
    <row r="110" spans="1:10" ht="11.25" customHeight="1" x14ac:dyDescent="0.2">
      <c r="A110" s="49">
        <v>44713</v>
      </c>
      <c r="B110" s="39">
        <v>744.69120000000009</v>
      </c>
      <c r="C110" s="39">
        <v>1281.4413657229802</v>
      </c>
      <c r="D110" s="39">
        <v>0</v>
      </c>
      <c r="E110" s="39">
        <v>0</v>
      </c>
      <c r="F110" s="39">
        <v>0</v>
      </c>
      <c r="G110" s="39">
        <v>0</v>
      </c>
      <c r="H110" s="40">
        <v>0.72076877734419309</v>
      </c>
      <c r="I110" s="40">
        <v>0</v>
      </c>
      <c r="J110" s="40">
        <v>0.72076877734419309</v>
      </c>
    </row>
    <row r="111" spans="1:10" ht="11.25" customHeight="1" x14ac:dyDescent="0.2">
      <c r="A111" s="42" t="s">
        <v>39</v>
      </c>
      <c r="B111" s="39">
        <v>2267147.6504000011</v>
      </c>
      <c r="C111" s="39">
        <v>3898849.4422920723</v>
      </c>
      <c r="D111" s="39">
        <v>2488109.2137396028</v>
      </c>
      <c r="E111" s="39">
        <v>4287793.8350037392</v>
      </c>
      <c r="F111" s="39">
        <v>4708595.2003349969</v>
      </c>
      <c r="G111" s="39">
        <v>4410797.7597418595</v>
      </c>
      <c r="H111" s="40">
        <v>0.72159854056108341</v>
      </c>
      <c r="I111" s="40">
        <v>-6.3245496357799524E-2</v>
      </c>
      <c r="J111" s="40">
        <v>0.33111136471859415</v>
      </c>
    </row>
    <row r="112" spans="1:10" ht="11.25" customHeight="1" x14ac:dyDescent="0.2">
      <c r="A112" s="43" t="s">
        <v>42</v>
      </c>
      <c r="B112" s="39">
        <v>382963.12400000007</v>
      </c>
      <c r="C112" s="39">
        <v>656603.53850789671</v>
      </c>
      <c r="D112" s="39">
        <v>286242.43935659999</v>
      </c>
      <c r="E112" s="39">
        <v>494759.93236782117</v>
      </c>
      <c r="F112" s="39">
        <v>870066.23048600007</v>
      </c>
      <c r="G112" s="39">
        <v>814756.11158855143</v>
      </c>
      <c r="H112" s="40">
        <v>0.72049297543300628</v>
      </c>
      <c r="I112" s="40">
        <v>-6.3570009913559766E-2</v>
      </c>
      <c r="J112" s="40">
        <v>0.27730501548144204</v>
      </c>
    </row>
    <row r="113" spans="1:10" ht="11.25" customHeight="1" x14ac:dyDescent="0.2">
      <c r="A113" s="44" t="s">
        <v>41</v>
      </c>
      <c r="B113" s="39">
        <v>54170.340000000011</v>
      </c>
      <c r="C113" s="39">
        <v>92878.927697056744</v>
      </c>
      <c r="D113" s="39">
        <v>43306.229550000004</v>
      </c>
      <c r="E113" s="39">
        <v>74853.286086521402</v>
      </c>
      <c r="F113" s="39">
        <v>130427.98258000001</v>
      </c>
      <c r="G113" s="39">
        <v>122152.31618701782</v>
      </c>
      <c r="H113" s="40">
        <v>0.72074391372114199</v>
      </c>
      <c r="I113" s="40">
        <v>-6.3450083557845316E-2</v>
      </c>
      <c r="J113" s="40">
        <v>0.27195585722764171</v>
      </c>
    </row>
    <row r="114" spans="1:10" ht="11.25" customHeight="1" x14ac:dyDescent="0.2">
      <c r="A114" s="45" t="s">
        <v>25</v>
      </c>
      <c r="B114" s="39">
        <v>54170.340000000011</v>
      </c>
      <c r="C114" s="39">
        <v>92878.927697056744</v>
      </c>
      <c r="D114" s="39">
        <v>43306.229550000004</v>
      </c>
      <c r="E114" s="39">
        <v>74853.286086521402</v>
      </c>
      <c r="F114" s="39">
        <v>130427.98258000001</v>
      </c>
      <c r="G114" s="39">
        <v>122152.31618701782</v>
      </c>
      <c r="H114" s="40">
        <v>0.72074391372114199</v>
      </c>
      <c r="I114" s="40">
        <v>-6.3450083557845316E-2</v>
      </c>
      <c r="J114" s="40">
        <v>0.27195585722764171</v>
      </c>
    </row>
    <row r="115" spans="1:10" ht="11.25" customHeight="1" x14ac:dyDescent="0.2">
      <c r="A115" s="46" t="s">
        <v>25</v>
      </c>
      <c r="B115" s="39">
        <v>54170.340000000011</v>
      </c>
      <c r="C115" s="39">
        <v>92878.927697056744</v>
      </c>
      <c r="D115" s="39">
        <v>43306.229550000004</v>
      </c>
      <c r="E115" s="39">
        <v>74853.286086521402</v>
      </c>
      <c r="F115" s="39">
        <v>130427.98258000001</v>
      </c>
      <c r="G115" s="39">
        <v>122152.31618701782</v>
      </c>
      <c r="H115" s="40">
        <v>0.72074391372114199</v>
      </c>
      <c r="I115" s="40">
        <v>-6.3450083557845316E-2</v>
      </c>
      <c r="J115" s="40">
        <v>0.27195585722764171</v>
      </c>
    </row>
    <row r="116" spans="1:10" ht="11.25" customHeight="1" x14ac:dyDescent="0.2">
      <c r="A116" s="47" t="s">
        <v>25</v>
      </c>
      <c r="B116" s="39">
        <v>54170.340000000011</v>
      </c>
      <c r="C116" s="39">
        <v>92878.927697056744</v>
      </c>
      <c r="D116" s="39">
        <v>43306.229550000004</v>
      </c>
      <c r="E116" s="39">
        <v>74853.286086521402</v>
      </c>
      <c r="F116" s="39">
        <v>130427.98258000001</v>
      </c>
      <c r="G116" s="39">
        <v>122152.31618701782</v>
      </c>
      <c r="H116" s="40">
        <v>0.72074391372114199</v>
      </c>
      <c r="I116" s="40">
        <v>-6.3450083557845316E-2</v>
      </c>
      <c r="J116" s="40">
        <v>0.27195585722764171</v>
      </c>
    </row>
    <row r="117" spans="1:10" ht="11.25" customHeight="1" x14ac:dyDescent="0.2">
      <c r="A117" s="48" t="s">
        <v>35</v>
      </c>
      <c r="B117" s="39">
        <v>16214.439999999999</v>
      </c>
      <c r="C117" s="39">
        <v>27901.302094120791</v>
      </c>
      <c r="D117" s="39">
        <v>39463.916640000003</v>
      </c>
      <c r="E117" s="39">
        <v>68211.984119696994</v>
      </c>
      <c r="F117" s="39">
        <v>112726.85072</v>
      </c>
      <c r="G117" s="39">
        <v>105654.53771569868</v>
      </c>
      <c r="H117" s="40">
        <v>0.72622347378638064</v>
      </c>
      <c r="I117" s="40">
        <v>-6.273849539066878E-2</v>
      </c>
      <c r="J117" s="40">
        <v>0.1981091742501595</v>
      </c>
    </row>
    <row r="118" spans="1:10" ht="11.25" customHeight="1" x14ac:dyDescent="0.2">
      <c r="A118" s="49">
        <v>44501</v>
      </c>
      <c r="B118" s="39">
        <v>1381.16</v>
      </c>
      <c r="C118" s="39">
        <v>2376.6570045167064</v>
      </c>
      <c r="D118" s="39">
        <v>3438.3554400000003</v>
      </c>
      <c r="E118" s="39">
        <v>5943.0757674323359</v>
      </c>
      <c r="F118" s="39">
        <v>9821.5031200000012</v>
      </c>
      <c r="G118" s="39">
        <v>9205.3167917764422</v>
      </c>
      <c r="H118" s="40">
        <v>0.72625918010318524</v>
      </c>
      <c r="I118" s="40">
        <v>-6.273849539066878E-2</v>
      </c>
      <c r="J118" s="40">
        <v>0.19698294841349373</v>
      </c>
    </row>
    <row r="119" spans="1:10" ht="11.25" customHeight="1" x14ac:dyDescent="0.2">
      <c r="A119" s="49">
        <v>44531</v>
      </c>
      <c r="B119" s="39">
        <v>1381.16</v>
      </c>
      <c r="C119" s="39">
        <v>2376.6570045167064</v>
      </c>
      <c r="D119" s="39">
        <v>3534.56412</v>
      </c>
      <c r="E119" s="39">
        <v>6109.369068023927</v>
      </c>
      <c r="F119" s="39">
        <v>10096.31876</v>
      </c>
      <c r="G119" s="39">
        <v>9462.8909120130174</v>
      </c>
      <c r="H119" s="40">
        <v>0.72630234435138186</v>
      </c>
      <c r="I119" s="40">
        <v>-6.273849539066878E-2</v>
      </c>
      <c r="J119" s="40">
        <v>0.19563454008423742</v>
      </c>
    </row>
    <row r="120" spans="1:10" ht="11.25" customHeight="1" x14ac:dyDescent="0.2">
      <c r="A120" s="49">
        <v>44562</v>
      </c>
      <c r="B120" s="39">
        <v>1381.16</v>
      </c>
      <c r="C120" s="39">
        <v>2376.6570045167064</v>
      </c>
      <c r="D120" s="39">
        <v>3521.9006099999997</v>
      </c>
      <c r="E120" s="39">
        <v>6087.4806388824545</v>
      </c>
      <c r="F120" s="39">
        <v>10060.14603</v>
      </c>
      <c r="G120" s="39">
        <v>9428.9876046673908</v>
      </c>
      <c r="H120" s="40">
        <v>0.72629675964767682</v>
      </c>
      <c r="I120" s="40">
        <v>-6.2738495390668669E-2</v>
      </c>
      <c r="J120" s="40">
        <v>0.19580820331881421</v>
      </c>
    </row>
    <row r="121" spans="1:10" ht="11.25" customHeight="1" x14ac:dyDescent="0.2">
      <c r="A121" s="49">
        <v>44593</v>
      </c>
      <c r="B121" s="39">
        <v>1343.3200000000002</v>
      </c>
      <c r="C121" s="39">
        <v>2311.5431139820021</v>
      </c>
      <c r="D121" s="39">
        <v>3180.6657599999999</v>
      </c>
      <c r="E121" s="39">
        <v>5497.6682697347178</v>
      </c>
      <c r="F121" s="39">
        <v>9085.4244799999997</v>
      </c>
      <c r="G121" s="39">
        <v>8515.4186181392506</v>
      </c>
      <c r="H121" s="40">
        <v>0.72617947933521365</v>
      </c>
      <c r="I121" s="40">
        <v>-6.273849539066878E-2</v>
      </c>
      <c r="J121" s="40">
        <v>0.19951046474266398</v>
      </c>
    </row>
    <row r="122" spans="1:10" ht="11.25" customHeight="1" x14ac:dyDescent="0.2">
      <c r="A122" s="49">
        <v>44621</v>
      </c>
      <c r="B122" s="39">
        <v>1381.16</v>
      </c>
      <c r="C122" s="39">
        <v>2376.6570045167064</v>
      </c>
      <c r="D122" s="39">
        <v>3648.0257699999997</v>
      </c>
      <c r="E122" s="39">
        <v>6305.4835170431616</v>
      </c>
      <c r="F122" s="39">
        <v>10420.416710000001</v>
      </c>
      <c r="G122" s="39">
        <v>9766.6554442708184</v>
      </c>
      <c r="H122" s="40">
        <v>0.72635112692603276</v>
      </c>
      <c r="I122" s="40">
        <v>-6.273849539066878E-2</v>
      </c>
      <c r="J122" s="40">
        <v>0.19412755051226949</v>
      </c>
    </row>
    <row r="123" spans="1:10" ht="11.25" customHeight="1" x14ac:dyDescent="0.2">
      <c r="A123" s="49">
        <v>44652</v>
      </c>
      <c r="B123" s="39">
        <v>1362.2400000000002</v>
      </c>
      <c r="C123" s="39">
        <v>2344.1000592493542</v>
      </c>
      <c r="D123" s="39">
        <v>3575.2743299999997</v>
      </c>
      <c r="E123" s="39">
        <v>6179.7352261364467</v>
      </c>
      <c r="F123" s="39">
        <v>10212.605590000001</v>
      </c>
      <c r="G123" s="39">
        <v>9571.8820812650665</v>
      </c>
      <c r="H123" s="40">
        <v>0.72634137659015185</v>
      </c>
      <c r="I123" s="40">
        <v>-6.2738495390668891E-2</v>
      </c>
      <c r="J123" s="40">
        <v>0.19442733537457491</v>
      </c>
    </row>
    <row r="124" spans="1:10" ht="11.25" customHeight="1" x14ac:dyDescent="0.2">
      <c r="A124" s="49">
        <v>44682</v>
      </c>
      <c r="B124" s="39">
        <v>1343.3200000000002</v>
      </c>
      <c r="C124" s="39">
        <v>2311.5431139820021</v>
      </c>
      <c r="D124" s="39">
        <v>3216.4465499999997</v>
      </c>
      <c r="E124" s="39">
        <v>5559.5140997250528</v>
      </c>
      <c r="F124" s="39">
        <v>9187.630650000001</v>
      </c>
      <c r="G124" s="39">
        <v>8611.2125268138079</v>
      </c>
      <c r="H124" s="40">
        <v>0.72619741107295388</v>
      </c>
      <c r="I124" s="40">
        <v>-6.2738495390668891E-2</v>
      </c>
      <c r="J124" s="40">
        <v>0.19893747890843372</v>
      </c>
    </row>
    <row r="125" spans="1:10" ht="11.25" customHeight="1" x14ac:dyDescent="0.2">
      <c r="A125" s="49">
        <v>44713</v>
      </c>
      <c r="B125" s="39">
        <v>1305.48</v>
      </c>
      <c r="C125" s="39">
        <v>2246.4292234472978</v>
      </c>
      <c r="D125" s="39">
        <v>2635.2849299999998</v>
      </c>
      <c r="E125" s="39">
        <v>4554.9967945613616</v>
      </c>
      <c r="F125" s="39">
        <v>7527.5693900000006</v>
      </c>
      <c r="G125" s="39">
        <v>7055.3010125225464</v>
      </c>
      <c r="H125" s="40">
        <v>0.72591518114445353</v>
      </c>
      <c r="I125" s="40">
        <v>-6.273849539066878E-2</v>
      </c>
      <c r="J125" s="40">
        <v>0.20825977372895466</v>
      </c>
    </row>
    <row r="126" spans="1:10" ht="11.25" customHeight="1" x14ac:dyDescent="0.2">
      <c r="A126" s="49">
        <v>44743</v>
      </c>
      <c r="B126" s="39">
        <v>1305.48</v>
      </c>
      <c r="C126" s="39">
        <v>2246.4292234472978</v>
      </c>
      <c r="D126" s="39">
        <v>2877.93138</v>
      </c>
      <c r="E126" s="39">
        <v>4974.4026012654185</v>
      </c>
      <c r="F126" s="39">
        <v>8220.677740000001</v>
      </c>
      <c r="G126" s="39">
        <v>7704.9247875008368</v>
      </c>
      <c r="H126" s="40">
        <v>0.72606305448084263</v>
      </c>
      <c r="I126" s="40">
        <v>-6.2738495390668891E-2</v>
      </c>
      <c r="J126" s="40">
        <v>0.20329324207673483</v>
      </c>
    </row>
    <row r="127" spans="1:10" ht="11.25" customHeight="1" x14ac:dyDescent="0.2">
      <c r="A127" s="49">
        <v>44774</v>
      </c>
      <c r="B127" s="39">
        <v>1343.3200000000002</v>
      </c>
      <c r="C127" s="39">
        <v>2311.5431139820021</v>
      </c>
      <c r="D127" s="39">
        <v>3393.5657099999999</v>
      </c>
      <c r="E127" s="39">
        <v>5865.6583032876642</v>
      </c>
      <c r="F127" s="39">
        <v>9693.5633300000009</v>
      </c>
      <c r="G127" s="39">
        <v>9085.4037517016404</v>
      </c>
      <c r="H127" s="40">
        <v>0.72628218578439485</v>
      </c>
      <c r="I127" s="40">
        <v>-6.273849539066878E-2</v>
      </c>
      <c r="J127" s="40">
        <v>0.19626250861084116</v>
      </c>
    </row>
    <row r="128" spans="1:10" ht="11.25" customHeight="1" x14ac:dyDescent="0.2">
      <c r="A128" s="49">
        <v>44805</v>
      </c>
      <c r="B128" s="39">
        <v>1343.3200000000002</v>
      </c>
      <c r="C128" s="39">
        <v>2311.5431139820021</v>
      </c>
      <c r="D128" s="39">
        <v>3220.95102</v>
      </c>
      <c r="E128" s="39">
        <v>5567.2999168022216</v>
      </c>
      <c r="F128" s="39">
        <v>9200.4974600000005</v>
      </c>
      <c r="G128" s="39">
        <v>8623.2720925139311</v>
      </c>
      <c r="H128" s="40">
        <v>0.72619964858796293</v>
      </c>
      <c r="I128" s="40">
        <v>-6.273849539066878E-2</v>
      </c>
      <c r="J128" s="40">
        <v>0.19886615944724939</v>
      </c>
    </row>
    <row r="129" spans="1:10" ht="11.25" customHeight="1" x14ac:dyDescent="0.2">
      <c r="A129" s="49">
        <v>44835</v>
      </c>
      <c r="B129" s="39">
        <v>1343.3200000000002</v>
      </c>
      <c r="C129" s="39">
        <v>2311.5431139820021</v>
      </c>
      <c r="D129" s="39">
        <v>3220.95102</v>
      </c>
      <c r="E129" s="39">
        <v>5567.2999168022216</v>
      </c>
      <c r="F129" s="39">
        <v>9200.4974600000005</v>
      </c>
      <c r="G129" s="39">
        <v>8623.2720925139311</v>
      </c>
      <c r="H129" s="40">
        <v>0.72619964858796293</v>
      </c>
      <c r="I129" s="40">
        <v>-6.273849539066878E-2</v>
      </c>
      <c r="J129" s="40">
        <v>0.19886615944724939</v>
      </c>
    </row>
    <row r="130" spans="1:10" ht="11.25" customHeight="1" x14ac:dyDescent="0.2">
      <c r="A130" s="48" t="s">
        <v>34</v>
      </c>
      <c r="B130" s="39">
        <v>37955.899999999994</v>
      </c>
      <c r="C130" s="39">
        <v>64977.625602935928</v>
      </c>
      <c r="D130" s="39">
        <v>3842.3129100000001</v>
      </c>
      <c r="E130" s="39">
        <v>6641.3019668244133</v>
      </c>
      <c r="F130" s="39">
        <v>17701.131860000001</v>
      </c>
      <c r="G130" s="39">
        <v>16497.778471319136</v>
      </c>
      <c r="H130" s="40">
        <v>0.7134447284617258</v>
      </c>
      <c r="I130" s="40">
        <v>-6.7981719937363683E-2</v>
      </c>
      <c r="J130" s="40">
        <v>0.48096935153996134</v>
      </c>
    </row>
    <row r="131" spans="1:10" ht="11.25" customHeight="1" x14ac:dyDescent="0.2">
      <c r="A131" s="49">
        <v>44501</v>
      </c>
      <c r="B131" s="39">
        <v>3155.37</v>
      </c>
      <c r="C131" s="39">
        <v>5401.75441759347</v>
      </c>
      <c r="D131" s="39">
        <v>316.84271999999999</v>
      </c>
      <c r="E131" s="39">
        <v>547.65143516382614</v>
      </c>
      <c r="F131" s="39">
        <v>1459.6611200000002</v>
      </c>
      <c r="G131" s="39">
        <v>1360.4308465367017</v>
      </c>
      <c r="H131" s="40">
        <v>0.71343357464495893</v>
      </c>
      <c r="I131" s="40">
        <v>-6.7981719937363683E-2</v>
      </c>
      <c r="J131" s="40">
        <v>0.4821621429176699</v>
      </c>
    </row>
    <row r="132" spans="1:10" ht="11.25" customHeight="1" x14ac:dyDescent="0.2">
      <c r="A132" s="49">
        <v>44531</v>
      </c>
      <c r="B132" s="39">
        <v>3155.37</v>
      </c>
      <c r="C132" s="39">
        <v>5401.75441759347</v>
      </c>
      <c r="D132" s="39">
        <v>361.12250999999998</v>
      </c>
      <c r="E132" s="39">
        <v>624.18748605447877</v>
      </c>
      <c r="F132" s="39">
        <v>1663.65346</v>
      </c>
      <c r="G132" s="39">
        <v>1550.5554364094539</v>
      </c>
      <c r="H132" s="40">
        <v>0.71362284620590555</v>
      </c>
      <c r="I132" s="40">
        <v>-6.7981719937363683E-2</v>
      </c>
      <c r="J132" s="40">
        <v>0.46260305866581652</v>
      </c>
    </row>
    <row r="133" spans="1:10" ht="11.25" customHeight="1" x14ac:dyDescent="0.2">
      <c r="A133" s="49">
        <v>44562</v>
      </c>
      <c r="B133" s="39">
        <v>3246.83</v>
      </c>
      <c r="C133" s="39">
        <v>5558.3270094077734</v>
      </c>
      <c r="D133" s="39">
        <v>335.37054000000001</v>
      </c>
      <c r="E133" s="39">
        <v>579.67611672651765</v>
      </c>
      <c r="F133" s="39">
        <v>1545.0168400000002</v>
      </c>
      <c r="G133" s="39">
        <v>1439.9839378846095</v>
      </c>
      <c r="H133" s="40">
        <v>0.71347278232901257</v>
      </c>
      <c r="I133" s="40">
        <v>-6.7981719937363683E-2</v>
      </c>
      <c r="J133" s="40">
        <v>0.47799215488283053</v>
      </c>
    </row>
    <row r="134" spans="1:10" ht="11.25" customHeight="1" x14ac:dyDescent="0.2">
      <c r="A134" s="49">
        <v>44593</v>
      </c>
      <c r="B134" s="39">
        <v>3155.37</v>
      </c>
      <c r="C134" s="39">
        <v>5401.75441759347</v>
      </c>
      <c r="D134" s="39">
        <v>317.35265999999996</v>
      </c>
      <c r="E134" s="39">
        <v>548.53284841784512</v>
      </c>
      <c r="F134" s="39">
        <v>1462.01036</v>
      </c>
      <c r="G134" s="39">
        <v>1362.620381160956</v>
      </c>
      <c r="H134" s="40">
        <v>0.71343578182869205</v>
      </c>
      <c r="I134" s="40">
        <v>-6.7981719937363572E-2</v>
      </c>
      <c r="J134" s="40">
        <v>0.48192569233913107</v>
      </c>
    </row>
    <row r="135" spans="1:10" ht="11.25" customHeight="1" x14ac:dyDescent="0.2">
      <c r="A135" s="49">
        <v>44621</v>
      </c>
      <c r="B135" s="39">
        <v>3155.37</v>
      </c>
      <c r="C135" s="39">
        <v>5401.75441759347</v>
      </c>
      <c r="D135" s="39">
        <v>358.57281</v>
      </c>
      <c r="E135" s="39">
        <v>619.78041978438364</v>
      </c>
      <c r="F135" s="39">
        <v>1651.9072600000002</v>
      </c>
      <c r="G135" s="39">
        <v>1539.6077632881825</v>
      </c>
      <c r="H135" s="40">
        <v>0.71361207707812779</v>
      </c>
      <c r="I135" s="40">
        <v>-6.7981719937363572E-2</v>
      </c>
      <c r="J135" s="40">
        <v>0.46367829073793376</v>
      </c>
    </row>
    <row r="136" spans="1:10" ht="11.25" customHeight="1" x14ac:dyDescent="0.2">
      <c r="A136" s="49">
        <v>44652</v>
      </c>
      <c r="B136" s="39">
        <v>3155.37</v>
      </c>
      <c r="C136" s="39">
        <v>5401.75441759347</v>
      </c>
      <c r="D136" s="39">
        <v>317.77760999999998</v>
      </c>
      <c r="E136" s="39">
        <v>549.26735946286101</v>
      </c>
      <c r="F136" s="39">
        <v>1463.9680599999999</v>
      </c>
      <c r="G136" s="39">
        <v>1364.4449933478345</v>
      </c>
      <c r="H136" s="40">
        <v>0.71343762065336791</v>
      </c>
      <c r="I136" s="40">
        <v>-6.7981719937363572E-2</v>
      </c>
      <c r="J136" s="40">
        <v>0.4817288593937612</v>
      </c>
    </row>
    <row r="137" spans="1:10" ht="11.25" customHeight="1" x14ac:dyDescent="0.2">
      <c r="A137" s="49">
        <v>44682</v>
      </c>
      <c r="B137" s="39">
        <v>3155.37</v>
      </c>
      <c r="C137" s="39">
        <v>5401.75441759347</v>
      </c>
      <c r="D137" s="39">
        <v>323.47193999999996</v>
      </c>
      <c r="E137" s="39">
        <v>559.10980746607356</v>
      </c>
      <c r="F137" s="39">
        <v>1490.2012400000001</v>
      </c>
      <c r="G137" s="39">
        <v>1388.8947966520082</v>
      </c>
      <c r="H137" s="40">
        <v>0.71346221756184303</v>
      </c>
      <c r="I137" s="40">
        <v>-6.7981719937363572E-2</v>
      </c>
      <c r="J137" s="40">
        <v>0.47910950971280397</v>
      </c>
    </row>
    <row r="138" spans="1:10" ht="11.25" customHeight="1" x14ac:dyDescent="0.2">
      <c r="A138" s="49">
        <v>44713</v>
      </c>
      <c r="B138" s="39">
        <v>3155.37</v>
      </c>
      <c r="C138" s="39">
        <v>5401.75441759347</v>
      </c>
      <c r="D138" s="39">
        <v>257.43471</v>
      </c>
      <c r="E138" s="39">
        <v>444.96679107060868</v>
      </c>
      <c r="F138" s="39">
        <v>1185.9746600000001</v>
      </c>
      <c r="G138" s="39">
        <v>1105.3500628110698</v>
      </c>
      <c r="H138" s="40">
        <v>0.71317192323731837</v>
      </c>
      <c r="I138" s="40">
        <v>-6.7981719937363794E-2</v>
      </c>
      <c r="J138" s="40">
        <v>0.51172098336066685</v>
      </c>
    </row>
    <row r="139" spans="1:10" ht="11.25" customHeight="1" x14ac:dyDescent="0.2">
      <c r="A139" s="49">
        <v>44743</v>
      </c>
      <c r="B139" s="39">
        <v>3155.37</v>
      </c>
      <c r="C139" s="39">
        <v>5401.75441759347</v>
      </c>
      <c r="D139" s="39">
        <v>276.30248999999998</v>
      </c>
      <c r="E139" s="39">
        <v>477.57908146931288</v>
      </c>
      <c r="F139" s="39">
        <v>1272.89654</v>
      </c>
      <c r="G139" s="39">
        <v>1186.3628439084807</v>
      </c>
      <c r="H139" s="40">
        <v>0.71325600452704707</v>
      </c>
      <c r="I139" s="40">
        <v>-6.7981719937363683E-2</v>
      </c>
      <c r="J139" s="40">
        <v>0.50187961913511625</v>
      </c>
    </row>
    <row r="140" spans="1:10" ht="11.25" customHeight="1" x14ac:dyDescent="0.2">
      <c r="A140" s="49">
        <v>44774</v>
      </c>
      <c r="B140" s="39">
        <v>3155.37</v>
      </c>
      <c r="C140" s="39">
        <v>5401.75441759347</v>
      </c>
      <c r="D140" s="39">
        <v>354.23831999999999</v>
      </c>
      <c r="E140" s="39">
        <v>612.28840712522185</v>
      </c>
      <c r="F140" s="39">
        <v>1631.9387200000001</v>
      </c>
      <c r="G140" s="39">
        <v>1520.9967189820204</v>
      </c>
      <c r="H140" s="40">
        <v>0.71359373365022449</v>
      </c>
      <c r="I140" s="40">
        <v>-6.7981719937363683E-2</v>
      </c>
      <c r="J140" s="40">
        <v>0.46551990773981378</v>
      </c>
    </row>
    <row r="141" spans="1:10" ht="11.25" customHeight="1" x14ac:dyDescent="0.2">
      <c r="A141" s="49">
        <v>44805</v>
      </c>
      <c r="B141" s="39">
        <v>3155.37</v>
      </c>
      <c r="C141" s="39">
        <v>5401.75441759347</v>
      </c>
      <c r="D141" s="39">
        <v>311.91329999999999</v>
      </c>
      <c r="E141" s="39">
        <v>539.13110704164205</v>
      </c>
      <c r="F141" s="39">
        <v>1436.9518</v>
      </c>
      <c r="G141" s="39">
        <v>1339.2653451689096</v>
      </c>
      <c r="H141" s="40">
        <v>0.7134122050641527</v>
      </c>
      <c r="I141" s="40">
        <v>-6.7981719937363572E-2</v>
      </c>
      <c r="J141" s="40">
        <v>0.48446204583544983</v>
      </c>
    </row>
    <row r="142" spans="1:10" ht="11.25" customHeight="1" x14ac:dyDescent="0.2">
      <c r="A142" s="49">
        <v>44835</v>
      </c>
      <c r="B142" s="39">
        <v>3155.37</v>
      </c>
      <c r="C142" s="39">
        <v>5401.75441759347</v>
      </c>
      <c r="D142" s="39">
        <v>311.91329999999999</v>
      </c>
      <c r="E142" s="39">
        <v>539.13110704164205</v>
      </c>
      <c r="F142" s="39">
        <v>1436.9518</v>
      </c>
      <c r="G142" s="39">
        <v>1339.2653451689096</v>
      </c>
      <c r="H142" s="40">
        <v>0.7134122050641527</v>
      </c>
      <c r="I142" s="40">
        <v>-6.7981719937363572E-2</v>
      </c>
      <c r="J142" s="40">
        <v>0.48446204583544983</v>
      </c>
    </row>
    <row r="143" spans="1:10" ht="11.25" customHeight="1" x14ac:dyDescent="0.2">
      <c r="A143" s="44" t="s">
        <v>50</v>
      </c>
      <c r="B143" s="39">
        <v>328792.78400000004</v>
      </c>
      <c r="C143" s="39">
        <v>563724.61081084027</v>
      </c>
      <c r="D143" s="39">
        <v>242936.2098066</v>
      </c>
      <c r="E143" s="39">
        <v>419906.64628129959</v>
      </c>
      <c r="F143" s="39">
        <v>739638.24790600012</v>
      </c>
      <c r="G143" s="39">
        <v>692603.7954015336</v>
      </c>
      <c r="H143" s="40">
        <v>0.72045019186988224</v>
      </c>
      <c r="I143" s="40">
        <v>-6.3591157755330308E-2</v>
      </c>
      <c r="J143" s="40">
        <v>0.27823465401237923</v>
      </c>
    </row>
    <row r="144" spans="1:10" ht="11.25" customHeight="1" x14ac:dyDescent="0.2">
      <c r="A144" s="45" t="s">
        <v>51</v>
      </c>
      <c r="B144" s="39">
        <v>328792.78400000004</v>
      </c>
      <c r="C144" s="39">
        <v>563724.61081084027</v>
      </c>
      <c r="D144" s="39">
        <v>242936.2098066</v>
      </c>
      <c r="E144" s="39">
        <v>419906.64628129959</v>
      </c>
      <c r="F144" s="39">
        <v>739638.24790600012</v>
      </c>
      <c r="G144" s="39">
        <v>692603.7954015336</v>
      </c>
      <c r="H144" s="40">
        <v>0.72045019186988224</v>
      </c>
      <c r="I144" s="40">
        <v>-6.3591157755330308E-2</v>
      </c>
      <c r="J144" s="40">
        <v>0.27823465401237923</v>
      </c>
    </row>
    <row r="145" spans="1:10" ht="11.25" customHeight="1" x14ac:dyDescent="0.2">
      <c r="A145" s="46" t="s">
        <v>25</v>
      </c>
      <c r="B145" s="39">
        <v>328792.78400000004</v>
      </c>
      <c r="C145" s="39">
        <v>563724.61081084027</v>
      </c>
      <c r="D145" s="39">
        <v>242936.2098066</v>
      </c>
      <c r="E145" s="39">
        <v>419906.64628129959</v>
      </c>
      <c r="F145" s="39">
        <v>739638.24790600012</v>
      </c>
      <c r="G145" s="39">
        <v>692603.7954015336</v>
      </c>
      <c r="H145" s="40">
        <v>0.72045019186988224</v>
      </c>
      <c r="I145" s="40">
        <v>-6.3591157755330308E-2</v>
      </c>
      <c r="J145" s="40">
        <v>0.27823465401237923</v>
      </c>
    </row>
    <row r="146" spans="1:10" ht="11.25" customHeight="1" x14ac:dyDescent="0.2">
      <c r="A146" s="47" t="s">
        <v>25</v>
      </c>
      <c r="B146" s="39">
        <v>328792.78400000004</v>
      </c>
      <c r="C146" s="39">
        <v>563724.61081084027</v>
      </c>
      <c r="D146" s="39">
        <v>242936.2098066</v>
      </c>
      <c r="E146" s="39">
        <v>419906.64628129959</v>
      </c>
      <c r="F146" s="39">
        <v>739638.24790600012</v>
      </c>
      <c r="G146" s="39">
        <v>692603.7954015336</v>
      </c>
      <c r="H146" s="40">
        <v>0.72045019186988224</v>
      </c>
      <c r="I146" s="40">
        <v>-6.3591157755330308E-2</v>
      </c>
      <c r="J146" s="40">
        <v>0.27823465401237923</v>
      </c>
    </row>
    <row r="147" spans="1:10" ht="11.25" customHeight="1" x14ac:dyDescent="0.2">
      <c r="A147" s="48" t="s">
        <v>35</v>
      </c>
      <c r="B147" s="39">
        <v>96813.640000000014</v>
      </c>
      <c r="C147" s="39">
        <v>166593.88893304093</v>
      </c>
      <c r="D147" s="39">
        <v>216827.24271120003</v>
      </c>
      <c r="E147" s="39">
        <v>374778.22010050889</v>
      </c>
      <c r="F147" s="39">
        <v>619356.97979760007</v>
      </c>
      <c r="G147" s="39">
        <v>580499.45477538987</v>
      </c>
      <c r="H147" s="40">
        <v>0.7260891002275498</v>
      </c>
      <c r="I147" s="40">
        <v>-6.2738495390668669E-2</v>
      </c>
      <c r="J147" s="40">
        <v>0.20243744266708652</v>
      </c>
    </row>
    <row r="148" spans="1:10" ht="11.25" customHeight="1" x14ac:dyDescent="0.2">
      <c r="A148" s="49">
        <v>44501</v>
      </c>
      <c r="B148" s="39">
        <v>8121.4100000000008</v>
      </c>
      <c r="C148" s="39">
        <v>13975.068756010907</v>
      </c>
      <c r="D148" s="39">
        <v>17780.851388999999</v>
      </c>
      <c r="E148" s="39">
        <v>30733.572737983563</v>
      </c>
      <c r="F148" s="39">
        <v>50790.178746999998</v>
      </c>
      <c r="G148" s="39">
        <v>47603.679351790095</v>
      </c>
      <c r="H148" s="40">
        <v>0.7260516687157299</v>
      </c>
      <c r="I148" s="40">
        <v>-6.273849539066878E-2</v>
      </c>
      <c r="J148" s="40">
        <v>0.20366910587387199</v>
      </c>
    </row>
    <row r="149" spans="1:10" ht="11.25" customHeight="1" x14ac:dyDescent="0.2">
      <c r="A149" s="49">
        <v>44531</v>
      </c>
      <c r="B149" s="39">
        <v>8105.3280000000004</v>
      </c>
      <c r="C149" s="39">
        <v>13947.395352533656</v>
      </c>
      <c r="D149" s="39">
        <v>17632.893997800002</v>
      </c>
      <c r="E149" s="39">
        <v>30477.833620374124</v>
      </c>
      <c r="F149" s="39">
        <v>50367.545309400004</v>
      </c>
      <c r="G149" s="39">
        <v>47207.561300166912</v>
      </c>
      <c r="H149" s="40">
        <v>0.72604109859278809</v>
      </c>
      <c r="I149" s="40">
        <v>-6.273849539066878E-2</v>
      </c>
      <c r="J149" s="40">
        <v>0.20401900559257302</v>
      </c>
    </row>
    <row r="150" spans="1:10" ht="11.25" customHeight="1" x14ac:dyDescent="0.2">
      <c r="A150" s="49">
        <v>44562</v>
      </c>
      <c r="B150" s="39">
        <v>8121.4100000000008</v>
      </c>
      <c r="C150" s="39">
        <v>13975.068756010907</v>
      </c>
      <c r="D150" s="39">
        <v>17949.660226799999</v>
      </c>
      <c r="E150" s="39">
        <v>31025.352843549845</v>
      </c>
      <c r="F150" s="39">
        <v>51272.373376399999</v>
      </c>
      <c r="G150" s="39">
        <v>48055.621815656079</v>
      </c>
      <c r="H150" s="40">
        <v>0.72606729252342506</v>
      </c>
      <c r="I150" s="40">
        <v>-6.273849539066878E-2</v>
      </c>
      <c r="J150" s="40">
        <v>0.20315361044212343</v>
      </c>
    </row>
    <row r="151" spans="1:10" ht="11.25" customHeight="1" x14ac:dyDescent="0.2">
      <c r="A151" s="49">
        <v>44593</v>
      </c>
      <c r="B151" s="39">
        <v>8057.0820000000003</v>
      </c>
      <c r="C151" s="39">
        <v>13864.375142101908</v>
      </c>
      <c r="D151" s="39">
        <v>15194.2334328</v>
      </c>
      <c r="E151" s="39">
        <v>26262.695086341602</v>
      </c>
      <c r="F151" s="39">
        <v>43401.624314400004</v>
      </c>
      <c r="G151" s="39">
        <v>40678.671707403482</v>
      </c>
      <c r="H151" s="40">
        <v>0.72579785192872737</v>
      </c>
      <c r="I151" s="40">
        <v>-6.273849539066878E-2</v>
      </c>
      <c r="J151" s="40">
        <v>0.21233575356654155</v>
      </c>
    </row>
    <row r="152" spans="1:10" ht="11.25" customHeight="1" x14ac:dyDescent="0.2">
      <c r="A152" s="49">
        <v>44621</v>
      </c>
      <c r="B152" s="39">
        <v>8057.0820000000003</v>
      </c>
      <c r="C152" s="39">
        <v>13864.375142101908</v>
      </c>
      <c r="D152" s="39">
        <v>17218.661236799999</v>
      </c>
      <c r="E152" s="39">
        <v>29761.846943913562</v>
      </c>
      <c r="F152" s="39">
        <v>49184.308606400002</v>
      </c>
      <c r="G152" s="39">
        <v>46098.559087604139</v>
      </c>
      <c r="H152" s="40">
        <v>0.72601144414611118</v>
      </c>
      <c r="I152" s="40">
        <v>-6.2738495390668891E-2</v>
      </c>
      <c r="J152" s="40">
        <v>0.20500562318388527</v>
      </c>
    </row>
    <row r="153" spans="1:10" ht="11.25" customHeight="1" x14ac:dyDescent="0.2">
      <c r="A153" s="49">
        <v>44652</v>
      </c>
      <c r="B153" s="39">
        <v>8073.1640000000007</v>
      </c>
      <c r="C153" s="39">
        <v>13892.048545579159</v>
      </c>
      <c r="D153" s="39">
        <v>17930.885935799997</v>
      </c>
      <c r="E153" s="39">
        <v>30992.902145581043</v>
      </c>
      <c r="F153" s="39">
        <v>51218.745483400002</v>
      </c>
      <c r="G153" s="39">
        <v>48005.358455973874</v>
      </c>
      <c r="H153" s="40">
        <v>0.72607539217830475</v>
      </c>
      <c r="I153" s="40">
        <v>-6.273849539066878E-2</v>
      </c>
      <c r="J153" s="40">
        <v>0.20288716101099125</v>
      </c>
    </row>
    <row r="154" spans="1:10" ht="11.25" customHeight="1" x14ac:dyDescent="0.2">
      <c r="A154" s="49">
        <v>44682</v>
      </c>
      <c r="B154" s="39">
        <v>8057.0820000000003</v>
      </c>
      <c r="C154" s="39">
        <v>13864.375142101908</v>
      </c>
      <c r="D154" s="39">
        <v>18379.9509984</v>
      </c>
      <c r="E154" s="39">
        <v>31769.095223379471</v>
      </c>
      <c r="F154" s="39">
        <v>52501.479043200008</v>
      </c>
      <c r="G154" s="39">
        <v>49207.615242244909</v>
      </c>
      <c r="H154" s="40">
        <v>0.72611920438436384</v>
      </c>
      <c r="I154" s="40">
        <v>-6.273849539066878E-2</v>
      </c>
      <c r="J154" s="40">
        <v>0.20145519791082123</v>
      </c>
    </row>
    <row r="155" spans="1:10" ht="11.25" customHeight="1" x14ac:dyDescent="0.2">
      <c r="A155" s="49">
        <v>44713</v>
      </c>
      <c r="B155" s="39">
        <v>8057.0820000000003</v>
      </c>
      <c r="C155" s="39">
        <v>13864.375142101908</v>
      </c>
      <c r="D155" s="39">
        <v>17350.880179799999</v>
      </c>
      <c r="E155" s="39">
        <v>29990.382710459795</v>
      </c>
      <c r="F155" s="39">
        <v>49561.985895400001</v>
      </c>
      <c r="G155" s="39">
        <v>46452.541471749057</v>
      </c>
      <c r="H155" s="40">
        <v>0.72602421013627705</v>
      </c>
      <c r="I155" s="40">
        <v>-6.273849539066878E-2</v>
      </c>
      <c r="J155" s="40">
        <v>0.20457999028792639</v>
      </c>
    </row>
    <row r="156" spans="1:10" ht="11.25" customHeight="1" x14ac:dyDescent="0.2">
      <c r="A156" s="49">
        <v>44743</v>
      </c>
      <c r="B156" s="39">
        <v>8041.0000000000009</v>
      </c>
      <c r="C156" s="39">
        <v>13836.701738624661</v>
      </c>
      <c r="D156" s="39">
        <v>18184.698371999999</v>
      </c>
      <c r="E156" s="39">
        <v>31431.607964503939</v>
      </c>
      <c r="F156" s="39">
        <v>51943.748955999996</v>
      </c>
      <c r="G156" s="39">
        <v>48684.876301549935</v>
      </c>
      <c r="H156" s="40">
        <v>0.72610502343989225</v>
      </c>
      <c r="I156" s="40">
        <v>-6.273849539066878E-2</v>
      </c>
      <c r="J156" s="40">
        <v>0.20191697928283636</v>
      </c>
    </row>
    <row r="157" spans="1:10" ht="11.25" customHeight="1" x14ac:dyDescent="0.2">
      <c r="A157" s="49">
        <v>44774</v>
      </c>
      <c r="B157" s="39">
        <v>8041.0000000000009</v>
      </c>
      <c r="C157" s="39">
        <v>13836.701738624661</v>
      </c>
      <c r="D157" s="39">
        <v>19365.0020964</v>
      </c>
      <c r="E157" s="39">
        <v>33471.721206168033</v>
      </c>
      <c r="F157" s="39">
        <v>55315.231897199999</v>
      </c>
      <c r="G157" s="39">
        <v>51844.837475783745</v>
      </c>
      <c r="H157" s="40">
        <v>0.72620664547810998</v>
      </c>
      <c r="I157" s="40">
        <v>-6.273849539066878E-2</v>
      </c>
      <c r="J157" s="40">
        <v>0.19864339098529094</v>
      </c>
    </row>
    <row r="158" spans="1:10" ht="11.25" customHeight="1" x14ac:dyDescent="0.2">
      <c r="A158" s="49">
        <v>44805</v>
      </c>
      <c r="B158" s="39">
        <v>8041.0000000000009</v>
      </c>
      <c r="C158" s="39">
        <v>13836.701738624661</v>
      </c>
      <c r="D158" s="39">
        <v>19919.762422799999</v>
      </c>
      <c r="E158" s="39">
        <v>34430.604809126984</v>
      </c>
      <c r="F158" s="39">
        <v>56899.879084400003</v>
      </c>
      <c r="G158" s="39">
        <v>53330.066282733766</v>
      </c>
      <c r="H158" s="40">
        <v>0.72625144543244335</v>
      </c>
      <c r="I158" s="40">
        <v>-6.273849539066878E-2</v>
      </c>
      <c r="J158" s="40">
        <v>0.19722607590546404</v>
      </c>
    </row>
    <row r="159" spans="1:10" ht="11.25" customHeight="1" x14ac:dyDescent="0.2">
      <c r="A159" s="49">
        <v>44835</v>
      </c>
      <c r="B159" s="39">
        <v>8041.0000000000009</v>
      </c>
      <c r="C159" s="39">
        <v>13836.701738624661</v>
      </c>
      <c r="D159" s="39">
        <v>19919.762422799999</v>
      </c>
      <c r="E159" s="39">
        <v>34430.604809126984</v>
      </c>
      <c r="F159" s="39">
        <v>56899.879084400003</v>
      </c>
      <c r="G159" s="39">
        <v>53330.066282733766</v>
      </c>
      <c r="H159" s="40">
        <v>0.72625144543244335</v>
      </c>
      <c r="I159" s="40">
        <v>-6.273849539066878E-2</v>
      </c>
      <c r="J159" s="40">
        <v>0.19722607590546404</v>
      </c>
    </row>
    <row r="160" spans="1:10" ht="11.25" customHeight="1" x14ac:dyDescent="0.2">
      <c r="A160" s="48" t="s">
        <v>34</v>
      </c>
      <c r="B160" s="39">
        <v>231979.14399999994</v>
      </c>
      <c r="C160" s="39">
        <v>397130.72187779943</v>
      </c>
      <c r="D160" s="39">
        <v>26108.967095399996</v>
      </c>
      <c r="E160" s="39">
        <v>45128.426180790644</v>
      </c>
      <c r="F160" s="39">
        <v>120281.26810839999</v>
      </c>
      <c r="G160" s="39">
        <v>112104.34062614379</v>
      </c>
      <c r="H160" s="40">
        <v>0.71359752365777496</v>
      </c>
      <c r="I160" s="40">
        <v>-6.7981719937363683E-2</v>
      </c>
      <c r="J160" s="40">
        <v>0.46513835197572573</v>
      </c>
    </row>
    <row r="161" spans="1:10" ht="11.25" customHeight="1" x14ac:dyDescent="0.2">
      <c r="A161" s="49">
        <v>44501</v>
      </c>
      <c r="B161" s="39">
        <v>19590.731999999996</v>
      </c>
      <c r="C161" s="39">
        <v>33537.849166623804</v>
      </c>
      <c r="D161" s="39">
        <v>2133.6382541999997</v>
      </c>
      <c r="E161" s="39">
        <v>3687.9182580968572</v>
      </c>
      <c r="F161" s="39">
        <v>9829.4472532</v>
      </c>
      <c r="G161" s="39">
        <v>9161.22452289387</v>
      </c>
      <c r="H161" s="40">
        <v>0.71354874682840408</v>
      </c>
      <c r="I161" s="40">
        <v>-6.7981719937363572E-2</v>
      </c>
      <c r="J161" s="40">
        <v>0.47009127934316863</v>
      </c>
    </row>
    <row r="162" spans="1:10" ht="11.25" customHeight="1" x14ac:dyDescent="0.2">
      <c r="A162" s="49">
        <v>44531</v>
      </c>
      <c r="B162" s="39">
        <v>19551.861499999999</v>
      </c>
      <c r="C162" s="39">
        <v>33471.305815102729</v>
      </c>
      <c r="D162" s="39">
        <v>2456.6359499999999</v>
      </c>
      <c r="E162" s="39">
        <v>4246.2083512366935</v>
      </c>
      <c r="F162" s="39">
        <v>11317.4637</v>
      </c>
      <c r="G162" s="39">
        <v>10548.083052345322</v>
      </c>
      <c r="H162" s="40">
        <v>0.71377052213709513</v>
      </c>
      <c r="I162" s="40">
        <v>-6.7981719937363572E-2</v>
      </c>
      <c r="J162" s="40">
        <v>0.44828822795062129</v>
      </c>
    </row>
    <row r="163" spans="1:10" ht="11.25" customHeight="1" x14ac:dyDescent="0.2">
      <c r="A163" s="49">
        <v>44562</v>
      </c>
      <c r="B163" s="39">
        <v>19551.861499999999</v>
      </c>
      <c r="C163" s="39">
        <v>33471.305815102729</v>
      </c>
      <c r="D163" s="39">
        <v>2225.1129911999997</v>
      </c>
      <c r="E163" s="39">
        <v>3846.0291056469714</v>
      </c>
      <c r="F163" s="39">
        <v>10250.8617552</v>
      </c>
      <c r="G163" s="39">
        <v>9553.9905422413613</v>
      </c>
      <c r="H163" s="40">
        <v>0.71361430100538104</v>
      </c>
      <c r="I163" s="40">
        <v>-6.7981719937363683E-2</v>
      </c>
      <c r="J163" s="40">
        <v>0.46345588576123409</v>
      </c>
    </row>
    <row r="164" spans="1:10" ht="11.25" customHeight="1" x14ac:dyDescent="0.2">
      <c r="A164" s="49">
        <v>44593</v>
      </c>
      <c r="B164" s="39">
        <v>19279.767999999996</v>
      </c>
      <c r="C164" s="39">
        <v>33005.502354455173</v>
      </c>
      <c r="D164" s="39">
        <v>2066.3703689999998</v>
      </c>
      <c r="E164" s="39">
        <v>3571.6480977150268</v>
      </c>
      <c r="F164" s="39">
        <v>9519.5511740000002</v>
      </c>
      <c r="G164" s="39">
        <v>8872.3957121597305</v>
      </c>
      <c r="H164" s="40">
        <v>0.71352540772852358</v>
      </c>
      <c r="I164" s="40">
        <v>-6.7981719937363683E-2</v>
      </c>
      <c r="J164" s="40">
        <v>0.47249411360185856</v>
      </c>
    </row>
    <row r="165" spans="1:10" ht="11.25" customHeight="1" x14ac:dyDescent="0.2">
      <c r="A165" s="49">
        <v>44621</v>
      </c>
      <c r="B165" s="39">
        <v>19279.767999999996</v>
      </c>
      <c r="C165" s="39">
        <v>33005.502354455173</v>
      </c>
      <c r="D165" s="39">
        <v>2243.3280479999999</v>
      </c>
      <c r="E165" s="39">
        <v>3877.5131870805317</v>
      </c>
      <c r="F165" s="39">
        <v>10334.776608</v>
      </c>
      <c r="G165" s="39">
        <v>9632.2007190197273</v>
      </c>
      <c r="H165" s="40">
        <v>0.71364823440273639</v>
      </c>
      <c r="I165" s="40">
        <v>-6.7981719937363572E-2</v>
      </c>
      <c r="J165" s="40">
        <v>0.4600854477266838</v>
      </c>
    </row>
    <row r="166" spans="1:10" ht="11.25" customHeight="1" x14ac:dyDescent="0.2">
      <c r="A166" s="49">
        <v>44652</v>
      </c>
      <c r="B166" s="39">
        <v>19279.767999999996</v>
      </c>
      <c r="C166" s="39">
        <v>33005.502354455173</v>
      </c>
      <c r="D166" s="39">
        <v>1974.8956319999998</v>
      </c>
      <c r="E166" s="39">
        <v>3413.5372501649122</v>
      </c>
      <c r="F166" s="39">
        <v>9098.1366720000005</v>
      </c>
      <c r="G166" s="39">
        <v>8479.6296928122374</v>
      </c>
      <c r="H166" s="40">
        <v>0.71346111306082194</v>
      </c>
      <c r="I166" s="40">
        <v>-6.7981719937363794E-2</v>
      </c>
      <c r="J166" s="40">
        <v>0.47922659022388192</v>
      </c>
    </row>
    <row r="167" spans="1:10" ht="11.25" customHeight="1" x14ac:dyDescent="0.2">
      <c r="A167" s="49">
        <v>44682</v>
      </c>
      <c r="B167" s="39">
        <v>19240.897499999999</v>
      </c>
      <c r="C167" s="39">
        <v>32938.959002934098</v>
      </c>
      <c r="D167" s="39">
        <v>2238.3748307999999</v>
      </c>
      <c r="E167" s="39">
        <v>3868.9517263398266</v>
      </c>
      <c r="F167" s="39">
        <v>10311.957656800001</v>
      </c>
      <c r="G167" s="39">
        <v>9610.933039369469</v>
      </c>
      <c r="H167" s="40">
        <v>0.71364793752782618</v>
      </c>
      <c r="I167" s="40">
        <v>-6.7981719937363794E-2</v>
      </c>
      <c r="J167" s="40">
        <v>0.46011474821039688</v>
      </c>
    </row>
    <row r="168" spans="1:10" ht="11.25" customHeight="1" x14ac:dyDescent="0.2">
      <c r="A168" s="49">
        <v>44713</v>
      </c>
      <c r="B168" s="39">
        <v>19240.897499999999</v>
      </c>
      <c r="C168" s="39">
        <v>32938.959002934098</v>
      </c>
      <c r="D168" s="39">
        <v>2128.3654745999997</v>
      </c>
      <c r="E168" s="39">
        <v>3678.8044450503007</v>
      </c>
      <c r="F168" s="39">
        <v>9805.1561115999993</v>
      </c>
      <c r="G168" s="39">
        <v>9138.5847348790794</v>
      </c>
      <c r="H168" s="40">
        <v>0.71357166091826008</v>
      </c>
      <c r="I168" s="40">
        <v>-6.7981719937363572E-2</v>
      </c>
      <c r="J168" s="40">
        <v>0.4677530335478961</v>
      </c>
    </row>
    <row r="169" spans="1:10" ht="11.25" customHeight="1" x14ac:dyDescent="0.2">
      <c r="A169" s="49">
        <v>44743</v>
      </c>
      <c r="B169" s="39">
        <v>19240.897499999999</v>
      </c>
      <c r="C169" s="39">
        <v>32938.959002934098</v>
      </c>
      <c r="D169" s="39">
        <v>2121.4948829999998</v>
      </c>
      <c r="E169" s="39">
        <v>3666.9288704744845</v>
      </c>
      <c r="F169" s="39">
        <v>9773.5040180000015</v>
      </c>
      <c r="G169" s="39">
        <v>9109.0844050416272</v>
      </c>
      <c r="H169" s="40">
        <v>0.71356687102794814</v>
      </c>
      <c r="I169" s="40">
        <v>-6.7981719937363683E-2</v>
      </c>
      <c r="J169" s="40">
        <v>0.46824012033204121</v>
      </c>
    </row>
    <row r="170" spans="1:10" ht="11.25" customHeight="1" x14ac:dyDescent="0.2">
      <c r="A170" s="49">
        <v>44774</v>
      </c>
      <c r="B170" s="39">
        <v>19240.897499999999</v>
      </c>
      <c r="C170" s="39">
        <v>32938.959002934098</v>
      </c>
      <c r="D170" s="39">
        <v>2314.8301349999997</v>
      </c>
      <c r="E170" s="39">
        <v>4001.1020155149004</v>
      </c>
      <c r="F170" s="39">
        <v>10664.17921</v>
      </c>
      <c r="G170" s="39">
        <v>9939.2099655839247</v>
      </c>
      <c r="H170" s="40">
        <v>0.71370049037312411</v>
      </c>
      <c r="I170" s="40">
        <v>-6.7981719937363572E-2</v>
      </c>
      <c r="J170" s="40">
        <v>0.45497847680176706</v>
      </c>
    </row>
    <row r="171" spans="1:10" ht="11.25" customHeight="1" x14ac:dyDescent="0.2">
      <c r="A171" s="49">
        <v>44805</v>
      </c>
      <c r="B171" s="39">
        <v>19240.897499999999</v>
      </c>
      <c r="C171" s="39">
        <v>32938.959002934098</v>
      </c>
      <c r="D171" s="39">
        <v>2102.9602637999997</v>
      </c>
      <c r="E171" s="39">
        <v>3634.8924367350724</v>
      </c>
      <c r="F171" s="39">
        <v>9688.1169748000011</v>
      </c>
      <c r="G171" s="39">
        <v>9029.5021198987288</v>
      </c>
      <c r="H171" s="40">
        <v>0.71355393408307943</v>
      </c>
      <c r="I171" s="40">
        <v>-6.7981719937363683E-2</v>
      </c>
      <c r="J171" s="40">
        <v>0.46956015347753155</v>
      </c>
    </row>
    <row r="172" spans="1:10" ht="11.25" customHeight="1" x14ac:dyDescent="0.2">
      <c r="A172" s="49">
        <v>44835</v>
      </c>
      <c r="B172" s="39">
        <v>19240.897499999999</v>
      </c>
      <c r="C172" s="39">
        <v>32938.959002934098</v>
      </c>
      <c r="D172" s="39">
        <v>2102.9602637999997</v>
      </c>
      <c r="E172" s="39">
        <v>3634.8924367350724</v>
      </c>
      <c r="F172" s="39">
        <v>9688.1169748000011</v>
      </c>
      <c r="G172" s="39">
        <v>9029.5021198987288</v>
      </c>
      <c r="H172" s="40">
        <v>0.71355393408307943</v>
      </c>
      <c r="I172" s="40">
        <v>-6.7981719937363683E-2</v>
      </c>
      <c r="J172" s="40">
        <v>0.46956015347753155</v>
      </c>
    </row>
    <row r="173" spans="1:10" ht="11.25" customHeight="1" x14ac:dyDescent="0.2">
      <c r="A173" s="43" t="s">
        <v>40</v>
      </c>
      <c r="B173" s="39">
        <v>1884184.5263999996</v>
      </c>
      <c r="C173" s="39">
        <v>3242245.9037841759</v>
      </c>
      <c r="D173" s="39">
        <v>2201866.774383001</v>
      </c>
      <c r="E173" s="39">
        <v>3793033.9026359227</v>
      </c>
      <c r="F173" s="39">
        <v>3838528.9698489993</v>
      </c>
      <c r="G173" s="39">
        <v>3596041.6481533139</v>
      </c>
      <c r="H173" s="40">
        <v>0.72177960787519768</v>
      </c>
      <c r="I173" s="40">
        <v>-6.3171939980232961E-2</v>
      </c>
      <c r="J173" s="40">
        <v>0.34156271897105062</v>
      </c>
    </row>
    <row r="174" spans="1:10" ht="11.25" customHeight="1" x14ac:dyDescent="0.2">
      <c r="A174" s="44" t="s">
        <v>41</v>
      </c>
      <c r="B174" s="39">
        <v>503990.95999999996</v>
      </c>
      <c r="C174" s="39">
        <v>867251.90803172637</v>
      </c>
      <c r="D174" s="39">
        <v>811789.34713999974</v>
      </c>
      <c r="E174" s="39">
        <v>1396337.6354503415</v>
      </c>
      <c r="F174" s="39">
        <v>1016055.11158</v>
      </c>
      <c r="G174" s="39">
        <v>951424.98669742502</v>
      </c>
      <c r="H174" s="40">
        <v>0.72034003792186319</v>
      </c>
      <c r="I174" s="40">
        <v>-6.3608877260675989E-2</v>
      </c>
      <c r="J174" s="40">
        <v>0.37874847614429497</v>
      </c>
    </row>
    <row r="175" spans="1:10" ht="11.25" customHeight="1" x14ac:dyDescent="0.2">
      <c r="A175" s="45" t="s">
        <v>25</v>
      </c>
      <c r="B175" s="39">
        <v>503990.95999999996</v>
      </c>
      <c r="C175" s="39">
        <v>867251.90803172637</v>
      </c>
      <c r="D175" s="39">
        <v>811789.34713999974</v>
      </c>
      <c r="E175" s="39">
        <v>1396337.6354503415</v>
      </c>
      <c r="F175" s="39">
        <v>1016055.11158</v>
      </c>
      <c r="G175" s="39">
        <v>951424.98669742502</v>
      </c>
      <c r="H175" s="40">
        <v>0.72034003792186319</v>
      </c>
      <c r="I175" s="40">
        <v>-6.3608877260675989E-2</v>
      </c>
      <c r="J175" s="40">
        <v>0.37874847614429497</v>
      </c>
    </row>
    <row r="176" spans="1:10" ht="11.25" customHeight="1" x14ac:dyDescent="0.2">
      <c r="A176" s="46" t="s">
        <v>25</v>
      </c>
      <c r="B176" s="39">
        <v>503990.95999999996</v>
      </c>
      <c r="C176" s="39">
        <v>867251.90803172637</v>
      </c>
      <c r="D176" s="39">
        <v>811789.34713999974</v>
      </c>
      <c r="E176" s="39">
        <v>1396337.6354503415</v>
      </c>
      <c r="F176" s="39">
        <v>1016055.11158</v>
      </c>
      <c r="G176" s="39">
        <v>951424.98669742502</v>
      </c>
      <c r="H176" s="40">
        <v>0.72034003792186319</v>
      </c>
      <c r="I176" s="40">
        <v>-6.3608877260675989E-2</v>
      </c>
      <c r="J176" s="40">
        <v>0.37874847614429497</v>
      </c>
    </row>
    <row r="177" spans="1:10" ht="11.25" customHeight="1" x14ac:dyDescent="0.2">
      <c r="A177" s="47" t="s">
        <v>25</v>
      </c>
      <c r="B177" s="39">
        <v>503990.95999999996</v>
      </c>
      <c r="C177" s="39">
        <v>867251.90803172637</v>
      </c>
      <c r="D177" s="39">
        <v>811789.34713999974</v>
      </c>
      <c r="E177" s="39">
        <v>1396337.6354503415</v>
      </c>
      <c r="F177" s="39">
        <v>1016055.11158</v>
      </c>
      <c r="G177" s="39">
        <v>951424.98669742502</v>
      </c>
      <c r="H177" s="40">
        <v>0.72034003792186319</v>
      </c>
      <c r="I177" s="40">
        <v>-6.3608877260675989E-2</v>
      </c>
      <c r="J177" s="40">
        <v>0.37874847614429497</v>
      </c>
    </row>
    <row r="178" spans="1:10" ht="11.25" customHeight="1" x14ac:dyDescent="0.2">
      <c r="A178" s="48" t="s">
        <v>35</v>
      </c>
      <c r="B178" s="39">
        <v>0</v>
      </c>
      <c r="C178" s="39">
        <v>0</v>
      </c>
      <c r="D178" s="39">
        <v>296657.59499999991</v>
      </c>
      <c r="E178" s="39">
        <v>512762.1605255726</v>
      </c>
      <c r="F178" s="39">
        <v>847388.68500000006</v>
      </c>
      <c r="G178" s="39">
        <v>794224.79389202269</v>
      </c>
      <c r="H178" s="40">
        <v>0.7284646311703995</v>
      </c>
      <c r="I178" s="40">
        <v>-6.273849539066878E-2</v>
      </c>
      <c r="J178" s="40">
        <v>0.14242489772144107</v>
      </c>
    </row>
    <row r="179" spans="1:10" ht="11.25" customHeight="1" x14ac:dyDescent="0.2">
      <c r="A179" s="49">
        <v>44501</v>
      </c>
      <c r="B179" s="39">
        <v>0</v>
      </c>
      <c r="C179" s="39">
        <v>0</v>
      </c>
      <c r="D179" s="39">
        <v>24384.140940000001</v>
      </c>
      <c r="E179" s="39">
        <v>42147.125176264133</v>
      </c>
      <c r="F179" s="39">
        <v>69652.169620000001</v>
      </c>
      <c r="G179" s="39">
        <v>65282.297297345547</v>
      </c>
      <c r="H179" s="40">
        <v>0.72846463117039928</v>
      </c>
      <c r="I179" s="40">
        <v>-6.273849539066878E-2</v>
      </c>
      <c r="J179" s="40">
        <v>0.14242489772144129</v>
      </c>
    </row>
    <row r="180" spans="1:10" ht="11.25" customHeight="1" x14ac:dyDescent="0.2">
      <c r="A180" s="49">
        <v>44531</v>
      </c>
      <c r="B180" s="39">
        <v>0</v>
      </c>
      <c r="C180" s="39">
        <v>0</v>
      </c>
      <c r="D180" s="39">
        <v>24725.375789999998</v>
      </c>
      <c r="E180" s="39">
        <v>42736.937545411864</v>
      </c>
      <c r="F180" s="39">
        <v>70626.891170000003</v>
      </c>
      <c r="G180" s="39">
        <v>66195.866283873693</v>
      </c>
      <c r="H180" s="40">
        <v>0.72846463117039906</v>
      </c>
      <c r="I180" s="40">
        <v>-6.273849539066878E-2</v>
      </c>
      <c r="J180" s="40">
        <v>0.14242489772144107</v>
      </c>
    </row>
    <row r="181" spans="1:10" ht="11.25" customHeight="1" x14ac:dyDescent="0.2">
      <c r="A181" s="49">
        <v>44562</v>
      </c>
      <c r="B181" s="39">
        <v>0</v>
      </c>
      <c r="C181" s="39">
        <v>0</v>
      </c>
      <c r="D181" s="39">
        <v>25362.715799999998</v>
      </c>
      <c r="E181" s="39">
        <v>43838.557210726649</v>
      </c>
      <c r="F181" s="39">
        <v>72447.4234</v>
      </c>
      <c r="G181" s="39">
        <v>67902.181060953269</v>
      </c>
      <c r="H181" s="40">
        <v>0.72846463117039906</v>
      </c>
      <c r="I181" s="40">
        <v>-6.273849539066878E-2</v>
      </c>
      <c r="J181" s="40">
        <v>0.14242489772144107</v>
      </c>
    </row>
    <row r="182" spans="1:10" ht="11.25" customHeight="1" x14ac:dyDescent="0.2">
      <c r="A182" s="49">
        <v>44593</v>
      </c>
      <c r="B182" s="39">
        <v>0</v>
      </c>
      <c r="C182" s="39">
        <v>0</v>
      </c>
      <c r="D182" s="39">
        <v>23609.797050000001</v>
      </c>
      <c r="E182" s="39">
        <v>40808.699150036235</v>
      </c>
      <c r="F182" s="39">
        <v>67440.292150000008</v>
      </c>
      <c r="G182" s="39">
        <v>63209.189691801876</v>
      </c>
      <c r="H182" s="40">
        <v>0.72846463117039928</v>
      </c>
      <c r="I182" s="40">
        <v>-6.273849539066878E-2</v>
      </c>
      <c r="J182" s="40">
        <v>0.14242489772144107</v>
      </c>
    </row>
    <row r="183" spans="1:10" ht="11.25" customHeight="1" x14ac:dyDescent="0.2">
      <c r="A183" s="49">
        <v>44621</v>
      </c>
      <c r="B183" s="39">
        <v>0</v>
      </c>
      <c r="C183" s="39">
        <v>0</v>
      </c>
      <c r="D183" s="39">
        <v>28956.68793</v>
      </c>
      <c r="E183" s="39">
        <v>50050.6109228438</v>
      </c>
      <c r="F183" s="39">
        <v>82713.43839000001</v>
      </c>
      <c r="G183" s="39">
        <v>77524.121716822614</v>
      </c>
      <c r="H183" s="40">
        <v>0.72846463117039928</v>
      </c>
      <c r="I183" s="40">
        <v>-6.2738495390669002E-2</v>
      </c>
      <c r="J183" s="40">
        <v>0.14242489772144107</v>
      </c>
    </row>
    <row r="184" spans="1:10" ht="11.25" customHeight="1" x14ac:dyDescent="0.2">
      <c r="A184" s="49">
        <v>44652</v>
      </c>
      <c r="B184" s="39">
        <v>0</v>
      </c>
      <c r="C184" s="39">
        <v>0</v>
      </c>
      <c r="D184" s="39">
        <v>27272.526089999999</v>
      </c>
      <c r="E184" s="39">
        <v>47139.596749236938</v>
      </c>
      <c r="F184" s="39">
        <v>77902.708070000008</v>
      </c>
      <c r="G184" s="39">
        <v>73015.209378829692</v>
      </c>
      <c r="H184" s="40">
        <v>0.72846463117039928</v>
      </c>
      <c r="I184" s="40">
        <v>-6.2738495390668891E-2</v>
      </c>
      <c r="J184" s="40">
        <v>0.14242489772144107</v>
      </c>
    </row>
    <row r="185" spans="1:10" ht="11.25" customHeight="1" x14ac:dyDescent="0.2">
      <c r="A185" s="49">
        <v>44682</v>
      </c>
      <c r="B185" s="39">
        <v>0</v>
      </c>
      <c r="C185" s="39">
        <v>0</v>
      </c>
      <c r="D185" s="39">
        <v>24816.485069999999</v>
      </c>
      <c r="E185" s="39">
        <v>42894.416713463273</v>
      </c>
      <c r="F185" s="39">
        <v>70887.140610000002</v>
      </c>
      <c r="G185" s="39">
        <v>66439.78806558183</v>
      </c>
      <c r="H185" s="40">
        <v>0.7284646311703995</v>
      </c>
      <c r="I185" s="40">
        <v>-6.273849539066878E-2</v>
      </c>
      <c r="J185" s="40">
        <v>0.14242489772144129</v>
      </c>
    </row>
    <row r="186" spans="1:10" ht="11.25" customHeight="1" x14ac:dyDescent="0.2">
      <c r="A186" s="49">
        <v>44713</v>
      </c>
      <c r="B186" s="39">
        <v>0</v>
      </c>
      <c r="C186" s="39">
        <v>0</v>
      </c>
      <c r="D186" s="39">
        <v>23380.918979999999</v>
      </c>
      <c r="E186" s="39">
        <v>40413.091501190691</v>
      </c>
      <c r="F186" s="39">
        <v>66786.512539999996</v>
      </c>
      <c r="G186" s="39">
        <v>62596.427230850371</v>
      </c>
      <c r="H186" s="40">
        <v>0.7284646311703995</v>
      </c>
      <c r="I186" s="40">
        <v>-6.2738495390668669E-2</v>
      </c>
      <c r="J186" s="40">
        <v>0.14242489772144129</v>
      </c>
    </row>
    <row r="187" spans="1:10" ht="11.25" customHeight="1" x14ac:dyDescent="0.2">
      <c r="A187" s="49">
        <v>44743</v>
      </c>
      <c r="B187" s="39">
        <v>0</v>
      </c>
      <c r="C187" s="39">
        <v>0</v>
      </c>
      <c r="D187" s="39">
        <v>19915.366739999998</v>
      </c>
      <c r="E187" s="39">
        <v>34423.007026877334</v>
      </c>
      <c r="F187" s="39">
        <v>56887.323020000003</v>
      </c>
      <c r="G187" s="39">
        <v>53318.297966922248</v>
      </c>
      <c r="H187" s="40">
        <v>0.72846463117039928</v>
      </c>
      <c r="I187" s="40">
        <v>-6.273849539066878E-2</v>
      </c>
      <c r="J187" s="40">
        <v>0.14242489772144107</v>
      </c>
    </row>
    <row r="188" spans="1:10" ht="11.25" customHeight="1" x14ac:dyDescent="0.2">
      <c r="A188" s="49">
        <v>44774</v>
      </c>
      <c r="B188" s="39">
        <v>0</v>
      </c>
      <c r="C188" s="39">
        <v>0</v>
      </c>
      <c r="D188" s="39">
        <v>22851.00633</v>
      </c>
      <c r="E188" s="39">
        <v>39497.156228055916</v>
      </c>
      <c r="F188" s="39">
        <v>65272.841590000011</v>
      </c>
      <c r="G188" s="39">
        <v>61177.721718769935</v>
      </c>
      <c r="H188" s="40">
        <v>0.7284646311703995</v>
      </c>
      <c r="I188" s="40">
        <v>-6.2738495390668891E-2</v>
      </c>
      <c r="J188" s="40">
        <v>0.14242489772144107</v>
      </c>
    </row>
    <row r="189" spans="1:10" ht="11.25" customHeight="1" x14ac:dyDescent="0.2">
      <c r="A189" s="49">
        <v>44805</v>
      </c>
      <c r="B189" s="39">
        <v>0</v>
      </c>
      <c r="C189" s="39">
        <v>0</v>
      </c>
      <c r="D189" s="39">
        <v>25691.287139999997</v>
      </c>
      <c r="E189" s="39">
        <v>44406.481150732921</v>
      </c>
      <c r="F189" s="39">
        <v>73385.972219999996</v>
      </c>
      <c r="G189" s="39">
        <v>68781.846740135778</v>
      </c>
      <c r="H189" s="40">
        <v>0.7284646311703995</v>
      </c>
      <c r="I189" s="40">
        <v>-6.273849539066878E-2</v>
      </c>
      <c r="J189" s="40">
        <v>0.14242489772144129</v>
      </c>
    </row>
    <row r="190" spans="1:10" ht="11.25" customHeight="1" x14ac:dyDescent="0.2">
      <c r="A190" s="49">
        <v>44835</v>
      </c>
      <c r="B190" s="39">
        <v>0</v>
      </c>
      <c r="C190" s="39">
        <v>0</v>
      </c>
      <c r="D190" s="39">
        <v>25691.287139999997</v>
      </c>
      <c r="E190" s="39">
        <v>44406.481150732921</v>
      </c>
      <c r="F190" s="39">
        <v>73385.972219999996</v>
      </c>
      <c r="G190" s="39">
        <v>68781.846740135778</v>
      </c>
      <c r="H190" s="40">
        <v>0.7284646311703995</v>
      </c>
      <c r="I190" s="40">
        <v>-6.273849539066878E-2</v>
      </c>
      <c r="J190" s="40">
        <v>0.14242489772144129</v>
      </c>
    </row>
    <row r="191" spans="1:10" ht="11.25" customHeight="1" x14ac:dyDescent="0.2">
      <c r="A191" s="48" t="s">
        <v>25</v>
      </c>
      <c r="B191" s="39">
        <v>503990.95999999996</v>
      </c>
      <c r="C191" s="39">
        <v>867251.90803172637</v>
      </c>
      <c r="D191" s="39">
        <v>0</v>
      </c>
      <c r="E191" s="39">
        <v>0</v>
      </c>
      <c r="F191" s="39">
        <v>0</v>
      </c>
      <c r="G191" s="39">
        <v>0</v>
      </c>
      <c r="H191" s="40">
        <v>0.72076877734419398</v>
      </c>
      <c r="I191" s="40">
        <v>0</v>
      </c>
      <c r="J191" s="40">
        <v>0.72076877734419398</v>
      </c>
    </row>
    <row r="192" spans="1:10" ht="11.25" customHeight="1" x14ac:dyDescent="0.2">
      <c r="A192" s="49">
        <v>44501</v>
      </c>
      <c r="B192" s="39">
        <v>38388.68</v>
      </c>
      <c r="C192" s="39">
        <v>66058.041947457503</v>
      </c>
      <c r="D192" s="39">
        <v>0</v>
      </c>
      <c r="E192" s="39">
        <v>0</v>
      </c>
      <c r="F192" s="39">
        <v>0</v>
      </c>
      <c r="G192" s="39">
        <v>0</v>
      </c>
      <c r="H192" s="40">
        <v>0.72076877734419376</v>
      </c>
      <c r="I192" s="40">
        <v>0</v>
      </c>
      <c r="J192" s="40">
        <v>0.72076877734419376</v>
      </c>
    </row>
    <row r="193" spans="1:10" ht="11.25" customHeight="1" x14ac:dyDescent="0.2">
      <c r="A193" s="49">
        <v>44531</v>
      </c>
      <c r="B193" s="39">
        <v>38350.840000000004</v>
      </c>
      <c r="C193" s="39">
        <v>65992.928056922799</v>
      </c>
      <c r="D193" s="39">
        <v>0</v>
      </c>
      <c r="E193" s="39">
        <v>0</v>
      </c>
      <c r="F193" s="39">
        <v>0</v>
      </c>
      <c r="G193" s="39">
        <v>0</v>
      </c>
      <c r="H193" s="40">
        <v>0.72076877734419353</v>
      </c>
      <c r="I193" s="40">
        <v>0</v>
      </c>
      <c r="J193" s="40">
        <v>0.72076877734419353</v>
      </c>
    </row>
    <row r="194" spans="1:10" ht="11.25" customHeight="1" x14ac:dyDescent="0.2">
      <c r="A194" s="49">
        <v>44562</v>
      </c>
      <c r="B194" s="39">
        <v>47110.8</v>
      </c>
      <c r="C194" s="39">
        <v>81066.793715706823</v>
      </c>
      <c r="D194" s="39">
        <v>0</v>
      </c>
      <c r="E194" s="39">
        <v>0</v>
      </c>
      <c r="F194" s="39">
        <v>0</v>
      </c>
      <c r="G194" s="39">
        <v>0</v>
      </c>
      <c r="H194" s="40">
        <v>0.72076877734419331</v>
      </c>
      <c r="I194" s="40">
        <v>0</v>
      </c>
      <c r="J194" s="40">
        <v>0.72076877734419331</v>
      </c>
    </row>
    <row r="195" spans="1:10" ht="11.25" customHeight="1" x14ac:dyDescent="0.2">
      <c r="A195" s="49">
        <v>44593</v>
      </c>
      <c r="B195" s="39">
        <v>41775.360000000001</v>
      </c>
      <c r="C195" s="39">
        <v>71885.735150313529</v>
      </c>
      <c r="D195" s="39">
        <v>0</v>
      </c>
      <c r="E195" s="39">
        <v>0</v>
      </c>
      <c r="F195" s="39">
        <v>0</v>
      </c>
      <c r="G195" s="39">
        <v>0</v>
      </c>
      <c r="H195" s="40">
        <v>0.72076877734419353</v>
      </c>
      <c r="I195" s="40">
        <v>0</v>
      </c>
      <c r="J195" s="40">
        <v>0.72076877734419353</v>
      </c>
    </row>
    <row r="196" spans="1:10" ht="11.25" customHeight="1" x14ac:dyDescent="0.2">
      <c r="A196" s="49">
        <v>44621</v>
      </c>
      <c r="B196" s="39">
        <v>41851.040000000001</v>
      </c>
      <c r="C196" s="39">
        <v>72015.962931382935</v>
      </c>
      <c r="D196" s="39">
        <v>0</v>
      </c>
      <c r="E196" s="39">
        <v>0</v>
      </c>
      <c r="F196" s="39">
        <v>0</v>
      </c>
      <c r="G196" s="39">
        <v>0</v>
      </c>
      <c r="H196" s="40">
        <v>0.72076877734419353</v>
      </c>
      <c r="I196" s="40">
        <v>0</v>
      </c>
      <c r="J196" s="40">
        <v>0.72076877734419353</v>
      </c>
    </row>
    <row r="197" spans="1:10" ht="11.25" customHeight="1" x14ac:dyDescent="0.2">
      <c r="A197" s="49">
        <v>44652</v>
      </c>
      <c r="B197" s="39">
        <v>42986.240000000005</v>
      </c>
      <c r="C197" s="39">
        <v>73969.379647424066</v>
      </c>
      <c r="D197" s="39">
        <v>0</v>
      </c>
      <c r="E197" s="39">
        <v>0</v>
      </c>
      <c r="F197" s="39">
        <v>0</v>
      </c>
      <c r="G197" s="39">
        <v>0</v>
      </c>
      <c r="H197" s="40">
        <v>0.72076877734419331</v>
      </c>
      <c r="I197" s="40">
        <v>0</v>
      </c>
      <c r="J197" s="40">
        <v>0.72076877734419331</v>
      </c>
    </row>
    <row r="198" spans="1:10" ht="11.25" customHeight="1" x14ac:dyDescent="0.2">
      <c r="A198" s="49">
        <v>44682</v>
      </c>
      <c r="B198" s="39">
        <v>44007.920000000006</v>
      </c>
      <c r="C198" s="39">
        <v>75727.454691861087</v>
      </c>
      <c r="D198" s="39">
        <v>0</v>
      </c>
      <c r="E198" s="39">
        <v>0</v>
      </c>
      <c r="F198" s="39">
        <v>0</v>
      </c>
      <c r="G198" s="39">
        <v>0</v>
      </c>
      <c r="H198" s="40">
        <v>0.72076877734419353</v>
      </c>
      <c r="I198" s="40">
        <v>0</v>
      </c>
      <c r="J198" s="40">
        <v>0.72076877734419353</v>
      </c>
    </row>
    <row r="199" spans="1:10" ht="11.25" customHeight="1" x14ac:dyDescent="0.2">
      <c r="A199" s="49">
        <v>44713</v>
      </c>
      <c r="B199" s="39">
        <v>43856.560000000005</v>
      </c>
      <c r="C199" s="39">
        <v>75466.999129722259</v>
      </c>
      <c r="D199" s="39">
        <v>0</v>
      </c>
      <c r="E199" s="39">
        <v>0</v>
      </c>
      <c r="F199" s="39">
        <v>0</v>
      </c>
      <c r="G199" s="39">
        <v>0</v>
      </c>
      <c r="H199" s="40">
        <v>0.72076877734419331</v>
      </c>
      <c r="I199" s="40">
        <v>0</v>
      </c>
      <c r="J199" s="40">
        <v>0.72076877734419331</v>
      </c>
    </row>
    <row r="200" spans="1:10" ht="11.25" customHeight="1" x14ac:dyDescent="0.2">
      <c r="A200" s="49">
        <v>44743</v>
      </c>
      <c r="B200" s="39">
        <v>40753.68</v>
      </c>
      <c r="C200" s="39">
        <v>70127.660105876508</v>
      </c>
      <c r="D200" s="39">
        <v>0</v>
      </c>
      <c r="E200" s="39">
        <v>0</v>
      </c>
      <c r="F200" s="39">
        <v>0</v>
      </c>
      <c r="G200" s="39">
        <v>0</v>
      </c>
      <c r="H200" s="40">
        <v>0.72076877734419331</v>
      </c>
      <c r="I200" s="40">
        <v>0</v>
      </c>
      <c r="J200" s="40">
        <v>0.72076877734419331</v>
      </c>
    </row>
    <row r="201" spans="1:10" ht="11.25" customHeight="1" x14ac:dyDescent="0.2">
      <c r="A201" s="49">
        <v>44774</v>
      </c>
      <c r="B201" s="39">
        <v>41094.240000000005</v>
      </c>
      <c r="C201" s="39">
        <v>70713.685120688839</v>
      </c>
      <c r="D201" s="39">
        <v>0</v>
      </c>
      <c r="E201" s="39">
        <v>0</v>
      </c>
      <c r="F201" s="39">
        <v>0</v>
      </c>
      <c r="G201" s="39">
        <v>0</v>
      </c>
      <c r="H201" s="40">
        <v>0.72076877734419309</v>
      </c>
      <c r="I201" s="40">
        <v>0</v>
      </c>
      <c r="J201" s="40">
        <v>0.72076877734419309</v>
      </c>
    </row>
    <row r="202" spans="1:10" ht="11.25" customHeight="1" x14ac:dyDescent="0.2">
      <c r="A202" s="49">
        <v>44805</v>
      </c>
      <c r="B202" s="39">
        <v>41907.800000000003</v>
      </c>
      <c r="C202" s="39">
        <v>72113.633767184991</v>
      </c>
      <c r="D202" s="39">
        <v>0</v>
      </c>
      <c r="E202" s="39">
        <v>0</v>
      </c>
      <c r="F202" s="39">
        <v>0</v>
      </c>
      <c r="G202" s="39">
        <v>0</v>
      </c>
      <c r="H202" s="40">
        <v>0.72076877734419331</v>
      </c>
      <c r="I202" s="40">
        <v>0</v>
      </c>
      <c r="J202" s="40">
        <v>0.72076877734419331</v>
      </c>
    </row>
    <row r="203" spans="1:10" ht="11.25" customHeight="1" x14ac:dyDescent="0.2">
      <c r="A203" s="49">
        <v>44835</v>
      </c>
      <c r="B203" s="39">
        <v>41907.800000000003</v>
      </c>
      <c r="C203" s="39">
        <v>72113.633767184991</v>
      </c>
      <c r="D203" s="39">
        <v>0</v>
      </c>
      <c r="E203" s="39">
        <v>0</v>
      </c>
      <c r="F203" s="39">
        <v>0</v>
      </c>
      <c r="G203" s="39">
        <v>0</v>
      </c>
      <c r="H203" s="40">
        <v>0.72076877734419331</v>
      </c>
      <c r="I203" s="40">
        <v>0</v>
      </c>
      <c r="J203" s="40">
        <v>0.72076877734419331</v>
      </c>
    </row>
    <row r="204" spans="1:10" ht="11.25" customHeight="1" x14ac:dyDescent="0.2">
      <c r="A204" s="48" t="s">
        <v>34</v>
      </c>
      <c r="B204" s="39">
        <v>0</v>
      </c>
      <c r="C204" s="39">
        <v>0</v>
      </c>
      <c r="D204" s="39">
        <v>515131.75213999994</v>
      </c>
      <c r="E204" s="39">
        <v>883575.47492476879</v>
      </c>
      <c r="F204" s="39">
        <v>168666.42658000003</v>
      </c>
      <c r="G204" s="39">
        <v>157200.19280540256</v>
      </c>
      <c r="H204" s="40">
        <v>0.71524172457657942</v>
      </c>
      <c r="I204" s="40">
        <v>-6.7981719937363572E-2</v>
      </c>
      <c r="J204" s="40">
        <v>0.52205095029412996</v>
      </c>
    </row>
    <row r="205" spans="1:10" ht="11.25" customHeight="1" x14ac:dyDescent="0.2">
      <c r="A205" s="49">
        <v>44501</v>
      </c>
      <c r="B205" s="39">
        <v>0</v>
      </c>
      <c r="C205" s="39">
        <v>0</v>
      </c>
      <c r="D205" s="39">
        <v>40690.167139999998</v>
      </c>
      <c r="E205" s="39">
        <v>69793.472458522883</v>
      </c>
      <c r="F205" s="39">
        <v>13322.93158</v>
      </c>
      <c r="G205" s="39">
        <v>12417.215776583784</v>
      </c>
      <c r="H205" s="40">
        <v>0.71524172457658008</v>
      </c>
      <c r="I205" s="40">
        <v>-6.7981719937363572E-2</v>
      </c>
      <c r="J205" s="40">
        <v>0.5220509502941304</v>
      </c>
    </row>
    <row r="206" spans="1:10" ht="11.25" customHeight="1" x14ac:dyDescent="0.2">
      <c r="A206" s="49">
        <v>44531</v>
      </c>
      <c r="B206" s="39">
        <v>0</v>
      </c>
      <c r="C206" s="39">
        <v>0</v>
      </c>
      <c r="D206" s="39">
        <v>39170.279920000001</v>
      </c>
      <c r="E206" s="39">
        <v>67186.498482128169</v>
      </c>
      <c r="F206" s="39">
        <v>12825.284240000001</v>
      </c>
      <c r="G206" s="39">
        <v>11953.399358679235</v>
      </c>
      <c r="H206" s="40">
        <v>0.71524172457657964</v>
      </c>
      <c r="I206" s="40">
        <v>-6.7981719937363794E-2</v>
      </c>
      <c r="J206" s="40">
        <v>0.52205095029412996</v>
      </c>
    </row>
    <row r="207" spans="1:10" ht="11.25" customHeight="1" x14ac:dyDescent="0.2">
      <c r="A207" s="49">
        <v>44562</v>
      </c>
      <c r="B207" s="39">
        <v>0</v>
      </c>
      <c r="C207" s="39">
        <v>0</v>
      </c>
      <c r="D207" s="39">
        <v>34996.868119999999</v>
      </c>
      <c r="E207" s="39">
        <v>60028.088428927927</v>
      </c>
      <c r="F207" s="39">
        <v>11458.809640000003</v>
      </c>
      <c r="G207" s="39">
        <v>10679.820052237959</v>
      </c>
      <c r="H207" s="40">
        <v>0.71524172457657986</v>
      </c>
      <c r="I207" s="40">
        <v>-6.7981719937363683E-2</v>
      </c>
      <c r="J207" s="40">
        <v>0.52205095029412996</v>
      </c>
    </row>
    <row r="208" spans="1:10" ht="11.25" customHeight="1" x14ac:dyDescent="0.2">
      <c r="A208" s="49">
        <v>44593</v>
      </c>
      <c r="B208" s="39">
        <v>0</v>
      </c>
      <c r="C208" s="39">
        <v>0</v>
      </c>
      <c r="D208" s="39">
        <v>39346.065459999998</v>
      </c>
      <c r="E208" s="39">
        <v>67488.013174913387</v>
      </c>
      <c r="F208" s="39">
        <v>12882.840619999999</v>
      </c>
      <c r="G208" s="39">
        <v>12007.042956973468</v>
      </c>
      <c r="H208" s="40">
        <v>0.71524172457657964</v>
      </c>
      <c r="I208" s="40">
        <v>-6.7981719937363572E-2</v>
      </c>
      <c r="J208" s="40">
        <v>0.52205095029412973</v>
      </c>
    </row>
    <row r="209" spans="1:10" ht="11.25" customHeight="1" x14ac:dyDescent="0.2">
      <c r="A209" s="49">
        <v>44621</v>
      </c>
      <c r="B209" s="39">
        <v>0</v>
      </c>
      <c r="C209" s="39">
        <v>0</v>
      </c>
      <c r="D209" s="39">
        <v>54193.366579999994</v>
      </c>
      <c r="E209" s="39">
        <v>92954.723553289979</v>
      </c>
      <c r="F209" s="39">
        <v>17744.201260000002</v>
      </c>
      <c r="G209" s="39">
        <v>16537.919939430467</v>
      </c>
      <c r="H209" s="40">
        <v>0.71524172457657986</v>
      </c>
      <c r="I209" s="40">
        <v>-6.7981719937363572E-2</v>
      </c>
      <c r="J209" s="40">
        <v>0.52205095029412996</v>
      </c>
    </row>
    <row r="210" spans="1:10" ht="11.25" customHeight="1" x14ac:dyDescent="0.2">
      <c r="A210" s="49">
        <v>44652</v>
      </c>
      <c r="B210" s="39">
        <v>0</v>
      </c>
      <c r="C210" s="39">
        <v>0</v>
      </c>
      <c r="D210" s="39">
        <v>47311.422479999994</v>
      </c>
      <c r="E210" s="39">
        <v>81150.525886766365</v>
      </c>
      <c r="F210" s="39">
        <v>15490.888560000001</v>
      </c>
      <c r="G210" s="39">
        <v>14437.791312333169</v>
      </c>
      <c r="H210" s="40">
        <v>0.71524172457658008</v>
      </c>
      <c r="I210" s="40">
        <v>-6.7981719937363794E-2</v>
      </c>
      <c r="J210" s="40">
        <v>0.52205095029413018</v>
      </c>
    </row>
    <row r="211" spans="1:10" ht="11.25" customHeight="1" x14ac:dyDescent="0.2">
      <c r="A211" s="49">
        <v>44682</v>
      </c>
      <c r="B211" s="39">
        <v>0</v>
      </c>
      <c r="C211" s="39">
        <v>0</v>
      </c>
      <c r="D211" s="39">
        <v>45670.757439999994</v>
      </c>
      <c r="E211" s="39">
        <v>78336.388754104264</v>
      </c>
      <c r="F211" s="39">
        <v>14953.695680000001</v>
      </c>
      <c r="G211" s="39">
        <v>13937.117728253677</v>
      </c>
      <c r="H211" s="40">
        <v>0.71524172457658008</v>
      </c>
      <c r="I211" s="40">
        <v>-6.7981719937363572E-2</v>
      </c>
      <c r="J211" s="40">
        <v>0.5220509502941304</v>
      </c>
    </row>
    <row r="212" spans="1:10" ht="11.25" customHeight="1" x14ac:dyDescent="0.2">
      <c r="A212" s="49">
        <v>44713</v>
      </c>
      <c r="B212" s="39">
        <v>0</v>
      </c>
      <c r="C212" s="39">
        <v>0</v>
      </c>
      <c r="D212" s="39">
        <v>46211.268080000002</v>
      </c>
      <c r="E212" s="39">
        <v>79263.495156409859</v>
      </c>
      <c r="F212" s="39">
        <v>15130.671760000001</v>
      </c>
      <c r="G212" s="39">
        <v>14102.062669947503</v>
      </c>
      <c r="H212" s="40">
        <v>0.71524172457657986</v>
      </c>
      <c r="I212" s="40">
        <v>-6.7981719937363683E-2</v>
      </c>
      <c r="J212" s="40">
        <v>0.52205095029413018</v>
      </c>
    </row>
    <row r="213" spans="1:10" ht="11.25" customHeight="1" x14ac:dyDescent="0.2">
      <c r="A213" s="49">
        <v>44743</v>
      </c>
      <c r="B213" s="39">
        <v>0</v>
      </c>
      <c r="C213" s="39">
        <v>0</v>
      </c>
      <c r="D213" s="39">
        <v>33249.775099999999</v>
      </c>
      <c r="E213" s="39">
        <v>57031.401584307423</v>
      </c>
      <c r="F213" s="39">
        <v>10886.769700000001</v>
      </c>
      <c r="G213" s="39">
        <v>10146.668371232025</v>
      </c>
      <c r="H213" s="40">
        <v>0.71524172457657986</v>
      </c>
      <c r="I213" s="40">
        <v>-6.7981719937363572E-2</v>
      </c>
      <c r="J213" s="40">
        <v>0.52205095029413018</v>
      </c>
    </row>
    <row r="214" spans="1:10" ht="11.25" customHeight="1" x14ac:dyDescent="0.2">
      <c r="A214" s="49">
        <v>44774</v>
      </c>
      <c r="B214" s="39">
        <v>0</v>
      </c>
      <c r="C214" s="39">
        <v>0</v>
      </c>
      <c r="D214" s="39">
        <v>44225.011059999997</v>
      </c>
      <c r="E214" s="39">
        <v>75856.584239972712</v>
      </c>
      <c r="F214" s="39">
        <v>14480.323820000001</v>
      </c>
      <c r="G214" s="39">
        <v>13495.926501466423</v>
      </c>
      <c r="H214" s="40">
        <v>0.71524172457657986</v>
      </c>
      <c r="I214" s="40">
        <v>-6.7981719937363794E-2</v>
      </c>
      <c r="J214" s="40">
        <v>0.52205095029413018</v>
      </c>
    </row>
    <row r="215" spans="1:10" ht="11.25" customHeight="1" x14ac:dyDescent="0.2">
      <c r="A215" s="49">
        <v>44805</v>
      </c>
      <c r="B215" s="39">
        <v>0</v>
      </c>
      <c r="C215" s="39">
        <v>0</v>
      </c>
      <c r="D215" s="39">
        <v>45033.38538</v>
      </c>
      <c r="E215" s="39">
        <v>77243.141602712945</v>
      </c>
      <c r="F215" s="39">
        <v>14745.004860000001</v>
      </c>
      <c r="G215" s="39">
        <v>13742.614069132414</v>
      </c>
      <c r="H215" s="40">
        <v>0.71524172457658008</v>
      </c>
      <c r="I215" s="40">
        <v>-6.7981719937363683E-2</v>
      </c>
      <c r="J215" s="40">
        <v>0.52205095029413018</v>
      </c>
    </row>
    <row r="216" spans="1:10" ht="11.25" customHeight="1" x14ac:dyDescent="0.2">
      <c r="A216" s="49">
        <v>44835</v>
      </c>
      <c r="B216" s="39">
        <v>0</v>
      </c>
      <c r="C216" s="39">
        <v>0</v>
      </c>
      <c r="D216" s="39">
        <v>45033.38538</v>
      </c>
      <c r="E216" s="39">
        <v>77243.141602712945</v>
      </c>
      <c r="F216" s="39">
        <v>14745.004860000001</v>
      </c>
      <c r="G216" s="39">
        <v>13742.614069132414</v>
      </c>
      <c r="H216" s="40">
        <v>0.71524172457658008</v>
      </c>
      <c r="I216" s="40">
        <v>-6.7981719937363683E-2</v>
      </c>
      <c r="J216" s="40">
        <v>0.52205095029413018</v>
      </c>
    </row>
    <row r="217" spans="1:10" ht="11.25" customHeight="1" x14ac:dyDescent="0.2">
      <c r="A217" s="44" t="s">
        <v>38</v>
      </c>
      <c r="B217" s="39">
        <v>949935.3600000001</v>
      </c>
      <c r="C217" s="39">
        <v>1634619.1079832164</v>
      </c>
      <c r="D217" s="39">
        <v>1040528.66633</v>
      </c>
      <c r="E217" s="39">
        <v>1794770.5774703738</v>
      </c>
      <c r="F217" s="39">
        <v>2255676.9313500002</v>
      </c>
      <c r="G217" s="39">
        <v>2113672.7492720997</v>
      </c>
      <c r="H217" s="40">
        <v>0.72290965327148715</v>
      </c>
      <c r="I217" s="40">
        <v>-6.2954131464611596E-2</v>
      </c>
      <c r="J217" s="40">
        <v>0.30543533292269665</v>
      </c>
    </row>
    <row r="218" spans="1:10" ht="11.25" customHeight="1" x14ac:dyDescent="0.2">
      <c r="A218" s="45" t="s">
        <v>25</v>
      </c>
      <c r="B218" s="39">
        <v>949935.3600000001</v>
      </c>
      <c r="C218" s="39">
        <v>1634619.1079832164</v>
      </c>
      <c r="D218" s="39">
        <v>1040528.66633</v>
      </c>
      <c r="E218" s="39">
        <v>1794770.5774703738</v>
      </c>
      <c r="F218" s="39">
        <v>2255676.9313500002</v>
      </c>
      <c r="G218" s="39">
        <v>2113672.7492720997</v>
      </c>
      <c r="H218" s="40">
        <v>0.72290965327148715</v>
      </c>
      <c r="I218" s="40">
        <v>-6.2954131464611596E-2</v>
      </c>
      <c r="J218" s="40">
        <v>0.30543533292269665</v>
      </c>
    </row>
    <row r="219" spans="1:10" ht="11.25" customHeight="1" x14ac:dyDescent="0.2">
      <c r="A219" s="46" t="s">
        <v>25</v>
      </c>
      <c r="B219" s="39">
        <v>949935.3600000001</v>
      </c>
      <c r="C219" s="39">
        <v>1634619.1079832164</v>
      </c>
      <c r="D219" s="39">
        <v>1040528.66633</v>
      </c>
      <c r="E219" s="39">
        <v>1794770.5774703738</v>
      </c>
      <c r="F219" s="39">
        <v>2255676.9313500002</v>
      </c>
      <c r="G219" s="39">
        <v>2113672.7492720997</v>
      </c>
      <c r="H219" s="40">
        <v>0.72290965327148715</v>
      </c>
      <c r="I219" s="40">
        <v>-6.2954131464611596E-2</v>
      </c>
      <c r="J219" s="40">
        <v>0.30543533292269665</v>
      </c>
    </row>
    <row r="220" spans="1:10" ht="11.25" customHeight="1" x14ac:dyDescent="0.2">
      <c r="A220" s="47" t="s">
        <v>25</v>
      </c>
      <c r="B220" s="39">
        <v>949935.3600000001</v>
      </c>
      <c r="C220" s="39">
        <v>1634619.1079832164</v>
      </c>
      <c r="D220" s="39">
        <v>1040528.66633</v>
      </c>
      <c r="E220" s="39">
        <v>1794770.5774703738</v>
      </c>
      <c r="F220" s="39">
        <v>2255676.9313500002</v>
      </c>
      <c r="G220" s="39">
        <v>2113672.7492720997</v>
      </c>
      <c r="H220" s="40">
        <v>0.72290965327148715</v>
      </c>
      <c r="I220" s="40">
        <v>-6.2954131464611596E-2</v>
      </c>
      <c r="J220" s="40">
        <v>0.30543533292269665</v>
      </c>
    </row>
    <row r="221" spans="1:10" ht="11.25" customHeight="1" x14ac:dyDescent="0.2">
      <c r="A221" s="48" t="s">
        <v>35</v>
      </c>
      <c r="B221" s="39">
        <v>0</v>
      </c>
      <c r="C221" s="39">
        <v>0</v>
      </c>
      <c r="D221" s="39">
        <v>757200.6420900001</v>
      </c>
      <c r="E221" s="39">
        <v>1308794.5285520812</v>
      </c>
      <c r="F221" s="39">
        <v>2162908.5760700004</v>
      </c>
      <c r="G221" s="39">
        <v>2027210.9463397944</v>
      </c>
      <c r="H221" s="40">
        <v>0.72846463117039884</v>
      </c>
      <c r="I221" s="40">
        <v>-6.2738495390669002E-2</v>
      </c>
      <c r="J221" s="40">
        <v>0.14242489772144085</v>
      </c>
    </row>
    <row r="222" spans="1:10" ht="11.25" customHeight="1" x14ac:dyDescent="0.2">
      <c r="A222" s="49">
        <v>44501</v>
      </c>
      <c r="B222" s="39">
        <v>0</v>
      </c>
      <c r="C222" s="39">
        <v>0</v>
      </c>
      <c r="D222" s="39">
        <v>72312.041700000002</v>
      </c>
      <c r="E222" s="39">
        <v>124988.80648616904</v>
      </c>
      <c r="F222" s="39">
        <v>206555.99910000002</v>
      </c>
      <c r="G222" s="39">
        <v>193596.9865025497</v>
      </c>
      <c r="H222" s="40">
        <v>0.72846463117039928</v>
      </c>
      <c r="I222" s="40">
        <v>-6.2738495390668669E-2</v>
      </c>
      <c r="J222" s="40">
        <v>0.14242489772144129</v>
      </c>
    </row>
    <row r="223" spans="1:10" ht="11.25" customHeight="1" x14ac:dyDescent="0.2">
      <c r="A223" s="49">
        <v>44531</v>
      </c>
      <c r="B223" s="39">
        <v>0</v>
      </c>
      <c r="C223" s="39">
        <v>0</v>
      </c>
      <c r="D223" s="39">
        <v>63944.011289999995</v>
      </c>
      <c r="E223" s="39">
        <v>110524.9618899257</v>
      </c>
      <c r="F223" s="39">
        <v>182653.10767</v>
      </c>
      <c r="G223" s="39">
        <v>171193.72651635439</v>
      </c>
      <c r="H223" s="40">
        <v>0.7284646311703995</v>
      </c>
      <c r="I223" s="40">
        <v>-6.2738495390668669E-2</v>
      </c>
      <c r="J223" s="40">
        <v>0.14242489772144151</v>
      </c>
    </row>
    <row r="224" spans="1:10" ht="11.25" customHeight="1" x14ac:dyDescent="0.2">
      <c r="A224" s="49">
        <v>44562</v>
      </c>
      <c r="B224" s="39">
        <v>0</v>
      </c>
      <c r="C224" s="39">
        <v>0</v>
      </c>
      <c r="D224" s="39">
        <v>62058.848099999996</v>
      </c>
      <c r="E224" s="39">
        <v>107266.52399202633</v>
      </c>
      <c r="F224" s="39">
        <v>177268.22630000001</v>
      </c>
      <c r="G224" s="39">
        <v>166146.68450136541</v>
      </c>
      <c r="H224" s="40">
        <v>0.72846463117039928</v>
      </c>
      <c r="I224" s="40">
        <v>-6.2738495390668891E-2</v>
      </c>
      <c r="J224" s="40">
        <v>0.14242489772144107</v>
      </c>
    </row>
    <row r="225" spans="1:10" ht="11.25" customHeight="1" x14ac:dyDescent="0.2">
      <c r="A225" s="49">
        <v>44593</v>
      </c>
      <c r="B225" s="39">
        <v>0</v>
      </c>
      <c r="C225" s="39">
        <v>0</v>
      </c>
      <c r="D225" s="39">
        <v>63771.906539999996</v>
      </c>
      <c r="E225" s="39">
        <v>110227.48491669427</v>
      </c>
      <c r="F225" s="39">
        <v>182161.49841999999</v>
      </c>
      <c r="G225" s="39">
        <v>170732.96009101949</v>
      </c>
      <c r="H225" s="40">
        <v>0.72846463117039928</v>
      </c>
      <c r="I225" s="40">
        <v>-6.2738495390668891E-2</v>
      </c>
      <c r="J225" s="40">
        <v>0.14242489772144107</v>
      </c>
    </row>
    <row r="226" spans="1:10" ht="11.25" customHeight="1" x14ac:dyDescent="0.2">
      <c r="A226" s="49">
        <v>44621</v>
      </c>
      <c r="B226" s="39">
        <v>0</v>
      </c>
      <c r="C226" s="39">
        <v>0</v>
      </c>
      <c r="D226" s="39">
        <v>74869.305810000005</v>
      </c>
      <c r="E226" s="39">
        <v>129408.94705286548</v>
      </c>
      <c r="F226" s="39">
        <v>213860.70563000001</v>
      </c>
      <c r="G226" s="39">
        <v>200443.40673558708</v>
      </c>
      <c r="H226" s="40">
        <v>0.72846463117039906</v>
      </c>
      <c r="I226" s="40">
        <v>-6.273849539066878E-2</v>
      </c>
      <c r="J226" s="40">
        <v>0.14242489772144107</v>
      </c>
    </row>
    <row r="227" spans="1:10" ht="11.25" customHeight="1" x14ac:dyDescent="0.2">
      <c r="A227" s="49">
        <v>44652</v>
      </c>
      <c r="B227" s="39">
        <v>0</v>
      </c>
      <c r="C227" s="39">
        <v>0</v>
      </c>
      <c r="D227" s="39">
        <v>66073.69071000001</v>
      </c>
      <c r="E227" s="39">
        <v>114206.03744312719</v>
      </c>
      <c r="F227" s="39">
        <v>188736.43833</v>
      </c>
      <c r="G227" s="39">
        <v>176895.39816378208</v>
      </c>
      <c r="H227" s="40">
        <v>0.72846463117039906</v>
      </c>
      <c r="I227" s="40">
        <v>-6.2738495390668669E-2</v>
      </c>
      <c r="J227" s="40">
        <v>0.14242489772144129</v>
      </c>
    </row>
    <row r="228" spans="1:10" ht="11.25" customHeight="1" x14ac:dyDescent="0.2">
      <c r="A228" s="49">
        <v>44682</v>
      </c>
      <c r="B228" s="39">
        <v>0</v>
      </c>
      <c r="C228" s="39">
        <v>0</v>
      </c>
      <c r="D228" s="39">
        <v>57296.858399999997</v>
      </c>
      <c r="E228" s="39">
        <v>99035.593221578587</v>
      </c>
      <c r="F228" s="39">
        <v>163665.82319999998</v>
      </c>
      <c r="G228" s="39">
        <v>153397.67570555679</v>
      </c>
      <c r="H228" s="40">
        <v>0.72846463117039928</v>
      </c>
      <c r="I228" s="40">
        <v>-6.2738495390668669E-2</v>
      </c>
      <c r="J228" s="40">
        <v>0.14242489772144129</v>
      </c>
    </row>
    <row r="229" spans="1:10" ht="11.25" customHeight="1" x14ac:dyDescent="0.2">
      <c r="A229" s="49">
        <v>44713</v>
      </c>
      <c r="B229" s="39">
        <v>0</v>
      </c>
      <c r="C229" s="39">
        <v>0</v>
      </c>
      <c r="D229" s="39">
        <v>54494.228159999999</v>
      </c>
      <c r="E229" s="39">
        <v>94191.345977489997</v>
      </c>
      <c r="F229" s="39">
        <v>155660.23968000003</v>
      </c>
      <c r="G229" s="39">
        <v>145894.35045032593</v>
      </c>
      <c r="H229" s="40">
        <v>0.7284646311703995</v>
      </c>
      <c r="I229" s="40">
        <v>-6.2738495390668891E-2</v>
      </c>
      <c r="J229" s="40">
        <v>0.14242489772144129</v>
      </c>
    </row>
    <row r="230" spans="1:10" ht="11.25" customHeight="1" x14ac:dyDescent="0.2">
      <c r="A230" s="49">
        <v>44743</v>
      </c>
      <c r="B230" s="39">
        <v>0</v>
      </c>
      <c r="C230" s="39">
        <v>0</v>
      </c>
      <c r="D230" s="39">
        <v>54067.918319999997</v>
      </c>
      <c r="E230" s="39">
        <v>93454.484497130077</v>
      </c>
      <c r="F230" s="39">
        <v>154442.50536000001</v>
      </c>
      <c r="G230" s="39">
        <v>144753.01494934829</v>
      </c>
      <c r="H230" s="40">
        <v>0.7284646311703995</v>
      </c>
      <c r="I230" s="40">
        <v>-6.2738495390668891E-2</v>
      </c>
      <c r="J230" s="40">
        <v>0.14242489772144129</v>
      </c>
    </row>
    <row r="231" spans="1:10" ht="11.25" customHeight="1" x14ac:dyDescent="0.2">
      <c r="A231" s="49">
        <v>44774</v>
      </c>
      <c r="B231" s="39">
        <v>0</v>
      </c>
      <c r="C231" s="39">
        <v>0</v>
      </c>
      <c r="D231" s="39">
        <v>63763.407539999993</v>
      </c>
      <c r="E231" s="39">
        <v>110212.79469579394</v>
      </c>
      <c r="F231" s="39">
        <v>182137.22142000002</v>
      </c>
      <c r="G231" s="39">
        <v>170710.20619347211</v>
      </c>
      <c r="H231" s="40">
        <v>0.72846463117039928</v>
      </c>
      <c r="I231" s="40">
        <v>-6.2738495390668891E-2</v>
      </c>
      <c r="J231" s="40">
        <v>0.14242489772144107</v>
      </c>
    </row>
    <row r="232" spans="1:10" ht="11.25" customHeight="1" x14ac:dyDescent="0.2">
      <c r="A232" s="49">
        <v>44805</v>
      </c>
      <c r="B232" s="39">
        <v>0</v>
      </c>
      <c r="C232" s="39">
        <v>0</v>
      </c>
      <c r="D232" s="39">
        <v>62274.212759999995</v>
      </c>
      <c r="E232" s="39">
        <v>107638.77418964036</v>
      </c>
      <c r="F232" s="39">
        <v>177883.40547999999</v>
      </c>
      <c r="G232" s="39">
        <v>166723.26826521655</v>
      </c>
      <c r="H232" s="40">
        <v>0.72846463117039928</v>
      </c>
      <c r="I232" s="40">
        <v>-6.2738495390668669E-2</v>
      </c>
      <c r="J232" s="40">
        <v>0.14242489772144129</v>
      </c>
    </row>
    <row r="233" spans="1:10" ht="11.25" customHeight="1" x14ac:dyDescent="0.2">
      <c r="A233" s="49">
        <v>44835</v>
      </c>
      <c r="B233" s="39">
        <v>0</v>
      </c>
      <c r="C233" s="39">
        <v>0</v>
      </c>
      <c r="D233" s="39">
        <v>62274.212759999995</v>
      </c>
      <c r="E233" s="39">
        <v>107638.77418964036</v>
      </c>
      <c r="F233" s="39">
        <v>177883.40547999999</v>
      </c>
      <c r="G233" s="39">
        <v>166723.26826521655</v>
      </c>
      <c r="H233" s="40">
        <v>0.72846463117039928</v>
      </c>
      <c r="I233" s="40">
        <v>-6.2738495390668669E-2</v>
      </c>
      <c r="J233" s="40">
        <v>0.14242489772144129</v>
      </c>
    </row>
    <row r="234" spans="1:10" ht="11.25" customHeight="1" x14ac:dyDescent="0.2">
      <c r="A234" s="48" t="s">
        <v>25</v>
      </c>
      <c r="B234" s="39">
        <v>949935.3600000001</v>
      </c>
      <c r="C234" s="39">
        <v>1634619.1079832164</v>
      </c>
      <c r="D234" s="39">
        <v>0</v>
      </c>
      <c r="E234" s="39">
        <v>0</v>
      </c>
      <c r="F234" s="39">
        <v>0</v>
      </c>
      <c r="G234" s="39">
        <v>0</v>
      </c>
      <c r="H234" s="40">
        <v>0.7207687773441922</v>
      </c>
      <c r="I234" s="40">
        <v>0</v>
      </c>
      <c r="J234" s="40">
        <v>0.7207687773441922</v>
      </c>
    </row>
    <row r="235" spans="1:10" ht="11.25" customHeight="1" x14ac:dyDescent="0.2">
      <c r="A235" s="49">
        <v>44501</v>
      </c>
      <c r="B235" s="39">
        <v>79407.240000000005</v>
      </c>
      <c r="C235" s="39">
        <v>136641.49928707693</v>
      </c>
      <c r="D235" s="39">
        <v>0</v>
      </c>
      <c r="E235" s="39">
        <v>0</v>
      </c>
      <c r="F235" s="39">
        <v>0</v>
      </c>
      <c r="G235" s="39">
        <v>0</v>
      </c>
      <c r="H235" s="40">
        <v>0.72076877734419331</v>
      </c>
      <c r="I235" s="40">
        <v>0</v>
      </c>
      <c r="J235" s="40">
        <v>0.72076877734419331</v>
      </c>
    </row>
    <row r="236" spans="1:10" ht="11.25" customHeight="1" x14ac:dyDescent="0.2">
      <c r="A236" s="49">
        <v>44531</v>
      </c>
      <c r="B236" s="39">
        <v>73201.48000000001</v>
      </c>
      <c r="C236" s="39">
        <v>125962.82123938543</v>
      </c>
      <c r="D236" s="39">
        <v>0</v>
      </c>
      <c r="E236" s="39">
        <v>0</v>
      </c>
      <c r="F236" s="39">
        <v>0</v>
      </c>
      <c r="G236" s="39">
        <v>0</v>
      </c>
      <c r="H236" s="40">
        <v>0.72076877734419331</v>
      </c>
      <c r="I236" s="40">
        <v>0</v>
      </c>
      <c r="J236" s="40">
        <v>0.72076877734419331</v>
      </c>
    </row>
    <row r="237" spans="1:10" ht="11.25" customHeight="1" x14ac:dyDescent="0.2">
      <c r="A237" s="49">
        <v>44562</v>
      </c>
      <c r="B237" s="39">
        <v>70439.16</v>
      </c>
      <c r="C237" s="39">
        <v>121209.50723035201</v>
      </c>
      <c r="D237" s="39">
        <v>0</v>
      </c>
      <c r="E237" s="39">
        <v>0</v>
      </c>
      <c r="F237" s="39">
        <v>0</v>
      </c>
      <c r="G237" s="39">
        <v>0</v>
      </c>
      <c r="H237" s="40">
        <v>0.72076877734419331</v>
      </c>
      <c r="I237" s="40">
        <v>0</v>
      </c>
      <c r="J237" s="40">
        <v>0.72076877734419331</v>
      </c>
    </row>
    <row r="238" spans="1:10" ht="11.25" customHeight="1" x14ac:dyDescent="0.2">
      <c r="A238" s="49">
        <v>44593</v>
      </c>
      <c r="B238" s="39">
        <v>71082.44</v>
      </c>
      <c r="C238" s="39">
        <v>122316.44336944199</v>
      </c>
      <c r="D238" s="39">
        <v>0</v>
      </c>
      <c r="E238" s="39">
        <v>0</v>
      </c>
      <c r="F238" s="39">
        <v>0</v>
      </c>
      <c r="G238" s="39">
        <v>0</v>
      </c>
      <c r="H238" s="40">
        <v>0.72076877734419331</v>
      </c>
      <c r="I238" s="40">
        <v>0</v>
      </c>
      <c r="J238" s="40">
        <v>0.72076877734419331</v>
      </c>
    </row>
    <row r="239" spans="1:10" ht="11.25" customHeight="1" x14ac:dyDescent="0.2">
      <c r="A239" s="49">
        <v>44621</v>
      </c>
      <c r="B239" s="39">
        <v>76342.200000000012</v>
      </c>
      <c r="C239" s="39">
        <v>131367.2741537659</v>
      </c>
      <c r="D239" s="39">
        <v>0</v>
      </c>
      <c r="E239" s="39">
        <v>0</v>
      </c>
      <c r="F239" s="39">
        <v>0</v>
      </c>
      <c r="G239" s="39">
        <v>0</v>
      </c>
      <c r="H239" s="40">
        <v>0.72076877734419331</v>
      </c>
      <c r="I239" s="40">
        <v>0</v>
      </c>
      <c r="J239" s="40">
        <v>0.72076877734419331</v>
      </c>
    </row>
    <row r="240" spans="1:10" ht="11.25" customHeight="1" x14ac:dyDescent="0.2">
      <c r="A240" s="49">
        <v>44652</v>
      </c>
      <c r="B240" s="39">
        <v>82793.920000000013</v>
      </c>
      <c r="C240" s="39">
        <v>142469.19248993299</v>
      </c>
      <c r="D240" s="39">
        <v>0</v>
      </c>
      <c r="E240" s="39">
        <v>0</v>
      </c>
      <c r="F240" s="39">
        <v>0</v>
      </c>
      <c r="G240" s="39">
        <v>0</v>
      </c>
      <c r="H240" s="40">
        <v>0.72076877734419353</v>
      </c>
      <c r="I240" s="40">
        <v>0</v>
      </c>
      <c r="J240" s="40">
        <v>0.72076877734419353</v>
      </c>
    </row>
    <row r="241" spans="1:10" ht="11.25" customHeight="1" x14ac:dyDescent="0.2">
      <c r="A241" s="49">
        <v>44682</v>
      </c>
      <c r="B241" s="39">
        <v>83304.760000000009</v>
      </c>
      <c r="C241" s="39">
        <v>143348.2300121515</v>
      </c>
      <c r="D241" s="39">
        <v>0</v>
      </c>
      <c r="E241" s="39">
        <v>0</v>
      </c>
      <c r="F241" s="39">
        <v>0</v>
      </c>
      <c r="G241" s="39">
        <v>0</v>
      </c>
      <c r="H241" s="40">
        <v>0.72076877734419353</v>
      </c>
      <c r="I241" s="40">
        <v>0</v>
      </c>
      <c r="J241" s="40">
        <v>0.72076877734419353</v>
      </c>
    </row>
    <row r="242" spans="1:10" ht="11.25" customHeight="1" x14ac:dyDescent="0.2">
      <c r="A242" s="49">
        <v>44713</v>
      </c>
      <c r="B242" s="39">
        <v>85385.96</v>
      </c>
      <c r="C242" s="39">
        <v>146929.49399156022</v>
      </c>
      <c r="D242" s="39">
        <v>0</v>
      </c>
      <c r="E242" s="39">
        <v>0</v>
      </c>
      <c r="F242" s="39">
        <v>0</v>
      </c>
      <c r="G242" s="39">
        <v>0</v>
      </c>
      <c r="H242" s="40">
        <v>0.72076877734419331</v>
      </c>
      <c r="I242" s="40">
        <v>0</v>
      </c>
      <c r="J242" s="40">
        <v>0.72076877734419331</v>
      </c>
    </row>
    <row r="243" spans="1:10" ht="11.25" customHeight="1" x14ac:dyDescent="0.2">
      <c r="A243" s="49">
        <v>44743</v>
      </c>
      <c r="B243" s="39">
        <v>62057.600000000006</v>
      </c>
      <c r="C243" s="39">
        <v>106786.78047691501</v>
      </c>
      <c r="D243" s="39">
        <v>0</v>
      </c>
      <c r="E243" s="39">
        <v>0</v>
      </c>
      <c r="F243" s="39">
        <v>0</v>
      </c>
      <c r="G243" s="39">
        <v>0</v>
      </c>
      <c r="H243" s="40">
        <v>0.72076877734419309</v>
      </c>
      <c r="I243" s="40">
        <v>0</v>
      </c>
      <c r="J243" s="40">
        <v>0.72076877734419309</v>
      </c>
    </row>
    <row r="244" spans="1:10" ht="11.25" customHeight="1" x14ac:dyDescent="0.2">
      <c r="A244" s="49">
        <v>44774</v>
      </c>
      <c r="B244" s="39">
        <v>85840.040000000008</v>
      </c>
      <c r="C244" s="39">
        <v>147710.86067797669</v>
      </c>
      <c r="D244" s="39">
        <v>0</v>
      </c>
      <c r="E244" s="39">
        <v>0</v>
      </c>
      <c r="F244" s="39">
        <v>0</v>
      </c>
      <c r="G244" s="39">
        <v>0</v>
      </c>
      <c r="H244" s="40">
        <v>0.72076877734419353</v>
      </c>
      <c r="I244" s="40">
        <v>0</v>
      </c>
      <c r="J244" s="40">
        <v>0.72076877734419353</v>
      </c>
    </row>
    <row r="245" spans="1:10" ht="11.25" customHeight="1" x14ac:dyDescent="0.2">
      <c r="A245" s="49">
        <v>44805</v>
      </c>
      <c r="B245" s="39">
        <v>90040.280000000013</v>
      </c>
      <c r="C245" s="39">
        <v>154938.50252732885</v>
      </c>
      <c r="D245" s="39">
        <v>0</v>
      </c>
      <c r="E245" s="39">
        <v>0</v>
      </c>
      <c r="F245" s="39">
        <v>0</v>
      </c>
      <c r="G245" s="39">
        <v>0</v>
      </c>
      <c r="H245" s="40">
        <v>0.72076877734419331</v>
      </c>
      <c r="I245" s="40">
        <v>0</v>
      </c>
      <c r="J245" s="40">
        <v>0.72076877734419331</v>
      </c>
    </row>
    <row r="246" spans="1:10" ht="11.25" customHeight="1" x14ac:dyDescent="0.2">
      <c r="A246" s="49">
        <v>44835</v>
      </c>
      <c r="B246" s="39">
        <v>90040.280000000013</v>
      </c>
      <c r="C246" s="39">
        <v>154938.50252732885</v>
      </c>
      <c r="D246" s="39">
        <v>0</v>
      </c>
      <c r="E246" s="39">
        <v>0</v>
      </c>
      <c r="F246" s="39">
        <v>0</v>
      </c>
      <c r="G246" s="39">
        <v>0</v>
      </c>
      <c r="H246" s="40">
        <v>0.72076877734419331</v>
      </c>
      <c r="I246" s="40">
        <v>0</v>
      </c>
      <c r="J246" s="40">
        <v>0.72076877734419331</v>
      </c>
    </row>
    <row r="247" spans="1:10" ht="11.25" customHeight="1" x14ac:dyDescent="0.2">
      <c r="A247" s="48" t="s">
        <v>34</v>
      </c>
      <c r="B247" s="39">
        <v>0</v>
      </c>
      <c r="C247" s="39">
        <v>0</v>
      </c>
      <c r="D247" s="39">
        <v>283328.02424000006</v>
      </c>
      <c r="E247" s="39">
        <v>485976.04891829251</v>
      </c>
      <c r="F247" s="39">
        <v>92768.355280000033</v>
      </c>
      <c r="G247" s="39">
        <v>86461.802932305189</v>
      </c>
      <c r="H247" s="40">
        <v>0.71524172457657964</v>
      </c>
      <c r="I247" s="40">
        <v>-6.7981719937363572E-2</v>
      </c>
      <c r="J247" s="40">
        <v>0.52205095029412996</v>
      </c>
    </row>
    <row r="248" spans="1:10" ht="11.25" customHeight="1" x14ac:dyDescent="0.2">
      <c r="A248" s="49">
        <v>44501</v>
      </c>
      <c r="B248" s="39">
        <v>0</v>
      </c>
      <c r="C248" s="39">
        <v>0</v>
      </c>
      <c r="D248" s="39">
        <v>38644.119119999996</v>
      </c>
      <c r="E248" s="39">
        <v>66284.005524131571</v>
      </c>
      <c r="F248" s="39">
        <v>12653.00664</v>
      </c>
      <c r="G248" s="39">
        <v>11792.833486233918</v>
      </c>
      <c r="H248" s="40">
        <v>0.71524172457657964</v>
      </c>
      <c r="I248" s="40">
        <v>-6.7981719937363572E-2</v>
      </c>
      <c r="J248" s="40">
        <v>0.52205095029412996</v>
      </c>
    </row>
    <row r="249" spans="1:10" ht="11.25" customHeight="1" x14ac:dyDescent="0.2">
      <c r="A249" s="49">
        <v>44531</v>
      </c>
      <c r="B249" s="39">
        <v>0</v>
      </c>
      <c r="C249" s="39">
        <v>0</v>
      </c>
      <c r="D249" s="39">
        <v>33785.502459999996</v>
      </c>
      <c r="E249" s="39">
        <v>57950.303505176686</v>
      </c>
      <c r="F249" s="39">
        <v>11062.179620000003</v>
      </c>
      <c r="G249" s="39">
        <v>10310.153623176349</v>
      </c>
      <c r="H249" s="40">
        <v>0.71524172457658008</v>
      </c>
      <c r="I249" s="40">
        <v>-6.7981719937363794E-2</v>
      </c>
      <c r="J249" s="40">
        <v>0.5220509502941304</v>
      </c>
    </row>
    <row r="250" spans="1:10" ht="11.25" customHeight="1" x14ac:dyDescent="0.2">
      <c r="A250" s="49">
        <v>44562</v>
      </c>
      <c r="B250" s="39">
        <v>0</v>
      </c>
      <c r="C250" s="39">
        <v>0</v>
      </c>
      <c r="D250" s="39">
        <v>29949.311899999997</v>
      </c>
      <c r="E250" s="39">
        <v>51370.309393237883</v>
      </c>
      <c r="F250" s="39">
        <v>9806.1193000000003</v>
      </c>
      <c r="G250" s="39">
        <v>9139.4824440750235</v>
      </c>
      <c r="H250" s="40">
        <v>0.71524172457657986</v>
      </c>
      <c r="I250" s="40">
        <v>-6.7981719937363683E-2</v>
      </c>
      <c r="J250" s="40">
        <v>0.52205095029413018</v>
      </c>
    </row>
    <row r="251" spans="1:10" ht="11.25" customHeight="1" x14ac:dyDescent="0.2">
      <c r="A251" s="49">
        <v>44593</v>
      </c>
      <c r="B251" s="39">
        <v>0</v>
      </c>
      <c r="C251" s="39">
        <v>0</v>
      </c>
      <c r="D251" s="39">
        <v>28238.09348</v>
      </c>
      <c r="E251" s="39">
        <v>48435.156159389873</v>
      </c>
      <c r="F251" s="39">
        <v>9245.8255599999993</v>
      </c>
      <c r="G251" s="39">
        <v>8617.2784361903614</v>
      </c>
      <c r="H251" s="40">
        <v>0.71524172457657986</v>
      </c>
      <c r="I251" s="40">
        <v>-6.7981719937363572E-2</v>
      </c>
      <c r="J251" s="40">
        <v>0.52205095029412996</v>
      </c>
    </row>
    <row r="252" spans="1:10" ht="11.25" customHeight="1" x14ac:dyDescent="0.2">
      <c r="A252" s="49">
        <v>44621</v>
      </c>
      <c r="B252" s="39">
        <v>0</v>
      </c>
      <c r="C252" s="39">
        <v>0</v>
      </c>
      <c r="D252" s="39">
        <v>32317.035499999998</v>
      </c>
      <c r="E252" s="39">
        <v>55431.52770422255</v>
      </c>
      <c r="F252" s="39">
        <v>10581.3685</v>
      </c>
      <c r="G252" s="39">
        <v>9862.0288700789588</v>
      </c>
      <c r="H252" s="40">
        <v>0.71524172457657986</v>
      </c>
      <c r="I252" s="40">
        <v>-6.7981719937363683E-2</v>
      </c>
      <c r="J252" s="40">
        <v>0.52205095029413018</v>
      </c>
    </row>
    <row r="253" spans="1:10" ht="11.25" customHeight="1" x14ac:dyDescent="0.2">
      <c r="A253" s="49">
        <v>44652</v>
      </c>
      <c r="B253" s="39">
        <v>0</v>
      </c>
      <c r="C253" s="39">
        <v>0</v>
      </c>
      <c r="D253" s="39">
        <v>21669.454220000003</v>
      </c>
      <c r="E253" s="39">
        <v>37168.352026946042</v>
      </c>
      <c r="F253" s="39">
        <v>7095.096340000001</v>
      </c>
      <c r="G253" s="39">
        <v>6612.7594876855064</v>
      </c>
      <c r="H253" s="40">
        <v>0.71524172457657942</v>
      </c>
      <c r="I253" s="40">
        <v>-6.7981719937363683E-2</v>
      </c>
      <c r="J253" s="40">
        <v>0.52205095029412973</v>
      </c>
    </row>
    <row r="254" spans="1:10" ht="11.25" customHeight="1" x14ac:dyDescent="0.2">
      <c r="A254" s="49">
        <v>44682</v>
      </c>
      <c r="B254" s="39">
        <v>0</v>
      </c>
      <c r="C254" s="39">
        <v>0</v>
      </c>
      <c r="D254" s="39">
        <v>16985.42728</v>
      </c>
      <c r="E254" s="39">
        <v>29134.113580417285</v>
      </c>
      <c r="F254" s="39">
        <v>5561.4341600000007</v>
      </c>
      <c r="G254" s="39">
        <v>5183.3583004847933</v>
      </c>
      <c r="H254" s="40">
        <v>0.71524172457657986</v>
      </c>
      <c r="I254" s="40">
        <v>-6.7981719937363683E-2</v>
      </c>
      <c r="J254" s="40">
        <v>0.52205095029412996</v>
      </c>
    </row>
    <row r="255" spans="1:10" ht="11.25" customHeight="1" x14ac:dyDescent="0.2">
      <c r="A255" s="49">
        <v>44713</v>
      </c>
      <c r="B255" s="39">
        <v>0</v>
      </c>
      <c r="C255" s="39">
        <v>0</v>
      </c>
      <c r="D255" s="39">
        <v>12941.16404</v>
      </c>
      <c r="E255" s="39">
        <v>22197.224525998019</v>
      </c>
      <c r="F255" s="39">
        <v>4237.2458800000004</v>
      </c>
      <c r="G255" s="39">
        <v>3949.1906172800923</v>
      </c>
      <c r="H255" s="40">
        <v>0.71524172457657986</v>
      </c>
      <c r="I255" s="40">
        <v>-6.7981719937363683E-2</v>
      </c>
      <c r="J255" s="40">
        <v>0.52205095029413018</v>
      </c>
    </row>
    <row r="256" spans="1:10" ht="11.25" customHeight="1" x14ac:dyDescent="0.2">
      <c r="A256" s="49">
        <v>44743</v>
      </c>
      <c r="B256" s="39">
        <v>0</v>
      </c>
      <c r="C256" s="39">
        <v>0</v>
      </c>
      <c r="D256" s="39">
        <v>12516.647939999997</v>
      </c>
      <c r="E256" s="39">
        <v>21469.076798523492</v>
      </c>
      <c r="F256" s="39">
        <v>4098.2491799999998</v>
      </c>
      <c r="G256" s="39">
        <v>3819.6431520117098</v>
      </c>
      <c r="H256" s="40">
        <v>0.71524172457658008</v>
      </c>
      <c r="I256" s="40">
        <v>-6.7981719937363572E-2</v>
      </c>
      <c r="J256" s="40">
        <v>0.52205095029413018</v>
      </c>
    </row>
    <row r="257" spans="1:10" ht="11.25" customHeight="1" x14ac:dyDescent="0.2">
      <c r="A257" s="49">
        <v>44774</v>
      </c>
      <c r="B257" s="39">
        <v>0</v>
      </c>
      <c r="C257" s="39">
        <v>0</v>
      </c>
      <c r="D257" s="39">
        <v>18749.261779999997</v>
      </c>
      <c r="E257" s="39">
        <v>32159.516110064953</v>
      </c>
      <c r="F257" s="39">
        <v>6138.9556600000005</v>
      </c>
      <c r="G257" s="39">
        <v>5721.6188956139868</v>
      </c>
      <c r="H257" s="40">
        <v>0.71524172457658008</v>
      </c>
      <c r="I257" s="40">
        <v>-6.7981719937363683E-2</v>
      </c>
      <c r="J257" s="40">
        <v>0.52205095029413018</v>
      </c>
    </row>
    <row r="258" spans="1:10" ht="11.25" customHeight="1" x14ac:dyDescent="0.2">
      <c r="A258" s="49">
        <v>44805</v>
      </c>
      <c r="B258" s="39">
        <v>0</v>
      </c>
      <c r="C258" s="39">
        <v>0</v>
      </c>
      <c r="D258" s="39">
        <v>18766.003260000001</v>
      </c>
      <c r="E258" s="39">
        <v>32188.231795092117</v>
      </c>
      <c r="F258" s="39">
        <v>6144.4372200000007</v>
      </c>
      <c r="G258" s="39">
        <v>5726.7278097372473</v>
      </c>
      <c r="H258" s="40">
        <v>0.71524172457657964</v>
      </c>
      <c r="I258" s="40">
        <v>-6.7981719937363683E-2</v>
      </c>
      <c r="J258" s="40">
        <v>0.52205095029412973</v>
      </c>
    </row>
    <row r="259" spans="1:10" ht="11.25" customHeight="1" x14ac:dyDescent="0.2">
      <c r="A259" s="49">
        <v>44835</v>
      </c>
      <c r="B259" s="39">
        <v>0</v>
      </c>
      <c r="C259" s="39">
        <v>0</v>
      </c>
      <c r="D259" s="39">
        <v>18766.003260000001</v>
      </c>
      <c r="E259" s="39">
        <v>32188.231795092117</v>
      </c>
      <c r="F259" s="39">
        <v>6144.4372200000007</v>
      </c>
      <c r="G259" s="39">
        <v>5726.7278097372473</v>
      </c>
      <c r="H259" s="40">
        <v>0.71524172457657964</v>
      </c>
      <c r="I259" s="40">
        <v>-6.7981719937363683E-2</v>
      </c>
      <c r="J259" s="40">
        <v>0.52205095029412973</v>
      </c>
    </row>
    <row r="260" spans="1:10" ht="11.25" customHeight="1" x14ac:dyDescent="0.2">
      <c r="A260" s="44" t="s">
        <v>46</v>
      </c>
      <c r="B260" s="39">
        <v>179229.15999999997</v>
      </c>
      <c r="C260" s="39">
        <v>308411.94251762686</v>
      </c>
      <c r="D260" s="39">
        <v>208720.46033999999</v>
      </c>
      <c r="E260" s="39">
        <v>359039.23949429212</v>
      </c>
      <c r="F260" s="39">
        <v>265950.65181999997</v>
      </c>
      <c r="G260" s="39">
        <v>249041.12788706529</v>
      </c>
      <c r="H260" s="40">
        <v>0.72045839721911098</v>
      </c>
      <c r="I260" s="40">
        <v>-6.3581434439871964E-2</v>
      </c>
      <c r="J260" s="40">
        <v>0.40157811354256778</v>
      </c>
    </row>
    <row r="261" spans="1:10" ht="11.25" customHeight="1" x14ac:dyDescent="0.2">
      <c r="A261" s="45" t="s">
        <v>25</v>
      </c>
      <c r="B261" s="39">
        <v>179229.15999999997</v>
      </c>
      <c r="C261" s="39">
        <v>308411.94251762686</v>
      </c>
      <c r="D261" s="39">
        <v>208720.46033999999</v>
      </c>
      <c r="E261" s="39">
        <v>359039.23949429212</v>
      </c>
      <c r="F261" s="39">
        <v>265950.65181999997</v>
      </c>
      <c r="G261" s="39">
        <v>249041.12788706529</v>
      </c>
      <c r="H261" s="40">
        <v>0.72045839721911098</v>
      </c>
      <c r="I261" s="40">
        <v>-6.3581434439871964E-2</v>
      </c>
      <c r="J261" s="40">
        <v>0.40157811354256778</v>
      </c>
    </row>
    <row r="262" spans="1:10" ht="11.25" customHeight="1" x14ac:dyDescent="0.2">
      <c r="A262" s="46" t="s">
        <v>25</v>
      </c>
      <c r="B262" s="39">
        <v>179229.15999999997</v>
      </c>
      <c r="C262" s="39">
        <v>308411.94251762686</v>
      </c>
      <c r="D262" s="39">
        <v>208720.46033999999</v>
      </c>
      <c r="E262" s="39">
        <v>359039.23949429212</v>
      </c>
      <c r="F262" s="39">
        <v>265950.65181999997</v>
      </c>
      <c r="G262" s="39">
        <v>249041.12788706529</v>
      </c>
      <c r="H262" s="40">
        <v>0.72045839721911098</v>
      </c>
      <c r="I262" s="40">
        <v>-6.3581434439871964E-2</v>
      </c>
      <c r="J262" s="40">
        <v>0.40157811354256778</v>
      </c>
    </row>
    <row r="263" spans="1:10" ht="11.25" customHeight="1" x14ac:dyDescent="0.2">
      <c r="A263" s="47" t="s">
        <v>25</v>
      </c>
      <c r="B263" s="39">
        <v>179229.15999999997</v>
      </c>
      <c r="C263" s="39">
        <v>308411.94251762686</v>
      </c>
      <c r="D263" s="39">
        <v>208720.46033999999</v>
      </c>
      <c r="E263" s="39">
        <v>359039.23949429212</v>
      </c>
      <c r="F263" s="39">
        <v>265950.65181999997</v>
      </c>
      <c r="G263" s="39">
        <v>249041.12788706529</v>
      </c>
      <c r="H263" s="40">
        <v>0.72045839721911098</v>
      </c>
      <c r="I263" s="40">
        <v>-6.3581434439871964E-2</v>
      </c>
      <c r="J263" s="40">
        <v>0.40157811354256778</v>
      </c>
    </row>
    <row r="264" spans="1:10" ht="11.25" customHeight="1" x14ac:dyDescent="0.2">
      <c r="A264" s="48" t="s">
        <v>35</v>
      </c>
      <c r="B264" s="39">
        <v>0</v>
      </c>
      <c r="C264" s="39">
        <v>0</v>
      </c>
      <c r="D264" s="39">
        <v>78136.916339999996</v>
      </c>
      <c r="E264" s="39">
        <v>135056.89628241045</v>
      </c>
      <c r="F264" s="39">
        <v>223194.48382000002</v>
      </c>
      <c r="G264" s="39">
        <v>209191.59772563621</v>
      </c>
      <c r="H264" s="40">
        <v>0.7284646311703995</v>
      </c>
      <c r="I264" s="40">
        <v>-6.273849539066878E-2</v>
      </c>
      <c r="J264" s="40">
        <v>0.14242489772144151</v>
      </c>
    </row>
    <row r="265" spans="1:10" ht="11.25" customHeight="1" x14ac:dyDescent="0.2">
      <c r="A265" s="49">
        <v>44501</v>
      </c>
      <c r="B265" s="39">
        <v>0</v>
      </c>
      <c r="C265" s="39">
        <v>0</v>
      </c>
      <c r="D265" s="39">
        <v>4954.7470199999989</v>
      </c>
      <c r="E265" s="39">
        <v>8564.1049804669346</v>
      </c>
      <c r="F265" s="39">
        <v>14153.00546</v>
      </c>
      <c r="G265" s="39">
        <v>13265.067192183678</v>
      </c>
      <c r="H265" s="40">
        <v>0.7284646311703995</v>
      </c>
      <c r="I265" s="40">
        <v>-6.2738495390668891E-2</v>
      </c>
      <c r="J265" s="40">
        <v>0.14242489772144129</v>
      </c>
    </row>
    <row r="266" spans="1:10" ht="11.25" customHeight="1" x14ac:dyDescent="0.2">
      <c r="A266" s="49">
        <v>44531</v>
      </c>
      <c r="B266" s="39">
        <v>0</v>
      </c>
      <c r="C266" s="39">
        <v>0</v>
      </c>
      <c r="D266" s="39">
        <v>4197.9110699999992</v>
      </c>
      <c r="E266" s="39">
        <v>7255.9408092936865</v>
      </c>
      <c r="F266" s="39">
        <v>11991.138610000002</v>
      </c>
      <c r="G266" s="39">
        <v>11238.832615587644</v>
      </c>
      <c r="H266" s="40">
        <v>0.72846463117039972</v>
      </c>
      <c r="I266" s="40">
        <v>-6.2738495390669002E-2</v>
      </c>
      <c r="J266" s="40">
        <v>0.14242489772144107</v>
      </c>
    </row>
    <row r="267" spans="1:10" ht="11.25" customHeight="1" x14ac:dyDescent="0.2">
      <c r="A267" s="49">
        <v>44562</v>
      </c>
      <c r="B267" s="39">
        <v>0</v>
      </c>
      <c r="C267" s="39">
        <v>0</v>
      </c>
      <c r="D267" s="39">
        <v>3921.6935699999999</v>
      </c>
      <c r="E267" s="39">
        <v>6778.508630033376</v>
      </c>
      <c r="F267" s="39">
        <v>11202.136109999999</v>
      </c>
      <c r="G267" s="39">
        <v>10499.330945297121</v>
      </c>
      <c r="H267" s="40">
        <v>0.72846463117039928</v>
      </c>
      <c r="I267" s="40">
        <v>-6.273849539066878E-2</v>
      </c>
      <c r="J267" s="40">
        <v>0.14242489772144129</v>
      </c>
    </row>
    <row r="268" spans="1:10" ht="11.25" customHeight="1" x14ac:dyDescent="0.2">
      <c r="A268" s="49">
        <v>44593</v>
      </c>
      <c r="B268" s="39">
        <v>0</v>
      </c>
      <c r="C268" s="39">
        <v>0</v>
      </c>
      <c r="D268" s="39">
        <v>4606.4579999999996</v>
      </c>
      <c r="E268" s="39">
        <v>7962.099727971934</v>
      </c>
      <c r="F268" s="39">
        <v>13158.134</v>
      </c>
      <c r="G268" s="39">
        <v>12332.612470691198</v>
      </c>
      <c r="H268" s="40">
        <v>0.72846463117039928</v>
      </c>
      <c r="I268" s="40">
        <v>-6.273849539066878E-2</v>
      </c>
      <c r="J268" s="40">
        <v>0.14242489772144107</v>
      </c>
    </row>
    <row r="269" spans="1:10" ht="11.25" customHeight="1" x14ac:dyDescent="0.2">
      <c r="A269" s="49">
        <v>44621</v>
      </c>
      <c r="B269" s="39">
        <v>0</v>
      </c>
      <c r="C269" s="39">
        <v>0</v>
      </c>
      <c r="D269" s="39">
        <v>7388.7756300000001</v>
      </c>
      <c r="E269" s="39">
        <v>12771.237344108786</v>
      </c>
      <c r="F269" s="39">
        <v>21105.695490000002</v>
      </c>
      <c r="G269" s="39">
        <v>19781.555910783776</v>
      </c>
      <c r="H269" s="40">
        <v>0.7284646311703995</v>
      </c>
      <c r="I269" s="40">
        <v>-6.2738495390668891E-2</v>
      </c>
      <c r="J269" s="40">
        <v>0.14242489772144107</v>
      </c>
    </row>
    <row r="270" spans="1:10" ht="11.25" customHeight="1" x14ac:dyDescent="0.2">
      <c r="A270" s="49">
        <v>44652</v>
      </c>
      <c r="B270" s="39">
        <v>0</v>
      </c>
      <c r="C270" s="39">
        <v>0</v>
      </c>
      <c r="D270" s="39">
        <v>7651.6496999999999</v>
      </c>
      <c r="E270" s="39">
        <v>13225.605876555597</v>
      </c>
      <c r="F270" s="39">
        <v>21856.583100000003</v>
      </c>
      <c r="G270" s="39">
        <v>20485.33396192488</v>
      </c>
      <c r="H270" s="40">
        <v>0.7284646311703995</v>
      </c>
      <c r="I270" s="40">
        <v>-6.2738495390669002E-2</v>
      </c>
      <c r="J270" s="40">
        <v>0.14242489772144107</v>
      </c>
    </row>
    <row r="271" spans="1:10" ht="11.25" customHeight="1" x14ac:dyDescent="0.2">
      <c r="A271" s="49">
        <v>44682</v>
      </c>
      <c r="B271" s="39">
        <v>0</v>
      </c>
      <c r="C271" s="39">
        <v>0</v>
      </c>
      <c r="D271" s="39">
        <v>7407.6434099999997</v>
      </c>
      <c r="E271" s="39">
        <v>12803.849634507489</v>
      </c>
      <c r="F271" s="39">
        <v>21159.59043</v>
      </c>
      <c r="G271" s="39">
        <v>19832.069563339006</v>
      </c>
      <c r="H271" s="40">
        <v>0.7284646311703995</v>
      </c>
      <c r="I271" s="40">
        <v>-6.273849539066878E-2</v>
      </c>
      <c r="J271" s="40">
        <v>0.14242489772144129</v>
      </c>
    </row>
    <row r="272" spans="1:10" ht="11.25" customHeight="1" x14ac:dyDescent="0.2">
      <c r="A272" s="49">
        <v>44713</v>
      </c>
      <c r="B272" s="39">
        <v>0</v>
      </c>
      <c r="C272" s="39">
        <v>0</v>
      </c>
      <c r="D272" s="39">
        <v>6222.6278400000001</v>
      </c>
      <c r="E272" s="39">
        <v>10755.592134376258</v>
      </c>
      <c r="F272" s="39">
        <v>17774.64832</v>
      </c>
      <c r="G272" s="39">
        <v>16659.493628304925</v>
      </c>
      <c r="H272" s="40">
        <v>0.72846463117039928</v>
      </c>
      <c r="I272" s="40">
        <v>-6.2738495390668558E-2</v>
      </c>
      <c r="J272" s="40">
        <v>0.14242489772144129</v>
      </c>
    </row>
    <row r="273" spans="1:10" ht="11.25" customHeight="1" x14ac:dyDescent="0.2">
      <c r="A273" s="49">
        <v>44743</v>
      </c>
      <c r="B273" s="39">
        <v>0</v>
      </c>
      <c r="C273" s="39">
        <v>0</v>
      </c>
      <c r="D273" s="39">
        <v>4311.2027399999997</v>
      </c>
      <c r="E273" s="39">
        <v>7451.7614538949147</v>
      </c>
      <c r="F273" s="39">
        <v>12314.75102</v>
      </c>
      <c r="G273" s="39">
        <v>11542.142069894497</v>
      </c>
      <c r="H273" s="40">
        <v>0.72846463117039928</v>
      </c>
      <c r="I273" s="40">
        <v>-6.273849539066878E-2</v>
      </c>
      <c r="J273" s="40">
        <v>0.14242489772144129</v>
      </c>
    </row>
    <row r="274" spans="1:10" ht="11.25" customHeight="1" x14ac:dyDescent="0.2">
      <c r="A274" s="49">
        <v>44774</v>
      </c>
      <c r="B274" s="39">
        <v>0</v>
      </c>
      <c r="C274" s="39">
        <v>0</v>
      </c>
      <c r="D274" s="39">
        <v>7645.7003999999997</v>
      </c>
      <c r="E274" s="39">
        <v>13215.322721925375</v>
      </c>
      <c r="F274" s="39">
        <v>21839.589200000002</v>
      </c>
      <c r="G274" s="39">
        <v>20469.406233641701</v>
      </c>
      <c r="H274" s="40">
        <v>0.7284646311703995</v>
      </c>
      <c r="I274" s="40">
        <v>-6.2738495390668891E-2</v>
      </c>
      <c r="J274" s="40">
        <v>0.14242489772144107</v>
      </c>
    </row>
    <row r="275" spans="1:10" ht="11.25" customHeight="1" x14ac:dyDescent="0.2">
      <c r="A275" s="49">
        <v>44805</v>
      </c>
      <c r="B275" s="39">
        <v>0</v>
      </c>
      <c r="C275" s="39">
        <v>0</v>
      </c>
      <c r="D275" s="39">
        <v>9914.2534799999994</v>
      </c>
      <c r="E275" s="39">
        <v>17136.436484638049</v>
      </c>
      <c r="F275" s="39">
        <v>28319.606040000002</v>
      </c>
      <c r="G275" s="39">
        <v>26542.876566993902</v>
      </c>
      <c r="H275" s="40">
        <v>0.7284646311703995</v>
      </c>
      <c r="I275" s="40">
        <v>-6.2738495390668891E-2</v>
      </c>
      <c r="J275" s="40">
        <v>0.14242489772144129</v>
      </c>
    </row>
    <row r="276" spans="1:10" ht="11.25" customHeight="1" x14ac:dyDescent="0.2">
      <c r="A276" s="49">
        <v>44835</v>
      </c>
      <c r="B276" s="39">
        <v>0</v>
      </c>
      <c r="C276" s="39">
        <v>0</v>
      </c>
      <c r="D276" s="39">
        <v>9914.2534799999994</v>
      </c>
      <c r="E276" s="39">
        <v>17136.436484638049</v>
      </c>
      <c r="F276" s="39">
        <v>28319.606040000002</v>
      </c>
      <c r="G276" s="39">
        <v>26542.876566993902</v>
      </c>
      <c r="H276" s="40">
        <v>0.7284646311703995</v>
      </c>
      <c r="I276" s="40">
        <v>-6.2738495390668891E-2</v>
      </c>
      <c r="J276" s="40">
        <v>0.14242489772144129</v>
      </c>
    </row>
    <row r="277" spans="1:10" ht="11.25" customHeight="1" x14ac:dyDescent="0.2">
      <c r="A277" s="48" t="s">
        <v>25</v>
      </c>
      <c r="B277" s="39">
        <v>179229.15999999997</v>
      </c>
      <c r="C277" s="39">
        <v>308411.94251762686</v>
      </c>
      <c r="D277" s="39">
        <v>0</v>
      </c>
      <c r="E277" s="39">
        <v>0</v>
      </c>
      <c r="F277" s="39">
        <v>0</v>
      </c>
      <c r="G277" s="39">
        <v>0</v>
      </c>
      <c r="H277" s="40">
        <v>0.72076877734419353</v>
      </c>
      <c r="I277" s="40">
        <v>0</v>
      </c>
      <c r="J277" s="40">
        <v>0.72076877734419353</v>
      </c>
    </row>
    <row r="278" spans="1:10" ht="11.25" customHeight="1" x14ac:dyDescent="0.2">
      <c r="A278" s="49">
        <v>44501</v>
      </c>
      <c r="B278" s="39">
        <v>13527.800000000001</v>
      </c>
      <c r="C278" s="39">
        <v>23278.215866156781</v>
      </c>
      <c r="D278" s="39">
        <v>0</v>
      </c>
      <c r="E278" s="39">
        <v>0</v>
      </c>
      <c r="F278" s="39">
        <v>0</v>
      </c>
      <c r="G278" s="39">
        <v>0</v>
      </c>
      <c r="H278" s="40">
        <v>0.72076877734419331</v>
      </c>
      <c r="I278" s="40">
        <v>0</v>
      </c>
      <c r="J278" s="40">
        <v>0.72076877734419331</v>
      </c>
    </row>
    <row r="279" spans="1:10" ht="11.25" customHeight="1" x14ac:dyDescent="0.2">
      <c r="A279" s="49">
        <v>44531</v>
      </c>
      <c r="B279" s="39">
        <v>13471.04</v>
      </c>
      <c r="C279" s="39">
        <v>23180.545030354726</v>
      </c>
      <c r="D279" s="39">
        <v>0</v>
      </c>
      <c r="E279" s="39">
        <v>0</v>
      </c>
      <c r="F279" s="39">
        <v>0</v>
      </c>
      <c r="G279" s="39">
        <v>0</v>
      </c>
      <c r="H279" s="40">
        <v>0.72076877734419353</v>
      </c>
      <c r="I279" s="40">
        <v>0</v>
      </c>
      <c r="J279" s="40">
        <v>0.72076877734419353</v>
      </c>
    </row>
    <row r="280" spans="1:10" ht="11.25" customHeight="1" x14ac:dyDescent="0.2">
      <c r="A280" s="49">
        <v>44562</v>
      </c>
      <c r="B280" s="39">
        <v>13452.12</v>
      </c>
      <c r="C280" s="39">
        <v>23147.988085087374</v>
      </c>
      <c r="D280" s="39">
        <v>0</v>
      </c>
      <c r="E280" s="39">
        <v>0</v>
      </c>
      <c r="F280" s="39">
        <v>0</v>
      </c>
      <c r="G280" s="39">
        <v>0</v>
      </c>
      <c r="H280" s="40">
        <v>0.72076877734419353</v>
      </c>
      <c r="I280" s="40">
        <v>0</v>
      </c>
      <c r="J280" s="40">
        <v>0.72076877734419353</v>
      </c>
    </row>
    <row r="281" spans="1:10" ht="11.25" customHeight="1" x14ac:dyDescent="0.2">
      <c r="A281" s="49">
        <v>44593</v>
      </c>
      <c r="B281" s="39">
        <v>13433.2</v>
      </c>
      <c r="C281" s="39">
        <v>23115.431139820023</v>
      </c>
      <c r="D281" s="39">
        <v>0</v>
      </c>
      <c r="E281" s="39">
        <v>0</v>
      </c>
      <c r="F281" s="39">
        <v>0</v>
      </c>
      <c r="G281" s="39">
        <v>0</v>
      </c>
      <c r="H281" s="40">
        <v>0.72076877734419353</v>
      </c>
      <c r="I281" s="40">
        <v>0</v>
      </c>
      <c r="J281" s="40">
        <v>0.72076877734419353</v>
      </c>
    </row>
    <row r="282" spans="1:10" ht="11.25" customHeight="1" x14ac:dyDescent="0.2">
      <c r="A282" s="49">
        <v>44621</v>
      </c>
      <c r="B282" s="39">
        <v>13471.04</v>
      </c>
      <c r="C282" s="39">
        <v>23180.545030354726</v>
      </c>
      <c r="D282" s="39">
        <v>0</v>
      </c>
      <c r="E282" s="39">
        <v>0</v>
      </c>
      <c r="F282" s="39">
        <v>0</v>
      </c>
      <c r="G282" s="39">
        <v>0</v>
      </c>
      <c r="H282" s="40">
        <v>0.72076877734419353</v>
      </c>
      <c r="I282" s="40">
        <v>0</v>
      </c>
      <c r="J282" s="40">
        <v>0.72076877734419353</v>
      </c>
    </row>
    <row r="283" spans="1:10" ht="11.25" customHeight="1" x14ac:dyDescent="0.2">
      <c r="A283" s="49">
        <v>44652</v>
      </c>
      <c r="B283" s="39">
        <v>13906.2</v>
      </c>
      <c r="C283" s="39">
        <v>23929.354771503822</v>
      </c>
      <c r="D283" s="39">
        <v>0</v>
      </c>
      <c r="E283" s="39">
        <v>0</v>
      </c>
      <c r="F283" s="39">
        <v>0</v>
      </c>
      <c r="G283" s="39">
        <v>0</v>
      </c>
      <c r="H283" s="40">
        <v>0.72076877734419331</v>
      </c>
      <c r="I283" s="40">
        <v>0</v>
      </c>
      <c r="J283" s="40">
        <v>0.72076877734419331</v>
      </c>
    </row>
    <row r="284" spans="1:10" ht="11.25" customHeight="1" x14ac:dyDescent="0.2">
      <c r="A284" s="49">
        <v>44682</v>
      </c>
      <c r="B284" s="39">
        <v>14681.920000000002</v>
      </c>
      <c r="C284" s="39">
        <v>25264.189527465263</v>
      </c>
      <c r="D284" s="39">
        <v>0</v>
      </c>
      <c r="E284" s="39">
        <v>0</v>
      </c>
      <c r="F284" s="39">
        <v>0</v>
      </c>
      <c r="G284" s="39">
        <v>0</v>
      </c>
      <c r="H284" s="40">
        <v>0.72076877734419331</v>
      </c>
      <c r="I284" s="40">
        <v>0</v>
      </c>
      <c r="J284" s="40">
        <v>0.72076877734419331</v>
      </c>
    </row>
    <row r="285" spans="1:10" ht="11.25" customHeight="1" x14ac:dyDescent="0.2">
      <c r="A285" s="49">
        <v>44713</v>
      </c>
      <c r="B285" s="39">
        <v>14398.120000000003</v>
      </c>
      <c r="C285" s="39">
        <v>24775.835348454981</v>
      </c>
      <c r="D285" s="39">
        <v>0</v>
      </c>
      <c r="E285" s="39">
        <v>0</v>
      </c>
      <c r="F285" s="39">
        <v>0</v>
      </c>
      <c r="G285" s="39">
        <v>0</v>
      </c>
      <c r="H285" s="40">
        <v>0.72076877734419331</v>
      </c>
      <c r="I285" s="40">
        <v>0</v>
      </c>
      <c r="J285" s="40">
        <v>0.72076877734419331</v>
      </c>
    </row>
    <row r="286" spans="1:10" ht="11.25" customHeight="1" x14ac:dyDescent="0.2">
      <c r="A286" s="49">
        <v>44743</v>
      </c>
      <c r="B286" s="39">
        <v>16498.240000000002</v>
      </c>
      <c r="C286" s="39">
        <v>28389.65627313107</v>
      </c>
      <c r="D286" s="39">
        <v>0</v>
      </c>
      <c r="E286" s="39">
        <v>0</v>
      </c>
      <c r="F286" s="39">
        <v>0</v>
      </c>
      <c r="G286" s="39">
        <v>0</v>
      </c>
      <c r="H286" s="40">
        <v>0.72076877734419353</v>
      </c>
      <c r="I286" s="40">
        <v>0</v>
      </c>
      <c r="J286" s="40">
        <v>0.72076877734419353</v>
      </c>
    </row>
    <row r="287" spans="1:10" ht="11.25" customHeight="1" x14ac:dyDescent="0.2">
      <c r="A287" s="49">
        <v>44774</v>
      </c>
      <c r="B287" s="39">
        <v>17084.760000000002</v>
      </c>
      <c r="C287" s="39">
        <v>29398.921576418987</v>
      </c>
      <c r="D287" s="39">
        <v>0</v>
      </c>
      <c r="E287" s="39">
        <v>0</v>
      </c>
      <c r="F287" s="39">
        <v>0</v>
      </c>
      <c r="G287" s="39">
        <v>0</v>
      </c>
      <c r="H287" s="40">
        <v>0.72076877734419353</v>
      </c>
      <c r="I287" s="40">
        <v>0</v>
      </c>
      <c r="J287" s="40">
        <v>0.72076877734419353</v>
      </c>
    </row>
    <row r="288" spans="1:10" ht="11.25" customHeight="1" x14ac:dyDescent="0.2">
      <c r="A288" s="49">
        <v>44805</v>
      </c>
      <c r="B288" s="39">
        <v>17652.36</v>
      </c>
      <c r="C288" s="39">
        <v>30375.629934439545</v>
      </c>
      <c r="D288" s="39">
        <v>0</v>
      </c>
      <c r="E288" s="39">
        <v>0</v>
      </c>
      <c r="F288" s="39">
        <v>0</v>
      </c>
      <c r="G288" s="39">
        <v>0</v>
      </c>
      <c r="H288" s="40">
        <v>0.72076877734419331</v>
      </c>
      <c r="I288" s="40">
        <v>0</v>
      </c>
      <c r="J288" s="40">
        <v>0.72076877734419331</v>
      </c>
    </row>
    <row r="289" spans="1:10" ht="11.25" customHeight="1" x14ac:dyDescent="0.2">
      <c r="A289" s="49">
        <v>44835</v>
      </c>
      <c r="B289" s="39">
        <v>17652.36</v>
      </c>
      <c r="C289" s="39">
        <v>30375.629934439545</v>
      </c>
      <c r="D289" s="39">
        <v>0</v>
      </c>
      <c r="E289" s="39">
        <v>0</v>
      </c>
      <c r="F289" s="39">
        <v>0</v>
      </c>
      <c r="G289" s="39">
        <v>0</v>
      </c>
      <c r="H289" s="40">
        <v>0.72076877734419331</v>
      </c>
      <c r="I289" s="40">
        <v>0</v>
      </c>
      <c r="J289" s="40">
        <v>0.72076877734419331</v>
      </c>
    </row>
    <row r="290" spans="1:10" ht="11.25" customHeight="1" x14ac:dyDescent="0.2">
      <c r="A290" s="48" t="s">
        <v>34</v>
      </c>
      <c r="B290" s="39">
        <v>0</v>
      </c>
      <c r="C290" s="39">
        <v>0</v>
      </c>
      <c r="D290" s="39">
        <v>130583.54399999999</v>
      </c>
      <c r="E290" s="39">
        <v>223982.3432118817</v>
      </c>
      <c r="F290" s="39">
        <v>42756.168000000005</v>
      </c>
      <c r="G290" s="39">
        <v>39849.530161429131</v>
      </c>
      <c r="H290" s="40">
        <v>0.71524172457657986</v>
      </c>
      <c r="I290" s="40">
        <v>-6.7981719937363572E-2</v>
      </c>
      <c r="J290" s="40">
        <v>0.52205095029413018</v>
      </c>
    </row>
    <row r="291" spans="1:10" ht="11.25" customHeight="1" x14ac:dyDescent="0.2">
      <c r="A291" s="49">
        <v>44501</v>
      </c>
      <c r="B291" s="39">
        <v>0</v>
      </c>
      <c r="C291" s="39">
        <v>0</v>
      </c>
      <c r="D291" s="39">
        <v>7954.5946399999993</v>
      </c>
      <c r="E291" s="39">
        <v>13644.052628621217</v>
      </c>
      <c r="F291" s="39">
        <v>2604.5240800000001</v>
      </c>
      <c r="G291" s="39">
        <v>2427.4640534233204</v>
      </c>
      <c r="H291" s="40">
        <v>0.71524172457657986</v>
      </c>
      <c r="I291" s="40">
        <v>-6.7981719937363683E-2</v>
      </c>
      <c r="J291" s="40">
        <v>0.52205095029413018</v>
      </c>
    </row>
    <row r="292" spans="1:10" ht="11.25" customHeight="1" x14ac:dyDescent="0.2">
      <c r="A292" s="49">
        <v>44531</v>
      </c>
      <c r="B292" s="39">
        <v>0</v>
      </c>
      <c r="C292" s="39">
        <v>0</v>
      </c>
      <c r="D292" s="39">
        <v>8843.0888999999988</v>
      </c>
      <c r="E292" s="39">
        <v>15168.035055420009</v>
      </c>
      <c r="F292" s="39">
        <v>2895.4382999999998</v>
      </c>
      <c r="G292" s="39">
        <v>2698.6014243934837</v>
      </c>
      <c r="H292" s="40">
        <v>0.71524172457657986</v>
      </c>
      <c r="I292" s="40">
        <v>-6.7981719937363572E-2</v>
      </c>
      <c r="J292" s="40">
        <v>0.52205095029413018</v>
      </c>
    </row>
    <row r="293" spans="1:10" ht="11.25" customHeight="1" x14ac:dyDescent="0.2">
      <c r="A293" s="49">
        <v>44562</v>
      </c>
      <c r="B293" s="39">
        <v>0</v>
      </c>
      <c r="C293" s="39">
        <v>0</v>
      </c>
      <c r="D293" s="39">
        <v>6642.7800999999999</v>
      </c>
      <c r="E293" s="39">
        <v>11393.973594706984</v>
      </c>
      <c r="F293" s="39">
        <v>2175.0047</v>
      </c>
      <c r="G293" s="39">
        <v>2027.1441396221503</v>
      </c>
      <c r="H293" s="40">
        <v>0.71524172457657964</v>
      </c>
      <c r="I293" s="40">
        <v>-6.7981719937363683E-2</v>
      </c>
      <c r="J293" s="40">
        <v>0.52205095029412996</v>
      </c>
    </row>
    <row r="294" spans="1:10" ht="11.25" customHeight="1" x14ac:dyDescent="0.2">
      <c r="A294" s="49">
        <v>44593</v>
      </c>
      <c r="B294" s="39">
        <v>0</v>
      </c>
      <c r="C294" s="39">
        <v>0</v>
      </c>
      <c r="D294" s="39">
        <v>7436.80458</v>
      </c>
      <c r="E294" s="39">
        <v>12755.917513138207</v>
      </c>
      <c r="F294" s="39">
        <v>2434.9872599999999</v>
      </c>
      <c r="G294" s="39">
        <v>2269.4526380396319</v>
      </c>
      <c r="H294" s="40">
        <v>0.71524172457657986</v>
      </c>
      <c r="I294" s="40">
        <v>-6.7981719937363461E-2</v>
      </c>
      <c r="J294" s="40">
        <v>0.52205095029412996</v>
      </c>
    </row>
    <row r="295" spans="1:10" ht="11.25" customHeight="1" x14ac:dyDescent="0.2">
      <c r="A295" s="49">
        <v>44621</v>
      </c>
      <c r="B295" s="39">
        <v>0</v>
      </c>
      <c r="C295" s="39">
        <v>0</v>
      </c>
      <c r="D295" s="39">
        <v>12661.34216</v>
      </c>
      <c r="E295" s="39">
        <v>21717.262361972556</v>
      </c>
      <c r="F295" s="39">
        <v>4145.6255200000005</v>
      </c>
      <c r="G295" s="39">
        <v>3863.7987669341728</v>
      </c>
      <c r="H295" s="40">
        <v>0.71524172457657964</v>
      </c>
      <c r="I295" s="40">
        <v>-6.7981719937363683E-2</v>
      </c>
      <c r="J295" s="40">
        <v>0.52205095029412996</v>
      </c>
    </row>
    <row r="296" spans="1:10" ht="11.25" customHeight="1" x14ac:dyDescent="0.2">
      <c r="A296" s="49">
        <v>44652</v>
      </c>
      <c r="B296" s="39">
        <v>0</v>
      </c>
      <c r="C296" s="39">
        <v>0</v>
      </c>
      <c r="D296" s="39">
        <v>12248.78426</v>
      </c>
      <c r="E296" s="39">
        <v>21009.625838088865</v>
      </c>
      <c r="F296" s="39">
        <v>4010.5442200000002</v>
      </c>
      <c r="G296" s="39">
        <v>3737.9005260395479</v>
      </c>
      <c r="H296" s="40">
        <v>0.71524172457657964</v>
      </c>
      <c r="I296" s="40">
        <v>-6.7981719937363572E-2</v>
      </c>
      <c r="J296" s="40">
        <v>0.52205095029412996</v>
      </c>
    </row>
    <row r="297" spans="1:10" ht="11.25" customHeight="1" x14ac:dyDescent="0.2">
      <c r="A297" s="49">
        <v>44682</v>
      </c>
      <c r="B297" s="39">
        <v>0</v>
      </c>
      <c r="C297" s="39">
        <v>0</v>
      </c>
      <c r="D297" s="39">
        <v>12751.02866</v>
      </c>
      <c r="E297" s="39">
        <v>21871.096388903796</v>
      </c>
      <c r="F297" s="39">
        <v>4174.9910200000004</v>
      </c>
      <c r="G297" s="39">
        <v>3891.167949737352</v>
      </c>
      <c r="H297" s="40">
        <v>0.71524172457657986</v>
      </c>
      <c r="I297" s="40">
        <v>-6.7981719937363683E-2</v>
      </c>
      <c r="J297" s="40">
        <v>0.52205095029412996</v>
      </c>
    </row>
    <row r="298" spans="1:10" ht="11.25" customHeight="1" x14ac:dyDescent="0.2">
      <c r="A298" s="49">
        <v>44713</v>
      </c>
      <c r="B298" s="39">
        <v>0</v>
      </c>
      <c r="C298" s="39">
        <v>0</v>
      </c>
      <c r="D298" s="39">
        <v>11296.911540000001</v>
      </c>
      <c r="E298" s="39">
        <v>19376.934032258665</v>
      </c>
      <c r="F298" s="39">
        <v>3698.8783800000001</v>
      </c>
      <c r="G298" s="39">
        <v>3447.422265888471</v>
      </c>
      <c r="H298" s="40">
        <v>0.71524172457657964</v>
      </c>
      <c r="I298" s="40">
        <v>-6.7981719937363572E-2</v>
      </c>
      <c r="J298" s="40">
        <v>0.52205095029412996</v>
      </c>
    </row>
    <row r="299" spans="1:10" ht="11.25" customHeight="1" x14ac:dyDescent="0.2">
      <c r="A299" s="49">
        <v>44743</v>
      </c>
      <c r="B299" s="39">
        <v>0</v>
      </c>
      <c r="C299" s="39">
        <v>0</v>
      </c>
      <c r="D299" s="39">
        <v>7916.3284000000003</v>
      </c>
      <c r="E299" s="39">
        <v>13578.416777130557</v>
      </c>
      <c r="F299" s="39">
        <v>2591.9948000000004</v>
      </c>
      <c r="G299" s="39">
        <v>2415.7865354272972</v>
      </c>
      <c r="H299" s="40">
        <v>0.71524172457657964</v>
      </c>
      <c r="I299" s="40">
        <v>-6.7981719937363794E-2</v>
      </c>
      <c r="J299" s="40">
        <v>0.52205095029412996</v>
      </c>
    </row>
    <row r="300" spans="1:10" ht="11.25" customHeight="1" x14ac:dyDescent="0.2">
      <c r="A300" s="49">
        <v>44774</v>
      </c>
      <c r="B300" s="39">
        <v>0</v>
      </c>
      <c r="C300" s="39">
        <v>0</v>
      </c>
      <c r="D300" s="39">
        <v>13115.75376</v>
      </c>
      <c r="E300" s="39">
        <v>22496.688098424158</v>
      </c>
      <c r="F300" s="39">
        <v>4294.4107199999999</v>
      </c>
      <c r="G300" s="39">
        <v>4002.4692931369477</v>
      </c>
      <c r="H300" s="40">
        <v>0.71524172457657964</v>
      </c>
      <c r="I300" s="40">
        <v>-6.7981719937363683E-2</v>
      </c>
      <c r="J300" s="40">
        <v>0.52205095029412996</v>
      </c>
    </row>
    <row r="301" spans="1:10" ht="11.25" customHeight="1" x14ac:dyDescent="0.2">
      <c r="A301" s="49">
        <v>44805</v>
      </c>
      <c r="B301" s="39">
        <v>0</v>
      </c>
      <c r="C301" s="39">
        <v>0</v>
      </c>
      <c r="D301" s="39">
        <v>14858.0635</v>
      </c>
      <c r="E301" s="39">
        <v>25485.17046160833</v>
      </c>
      <c r="F301" s="39">
        <v>4864.8845000000001</v>
      </c>
      <c r="G301" s="39">
        <v>4534.161284393379</v>
      </c>
      <c r="H301" s="40">
        <v>0.71524172457657964</v>
      </c>
      <c r="I301" s="40">
        <v>-6.7981719937363572E-2</v>
      </c>
      <c r="J301" s="40">
        <v>0.52205095029412996</v>
      </c>
    </row>
    <row r="302" spans="1:10" ht="11.25" customHeight="1" x14ac:dyDescent="0.2">
      <c r="A302" s="49">
        <v>44835</v>
      </c>
      <c r="B302" s="39">
        <v>0</v>
      </c>
      <c r="C302" s="39">
        <v>0</v>
      </c>
      <c r="D302" s="39">
        <v>14858.0635</v>
      </c>
      <c r="E302" s="39">
        <v>25485.17046160833</v>
      </c>
      <c r="F302" s="39">
        <v>4864.8845000000001</v>
      </c>
      <c r="G302" s="39">
        <v>4534.161284393379</v>
      </c>
      <c r="H302" s="40">
        <v>0.71524172457657964</v>
      </c>
      <c r="I302" s="40">
        <v>-6.7981719937363572E-2</v>
      </c>
      <c r="J302" s="40">
        <v>0.52205095029412996</v>
      </c>
    </row>
    <row r="303" spans="1:10" ht="11.25" customHeight="1" x14ac:dyDescent="0.2">
      <c r="A303" s="44" t="s">
        <v>44</v>
      </c>
      <c r="B303" s="39">
        <v>245239.52640000006</v>
      </c>
      <c r="C303" s="39">
        <v>422000.51999979693</v>
      </c>
      <c r="D303" s="39">
        <v>127169.27526240003</v>
      </c>
      <c r="E303" s="39">
        <v>219396.55780093942</v>
      </c>
      <c r="F303" s="39">
        <v>284637.75507360004</v>
      </c>
      <c r="G303" s="39">
        <v>266726.64486430289</v>
      </c>
      <c r="H303" s="40">
        <v>0.72229301492767162</v>
      </c>
      <c r="I303" s="40">
        <v>-6.2925981848984902E-2</v>
      </c>
      <c r="J303" s="40">
        <v>0.38212994704106062</v>
      </c>
    </row>
    <row r="304" spans="1:10" ht="11.25" customHeight="1" x14ac:dyDescent="0.2">
      <c r="A304" s="45" t="s">
        <v>53</v>
      </c>
      <c r="B304" s="39">
        <v>234359.76960000003</v>
      </c>
      <c r="C304" s="39">
        <v>403278.97419325879</v>
      </c>
      <c r="D304" s="39">
        <v>93317.791166400013</v>
      </c>
      <c r="E304" s="39">
        <v>161167.61042372536</v>
      </c>
      <c r="F304" s="39">
        <v>241906.081512</v>
      </c>
      <c r="G304" s="39">
        <v>226712.52374316406</v>
      </c>
      <c r="H304" s="40">
        <v>0.72256709704750177</v>
      </c>
      <c r="I304" s="40">
        <v>-6.280767177852975E-2</v>
      </c>
      <c r="J304" s="40">
        <v>0.38901304327389186</v>
      </c>
    </row>
    <row r="305" spans="1:10" ht="11.25" customHeight="1" x14ac:dyDescent="0.2">
      <c r="A305" s="46" t="s">
        <v>55</v>
      </c>
      <c r="B305" s="39">
        <v>0</v>
      </c>
      <c r="C305" s="39">
        <v>0</v>
      </c>
      <c r="D305" s="39">
        <v>18284.204664000001</v>
      </c>
      <c r="E305" s="39">
        <v>31603.601070804852</v>
      </c>
      <c r="F305" s="39">
        <v>52227.984071999992</v>
      </c>
      <c r="G305" s="39">
        <v>48951.278934034912</v>
      </c>
      <c r="H305" s="40">
        <v>0.72846463117039906</v>
      </c>
      <c r="I305" s="40">
        <v>-6.2738495390668558E-2</v>
      </c>
      <c r="J305" s="40">
        <v>0.14242489772144129</v>
      </c>
    </row>
    <row r="306" spans="1:10" ht="11.25" customHeight="1" x14ac:dyDescent="0.2">
      <c r="A306" s="47" t="s">
        <v>25</v>
      </c>
      <c r="B306" s="39">
        <v>0</v>
      </c>
      <c r="C306" s="39">
        <v>0</v>
      </c>
      <c r="D306" s="39">
        <v>18284.204664000001</v>
      </c>
      <c r="E306" s="39">
        <v>31603.601070804852</v>
      </c>
      <c r="F306" s="39">
        <v>52227.984071999992</v>
      </c>
      <c r="G306" s="39">
        <v>48951.278934034912</v>
      </c>
      <c r="H306" s="40">
        <v>0.72846463117039906</v>
      </c>
      <c r="I306" s="40">
        <v>-6.2738495390668558E-2</v>
      </c>
      <c r="J306" s="40">
        <v>0.14242489772144129</v>
      </c>
    </row>
    <row r="307" spans="1:10" ht="11.25" customHeight="1" x14ac:dyDescent="0.2">
      <c r="A307" s="48" t="s">
        <v>35</v>
      </c>
      <c r="B307" s="39">
        <v>0</v>
      </c>
      <c r="C307" s="39">
        <v>0</v>
      </c>
      <c r="D307" s="39">
        <v>18284.204664000001</v>
      </c>
      <c r="E307" s="39">
        <v>31603.601070804852</v>
      </c>
      <c r="F307" s="39">
        <v>52227.984071999992</v>
      </c>
      <c r="G307" s="39">
        <v>48951.278934034912</v>
      </c>
      <c r="H307" s="40">
        <v>0.72846463117039906</v>
      </c>
      <c r="I307" s="40">
        <v>-6.2738495390668558E-2</v>
      </c>
      <c r="J307" s="40">
        <v>0.14242489772144129</v>
      </c>
    </row>
    <row r="308" spans="1:10" ht="11.25" customHeight="1" x14ac:dyDescent="0.2">
      <c r="A308" s="49">
        <v>44501</v>
      </c>
      <c r="B308" s="39">
        <v>0</v>
      </c>
      <c r="C308" s="39">
        <v>0</v>
      </c>
      <c r="D308" s="39">
        <v>180.48476400000001</v>
      </c>
      <c r="E308" s="39">
        <v>311.96153103913656</v>
      </c>
      <c r="F308" s="39">
        <v>515.54637200000002</v>
      </c>
      <c r="G308" s="39">
        <v>483.20176831660206</v>
      </c>
      <c r="H308" s="40">
        <v>0.72846463117039928</v>
      </c>
      <c r="I308" s="40">
        <v>-6.2738495390668669E-2</v>
      </c>
      <c r="J308" s="40">
        <v>0.14242489772144129</v>
      </c>
    </row>
    <row r="309" spans="1:10" ht="11.25" customHeight="1" x14ac:dyDescent="0.2">
      <c r="A309" s="49">
        <v>44531</v>
      </c>
      <c r="B309" s="39">
        <v>0</v>
      </c>
      <c r="C309" s="39">
        <v>0</v>
      </c>
      <c r="D309" s="39">
        <v>30.970355999999999</v>
      </c>
      <c r="E309" s="39">
        <v>53.531164960755959</v>
      </c>
      <c r="F309" s="39">
        <v>88.465388000000004</v>
      </c>
      <c r="G309" s="39">
        <v>82.915202662728277</v>
      </c>
      <c r="H309" s="40">
        <v>0.72846463117039928</v>
      </c>
      <c r="I309" s="40">
        <v>-6.273849539066878E-2</v>
      </c>
      <c r="J309" s="40">
        <v>0.14242489772144129</v>
      </c>
    </row>
    <row r="310" spans="1:10" ht="11.25" customHeight="1" x14ac:dyDescent="0.2">
      <c r="A310" s="49">
        <v>44562</v>
      </c>
      <c r="B310" s="39">
        <v>0</v>
      </c>
      <c r="C310" s="39">
        <v>0</v>
      </c>
      <c r="D310" s="39">
        <v>172.07075399999999</v>
      </c>
      <c r="E310" s="39">
        <v>297.41821234782248</v>
      </c>
      <c r="F310" s="39">
        <v>491.51214199999998</v>
      </c>
      <c r="G310" s="39">
        <v>460.67540974467528</v>
      </c>
      <c r="H310" s="40">
        <v>0.72846463117039906</v>
      </c>
      <c r="I310" s="40">
        <v>-6.2738495390668669E-2</v>
      </c>
      <c r="J310" s="40">
        <v>0.14242489772144129</v>
      </c>
    </row>
    <row r="311" spans="1:10" ht="11.25" customHeight="1" x14ac:dyDescent="0.2">
      <c r="A311" s="49">
        <v>44593</v>
      </c>
      <c r="B311" s="39">
        <v>0</v>
      </c>
      <c r="C311" s="39">
        <v>0</v>
      </c>
      <c r="D311" s="39">
        <v>36.545699999999997</v>
      </c>
      <c r="E311" s="39">
        <v>63.167949871364058</v>
      </c>
      <c r="F311" s="39">
        <v>104.39110000000001</v>
      </c>
      <c r="G311" s="39">
        <v>97.841759453823158</v>
      </c>
      <c r="H311" s="40">
        <v>0.72846463117039928</v>
      </c>
      <c r="I311" s="40">
        <v>-6.2738495390668891E-2</v>
      </c>
      <c r="J311" s="40">
        <v>0.14242489772144107</v>
      </c>
    </row>
    <row r="312" spans="1:10" ht="11.25" customHeight="1" x14ac:dyDescent="0.2">
      <c r="A312" s="49">
        <v>44621</v>
      </c>
      <c r="B312" s="39">
        <v>0</v>
      </c>
      <c r="C312" s="39">
        <v>0</v>
      </c>
      <c r="D312" s="39">
        <v>527.82189599999992</v>
      </c>
      <c r="E312" s="39">
        <v>912.3214787933008</v>
      </c>
      <c r="F312" s="39">
        <v>1507.6988080000001</v>
      </c>
      <c r="G312" s="39">
        <v>1413.1080532837752</v>
      </c>
      <c r="H312" s="40">
        <v>0.7284646311703995</v>
      </c>
      <c r="I312" s="40">
        <v>-6.273849539066878E-2</v>
      </c>
      <c r="J312" s="40">
        <v>0.14242489772144129</v>
      </c>
    </row>
    <row r="313" spans="1:10" ht="11.25" customHeight="1" x14ac:dyDescent="0.2">
      <c r="A313" s="49">
        <v>44652</v>
      </c>
      <c r="B313" s="39">
        <v>0</v>
      </c>
      <c r="C313" s="39">
        <v>0</v>
      </c>
      <c r="D313" s="39">
        <v>2515.5510179999997</v>
      </c>
      <c r="E313" s="39">
        <v>4348.0409625176917</v>
      </c>
      <c r="F313" s="39">
        <v>7185.5550139999996</v>
      </c>
      <c r="G313" s="39">
        <v>6734.7441038747638</v>
      </c>
      <c r="H313" s="40">
        <v>0.72846463117039928</v>
      </c>
      <c r="I313" s="40">
        <v>-6.273849539066878E-2</v>
      </c>
      <c r="J313" s="40">
        <v>0.14242489772144107</v>
      </c>
    </row>
    <row r="314" spans="1:10" ht="11.25" customHeight="1" x14ac:dyDescent="0.2">
      <c r="A314" s="49">
        <v>44682</v>
      </c>
      <c r="B314" s="39">
        <v>0</v>
      </c>
      <c r="C314" s="39">
        <v>0</v>
      </c>
      <c r="D314" s="39">
        <v>3089.9644319999998</v>
      </c>
      <c r="E314" s="39">
        <v>5340.8942322865323</v>
      </c>
      <c r="F314" s="39">
        <v>8826.3403360000011</v>
      </c>
      <c r="G314" s="39">
        <v>8272.5890235133902</v>
      </c>
      <c r="H314" s="40">
        <v>0.7284646311703995</v>
      </c>
      <c r="I314" s="40">
        <v>-6.2738495390668891E-2</v>
      </c>
      <c r="J314" s="40">
        <v>0.14242489772144107</v>
      </c>
    </row>
    <row r="315" spans="1:10" ht="11.25" customHeight="1" x14ac:dyDescent="0.2">
      <c r="A315" s="49">
        <v>44713</v>
      </c>
      <c r="B315" s="39">
        <v>0</v>
      </c>
      <c r="C315" s="39">
        <v>0</v>
      </c>
      <c r="D315" s="39">
        <v>2236.9028039999998</v>
      </c>
      <c r="E315" s="39">
        <v>3866.4073800798919</v>
      </c>
      <c r="F315" s="39">
        <v>6389.609292000001</v>
      </c>
      <c r="G315" s="39">
        <v>5988.734818885684</v>
      </c>
      <c r="H315" s="40">
        <v>0.7284646311703995</v>
      </c>
      <c r="I315" s="40">
        <v>-6.2738495390668891E-2</v>
      </c>
      <c r="J315" s="40">
        <v>0.14242489772144107</v>
      </c>
    </row>
    <row r="316" spans="1:10" ht="11.25" customHeight="1" x14ac:dyDescent="0.2">
      <c r="A316" s="49">
        <v>44743</v>
      </c>
      <c r="B316" s="39">
        <v>0</v>
      </c>
      <c r="C316" s="39">
        <v>0</v>
      </c>
      <c r="D316" s="39">
        <v>2493.980556</v>
      </c>
      <c r="E316" s="39">
        <v>4310.7571818726874</v>
      </c>
      <c r="F316" s="39">
        <v>7123.9399880000001</v>
      </c>
      <c r="G316" s="39">
        <v>6676.9947118994614</v>
      </c>
      <c r="H316" s="40">
        <v>0.72846463117039928</v>
      </c>
      <c r="I316" s="40">
        <v>-6.273849539066878E-2</v>
      </c>
      <c r="J316" s="40">
        <v>0.14242489772144129</v>
      </c>
    </row>
    <row r="317" spans="1:10" ht="11.25" customHeight="1" x14ac:dyDescent="0.2">
      <c r="A317" s="49">
        <v>44774</v>
      </c>
      <c r="B317" s="39">
        <v>0</v>
      </c>
      <c r="C317" s="39">
        <v>0</v>
      </c>
      <c r="D317" s="39">
        <v>2511.0465479999998</v>
      </c>
      <c r="E317" s="39">
        <v>4340.2551454405248</v>
      </c>
      <c r="F317" s="39">
        <v>7172.688204000001</v>
      </c>
      <c r="G317" s="39">
        <v>6722.6845381746425</v>
      </c>
      <c r="H317" s="40">
        <v>0.7284646311703995</v>
      </c>
      <c r="I317" s="40">
        <v>-6.273849539066878E-2</v>
      </c>
      <c r="J317" s="40">
        <v>0.14242489772144151</v>
      </c>
    </row>
    <row r="318" spans="1:10" ht="11.25" customHeight="1" x14ac:dyDescent="0.2">
      <c r="A318" s="49">
        <v>44805</v>
      </c>
      <c r="B318" s="39">
        <v>0</v>
      </c>
      <c r="C318" s="39">
        <v>0</v>
      </c>
      <c r="D318" s="39">
        <v>2244.432918</v>
      </c>
      <c r="E318" s="39">
        <v>3879.4229157975728</v>
      </c>
      <c r="F318" s="39">
        <v>6411.1187140000002</v>
      </c>
      <c r="G318" s="39">
        <v>6008.8947721126806</v>
      </c>
      <c r="H318" s="40">
        <v>0.72846463117039928</v>
      </c>
      <c r="I318" s="40">
        <v>-6.273849539066878E-2</v>
      </c>
      <c r="J318" s="40">
        <v>0.14242489772144107</v>
      </c>
    </row>
    <row r="319" spans="1:10" ht="11.25" customHeight="1" x14ac:dyDescent="0.2">
      <c r="A319" s="49">
        <v>44835</v>
      </c>
      <c r="B319" s="39">
        <v>0</v>
      </c>
      <c r="C319" s="39">
        <v>0</v>
      </c>
      <c r="D319" s="39">
        <v>2244.432918</v>
      </c>
      <c r="E319" s="39">
        <v>3879.4229157975728</v>
      </c>
      <c r="F319" s="39">
        <v>6411.1187140000002</v>
      </c>
      <c r="G319" s="39">
        <v>6008.8947721126806</v>
      </c>
      <c r="H319" s="40">
        <v>0.72846463117039928</v>
      </c>
      <c r="I319" s="40">
        <v>-6.273849539066878E-2</v>
      </c>
      <c r="J319" s="40">
        <v>0.14242489772144107</v>
      </c>
    </row>
    <row r="320" spans="1:10" ht="11.25" customHeight="1" x14ac:dyDescent="0.2">
      <c r="A320" s="46" t="s">
        <v>25</v>
      </c>
      <c r="B320" s="39">
        <v>234359.76960000003</v>
      </c>
      <c r="C320" s="39">
        <v>403278.97419325879</v>
      </c>
      <c r="D320" s="39">
        <v>75033.586502400009</v>
      </c>
      <c r="E320" s="39">
        <v>129564.00935292045</v>
      </c>
      <c r="F320" s="39">
        <v>189678.09744000001</v>
      </c>
      <c r="G320" s="39">
        <v>177761.24480912913</v>
      </c>
      <c r="H320" s="40">
        <v>0.72221857074986451</v>
      </c>
      <c r="I320" s="40">
        <v>-6.282671954067065E-2</v>
      </c>
      <c r="J320" s="40">
        <v>0.4238526834413241</v>
      </c>
    </row>
    <row r="321" spans="1:10" ht="11.25" customHeight="1" x14ac:dyDescent="0.2">
      <c r="A321" s="47" t="s">
        <v>25</v>
      </c>
      <c r="B321" s="39">
        <v>234359.76960000003</v>
      </c>
      <c r="C321" s="39">
        <v>403278.97419325879</v>
      </c>
      <c r="D321" s="39">
        <v>75033.586502400009</v>
      </c>
      <c r="E321" s="39">
        <v>129564.00935292045</v>
      </c>
      <c r="F321" s="39">
        <v>189678.09744000001</v>
      </c>
      <c r="G321" s="39">
        <v>177761.24480912913</v>
      </c>
      <c r="H321" s="40">
        <v>0.72221857074986451</v>
      </c>
      <c r="I321" s="40">
        <v>-6.282671954067065E-2</v>
      </c>
      <c r="J321" s="40">
        <v>0.4238526834413241</v>
      </c>
    </row>
    <row r="322" spans="1:10" ht="11.25" customHeight="1" x14ac:dyDescent="0.2">
      <c r="A322" s="48" t="s">
        <v>35</v>
      </c>
      <c r="B322" s="39">
        <v>0</v>
      </c>
      <c r="C322" s="39">
        <v>0</v>
      </c>
      <c r="D322" s="39">
        <v>65286.027187199987</v>
      </c>
      <c r="E322" s="39">
        <v>112844.58890270429</v>
      </c>
      <c r="F322" s="39">
        <v>186486.51394560002</v>
      </c>
      <c r="G322" s="39">
        <v>174786.6306500021</v>
      </c>
      <c r="H322" s="40">
        <v>0.72846463117039928</v>
      </c>
      <c r="I322" s="40">
        <v>-6.273849539066878E-2</v>
      </c>
      <c r="J322" s="40">
        <v>0.14242489772144129</v>
      </c>
    </row>
    <row r="323" spans="1:10" ht="11.25" customHeight="1" x14ac:dyDescent="0.2">
      <c r="A323" s="49">
        <v>44501</v>
      </c>
      <c r="B323" s="39">
        <v>0</v>
      </c>
      <c r="C323" s="39">
        <v>0</v>
      </c>
      <c r="D323" s="39">
        <v>327.01432319999998</v>
      </c>
      <c r="E323" s="39">
        <v>565.23269153732576</v>
      </c>
      <c r="F323" s="39">
        <v>934.10127360000001</v>
      </c>
      <c r="G323" s="39">
        <v>875.49716515182854</v>
      </c>
      <c r="H323" s="40">
        <v>0.7284646311703995</v>
      </c>
      <c r="I323" s="40">
        <v>-6.273849539066878E-2</v>
      </c>
      <c r="J323" s="40">
        <v>0.14242489772144107</v>
      </c>
    </row>
    <row r="324" spans="1:10" ht="11.25" customHeight="1" x14ac:dyDescent="0.2">
      <c r="A324" s="49">
        <v>44531</v>
      </c>
      <c r="B324" s="39">
        <v>0</v>
      </c>
      <c r="C324" s="39">
        <v>0</v>
      </c>
      <c r="D324" s="39">
        <v>288.91160639999998</v>
      </c>
      <c r="E324" s="39">
        <v>499.37349319702361</v>
      </c>
      <c r="F324" s="39">
        <v>825.26262720000011</v>
      </c>
      <c r="G324" s="39">
        <v>773.48689166732163</v>
      </c>
      <c r="H324" s="40">
        <v>0.7284646311703995</v>
      </c>
      <c r="I324" s="40">
        <v>-6.2738495390668891E-2</v>
      </c>
      <c r="J324" s="40">
        <v>0.14242489772144107</v>
      </c>
    </row>
    <row r="325" spans="1:10" ht="11.25" customHeight="1" x14ac:dyDescent="0.2">
      <c r="A325" s="49">
        <v>44562</v>
      </c>
      <c r="B325" s="39">
        <v>0</v>
      </c>
      <c r="C325" s="39">
        <v>0</v>
      </c>
      <c r="D325" s="39">
        <v>447.93129600000003</v>
      </c>
      <c r="E325" s="39">
        <v>774.233402330319</v>
      </c>
      <c r="F325" s="39">
        <v>1279.4950080000001</v>
      </c>
      <c r="G325" s="39">
        <v>1199.2214163382084</v>
      </c>
      <c r="H325" s="40">
        <v>0.72846463117039928</v>
      </c>
      <c r="I325" s="40">
        <v>-6.273849539066878E-2</v>
      </c>
      <c r="J325" s="40">
        <v>0.14242489772144129</v>
      </c>
    </row>
    <row r="326" spans="1:10" ht="11.25" customHeight="1" x14ac:dyDescent="0.2">
      <c r="A326" s="49">
        <v>44593</v>
      </c>
      <c r="B326" s="39">
        <v>0</v>
      </c>
      <c r="C326" s="39">
        <v>0</v>
      </c>
      <c r="D326" s="39">
        <v>214.3379808</v>
      </c>
      <c r="E326" s="39">
        <v>370.47561892928013</v>
      </c>
      <c r="F326" s="39">
        <v>612.24651840000001</v>
      </c>
      <c r="G326" s="39">
        <v>573.83509302740867</v>
      </c>
      <c r="H326" s="40">
        <v>0.72846463117039928</v>
      </c>
      <c r="I326" s="40">
        <v>-6.2738495390668669E-2</v>
      </c>
      <c r="J326" s="40">
        <v>0.14242489772144129</v>
      </c>
    </row>
    <row r="327" spans="1:10" ht="11.25" customHeight="1" x14ac:dyDescent="0.2">
      <c r="A327" s="49">
        <v>44621</v>
      </c>
      <c r="B327" s="39">
        <v>0</v>
      </c>
      <c r="C327" s="39">
        <v>0</v>
      </c>
      <c r="D327" s="39">
        <v>687.80707199999995</v>
      </c>
      <c r="E327" s="39">
        <v>1188.8501970208722</v>
      </c>
      <c r="F327" s="39">
        <v>1964.6890560000002</v>
      </c>
      <c r="G327" s="39">
        <v>1841.4274207160468</v>
      </c>
      <c r="H327" s="40">
        <v>0.72846463117039928</v>
      </c>
      <c r="I327" s="40">
        <v>-6.273849539066878E-2</v>
      </c>
      <c r="J327" s="40">
        <v>0.14242489772144107</v>
      </c>
    </row>
    <row r="328" spans="1:10" ht="11.25" customHeight="1" x14ac:dyDescent="0.2">
      <c r="A328" s="49">
        <v>44652</v>
      </c>
      <c r="B328" s="39">
        <v>0</v>
      </c>
      <c r="C328" s="39">
        <v>0</v>
      </c>
      <c r="D328" s="39">
        <v>7835.6156543999996</v>
      </c>
      <c r="E328" s="39">
        <v>13543.584522075502</v>
      </c>
      <c r="F328" s="39">
        <v>22382.073331200001</v>
      </c>
      <c r="G328" s="39">
        <v>20977.855726676898</v>
      </c>
      <c r="H328" s="40">
        <v>0.72846463117039928</v>
      </c>
      <c r="I328" s="40">
        <v>-6.273849539066878E-2</v>
      </c>
      <c r="J328" s="40">
        <v>0.14242489772144107</v>
      </c>
    </row>
    <row r="329" spans="1:10" ht="11.25" customHeight="1" x14ac:dyDescent="0.2">
      <c r="A329" s="49">
        <v>44682</v>
      </c>
      <c r="B329" s="39">
        <v>0</v>
      </c>
      <c r="C329" s="39">
        <v>0</v>
      </c>
      <c r="D329" s="39">
        <v>9360.2954591999987</v>
      </c>
      <c r="E329" s="39">
        <v>16178.939638532091</v>
      </c>
      <c r="F329" s="39">
        <v>26737.250601600001</v>
      </c>
      <c r="G329" s="39">
        <v>25059.795727972363</v>
      </c>
      <c r="H329" s="40">
        <v>0.7284646311703995</v>
      </c>
      <c r="I329" s="40">
        <v>-6.273849539066878E-2</v>
      </c>
      <c r="J329" s="40">
        <v>0.14242489772144107</v>
      </c>
    </row>
    <row r="330" spans="1:10" ht="11.25" customHeight="1" x14ac:dyDescent="0.2">
      <c r="A330" s="49">
        <v>44713</v>
      </c>
      <c r="B330" s="39">
        <v>0</v>
      </c>
      <c r="C330" s="39">
        <v>0</v>
      </c>
      <c r="D330" s="39">
        <v>8101.9267199999995</v>
      </c>
      <c r="E330" s="39">
        <v>14003.893779854403</v>
      </c>
      <c r="F330" s="39">
        <v>23142.778560000002</v>
      </c>
      <c r="G330" s="39">
        <v>21690.835453986172</v>
      </c>
      <c r="H330" s="40">
        <v>0.7284646311703995</v>
      </c>
      <c r="I330" s="40">
        <v>-6.2738495390668891E-2</v>
      </c>
      <c r="J330" s="40">
        <v>0.14242489772144107</v>
      </c>
    </row>
    <row r="331" spans="1:10" ht="11.25" customHeight="1" x14ac:dyDescent="0.2">
      <c r="A331" s="49">
        <v>44743</v>
      </c>
      <c r="B331" s="39">
        <v>0</v>
      </c>
      <c r="C331" s="39">
        <v>0</v>
      </c>
      <c r="D331" s="39">
        <v>10341.991151999999</v>
      </c>
      <c r="E331" s="39">
        <v>17875.765922109211</v>
      </c>
      <c r="F331" s="39">
        <v>29541.418895999999</v>
      </c>
      <c r="G331" s="39">
        <v>27688.034722759487</v>
      </c>
      <c r="H331" s="40">
        <v>0.72846463117039928</v>
      </c>
      <c r="I331" s="40">
        <v>-6.273849539066878E-2</v>
      </c>
      <c r="J331" s="40">
        <v>0.14242489772144107</v>
      </c>
    </row>
    <row r="332" spans="1:10" ht="11.25" customHeight="1" x14ac:dyDescent="0.2">
      <c r="A332" s="49">
        <v>44774</v>
      </c>
      <c r="B332" s="39">
        <v>0</v>
      </c>
      <c r="C332" s="39">
        <v>0</v>
      </c>
      <c r="D332" s="39">
        <v>8722.9928447999991</v>
      </c>
      <c r="E332" s="39">
        <v>15077.384610189263</v>
      </c>
      <c r="F332" s="39">
        <v>24916.825190400003</v>
      </c>
      <c r="G332" s="39">
        <v>23353.581068041989</v>
      </c>
      <c r="H332" s="40">
        <v>0.72846463117039928</v>
      </c>
      <c r="I332" s="40">
        <v>-6.2738495390668891E-2</v>
      </c>
      <c r="J332" s="40">
        <v>0.14242489772144107</v>
      </c>
    </row>
    <row r="333" spans="1:10" ht="11.25" customHeight="1" x14ac:dyDescent="0.2">
      <c r="A333" s="49">
        <v>44805</v>
      </c>
      <c r="B333" s="39">
        <v>0</v>
      </c>
      <c r="C333" s="39">
        <v>0</v>
      </c>
      <c r="D333" s="39">
        <v>9478.601539199999</v>
      </c>
      <c r="E333" s="39">
        <v>16383.427513464505</v>
      </c>
      <c r="F333" s="39">
        <v>27075.186441599999</v>
      </c>
      <c r="G333" s="39">
        <v>25376.52998183218</v>
      </c>
      <c r="H333" s="40">
        <v>0.72846463117039928</v>
      </c>
      <c r="I333" s="40">
        <v>-6.273849539066878E-2</v>
      </c>
      <c r="J333" s="40">
        <v>0.14242489772144129</v>
      </c>
    </row>
    <row r="334" spans="1:10" ht="11.25" customHeight="1" x14ac:dyDescent="0.2">
      <c r="A334" s="49">
        <v>44835</v>
      </c>
      <c r="B334" s="39">
        <v>0</v>
      </c>
      <c r="C334" s="39">
        <v>0</v>
      </c>
      <c r="D334" s="39">
        <v>9478.601539199999</v>
      </c>
      <c r="E334" s="39">
        <v>16383.427513464505</v>
      </c>
      <c r="F334" s="39">
        <v>27075.186441599999</v>
      </c>
      <c r="G334" s="39">
        <v>25376.52998183218</v>
      </c>
      <c r="H334" s="40">
        <v>0.72846463117039928</v>
      </c>
      <c r="I334" s="40">
        <v>-6.273849539066878E-2</v>
      </c>
      <c r="J334" s="40">
        <v>0.14242489772144129</v>
      </c>
    </row>
    <row r="335" spans="1:10" ht="11.25" customHeight="1" x14ac:dyDescent="0.2">
      <c r="A335" s="48" t="s">
        <v>25</v>
      </c>
      <c r="B335" s="39">
        <v>234359.76960000003</v>
      </c>
      <c r="C335" s="39">
        <v>403278.97419325879</v>
      </c>
      <c r="D335" s="39">
        <v>0</v>
      </c>
      <c r="E335" s="39">
        <v>0</v>
      </c>
      <c r="F335" s="39">
        <v>0</v>
      </c>
      <c r="G335" s="39">
        <v>0</v>
      </c>
      <c r="H335" s="40">
        <v>0.72076877734419287</v>
      </c>
      <c r="I335" s="40">
        <v>0</v>
      </c>
      <c r="J335" s="40">
        <v>0.72076877734419287</v>
      </c>
    </row>
    <row r="336" spans="1:10" ht="11.25" customHeight="1" x14ac:dyDescent="0.2">
      <c r="A336" s="49">
        <v>44501</v>
      </c>
      <c r="B336" s="39">
        <v>9226.9056000000019</v>
      </c>
      <c r="C336" s="39">
        <v>15877.371067982293</v>
      </c>
      <c r="D336" s="39">
        <v>0</v>
      </c>
      <c r="E336" s="39">
        <v>0</v>
      </c>
      <c r="F336" s="39">
        <v>0</v>
      </c>
      <c r="G336" s="39">
        <v>0</v>
      </c>
      <c r="H336" s="40">
        <v>0.72076877734419309</v>
      </c>
      <c r="I336" s="40">
        <v>0</v>
      </c>
      <c r="J336" s="40">
        <v>0.72076877734419309</v>
      </c>
    </row>
    <row r="337" spans="1:10" ht="11.25" customHeight="1" x14ac:dyDescent="0.2">
      <c r="A337" s="49">
        <v>44531</v>
      </c>
      <c r="B337" s="39">
        <v>6120.9984000000004</v>
      </c>
      <c r="C337" s="39">
        <v>10532.822932893763</v>
      </c>
      <c r="D337" s="39">
        <v>0</v>
      </c>
      <c r="E337" s="39">
        <v>0</v>
      </c>
      <c r="F337" s="39">
        <v>0</v>
      </c>
      <c r="G337" s="39">
        <v>0</v>
      </c>
      <c r="H337" s="40">
        <v>0.72076877734419309</v>
      </c>
      <c r="I337" s="40">
        <v>0</v>
      </c>
      <c r="J337" s="40">
        <v>0.72076877734419309</v>
      </c>
    </row>
    <row r="338" spans="1:10" ht="11.25" customHeight="1" x14ac:dyDescent="0.2">
      <c r="A338" s="49">
        <v>44562</v>
      </c>
      <c r="B338" s="39">
        <v>7991.808</v>
      </c>
      <c r="C338" s="39">
        <v>13752.053680929544</v>
      </c>
      <c r="D338" s="39">
        <v>0</v>
      </c>
      <c r="E338" s="39">
        <v>0</v>
      </c>
      <c r="F338" s="39">
        <v>0</v>
      </c>
      <c r="G338" s="39">
        <v>0</v>
      </c>
      <c r="H338" s="40">
        <v>0.72076877734419353</v>
      </c>
      <c r="I338" s="40">
        <v>0</v>
      </c>
      <c r="J338" s="40">
        <v>0.72076877734419353</v>
      </c>
    </row>
    <row r="339" spans="1:10" ht="11.25" customHeight="1" x14ac:dyDescent="0.2">
      <c r="A339" s="49">
        <v>44593</v>
      </c>
      <c r="B339" s="39">
        <v>7010.9952000000003</v>
      </c>
      <c r="C339" s="39">
        <v>12064.30163827001</v>
      </c>
      <c r="D339" s="39">
        <v>0</v>
      </c>
      <c r="E339" s="39">
        <v>0</v>
      </c>
      <c r="F339" s="39">
        <v>0</v>
      </c>
      <c r="G339" s="39">
        <v>0</v>
      </c>
      <c r="H339" s="40">
        <v>0.72076877734419353</v>
      </c>
      <c r="I339" s="40">
        <v>0</v>
      </c>
      <c r="J339" s="40">
        <v>0.72076877734419353</v>
      </c>
    </row>
    <row r="340" spans="1:10" ht="11.25" customHeight="1" x14ac:dyDescent="0.2">
      <c r="A340" s="49">
        <v>44621</v>
      </c>
      <c r="B340" s="39">
        <v>29133.772800000002</v>
      </c>
      <c r="C340" s="39">
        <v>50132.486600479519</v>
      </c>
      <c r="D340" s="39">
        <v>0</v>
      </c>
      <c r="E340" s="39">
        <v>0</v>
      </c>
      <c r="F340" s="39">
        <v>0</v>
      </c>
      <c r="G340" s="39">
        <v>0</v>
      </c>
      <c r="H340" s="40">
        <v>0.72076877734419331</v>
      </c>
      <c r="I340" s="40">
        <v>0</v>
      </c>
      <c r="J340" s="40">
        <v>0.72076877734419331</v>
      </c>
    </row>
    <row r="341" spans="1:10" ht="11.25" customHeight="1" x14ac:dyDescent="0.2">
      <c r="A341" s="49">
        <v>44652</v>
      </c>
      <c r="B341" s="39">
        <v>26917.862400000002</v>
      </c>
      <c r="C341" s="39">
        <v>46319.417170767236</v>
      </c>
      <c r="D341" s="39">
        <v>0</v>
      </c>
      <c r="E341" s="39">
        <v>0</v>
      </c>
      <c r="F341" s="39">
        <v>0</v>
      </c>
      <c r="G341" s="39">
        <v>0</v>
      </c>
      <c r="H341" s="40">
        <v>0.72076877734419331</v>
      </c>
      <c r="I341" s="40">
        <v>0</v>
      </c>
      <c r="J341" s="40">
        <v>0.72076877734419331</v>
      </c>
    </row>
    <row r="342" spans="1:10" ht="11.25" customHeight="1" x14ac:dyDescent="0.2">
      <c r="A342" s="49">
        <v>44682</v>
      </c>
      <c r="B342" s="39">
        <v>26663.577600000001</v>
      </c>
      <c r="C342" s="39">
        <v>45881.851826374026</v>
      </c>
      <c r="D342" s="39">
        <v>0</v>
      </c>
      <c r="E342" s="39">
        <v>0</v>
      </c>
      <c r="F342" s="39">
        <v>0</v>
      </c>
      <c r="G342" s="39">
        <v>0</v>
      </c>
      <c r="H342" s="40">
        <v>0.72076877734419353</v>
      </c>
      <c r="I342" s="40">
        <v>0</v>
      </c>
      <c r="J342" s="40">
        <v>0.72076877734419353</v>
      </c>
    </row>
    <row r="343" spans="1:10" ht="11.25" customHeight="1" x14ac:dyDescent="0.2">
      <c r="A343" s="49">
        <v>44713</v>
      </c>
      <c r="B343" s="39">
        <v>28643.366400000003</v>
      </c>
      <c r="C343" s="39">
        <v>49288.610579149754</v>
      </c>
      <c r="D343" s="39">
        <v>0</v>
      </c>
      <c r="E343" s="39">
        <v>0</v>
      </c>
      <c r="F343" s="39">
        <v>0</v>
      </c>
      <c r="G343" s="39">
        <v>0</v>
      </c>
      <c r="H343" s="40">
        <v>0.72076877734419331</v>
      </c>
      <c r="I343" s="40">
        <v>0</v>
      </c>
      <c r="J343" s="40">
        <v>0.72076877734419331</v>
      </c>
    </row>
    <row r="344" spans="1:10" ht="11.25" customHeight="1" x14ac:dyDescent="0.2">
      <c r="A344" s="49">
        <v>44743</v>
      </c>
      <c r="B344" s="39">
        <v>24956.236800000002</v>
      </c>
      <c r="C344" s="39">
        <v>42943.91308544817</v>
      </c>
      <c r="D344" s="39">
        <v>0</v>
      </c>
      <c r="E344" s="39">
        <v>0</v>
      </c>
      <c r="F344" s="39">
        <v>0</v>
      </c>
      <c r="G344" s="39">
        <v>0</v>
      </c>
      <c r="H344" s="40">
        <v>0.72076877734419331</v>
      </c>
      <c r="I344" s="40">
        <v>0</v>
      </c>
      <c r="J344" s="40">
        <v>0.72076877734419331</v>
      </c>
    </row>
    <row r="345" spans="1:10" ht="11.25" customHeight="1" x14ac:dyDescent="0.2">
      <c r="A345" s="49">
        <v>44774</v>
      </c>
      <c r="B345" s="39">
        <v>32493.964800000005</v>
      </c>
      <c r="C345" s="39">
        <v>55914.600079961267</v>
      </c>
      <c r="D345" s="39">
        <v>0</v>
      </c>
      <c r="E345" s="39">
        <v>0</v>
      </c>
      <c r="F345" s="39">
        <v>0</v>
      </c>
      <c r="G345" s="39">
        <v>0</v>
      </c>
      <c r="H345" s="40">
        <v>0.72076877734419331</v>
      </c>
      <c r="I345" s="40">
        <v>0</v>
      </c>
      <c r="J345" s="40">
        <v>0.72076877734419331</v>
      </c>
    </row>
    <row r="346" spans="1:10" ht="11.25" customHeight="1" x14ac:dyDescent="0.2">
      <c r="A346" s="49">
        <v>44805</v>
      </c>
      <c r="B346" s="39">
        <v>17600.140800000001</v>
      </c>
      <c r="C346" s="39">
        <v>30285.772765501657</v>
      </c>
      <c r="D346" s="39">
        <v>0</v>
      </c>
      <c r="E346" s="39">
        <v>0</v>
      </c>
      <c r="F346" s="39">
        <v>0</v>
      </c>
      <c r="G346" s="39">
        <v>0</v>
      </c>
      <c r="H346" s="40">
        <v>0.72076877734419353</v>
      </c>
      <c r="I346" s="40">
        <v>0</v>
      </c>
      <c r="J346" s="40">
        <v>0.72076877734419353</v>
      </c>
    </row>
    <row r="347" spans="1:10" ht="11.25" customHeight="1" x14ac:dyDescent="0.2">
      <c r="A347" s="49">
        <v>44835</v>
      </c>
      <c r="B347" s="39">
        <v>17600.140800000001</v>
      </c>
      <c r="C347" s="39">
        <v>30285.772765501657</v>
      </c>
      <c r="D347" s="39">
        <v>0</v>
      </c>
      <c r="E347" s="39">
        <v>0</v>
      </c>
      <c r="F347" s="39">
        <v>0</v>
      </c>
      <c r="G347" s="39">
        <v>0</v>
      </c>
      <c r="H347" s="40">
        <v>0.72076877734419353</v>
      </c>
      <c r="I347" s="40">
        <v>0</v>
      </c>
      <c r="J347" s="40">
        <v>0.72076877734419353</v>
      </c>
    </row>
    <row r="348" spans="1:10" ht="11.25" customHeight="1" x14ac:dyDescent="0.2">
      <c r="A348" s="48" t="s">
        <v>34</v>
      </c>
      <c r="B348" s="39">
        <v>0</v>
      </c>
      <c r="C348" s="39">
        <v>0</v>
      </c>
      <c r="D348" s="39">
        <v>9747.5593151999983</v>
      </c>
      <c r="E348" s="39">
        <v>16719.420450216152</v>
      </c>
      <c r="F348" s="39">
        <v>3191.5834944000003</v>
      </c>
      <c r="G348" s="39">
        <v>2974.6141591269866</v>
      </c>
      <c r="H348" s="40">
        <v>0.71524172457657986</v>
      </c>
      <c r="I348" s="40">
        <v>-6.7981719937363794E-2</v>
      </c>
      <c r="J348" s="40">
        <v>0.52205095029413018</v>
      </c>
    </row>
    <row r="349" spans="1:10" ht="11.25" customHeight="1" x14ac:dyDescent="0.2">
      <c r="A349" s="49">
        <v>44501</v>
      </c>
      <c r="B349" s="39">
        <v>0</v>
      </c>
      <c r="C349" s="39">
        <v>0</v>
      </c>
      <c r="D349" s="39">
        <v>557.92177919999995</v>
      </c>
      <c r="E349" s="39">
        <v>956.97071473384165</v>
      </c>
      <c r="F349" s="39">
        <v>182.67690239999999</v>
      </c>
      <c r="G349" s="39">
        <v>170.25821238201809</v>
      </c>
      <c r="H349" s="40">
        <v>0.71524172457657964</v>
      </c>
      <c r="I349" s="40">
        <v>-6.7981719937363572E-2</v>
      </c>
      <c r="J349" s="40">
        <v>0.52205095029412996</v>
      </c>
    </row>
    <row r="350" spans="1:10" ht="11.25" customHeight="1" x14ac:dyDescent="0.2">
      <c r="A350" s="49">
        <v>44531</v>
      </c>
      <c r="B350" s="39">
        <v>0</v>
      </c>
      <c r="C350" s="39">
        <v>0</v>
      </c>
      <c r="D350" s="39">
        <v>595.80535680000003</v>
      </c>
      <c r="E350" s="39">
        <v>1021.9502077095965</v>
      </c>
      <c r="F350" s="39">
        <v>195.08088960000001</v>
      </c>
      <c r="G350" s="39">
        <v>181.81895519808106</v>
      </c>
      <c r="H350" s="40">
        <v>0.71524172457657986</v>
      </c>
      <c r="I350" s="40">
        <v>-6.7981719937363572E-2</v>
      </c>
      <c r="J350" s="40">
        <v>0.52205095029413018</v>
      </c>
    </row>
    <row r="351" spans="1:10" ht="11.25" customHeight="1" x14ac:dyDescent="0.2">
      <c r="A351" s="49">
        <v>44562</v>
      </c>
      <c r="B351" s="39">
        <v>0</v>
      </c>
      <c r="C351" s="39">
        <v>0</v>
      </c>
      <c r="D351" s="39">
        <v>383.42772479999996</v>
      </c>
      <c r="E351" s="39">
        <v>657.67123193642612</v>
      </c>
      <c r="F351" s="39">
        <v>125.54338559999999</v>
      </c>
      <c r="G351" s="39">
        <v>117.00873032015235</v>
      </c>
      <c r="H351" s="40">
        <v>0.71524172457657964</v>
      </c>
      <c r="I351" s="40">
        <v>-6.7981719937363572E-2</v>
      </c>
      <c r="J351" s="40">
        <v>0.52205095029413018</v>
      </c>
    </row>
    <row r="352" spans="1:10" ht="11.25" customHeight="1" x14ac:dyDescent="0.2">
      <c r="A352" s="49">
        <v>44593</v>
      </c>
      <c r="B352" s="39">
        <v>0</v>
      </c>
      <c r="C352" s="39">
        <v>0</v>
      </c>
      <c r="D352" s="39">
        <v>427.05123839999999</v>
      </c>
      <c r="E352" s="39">
        <v>732.49610263578006</v>
      </c>
      <c r="F352" s="39">
        <v>139.82676480000001</v>
      </c>
      <c r="G352" s="39">
        <v>130.32110083561878</v>
      </c>
      <c r="H352" s="40">
        <v>0.71524172457657964</v>
      </c>
      <c r="I352" s="40">
        <v>-6.7981719937363683E-2</v>
      </c>
      <c r="J352" s="40">
        <v>0.52205095029413018</v>
      </c>
    </row>
    <row r="353" spans="1:10" ht="11.25" customHeight="1" x14ac:dyDescent="0.2">
      <c r="A353" s="49">
        <v>44621</v>
      </c>
      <c r="B353" s="39">
        <v>0</v>
      </c>
      <c r="C353" s="39">
        <v>0</v>
      </c>
      <c r="D353" s="39">
        <v>820.81084799999996</v>
      </c>
      <c r="E353" s="39">
        <v>1407.8890144746849</v>
      </c>
      <c r="F353" s="39">
        <v>268.75305600000002</v>
      </c>
      <c r="G353" s="39">
        <v>250.48276101469742</v>
      </c>
      <c r="H353" s="40">
        <v>0.71524172457657986</v>
      </c>
      <c r="I353" s="40">
        <v>-6.7981719937363572E-2</v>
      </c>
      <c r="J353" s="40">
        <v>0.52205095029412996</v>
      </c>
    </row>
    <row r="354" spans="1:10" ht="11.25" customHeight="1" x14ac:dyDescent="0.2">
      <c r="A354" s="49">
        <v>44652</v>
      </c>
      <c r="B354" s="39">
        <v>0</v>
      </c>
      <c r="C354" s="39">
        <v>0</v>
      </c>
      <c r="D354" s="39">
        <v>917.24177280000004</v>
      </c>
      <c r="E354" s="39">
        <v>1573.2913602311514</v>
      </c>
      <c r="F354" s="39">
        <v>300.32684160000002</v>
      </c>
      <c r="G354" s="39">
        <v>279.91010636467587</v>
      </c>
      <c r="H354" s="40">
        <v>0.71524172457657986</v>
      </c>
      <c r="I354" s="40">
        <v>-6.7981719937363572E-2</v>
      </c>
      <c r="J354" s="40">
        <v>0.52205095029412996</v>
      </c>
    </row>
    <row r="355" spans="1:10" ht="11.25" customHeight="1" x14ac:dyDescent="0.2">
      <c r="A355" s="49">
        <v>44682</v>
      </c>
      <c r="B355" s="39">
        <v>0</v>
      </c>
      <c r="C355" s="39">
        <v>0</v>
      </c>
      <c r="D355" s="39">
        <v>786.37123199999996</v>
      </c>
      <c r="E355" s="39">
        <v>1348.8167481330895</v>
      </c>
      <c r="F355" s="39">
        <v>257.47670399999998</v>
      </c>
      <c r="G355" s="39">
        <v>239.97299481827653</v>
      </c>
      <c r="H355" s="40">
        <v>0.71524172457657964</v>
      </c>
      <c r="I355" s="40">
        <v>-6.7981719937363572E-2</v>
      </c>
      <c r="J355" s="40">
        <v>0.52205095029412996</v>
      </c>
    </row>
    <row r="356" spans="1:10" ht="11.25" customHeight="1" x14ac:dyDescent="0.2">
      <c r="A356" s="49">
        <v>44713</v>
      </c>
      <c r="B356" s="39">
        <v>0</v>
      </c>
      <c r="C356" s="39">
        <v>0</v>
      </c>
      <c r="D356" s="39">
        <v>1447.6118592</v>
      </c>
      <c r="E356" s="39">
        <v>2483.0042618917169</v>
      </c>
      <c r="F356" s="39">
        <v>473.98266240000004</v>
      </c>
      <c r="G356" s="39">
        <v>441.76050578955727</v>
      </c>
      <c r="H356" s="40">
        <v>0.71524172457657964</v>
      </c>
      <c r="I356" s="40">
        <v>-6.7981719937363572E-2</v>
      </c>
      <c r="J356" s="40">
        <v>0.52205095029412996</v>
      </c>
    </row>
    <row r="357" spans="1:10" ht="11.25" customHeight="1" x14ac:dyDescent="0.2">
      <c r="A357" s="49">
        <v>44743</v>
      </c>
      <c r="B357" s="39">
        <v>0</v>
      </c>
      <c r="C357" s="39">
        <v>0</v>
      </c>
      <c r="D357" s="39">
        <v>1219.1624064</v>
      </c>
      <c r="E357" s="39">
        <v>2091.1582284924689</v>
      </c>
      <c r="F357" s="39">
        <v>399.18286080000001</v>
      </c>
      <c r="G357" s="39">
        <v>372.0457233532988</v>
      </c>
      <c r="H357" s="40">
        <v>0.71524172457657964</v>
      </c>
      <c r="I357" s="40">
        <v>-6.7981719937363683E-2</v>
      </c>
      <c r="J357" s="40">
        <v>0.52205095029412996</v>
      </c>
    </row>
    <row r="358" spans="1:10" ht="11.25" customHeight="1" x14ac:dyDescent="0.2">
      <c r="A358" s="49">
        <v>44774</v>
      </c>
      <c r="B358" s="39">
        <v>0</v>
      </c>
      <c r="C358" s="39">
        <v>0</v>
      </c>
      <c r="D358" s="39">
        <v>927.57365760000005</v>
      </c>
      <c r="E358" s="39">
        <v>1591.0130401336298</v>
      </c>
      <c r="F358" s="39">
        <v>303.70974720000004</v>
      </c>
      <c r="G358" s="39">
        <v>283.06303622360213</v>
      </c>
      <c r="H358" s="40">
        <v>0.71524172457657964</v>
      </c>
      <c r="I358" s="40">
        <v>-6.7981719937363683E-2</v>
      </c>
      <c r="J358" s="40">
        <v>0.52205095029413018</v>
      </c>
    </row>
    <row r="359" spans="1:10" ht="11.25" customHeight="1" x14ac:dyDescent="0.2">
      <c r="A359" s="49">
        <v>44805</v>
      </c>
      <c r="B359" s="39">
        <v>0</v>
      </c>
      <c r="C359" s="39">
        <v>0</v>
      </c>
      <c r="D359" s="39">
        <v>832.29071999999985</v>
      </c>
      <c r="E359" s="39">
        <v>1427.5797699218831</v>
      </c>
      <c r="F359" s="39">
        <v>272.51184000000001</v>
      </c>
      <c r="G359" s="39">
        <v>253.98601641350433</v>
      </c>
      <c r="H359" s="40">
        <v>0.71524172457657986</v>
      </c>
      <c r="I359" s="40">
        <v>-6.7981719937363683E-2</v>
      </c>
      <c r="J359" s="40">
        <v>0.52205095029412996</v>
      </c>
    </row>
    <row r="360" spans="1:10" ht="11.25" customHeight="1" x14ac:dyDescent="0.2">
      <c r="A360" s="49">
        <v>44835</v>
      </c>
      <c r="B360" s="39">
        <v>0</v>
      </c>
      <c r="C360" s="39">
        <v>0</v>
      </c>
      <c r="D360" s="39">
        <v>832.29071999999985</v>
      </c>
      <c r="E360" s="39">
        <v>1427.5797699218831</v>
      </c>
      <c r="F360" s="39">
        <v>272.51184000000001</v>
      </c>
      <c r="G360" s="39">
        <v>253.98601641350433</v>
      </c>
      <c r="H360" s="40">
        <v>0.71524172457657986</v>
      </c>
      <c r="I360" s="40">
        <v>-6.7981719937363683E-2</v>
      </c>
      <c r="J360" s="40">
        <v>0.52205095029412996</v>
      </c>
    </row>
    <row r="361" spans="1:10" ht="11.25" customHeight="1" x14ac:dyDescent="0.2">
      <c r="A361" s="45" t="s">
        <v>56</v>
      </c>
      <c r="B361" s="39">
        <v>54.489599999999996</v>
      </c>
      <c r="C361" s="39">
        <v>93.764002369974165</v>
      </c>
      <c r="D361" s="39">
        <v>307.06975679999999</v>
      </c>
      <c r="E361" s="39">
        <v>528.04204270544255</v>
      </c>
      <c r="F361" s="39">
        <v>357.44093760000004</v>
      </c>
      <c r="G361" s="39">
        <v>334.66285512517806</v>
      </c>
      <c r="H361" s="40">
        <v>0.7197896649079798</v>
      </c>
      <c r="I361" s="40">
        <v>-6.3725444062907477E-2</v>
      </c>
      <c r="J361" s="40">
        <v>0.33027608980154932</v>
      </c>
    </row>
    <row r="362" spans="1:10" ht="11.25" customHeight="1" x14ac:dyDescent="0.2">
      <c r="A362" s="46" t="s">
        <v>25</v>
      </c>
      <c r="B362" s="39">
        <v>54.489599999999996</v>
      </c>
      <c r="C362" s="39">
        <v>93.764002369974165</v>
      </c>
      <c r="D362" s="39">
        <v>307.06975679999999</v>
      </c>
      <c r="E362" s="39">
        <v>528.04204270544255</v>
      </c>
      <c r="F362" s="39">
        <v>357.44093760000004</v>
      </c>
      <c r="G362" s="39">
        <v>334.66285512517806</v>
      </c>
      <c r="H362" s="40">
        <v>0.7197896649079798</v>
      </c>
      <c r="I362" s="40">
        <v>-6.3725444062907477E-2</v>
      </c>
      <c r="J362" s="40">
        <v>0.33027608980154932</v>
      </c>
    </row>
    <row r="363" spans="1:10" ht="11.25" customHeight="1" x14ac:dyDescent="0.2">
      <c r="A363" s="47" t="s">
        <v>25</v>
      </c>
      <c r="B363" s="39">
        <v>54.489599999999996</v>
      </c>
      <c r="C363" s="39">
        <v>93.764002369974165</v>
      </c>
      <c r="D363" s="39">
        <v>307.06975679999999</v>
      </c>
      <c r="E363" s="39">
        <v>528.04204270544255</v>
      </c>
      <c r="F363" s="39">
        <v>357.44093760000004</v>
      </c>
      <c r="G363" s="39">
        <v>334.66285512517806</v>
      </c>
      <c r="H363" s="40">
        <v>0.7197896649079798</v>
      </c>
      <c r="I363" s="40">
        <v>-6.3725444062907477E-2</v>
      </c>
      <c r="J363" s="40">
        <v>0.33027608980154932</v>
      </c>
    </row>
    <row r="364" spans="1:10" ht="11.25" customHeight="1" x14ac:dyDescent="0.2">
      <c r="A364" s="48" t="s">
        <v>35</v>
      </c>
      <c r="B364" s="39">
        <v>0</v>
      </c>
      <c r="C364" s="39">
        <v>0</v>
      </c>
      <c r="D364" s="39">
        <v>101.58004800000001</v>
      </c>
      <c r="E364" s="39">
        <v>175.57752020059144</v>
      </c>
      <c r="F364" s="39">
        <v>290.15870400000006</v>
      </c>
      <c r="G364" s="39">
        <v>271.95458348653358</v>
      </c>
      <c r="H364" s="40">
        <v>0.72846463117039906</v>
      </c>
      <c r="I364" s="40">
        <v>-6.2738495390668891E-2</v>
      </c>
      <c r="J364" s="40">
        <v>0.14242489772144085</v>
      </c>
    </row>
    <row r="365" spans="1:10" ht="11.25" customHeight="1" x14ac:dyDescent="0.2">
      <c r="A365" s="49">
        <v>44501</v>
      </c>
      <c r="B365" s="39">
        <v>0</v>
      </c>
      <c r="C365" s="39">
        <v>0</v>
      </c>
      <c r="D365" s="39">
        <v>32.472979199999997</v>
      </c>
      <c r="E365" s="39">
        <v>56.128396015932047</v>
      </c>
      <c r="F365" s="39">
        <v>92.757561600000017</v>
      </c>
      <c r="G365" s="39">
        <v>86.938091749108736</v>
      </c>
      <c r="H365" s="40">
        <v>0.7284646311703995</v>
      </c>
      <c r="I365" s="40">
        <v>-6.273849539066878E-2</v>
      </c>
      <c r="J365" s="40">
        <v>0.14242489772144129</v>
      </c>
    </row>
    <row r="366" spans="1:10" ht="11.25" customHeight="1" x14ac:dyDescent="0.2">
      <c r="A366" s="49">
        <v>44531</v>
      </c>
      <c r="B366" s="39">
        <v>0</v>
      </c>
      <c r="C366" s="39">
        <v>0</v>
      </c>
      <c r="D366" s="39">
        <v>34.104787199999997</v>
      </c>
      <c r="E366" s="39">
        <v>58.948918428792958</v>
      </c>
      <c r="F366" s="39">
        <v>97.418745600000008</v>
      </c>
      <c r="G366" s="39">
        <v>91.306840078209675</v>
      </c>
      <c r="H366" s="40">
        <v>0.7284646311703995</v>
      </c>
      <c r="I366" s="40">
        <v>-6.273849539066878E-2</v>
      </c>
      <c r="J366" s="40">
        <v>0.14242489772144129</v>
      </c>
    </row>
    <row r="367" spans="1:10" ht="11.25" customHeight="1" x14ac:dyDescent="0.2">
      <c r="A367" s="49">
        <v>44562</v>
      </c>
      <c r="B367" s="39">
        <v>0</v>
      </c>
      <c r="C367" s="39">
        <v>0</v>
      </c>
      <c r="D367" s="39">
        <v>35.002281599999996</v>
      </c>
      <c r="E367" s="39">
        <v>60.500205755866446</v>
      </c>
      <c r="F367" s="39">
        <v>99.982396800000004</v>
      </c>
      <c r="G367" s="39">
        <v>93.709651659215183</v>
      </c>
      <c r="H367" s="40">
        <v>0.72846463117039928</v>
      </c>
      <c r="I367" s="40">
        <v>-6.273849539066878E-2</v>
      </c>
      <c r="J367" s="40">
        <v>0.14242489772144107</v>
      </c>
    </row>
    <row r="368" spans="1:10" ht="11.25" customHeight="1" x14ac:dyDescent="0.2">
      <c r="A368" s="48" t="s">
        <v>25</v>
      </c>
      <c r="B368" s="39">
        <v>54.489599999999996</v>
      </c>
      <c r="C368" s="39">
        <v>93.764002369974165</v>
      </c>
      <c r="D368" s="39">
        <v>0</v>
      </c>
      <c r="E368" s="39">
        <v>0</v>
      </c>
      <c r="F368" s="39">
        <v>0</v>
      </c>
      <c r="G368" s="39">
        <v>0</v>
      </c>
      <c r="H368" s="40">
        <v>0.72076877734419353</v>
      </c>
      <c r="I368" s="40">
        <v>0</v>
      </c>
      <c r="J368" s="40">
        <v>0.72076877734419353</v>
      </c>
    </row>
    <row r="369" spans="1:10" ht="11.25" customHeight="1" x14ac:dyDescent="0.2">
      <c r="A369" s="49">
        <v>44501</v>
      </c>
      <c r="B369" s="39">
        <v>18.1632</v>
      </c>
      <c r="C369" s="39">
        <v>31.254667456658055</v>
      </c>
      <c r="D369" s="39">
        <v>0</v>
      </c>
      <c r="E369" s="39">
        <v>0</v>
      </c>
      <c r="F369" s="39">
        <v>0</v>
      </c>
      <c r="G369" s="39">
        <v>0</v>
      </c>
      <c r="H369" s="40">
        <v>0.72076877734419353</v>
      </c>
      <c r="I369" s="40">
        <v>0</v>
      </c>
      <c r="J369" s="40">
        <v>0.72076877734419353</v>
      </c>
    </row>
    <row r="370" spans="1:10" ht="11.25" customHeight="1" x14ac:dyDescent="0.2">
      <c r="A370" s="49">
        <v>44531</v>
      </c>
      <c r="B370" s="39">
        <v>18.1632</v>
      </c>
      <c r="C370" s="39">
        <v>31.254667456658055</v>
      </c>
      <c r="D370" s="39">
        <v>0</v>
      </c>
      <c r="E370" s="39">
        <v>0</v>
      </c>
      <c r="F370" s="39">
        <v>0</v>
      </c>
      <c r="G370" s="39">
        <v>0</v>
      </c>
      <c r="H370" s="40">
        <v>0.72076877734419353</v>
      </c>
      <c r="I370" s="40">
        <v>0</v>
      </c>
      <c r="J370" s="40">
        <v>0.72076877734419353</v>
      </c>
    </row>
    <row r="371" spans="1:10" ht="11.25" customHeight="1" x14ac:dyDescent="0.2">
      <c r="A371" s="49">
        <v>44562</v>
      </c>
      <c r="B371" s="39">
        <v>18.1632</v>
      </c>
      <c r="C371" s="39">
        <v>31.254667456658055</v>
      </c>
      <c r="D371" s="39">
        <v>0</v>
      </c>
      <c r="E371" s="39">
        <v>0</v>
      </c>
      <c r="F371" s="39">
        <v>0</v>
      </c>
      <c r="G371" s="39">
        <v>0</v>
      </c>
      <c r="H371" s="40">
        <v>0.72076877734419353</v>
      </c>
      <c r="I371" s="40">
        <v>0</v>
      </c>
      <c r="J371" s="40">
        <v>0.72076877734419353</v>
      </c>
    </row>
    <row r="372" spans="1:10" ht="11.25" customHeight="1" x14ac:dyDescent="0.2">
      <c r="A372" s="48" t="s">
        <v>34</v>
      </c>
      <c r="B372" s="39">
        <v>0</v>
      </c>
      <c r="C372" s="39">
        <v>0</v>
      </c>
      <c r="D372" s="39">
        <v>205.48970879999996</v>
      </c>
      <c r="E372" s="39">
        <v>352.46452250485117</v>
      </c>
      <c r="F372" s="39">
        <v>67.282233600000012</v>
      </c>
      <c r="G372" s="39">
        <v>62.708271638644518</v>
      </c>
      <c r="H372" s="40">
        <v>0.71524172457658008</v>
      </c>
      <c r="I372" s="40">
        <v>-6.7981719937363905E-2</v>
      </c>
      <c r="J372" s="40">
        <v>0.5220509502941304</v>
      </c>
    </row>
    <row r="373" spans="1:10" ht="11.25" customHeight="1" x14ac:dyDescent="0.2">
      <c r="A373" s="49">
        <v>44501</v>
      </c>
      <c r="B373" s="39">
        <v>0</v>
      </c>
      <c r="C373" s="39">
        <v>0</v>
      </c>
      <c r="D373" s="39">
        <v>68.879231999999988</v>
      </c>
      <c r="E373" s="39">
        <v>118.14453268319033</v>
      </c>
      <c r="F373" s="39">
        <v>22.552704000000002</v>
      </c>
      <c r="G373" s="39">
        <v>21.019532392841739</v>
      </c>
      <c r="H373" s="40">
        <v>0.71524172457658008</v>
      </c>
      <c r="I373" s="40">
        <v>-6.7981719937363683E-2</v>
      </c>
      <c r="J373" s="40">
        <v>0.52205095029413018</v>
      </c>
    </row>
    <row r="374" spans="1:10" ht="11.25" customHeight="1" x14ac:dyDescent="0.2">
      <c r="A374" s="49">
        <v>44531</v>
      </c>
      <c r="B374" s="39">
        <v>0</v>
      </c>
      <c r="C374" s="39">
        <v>0</v>
      </c>
      <c r="D374" s="39">
        <v>74.619167999999988</v>
      </c>
      <c r="E374" s="39">
        <v>127.98991040678952</v>
      </c>
      <c r="F374" s="39">
        <v>24.432096000000001</v>
      </c>
      <c r="G374" s="39">
        <v>22.771160092245218</v>
      </c>
      <c r="H374" s="40">
        <v>0.71524172457657986</v>
      </c>
      <c r="I374" s="40">
        <v>-6.7981719937363683E-2</v>
      </c>
      <c r="J374" s="40">
        <v>0.52205095029412996</v>
      </c>
    </row>
    <row r="375" spans="1:10" ht="11.25" customHeight="1" x14ac:dyDescent="0.2">
      <c r="A375" s="49">
        <v>44562</v>
      </c>
      <c r="B375" s="39">
        <v>0</v>
      </c>
      <c r="C375" s="39">
        <v>0</v>
      </c>
      <c r="D375" s="39">
        <v>61.991308799999992</v>
      </c>
      <c r="E375" s="39">
        <v>106.33007941487129</v>
      </c>
      <c r="F375" s="39">
        <v>20.297433600000002</v>
      </c>
      <c r="G375" s="39">
        <v>18.917579153557565</v>
      </c>
      <c r="H375" s="40">
        <v>0.71524172457657986</v>
      </c>
      <c r="I375" s="40">
        <v>-6.7981719937363683E-2</v>
      </c>
      <c r="J375" s="40">
        <v>0.52205095029413018</v>
      </c>
    </row>
    <row r="376" spans="1:10" ht="11.25" customHeight="1" x14ac:dyDescent="0.2">
      <c r="A376" s="45" t="s">
        <v>25</v>
      </c>
      <c r="B376" s="39">
        <v>10825.2672</v>
      </c>
      <c r="C376" s="39">
        <v>18627.7818041682</v>
      </c>
      <c r="D376" s="39">
        <v>33544.414339199997</v>
      </c>
      <c r="E376" s="39">
        <v>57700.905334508643</v>
      </c>
      <c r="F376" s="39">
        <v>42374.232624000004</v>
      </c>
      <c r="G376" s="39">
        <v>39679.458266013702</v>
      </c>
      <c r="H376" s="40">
        <v>0.72028927165595058</v>
      </c>
      <c r="I376" s="40">
        <v>-6.3594646819870149E-2</v>
      </c>
      <c r="J376" s="40">
        <v>0.33736350871177923</v>
      </c>
    </row>
    <row r="377" spans="1:10" ht="11.25" customHeight="1" x14ac:dyDescent="0.2">
      <c r="A377" s="46" t="s">
        <v>25</v>
      </c>
      <c r="B377" s="39">
        <v>10825.2672</v>
      </c>
      <c r="C377" s="39">
        <v>18627.7818041682</v>
      </c>
      <c r="D377" s="39">
        <v>33544.414339199997</v>
      </c>
      <c r="E377" s="39">
        <v>57700.905334508643</v>
      </c>
      <c r="F377" s="39">
        <v>42374.232624000004</v>
      </c>
      <c r="G377" s="39">
        <v>39679.458266013702</v>
      </c>
      <c r="H377" s="40">
        <v>0.72028927165595058</v>
      </c>
      <c r="I377" s="40">
        <v>-6.3594646819870149E-2</v>
      </c>
      <c r="J377" s="40">
        <v>0.33736350871177923</v>
      </c>
    </row>
    <row r="378" spans="1:10" ht="11.25" customHeight="1" x14ac:dyDescent="0.2">
      <c r="A378" s="47" t="s">
        <v>25</v>
      </c>
      <c r="B378" s="39">
        <v>10825.2672</v>
      </c>
      <c r="C378" s="39">
        <v>18627.7818041682</v>
      </c>
      <c r="D378" s="39">
        <v>33544.414339199997</v>
      </c>
      <c r="E378" s="39">
        <v>57700.905334508643</v>
      </c>
      <c r="F378" s="39">
        <v>42374.232624000004</v>
      </c>
      <c r="G378" s="39">
        <v>39679.458266013702</v>
      </c>
      <c r="H378" s="40">
        <v>0.72028927165595058</v>
      </c>
      <c r="I378" s="40">
        <v>-6.3594646819870149E-2</v>
      </c>
      <c r="J378" s="40">
        <v>0.33736350871177923</v>
      </c>
    </row>
    <row r="379" spans="1:10" ht="11.25" customHeight="1" x14ac:dyDescent="0.2">
      <c r="A379" s="48" t="s">
        <v>35</v>
      </c>
      <c r="B379" s="39">
        <v>0</v>
      </c>
      <c r="C379" s="39">
        <v>0</v>
      </c>
      <c r="D379" s="39">
        <v>12412.265961599998</v>
      </c>
      <c r="E379" s="39">
        <v>21454.162707305841</v>
      </c>
      <c r="F379" s="39">
        <v>35455.063036799998</v>
      </c>
      <c r="G379" s="39">
        <v>33230.665727889849</v>
      </c>
      <c r="H379" s="40">
        <v>0.72846463117039906</v>
      </c>
      <c r="I379" s="40">
        <v>-6.273849539066878E-2</v>
      </c>
      <c r="J379" s="40">
        <v>0.14242489772144107</v>
      </c>
    </row>
    <row r="380" spans="1:10" ht="11.25" customHeight="1" x14ac:dyDescent="0.2">
      <c r="A380" s="49">
        <v>44743</v>
      </c>
      <c r="B380" s="39">
        <v>0</v>
      </c>
      <c r="C380" s="39">
        <v>0</v>
      </c>
      <c r="D380" s="39">
        <v>3489.2950463999996</v>
      </c>
      <c r="E380" s="39">
        <v>6031.1230754204771</v>
      </c>
      <c r="F380" s="39">
        <v>9967.0097471999998</v>
      </c>
      <c r="G380" s="39">
        <v>9341.6945521165417</v>
      </c>
      <c r="H380" s="40">
        <v>0.7284646311703995</v>
      </c>
      <c r="I380" s="40">
        <v>-6.273849539066878E-2</v>
      </c>
      <c r="J380" s="40">
        <v>0.14242489772144107</v>
      </c>
    </row>
    <row r="381" spans="1:10" ht="11.25" customHeight="1" x14ac:dyDescent="0.2">
      <c r="A381" s="49">
        <v>44774</v>
      </c>
      <c r="B381" s="39">
        <v>0</v>
      </c>
      <c r="C381" s="39">
        <v>0</v>
      </c>
      <c r="D381" s="39">
        <v>3067.7174495999998</v>
      </c>
      <c r="E381" s="39">
        <v>5302.4411100578618</v>
      </c>
      <c r="F381" s="39">
        <v>8762.7928608000002</v>
      </c>
      <c r="G381" s="39">
        <v>8213.0284212933129</v>
      </c>
      <c r="H381" s="40">
        <v>0.72846463117039928</v>
      </c>
      <c r="I381" s="40">
        <v>-6.2738495390668891E-2</v>
      </c>
      <c r="J381" s="40">
        <v>0.14242489772144107</v>
      </c>
    </row>
    <row r="382" spans="1:10" ht="11.25" customHeight="1" x14ac:dyDescent="0.2">
      <c r="A382" s="49">
        <v>44805</v>
      </c>
      <c r="B382" s="39">
        <v>0</v>
      </c>
      <c r="C382" s="39">
        <v>0</v>
      </c>
      <c r="D382" s="39">
        <v>2927.6267327999999</v>
      </c>
      <c r="E382" s="39">
        <v>5060.2992609137527</v>
      </c>
      <c r="F382" s="39">
        <v>8362.6302144000001</v>
      </c>
      <c r="G382" s="39">
        <v>7837.9713772399982</v>
      </c>
      <c r="H382" s="40">
        <v>0.72846463117039928</v>
      </c>
      <c r="I382" s="40">
        <v>-6.273849539066878E-2</v>
      </c>
      <c r="J382" s="40">
        <v>0.14242489772144107</v>
      </c>
    </row>
    <row r="383" spans="1:10" ht="11.25" customHeight="1" x14ac:dyDescent="0.2">
      <c r="A383" s="49">
        <v>44835</v>
      </c>
      <c r="B383" s="39">
        <v>0</v>
      </c>
      <c r="C383" s="39">
        <v>0</v>
      </c>
      <c r="D383" s="39">
        <v>2927.6267327999999</v>
      </c>
      <c r="E383" s="39">
        <v>5060.2992609137527</v>
      </c>
      <c r="F383" s="39">
        <v>8362.6302144000001</v>
      </c>
      <c r="G383" s="39">
        <v>7837.9713772399982</v>
      </c>
      <c r="H383" s="40">
        <v>0.72846463117039928</v>
      </c>
      <c r="I383" s="40">
        <v>-6.273849539066878E-2</v>
      </c>
      <c r="J383" s="40">
        <v>0.14242489772144107</v>
      </c>
    </row>
    <row r="384" spans="1:10" ht="11.25" customHeight="1" x14ac:dyDescent="0.2">
      <c r="A384" s="48" t="s">
        <v>25</v>
      </c>
      <c r="B384" s="39">
        <v>10825.2672</v>
      </c>
      <c r="C384" s="39">
        <v>18627.7818041682</v>
      </c>
      <c r="D384" s="39">
        <v>0</v>
      </c>
      <c r="E384" s="39">
        <v>0</v>
      </c>
      <c r="F384" s="39">
        <v>0</v>
      </c>
      <c r="G384" s="39">
        <v>0</v>
      </c>
      <c r="H384" s="40">
        <v>0.72076877734419331</v>
      </c>
      <c r="I384" s="40">
        <v>0</v>
      </c>
      <c r="J384" s="40">
        <v>0.72076877734419331</v>
      </c>
    </row>
    <row r="385" spans="1:10" ht="11.25" customHeight="1" x14ac:dyDescent="0.2">
      <c r="A385" s="49">
        <v>44743</v>
      </c>
      <c r="B385" s="39">
        <v>2706.3168000000001</v>
      </c>
      <c r="C385" s="39">
        <v>4656.9454510420501</v>
      </c>
      <c r="D385" s="39">
        <v>0</v>
      </c>
      <c r="E385" s="39">
        <v>0</v>
      </c>
      <c r="F385" s="39">
        <v>0</v>
      </c>
      <c r="G385" s="39">
        <v>0</v>
      </c>
      <c r="H385" s="40">
        <v>0.72076877734419331</v>
      </c>
      <c r="I385" s="40">
        <v>0</v>
      </c>
      <c r="J385" s="40">
        <v>0.72076877734419331</v>
      </c>
    </row>
    <row r="386" spans="1:10" ht="11.25" customHeight="1" x14ac:dyDescent="0.2">
      <c r="A386" s="49">
        <v>44774</v>
      </c>
      <c r="B386" s="39">
        <v>2706.3168000000001</v>
      </c>
      <c r="C386" s="39">
        <v>4656.9454510420501</v>
      </c>
      <c r="D386" s="39">
        <v>0</v>
      </c>
      <c r="E386" s="39">
        <v>0</v>
      </c>
      <c r="F386" s="39">
        <v>0</v>
      </c>
      <c r="G386" s="39">
        <v>0</v>
      </c>
      <c r="H386" s="40">
        <v>0.72076877734419331</v>
      </c>
      <c r="I386" s="40">
        <v>0</v>
      </c>
      <c r="J386" s="40">
        <v>0.72076877734419331</v>
      </c>
    </row>
    <row r="387" spans="1:10" ht="11.25" customHeight="1" x14ac:dyDescent="0.2">
      <c r="A387" s="49">
        <v>44805</v>
      </c>
      <c r="B387" s="39">
        <v>2706.3168000000001</v>
      </c>
      <c r="C387" s="39">
        <v>4656.9454510420501</v>
      </c>
      <c r="D387" s="39">
        <v>0</v>
      </c>
      <c r="E387" s="39">
        <v>0</v>
      </c>
      <c r="F387" s="39">
        <v>0</v>
      </c>
      <c r="G387" s="39">
        <v>0</v>
      </c>
      <c r="H387" s="40">
        <v>0.72076877734419331</v>
      </c>
      <c r="I387" s="40">
        <v>0</v>
      </c>
      <c r="J387" s="40">
        <v>0.72076877734419331</v>
      </c>
    </row>
    <row r="388" spans="1:10" ht="11.25" customHeight="1" x14ac:dyDescent="0.2">
      <c r="A388" s="49">
        <v>44835</v>
      </c>
      <c r="B388" s="39">
        <v>2706.3168000000001</v>
      </c>
      <c r="C388" s="39">
        <v>4656.9454510420501</v>
      </c>
      <c r="D388" s="39">
        <v>0</v>
      </c>
      <c r="E388" s="39">
        <v>0</v>
      </c>
      <c r="F388" s="39">
        <v>0</v>
      </c>
      <c r="G388" s="39">
        <v>0</v>
      </c>
      <c r="H388" s="40">
        <v>0.72076877734419331</v>
      </c>
      <c r="I388" s="40">
        <v>0</v>
      </c>
      <c r="J388" s="40">
        <v>0.72076877734419331</v>
      </c>
    </row>
    <row r="389" spans="1:10" ht="11.25" customHeight="1" x14ac:dyDescent="0.2">
      <c r="A389" s="48" t="s">
        <v>34</v>
      </c>
      <c r="B389" s="39">
        <v>0</v>
      </c>
      <c r="C389" s="39">
        <v>0</v>
      </c>
      <c r="D389" s="39">
        <v>21132.148377599999</v>
      </c>
      <c r="E389" s="39">
        <v>36246.742627202795</v>
      </c>
      <c r="F389" s="39">
        <v>6919.1695872000009</v>
      </c>
      <c r="G389" s="39">
        <v>6448.7925381238456</v>
      </c>
      <c r="H389" s="40">
        <v>0.71524172457657986</v>
      </c>
      <c r="I389" s="40">
        <v>-6.7981719937363794E-2</v>
      </c>
      <c r="J389" s="40">
        <v>0.52205095029412996</v>
      </c>
    </row>
    <row r="390" spans="1:10" ht="11.25" customHeight="1" x14ac:dyDescent="0.2">
      <c r="A390" s="49">
        <v>44743</v>
      </c>
      <c r="B390" s="39">
        <v>0</v>
      </c>
      <c r="C390" s="39">
        <v>0</v>
      </c>
      <c r="D390" s="39">
        <v>5558.5540223999997</v>
      </c>
      <c r="E390" s="39">
        <v>9534.2637875334603</v>
      </c>
      <c r="F390" s="39">
        <v>1820.0032128</v>
      </c>
      <c r="G390" s="39">
        <v>1696.2762641023285</v>
      </c>
      <c r="H390" s="40">
        <v>0.71524172457657986</v>
      </c>
      <c r="I390" s="40">
        <v>-6.7981719937363572E-2</v>
      </c>
      <c r="J390" s="40">
        <v>0.52205095029413018</v>
      </c>
    </row>
    <row r="391" spans="1:10" ht="11.25" customHeight="1" x14ac:dyDescent="0.2">
      <c r="A391" s="49">
        <v>44774</v>
      </c>
      <c r="B391" s="39">
        <v>0</v>
      </c>
      <c r="C391" s="39">
        <v>0</v>
      </c>
      <c r="D391" s="39">
        <v>5620.5453312</v>
      </c>
      <c r="E391" s="39">
        <v>9640.593866948333</v>
      </c>
      <c r="F391" s="39">
        <v>1840.3006464000002</v>
      </c>
      <c r="G391" s="39">
        <v>1715.1938432558861</v>
      </c>
      <c r="H391" s="40">
        <v>0.71524172457658008</v>
      </c>
      <c r="I391" s="40">
        <v>-6.7981719937363683E-2</v>
      </c>
      <c r="J391" s="40">
        <v>0.52205095029413018</v>
      </c>
    </row>
    <row r="392" spans="1:10" ht="11.25" customHeight="1" x14ac:dyDescent="0.2">
      <c r="A392" s="49">
        <v>44805</v>
      </c>
      <c r="B392" s="39">
        <v>0</v>
      </c>
      <c r="C392" s="39">
        <v>0</v>
      </c>
      <c r="D392" s="39">
        <v>4976.524512</v>
      </c>
      <c r="E392" s="39">
        <v>8535.9424863605018</v>
      </c>
      <c r="F392" s="39">
        <v>1629.4328640000001</v>
      </c>
      <c r="G392" s="39">
        <v>1518.6612153828157</v>
      </c>
      <c r="H392" s="40">
        <v>0.71524172457657964</v>
      </c>
      <c r="I392" s="40">
        <v>-6.7981719937363683E-2</v>
      </c>
      <c r="J392" s="40">
        <v>0.52205095029412996</v>
      </c>
    </row>
    <row r="393" spans="1:10" ht="11.25" customHeight="1" x14ac:dyDescent="0.2">
      <c r="A393" s="49">
        <v>44835</v>
      </c>
      <c r="B393" s="39">
        <v>0</v>
      </c>
      <c r="C393" s="39">
        <v>0</v>
      </c>
      <c r="D393" s="39">
        <v>4976.524512</v>
      </c>
      <c r="E393" s="39">
        <v>8535.9424863605018</v>
      </c>
      <c r="F393" s="39">
        <v>1629.4328640000001</v>
      </c>
      <c r="G393" s="39">
        <v>1518.6612153828157</v>
      </c>
      <c r="H393" s="40">
        <v>0.71524172457657964</v>
      </c>
      <c r="I393" s="40">
        <v>-6.7981719937363683E-2</v>
      </c>
      <c r="J393" s="40">
        <v>0.52205095029412996</v>
      </c>
    </row>
    <row r="394" spans="1:10" ht="11.25" customHeight="1" x14ac:dyDescent="0.2">
      <c r="A394" s="44" t="s">
        <v>50</v>
      </c>
      <c r="B394" s="39">
        <v>5789.52</v>
      </c>
      <c r="C394" s="39">
        <v>9962.425251809751</v>
      </c>
      <c r="D394" s="39">
        <v>13659.0253106</v>
      </c>
      <c r="E394" s="39">
        <v>23489.89241997401</v>
      </c>
      <c r="F394" s="39">
        <v>16208.520025400001</v>
      </c>
      <c r="G394" s="39">
        <v>15176.139432418655</v>
      </c>
      <c r="H394" s="40">
        <v>0.72004214904192954</v>
      </c>
      <c r="I394" s="40">
        <v>-6.3693698830215584E-2</v>
      </c>
      <c r="J394" s="40">
        <v>0.36378181002759846</v>
      </c>
    </row>
    <row r="395" spans="1:10" ht="11.25" customHeight="1" x14ac:dyDescent="0.2">
      <c r="A395" s="45" t="s">
        <v>51</v>
      </c>
      <c r="B395" s="39">
        <v>5789.52</v>
      </c>
      <c r="C395" s="39">
        <v>9962.425251809751</v>
      </c>
      <c r="D395" s="39">
        <v>13659.0253106</v>
      </c>
      <c r="E395" s="39">
        <v>23489.89241997401</v>
      </c>
      <c r="F395" s="39">
        <v>16208.520025400001</v>
      </c>
      <c r="G395" s="39">
        <v>15176.139432418655</v>
      </c>
      <c r="H395" s="40">
        <v>0.72004214904192954</v>
      </c>
      <c r="I395" s="40">
        <v>-6.3693698830215584E-2</v>
      </c>
      <c r="J395" s="40">
        <v>0.36378181002759846</v>
      </c>
    </row>
    <row r="396" spans="1:10" ht="11.25" customHeight="1" x14ac:dyDescent="0.2">
      <c r="A396" s="46" t="s">
        <v>25</v>
      </c>
      <c r="B396" s="39">
        <v>5789.52</v>
      </c>
      <c r="C396" s="39">
        <v>9962.425251809751</v>
      </c>
      <c r="D396" s="39">
        <v>13659.0253106</v>
      </c>
      <c r="E396" s="39">
        <v>23489.89241997401</v>
      </c>
      <c r="F396" s="39">
        <v>16208.520025400001</v>
      </c>
      <c r="G396" s="39">
        <v>15176.139432418655</v>
      </c>
      <c r="H396" s="40">
        <v>0.72004214904192954</v>
      </c>
      <c r="I396" s="40">
        <v>-6.3693698830215584E-2</v>
      </c>
      <c r="J396" s="40">
        <v>0.36378181002759846</v>
      </c>
    </row>
    <row r="397" spans="1:10" ht="11.25" customHeight="1" x14ac:dyDescent="0.2">
      <c r="A397" s="47" t="s">
        <v>25</v>
      </c>
      <c r="B397" s="39">
        <v>5789.52</v>
      </c>
      <c r="C397" s="39">
        <v>9962.425251809751</v>
      </c>
      <c r="D397" s="39">
        <v>13659.0253106</v>
      </c>
      <c r="E397" s="39">
        <v>23489.89241997401</v>
      </c>
      <c r="F397" s="39">
        <v>16208.520025400001</v>
      </c>
      <c r="G397" s="39">
        <v>15176.139432418655</v>
      </c>
      <c r="H397" s="40">
        <v>0.72004214904192954</v>
      </c>
      <c r="I397" s="40">
        <v>-6.3693698830215584E-2</v>
      </c>
      <c r="J397" s="40">
        <v>0.36378181002759846</v>
      </c>
    </row>
    <row r="398" spans="1:10" ht="11.25" customHeight="1" x14ac:dyDescent="0.2">
      <c r="A398" s="48" t="s">
        <v>35</v>
      </c>
      <c r="B398" s="39">
        <v>0</v>
      </c>
      <c r="C398" s="39">
        <v>0</v>
      </c>
      <c r="D398" s="39">
        <v>4640.6052822000001</v>
      </c>
      <c r="E398" s="39">
        <v>8021.1220975052292</v>
      </c>
      <c r="F398" s="39">
        <v>13255.674130599999</v>
      </c>
      <c r="G398" s="39">
        <v>12424.033080257144</v>
      </c>
      <c r="H398" s="40">
        <v>0.72846463117039906</v>
      </c>
      <c r="I398" s="40">
        <v>-6.2738495390668669E-2</v>
      </c>
      <c r="J398" s="40">
        <v>0.14242489772144129</v>
      </c>
    </row>
    <row r="399" spans="1:10" ht="11.25" customHeight="1" x14ac:dyDescent="0.2">
      <c r="A399" s="49">
        <v>44501</v>
      </c>
      <c r="B399" s="39">
        <v>0</v>
      </c>
      <c r="C399" s="39">
        <v>0</v>
      </c>
      <c r="D399" s="39">
        <v>339.29537819999996</v>
      </c>
      <c r="E399" s="39">
        <v>586.46006073828414</v>
      </c>
      <c r="F399" s="39">
        <v>969.18153859999995</v>
      </c>
      <c r="G399" s="39">
        <v>908.3765471078226</v>
      </c>
      <c r="H399" s="40">
        <v>0.7284646311703995</v>
      </c>
      <c r="I399" s="40">
        <v>-6.273849539066878E-2</v>
      </c>
      <c r="J399" s="40">
        <v>0.14242489772144129</v>
      </c>
    </row>
    <row r="400" spans="1:10" ht="11.25" customHeight="1" x14ac:dyDescent="0.2">
      <c r="A400" s="49">
        <v>44531</v>
      </c>
      <c r="B400" s="39">
        <v>0</v>
      </c>
      <c r="C400" s="39">
        <v>0</v>
      </c>
      <c r="D400" s="39">
        <v>358.06966919999996</v>
      </c>
      <c r="E400" s="39">
        <v>618.91075870708482</v>
      </c>
      <c r="F400" s="39">
        <v>1022.8094315999999</v>
      </c>
      <c r="G400" s="39">
        <v>958.63990679003075</v>
      </c>
      <c r="H400" s="40">
        <v>0.72846463117039928</v>
      </c>
      <c r="I400" s="40">
        <v>-6.273849539066878E-2</v>
      </c>
      <c r="J400" s="40">
        <v>0.14242489772144107</v>
      </c>
    </row>
    <row r="401" spans="1:10" ht="11.25" customHeight="1" x14ac:dyDescent="0.2">
      <c r="A401" s="49">
        <v>44562</v>
      </c>
      <c r="B401" s="39">
        <v>0</v>
      </c>
      <c r="C401" s="39">
        <v>0</v>
      </c>
      <c r="D401" s="39">
        <v>384.03411419999998</v>
      </c>
      <c r="E401" s="39">
        <v>663.78938355755395</v>
      </c>
      <c r="F401" s="39">
        <v>1096.9756666000001</v>
      </c>
      <c r="G401" s="39">
        <v>1028.1530637973401</v>
      </c>
      <c r="H401" s="40">
        <v>0.72846463117039928</v>
      </c>
      <c r="I401" s="40">
        <v>-6.273849539066878E-2</v>
      </c>
      <c r="J401" s="40">
        <v>0.14242489772144107</v>
      </c>
    </row>
    <row r="402" spans="1:10" ht="11.25" customHeight="1" x14ac:dyDescent="0.2">
      <c r="A402" s="49">
        <v>44593</v>
      </c>
      <c r="B402" s="39">
        <v>0</v>
      </c>
      <c r="C402" s="39">
        <v>0</v>
      </c>
      <c r="D402" s="39">
        <v>328.27047539999995</v>
      </c>
      <c r="E402" s="39">
        <v>567.40390618639265</v>
      </c>
      <c r="F402" s="39">
        <v>937.68941419999999</v>
      </c>
      <c r="G402" s="39">
        <v>878.8601912093344</v>
      </c>
      <c r="H402" s="40">
        <v>0.7284646311703995</v>
      </c>
      <c r="I402" s="40">
        <v>-6.273849539066878E-2</v>
      </c>
      <c r="J402" s="40">
        <v>0.14242489772144129</v>
      </c>
    </row>
    <row r="403" spans="1:10" ht="11.25" customHeight="1" x14ac:dyDescent="0.2">
      <c r="A403" s="49">
        <v>44621</v>
      </c>
      <c r="B403" s="39">
        <v>0</v>
      </c>
      <c r="C403" s="39">
        <v>0</v>
      </c>
      <c r="D403" s="39">
        <v>353.83546739999997</v>
      </c>
      <c r="E403" s="39">
        <v>611.59209065454684</v>
      </c>
      <c r="F403" s="39">
        <v>1010.7146302000001</v>
      </c>
      <c r="G403" s="39">
        <v>947.30391503191584</v>
      </c>
      <c r="H403" s="40">
        <v>0.7284646311703995</v>
      </c>
      <c r="I403" s="40">
        <v>-6.2738495390668891E-2</v>
      </c>
      <c r="J403" s="40">
        <v>0.14242489772144107</v>
      </c>
    </row>
    <row r="404" spans="1:10" ht="11.25" customHeight="1" x14ac:dyDescent="0.2">
      <c r="A404" s="49">
        <v>44652</v>
      </c>
      <c r="B404" s="39">
        <v>0</v>
      </c>
      <c r="C404" s="39">
        <v>0</v>
      </c>
      <c r="D404" s="39">
        <v>366.05872919999996</v>
      </c>
      <c r="E404" s="39">
        <v>632.71956635338302</v>
      </c>
      <c r="F404" s="39">
        <v>1045.6298116</v>
      </c>
      <c r="G404" s="39">
        <v>980.02857048458759</v>
      </c>
      <c r="H404" s="40">
        <v>0.72846463117039928</v>
      </c>
      <c r="I404" s="40">
        <v>-6.273849539066878E-2</v>
      </c>
      <c r="J404" s="40">
        <v>0.14242489772144107</v>
      </c>
    </row>
    <row r="405" spans="1:10" ht="11.25" customHeight="1" x14ac:dyDescent="0.2">
      <c r="A405" s="49">
        <v>44682</v>
      </c>
      <c r="B405" s="39">
        <v>0</v>
      </c>
      <c r="C405" s="39">
        <v>0</v>
      </c>
      <c r="D405" s="39">
        <v>386.67050399999994</v>
      </c>
      <c r="E405" s="39">
        <v>668.34629008083232</v>
      </c>
      <c r="F405" s="39">
        <v>1104.506392</v>
      </c>
      <c r="G405" s="39">
        <v>1035.2113228165438</v>
      </c>
      <c r="H405" s="40">
        <v>0.72846463117039928</v>
      </c>
      <c r="I405" s="40">
        <v>-6.273849539066878E-2</v>
      </c>
      <c r="J405" s="40">
        <v>0.14242489772144129</v>
      </c>
    </row>
    <row r="406" spans="1:10" ht="11.25" customHeight="1" x14ac:dyDescent="0.2">
      <c r="A406" s="49">
        <v>44713</v>
      </c>
      <c r="B406" s="39">
        <v>0</v>
      </c>
      <c r="C406" s="39">
        <v>0</v>
      </c>
      <c r="D406" s="39">
        <v>383.63466119999998</v>
      </c>
      <c r="E406" s="39">
        <v>663.09894317523913</v>
      </c>
      <c r="F406" s="39">
        <v>1095.8346476000002</v>
      </c>
      <c r="G406" s="39">
        <v>1027.0836306126123</v>
      </c>
      <c r="H406" s="40">
        <v>0.7284646311703995</v>
      </c>
      <c r="I406" s="40">
        <v>-6.2738495390668891E-2</v>
      </c>
      <c r="J406" s="40">
        <v>0.14242489772144107</v>
      </c>
    </row>
    <row r="407" spans="1:10" ht="11.25" customHeight="1" x14ac:dyDescent="0.2">
      <c r="A407" s="49">
        <v>44743</v>
      </c>
      <c r="B407" s="39">
        <v>0</v>
      </c>
      <c r="C407" s="39">
        <v>0</v>
      </c>
      <c r="D407" s="39">
        <v>431.48913059999995</v>
      </c>
      <c r="E407" s="39">
        <v>745.8137009765652</v>
      </c>
      <c r="F407" s="39">
        <v>1232.5287237999999</v>
      </c>
      <c r="G407" s="39">
        <v>1155.2017261430067</v>
      </c>
      <c r="H407" s="40">
        <v>0.72846463117039928</v>
      </c>
      <c r="I407" s="40">
        <v>-6.273849539066878E-2</v>
      </c>
      <c r="J407" s="40">
        <v>0.14242489772144129</v>
      </c>
    </row>
    <row r="408" spans="1:10" ht="11.25" customHeight="1" x14ac:dyDescent="0.2">
      <c r="A408" s="49">
        <v>44774</v>
      </c>
      <c r="B408" s="39">
        <v>0</v>
      </c>
      <c r="C408" s="39">
        <v>0</v>
      </c>
      <c r="D408" s="39">
        <v>446.10911040000002</v>
      </c>
      <c r="E408" s="39">
        <v>771.08381896929097</v>
      </c>
      <c r="F408" s="39">
        <v>1274.2900192000002</v>
      </c>
      <c r="G408" s="39">
        <v>1194.3429807040457</v>
      </c>
      <c r="H408" s="40">
        <v>0.72846463117039928</v>
      </c>
      <c r="I408" s="40">
        <v>-6.2738495390668891E-2</v>
      </c>
      <c r="J408" s="40">
        <v>0.14242489772144107</v>
      </c>
    </row>
    <row r="409" spans="1:10" ht="11.25" customHeight="1" x14ac:dyDescent="0.2">
      <c r="A409" s="49">
        <v>44805</v>
      </c>
      <c r="B409" s="39">
        <v>0</v>
      </c>
      <c r="C409" s="39">
        <v>0</v>
      </c>
      <c r="D409" s="39">
        <v>431.56902120000001</v>
      </c>
      <c r="E409" s="39">
        <v>745.95178905302828</v>
      </c>
      <c r="F409" s="39">
        <v>1232.7569276000002</v>
      </c>
      <c r="G409" s="39">
        <v>1155.4156127799524</v>
      </c>
      <c r="H409" s="40">
        <v>0.72846463117039928</v>
      </c>
      <c r="I409" s="40">
        <v>-6.2738495390668891E-2</v>
      </c>
      <c r="J409" s="40">
        <v>0.14242489772144129</v>
      </c>
    </row>
    <row r="410" spans="1:10" ht="11.25" customHeight="1" x14ac:dyDescent="0.2">
      <c r="A410" s="49">
        <v>44835</v>
      </c>
      <c r="B410" s="39">
        <v>0</v>
      </c>
      <c r="C410" s="39">
        <v>0</v>
      </c>
      <c r="D410" s="39">
        <v>431.56902120000001</v>
      </c>
      <c r="E410" s="39">
        <v>745.95178905302828</v>
      </c>
      <c r="F410" s="39">
        <v>1232.7569276000002</v>
      </c>
      <c r="G410" s="39">
        <v>1155.4156127799524</v>
      </c>
      <c r="H410" s="40">
        <v>0.72846463117039928</v>
      </c>
      <c r="I410" s="40">
        <v>-6.2738495390668891E-2</v>
      </c>
      <c r="J410" s="40">
        <v>0.14242489772144129</v>
      </c>
    </row>
    <row r="411" spans="1:10" ht="11.25" customHeight="1" x14ac:dyDescent="0.2">
      <c r="A411" s="48" t="s">
        <v>25</v>
      </c>
      <c r="B411" s="39">
        <v>5789.52</v>
      </c>
      <c r="C411" s="39">
        <v>9962.425251809751</v>
      </c>
      <c r="D411" s="39">
        <v>0</v>
      </c>
      <c r="E411" s="39">
        <v>0</v>
      </c>
      <c r="F411" s="39">
        <v>0</v>
      </c>
      <c r="G411" s="39">
        <v>0</v>
      </c>
      <c r="H411" s="40">
        <v>0.72076877734419265</v>
      </c>
      <c r="I411" s="40">
        <v>0</v>
      </c>
      <c r="J411" s="40">
        <v>0.72076877734419265</v>
      </c>
    </row>
    <row r="412" spans="1:10" ht="11.25" customHeight="1" x14ac:dyDescent="0.2">
      <c r="A412" s="49">
        <v>44501</v>
      </c>
      <c r="B412" s="39">
        <v>482.46000000000004</v>
      </c>
      <c r="C412" s="39">
        <v>830.20210431747955</v>
      </c>
      <c r="D412" s="39">
        <v>0</v>
      </c>
      <c r="E412" s="39">
        <v>0</v>
      </c>
      <c r="F412" s="39">
        <v>0</v>
      </c>
      <c r="G412" s="39">
        <v>0</v>
      </c>
      <c r="H412" s="40">
        <v>0.72076877734419331</v>
      </c>
      <c r="I412" s="40">
        <v>0</v>
      </c>
      <c r="J412" s="40">
        <v>0.72076877734419331</v>
      </c>
    </row>
    <row r="413" spans="1:10" ht="11.25" customHeight="1" x14ac:dyDescent="0.2">
      <c r="A413" s="49">
        <v>44531</v>
      </c>
      <c r="B413" s="39">
        <v>482.46000000000004</v>
      </c>
      <c r="C413" s="39">
        <v>830.20210431747955</v>
      </c>
      <c r="D413" s="39">
        <v>0</v>
      </c>
      <c r="E413" s="39">
        <v>0</v>
      </c>
      <c r="F413" s="39">
        <v>0</v>
      </c>
      <c r="G413" s="39">
        <v>0</v>
      </c>
      <c r="H413" s="40">
        <v>0.72076877734419331</v>
      </c>
      <c r="I413" s="40">
        <v>0</v>
      </c>
      <c r="J413" s="40">
        <v>0.72076877734419331</v>
      </c>
    </row>
    <row r="414" spans="1:10" ht="11.25" customHeight="1" x14ac:dyDescent="0.2">
      <c r="A414" s="49">
        <v>44562</v>
      </c>
      <c r="B414" s="39">
        <v>482.46000000000004</v>
      </c>
      <c r="C414" s="39">
        <v>830.20210431747955</v>
      </c>
      <c r="D414" s="39">
        <v>0</v>
      </c>
      <c r="E414" s="39">
        <v>0</v>
      </c>
      <c r="F414" s="39">
        <v>0</v>
      </c>
      <c r="G414" s="39">
        <v>0</v>
      </c>
      <c r="H414" s="40">
        <v>0.72076877734419331</v>
      </c>
      <c r="I414" s="40">
        <v>0</v>
      </c>
      <c r="J414" s="40">
        <v>0.72076877734419331</v>
      </c>
    </row>
    <row r="415" spans="1:10" ht="11.25" customHeight="1" x14ac:dyDescent="0.2">
      <c r="A415" s="49">
        <v>44593</v>
      </c>
      <c r="B415" s="39">
        <v>482.46000000000004</v>
      </c>
      <c r="C415" s="39">
        <v>830.20210431747955</v>
      </c>
      <c r="D415" s="39">
        <v>0</v>
      </c>
      <c r="E415" s="39">
        <v>0</v>
      </c>
      <c r="F415" s="39">
        <v>0</v>
      </c>
      <c r="G415" s="39">
        <v>0</v>
      </c>
      <c r="H415" s="40">
        <v>0.72076877734419331</v>
      </c>
      <c r="I415" s="40">
        <v>0</v>
      </c>
      <c r="J415" s="40">
        <v>0.72076877734419331</v>
      </c>
    </row>
    <row r="416" spans="1:10" ht="11.25" customHeight="1" x14ac:dyDescent="0.2">
      <c r="A416" s="49">
        <v>44621</v>
      </c>
      <c r="B416" s="39">
        <v>482.46000000000004</v>
      </c>
      <c r="C416" s="39">
        <v>830.20210431747955</v>
      </c>
      <c r="D416" s="39">
        <v>0</v>
      </c>
      <c r="E416" s="39">
        <v>0</v>
      </c>
      <c r="F416" s="39">
        <v>0</v>
      </c>
      <c r="G416" s="39">
        <v>0</v>
      </c>
      <c r="H416" s="40">
        <v>0.72076877734419331</v>
      </c>
      <c r="I416" s="40">
        <v>0</v>
      </c>
      <c r="J416" s="40">
        <v>0.72076877734419331</v>
      </c>
    </row>
    <row r="417" spans="1:10" ht="11.25" customHeight="1" x14ac:dyDescent="0.2">
      <c r="A417" s="49">
        <v>44652</v>
      </c>
      <c r="B417" s="39">
        <v>482.46000000000004</v>
      </c>
      <c r="C417" s="39">
        <v>830.20210431747955</v>
      </c>
      <c r="D417" s="39">
        <v>0</v>
      </c>
      <c r="E417" s="39">
        <v>0</v>
      </c>
      <c r="F417" s="39">
        <v>0</v>
      </c>
      <c r="G417" s="39">
        <v>0</v>
      </c>
      <c r="H417" s="40">
        <v>0.72076877734419331</v>
      </c>
      <c r="I417" s="40">
        <v>0</v>
      </c>
      <c r="J417" s="40">
        <v>0.72076877734419331</v>
      </c>
    </row>
    <row r="418" spans="1:10" ht="11.25" customHeight="1" x14ac:dyDescent="0.2">
      <c r="A418" s="49">
        <v>44682</v>
      </c>
      <c r="B418" s="39">
        <v>482.46000000000004</v>
      </c>
      <c r="C418" s="39">
        <v>830.20210431747955</v>
      </c>
      <c r="D418" s="39">
        <v>0</v>
      </c>
      <c r="E418" s="39">
        <v>0</v>
      </c>
      <c r="F418" s="39">
        <v>0</v>
      </c>
      <c r="G418" s="39">
        <v>0</v>
      </c>
      <c r="H418" s="40">
        <v>0.72076877734419331</v>
      </c>
      <c r="I418" s="40">
        <v>0</v>
      </c>
      <c r="J418" s="40">
        <v>0.72076877734419331</v>
      </c>
    </row>
    <row r="419" spans="1:10" ht="11.25" customHeight="1" x14ac:dyDescent="0.2">
      <c r="A419" s="49">
        <v>44713</v>
      </c>
      <c r="B419" s="39">
        <v>482.46000000000004</v>
      </c>
      <c r="C419" s="39">
        <v>830.20210431747955</v>
      </c>
      <c r="D419" s="39">
        <v>0</v>
      </c>
      <c r="E419" s="39">
        <v>0</v>
      </c>
      <c r="F419" s="39">
        <v>0</v>
      </c>
      <c r="G419" s="39">
        <v>0</v>
      </c>
      <c r="H419" s="40">
        <v>0.72076877734419331</v>
      </c>
      <c r="I419" s="40">
        <v>0</v>
      </c>
      <c r="J419" s="40">
        <v>0.72076877734419331</v>
      </c>
    </row>
    <row r="420" spans="1:10" ht="11.25" customHeight="1" x14ac:dyDescent="0.2">
      <c r="A420" s="49">
        <v>44743</v>
      </c>
      <c r="B420" s="39">
        <v>482.46000000000004</v>
      </c>
      <c r="C420" s="39">
        <v>830.20210431747955</v>
      </c>
      <c r="D420" s="39">
        <v>0</v>
      </c>
      <c r="E420" s="39">
        <v>0</v>
      </c>
      <c r="F420" s="39">
        <v>0</v>
      </c>
      <c r="G420" s="39">
        <v>0</v>
      </c>
      <c r="H420" s="40">
        <v>0.72076877734419331</v>
      </c>
      <c r="I420" s="40">
        <v>0</v>
      </c>
      <c r="J420" s="40">
        <v>0.72076877734419331</v>
      </c>
    </row>
    <row r="421" spans="1:10" ht="11.25" customHeight="1" x14ac:dyDescent="0.2">
      <c r="A421" s="49">
        <v>44774</v>
      </c>
      <c r="B421" s="39">
        <v>482.46000000000004</v>
      </c>
      <c r="C421" s="39">
        <v>830.20210431747955</v>
      </c>
      <c r="D421" s="39">
        <v>0</v>
      </c>
      <c r="E421" s="39">
        <v>0</v>
      </c>
      <c r="F421" s="39">
        <v>0</v>
      </c>
      <c r="G421" s="39">
        <v>0</v>
      </c>
      <c r="H421" s="40">
        <v>0.72076877734419331</v>
      </c>
      <c r="I421" s="40">
        <v>0</v>
      </c>
      <c r="J421" s="40">
        <v>0.72076877734419331</v>
      </c>
    </row>
    <row r="422" spans="1:10" ht="11.25" customHeight="1" x14ac:dyDescent="0.2">
      <c r="A422" s="49">
        <v>44805</v>
      </c>
      <c r="B422" s="39">
        <v>482.46000000000004</v>
      </c>
      <c r="C422" s="39">
        <v>830.20210431747955</v>
      </c>
      <c r="D422" s="39">
        <v>0</v>
      </c>
      <c r="E422" s="39">
        <v>0</v>
      </c>
      <c r="F422" s="39">
        <v>0</v>
      </c>
      <c r="G422" s="39">
        <v>0</v>
      </c>
      <c r="H422" s="40">
        <v>0.72076877734419331</v>
      </c>
      <c r="I422" s="40">
        <v>0</v>
      </c>
      <c r="J422" s="40">
        <v>0.72076877734419331</v>
      </c>
    </row>
    <row r="423" spans="1:10" ht="11.25" customHeight="1" x14ac:dyDescent="0.2">
      <c r="A423" s="49">
        <v>44835</v>
      </c>
      <c r="B423" s="39">
        <v>482.46000000000004</v>
      </c>
      <c r="C423" s="39">
        <v>830.20210431747955</v>
      </c>
      <c r="D423" s="39">
        <v>0</v>
      </c>
      <c r="E423" s="39">
        <v>0</v>
      </c>
      <c r="F423" s="39">
        <v>0</v>
      </c>
      <c r="G423" s="39">
        <v>0</v>
      </c>
      <c r="H423" s="40">
        <v>0.72076877734419331</v>
      </c>
      <c r="I423" s="40">
        <v>0</v>
      </c>
      <c r="J423" s="40">
        <v>0.72076877734419331</v>
      </c>
    </row>
    <row r="424" spans="1:10" ht="11.25" customHeight="1" x14ac:dyDescent="0.2">
      <c r="A424" s="48" t="s">
        <v>34</v>
      </c>
      <c r="B424" s="39">
        <v>0</v>
      </c>
      <c r="C424" s="39">
        <v>0</v>
      </c>
      <c r="D424" s="39">
        <v>9018.4200283999999</v>
      </c>
      <c r="E424" s="39">
        <v>15468.770322468783</v>
      </c>
      <c r="F424" s="39">
        <v>2952.8458948000002</v>
      </c>
      <c r="G424" s="39">
        <v>2752.1063521615129</v>
      </c>
      <c r="H424" s="40">
        <v>0.71524172457657964</v>
      </c>
      <c r="I424" s="40">
        <v>-6.7981719937363572E-2</v>
      </c>
      <c r="J424" s="40">
        <v>0.52205095029413018</v>
      </c>
    </row>
    <row r="425" spans="1:10" ht="11.25" customHeight="1" x14ac:dyDescent="0.2">
      <c r="A425" s="49">
        <v>44501</v>
      </c>
      <c r="B425" s="39">
        <v>0</v>
      </c>
      <c r="C425" s="39">
        <v>0</v>
      </c>
      <c r="D425" s="39">
        <v>605.8741612</v>
      </c>
      <c r="E425" s="39">
        <v>1039.2206411330767</v>
      </c>
      <c r="F425" s="39">
        <v>198.37765640000001</v>
      </c>
      <c r="G425" s="39">
        <v>184.89160212078465</v>
      </c>
      <c r="H425" s="40">
        <v>0.71524172457657986</v>
      </c>
      <c r="I425" s="40">
        <v>-6.7981719937363683E-2</v>
      </c>
      <c r="J425" s="40">
        <v>0.52205095029413018</v>
      </c>
    </row>
    <row r="426" spans="1:10" ht="11.25" customHeight="1" x14ac:dyDescent="0.2">
      <c r="A426" s="49">
        <v>44531</v>
      </c>
      <c r="B426" s="39">
        <v>0</v>
      </c>
      <c r="C426" s="39">
        <v>0</v>
      </c>
      <c r="D426" s="39">
        <v>727.27380760000005</v>
      </c>
      <c r="E426" s="39">
        <v>1247.4503799871998</v>
      </c>
      <c r="F426" s="39">
        <v>238.12679720000003</v>
      </c>
      <c r="G426" s="39">
        <v>221.93852796316824</v>
      </c>
      <c r="H426" s="40">
        <v>0.71524172457657986</v>
      </c>
      <c r="I426" s="40">
        <v>-6.7981719937363572E-2</v>
      </c>
      <c r="J426" s="40">
        <v>0.52205095029413018</v>
      </c>
    </row>
    <row r="427" spans="1:10" ht="11.25" customHeight="1" x14ac:dyDescent="0.2">
      <c r="A427" s="49">
        <v>44562</v>
      </c>
      <c r="B427" s="39">
        <v>0</v>
      </c>
      <c r="C427" s="39">
        <v>0</v>
      </c>
      <c r="D427" s="39">
        <v>729.52194919999999</v>
      </c>
      <c r="E427" s="39">
        <v>1251.3064862622762</v>
      </c>
      <c r="F427" s="39">
        <v>238.86289240000002</v>
      </c>
      <c r="G427" s="39">
        <v>222.6245821454346</v>
      </c>
      <c r="H427" s="40">
        <v>0.71524172457658008</v>
      </c>
      <c r="I427" s="40">
        <v>-6.7981719937363572E-2</v>
      </c>
      <c r="J427" s="40">
        <v>0.52205095029413018</v>
      </c>
    </row>
    <row r="428" spans="1:10" ht="11.25" customHeight="1" x14ac:dyDescent="0.2">
      <c r="A428" s="49">
        <v>44593</v>
      </c>
      <c r="B428" s="39">
        <v>0</v>
      </c>
      <c r="C428" s="39">
        <v>0</v>
      </c>
      <c r="D428" s="39">
        <v>646.34070999999994</v>
      </c>
      <c r="E428" s="39">
        <v>1108.630554084451</v>
      </c>
      <c r="F428" s="39">
        <v>211.62737000000001</v>
      </c>
      <c r="G428" s="39">
        <v>197.24057740157917</v>
      </c>
      <c r="H428" s="40">
        <v>0.71524172457657986</v>
      </c>
      <c r="I428" s="40">
        <v>-6.7981719937363683E-2</v>
      </c>
      <c r="J428" s="40">
        <v>0.52205095029413018</v>
      </c>
    </row>
    <row r="429" spans="1:10" ht="11.25" customHeight="1" x14ac:dyDescent="0.2">
      <c r="A429" s="49">
        <v>44621</v>
      </c>
      <c r="B429" s="39">
        <v>0</v>
      </c>
      <c r="C429" s="39">
        <v>0</v>
      </c>
      <c r="D429" s="39">
        <v>686.80725879999989</v>
      </c>
      <c r="E429" s="39">
        <v>1178.0404670358253</v>
      </c>
      <c r="F429" s="39">
        <v>224.87708359999999</v>
      </c>
      <c r="G429" s="39">
        <v>209.58955268237369</v>
      </c>
      <c r="H429" s="40">
        <v>0.71524172457657986</v>
      </c>
      <c r="I429" s="40">
        <v>-6.7981719937363572E-2</v>
      </c>
      <c r="J429" s="40">
        <v>0.52205095029413018</v>
      </c>
    </row>
    <row r="430" spans="1:10" ht="11.25" customHeight="1" x14ac:dyDescent="0.2">
      <c r="A430" s="49">
        <v>44652</v>
      </c>
      <c r="B430" s="39">
        <v>0</v>
      </c>
      <c r="C430" s="39">
        <v>0</v>
      </c>
      <c r="D430" s="39">
        <v>629.479648</v>
      </c>
      <c r="E430" s="39">
        <v>1079.7097570213782</v>
      </c>
      <c r="F430" s="39">
        <v>206.10665600000002</v>
      </c>
      <c r="G430" s="39">
        <v>192.09517103458145</v>
      </c>
      <c r="H430" s="40">
        <v>0.71524172457657942</v>
      </c>
      <c r="I430" s="40">
        <v>-6.7981719937363683E-2</v>
      </c>
      <c r="J430" s="40">
        <v>0.52205095029412973</v>
      </c>
    </row>
    <row r="431" spans="1:10" ht="11.25" customHeight="1" x14ac:dyDescent="0.2">
      <c r="A431" s="49">
        <v>44682</v>
      </c>
      <c r="B431" s="39">
        <v>0</v>
      </c>
      <c r="C431" s="39">
        <v>0</v>
      </c>
      <c r="D431" s="39">
        <v>783.47734759999992</v>
      </c>
      <c r="E431" s="39">
        <v>1343.8530368641084</v>
      </c>
      <c r="F431" s="39">
        <v>256.52917719999999</v>
      </c>
      <c r="G431" s="39">
        <v>239.08988251982728</v>
      </c>
      <c r="H431" s="40">
        <v>0.71524172457657986</v>
      </c>
      <c r="I431" s="40">
        <v>-6.7981719937363572E-2</v>
      </c>
      <c r="J431" s="40">
        <v>0.5220509502941304</v>
      </c>
    </row>
    <row r="432" spans="1:10" ht="11.25" customHeight="1" x14ac:dyDescent="0.2">
      <c r="A432" s="49">
        <v>44713</v>
      </c>
      <c r="B432" s="39">
        <v>0</v>
      </c>
      <c r="C432" s="39">
        <v>0</v>
      </c>
      <c r="D432" s="39">
        <v>736.26637400000004</v>
      </c>
      <c r="E432" s="39">
        <v>1262.8748050875051</v>
      </c>
      <c r="F432" s="39">
        <v>241.07117800000003</v>
      </c>
      <c r="G432" s="39">
        <v>224.68274469223368</v>
      </c>
      <c r="H432" s="40">
        <v>0.71524172457657986</v>
      </c>
      <c r="I432" s="40">
        <v>-6.7981719937363683E-2</v>
      </c>
      <c r="J432" s="40">
        <v>0.52205095029412996</v>
      </c>
    </row>
    <row r="433" spans="1:10" ht="11.25" customHeight="1" x14ac:dyDescent="0.2">
      <c r="A433" s="49">
        <v>44743</v>
      </c>
      <c r="B433" s="39">
        <v>0</v>
      </c>
      <c r="C433" s="39">
        <v>0</v>
      </c>
      <c r="D433" s="39">
        <v>857.66602039999987</v>
      </c>
      <c r="E433" s="39">
        <v>1471.104543941628</v>
      </c>
      <c r="F433" s="39">
        <v>280.8203188</v>
      </c>
      <c r="G433" s="39">
        <v>261.72967053461724</v>
      </c>
      <c r="H433" s="40">
        <v>0.71524172457657986</v>
      </c>
      <c r="I433" s="40">
        <v>-6.7981719937363572E-2</v>
      </c>
      <c r="J433" s="40">
        <v>0.5220509502941304</v>
      </c>
    </row>
    <row r="434" spans="1:10" ht="11.25" customHeight="1" x14ac:dyDescent="0.2">
      <c r="A434" s="49">
        <v>44774</v>
      </c>
      <c r="B434" s="39">
        <v>0</v>
      </c>
      <c r="C434" s="39">
        <v>0</v>
      </c>
      <c r="D434" s="39">
        <v>934.10283479999987</v>
      </c>
      <c r="E434" s="39">
        <v>1602.2121572942237</v>
      </c>
      <c r="F434" s="39">
        <v>305.84755560000002</v>
      </c>
      <c r="G434" s="39">
        <v>285.05551273167356</v>
      </c>
      <c r="H434" s="40">
        <v>0.71524172457657964</v>
      </c>
      <c r="I434" s="40">
        <v>-6.7981719937363683E-2</v>
      </c>
      <c r="J434" s="40">
        <v>0.52205095029413018</v>
      </c>
    </row>
    <row r="435" spans="1:10" ht="11.25" customHeight="1" x14ac:dyDescent="0.2">
      <c r="A435" s="49">
        <v>44805</v>
      </c>
      <c r="B435" s="39">
        <v>0</v>
      </c>
      <c r="C435" s="39">
        <v>0</v>
      </c>
      <c r="D435" s="39">
        <v>840.80495839999992</v>
      </c>
      <c r="E435" s="39">
        <v>1442.1837468785552</v>
      </c>
      <c r="F435" s="39">
        <v>275.2996048</v>
      </c>
      <c r="G435" s="39">
        <v>256.58426416761949</v>
      </c>
      <c r="H435" s="40">
        <v>0.71524172457657964</v>
      </c>
      <c r="I435" s="40">
        <v>-6.7981719937363683E-2</v>
      </c>
      <c r="J435" s="40">
        <v>0.52205095029412973</v>
      </c>
    </row>
    <row r="436" spans="1:10" ht="11.25" customHeight="1" x14ac:dyDescent="0.2">
      <c r="A436" s="49">
        <v>44835</v>
      </c>
      <c r="B436" s="39">
        <v>0</v>
      </c>
      <c r="C436" s="39">
        <v>0</v>
      </c>
      <c r="D436" s="39">
        <v>840.80495839999992</v>
      </c>
      <c r="E436" s="39">
        <v>1442.1837468785552</v>
      </c>
      <c r="F436" s="39">
        <v>275.2996048</v>
      </c>
      <c r="G436" s="39">
        <v>256.58426416761949</v>
      </c>
      <c r="H436" s="40">
        <v>0.71524172457657964</v>
      </c>
      <c r="I436" s="40">
        <v>-6.7981719937363683E-2</v>
      </c>
      <c r="J436" s="40">
        <v>0.52205095029412973</v>
      </c>
    </row>
    <row r="437" spans="1:10" ht="11.25" customHeight="1" x14ac:dyDescent="0.2">
      <c r="A437" s="42" t="s">
        <v>22</v>
      </c>
      <c r="B437" s="39">
        <v>0</v>
      </c>
      <c r="C437" s="39">
        <v>0</v>
      </c>
      <c r="D437" s="39">
        <v>18810270.25104</v>
      </c>
      <c r="E437" s="39">
        <v>23729687.596078675</v>
      </c>
      <c r="F437" s="39">
        <v>12828733.238684999</v>
      </c>
      <c r="G437" s="39">
        <v>12015166.440063173</v>
      </c>
      <c r="H437" s="40">
        <v>0.26152826511180605</v>
      </c>
      <c r="I437" s="40">
        <v>-6.3417547429275634E-2</v>
      </c>
      <c r="J437" s="40">
        <v>0.12977180358257123</v>
      </c>
    </row>
    <row r="438" spans="1:10" ht="11.25" customHeight="1" x14ac:dyDescent="0.2">
      <c r="A438" s="43" t="s">
        <v>33</v>
      </c>
      <c r="B438" s="39">
        <v>0</v>
      </c>
      <c r="C438" s="39">
        <v>0</v>
      </c>
      <c r="D438" s="39">
        <v>21011.848129999995</v>
      </c>
      <c r="E438" s="39">
        <v>26803.822202656076</v>
      </c>
      <c r="F438" s="39">
        <v>14543.27563</v>
      </c>
      <c r="G438" s="39">
        <v>13620.177151799149</v>
      </c>
      <c r="H438" s="40">
        <v>0.2756527668019122</v>
      </c>
      <c r="I438" s="40">
        <v>-6.3472528588860322E-2</v>
      </c>
      <c r="J438" s="40">
        <v>0.13693878911294322</v>
      </c>
    </row>
    <row r="439" spans="1:10" ht="11.25" customHeight="1" x14ac:dyDescent="0.2">
      <c r="A439" s="44" t="s">
        <v>24</v>
      </c>
      <c r="B439" s="39">
        <v>0</v>
      </c>
      <c r="C439" s="39">
        <v>0</v>
      </c>
      <c r="D439" s="39">
        <v>21011.848129999995</v>
      </c>
      <c r="E439" s="39">
        <v>26803.822202656076</v>
      </c>
      <c r="F439" s="39">
        <v>14543.27563</v>
      </c>
      <c r="G439" s="39">
        <v>13620.177151799149</v>
      </c>
      <c r="H439" s="40">
        <v>0.2756527668019122</v>
      </c>
      <c r="I439" s="40">
        <v>-6.3472528588860322E-2</v>
      </c>
      <c r="J439" s="40">
        <v>0.13693878911294322</v>
      </c>
    </row>
    <row r="440" spans="1:10" ht="11.25" customHeight="1" x14ac:dyDescent="0.2">
      <c r="A440" s="45" t="s">
        <v>24</v>
      </c>
      <c r="B440" s="39">
        <v>0</v>
      </c>
      <c r="C440" s="39">
        <v>0</v>
      </c>
      <c r="D440" s="39">
        <v>21011.848129999995</v>
      </c>
      <c r="E440" s="39">
        <v>26803.822202656076</v>
      </c>
      <c r="F440" s="39">
        <v>14543.27563</v>
      </c>
      <c r="G440" s="39">
        <v>13620.177151799149</v>
      </c>
      <c r="H440" s="40">
        <v>0.2756527668019122</v>
      </c>
      <c r="I440" s="40">
        <v>-6.3472528588860322E-2</v>
      </c>
      <c r="J440" s="40">
        <v>0.13693878911294322</v>
      </c>
    </row>
    <row r="441" spans="1:10" ht="11.25" customHeight="1" x14ac:dyDescent="0.2">
      <c r="A441" s="46" t="s">
        <v>25</v>
      </c>
      <c r="B441" s="39">
        <v>0</v>
      </c>
      <c r="C441" s="39">
        <v>0</v>
      </c>
      <c r="D441" s="39">
        <v>21011.848129999995</v>
      </c>
      <c r="E441" s="39">
        <v>26803.822202656076</v>
      </c>
      <c r="F441" s="39">
        <v>14543.27563</v>
      </c>
      <c r="G441" s="39">
        <v>13620.177151799149</v>
      </c>
      <c r="H441" s="40">
        <v>0.2756527668019122</v>
      </c>
      <c r="I441" s="40">
        <v>-6.3472528588860322E-2</v>
      </c>
      <c r="J441" s="40">
        <v>0.13693878911294322</v>
      </c>
    </row>
    <row r="442" spans="1:10" ht="11.25" customHeight="1" x14ac:dyDescent="0.2">
      <c r="A442" s="47" t="s">
        <v>25</v>
      </c>
      <c r="B442" s="39">
        <v>0</v>
      </c>
      <c r="C442" s="39">
        <v>0</v>
      </c>
      <c r="D442" s="39">
        <v>21011.848129999995</v>
      </c>
      <c r="E442" s="39">
        <v>26803.822202656076</v>
      </c>
      <c r="F442" s="39">
        <v>14543.27563</v>
      </c>
      <c r="G442" s="39">
        <v>13620.177151799149</v>
      </c>
      <c r="H442" s="40">
        <v>0.2756527668019122</v>
      </c>
      <c r="I442" s="40">
        <v>-6.3472528588860322E-2</v>
      </c>
      <c r="J442" s="40">
        <v>0.13693878911294322</v>
      </c>
    </row>
    <row r="443" spans="1:10" ht="11.25" customHeight="1" x14ac:dyDescent="0.2">
      <c r="A443" s="48" t="s">
        <v>35</v>
      </c>
      <c r="B443" s="39">
        <v>0</v>
      </c>
      <c r="C443" s="39">
        <v>0</v>
      </c>
      <c r="D443" s="39">
        <v>13704.271479999996</v>
      </c>
      <c r="E443" s="39">
        <v>18156.509769018881</v>
      </c>
      <c r="F443" s="39">
        <v>11683.063479999997</v>
      </c>
      <c r="G443" s="39">
        <v>10950.085655711127</v>
      </c>
      <c r="H443" s="40">
        <v>0.324879603816699</v>
      </c>
      <c r="I443" s="40">
        <v>-6.2738495390668669E-2</v>
      </c>
      <c r="J443" s="40">
        <v>0.14650062602435598</v>
      </c>
    </row>
    <row r="444" spans="1:10" ht="11.25" customHeight="1" x14ac:dyDescent="0.2">
      <c r="A444" s="49">
        <v>44501</v>
      </c>
      <c r="B444" s="39">
        <v>0</v>
      </c>
      <c r="C444" s="39">
        <v>0</v>
      </c>
      <c r="D444" s="39">
        <v>1424.9890799999998</v>
      </c>
      <c r="E444" s="39">
        <v>1887.9389677535212</v>
      </c>
      <c r="F444" s="39">
        <v>1214.8210799999999</v>
      </c>
      <c r="G444" s="39">
        <v>1138.6050332719326</v>
      </c>
      <c r="H444" s="40">
        <v>0.32487960381669834</v>
      </c>
      <c r="I444" s="40">
        <v>-6.2738495390668891E-2</v>
      </c>
      <c r="J444" s="40">
        <v>0.14650062602435532</v>
      </c>
    </row>
    <row r="445" spans="1:10" ht="11.25" customHeight="1" x14ac:dyDescent="0.2">
      <c r="A445" s="49">
        <v>44531</v>
      </c>
      <c r="B445" s="39">
        <v>0</v>
      </c>
      <c r="C445" s="39">
        <v>0</v>
      </c>
      <c r="D445" s="39">
        <v>1515.2611699999998</v>
      </c>
      <c r="E445" s="39">
        <v>2007.5386185884267</v>
      </c>
      <c r="F445" s="39">
        <v>1291.77917</v>
      </c>
      <c r="G445" s="39">
        <v>1210.734888497193</v>
      </c>
      <c r="H445" s="40">
        <v>0.32487960381669856</v>
      </c>
      <c r="I445" s="40">
        <v>-6.2738495390668891E-2</v>
      </c>
      <c r="J445" s="40">
        <v>0.14650062602435576</v>
      </c>
    </row>
    <row r="446" spans="1:10" ht="11.25" customHeight="1" x14ac:dyDescent="0.2">
      <c r="A446" s="49">
        <v>44562</v>
      </c>
      <c r="B446" s="39">
        <v>0</v>
      </c>
      <c r="C446" s="39">
        <v>0</v>
      </c>
      <c r="D446" s="39">
        <v>1589.3013699999999</v>
      </c>
      <c r="E446" s="39">
        <v>2105.6329694309361</v>
      </c>
      <c r="F446" s="39">
        <v>1354.8993700000001</v>
      </c>
      <c r="G446" s="39">
        <v>1269.895022120435</v>
      </c>
      <c r="H446" s="40">
        <v>0.32487960381669856</v>
      </c>
      <c r="I446" s="40">
        <v>-6.273849539066878E-2</v>
      </c>
      <c r="J446" s="40">
        <v>0.14650062602435554</v>
      </c>
    </row>
    <row r="447" spans="1:10" ht="11.25" customHeight="1" x14ac:dyDescent="0.2">
      <c r="A447" s="49">
        <v>44593</v>
      </c>
      <c r="B447" s="39">
        <v>0</v>
      </c>
      <c r="C447" s="39">
        <v>0</v>
      </c>
      <c r="D447" s="39">
        <v>1661.9177199999999</v>
      </c>
      <c r="E447" s="39">
        <v>2201.8408904495509</v>
      </c>
      <c r="F447" s="39">
        <v>1416.8057200000001</v>
      </c>
      <c r="G447" s="39">
        <v>1327.917460866307</v>
      </c>
      <c r="H447" s="40">
        <v>0.32487960381669856</v>
      </c>
      <c r="I447" s="40">
        <v>-6.2738495390668669E-2</v>
      </c>
      <c r="J447" s="40">
        <v>0.14650062602435576</v>
      </c>
    </row>
    <row r="448" spans="1:10" ht="11.25" customHeight="1" x14ac:dyDescent="0.2">
      <c r="A448" s="49">
        <v>44621</v>
      </c>
      <c r="B448" s="39">
        <v>0</v>
      </c>
      <c r="C448" s="39">
        <v>0</v>
      </c>
      <c r="D448" s="39">
        <v>1389.6776</v>
      </c>
      <c r="E448" s="39">
        <v>1841.1555081209401</v>
      </c>
      <c r="F448" s="39">
        <v>1184.7175999999999</v>
      </c>
      <c r="G448" s="39">
        <v>1110.3902003131559</v>
      </c>
      <c r="H448" s="40">
        <v>0.32487960381669834</v>
      </c>
      <c r="I448" s="40">
        <v>-6.2738495390668669E-2</v>
      </c>
      <c r="J448" s="40">
        <v>0.14650062602435554</v>
      </c>
    </row>
    <row r="449" spans="1:10" ht="11.25" customHeight="1" x14ac:dyDescent="0.2">
      <c r="A449" s="49">
        <v>44652</v>
      </c>
      <c r="B449" s="39">
        <v>0</v>
      </c>
      <c r="C449" s="39">
        <v>0</v>
      </c>
      <c r="D449" s="39">
        <v>1533.2016799999999</v>
      </c>
      <c r="E449" s="39">
        <v>2031.3076343694963</v>
      </c>
      <c r="F449" s="39">
        <v>1307.0736800000002</v>
      </c>
      <c r="G449" s="39">
        <v>1225.0698439520556</v>
      </c>
      <c r="H449" s="40">
        <v>0.32487960381669834</v>
      </c>
      <c r="I449" s="40">
        <v>-6.273849539066878E-2</v>
      </c>
      <c r="J449" s="40">
        <v>0.14650062602435554</v>
      </c>
    </row>
    <row r="450" spans="1:10" ht="11.25" customHeight="1" x14ac:dyDescent="0.2">
      <c r="A450" s="49">
        <v>44682</v>
      </c>
      <c r="B450" s="39">
        <v>0</v>
      </c>
      <c r="C450" s="39">
        <v>0</v>
      </c>
      <c r="D450" s="39">
        <v>939.17145999999991</v>
      </c>
      <c r="E450" s="39">
        <v>1244.2891118407501</v>
      </c>
      <c r="F450" s="39">
        <v>800.65546000000006</v>
      </c>
      <c r="G450" s="39">
        <v>750.4235411132762</v>
      </c>
      <c r="H450" s="40">
        <v>0.32487960381669856</v>
      </c>
      <c r="I450" s="40">
        <v>-6.2738495390668891E-2</v>
      </c>
      <c r="J450" s="40">
        <v>0.14650062602435554</v>
      </c>
    </row>
    <row r="451" spans="1:10" ht="11.25" customHeight="1" x14ac:dyDescent="0.2">
      <c r="A451" s="49">
        <v>44713</v>
      </c>
      <c r="B451" s="39">
        <v>0</v>
      </c>
      <c r="C451" s="39">
        <v>0</v>
      </c>
      <c r="D451" s="39">
        <v>714.20315999999991</v>
      </c>
      <c r="E451" s="39">
        <v>946.23319966543397</v>
      </c>
      <c r="F451" s="39">
        <v>608.86716000000001</v>
      </c>
      <c r="G451" s="39">
        <v>570.66775048881038</v>
      </c>
      <c r="H451" s="40">
        <v>0.32487960381669834</v>
      </c>
      <c r="I451" s="40">
        <v>-6.2738495390668891E-2</v>
      </c>
      <c r="J451" s="40">
        <v>0.14650062602435576</v>
      </c>
    </row>
    <row r="452" spans="1:10" ht="11.25" customHeight="1" x14ac:dyDescent="0.2">
      <c r="A452" s="49">
        <v>44743</v>
      </c>
      <c r="B452" s="39">
        <v>0</v>
      </c>
      <c r="C452" s="39">
        <v>0</v>
      </c>
      <c r="D452" s="39">
        <v>743.81924000000004</v>
      </c>
      <c r="E452" s="39">
        <v>985.47094000243771</v>
      </c>
      <c r="F452" s="39">
        <v>634.11524000000009</v>
      </c>
      <c r="G452" s="39">
        <v>594.33180393810721</v>
      </c>
      <c r="H452" s="40">
        <v>0.32487960381669834</v>
      </c>
      <c r="I452" s="40">
        <v>-6.2738495390668891E-2</v>
      </c>
      <c r="J452" s="40">
        <v>0.14650062602435554</v>
      </c>
    </row>
    <row r="453" spans="1:10" ht="11.25" customHeight="1" x14ac:dyDescent="0.2">
      <c r="A453" s="49">
        <v>44774</v>
      </c>
      <c r="B453" s="39">
        <v>0</v>
      </c>
      <c r="C453" s="39">
        <v>0</v>
      </c>
      <c r="D453" s="39">
        <v>793.93875999999989</v>
      </c>
      <c r="E453" s="39">
        <v>1051.8732698035208</v>
      </c>
      <c r="F453" s="39">
        <v>676.84276</v>
      </c>
      <c r="G453" s="39">
        <v>634.37866362153238</v>
      </c>
      <c r="H453" s="40">
        <v>0.32487960381669856</v>
      </c>
      <c r="I453" s="40">
        <v>-6.2738495390668891E-2</v>
      </c>
      <c r="J453" s="40">
        <v>0.14650062602435554</v>
      </c>
    </row>
    <row r="454" spans="1:10" ht="11.25" customHeight="1" x14ac:dyDescent="0.2">
      <c r="A454" s="49">
        <v>44805</v>
      </c>
      <c r="B454" s="39">
        <v>0</v>
      </c>
      <c r="C454" s="39">
        <v>0</v>
      </c>
      <c r="D454" s="39">
        <v>699.39511999999991</v>
      </c>
      <c r="E454" s="39">
        <v>926.61432949693221</v>
      </c>
      <c r="F454" s="39">
        <v>596.24311999999998</v>
      </c>
      <c r="G454" s="39">
        <v>558.83572376416203</v>
      </c>
      <c r="H454" s="40">
        <v>0.32487960381669856</v>
      </c>
      <c r="I454" s="40">
        <v>-6.273849539066878E-2</v>
      </c>
      <c r="J454" s="40">
        <v>0.14650062602435576</v>
      </c>
    </row>
    <row r="455" spans="1:10" ht="11.25" customHeight="1" x14ac:dyDescent="0.2">
      <c r="A455" s="49">
        <v>44835</v>
      </c>
      <c r="B455" s="39">
        <v>0</v>
      </c>
      <c r="C455" s="39">
        <v>0</v>
      </c>
      <c r="D455" s="39">
        <v>699.39511999999991</v>
      </c>
      <c r="E455" s="39">
        <v>926.61432949693221</v>
      </c>
      <c r="F455" s="39">
        <v>596.24311999999998</v>
      </c>
      <c r="G455" s="39">
        <v>558.83572376416203</v>
      </c>
      <c r="H455" s="40">
        <v>0.32487960381669856</v>
      </c>
      <c r="I455" s="40">
        <v>-6.273849539066878E-2</v>
      </c>
      <c r="J455" s="40">
        <v>0.14650062602435576</v>
      </c>
    </row>
    <row r="456" spans="1:10" ht="11.25" customHeight="1" x14ac:dyDescent="0.2">
      <c r="A456" s="48" t="s">
        <v>36</v>
      </c>
      <c r="B456" s="39">
        <v>0</v>
      </c>
      <c r="C456" s="39">
        <v>0</v>
      </c>
      <c r="D456" s="39">
        <v>2162.8526500000003</v>
      </c>
      <c r="E456" s="39">
        <v>2610.9629640547118</v>
      </c>
      <c r="F456" s="39">
        <v>824.20415000000003</v>
      </c>
      <c r="G456" s="39">
        <v>772.49482173425497</v>
      </c>
      <c r="H456" s="40">
        <v>0.20718485563716582</v>
      </c>
      <c r="I456" s="40">
        <v>-6.273849539066878E-2</v>
      </c>
      <c r="J456" s="40">
        <v>0.13270620960035528</v>
      </c>
    </row>
    <row r="457" spans="1:10" ht="11.25" customHeight="1" x14ac:dyDescent="0.2">
      <c r="A457" s="49">
        <v>44501</v>
      </c>
      <c r="B457" s="39">
        <v>0</v>
      </c>
      <c r="C457" s="39">
        <v>0</v>
      </c>
      <c r="D457" s="39">
        <v>217.24087000000003</v>
      </c>
      <c r="E457" s="39">
        <v>262.24988828944242</v>
      </c>
      <c r="F457" s="39">
        <v>82.784570000000016</v>
      </c>
      <c r="G457" s="39">
        <v>77.590790636636513</v>
      </c>
      <c r="H457" s="40">
        <v>0.20718485563716627</v>
      </c>
      <c r="I457" s="40">
        <v>-6.2738495390668891E-2</v>
      </c>
      <c r="J457" s="40">
        <v>0.13270620960035528</v>
      </c>
    </row>
    <row r="458" spans="1:10" ht="11.25" customHeight="1" x14ac:dyDescent="0.2">
      <c r="A458" s="49">
        <v>44531</v>
      </c>
      <c r="B458" s="39">
        <v>0</v>
      </c>
      <c r="C458" s="39">
        <v>0</v>
      </c>
      <c r="D458" s="39">
        <v>232.53055000000001</v>
      </c>
      <c r="E458" s="39">
        <v>280.70735843298087</v>
      </c>
      <c r="F458" s="39">
        <v>88.611050000000006</v>
      </c>
      <c r="G458" s="39">
        <v>83.051726048012682</v>
      </c>
      <c r="H458" s="40">
        <v>0.20718485563716627</v>
      </c>
      <c r="I458" s="40">
        <v>-6.273849539066878E-2</v>
      </c>
      <c r="J458" s="40">
        <v>0.13270620960035551</v>
      </c>
    </row>
    <row r="459" spans="1:10" ht="11.25" customHeight="1" x14ac:dyDescent="0.2">
      <c r="A459" s="49">
        <v>44562</v>
      </c>
      <c r="B459" s="39">
        <v>0</v>
      </c>
      <c r="C459" s="39">
        <v>0</v>
      </c>
      <c r="D459" s="39">
        <v>237.62711000000002</v>
      </c>
      <c r="E459" s="39">
        <v>286.859848480827</v>
      </c>
      <c r="F459" s="39">
        <v>90.553210000000007</v>
      </c>
      <c r="G459" s="39">
        <v>84.872037851804734</v>
      </c>
      <c r="H459" s="40">
        <v>0.20718485563716604</v>
      </c>
      <c r="I459" s="40">
        <v>-6.2738495390668891E-2</v>
      </c>
      <c r="J459" s="40">
        <v>0.13270620960035528</v>
      </c>
    </row>
    <row r="460" spans="1:10" ht="11.25" customHeight="1" x14ac:dyDescent="0.2">
      <c r="A460" s="49">
        <v>44593</v>
      </c>
      <c r="B460" s="39">
        <v>0</v>
      </c>
      <c r="C460" s="39">
        <v>0</v>
      </c>
      <c r="D460" s="39">
        <v>245.90902000000003</v>
      </c>
      <c r="E460" s="39">
        <v>296.85764480857705</v>
      </c>
      <c r="F460" s="39">
        <v>93.709220000000002</v>
      </c>
      <c r="G460" s="39">
        <v>87.830044532966838</v>
      </c>
      <c r="H460" s="40">
        <v>0.20718485563716627</v>
      </c>
      <c r="I460" s="40">
        <v>-6.273849539066878E-2</v>
      </c>
      <c r="J460" s="40">
        <v>0.13270620960035551</v>
      </c>
    </row>
    <row r="461" spans="1:10" ht="11.25" customHeight="1" x14ac:dyDescent="0.2">
      <c r="A461" s="49">
        <v>44621</v>
      </c>
      <c r="B461" s="39">
        <v>0</v>
      </c>
      <c r="C461" s="39">
        <v>0</v>
      </c>
      <c r="D461" s="39">
        <v>209.59603000000001</v>
      </c>
      <c r="E461" s="39">
        <v>253.02115321767317</v>
      </c>
      <c r="F461" s="39">
        <v>79.87133</v>
      </c>
      <c r="G461" s="39">
        <v>74.860322930948414</v>
      </c>
      <c r="H461" s="40">
        <v>0.20718485563716627</v>
      </c>
      <c r="I461" s="40">
        <v>-6.273849539066878E-2</v>
      </c>
      <c r="J461" s="40">
        <v>0.13270620960035551</v>
      </c>
    </row>
    <row r="462" spans="1:10" ht="11.25" customHeight="1" x14ac:dyDescent="0.2">
      <c r="A462" s="49">
        <v>44652</v>
      </c>
      <c r="B462" s="39">
        <v>0</v>
      </c>
      <c r="C462" s="39">
        <v>0</v>
      </c>
      <c r="D462" s="39">
        <v>243.99781000000002</v>
      </c>
      <c r="E462" s="39">
        <v>294.55046104063473</v>
      </c>
      <c r="F462" s="39">
        <v>92.980910000000009</v>
      </c>
      <c r="G462" s="39">
        <v>87.147427606544809</v>
      </c>
      <c r="H462" s="40">
        <v>0.20718485563716627</v>
      </c>
      <c r="I462" s="40">
        <v>-6.2738495390668891E-2</v>
      </c>
      <c r="J462" s="40">
        <v>0.13270620960035551</v>
      </c>
    </row>
    <row r="463" spans="1:10" ht="11.25" customHeight="1" x14ac:dyDescent="0.2">
      <c r="A463" s="49">
        <v>44682</v>
      </c>
      <c r="B463" s="39">
        <v>0</v>
      </c>
      <c r="C463" s="39">
        <v>0</v>
      </c>
      <c r="D463" s="39">
        <v>150.98559</v>
      </c>
      <c r="E463" s="39">
        <v>182.26751766744235</v>
      </c>
      <c r="F463" s="39">
        <v>57.536490000000001</v>
      </c>
      <c r="G463" s="39">
        <v>53.926737187339739</v>
      </c>
      <c r="H463" s="40">
        <v>0.20718485563716604</v>
      </c>
      <c r="I463" s="40">
        <v>-6.273849539066878E-2</v>
      </c>
      <c r="J463" s="40">
        <v>0.13270620960035528</v>
      </c>
    </row>
    <row r="464" spans="1:10" ht="11.25" customHeight="1" x14ac:dyDescent="0.2">
      <c r="A464" s="49">
        <v>44713</v>
      </c>
      <c r="B464" s="39">
        <v>0</v>
      </c>
      <c r="C464" s="39">
        <v>0</v>
      </c>
      <c r="D464" s="39">
        <v>137.60712000000001</v>
      </c>
      <c r="E464" s="39">
        <v>166.1172312918462</v>
      </c>
      <c r="F464" s="39">
        <v>52.438320000000004</v>
      </c>
      <c r="G464" s="39">
        <v>49.148418702385584</v>
      </c>
      <c r="H464" s="40">
        <v>0.20718485563716604</v>
      </c>
      <c r="I464" s="40">
        <v>-6.2738495390668891E-2</v>
      </c>
      <c r="J464" s="40">
        <v>0.13270620960035528</v>
      </c>
    </row>
    <row r="465" spans="1:10" ht="11.25" customHeight="1" x14ac:dyDescent="0.2">
      <c r="A465" s="49">
        <v>44743</v>
      </c>
      <c r="B465" s="39">
        <v>0</v>
      </c>
      <c r="C465" s="39">
        <v>0</v>
      </c>
      <c r="D465" s="39">
        <v>127.41400000000002</v>
      </c>
      <c r="E465" s="39">
        <v>153.81225119615391</v>
      </c>
      <c r="F465" s="39">
        <v>48.554000000000002</v>
      </c>
      <c r="G465" s="39">
        <v>45.507795094801473</v>
      </c>
      <c r="H465" s="40">
        <v>0.20718485563716627</v>
      </c>
      <c r="I465" s="40">
        <v>-6.2738495390668669E-2</v>
      </c>
      <c r="J465" s="40">
        <v>0.13270620960035551</v>
      </c>
    </row>
    <row r="466" spans="1:10" ht="11.25" customHeight="1" x14ac:dyDescent="0.2">
      <c r="A466" s="49">
        <v>44774</v>
      </c>
      <c r="B466" s="39">
        <v>0</v>
      </c>
      <c r="C466" s="39">
        <v>0</v>
      </c>
      <c r="D466" s="39">
        <v>135.69591</v>
      </c>
      <c r="E466" s="39">
        <v>163.8100475239039</v>
      </c>
      <c r="F466" s="39">
        <v>51.710010000000004</v>
      </c>
      <c r="G466" s="39">
        <v>48.465801775963563</v>
      </c>
      <c r="H466" s="40">
        <v>0.20718485563716627</v>
      </c>
      <c r="I466" s="40">
        <v>-6.2738495390668891E-2</v>
      </c>
      <c r="J466" s="40">
        <v>0.13270620960035551</v>
      </c>
    </row>
    <row r="467" spans="1:10" ht="11.25" customHeight="1" x14ac:dyDescent="0.2">
      <c r="A467" s="49">
        <v>44805</v>
      </c>
      <c r="B467" s="39">
        <v>0</v>
      </c>
      <c r="C467" s="39">
        <v>0</v>
      </c>
      <c r="D467" s="39">
        <v>112.12432</v>
      </c>
      <c r="E467" s="39">
        <v>135.35478105261541</v>
      </c>
      <c r="F467" s="39">
        <v>42.727519999999998</v>
      </c>
      <c r="G467" s="39">
        <v>40.046859683425289</v>
      </c>
      <c r="H467" s="40">
        <v>0.20718485563716604</v>
      </c>
      <c r="I467" s="40">
        <v>-6.273849539066878E-2</v>
      </c>
      <c r="J467" s="40">
        <v>0.13270620960035551</v>
      </c>
    </row>
    <row r="468" spans="1:10" ht="11.25" customHeight="1" x14ac:dyDescent="0.2">
      <c r="A468" s="49">
        <v>44835</v>
      </c>
      <c r="B468" s="39">
        <v>0</v>
      </c>
      <c r="C468" s="39">
        <v>0</v>
      </c>
      <c r="D468" s="39">
        <v>112.12432</v>
      </c>
      <c r="E468" s="39">
        <v>135.35478105261541</v>
      </c>
      <c r="F468" s="39">
        <v>42.727519999999998</v>
      </c>
      <c r="G468" s="39">
        <v>40.046859683425289</v>
      </c>
      <c r="H468" s="40">
        <v>0.20718485563716604</v>
      </c>
      <c r="I468" s="40">
        <v>-6.273849539066878E-2</v>
      </c>
      <c r="J468" s="40">
        <v>0.13270620960035551</v>
      </c>
    </row>
    <row r="469" spans="1:10" ht="11.25" customHeight="1" x14ac:dyDescent="0.2">
      <c r="A469" s="48" t="s">
        <v>34</v>
      </c>
      <c r="B469" s="39">
        <v>0</v>
      </c>
      <c r="C469" s="39">
        <v>0</v>
      </c>
      <c r="D469" s="39">
        <v>5144.7240000000002</v>
      </c>
      <c r="E469" s="39">
        <v>6036.3494695824811</v>
      </c>
      <c r="F469" s="39">
        <v>2036.0080000000003</v>
      </c>
      <c r="G469" s="39">
        <v>1897.5966743537683</v>
      </c>
      <c r="H469" s="40">
        <v>0.17330870802446952</v>
      </c>
      <c r="I469" s="40">
        <v>-6.7981719937363683E-2</v>
      </c>
      <c r="J469" s="40">
        <v>0.1048937829647798</v>
      </c>
    </row>
    <row r="470" spans="1:10" ht="11.25" customHeight="1" x14ac:dyDescent="0.2">
      <c r="A470" s="49">
        <v>44501</v>
      </c>
      <c r="B470" s="39">
        <v>0</v>
      </c>
      <c r="C470" s="39">
        <v>0</v>
      </c>
      <c r="D470" s="39">
        <v>529.31295</v>
      </c>
      <c r="E470" s="39">
        <v>621.04749350512054</v>
      </c>
      <c r="F470" s="39">
        <v>209.47390000000001</v>
      </c>
      <c r="G470" s="39">
        <v>195.2335039960127</v>
      </c>
      <c r="H470" s="40">
        <v>0.17330870802446929</v>
      </c>
      <c r="I470" s="40">
        <v>-6.7981719937363572E-2</v>
      </c>
      <c r="J470" s="40">
        <v>0.1048937829647798</v>
      </c>
    </row>
    <row r="471" spans="1:10" ht="11.25" customHeight="1" x14ac:dyDescent="0.2">
      <c r="A471" s="49">
        <v>44531</v>
      </c>
      <c r="B471" s="39">
        <v>0</v>
      </c>
      <c r="C471" s="39">
        <v>0</v>
      </c>
      <c r="D471" s="39">
        <v>545.14287000000002</v>
      </c>
      <c r="E471" s="39">
        <v>639.62087648845124</v>
      </c>
      <c r="F471" s="39">
        <v>215.73854000000003</v>
      </c>
      <c r="G471" s="39">
        <v>201.0722629940243</v>
      </c>
      <c r="H471" s="40">
        <v>0.17330870802446929</v>
      </c>
      <c r="I471" s="40">
        <v>-6.7981719937363683E-2</v>
      </c>
      <c r="J471" s="40">
        <v>0.10489378296477958</v>
      </c>
    </row>
    <row r="472" spans="1:10" ht="11.25" customHeight="1" x14ac:dyDescent="0.2">
      <c r="A472" s="49">
        <v>44562</v>
      </c>
      <c r="B472" s="39">
        <v>0</v>
      </c>
      <c r="C472" s="39">
        <v>0</v>
      </c>
      <c r="D472" s="39">
        <v>558.00467999999989</v>
      </c>
      <c r="E472" s="39">
        <v>654.71175016240738</v>
      </c>
      <c r="F472" s="39">
        <v>220.82855999999998</v>
      </c>
      <c r="G472" s="39">
        <v>205.8162546799087</v>
      </c>
      <c r="H472" s="40">
        <v>0.17330870802446952</v>
      </c>
      <c r="I472" s="40">
        <v>-6.7981719937363572E-2</v>
      </c>
      <c r="J472" s="40">
        <v>0.10489378296477958</v>
      </c>
    </row>
    <row r="473" spans="1:10" ht="11.25" customHeight="1" x14ac:dyDescent="0.2">
      <c r="A473" s="49">
        <v>44593</v>
      </c>
      <c r="B473" s="39">
        <v>0</v>
      </c>
      <c r="C473" s="39">
        <v>0</v>
      </c>
      <c r="D473" s="39">
        <v>572.84523000000002</v>
      </c>
      <c r="E473" s="39">
        <v>672.12429670927986</v>
      </c>
      <c r="F473" s="39">
        <v>226.70166</v>
      </c>
      <c r="G473" s="39">
        <v>211.29009124054457</v>
      </c>
      <c r="H473" s="40">
        <v>0.17330870802446907</v>
      </c>
      <c r="I473" s="40">
        <v>-6.7981719937363683E-2</v>
      </c>
      <c r="J473" s="40">
        <v>0.10489378296477936</v>
      </c>
    </row>
    <row r="474" spans="1:10" ht="11.25" customHeight="1" x14ac:dyDescent="0.2">
      <c r="A474" s="49">
        <v>44621</v>
      </c>
      <c r="B474" s="39">
        <v>0</v>
      </c>
      <c r="C474" s="39">
        <v>0</v>
      </c>
      <c r="D474" s="39">
        <v>487.75941</v>
      </c>
      <c r="E474" s="39">
        <v>572.29236317387733</v>
      </c>
      <c r="F474" s="39">
        <v>193.02922000000001</v>
      </c>
      <c r="G474" s="39">
        <v>179.90676162623225</v>
      </c>
      <c r="H474" s="40">
        <v>0.17330870802446907</v>
      </c>
      <c r="I474" s="40">
        <v>-6.7981719937363683E-2</v>
      </c>
      <c r="J474" s="40">
        <v>0.10489378296477936</v>
      </c>
    </row>
    <row r="475" spans="1:10" ht="11.25" customHeight="1" x14ac:dyDescent="0.2">
      <c r="A475" s="49">
        <v>44652</v>
      </c>
      <c r="B475" s="39">
        <v>0</v>
      </c>
      <c r="C475" s="39">
        <v>0</v>
      </c>
      <c r="D475" s="39">
        <v>573.83459999999991</v>
      </c>
      <c r="E475" s="39">
        <v>673.28513314573809</v>
      </c>
      <c r="F475" s="39">
        <v>227.0932</v>
      </c>
      <c r="G475" s="39">
        <v>211.65501367792029</v>
      </c>
      <c r="H475" s="40">
        <v>0.17330870802446952</v>
      </c>
      <c r="I475" s="40">
        <v>-6.7981719937363572E-2</v>
      </c>
      <c r="J475" s="40">
        <v>0.10489378296477958</v>
      </c>
    </row>
    <row r="476" spans="1:10" ht="11.25" customHeight="1" x14ac:dyDescent="0.2">
      <c r="A476" s="49">
        <v>44682</v>
      </c>
      <c r="B476" s="39">
        <v>0</v>
      </c>
      <c r="C476" s="39">
        <v>0</v>
      </c>
      <c r="D476" s="39">
        <v>357.16257000000002</v>
      </c>
      <c r="E476" s="39">
        <v>419.06195356139904</v>
      </c>
      <c r="F476" s="39">
        <v>141.34594000000001</v>
      </c>
      <c r="G476" s="39">
        <v>131.73699989263659</v>
      </c>
      <c r="H476" s="40">
        <v>0.17330870802446907</v>
      </c>
      <c r="I476" s="40">
        <v>-6.7981719937363794E-2</v>
      </c>
      <c r="J476" s="40">
        <v>0.10489378296477958</v>
      </c>
    </row>
    <row r="477" spans="1:10" ht="11.25" customHeight="1" x14ac:dyDescent="0.2">
      <c r="A477" s="49">
        <v>44713</v>
      </c>
      <c r="B477" s="39">
        <v>0</v>
      </c>
      <c r="C477" s="39">
        <v>0</v>
      </c>
      <c r="D477" s="39">
        <v>324.51336000000003</v>
      </c>
      <c r="E477" s="39">
        <v>380.75435115827952</v>
      </c>
      <c r="F477" s="39">
        <v>128.42512000000002</v>
      </c>
      <c r="G477" s="39">
        <v>119.69455945923769</v>
      </c>
      <c r="H477" s="40">
        <v>0.17330870802446929</v>
      </c>
      <c r="I477" s="40">
        <v>-6.7981719937363683E-2</v>
      </c>
      <c r="J477" s="40">
        <v>0.10489378296477958</v>
      </c>
    </row>
    <row r="478" spans="1:10" ht="11.25" customHeight="1" x14ac:dyDescent="0.2">
      <c r="A478" s="49">
        <v>44743</v>
      </c>
      <c r="B478" s="39">
        <v>0</v>
      </c>
      <c r="C478" s="39">
        <v>0</v>
      </c>
      <c r="D478" s="39">
        <v>318.57713999999999</v>
      </c>
      <c r="E478" s="39">
        <v>373.78933253953045</v>
      </c>
      <c r="F478" s="39">
        <v>126.07588000000001</v>
      </c>
      <c r="G478" s="39">
        <v>117.50502483498335</v>
      </c>
      <c r="H478" s="40">
        <v>0.17330870802446929</v>
      </c>
      <c r="I478" s="40">
        <v>-6.7981719937363683E-2</v>
      </c>
      <c r="J478" s="40">
        <v>0.10489378296477958</v>
      </c>
    </row>
    <row r="479" spans="1:10" ht="11.25" customHeight="1" x14ac:dyDescent="0.2">
      <c r="A479" s="49">
        <v>44774</v>
      </c>
      <c r="B479" s="39">
        <v>0</v>
      </c>
      <c r="C479" s="39">
        <v>0</v>
      </c>
      <c r="D479" s="39">
        <v>333.41769000000005</v>
      </c>
      <c r="E479" s="39">
        <v>391.20187908640304</v>
      </c>
      <c r="F479" s="39">
        <v>131.94898000000001</v>
      </c>
      <c r="G479" s="39">
        <v>122.97886139561922</v>
      </c>
      <c r="H479" s="40">
        <v>0.17330870802446929</v>
      </c>
      <c r="I479" s="40">
        <v>-6.7981719937363572E-2</v>
      </c>
      <c r="J479" s="40">
        <v>0.10489378296477936</v>
      </c>
    </row>
    <row r="480" spans="1:10" ht="11.25" customHeight="1" x14ac:dyDescent="0.2">
      <c r="A480" s="49">
        <v>44805</v>
      </c>
      <c r="B480" s="39">
        <v>0</v>
      </c>
      <c r="C480" s="39">
        <v>0</v>
      </c>
      <c r="D480" s="39">
        <v>272.07675</v>
      </c>
      <c r="E480" s="39">
        <v>319.23002002599657</v>
      </c>
      <c r="F480" s="39">
        <v>107.67350000000002</v>
      </c>
      <c r="G480" s="39">
        <v>100.35367027832429</v>
      </c>
      <c r="H480" s="40">
        <v>0.17330870802446952</v>
      </c>
      <c r="I480" s="40">
        <v>-6.7981719937363683E-2</v>
      </c>
      <c r="J480" s="40">
        <v>0.10489378296477958</v>
      </c>
    </row>
    <row r="481" spans="1:10" ht="11.25" customHeight="1" x14ac:dyDescent="0.2">
      <c r="A481" s="49">
        <v>44835</v>
      </c>
      <c r="B481" s="39">
        <v>0</v>
      </c>
      <c r="C481" s="39">
        <v>0</v>
      </c>
      <c r="D481" s="39">
        <v>272.07675</v>
      </c>
      <c r="E481" s="39">
        <v>319.23002002599657</v>
      </c>
      <c r="F481" s="39">
        <v>107.67350000000002</v>
      </c>
      <c r="G481" s="39">
        <v>100.35367027832429</v>
      </c>
      <c r="H481" s="40">
        <v>0.17330870802446952</v>
      </c>
      <c r="I481" s="40">
        <v>-6.7981719937363683E-2</v>
      </c>
      <c r="J481" s="40">
        <v>0.10489378296477958</v>
      </c>
    </row>
    <row r="482" spans="1:10" ht="11.25" customHeight="1" x14ac:dyDescent="0.2">
      <c r="A482" s="43" t="s">
        <v>23</v>
      </c>
      <c r="B482" s="39">
        <v>0</v>
      </c>
      <c r="C482" s="39">
        <v>0</v>
      </c>
      <c r="D482" s="39">
        <v>18789258.402909998</v>
      </c>
      <c r="E482" s="39">
        <v>23702883.773876019</v>
      </c>
      <c r="F482" s="39">
        <v>12814189.963055</v>
      </c>
      <c r="G482" s="39">
        <v>12001546.262911374</v>
      </c>
      <c r="H482" s="40">
        <v>0.26151246981653364</v>
      </c>
      <c r="I482" s="40">
        <v>-6.3417485029220622E-2</v>
      </c>
      <c r="J482" s="40">
        <v>0.12976374044165784</v>
      </c>
    </row>
    <row r="483" spans="1:10" ht="11.25" customHeight="1" x14ac:dyDescent="0.2">
      <c r="A483" s="44" t="s">
        <v>24</v>
      </c>
      <c r="B483" s="39">
        <v>0</v>
      </c>
      <c r="C483" s="39">
        <v>0</v>
      </c>
      <c r="D483" s="39">
        <v>18789258.402909998</v>
      </c>
      <c r="E483" s="39">
        <v>23702883.773876019</v>
      </c>
      <c r="F483" s="39">
        <v>12814189.963055</v>
      </c>
      <c r="G483" s="39">
        <v>12001546.262911374</v>
      </c>
      <c r="H483" s="40">
        <v>0.26151246981653364</v>
      </c>
      <c r="I483" s="40">
        <v>-6.3417485029220622E-2</v>
      </c>
      <c r="J483" s="40">
        <v>0.12976374044165784</v>
      </c>
    </row>
    <row r="484" spans="1:10" ht="11.25" customHeight="1" x14ac:dyDescent="0.2">
      <c r="A484" s="45" t="s">
        <v>24</v>
      </c>
      <c r="B484" s="39">
        <v>0</v>
      </c>
      <c r="C484" s="39">
        <v>0</v>
      </c>
      <c r="D484" s="39">
        <v>17749648.244340003</v>
      </c>
      <c r="E484" s="39">
        <v>22572284.223405723</v>
      </c>
      <c r="F484" s="39">
        <v>11930819.615689998</v>
      </c>
      <c r="G484" s="39">
        <v>11174189.417891314</v>
      </c>
      <c r="H484" s="40">
        <v>0.27170318603939481</v>
      </c>
      <c r="I484" s="40">
        <v>-6.3418123999097076E-2</v>
      </c>
      <c r="J484" s="40">
        <v>0.13699264447049497</v>
      </c>
    </row>
    <row r="485" spans="1:10" ht="11.25" customHeight="1" x14ac:dyDescent="0.2">
      <c r="A485" s="46" t="s">
        <v>25</v>
      </c>
      <c r="B485" s="39">
        <v>0</v>
      </c>
      <c r="C485" s="39">
        <v>0</v>
      </c>
      <c r="D485" s="39">
        <v>17749648.244340003</v>
      </c>
      <c r="E485" s="39">
        <v>22572284.223405723</v>
      </c>
      <c r="F485" s="39">
        <v>11930819.615689998</v>
      </c>
      <c r="G485" s="39">
        <v>11174189.417891314</v>
      </c>
      <c r="H485" s="40">
        <v>0.27170318603939481</v>
      </c>
      <c r="I485" s="40">
        <v>-6.3418123999097076E-2</v>
      </c>
      <c r="J485" s="40">
        <v>0.13699264447049497</v>
      </c>
    </row>
    <row r="486" spans="1:10" ht="11.25" customHeight="1" x14ac:dyDescent="0.2">
      <c r="A486" s="47" t="s">
        <v>25</v>
      </c>
      <c r="B486" s="39">
        <v>0</v>
      </c>
      <c r="C486" s="39">
        <v>0</v>
      </c>
      <c r="D486" s="39">
        <v>17749648.244340003</v>
      </c>
      <c r="E486" s="39">
        <v>22572284.223405723</v>
      </c>
      <c r="F486" s="39">
        <v>11930819.615689998</v>
      </c>
      <c r="G486" s="39">
        <v>11174189.417891314</v>
      </c>
      <c r="H486" s="40">
        <v>0.27170318603939481</v>
      </c>
      <c r="I486" s="40">
        <v>-6.3418123999097076E-2</v>
      </c>
      <c r="J486" s="40">
        <v>0.13699264447049497</v>
      </c>
    </row>
    <row r="487" spans="1:10" ht="11.25" customHeight="1" x14ac:dyDescent="0.2">
      <c r="A487" s="48" t="s">
        <v>25</v>
      </c>
      <c r="B487" s="39">
        <v>0</v>
      </c>
      <c r="C487" s="39">
        <v>0</v>
      </c>
      <c r="D487" s="39">
        <v>17749648.244340003</v>
      </c>
      <c r="E487" s="39">
        <v>22572284.223405723</v>
      </c>
      <c r="F487" s="39">
        <v>11930819.615689998</v>
      </c>
      <c r="G487" s="39">
        <v>11174189.417891314</v>
      </c>
      <c r="H487" s="40">
        <v>0.27170318603939481</v>
      </c>
      <c r="I487" s="40">
        <v>-6.3418123999097076E-2</v>
      </c>
      <c r="J487" s="40">
        <v>0.13699264447049497</v>
      </c>
    </row>
    <row r="488" spans="1:10" ht="11.25" customHeight="1" x14ac:dyDescent="0.2">
      <c r="A488" s="49">
        <v>44501</v>
      </c>
      <c r="B488" s="39">
        <v>0</v>
      </c>
      <c r="C488" s="39">
        <v>0</v>
      </c>
      <c r="D488" s="39">
        <v>1572760.7249400003</v>
      </c>
      <c r="E488" s="39">
        <v>2000084.8247838255</v>
      </c>
      <c r="F488" s="39">
        <v>1057165.99279</v>
      </c>
      <c r="G488" s="39">
        <v>990122.50877161534</v>
      </c>
      <c r="H488" s="40">
        <v>0.27170318603939414</v>
      </c>
      <c r="I488" s="40">
        <v>-6.3418123999096965E-2</v>
      </c>
      <c r="J488" s="40">
        <v>0.13699264447049431</v>
      </c>
    </row>
    <row r="489" spans="1:10" ht="11.25" customHeight="1" x14ac:dyDescent="0.2">
      <c r="A489" s="49">
        <v>44531</v>
      </c>
      <c r="B489" s="39">
        <v>0</v>
      </c>
      <c r="C489" s="39">
        <v>0</v>
      </c>
      <c r="D489" s="39">
        <v>1497903.8367599999</v>
      </c>
      <c r="E489" s="39">
        <v>1904889.0815883249</v>
      </c>
      <c r="F489" s="39">
        <v>1006849.2756599999</v>
      </c>
      <c r="G489" s="39">
        <v>942996.7834477931</v>
      </c>
      <c r="H489" s="40">
        <v>0.27170318603939436</v>
      </c>
      <c r="I489" s="40">
        <v>-6.3418123999096965E-2</v>
      </c>
      <c r="J489" s="40">
        <v>0.13699264447049475</v>
      </c>
    </row>
    <row r="490" spans="1:10" ht="11.25" customHeight="1" x14ac:dyDescent="0.2">
      <c r="A490" s="49">
        <v>44562</v>
      </c>
      <c r="B490" s="39">
        <v>0</v>
      </c>
      <c r="C490" s="39">
        <v>0</v>
      </c>
      <c r="D490" s="39">
        <v>1529425.9630800001</v>
      </c>
      <c r="E490" s="39">
        <v>1944975.8700602052</v>
      </c>
      <c r="F490" s="39">
        <v>1028037.57178</v>
      </c>
      <c r="G490" s="39">
        <v>962841.35757712543</v>
      </c>
      <c r="H490" s="40">
        <v>0.27170318603939436</v>
      </c>
      <c r="I490" s="40">
        <v>-6.3418123999096965E-2</v>
      </c>
      <c r="J490" s="40">
        <v>0.13699264447049475</v>
      </c>
    </row>
    <row r="491" spans="1:10" ht="11.25" customHeight="1" x14ac:dyDescent="0.2">
      <c r="A491" s="49">
        <v>44593</v>
      </c>
      <c r="B491" s="39">
        <v>0</v>
      </c>
      <c r="C491" s="39">
        <v>0</v>
      </c>
      <c r="D491" s="39">
        <v>1514612.0518200002</v>
      </c>
      <c r="E491" s="39">
        <v>1926136.9719131582</v>
      </c>
      <c r="F491" s="39">
        <v>1018080.0728699999</v>
      </c>
      <c r="G491" s="39">
        <v>953515.34456772066</v>
      </c>
      <c r="H491" s="40">
        <v>0.27170318603939414</v>
      </c>
      <c r="I491" s="40">
        <v>-6.3418123999096854E-2</v>
      </c>
      <c r="J491" s="40">
        <v>0.13699264447049453</v>
      </c>
    </row>
    <row r="492" spans="1:10" ht="11.25" customHeight="1" x14ac:dyDescent="0.2">
      <c r="A492" s="49">
        <v>44621</v>
      </c>
      <c r="B492" s="39">
        <v>0</v>
      </c>
      <c r="C492" s="39">
        <v>0</v>
      </c>
      <c r="D492" s="39">
        <v>1398139.3211399999</v>
      </c>
      <c r="E492" s="39">
        <v>1778018.2292206937</v>
      </c>
      <c r="F492" s="39">
        <v>939790.34448999993</v>
      </c>
      <c r="G492" s="39">
        <v>880190.60388997907</v>
      </c>
      <c r="H492" s="40">
        <v>0.27170318603939436</v>
      </c>
      <c r="I492" s="40">
        <v>-6.3418123999096965E-2</v>
      </c>
      <c r="J492" s="40">
        <v>0.13699264447049475</v>
      </c>
    </row>
    <row r="493" spans="1:10" ht="11.25" customHeight="1" x14ac:dyDescent="0.2">
      <c r="A493" s="49">
        <v>44652</v>
      </c>
      <c r="B493" s="39">
        <v>0</v>
      </c>
      <c r="C493" s="39">
        <v>0</v>
      </c>
      <c r="D493" s="39">
        <v>1613047.1382000002</v>
      </c>
      <c r="E493" s="39">
        <v>2051317.1848806674</v>
      </c>
      <c r="F493" s="39">
        <v>1084245.3987</v>
      </c>
      <c r="G493" s="39">
        <v>1015484.5895597931</v>
      </c>
      <c r="H493" s="40">
        <v>0.27170318603939436</v>
      </c>
      <c r="I493" s="40">
        <v>-6.3418123999096965E-2</v>
      </c>
      <c r="J493" s="40">
        <v>0.13699264447049453</v>
      </c>
    </row>
    <row r="494" spans="1:10" ht="11.25" customHeight="1" x14ac:dyDescent="0.2">
      <c r="A494" s="49">
        <v>44682</v>
      </c>
      <c r="B494" s="39">
        <v>0</v>
      </c>
      <c r="C494" s="39">
        <v>0</v>
      </c>
      <c r="D494" s="39">
        <v>1479758.38038</v>
      </c>
      <c r="E494" s="39">
        <v>1881813.4468977398</v>
      </c>
      <c r="F494" s="39">
        <v>994652.4048299999</v>
      </c>
      <c r="G494" s="39">
        <v>931573.41528449103</v>
      </c>
      <c r="H494" s="40">
        <v>0.27170318603939414</v>
      </c>
      <c r="I494" s="40">
        <v>-6.3418123999096854E-2</v>
      </c>
      <c r="J494" s="40">
        <v>0.13699264447049453</v>
      </c>
    </row>
    <row r="495" spans="1:10" ht="11.25" customHeight="1" x14ac:dyDescent="0.2">
      <c r="A495" s="49">
        <v>44713</v>
      </c>
      <c r="B495" s="39">
        <v>0</v>
      </c>
      <c r="C495" s="39">
        <v>0</v>
      </c>
      <c r="D495" s="39">
        <v>1304664.7293</v>
      </c>
      <c r="E495" s="39">
        <v>1659146.292964034</v>
      </c>
      <c r="F495" s="39">
        <v>876959.32504999987</v>
      </c>
      <c r="G495" s="39">
        <v>821344.20983181463</v>
      </c>
      <c r="H495" s="40">
        <v>0.27170318603939436</v>
      </c>
      <c r="I495" s="40">
        <v>-6.3418123999096965E-2</v>
      </c>
      <c r="J495" s="40">
        <v>0.13699264447049475</v>
      </c>
    </row>
    <row r="496" spans="1:10" ht="11.25" customHeight="1" x14ac:dyDescent="0.2">
      <c r="A496" s="49">
        <v>44743</v>
      </c>
      <c r="B496" s="39">
        <v>0</v>
      </c>
      <c r="C496" s="39">
        <v>0</v>
      </c>
      <c r="D496" s="39">
        <v>1372011.9746400001</v>
      </c>
      <c r="E496" s="39">
        <v>1744791.9994338886</v>
      </c>
      <c r="F496" s="39">
        <v>922228.26923999994</v>
      </c>
      <c r="G496" s="39">
        <v>863742.28250586509</v>
      </c>
      <c r="H496" s="40">
        <v>0.27170318603939414</v>
      </c>
      <c r="I496" s="40">
        <v>-6.3418123999096854E-2</v>
      </c>
      <c r="J496" s="40">
        <v>0.13699264447049475</v>
      </c>
    </row>
    <row r="497" spans="1:10" ht="11.25" customHeight="1" x14ac:dyDescent="0.2">
      <c r="A497" s="49">
        <v>44774</v>
      </c>
      <c r="B497" s="39">
        <v>0</v>
      </c>
      <c r="C497" s="39">
        <v>0</v>
      </c>
      <c r="D497" s="39">
        <v>1320543.09504</v>
      </c>
      <c r="E497" s="39">
        <v>1679338.8612646908</v>
      </c>
      <c r="F497" s="39">
        <v>887632.32064000005</v>
      </c>
      <c r="G497" s="39">
        <v>831340.34406404628</v>
      </c>
      <c r="H497" s="40">
        <v>0.27170318603939436</v>
      </c>
      <c r="I497" s="40">
        <v>-6.3418123999097076E-2</v>
      </c>
      <c r="J497" s="40">
        <v>0.13699264447049453</v>
      </c>
    </row>
    <row r="498" spans="1:10" ht="11.25" customHeight="1" x14ac:dyDescent="0.2">
      <c r="A498" s="49">
        <v>44805</v>
      </c>
      <c r="B498" s="39">
        <v>0</v>
      </c>
      <c r="C498" s="39">
        <v>0</v>
      </c>
      <c r="D498" s="39">
        <v>1573390.51452</v>
      </c>
      <c r="E498" s="39">
        <v>2000885.730199246</v>
      </c>
      <c r="F498" s="39">
        <v>1057589.3198200001</v>
      </c>
      <c r="G498" s="39">
        <v>990518.98919553461</v>
      </c>
      <c r="H498" s="40">
        <v>0.27170318603939436</v>
      </c>
      <c r="I498" s="40">
        <v>-6.3418123999097076E-2</v>
      </c>
      <c r="J498" s="40">
        <v>0.13699264447049475</v>
      </c>
    </row>
    <row r="499" spans="1:10" ht="11.25" customHeight="1" x14ac:dyDescent="0.2">
      <c r="A499" s="49">
        <v>44835</v>
      </c>
      <c r="B499" s="39">
        <v>0</v>
      </c>
      <c r="C499" s="39">
        <v>0</v>
      </c>
      <c r="D499" s="39">
        <v>1573390.51452</v>
      </c>
      <c r="E499" s="39">
        <v>2000885.730199246</v>
      </c>
      <c r="F499" s="39">
        <v>1057589.3198200001</v>
      </c>
      <c r="G499" s="39">
        <v>990518.98919553461</v>
      </c>
      <c r="H499" s="40">
        <v>0.27170318603939436</v>
      </c>
      <c r="I499" s="40">
        <v>-6.3418123999097076E-2</v>
      </c>
      <c r="J499" s="40">
        <v>0.13699264447049475</v>
      </c>
    </row>
    <row r="500" spans="1:10" ht="11.25" customHeight="1" x14ac:dyDescent="0.2">
      <c r="A500" s="45" t="s">
        <v>29</v>
      </c>
      <c r="B500" s="39">
        <v>0</v>
      </c>
      <c r="C500" s="39">
        <v>0</v>
      </c>
      <c r="D500" s="39">
        <v>116683.33375000002</v>
      </c>
      <c r="E500" s="39">
        <v>126901.12268554422</v>
      </c>
      <c r="F500" s="39">
        <v>99153.078375000012</v>
      </c>
      <c r="G500" s="39">
        <v>92864.456253269047</v>
      </c>
      <c r="H500" s="40">
        <v>8.7568537915074574E-2</v>
      </c>
      <c r="I500" s="40">
        <v>-6.3423367431389543E-2</v>
      </c>
      <c r="J500" s="40">
        <v>1.820437420696952E-2</v>
      </c>
    </row>
    <row r="501" spans="1:10" ht="11.25" customHeight="1" x14ac:dyDescent="0.2">
      <c r="A501" s="46" t="s">
        <v>25</v>
      </c>
      <c r="B501" s="39">
        <v>0</v>
      </c>
      <c r="C501" s="39">
        <v>0</v>
      </c>
      <c r="D501" s="39">
        <v>116683.33375000002</v>
      </c>
      <c r="E501" s="39">
        <v>126901.12268554422</v>
      </c>
      <c r="F501" s="39">
        <v>99153.078375000012</v>
      </c>
      <c r="G501" s="39">
        <v>92864.456253269047</v>
      </c>
      <c r="H501" s="40">
        <v>8.7568537915074574E-2</v>
      </c>
      <c r="I501" s="40">
        <v>-6.3423367431389543E-2</v>
      </c>
      <c r="J501" s="40">
        <v>1.820437420696952E-2</v>
      </c>
    </row>
    <row r="502" spans="1:10" ht="11.25" customHeight="1" x14ac:dyDescent="0.2">
      <c r="A502" s="47" t="s">
        <v>25</v>
      </c>
      <c r="B502" s="39">
        <v>0</v>
      </c>
      <c r="C502" s="39">
        <v>0</v>
      </c>
      <c r="D502" s="39">
        <v>116683.33375000002</v>
      </c>
      <c r="E502" s="39">
        <v>126901.12268554422</v>
      </c>
      <c r="F502" s="39">
        <v>99153.078375000012</v>
      </c>
      <c r="G502" s="39">
        <v>92864.456253269047</v>
      </c>
      <c r="H502" s="40">
        <v>8.7568537915074574E-2</v>
      </c>
      <c r="I502" s="40">
        <v>-6.3423367431389543E-2</v>
      </c>
      <c r="J502" s="40">
        <v>1.820437420696952E-2</v>
      </c>
    </row>
    <row r="503" spans="1:10" ht="11.25" customHeight="1" x14ac:dyDescent="0.2">
      <c r="A503" s="48" t="s">
        <v>25</v>
      </c>
      <c r="B503" s="39">
        <v>0</v>
      </c>
      <c r="C503" s="39">
        <v>0</v>
      </c>
      <c r="D503" s="39">
        <v>116683.33375000002</v>
      </c>
      <c r="E503" s="39">
        <v>126901.12268554422</v>
      </c>
      <c r="F503" s="39">
        <v>99153.078375000012</v>
      </c>
      <c r="G503" s="39">
        <v>92864.456253269047</v>
      </c>
      <c r="H503" s="40">
        <v>8.7568537915074574E-2</v>
      </c>
      <c r="I503" s="40">
        <v>-6.3423367431389543E-2</v>
      </c>
      <c r="J503" s="40">
        <v>1.820437420696952E-2</v>
      </c>
    </row>
    <row r="504" spans="1:10" ht="11.25" customHeight="1" x14ac:dyDescent="0.2">
      <c r="A504" s="49">
        <v>44501</v>
      </c>
      <c r="B504" s="39">
        <v>0</v>
      </c>
      <c r="C504" s="39">
        <v>0</v>
      </c>
      <c r="D504" s="39">
        <v>7879.3469999999998</v>
      </c>
      <c r="E504" s="39">
        <v>8569.3298965155318</v>
      </c>
      <c r="F504" s="39">
        <v>6695.5707000000002</v>
      </c>
      <c r="G504" s="39">
        <v>6270.9150593310578</v>
      </c>
      <c r="H504" s="40">
        <v>8.7568537915075018E-2</v>
      </c>
      <c r="I504" s="40">
        <v>-6.3423367431388988E-2</v>
      </c>
      <c r="J504" s="40">
        <v>1.8204374206969964E-2</v>
      </c>
    </row>
    <row r="505" spans="1:10" ht="11.25" customHeight="1" x14ac:dyDescent="0.2">
      <c r="A505" s="49">
        <v>44531</v>
      </c>
      <c r="B505" s="39">
        <v>0</v>
      </c>
      <c r="C505" s="39">
        <v>0</v>
      </c>
      <c r="D505" s="39">
        <v>8232.4830000000002</v>
      </c>
      <c r="E505" s="39">
        <v>8953.3894997207099</v>
      </c>
      <c r="F505" s="39">
        <v>6995.6522999999997</v>
      </c>
      <c r="G505" s="39">
        <v>6551.9644737548579</v>
      </c>
      <c r="H505" s="40">
        <v>8.7568537915075018E-2</v>
      </c>
      <c r="I505" s="40">
        <v>-6.3423367431389099E-2</v>
      </c>
      <c r="J505" s="40">
        <v>1.8204374206969964E-2</v>
      </c>
    </row>
    <row r="506" spans="1:10" ht="11.25" customHeight="1" x14ac:dyDescent="0.2">
      <c r="A506" s="49">
        <v>44562</v>
      </c>
      <c r="B506" s="39">
        <v>0</v>
      </c>
      <c r="C506" s="39">
        <v>0</v>
      </c>
      <c r="D506" s="39">
        <v>8409.0509999999995</v>
      </c>
      <c r="E506" s="39">
        <v>9145.4193013232998</v>
      </c>
      <c r="F506" s="39">
        <v>7145.6931000000004</v>
      </c>
      <c r="G506" s="39">
        <v>6692.4891809667597</v>
      </c>
      <c r="H506" s="40">
        <v>8.7568537915075018E-2</v>
      </c>
      <c r="I506" s="40">
        <v>-6.3423367431388988E-2</v>
      </c>
      <c r="J506" s="40">
        <v>1.8204374206969964E-2</v>
      </c>
    </row>
    <row r="507" spans="1:10" ht="11.25" customHeight="1" x14ac:dyDescent="0.2">
      <c r="A507" s="49">
        <v>44593</v>
      </c>
      <c r="B507" s="39">
        <v>0</v>
      </c>
      <c r="C507" s="39">
        <v>0</v>
      </c>
      <c r="D507" s="39">
        <v>8677.0560000000005</v>
      </c>
      <c r="E507" s="39">
        <v>9436.8931073272288</v>
      </c>
      <c r="F507" s="39">
        <v>7373.4336000000003</v>
      </c>
      <c r="G507" s="39">
        <v>6905.7856115562508</v>
      </c>
      <c r="H507" s="40">
        <v>8.7568537915075018E-2</v>
      </c>
      <c r="I507" s="40">
        <v>-6.3423367431388988E-2</v>
      </c>
      <c r="J507" s="40">
        <v>1.8204374206969964E-2</v>
      </c>
    </row>
    <row r="508" spans="1:10" ht="11.25" customHeight="1" x14ac:dyDescent="0.2">
      <c r="A508" s="49">
        <v>44621</v>
      </c>
      <c r="B508" s="39">
        <v>0</v>
      </c>
      <c r="C508" s="39">
        <v>0</v>
      </c>
      <c r="D508" s="39">
        <v>9131.0879999999997</v>
      </c>
      <c r="E508" s="39">
        <v>9930.6840257338845</v>
      </c>
      <c r="F508" s="39">
        <v>7759.2528000000002</v>
      </c>
      <c r="G508" s="39">
        <v>7267.1348586725653</v>
      </c>
      <c r="H508" s="40">
        <v>8.7568537915074796E-2</v>
      </c>
      <c r="I508" s="40">
        <v>-6.3423367431389099E-2</v>
      </c>
      <c r="J508" s="40">
        <v>1.8204374206969964E-2</v>
      </c>
    </row>
    <row r="509" spans="1:10" ht="11.25" customHeight="1" x14ac:dyDescent="0.2">
      <c r="A509" s="49">
        <v>44652</v>
      </c>
      <c r="B509" s="39">
        <v>0</v>
      </c>
      <c r="C509" s="39">
        <v>0</v>
      </c>
      <c r="D509" s="39">
        <v>10225.179</v>
      </c>
      <c r="E509" s="39">
        <v>11120.582974949928</v>
      </c>
      <c r="F509" s="39">
        <v>8688.9699000000001</v>
      </c>
      <c r="G509" s="39">
        <v>8137.8861694320212</v>
      </c>
      <c r="H509" s="40">
        <v>8.7568537915075018E-2</v>
      </c>
      <c r="I509" s="40">
        <v>-6.3423367431388988E-2</v>
      </c>
      <c r="J509" s="40">
        <v>1.8204374206969964E-2</v>
      </c>
    </row>
    <row r="510" spans="1:10" ht="11.25" customHeight="1" x14ac:dyDescent="0.2">
      <c r="A510" s="49">
        <v>44682</v>
      </c>
      <c r="B510" s="39">
        <v>0</v>
      </c>
      <c r="C510" s="39">
        <v>0</v>
      </c>
      <c r="D510" s="39">
        <v>11102.763999999999</v>
      </c>
      <c r="E510" s="39">
        <v>12075.016810296129</v>
      </c>
      <c r="F510" s="39">
        <v>9434.7083999999995</v>
      </c>
      <c r="G510" s="39">
        <v>8836.3274225387886</v>
      </c>
      <c r="H510" s="40">
        <v>8.7568537915075018E-2</v>
      </c>
      <c r="I510" s="40">
        <v>-6.3423367431388877E-2</v>
      </c>
      <c r="J510" s="40">
        <v>1.8204374206970186E-2</v>
      </c>
    </row>
    <row r="511" spans="1:10" ht="11.25" customHeight="1" x14ac:dyDescent="0.2">
      <c r="A511" s="49">
        <v>44713</v>
      </c>
      <c r="B511" s="39">
        <v>0</v>
      </c>
      <c r="C511" s="39">
        <v>0</v>
      </c>
      <c r="D511" s="39">
        <v>10625.609999999999</v>
      </c>
      <c r="E511" s="39">
        <v>11556.079132155799</v>
      </c>
      <c r="F511" s="39">
        <v>9029.241</v>
      </c>
      <c r="G511" s="39">
        <v>8456.5761304304378</v>
      </c>
      <c r="H511" s="40">
        <v>8.7568537915075018E-2</v>
      </c>
      <c r="I511" s="40">
        <v>-6.3423367431388988E-2</v>
      </c>
      <c r="J511" s="40">
        <v>1.8204374206969964E-2</v>
      </c>
    </row>
    <row r="512" spans="1:10" ht="11.25" customHeight="1" x14ac:dyDescent="0.2">
      <c r="A512" s="49">
        <v>44743</v>
      </c>
      <c r="B512" s="39">
        <v>0</v>
      </c>
      <c r="C512" s="39">
        <v>0</v>
      </c>
      <c r="D512" s="39">
        <v>10637.43375</v>
      </c>
      <c r="E512" s="39">
        <v>11568.938270655972</v>
      </c>
      <c r="F512" s="39">
        <v>9039.2883750000001</v>
      </c>
      <c r="G512" s="39">
        <v>8465.9862670740913</v>
      </c>
      <c r="H512" s="40">
        <v>8.7568537915074796E-2</v>
      </c>
      <c r="I512" s="40">
        <v>-6.3423367431389099E-2</v>
      </c>
      <c r="J512" s="40">
        <v>1.8204374206969742E-2</v>
      </c>
    </row>
    <row r="513" spans="1:10" ht="11.25" customHeight="1" x14ac:dyDescent="0.2">
      <c r="A513" s="49">
        <v>44774</v>
      </c>
      <c r="B513" s="39">
        <v>0</v>
      </c>
      <c r="C513" s="39">
        <v>0</v>
      </c>
      <c r="D513" s="39">
        <v>10568.856</v>
      </c>
      <c r="E513" s="39">
        <v>11494.355267354968</v>
      </c>
      <c r="F513" s="39">
        <v>8981.0136000000002</v>
      </c>
      <c r="G513" s="39">
        <v>8411.407474540898</v>
      </c>
      <c r="H513" s="40">
        <v>8.7568537915075018E-2</v>
      </c>
      <c r="I513" s="40">
        <v>-6.3423367431389099E-2</v>
      </c>
      <c r="J513" s="40">
        <v>1.8204374206969964E-2</v>
      </c>
    </row>
    <row r="514" spans="1:10" ht="11.25" customHeight="1" x14ac:dyDescent="0.2">
      <c r="A514" s="49">
        <v>44805</v>
      </c>
      <c r="B514" s="39">
        <v>0</v>
      </c>
      <c r="C514" s="39">
        <v>0</v>
      </c>
      <c r="D514" s="39">
        <v>10597.233</v>
      </c>
      <c r="E514" s="39">
        <v>11525.217199755383</v>
      </c>
      <c r="F514" s="39">
        <v>9005.1273000000001</v>
      </c>
      <c r="G514" s="39">
        <v>8433.991802485667</v>
      </c>
      <c r="H514" s="40">
        <v>8.7568537915075018E-2</v>
      </c>
      <c r="I514" s="40">
        <v>-6.3423367431389099E-2</v>
      </c>
      <c r="J514" s="40">
        <v>1.8204374206969742E-2</v>
      </c>
    </row>
    <row r="515" spans="1:10" ht="11.25" customHeight="1" x14ac:dyDescent="0.2">
      <c r="A515" s="49">
        <v>44835</v>
      </c>
      <c r="B515" s="39">
        <v>0</v>
      </c>
      <c r="C515" s="39">
        <v>0</v>
      </c>
      <c r="D515" s="39">
        <v>10597.233</v>
      </c>
      <c r="E515" s="39">
        <v>11525.217199755383</v>
      </c>
      <c r="F515" s="39">
        <v>9005.1273000000001</v>
      </c>
      <c r="G515" s="39">
        <v>8433.991802485667</v>
      </c>
      <c r="H515" s="40">
        <v>8.7568537915075018E-2</v>
      </c>
      <c r="I515" s="40">
        <v>-6.3423367431389099E-2</v>
      </c>
      <c r="J515" s="40">
        <v>1.8204374206969742E-2</v>
      </c>
    </row>
    <row r="516" spans="1:10" ht="11.25" customHeight="1" x14ac:dyDescent="0.2">
      <c r="A516" s="45" t="s">
        <v>30</v>
      </c>
      <c r="B516" s="39">
        <v>0</v>
      </c>
      <c r="C516" s="39">
        <v>0</v>
      </c>
      <c r="D516" s="39">
        <v>407751.48413999996</v>
      </c>
      <c r="E516" s="39">
        <v>443436.58950213843</v>
      </c>
      <c r="F516" s="39">
        <v>346468.82130000007</v>
      </c>
      <c r="G516" s="39">
        <v>324500.65764162928</v>
      </c>
      <c r="H516" s="40">
        <v>8.7516800674319883E-2</v>
      </c>
      <c r="I516" s="40">
        <v>-6.3405889095426327E-2</v>
      </c>
      <c r="J516" s="40">
        <v>1.818691648160442E-2</v>
      </c>
    </row>
    <row r="517" spans="1:10" ht="11.25" customHeight="1" x14ac:dyDescent="0.2">
      <c r="A517" s="46" t="s">
        <v>25</v>
      </c>
      <c r="B517" s="39">
        <v>0</v>
      </c>
      <c r="C517" s="39">
        <v>0</v>
      </c>
      <c r="D517" s="39">
        <v>407751.48413999996</v>
      </c>
      <c r="E517" s="39">
        <v>443436.58950213843</v>
      </c>
      <c r="F517" s="39">
        <v>346468.82130000007</v>
      </c>
      <c r="G517" s="39">
        <v>324500.65764162928</v>
      </c>
      <c r="H517" s="40">
        <v>8.7516800674319883E-2</v>
      </c>
      <c r="I517" s="40">
        <v>-6.3405889095426327E-2</v>
      </c>
      <c r="J517" s="40">
        <v>1.818691648160442E-2</v>
      </c>
    </row>
    <row r="518" spans="1:10" ht="11.25" customHeight="1" x14ac:dyDescent="0.2">
      <c r="A518" s="47" t="s">
        <v>25</v>
      </c>
      <c r="B518" s="39">
        <v>0</v>
      </c>
      <c r="C518" s="39">
        <v>0</v>
      </c>
      <c r="D518" s="39">
        <v>407751.48413999996</v>
      </c>
      <c r="E518" s="39">
        <v>443436.58950213843</v>
      </c>
      <c r="F518" s="39">
        <v>346468.82130000007</v>
      </c>
      <c r="G518" s="39">
        <v>324500.65764162928</v>
      </c>
      <c r="H518" s="40">
        <v>8.7516800674319883E-2</v>
      </c>
      <c r="I518" s="40">
        <v>-6.3405889095426327E-2</v>
      </c>
      <c r="J518" s="40">
        <v>1.818691648160442E-2</v>
      </c>
    </row>
    <row r="519" spans="1:10" ht="11.25" customHeight="1" x14ac:dyDescent="0.2">
      <c r="A519" s="48" t="s">
        <v>25</v>
      </c>
      <c r="B519" s="39">
        <v>0</v>
      </c>
      <c r="C519" s="39">
        <v>0</v>
      </c>
      <c r="D519" s="39">
        <v>407751.48413999996</v>
      </c>
      <c r="E519" s="39">
        <v>443436.58950213843</v>
      </c>
      <c r="F519" s="39">
        <v>346468.82130000007</v>
      </c>
      <c r="G519" s="39">
        <v>324500.65764162928</v>
      </c>
      <c r="H519" s="40">
        <v>8.7516800674319883E-2</v>
      </c>
      <c r="I519" s="40">
        <v>-6.3405889095426327E-2</v>
      </c>
      <c r="J519" s="40">
        <v>1.818691648160442E-2</v>
      </c>
    </row>
    <row r="520" spans="1:10" ht="11.25" customHeight="1" x14ac:dyDescent="0.2">
      <c r="A520" s="49">
        <v>44501</v>
      </c>
      <c r="B520" s="39">
        <v>0</v>
      </c>
      <c r="C520" s="39">
        <v>0</v>
      </c>
      <c r="D520" s="39">
        <v>27632.044440000001</v>
      </c>
      <c r="E520" s="39">
        <v>30050.312565479428</v>
      </c>
      <c r="F520" s="39">
        <v>23479.109799999998</v>
      </c>
      <c r="G520" s="39">
        <v>21990.395967961867</v>
      </c>
      <c r="H520" s="40">
        <v>8.7516800674319883E-2</v>
      </c>
      <c r="I520" s="40">
        <v>-6.3405889095426105E-2</v>
      </c>
      <c r="J520" s="40">
        <v>1.8186916481604642E-2</v>
      </c>
    </row>
    <row r="521" spans="1:10" ht="11.25" customHeight="1" x14ac:dyDescent="0.2">
      <c r="A521" s="49">
        <v>44531</v>
      </c>
      <c r="B521" s="39">
        <v>0</v>
      </c>
      <c r="C521" s="39">
        <v>0</v>
      </c>
      <c r="D521" s="39">
        <v>28586.638080000001</v>
      </c>
      <c r="E521" s="39">
        <v>31088.449186796282</v>
      </c>
      <c r="F521" s="39">
        <v>24290.2336</v>
      </c>
      <c r="G521" s="39">
        <v>22750.089742256405</v>
      </c>
      <c r="H521" s="40">
        <v>8.7516800674319883E-2</v>
      </c>
      <c r="I521" s="40">
        <v>-6.3405889095426216E-2</v>
      </c>
      <c r="J521" s="40">
        <v>1.8186916481604642E-2</v>
      </c>
    </row>
    <row r="522" spans="1:10" ht="11.25" customHeight="1" x14ac:dyDescent="0.2">
      <c r="A522" s="49">
        <v>44562</v>
      </c>
      <c r="B522" s="39">
        <v>0</v>
      </c>
      <c r="C522" s="39">
        <v>0</v>
      </c>
      <c r="D522" s="39">
        <v>29597.087520000005</v>
      </c>
      <c r="E522" s="39">
        <v>32187.329929028241</v>
      </c>
      <c r="F522" s="39">
        <v>25148.8184</v>
      </c>
      <c r="G522" s="39">
        <v>23554.235209648588</v>
      </c>
      <c r="H522" s="40">
        <v>8.7516800674319661E-2</v>
      </c>
      <c r="I522" s="40">
        <v>-6.3405889095426105E-2</v>
      </c>
      <c r="J522" s="40">
        <v>1.8186916481604642E-2</v>
      </c>
    </row>
    <row r="523" spans="1:10" ht="11.25" customHeight="1" x14ac:dyDescent="0.2">
      <c r="A523" s="49">
        <v>44593</v>
      </c>
      <c r="B523" s="39">
        <v>0</v>
      </c>
      <c r="C523" s="39">
        <v>0</v>
      </c>
      <c r="D523" s="39">
        <v>30428.61822</v>
      </c>
      <c r="E523" s="39">
        <v>33091.633535554713</v>
      </c>
      <c r="F523" s="39">
        <v>25855.374899999999</v>
      </c>
      <c r="G523" s="39">
        <v>24215.991866569933</v>
      </c>
      <c r="H523" s="40">
        <v>8.7516800674319661E-2</v>
      </c>
      <c r="I523" s="40">
        <v>-6.3405889095426216E-2</v>
      </c>
      <c r="J523" s="40">
        <v>1.818691648160442E-2</v>
      </c>
    </row>
    <row r="524" spans="1:10" ht="11.25" customHeight="1" x14ac:dyDescent="0.2">
      <c r="A524" s="49">
        <v>44621</v>
      </c>
      <c r="B524" s="39">
        <v>0</v>
      </c>
      <c r="C524" s="39">
        <v>0</v>
      </c>
      <c r="D524" s="39">
        <v>31315.103820000004</v>
      </c>
      <c r="E524" s="39">
        <v>34055.701519110575</v>
      </c>
      <c r="F524" s="39">
        <v>26608.626899999999</v>
      </c>
      <c r="G524" s="39">
        <v>24921.483253797029</v>
      </c>
      <c r="H524" s="40">
        <v>8.7516800674319883E-2</v>
      </c>
      <c r="I524" s="40">
        <v>-6.3405889095426105E-2</v>
      </c>
      <c r="J524" s="40">
        <v>1.8186916481604642E-2</v>
      </c>
    </row>
    <row r="525" spans="1:10" ht="11.25" customHeight="1" x14ac:dyDescent="0.2">
      <c r="A525" s="49">
        <v>44652</v>
      </c>
      <c r="B525" s="39">
        <v>0</v>
      </c>
      <c r="C525" s="39">
        <v>0</v>
      </c>
      <c r="D525" s="39">
        <v>36551.134620000004</v>
      </c>
      <c r="E525" s="39">
        <v>39749.972982958774</v>
      </c>
      <c r="F525" s="39">
        <v>31057.712899999999</v>
      </c>
      <c r="G525" s="39">
        <v>29088.471000305013</v>
      </c>
      <c r="H525" s="40">
        <v>8.7516800674319883E-2</v>
      </c>
      <c r="I525" s="40">
        <v>-6.3405889095426105E-2</v>
      </c>
      <c r="J525" s="40">
        <v>1.8186916481604642E-2</v>
      </c>
    </row>
    <row r="526" spans="1:10" ht="11.25" customHeight="1" x14ac:dyDescent="0.2">
      <c r="A526" s="49">
        <v>44682</v>
      </c>
      <c r="B526" s="39">
        <v>0</v>
      </c>
      <c r="C526" s="39">
        <v>0</v>
      </c>
      <c r="D526" s="39">
        <v>38820.862079999999</v>
      </c>
      <c r="E526" s="39">
        <v>42218.33972866062</v>
      </c>
      <c r="F526" s="39">
        <v>32986.313599999994</v>
      </c>
      <c r="G526" s="39">
        <v>30894.787058211452</v>
      </c>
      <c r="H526" s="40">
        <v>8.7516800674319883E-2</v>
      </c>
      <c r="I526" s="40">
        <v>-6.3405889095425993E-2</v>
      </c>
      <c r="J526" s="40">
        <v>1.8186916481604865E-2</v>
      </c>
    </row>
    <row r="527" spans="1:10" ht="11.25" customHeight="1" x14ac:dyDescent="0.2">
      <c r="A527" s="49">
        <v>44713</v>
      </c>
      <c r="B527" s="39">
        <v>0</v>
      </c>
      <c r="C527" s="39">
        <v>0</v>
      </c>
      <c r="D527" s="39">
        <v>36172.75662</v>
      </c>
      <c r="E527" s="39">
        <v>39338.480550953223</v>
      </c>
      <c r="F527" s="39">
        <v>30736.202899999997</v>
      </c>
      <c r="G527" s="39">
        <v>28787.346627708081</v>
      </c>
      <c r="H527" s="40">
        <v>8.7516800674319883E-2</v>
      </c>
      <c r="I527" s="40">
        <v>-6.3405889095426216E-2</v>
      </c>
      <c r="J527" s="40">
        <v>1.8186916481604642E-2</v>
      </c>
    </row>
    <row r="528" spans="1:10" ht="11.25" customHeight="1" x14ac:dyDescent="0.2">
      <c r="A528" s="49">
        <v>44743</v>
      </c>
      <c r="B528" s="39">
        <v>0</v>
      </c>
      <c r="C528" s="39">
        <v>0</v>
      </c>
      <c r="D528" s="39">
        <v>36844.467660000002</v>
      </c>
      <c r="E528" s="39">
        <v>40068.977592151641</v>
      </c>
      <c r="F528" s="39">
        <v>31306.959699999999</v>
      </c>
      <c r="G528" s="39">
        <v>29321.914085346823</v>
      </c>
      <c r="H528" s="40">
        <v>8.7516800674319661E-2</v>
      </c>
      <c r="I528" s="40">
        <v>-6.3405889095426105E-2</v>
      </c>
      <c r="J528" s="40">
        <v>1.8186916481604642E-2</v>
      </c>
    </row>
    <row r="529" spans="1:10" ht="11.25" customHeight="1" x14ac:dyDescent="0.2">
      <c r="A529" s="49">
        <v>44774</v>
      </c>
      <c r="B529" s="39">
        <v>0</v>
      </c>
      <c r="C529" s="39">
        <v>0</v>
      </c>
      <c r="D529" s="39">
        <v>35928.612719999997</v>
      </c>
      <c r="E529" s="39">
        <v>39072.969957921072</v>
      </c>
      <c r="F529" s="39">
        <v>30528.752399999998</v>
      </c>
      <c r="G529" s="39">
        <v>28593.049711103875</v>
      </c>
      <c r="H529" s="40">
        <v>8.7516800674319883E-2</v>
      </c>
      <c r="I529" s="40">
        <v>-6.3405889095426105E-2</v>
      </c>
      <c r="J529" s="40">
        <v>1.8186916481604642E-2</v>
      </c>
    </row>
    <row r="530" spans="1:10" ht="11.25" customHeight="1" x14ac:dyDescent="0.2">
      <c r="A530" s="49">
        <v>44805</v>
      </c>
      <c r="B530" s="39">
        <v>0</v>
      </c>
      <c r="C530" s="39">
        <v>0</v>
      </c>
      <c r="D530" s="39">
        <v>37937.079180000001</v>
      </c>
      <c r="E530" s="39">
        <v>41257.210976761948</v>
      </c>
      <c r="F530" s="39">
        <v>32235.358099999998</v>
      </c>
      <c r="G530" s="39">
        <v>30191.446559360051</v>
      </c>
      <c r="H530" s="40">
        <v>8.7516800674319883E-2</v>
      </c>
      <c r="I530" s="40">
        <v>-6.3405889095426105E-2</v>
      </c>
      <c r="J530" s="40">
        <v>1.8186916481604642E-2</v>
      </c>
    </row>
    <row r="531" spans="1:10" ht="11.25" customHeight="1" x14ac:dyDescent="0.2">
      <c r="A531" s="49">
        <v>44835</v>
      </c>
      <c r="B531" s="39">
        <v>0</v>
      </c>
      <c r="C531" s="39">
        <v>0</v>
      </c>
      <c r="D531" s="39">
        <v>37937.079180000001</v>
      </c>
      <c r="E531" s="39">
        <v>41257.210976761948</v>
      </c>
      <c r="F531" s="39">
        <v>32235.358099999998</v>
      </c>
      <c r="G531" s="39">
        <v>30191.446559360051</v>
      </c>
      <c r="H531" s="40">
        <v>8.7516800674319883E-2</v>
      </c>
      <c r="I531" s="40">
        <v>-6.3405889095426105E-2</v>
      </c>
      <c r="J531" s="40">
        <v>1.8186916481604642E-2</v>
      </c>
    </row>
    <row r="532" spans="1:10" ht="11.25" customHeight="1" x14ac:dyDescent="0.2">
      <c r="A532" s="45" t="s">
        <v>31</v>
      </c>
      <c r="B532" s="39">
        <v>0</v>
      </c>
      <c r="C532" s="39">
        <v>0</v>
      </c>
      <c r="D532" s="39">
        <v>429852.00257999991</v>
      </c>
      <c r="E532" s="39">
        <v>467471.27460925106</v>
      </c>
      <c r="F532" s="39">
        <v>365247.76109999995</v>
      </c>
      <c r="G532" s="39">
        <v>342088.90206734068</v>
      </c>
      <c r="H532" s="40">
        <v>8.7516800674319883E-2</v>
      </c>
      <c r="I532" s="40">
        <v>-6.3405889095426327E-2</v>
      </c>
      <c r="J532" s="40">
        <v>1.818691648160442E-2</v>
      </c>
    </row>
    <row r="533" spans="1:10" ht="11.25" customHeight="1" x14ac:dyDescent="0.2">
      <c r="A533" s="46" t="s">
        <v>25</v>
      </c>
      <c r="B533" s="39">
        <v>0</v>
      </c>
      <c r="C533" s="39">
        <v>0</v>
      </c>
      <c r="D533" s="39">
        <v>429852.00257999991</v>
      </c>
      <c r="E533" s="39">
        <v>467471.27460925106</v>
      </c>
      <c r="F533" s="39">
        <v>365247.76109999995</v>
      </c>
      <c r="G533" s="39">
        <v>342088.90206734068</v>
      </c>
      <c r="H533" s="40">
        <v>8.7516800674319883E-2</v>
      </c>
      <c r="I533" s="40">
        <v>-6.3405889095426327E-2</v>
      </c>
      <c r="J533" s="40">
        <v>1.818691648160442E-2</v>
      </c>
    </row>
    <row r="534" spans="1:10" ht="11.25" customHeight="1" x14ac:dyDescent="0.2">
      <c r="A534" s="47" t="s">
        <v>25</v>
      </c>
      <c r="B534" s="39">
        <v>0</v>
      </c>
      <c r="C534" s="39">
        <v>0</v>
      </c>
      <c r="D534" s="39">
        <v>429852.00257999991</v>
      </c>
      <c r="E534" s="39">
        <v>467471.27460925106</v>
      </c>
      <c r="F534" s="39">
        <v>365247.76109999995</v>
      </c>
      <c r="G534" s="39">
        <v>342088.90206734068</v>
      </c>
      <c r="H534" s="40">
        <v>8.7516800674319883E-2</v>
      </c>
      <c r="I534" s="40">
        <v>-6.3405889095426327E-2</v>
      </c>
      <c r="J534" s="40">
        <v>1.818691648160442E-2</v>
      </c>
    </row>
    <row r="535" spans="1:10" ht="11.25" customHeight="1" x14ac:dyDescent="0.2">
      <c r="A535" s="48" t="s">
        <v>25</v>
      </c>
      <c r="B535" s="39">
        <v>0</v>
      </c>
      <c r="C535" s="39">
        <v>0</v>
      </c>
      <c r="D535" s="39">
        <v>429852.00257999991</v>
      </c>
      <c r="E535" s="39">
        <v>467471.27460925106</v>
      </c>
      <c r="F535" s="39">
        <v>365247.76109999995</v>
      </c>
      <c r="G535" s="39">
        <v>342088.90206734068</v>
      </c>
      <c r="H535" s="40">
        <v>8.7516800674319883E-2</v>
      </c>
      <c r="I535" s="40">
        <v>-6.3405889095426327E-2</v>
      </c>
      <c r="J535" s="40">
        <v>1.818691648160442E-2</v>
      </c>
    </row>
    <row r="536" spans="1:10" ht="11.25" customHeight="1" x14ac:dyDescent="0.2">
      <c r="A536" s="49">
        <v>44501</v>
      </c>
      <c r="B536" s="39">
        <v>0</v>
      </c>
      <c r="C536" s="39">
        <v>0</v>
      </c>
      <c r="D536" s="39">
        <v>29560.781249999996</v>
      </c>
      <c r="E536" s="39">
        <v>32147.84625043342</v>
      </c>
      <c r="F536" s="39">
        <v>25117.96875</v>
      </c>
      <c r="G536" s="39">
        <v>23525.341609135121</v>
      </c>
      <c r="H536" s="40">
        <v>8.7516800674319883E-2</v>
      </c>
      <c r="I536" s="40">
        <v>-6.3405889095426105E-2</v>
      </c>
      <c r="J536" s="40">
        <v>1.8186916481604642E-2</v>
      </c>
    </row>
    <row r="537" spans="1:10" ht="11.25" customHeight="1" x14ac:dyDescent="0.2">
      <c r="A537" s="49">
        <v>44531</v>
      </c>
      <c r="B537" s="39">
        <v>0</v>
      </c>
      <c r="C537" s="39">
        <v>0</v>
      </c>
      <c r="D537" s="39">
        <v>29551.051529999997</v>
      </c>
      <c r="E537" s="39">
        <v>32137.265016467562</v>
      </c>
      <c r="F537" s="39">
        <v>25109.701349999999</v>
      </c>
      <c r="G537" s="39">
        <v>23517.598410982628</v>
      </c>
      <c r="H537" s="40">
        <v>8.7516800674319883E-2</v>
      </c>
      <c r="I537" s="40">
        <v>-6.3405889095426105E-2</v>
      </c>
      <c r="J537" s="40">
        <v>1.8186916481604642E-2</v>
      </c>
    </row>
    <row r="538" spans="1:10" ht="11.25" customHeight="1" x14ac:dyDescent="0.2">
      <c r="A538" s="49">
        <v>44562</v>
      </c>
      <c r="B538" s="39">
        <v>0</v>
      </c>
      <c r="C538" s="39">
        <v>0</v>
      </c>
      <c r="D538" s="39">
        <v>32114.562479999997</v>
      </c>
      <c r="E538" s="39">
        <v>34925.126243305152</v>
      </c>
      <c r="F538" s="39">
        <v>27287.9316</v>
      </c>
      <c r="G538" s="39">
        <v>25557.716035326823</v>
      </c>
      <c r="H538" s="40">
        <v>8.7516800674320105E-2</v>
      </c>
      <c r="I538" s="40">
        <v>-6.3405889095426216E-2</v>
      </c>
      <c r="J538" s="40">
        <v>1.8186916481604642E-2</v>
      </c>
    </row>
    <row r="539" spans="1:10" ht="11.25" customHeight="1" x14ac:dyDescent="0.2">
      <c r="A539" s="49">
        <v>44593</v>
      </c>
      <c r="B539" s="39">
        <v>0</v>
      </c>
      <c r="C539" s="39">
        <v>0</v>
      </c>
      <c r="D539" s="39">
        <v>32278.075829999998</v>
      </c>
      <c r="E539" s="39">
        <v>35102.94975856469</v>
      </c>
      <c r="F539" s="39">
        <v>27426.869850000003</v>
      </c>
      <c r="G539" s="39">
        <v>25687.844782056214</v>
      </c>
      <c r="H539" s="40">
        <v>8.7516800674319883E-2</v>
      </c>
      <c r="I539" s="40">
        <v>-6.3405889095426216E-2</v>
      </c>
      <c r="J539" s="40">
        <v>1.8186916481604642E-2</v>
      </c>
    </row>
    <row r="540" spans="1:10" ht="11.25" customHeight="1" x14ac:dyDescent="0.2">
      <c r="A540" s="49">
        <v>44621</v>
      </c>
      <c r="B540" s="39">
        <v>0</v>
      </c>
      <c r="C540" s="39">
        <v>0</v>
      </c>
      <c r="D540" s="39">
        <v>29572.9434</v>
      </c>
      <c r="E540" s="39">
        <v>32161.072792890744</v>
      </c>
      <c r="F540" s="39">
        <v>25128.303</v>
      </c>
      <c r="G540" s="39">
        <v>23535.020606825736</v>
      </c>
      <c r="H540" s="40">
        <v>8.7516800674319883E-2</v>
      </c>
      <c r="I540" s="40">
        <v>-6.3405889095426105E-2</v>
      </c>
      <c r="J540" s="40">
        <v>1.8186916481604642E-2</v>
      </c>
    </row>
    <row r="541" spans="1:10" ht="11.25" customHeight="1" x14ac:dyDescent="0.2">
      <c r="A541" s="49">
        <v>44652</v>
      </c>
      <c r="B541" s="39">
        <v>0</v>
      </c>
      <c r="C541" s="39">
        <v>0</v>
      </c>
      <c r="D541" s="39">
        <v>43084.010969999996</v>
      </c>
      <c r="E541" s="39">
        <v>46854.5857703117</v>
      </c>
      <c r="F541" s="39">
        <v>36608.736150000004</v>
      </c>
      <c r="G541" s="39">
        <v>34287.526685749384</v>
      </c>
      <c r="H541" s="40">
        <v>8.7516800674319883E-2</v>
      </c>
      <c r="I541" s="40">
        <v>-6.3405889095426216E-2</v>
      </c>
      <c r="J541" s="40">
        <v>1.8186916481604865E-2</v>
      </c>
    </row>
    <row r="542" spans="1:10" ht="11.25" customHeight="1" x14ac:dyDescent="0.2">
      <c r="A542" s="49">
        <v>44682</v>
      </c>
      <c r="B542" s="39">
        <v>0</v>
      </c>
      <c r="C542" s="39">
        <v>0</v>
      </c>
      <c r="D542" s="39">
        <v>40917.796919999993</v>
      </c>
      <c r="E542" s="39">
        <v>44498.791597079929</v>
      </c>
      <c r="F542" s="39">
        <v>34768.091399999998</v>
      </c>
      <c r="G542" s="39">
        <v>32563.589652631956</v>
      </c>
      <c r="H542" s="40">
        <v>8.7516800674319883E-2</v>
      </c>
      <c r="I542" s="40">
        <v>-6.3405889095426216E-2</v>
      </c>
      <c r="J542" s="40">
        <v>1.818691648160442E-2</v>
      </c>
    </row>
    <row r="543" spans="1:10" ht="11.25" customHeight="1" x14ac:dyDescent="0.2">
      <c r="A543" s="49">
        <v>44713</v>
      </c>
      <c r="B543" s="39">
        <v>0</v>
      </c>
      <c r="C543" s="39">
        <v>0</v>
      </c>
      <c r="D543" s="39">
        <v>32395.102739999995</v>
      </c>
      <c r="E543" s="39">
        <v>35230.218489320687</v>
      </c>
      <c r="F543" s="39">
        <v>27526.308300000001</v>
      </c>
      <c r="G543" s="39">
        <v>25780.978248723692</v>
      </c>
      <c r="H543" s="40">
        <v>8.7516800674319883E-2</v>
      </c>
      <c r="I543" s="40">
        <v>-6.3405889095426216E-2</v>
      </c>
      <c r="J543" s="40">
        <v>1.8186916481604865E-2</v>
      </c>
    </row>
    <row r="544" spans="1:10" ht="11.25" customHeight="1" x14ac:dyDescent="0.2">
      <c r="A544" s="49">
        <v>44743</v>
      </c>
      <c r="B544" s="39">
        <v>0</v>
      </c>
      <c r="C544" s="39">
        <v>0</v>
      </c>
      <c r="D544" s="39">
        <v>37377.259919999997</v>
      </c>
      <c r="E544" s="39">
        <v>40648.398126170883</v>
      </c>
      <c r="F544" s="39">
        <v>31759.6764</v>
      </c>
      <c r="G544" s="39">
        <v>29745.925880474973</v>
      </c>
      <c r="H544" s="40">
        <v>8.7516800674319883E-2</v>
      </c>
      <c r="I544" s="40">
        <v>-6.3405889095426216E-2</v>
      </c>
      <c r="J544" s="40">
        <v>1.8186916481604642E-2</v>
      </c>
    </row>
    <row r="545" spans="1:10" ht="11.25" customHeight="1" x14ac:dyDescent="0.2">
      <c r="A545" s="49">
        <v>44774</v>
      </c>
      <c r="B545" s="39">
        <v>0</v>
      </c>
      <c r="C545" s="39">
        <v>0</v>
      </c>
      <c r="D545" s="39">
        <v>32979.967019999996</v>
      </c>
      <c r="E545" s="39">
        <v>35866.26821993498</v>
      </c>
      <c r="F545" s="39">
        <v>28023.2709</v>
      </c>
      <c r="G545" s="39">
        <v>26246.430493223517</v>
      </c>
      <c r="H545" s="40">
        <v>8.7516800674319883E-2</v>
      </c>
      <c r="I545" s="40">
        <v>-6.3405889095426105E-2</v>
      </c>
      <c r="J545" s="40">
        <v>1.8186916481604642E-2</v>
      </c>
    </row>
    <row r="546" spans="1:10" ht="11.25" customHeight="1" x14ac:dyDescent="0.2">
      <c r="A546" s="49">
        <v>44805</v>
      </c>
      <c r="B546" s="39">
        <v>0</v>
      </c>
      <c r="C546" s="39">
        <v>0</v>
      </c>
      <c r="D546" s="39">
        <v>45010.225259999992</v>
      </c>
      <c r="E546" s="39">
        <v>48949.376172385644</v>
      </c>
      <c r="F546" s="39">
        <v>38245.451699999998</v>
      </c>
      <c r="G546" s="39">
        <v>35820.464831105317</v>
      </c>
      <c r="H546" s="40">
        <v>8.7516800674319883E-2</v>
      </c>
      <c r="I546" s="40">
        <v>-6.3405889095426216E-2</v>
      </c>
      <c r="J546" s="40">
        <v>1.8186916481604642E-2</v>
      </c>
    </row>
    <row r="547" spans="1:10" ht="11.25" customHeight="1" x14ac:dyDescent="0.2">
      <c r="A547" s="49">
        <v>44835</v>
      </c>
      <c r="B547" s="39">
        <v>0</v>
      </c>
      <c r="C547" s="39">
        <v>0</v>
      </c>
      <c r="D547" s="39">
        <v>45010.225259999992</v>
      </c>
      <c r="E547" s="39">
        <v>48949.376172385644</v>
      </c>
      <c r="F547" s="39">
        <v>38245.451699999998</v>
      </c>
      <c r="G547" s="39">
        <v>35820.464831105317</v>
      </c>
      <c r="H547" s="40">
        <v>8.7516800674319883E-2</v>
      </c>
      <c r="I547" s="40">
        <v>-6.3405889095426216E-2</v>
      </c>
      <c r="J547" s="40">
        <v>1.8186916481604642E-2</v>
      </c>
    </row>
    <row r="548" spans="1:10" ht="11.25" customHeight="1" x14ac:dyDescent="0.2">
      <c r="A548" s="45" t="s">
        <v>32</v>
      </c>
      <c r="B548" s="39">
        <v>0</v>
      </c>
      <c r="C548" s="39">
        <v>0</v>
      </c>
      <c r="D548" s="39">
        <v>85323.338100000008</v>
      </c>
      <c r="E548" s="39">
        <v>92790.563673365294</v>
      </c>
      <c r="F548" s="39">
        <v>72500.686589999998</v>
      </c>
      <c r="G548" s="39">
        <v>67902.829057815718</v>
      </c>
      <c r="H548" s="40">
        <v>8.7516800674319661E-2</v>
      </c>
      <c r="I548" s="40">
        <v>-6.3418123999096854E-2</v>
      </c>
      <c r="J548" s="40">
        <v>1.8180806419156204E-2</v>
      </c>
    </row>
    <row r="549" spans="1:10" ht="11.25" customHeight="1" x14ac:dyDescent="0.2">
      <c r="A549" s="46" t="s">
        <v>25</v>
      </c>
      <c r="B549" s="39">
        <v>0</v>
      </c>
      <c r="C549" s="39">
        <v>0</v>
      </c>
      <c r="D549" s="39">
        <v>85323.338100000008</v>
      </c>
      <c r="E549" s="39">
        <v>92790.563673365294</v>
      </c>
      <c r="F549" s="39">
        <v>72500.686589999998</v>
      </c>
      <c r="G549" s="39">
        <v>67902.829057815718</v>
      </c>
      <c r="H549" s="40">
        <v>8.7516800674319661E-2</v>
      </c>
      <c r="I549" s="40">
        <v>-6.3418123999096854E-2</v>
      </c>
      <c r="J549" s="40">
        <v>1.8180806419156204E-2</v>
      </c>
    </row>
    <row r="550" spans="1:10" ht="11.25" customHeight="1" x14ac:dyDescent="0.2">
      <c r="A550" s="47" t="s">
        <v>25</v>
      </c>
      <c r="B550" s="39">
        <v>0</v>
      </c>
      <c r="C550" s="39">
        <v>0</v>
      </c>
      <c r="D550" s="39">
        <v>85323.338100000008</v>
      </c>
      <c r="E550" s="39">
        <v>92790.563673365294</v>
      </c>
      <c r="F550" s="39">
        <v>72500.686589999998</v>
      </c>
      <c r="G550" s="39">
        <v>67902.829057815718</v>
      </c>
      <c r="H550" s="40">
        <v>8.7516800674319661E-2</v>
      </c>
      <c r="I550" s="40">
        <v>-6.3418123999096854E-2</v>
      </c>
      <c r="J550" s="40">
        <v>1.8180806419156204E-2</v>
      </c>
    </row>
    <row r="551" spans="1:10" ht="11.25" customHeight="1" x14ac:dyDescent="0.2">
      <c r="A551" s="48" t="s">
        <v>25</v>
      </c>
      <c r="B551" s="39">
        <v>0</v>
      </c>
      <c r="C551" s="39">
        <v>0</v>
      </c>
      <c r="D551" s="39">
        <v>85323.338100000008</v>
      </c>
      <c r="E551" s="39">
        <v>92790.563673365294</v>
      </c>
      <c r="F551" s="39">
        <v>72500.686589999998</v>
      </c>
      <c r="G551" s="39">
        <v>67902.829057815718</v>
      </c>
      <c r="H551" s="40">
        <v>8.7516800674319661E-2</v>
      </c>
      <c r="I551" s="40">
        <v>-6.3418123999096854E-2</v>
      </c>
      <c r="J551" s="40">
        <v>1.8180806419156204E-2</v>
      </c>
    </row>
    <row r="552" spans="1:10" ht="11.25" customHeight="1" x14ac:dyDescent="0.2">
      <c r="A552" s="49">
        <v>44501</v>
      </c>
      <c r="B552" s="39">
        <v>0</v>
      </c>
      <c r="C552" s="39">
        <v>0</v>
      </c>
      <c r="D552" s="39">
        <v>5470.2648000000008</v>
      </c>
      <c r="E552" s="39">
        <v>5949.0048741373485</v>
      </c>
      <c r="F552" s="39">
        <v>4648.1767200000004</v>
      </c>
      <c r="G552" s="39">
        <v>4353.3980724013245</v>
      </c>
      <c r="H552" s="40">
        <v>8.7516800674319661E-2</v>
      </c>
      <c r="I552" s="40">
        <v>-6.3418123999096965E-2</v>
      </c>
      <c r="J552" s="40">
        <v>1.8180806419156204E-2</v>
      </c>
    </row>
    <row r="553" spans="1:10" ht="11.25" customHeight="1" x14ac:dyDescent="0.2">
      <c r="A553" s="49">
        <v>44531</v>
      </c>
      <c r="B553" s="39">
        <v>0</v>
      </c>
      <c r="C553" s="39">
        <v>0</v>
      </c>
      <c r="D553" s="39">
        <v>5165.4603000000006</v>
      </c>
      <c r="E553" s="39">
        <v>5617.5248594662125</v>
      </c>
      <c r="F553" s="39">
        <v>4389.1791700000003</v>
      </c>
      <c r="G553" s="39">
        <v>4110.8256611426868</v>
      </c>
      <c r="H553" s="40">
        <v>8.7516800674319661E-2</v>
      </c>
      <c r="I553" s="40">
        <v>-6.3418123999096965E-2</v>
      </c>
      <c r="J553" s="40">
        <v>1.8180806419155982E-2</v>
      </c>
    </row>
    <row r="554" spans="1:10" ht="11.25" customHeight="1" x14ac:dyDescent="0.2">
      <c r="A554" s="49">
        <v>44562</v>
      </c>
      <c r="B554" s="39">
        <v>0</v>
      </c>
      <c r="C554" s="39">
        <v>0</v>
      </c>
      <c r="D554" s="39">
        <v>5932.4264999999996</v>
      </c>
      <c r="E554" s="39">
        <v>6451.6134875155522</v>
      </c>
      <c r="F554" s="39">
        <v>5040.8833499999992</v>
      </c>
      <c r="G554" s="39">
        <v>4721.1999846447161</v>
      </c>
      <c r="H554" s="40">
        <v>8.7516800674319883E-2</v>
      </c>
      <c r="I554" s="40">
        <v>-6.3418123999096965E-2</v>
      </c>
      <c r="J554" s="40">
        <v>1.8180806419156426E-2</v>
      </c>
    </row>
    <row r="555" spans="1:10" ht="11.25" customHeight="1" x14ac:dyDescent="0.2">
      <c r="A555" s="49">
        <v>44593</v>
      </c>
      <c r="B555" s="39">
        <v>0</v>
      </c>
      <c r="C555" s="39">
        <v>0</v>
      </c>
      <c r="D555" s="39">
        <v>6192.1860000000006</v>
      </c>
      <c r="E555" s="39">
        <v>6734.1063079003143</v>
      </c>
      <c r="F555" s="39">
        <v>5261.6054000000004</v>
      </c>
      <c r="G555" s="39">
        <v>4927.9242563084817</v>
      </c>
      <c r="H555" s="40">
        <v>8.7516800674319883E-2</v>
      </c>
      <c r="I555" s="40">
        <v>-6.3418123999097076E-2</v>
      </c>
      <c r="J555" s="40">
        <v>1.8180806419155982E-2</v>
      </c>
    </row>
    <row r="556" spans="1:10" ht="11.25" customHeight="1" x14ac:dyDescent="0.2">
      <c r="A556" s="49">
        <v>44621</v>
      </c>
      <c r="B556" s="39">
        <v>0</v>
      </c>
      <c r="C556" s="39">
        <v>0</v>
      </c>
      <c r="D556" s="39">
        <v>4645.6410000000005</v>
      </c>
      <c r="E556" s="39">
        <v>5052.2126374014479</v>
      </c>
      <c r="F556" s="39">
        <v>3947.4798999999998</v>
      </c>
      <c r="G556" s="39">
        <v>3697.138130217857</v>
      </c>
      <c r="H556" s="40">
        <v>8.7516800674319661E-2</v>
      </c>
      <c r="I556" s="40">
        <v>-6.3418123999096965E-2</v>
      </c>
      <c r="J556" s="40">
        <v>1.8180806419155982E-2</v>
      </c>
    </row>
    <row r="557" spans="1:10" ht="11.25" customHeight="1" x14ac:dyDescent="0.2">
      <c r="A557" s="49">
        <v>44652</v>
      </c>
      <c r="B557" s="39">
        <v>0</v>
      </c>
      <c r="C557" s="39">
        <v>0</v>
      </c>
      <c r="D557" s="39">
        <v>11496.6852</v>
      </c>
      <c r="E557" s="39">
        <v>12502.838307063803</v>
      </c>
      <c r="F557" s="39">
        <v>9768.9282800000001</v>
      </c>
      <c r="G557" s="39">
        <v>9149.4011750006739</v>
      </c>
      <c r="H557" s="40">
        <v>8.7516800674319883E-2</v>
      </c>
      <c r="I557" s="40">
        <v>-6.3418123999097076E-2</v>
      </c>
      <c r="J557" s="40">
        <v>1.8180806419156204E-2</v>
      </c>
    </row>
    <row r="558" spans="1:10" ht="11.25" customHeight="1" x14ac:dyDescent="0.2">
      <c r="A558" s="49">
        <v>44682</v>
      </c>
      <c r="B558" s="39">
        <v>0</v>
      </c>
      <c r="C558" s="39">
        <v>0</v>
      </c>
      <c r="D558" s="39">
        <v>9187.0779000000002</v>
      </c>
      <c r="E558" s="39">
        <v>9991.1015653537488</v>
      </c>
      <c r="F558" s="39">
        <v>7806.4158099999995</v>
      </c>
      <c r="G558" s="39">
        <v>7311.3475641729092</v>
      </c>
      <c r="H558" s="40">
        <v>8.7516800674319883E-2</v>
      </c>
      <c r="I558" s="40">
        <v>-6.3418123999096854E-2</v>
      </c>
      <c r="J558" s="40">
        <v>1.8180806419156204E-2</v>
      </c>
    </row>
    <row r="559" spans="1:10" ht="11.25" customHeight="1" x14ac:dyDescent="0.2">
      <c r="A559" s="49">
        <v>44713</v>
      </c>
      <c r="B559" s="39">
        <v>0</v>
      </c>
      <c r="C559" s="39">
        <v>0</v>
      </c>
      <c r="D559" s="39">
        <v>4555.8513000000003</v>
      </c>
      <c r="E559" s="39">
        <v>4954.5648301239407</v>
      </c>
      <c r="F559" s="39">
        <v>3871.1840699999998</v>
      </c>
      <c r="G559" s="39">
        <v>3625.6808386254111</v>
      </c>
      <c r="H559" s="40">
        <v>8.7516800674319661E-2</v>
      </c>
      <c r="I559" s="40">
        <v>-6.3418123999096965E-2</v>
      </c>
      <c r="J559" s="40">
        <v>1.8180806419156204E-2</v>
      </c>
    </row>
    <row r="560" spans="1:10" ht="11.25" customHeight="1" x14ac:dyDescent="0.2">
      <c r="A560" s="49">
        <v>44743</v>
      </c>
      <c r="B560" s="39">
        <v>0</v>
      </c>
      <c r="C560" s="39">
        <v>0</v>
      </c>
      <c r="D560" s="39">
        <v>6111.4053000000004</v>
      </c>
      <c r="E560" s="39">
        <v>6646.255939480081</v>
      </c>
      <c r="F560" s="39">
        <v>5192.9646699999994</v>
      </c>
      <c r="G560" s="39">
        <v>4863.6365926350099</v>
      </c>
      <c r="H560" s="40">
        <v>8.7516800674319661E-2</v>
      </c>
      <c r="I560" s="40">
        <v>-6.3418123999096965E-2</v>
      </c>
      <c r="J560" s="40">
        <v>1.8180806419155982E-2</v>
      </c>
    </row>
    <row r="561" spans="1:10" ht="11.25" customHeight="1" x14ac:dyDescent="0.2">
      <c r="A561" s="49">
        <v>44774</v>
      </c>
      <c r="B561" s="39">
        <v>0</v>
      </c>
      <c r="C561" s="39">
        <v>0</v>
      </c>
      <c r="D561" s="39">
        <v>4659.4548000000004</v>
      </c>
      <c r="E561" s="39">
        <v>5067.2353769826032</v>
      </c>
      <c r="F561" s="39">
        <v>3959.2177199999996</v>
      </c>
      <c r="G561" s="39">
        <v>3708.1315596936179</v>
      </c>
      <c r="H561" s="40">
        <v>8.7516800674319883E-2</v>
      </c>
      <c r="I561" s="40">
        <v>-6.3418123999096965E-2</v>
      </c>
      <c r="J561" s="40">
        <v>1.8180806419156204E-2</v>
      </c>
    </row>
    <row r="562" spans="1:10" ht="11.25" customHeight="1" x14ac:dyDescent="0.2">
      <c r="A562" s="49">
        <v>44805</v>
      </c>
      <c r="B562" s="39">
        <v>0</v>
      </c>
      <c r="C562" s="39">
        <v>0</v>
      </c>
      <c r="D562" s="39">
        <v>10953.442500000001</v>
      </c>
      <c r="E562" s="39">
        <v>11912.052743970124</v>
      </c>
      <c r="F562" s="39">
        <v>9307.32575</v>
      </c>
      <c r="G562" s="39">
        <v>8717.072611486512</v>
      </c>
      <c r="H562" s="40">
        <v>8.7516800674319661E-2</v>
      </c>
      <c r="I562" s="40">
        <v>-6.3418123999096965E-2</v>
      </c>
      <c r="J562" s="40">
        <v>1.8180806419156204E-2</v>
      </c>
    </row>
    <row r="563" spans="1:10" ht="11.25" customHeight="1" x14ac:dyDescent="0.2">
      <c r="A563" s="49">
        <v>44835</v>
      </c>
      <c r="B563" s="39">
        <v>0</v>
      </c>
      <c r="C563" s="39">
        <v>0</v>
      </c>
      <c r="D563" s="39">
        <v>10953.442500000001</v>
      </c>
      <c r="E563" s="39">
        <v>11912.052743970124</v>
      </c>
      <c r="F563" s="39">
        <v>9307.32575</v>
      </c>
      <c r="G563" s="39">
        <v>8717.072611486512</v>
      </c>
      <c r="H563" s="40">
        <v>8.7516800674319661E-2</v>
      </c>
      <c r="I563" s="40">
        <v>-6.3418123999096965E-2</v>
      </c>
      <c r="J563" s="40">
        <v>1.8180806419156204E-2</v>
      </c>
    </row>
    <row r="564" spans="1:10" ht="11.25" customHeight="1" x14ac:dyDescent="0.2">
      <c r="A564" s="42" t="s">
        <v>43</v>
      </c>
      <c r="B564" s="39">
        <v>0</v>
      </c>
      <c r="C564" s="39">
        <v>0</v>
      </c>
      <c r="D564" s="39">
        <v>5648370.6193618001</v>
      </c>
      <c r="E564" s="39">
        <v>7672703.3262051586</v>
      </c>
      <c r="F564" s="39">
        <v>3796634.3059170009</v>
      </c>
      <c r="G564" s="39">
        <v>3798297.0383386929</v>
      </c>
      <c r="H564" s="40">
        <v>0.35839232997640713</v>
      </c>
      <c r="I564" s="40">
        <v>4.3794905901295422E-4</v>
      </c>
      <c r="J564" s="40">
        <v>0.21450443438548539</v>
      </c>
    </row>
    <row r="565" spans="1:10" ht="11.25" customHeight="1" x14ac:dyDescent="0.2">
      <c r="A565" s="43" t="s">
        <v>23</v>
      </c>
      <c r="B565" s="39">
        <v>0</v>
      </c>
      <c r="C565" s="39">
        <v>0</v>
      </c>
      <c r="D565" s="39">
        <v>5648370.6193618001</v>
      </c>
      <c r="E565" s="39">
        <v>7672703.3262051586</v>
      </c>
      <c r="F565" s="39">
        <v>3796634.3059170009</v>
      </c>
      <c r="G565" s="39">
        <v>3798297.0383386929</v>
      </c>
      <c r="H565" s="40">
        <v>0.35839232997640713</v>
      </c>
      <c r="I565" s="40">
        <v>4.3794905901295422E-4</v>
      </c>
      <c r="J565" s="40">
        <v>0.21450443438548539</v>
      </c>
    </row>
    <row r="566" spans="1:10" ht="11.25" customHeight="1" x14ac:dyDescent="0.2">
      <c r="A566" s="44" t="s">
        <v>44</v>
      </c>
      <c r="B566" s="39">
        <v>0</v>
      </c>
      <c r="C566" s="39">
        <v>0</v>
      </c>
      <c r="D566" s="39">
        <v>5648370.6193618001</v>
      </c>
      <c r="E566" s="39">
        <v>7672703.3262051586</v>
      </c>
      <c r="F566" s="39">
        <v>3796634.3059170009</v>
      </c>
      <c r="G566" s="39">
        <v>3798297.0383386929</v>
      </c>
      <c r="H566" s="40">
        <v>0.35839232997640713</v>
      </c>
      <c r="I566" s="40">
        <v>4.3794905901295422E-4</v>
      </c>
      <c r="J566" s="40">
        <v>0.21450443438548539</v>
      </c>
    </row>
    <row r="567" spans="1:10" ht="11.25" customHeight="1" x14ac:dyDescent="0.2">
      <c r="A567" s="45" t="s">
        <v>53</v>
      </c>
      <c r="B567" s="39">
        <v>0</v>
      </c>
      <c r="C567" s="39">
        <v>0</v>
      </c>
      <c r="D567" s="39">
        <v>376297.47359489999</v>
      </c>
      <c r="E567" s="39">
        <v>511159.60192081181</v>
      </c>
      <c r="F567" s="39">
        <v>252933.80936850002</v>
      </c>
      <c r="G567" s="39">
        <v>253044.5814923055</v>
      </c>
      <c r="H567" s="40">
        <v>0.35839232997640735</v>
      </c>
      <c r="I567" s="40">
        <v>4.3794905901317627E-4</v>
      </c>
      <c r="J567" s="40">
        <v>0.21450443438548539</v>
      </c>
    </row>
    <row r="568" spans="1:10" ht="11.25" customHeight="1" x14ac:dyDescent="0.2">
      <c r="A568" s="46" t="s">
        <v>54</v>
      </c>
      <c r="B568" s="39">
        <v>0</v>
      </c>
      <c r="C568" s="39">
        <v>0</v>
      </c>
      <c r="D568" s="39">
        <v>284489.33502</v>
      </c>
      <c r="E568" s="39">
        <v>386448.13065125648</v>
      </c>
      <c r="F568" s="39">
        <v>191223.63630000001</v>
      </c>
      <c r="G568" s="39">
        <v>191307.38251157865</v>
      </c>
      <c r="H568" s="40">
        <v>0.35839232997640758</v>
      </c>
      <c r="I568" s="40">
        <v>4.3794905901317627E-4</v>
      </c>
      <c r="J568" s="40">
        <v>0.21450443438548561</v>
      </c>
    </row>
    <row r="569" spans="1:10" ht="11.25" customHeight="1" x14ac:dyDescent="0.2">
      <c r="A569" s="47" t="s">
        <v>25</v>
      </c>
      <c r="B569" s="39">
        <v>0</v>
      </c>
      <c r="C569" s="39">
        <v>0</v>
      </c>
      <c r="D569" s="39">
        <v>284489.33502</v>
      </c>
      <c r="E569" s="39">
        <v>386448.13065125648</v>
      </c>
      <c r="F569" s="39">
        <v>191223.63630000001</v>
      </c>
      <c r="G569" s="39">
        <v>191307.38251157865</v>
      </c>
      <c r="H569" s="40">
        <v>0.35839232997640758</v>
      </c>
      <c r="I569" s="40">
        <v>4.3794905901317627E-4</v>
      </c>
      <c r="J569" s="40">
        <v>0.21450443438548561</v>
      </c>
    </row>
    <row r="570" spans="1:10" ht="11.25" customHeight="1" x14ac:dyDescent="0.2">
      <c r="A570" s="48" t="s">
        <v>25</v>
      </c>
      <c r="B570" s="39">
        <v>0</v>
      </c>
      <c r="C570" s="39">
        <v>0</v>
      </c>
      <c r="D570" s="39">
        <v>284489.33502</v>
      </c>
      <c r="E570" s="39">
        <v>386448.13065125648</v>
      </c>
      <c r="F570" s="39">
        <v>191223.63630000001</v>
      </c>
      <c r="G570" s="39">
        <v>191307.38251157865</v>
      </c>
      <c r="H570" s="40">
        <v>0.35839232997640758</v>
      </c>
      <c r="I570" s="40">
        <v>4.3794905901317627E-4</v>
      </c>
      <c r="J570" s="40">
        <v>0.21450443438548561</v>
      </c>
    </row>
    <row r="571" spans="1:10" ht="11.25" customHeight="1" x14ac:dyDescent="0.2">
      <c r="A571" s="49">
        <v>44501</v>
      </c>
      <c r="B571" s="39">
        <v>0</v>
      </c>
      <c r="C571" s="39">
        <v>0</v>
      </c>
      <c r="D571" s="39">
        <v>6912.5764399999998</v>
      </c>
      <c r="E571" s="39">
        <v>9389.9908164716198</v>
      </c>
      <c r="F571" s="39">
        <v>4646.3886000000002</v>
      </c>
      <c r="G571" s="39">
        <v>4648.4234815151794</v>
      </c>
      <c r="H571" s="40">
        <v>0.35839232997640758</v>
      </c>
      <c r="I571" s="40">
        <v>4.3794905901317627E-4</v>
      </c>
      <c r="J571" s="40">
        <v>0.21450443438548539</v>
      </c>
    </row>
    <row r="572" spans="1:10" ht="11.25" customHeight="1" x14ac:dyDescent="0.2">
      <c r="A572" s="49">
        <v>44531</v>
      </c>
      <c r="B572" s="39">
        <v>0</v>
      </c>
      <c r="C572" s="39">
        <v>0</v>
      </c>
      <c r="D572" s="39">
        <v>2115.6653099999999</v>
      </c>
      <c r="E572" s="39">
        <v>2873.903529901158</v>
      </c>
      <c r="F572" s="39">
        <v>1422.0751500000001</v>
      </c>
      <c r="G572" s="39">
        <v>1422.6979464737885</v>
      </c>
      <c r="H572" s="40">
        <v>0.35839232997640735</v>
      </c>
      <c r="I572" s="40">
        <v>4.3794905901317627E-4</v>
      </c>
      <c r="J572" s="40">
        <v>0.21450443438548517</v>
      </c>
    </row>
    <row r="573" spans="1:10" ht="11.25" customHeight="1" x14ac:dyDescent="0.2">
      <c r="A573" s="49">
        <v>44562</v>
      </c>
      <c r="B573" s="39">
        <v>0</v>
      </c>
      <c r="C573" s="39">
        <v>0</v>
      </c>
      <c r="D573" s="39">
        <v>1075.3713299999999</v>
      </c>
      <c r="E573" s="39">
        <v>1460.776166548528</v>
      </c>
      <c r="F573" s="39">
        <v>722.82645000000002</v>
      </c>
      <c r="G573" s="39">
        <v>723.1430111636073</v>
      </c>
      <c r="H573" s="40">
        <v>0.35839232997640735</v>
      </c>
      <c r="I573" s="40">
        <v>4.3794905901317627E-4</v>
      </c>
      <c r="J573" s="40">
        <v>0.21450443438548517</v>
      </c>
    </row>
    <row r="574" spans="1:10" ht="11.25" customHeight="1" x14ac:dyDescent="0.2">
      <c r="A574" s="49">
        <v>44593</v>
      </c>
      <c r="B574" s="39">
        <v>0</v>
      </c>
      <c r="C574" s="39">
        <v>0</v>
      </c>
      <c r="D574" s="39">
        <v>2409.3128400000001</v>
      </c>
      <c r="E574" s="39">
        <v>3272.792082369675</v>
      </c>
      <c r="F574" s="39">
        <v>1619.4546</v>
      </c>
      <c r="G574" s="39">
        <v>1620.1638386181844</v>
      </c>
      <c r="H574" s="40">
        <v>0.35839232997640735</v>
      </c>
      <c r="I574" s="40">
        <v>4.3794905901295422E-4</v>
      </c>
      <c r="J574" s="40">
        <v>0.21450443438548517</v>
      </c>
    </row>
    <row r="575" spans="1:10" ht="11.25" customHeight="1" x14ac:dyDescent="0.2">
      <c r="A575" s="49">
        <v>44621</v>
      </c>
      <c r="B575" s="39">
        <v>0</v>
      </c>
      <c r="C575" s="39">
        <v>0</v>
      </c>
      <c r="D575" s="39">
        <v>5525.8518700000004</v>
      </c>
      <c r="E575" s="39">
        <v>7506.2747967937876</v>
      </c>
      <c r="F575" s="39">
        <v>3714.2815500000002</v>
      </c>
      <c r="G575" s="39">
        <v>3715.9082161097326</v>
      </c>
      <c r="H575" s="40">
        <v>0.35839232997640713</v>
      </c>
      <c r="I575" s="40">
        <v>4.3794905901317627E-4</v>
      </c>
      <c r="J575" s="40">
        <v>0.21450443438548539</v>
      </c>
    </row>
    <row r="576" spans="1:10" ht="11.25" customHeight="1" x14ac:dyDescent="0.2">
      <c r="A576" s="49">
        <v>44652</v>
      </c>
      <c r="B576" s="39">
        <v>0</v>
      </c>
      <c r="C576" s="39">
        <v>0</v>
      </c>
      <c r="D576" s="39">
        <v>26385.516739999999</v>
      </c>
      <c r="E576" s="39">
        <v>35841.883562080096</v>
      </c>
      <c r="F576" s="39">
        <v>17735.408100000001</v>
      </c>
      <c r="G576" s="39">
        <v>17743.175305288609</v>
      </c>
      <c r="H576" s="40">
        <v>0.35839232997640735</v>
      </c>
      <c r="I576" s="40">
        <v>4.3794905901317627E-4</v>
      </c>
      <c r="J576" s="40">
        <v>0.21450443438548517</v>
      </c>
    </row>
    <row r="577" spans="1:10" ht="11.25" customHeight="1" x14ac:dyDescent="0.2">
      <c r="A577" s="49">
        <v>44682</v>
      </c>
      <c r="B577" s="39">
        <v>0</v>
      </c>
      <c r="C577" s="39">
        <v>0</v>
      </c>
      <c r="D577" s="39">
        <v>35858.07159</v>
      </c>
      <c r="E577" s="39">
        <v>48709.329415600914</v>
      </c>
      <c r="F577" s="39">
        <v>24102.523350000003</v>
      </c>
      <c r="G577" s="39">
        <v>24113.079027420976</v>
      </c>
      <c r="H577" s="40">
        <v>0.35839232997640735</v>
      </c>
      <c r="I577" s="40">
        <v>4.3794905901295422E-4</v>
      </c>
      <c r="J577" s="40">
        <v>0.21450443438548517</v>
      </c>
    </row>
    <row r="578" spans="1:10" ht="11.25" customHeight="1" x14ac:dyDescent="0.2">
      <c r="A578" s="49">
        <v>44713</v>
      </c>
      <c r="B578" s="39">
        <v>0</v>
      </c>
      <c r="C578" s="39">
        <v>0</v>
      </c>
      <c r="D578" s="39">
        <v>33778.819909999998</v>
      </c>
      <c r="E578" s="39">
        <v>45884.889881398354</v>
      </c>
      <c r="F578" s="39">
        <v>22704.924150000003</v>
      </c>
      <c r="G578" s="39">
        <v>22714.867750166457</v>
      </c>
      <c r="H578" s="40">
        <v>0.35839232997640735</v>
      </c>
      <c r="I578" s="40">
        <v>4.3794905901295422E-4</v>
      </c>
      <c r="J578" s="40">
        <v>0.21450443438548517</v>
      </c>
    </row>
    <row r="579" spans="1:10" ht="11.25" customHeight="1" x14ac:dyDescent="0.2">
      <c r="A579" s="49">
        <v>44743</v>
      </c>
      <c r="B579" s="39">
        <v>0</v>
      </c>
      <c r="C579" s="39">
        <v>0</v>
      </c>
      <c r="D579" s="39">
        <v>34529.809269999998</v>
      </c>
      <c r="E579" s="39">
        <v>46905.028067916246</v>
      </c>
      <c r="F579" s="39">
        <v>23209.712550000004</v>
      </c>
      <c r="G579" s="39">
        <v>23219.877221771239</v>
      </c>
      <c r="H579" s="40">
        <v>0.35839232997640735</v>
      </c>
      <c r="I579" s="40">
        <v>4.3794905901295422E-4</v>
      </c>
      <c r="J579" s="40">
        <v>0.21450443438548517</v>
      </c>
    </row>
    <row r="580" spans="1:10" ht="11.25" customHeight="1" x14ac:dyDescent="0.2">
      <c r="A580" s="49">
        <v>44774</v>
      </c>
      <c r="B580" s="39">
        <v>0</v>
      </c>
      <c r="C580" s="39">
        <v>0</v>
      </c>
      <c r="D580" s="39">
        <v>43613.50664</v>
      </c>
      <c r="E580" s="39">
        <v>59244.252903151108</v>
      </c>
      <c r="F580" s="39">
        <v>29315.4516</v>
      </c>
      <c r="G580" s="39">
        <v>29328.290274442763</v>
      </c>
      <c r="H580" s="40">
        <v>0.35839232997640713</v>
      </c>
      <c r="I580" s="40">
        <v>4.3794905901295422E-4</v>
      </c>
      <c r="J580" s="40">
        <v>0.21450443438548517</v>
      </c>
    </row>
    <row r="581" spans="1:10" ht="11.25" customHeight="1" x14ac:dyDescent="0.2">
      <c r="A581" s="49">
        <v>44805</v>
      </c>
      <c r="B581" s="39">
        <v>0</v>
      </c>
      <c r="C581" s="39">
        <v>0</v>
      </c>
      <c r="D581" s="39">
        <v>46142.416539999998</v>
      </c>
      <c r="E581" s="39">
        <v>62679.504714512514</v>
      </c>
      <c r="F581" s="39">
        <v>31015.295100000003</v>
      </c>
      <c r="G581" s="39">
        <v>31028.878219304061</v>
      </c>
      <c r="H581" s="40">
        <v>0.35839232997640735</v>
      </c>
      <c r="I581" s="40">
        <v>4.3794905901317627E-4</v>
      </c>
      <c r="J581" s="40">
        <v>0.21450443438548539</v>
      </c>
    </row>
    <row r="582" spans="1:10" ht="11.25" customHeight="1" x14ac:dyDescent="0.2">
      <c r="A582" s="49">
        <v>44835</v>
      </c>
      <c r="B582" s="39">
        <v>0</v>
      </c>
      <c r="C582" s="39">
        <v>0</v>
      </c>
      <c r="D582" s="39">
        <v>46142.416539999998</v>
      </c>
      <c r="E582" s="39">
        <v>62679.504714512514</v>
      </c>
      <c r="F582" s="39">
        <v>31015.295100000003</v>
      </c>
      <c r="G582" s="39">
        <v>31028.878219304061</v>
      </c>
      <c r="H582" s="40">
        <v>0.35839232997640735</v>
      </c>
      <c r="I582" s="40">
        <v>4.3794905901317627E-4</v>
      </c>
      <c r="J582" s="40">
        <v>0.21450443438548539</v>
      </c>
    </row>
    <row r="583" spans="1:10" ht="11.25" customHeight="1" x14ac:dyDescent="0.2">
      <c r="A583" s="46" t="s">
        <v>55</v>
      </c>
      <c r="B583" s="39">
        <v>0</v>
      </c>
      <c r="C583" s="39">
        <v>0</v>
      </c>
      <c r="D583" s="39">
        <v>91808.138574900004</v>
      </c>
      <c r="E583" s="39">
        <v>124711.4712695553</v>
      </c>
      <c r="F583" s="39">
        <v>61710.173068499993</v>
      </c>
      <c r="G583" s="39">
        <v>61737.198980726884</v>
      </c>
      <c r="H583" s="40">
        <v>0.35839232997640713</v>
      </c>
      <c r="I583" s="40">
        <v>4.3794905901339831E-4</v>
      </c>
      <c r="J583" s="40">
        <v>0.21450443438548539</v>
      </c>
    </row>
    <row r="584" spans="1:10" ht="11.25" customHeight="1" x14ac:dyDescent="0.2">
      <c r="A584" s="47" t="s">
        <v>25</v>
      </c>
      <c r="B584" s="39">
        <v>0</v>
      </c>
      <c r="C584" s="39">
        <v>0</v>
      </c>
      <c r="D584" s="39">
        <v>91808.138574900004</v>
      </c>
      <c r="E584" s="39">
        <v>124711.4712695553</v>
      </c>
      <c r="F584" s="39">
        <v>61710.173068499993</v>
      </c>
      <c r="G584" s="39">
        <v>61737.198980726884</v>
      </c>
      <c r="H584" s="40">
        <v>0.35839232997640713</v>
      </c>
      <c r="I584" s="40">
        <v>4.3794905901339831E-4</v>
      </c>
      <c r="J584" s="40">
        <v>0.21450443438548539</v>
      </c>
    </row>
    <row r="585" spans="1:10" ht="11.25" customHeight="1" x14ac:dyDescent="0.2">
      <c r="A585" s="48" t="s">
        <v>25</v>
      </c>
      <c r="B585" s="39">
        <v>0</v>
      </c>
      <c r="C585" s="39">
        <v>0</v>
      </c>
      <c r="D585" s="39">
        <v>91808.138574900004</v>
      </c>
      <c r="E585" s="39">
        <v>124711.4712695553</v>
      </c>
      <c r="F585" s="39">
        <v>61710.173068499993</v>
      </c>
      <c r="G585" s="39">
        <v>61737.198980726884</v>
      </c>
      <c r="H585" s="40">
        <v>0.35839232997640713</v>
      </c>
      <c r="I585" s="40">
        <v>4.3794905901339831E-4</v>
      </c>
      <c r="J585" s="40">
        <v>0.21450443438548539</v>
      </c>
    </row>
    <row r="586" spans="1:10" ht="11.25" customHeight="1" x14ac:dyDescent="0.2">
      <c r="A586" s="49">
        <v>44501</v>
      </c>
      <c r="B586" s="39">
        <v>0</v>
      </c>
      <c r="C586" s="39">
        <v>0</v>
      </c>
      <c r="D586" s="39">
        <v>1981.0685070000002</v>
      </c>
      <c r="E586" s="39">
        <v>2691.0682650666126</v>
      </c>
      <c r="F586" s="39">
        <v>1331.603955</v>
      </c>
      <c r="G586" s="39">
        <v>1332.1871296990705</v>
      </c>
      <c r="H586" s="40">
        <v>0.35839232997640713</v>
      </c>
      <c r="I586" s="40">
        <v>4.3794905901317627E-4</v>
      </c>
      <c r="J586" s="40">
        <v>0.21450443438548517</v>
      </c>
    </row>
    <row r="587" spans="1:10" ht="11.25" customHeight="1" x14ac:dyDescent="0.2">
      <c r="A587" s="49">
        <v>44531</v>
      </c>
      <c r="B587" s="39">
        <v>0</v>
      </c>
      <c r="C587" s="39">
        <v>0</v>
      </c>
      <c r="D587" s="39">
        <v>703.57146419999992</v>
      </c>
      <c r="E587" s="39">
        <v>955.72608055955038</v>
      </c>
      <c r="F587" s="39">
        <v>472.915773</v>
      </c>
      <c r="G587" s="39">
        <v>473.12288601777777</v>
      </c>
      <c r="H587" s="40">
        <v>0.35839232997640735</v>
      </c>
      <c r="I587" s="40">
        <v>4.3794905901295422E-4</v>
      </c>
      <c r="J587" s="40">
        <v>0.21450443438548517</v>
      </c>
    </row>
    <row r="588" spans="1:10" ht="11.25" customHeight="1" x14ac:dyDescent="0.2">
      <c r="A588" s="49">
        <v>44562</v>
      </c>
      <c r="B588" s="39">
        <v>0</v>
      </c>
      <c r="C588" s="39">
        <v>0</v>
      </c>
      <c r="D588" s="39">
        <v>61.074677399999999</v>
      </c>
      <c r="E588" s="39">
        <v>82.96337333594343</v>
      </c>
      <c r="F588" s="39">
        <v>41.052231000000006</v>
      </c>
      <c r="G588" s="39">
        <v>41.070209785936839</v>
      </c>
      <c r="H588" s="40">
        <v>0.35839232997640735</v>
      </c>
      <c r="I588" s="40">
        <v>4.3794905901295422E-4</v>
      </c>
      <c r="J588" s="40">
        <v>0.21450443438548517</v>
      </c>
    </row>
    <row r="589" spans="1:10" ht="11.25" customHeight="1" x14ac:dyDescent="0.2">
      <c r="A589" s="49">
        <v>44593</v>
      </c>
      <c r="B589" s="39">
        <v>0</v>
      </c>
      <c r="C589" s="39">
        <v>0</v>
      </c>
      <c r="D589" s="39">
        <v>651.75720720000004</v>
      </c>
      <c r="E589" s="39">
        <v>885.34199126732403</v>
      </c>
      <c r="F589" s="39">
        <v>438.08806800000002</v>
      </c>
      <c r="G589" s="39">
        <v>438.27992825714546</v>
      </c>
      <c r="H589" s="40">
        <v>0.35839232997640713</v>
      </c>
      <c r="I589" s="40">
        <v>4.3794905901295422E-4</v>
      </c>
      <c r="J589" s="40">
        <v>0.21450443438548517</v>
      </c>
    </row>
    <row r="590" spans="1:10" ht="11.25" customHeight="1" x14ac:dyDescent="0.2">
      <c r="A590" s="49">
        <v>44621</v>
      </c>
      <c r="B590" s="39">
        <v>0</v>
      </c>
      <c r="C590" s="39">
        <v>0</v>
      </c>
      <c r="D590" s="39">
        <v>1268.6775948</v>
      </c>
      <c r="E590" s="39">
        <v>1723.3619139892362</v>
      </c>
      <c r="F590" s="39">
        <v>852.76006200000006</v>
      </c>
      <c r="G590" s="39">
        <v>853.13352746671683</v>
      </c>
      <c r="H590" s="40">
        <v>0.35839232997640713</v>
      </c>
      <c r="I590" s="40">
        <v>4.3794905901295422E-4</v>
      </c>
      <c r="J590" s="40">
        <v>0.21450443438548517</v>
      </c>
    </row>
    <row r="591" spans="1:10" ht="11.25" customHeight="1" x14ac:dyDescent="0.2">
      <c r="A591" s="49">
        <v>44652</v>
      </c>
      <c r="B591" s="39">
        <v>0</v>
      </c>
      <c r="C591" s="39">
        <v>0</v>
      </c>
      <c r="D591" s="39">
        <v>9194.2745399999985</v>
      </c>
      <c r="E591" s="39">
        <v>12489.432014833359</v>
      </c>
      <c r="F591" s="39">
        <v>6180.0650999999998</v>
      </c>
      <c r="G591" s="39">
        <v>6182.7716536951848</v>
      </c>
      <c r="H591" s="40">
        <v>0.35839232997640735</v>
      </c>
      <c r="I591" s="40">
        <v>4.3794905901317627E-4</v>
      </c>
      <c r="J591" s="40">
        <v>0.21450443438548517</v>
      </c>
    </row>
    <row r="592" spans="1:10" ht="11.25" customHeight="1" x14ac:dyDescent="0.2">
      <c r="A592" s="49">
        <v>44682</v>
      </c>
      <c r="B592" s="39">
        <v>0</v>
      </c>
      <c r="C592" s="39">
        <v>0</v>
      </c>
      <c r="D592" s="39">
        <v>11581.9195998</v>
      </c>
      <c r="E592" s="39">
        <v>15732.790750771741</v>
      </c>
      <c r="F592" s="39">
        <v>7784.955387</v>
      </c>
      <c r="G592" s="39">
        <v>7788.3648008861956</v>
      </c>
      <c r="H592" s="40">
        <v>0.35839232997640735</v>
      </c>
      <c r="I592" s="40">
        <v>4.3794905901317627E-4</v>
      </c>
      <c r="J592" s="40">
        <v>0.21450443438548517</v>
      </c>
    </row>
    <row r="593" spans="1:10" ht="11.25" customHeight="1" x14ac:dyDescent="0.2">
      <c r="A593" s="49">
        <v>44713</v>
      </c>
      <c r="B593" s="39">
        <v>0</v>
      </c>
      <c r="C593" s="39">
        <v>0</v>
      </c>
      <c r="D593" s="39">
        <v>11753.127134099999</v>
      </c>
      <c r="E593" s="39">
        <v>15965.357752199032</v>
      </c>
      <c r="F593" s="39">
        <v>7900.0350165</v>
      </c>
      <c r="G593" s="39">
        <v>7903.4948294016467</v>
      </c>
      <c r="H593" s="40">
        <v>0.35839232997640735</v>
      </c>
      <c r="I593" s="40">
        <v>4.3794905901317627E-4</v>
      </c>
      <c r="J593" s="40">
        <v>0.21450443438548517</v>
      </c>
    </row>
    <row r="594" spans="1:10" ht="11.25" customHeight="1" x14ac:dyDescent="0.2">
      <c r="A594" s="49">
        <v>44743</v>
      </c>
      <c r="B594" s="39">
        <v>0</v>
      </c>
      <c r="C594" s="39">
        <v>0</v>
      </c>
      <c r="D594" s="39">
        <v>12739.1414205</v>
      </c>
      <c r="E594" s="39">
        <v>17304.751996091953</v>
      </c>
      <c r="F594" s="39">
        <v>8562.7988325000006</v>
      </c>
      <c r="G594" s="39">
        <v>8566.5489021912126</v>
      </c>
      <c r="H594" s="40">
        <v>0.35839232997640713</v>
      </c>
      <c r="I594" s="40">
        <v>4.3794905901317627E-4</v>
      </c>
      <c r="J594" s="40">
        <v>0.21450443438548539</v>
      </c>
    </row>
    <row r="595" spans="1:10" ht="11.25" customHeight="1" x14ac:dyDescent="0.2">
      <c r="A595" s="49">
        <v>44774</v>
      </c>
      <c r="B595" s="39">
        <v>0</v>
      </c>
      <c r="C595" s="39">
        <v>0</v>
      </c>
      <c r="D595" s="39">
        <v>12733.6292655</v>
      </c>
      <c r="E595" s="39">
        <v>17297.264327018311</v>
      </c>
      <c r="F595" s="39">
        <v>8559.0937575000007</v>
      </c>
      <c r="G595" s="39">
        <v>8562.8422045571024</v>
      </c>
      <c r="H595" s="40">
        <v>0.35839232997640713</v>
      </c>
      <c r="I595" s="40">
        <v>4.3794905901295422E-4</v>
      </c>
      <c r="J595" s="40">
        <v>0.21450443438548517</v>
      </c>
    </row>
    <row r="596" spans="1:10" ht="11.25" customHeight="1" x14ac:dyDescent="0.2">
      <c r="A596" s="49">
        <v>44805</v>
      </c>
      <c r="B596" s="39">
        <v>0</v>
      </c>
      <c r="C596" s="39">
        <v>0</v>
      </c>
      <c r="D596" s="39">
        <v>14569.948582200001</v>
      </c>
      <c r="E596" s="39">
        <v>19791.706402211112</v>
      </c>
      <c r="F596" s="39">
        <v>9793.4024430000009</v>
      </c>
      <c r="G596" s="39">
        <v>9797.6914543844505</v>
      </c>
      <c r="H596" s="40">
        <v>0.35839232997640735</v>
      </c>
      <c r="I596" s="40">
        <v>4.3794905901317627E-4</v>
      </c>
      <c r="J596" s="40">
        <v>0.21450443438548539</v>
      </c>
    </row>
    <row r="597" spans="1:10" ht="11.25" customHeight="1" x14ac:dyDescent="0.2">
      <c r="A597" s="49">
        <v>44835</v>
      </c>
      <c r="B597" s="39">
        <v>0</v>
      </c>
      <c r="C597" s="39">
        <v>0</v>
      </c>
      <c r="D597" s="39">
        <v>14569.948582200001</v>
      </c>
      <c r="E597" s="39">
        <v>19791.706402211112</v>
      </c>
      <c r="F597" s="39">
        <v>9793.4024430000009</v>
      </c>
      <c r="G597" s="39">
        <v>9797.6914543844505</v>
      </c>
      <c r="H597" s="40">
        <v>0.35839232997640735</v>
      </c>
      <c r="I597" s="40">
        <v>4.3794905901317627E-4</v>
      </c>
      <c r="J597" s="40">
        <v>0.21450443438548539</v>
      </c>
    </row>
    <row r="598" spans="1:10" ht="11.25" customHeight="1" x14ac:dyDescent="0.2">
      <c r="A598" s="45" t="s">
        <v>56</v>
      </c>
      <c r="B598" s="39">
        <v>0</v>
      </c>
      <c r="C598" s="39">
        <v>0</v>
      </c>
      <c r="D598" s="39">
        <v>74852.950236900026</v>
      </c>
      <c r="E598" s="39">
        <v>101679.67347791066</v>
      </c>
      <c r="F598" s="39">
        <v>50313.497098500004</v>
      </c>
      <c r="G598" s="39">
        <v>50335.531847209968</v>
      </c>
      <c r="H598" s="40">
        <v>0.35839232997640713</v>
      </c>
      <c r="I598" s="40">
        <v>4.3794905901295422E-4</v>
      </c>
      <c r="J598" s="40">
        <v>0.21450443438548517</v>
      </c>
    </row>
    <row r="599" spans="1:10" ht="11.25" customHeight="1" x14ac:dyDescent="0.2">
      <c r="A599" s="46" t="s">
        <v>54</v>
      </c>
      <c r="B599" s="39">
        <v>0</v>
      </c>
      <c r="C599" s="39">
        <v>0</v>
      </c>
      <c r="D599" s="39">
        <v>49702.934599999993</v>
      </c>
      <c r="E599" s="39">
        <v>67516.085137958988</v>
      </c>
      <c r="F599" s="39">
        <v>33408.548999999999</v>
      </c>
      <c r="G599" s="39">
        <v>33423.180242597547</v>
      </c>
      <c r="H599" s="40">
        <v>0.35839232997640735</v>
      </c>
      <c r="I599" s="40">
        <v>4.3794905901295422E-4</v>
      </c>
      <c r="J599" s="40">
        <v>0.21450443438548517</v>
      </c>
    </row>
    <row r="600" spans="1:10" ht="11.25" customHeight="1" x14ac:dyDescent="0.2">
      <c r="A600" s="47" t="s">
        <v>25</v>
      </c>
      <c r="B600" s="39">
        <v>0</v>
      </c>
      <c r="C600" s="39">
        <v>0</v>
      </c>
      <c r="D600" s="39">
        <v>49702.934599999993</v>
      </c>
      <c r="E600" s="39">
        <v>67516.085137958988</v>
      </c>
      <c r="F600" s="39">
        <v>33408.548999999999</v>
      </c>
      <c r="G600" s="39">
        <v>33423.180242597547</v>
      </c>
      <c r="H600" s="40">
        <v>0.35839232997640735</v>
      </c>
      <c r="I600" s="40">
        <v>4.3794905901295422E-4</v>
      </c>
      <c r="J600" s="40">
        <v>0.21450443438548517</v>
      </c>
    </row>
    <row r="601" spans="1:10" ht="11.25" customHeight="1" x14ac:dyDescent="0.2">
      <c r="A601" s="48" t="s">
        <v>25</v>
      </c>
      <c r="B601" s="39">
        <v>0</v>
      </c>
      <c r="C601" s="39">
        <v>0</v>
      </c>
      <c r="D601" s="39">
        <v>49702.934599999993</v>
      </c>
      <c r="E601" s="39">
        <v>67516.085137958988</v>
      </c>
      <c r="F601" s="39">
        <v>33408.548999999999</v>
      </c>
      <c r="G601" s="39">
        <v>33423.180242597547</v>
      </c>
      <c r="H601" s="40">
        <v>0.35839232997640735</v>
      </c>
      <c r="I601" s="40">
        <v>4.3794905901295422E-4</v>
      </c>
      <c r="J601" s="40">
        <v>0.21450443438548517</v>
      </c>
    </row>
    <row r="602" spans="1:10" ht="11.25" customHeight="1" x14ac:dyDescent="0.2">
      <c r="A602" s="49">
        <v>44501</v>
      </c>
      <c r="B602" s="39">
        <v>0</v>
      </c>
      <c r="C602" s="39">
        <v>0</v>
      </c>
      <c r="D602" s="39">
        <v>3058.7449199999996</v>
      </c>
      <c r="E602" s="39">
        <v>4154.9756386822992</v>
      </c>
      <c r="F602" s="39">
        <v>2055.9798000000001</v>
      </c>
      <c r="G602" s="39">
        <v>2056.8802144187598</v>
      </c>
      <c r="H602" s="40">
        <v>0.35839232997640735</v>
      </c>
      <c r="I602" s="40">
        <v>4.3794905901295422E-4</v>
      </c>
      <c r="J602" s="40">
        <v>0.21450443438548494</v>
      </c>
    </row>
    <row r="603" spans="1:10" ht="11.25" customHeight="1" x14ac:dyDescent="0.2">
      <c r="A603" s="49">
        <v>44531</v>
      </c>
      <c r="B603" s="39">
        <v>0</v>
      </c>
      <c r="C603" s="39">
        <v>0</v>
      </c>
      <c r="D603" s="39">
        <v>2816.2101000000002</v>
      </c>
      <c r="E603" s="39">
        <v>3825.5181994420909</v>
      </c>
      <c r="F603" s="39">
        <v>1892.9565</v>
      </c>
      <c r="G603" s="39">
        <v>1893.7855185179276</v>
      </c>
      <c r="H603" s="40">
        <v>0.35839232997640713</v>
      </c>
      <c r="I603" s="40">
        <v>4.3794905901295422E-4</v>
      </c>
      <c r="J603" s="40">
        <v>0.21450443438548517</v>
      </c>
    </row>
    <row r="604" spans="1:10" ht="11.25" customHeight="1" x14ac:dyDescent="0.2">
      <c r="A604" s="49">
        <v>44562</v>
      </c>
      <c r="B604" s="39">
        <v>0</v>
      </c>
      <c r="C604" s="39">
        <v>0</v>
      </c>
      <c r="D604" s="39">
        <v>3242.8174899999995</v>
      </c>
      <c r="E604" s="39">
        <v>4405.0184059293442</v>
      </c>
      <c r="F604" s="39">
        <v>2179.70685</v>
      </c>
      <c r="G604" s="39">
        <v>2180.6614505638818</v>
      </c>
      <c r="H604" s="40">
        <v>0.35839232997640735</v>
      </c>
      <c r="I604" s="40">
        <v>4.3794905901295422E-4</v>
      </c>
      <c r="J604" s="40">
        <v>0.21450443438548517</v>
      </c>
    </row>
    <row r="605" spans="1:10" ht="11.25" customHeight="1" x14ac:dyDescent="0.2">
      <c r="A605" s="49">
        <v>44593</v>
      </c>
      <c r="B605" s="39">
        <v>0</v>
      </c>
      <c r="C605" s="39">
        <v>0</v>
      </c>
      <c r="D605" s="39">
        <v>3133.9106700000002</v>
      </c>
      <c r="E605" s="39">
        <v>4257.0802169592243</v>
      </c>
      <c r="F605" s="39">
        <v>2106.5035500000004</v>
      </c>
      <c r="G605" s="39">
        <v>2107.4260912475306</v>
      </c>
      <c r="H605" s="40">
        <v>0.35839232997640735</v>
      </c>
      <c r="I605" s="40">
        <v>4.3794905901317627E-4</v>
      </c>
      <c r="J605" s="40">
        <v>0.21450443438548539</v>
      </c>
    </row>
    <row r="606" spans="1:10" ht="11.25" customHeight="1" x14ac:dyDescent="0.2">
      <c r="A606" s="49">
        <v>44621</v>
      </c>
      <c r="B606" s="39">
        <v>0</v>
      </c>
      <c r="C606" s="39">
        <v>0</v>
      </c>
      <c r="D606" s="39">
        <v>3184.6893099999993</v>
      </c>
      <c r="E606" s="39">
        <v>4326.0575320618564</v>
      </c>
      <c r="F606" s="39">
        <v>2140.6351500000001</v>
      </c>
      <c r="G606" s="39">
        <v>2141.5726391496328</v>
      </c>
      <c r="H606" s="40">
        <v>0.35839232997640735</v>
      </c>
      <c r="I606" s="40">
        <v>4.3794905901295422E-4</v>
      </c>
      <c r="J606" s="40">
        <v>0.21450443438548517</v>
      </c>
    </row>
    <row r="607" spans="1:10" ht="11.25" customHeight="1" x14ac:dyDescent="0.2">
      <c r="A607" s="49">
        <v>44652</v>
      </c>
      <c r="B607" s="39">
        <v>0</v>
      </c>
      <c r="C607" s="39">
        <v>0</v>
      </c>
      <c r="D607" s="39">
        <v>6093.1027300000005</v>
      </c>
      <c r="E607" s="39">
        <v>8276.8240141903079</v>
      </c>
      <c r="F607" s="39">
        <v>4095.5674500000005</v>
      </c>
      <c r="G607" s="39">
        <v>4097.3610999108523</v>
      </c>
      <c r="H607" s="40">
        <v>0.35839232997640713</v>
      </c>
      <c r="I607" s="40">
        <v>4.3794905901295422E-4</v>
      </c>
      <c r="J607" s="40">
        <v>0.21450443438548517</v>
      </c>
    </row>
    <row r="608" spans="1:10" ht="11.25" customHeight="1" x14ac:dyDescent="0.2">
      <c r="A608" s="49">
        <v>44682</v>
      </c>
      <c r="B608" s="39">
        <v>0</v>
      </c>
      <c r="C608" s="39">
        <v>0</v>
      </c>
      <c r="D608" s="39">
        <v>4695.3538499999995</v>
      </c>
      <c r="E608" s="39">
        <v>6378.1326563651937</v>
      </c>
      <c r="F608" s="39">
        <v>3156.0502499999998</v>
      </c>
      <c r="G608" s="39">
        <v>3157.432439237185</v>
      </c>
      <c r="H608" s="40">
        <v>0.35839232997640735</v>
      </c>
      <c r="I608" s="40">
        <v>4.3794905901295422E-4</v>
      </c>
      <c r="J608" s="40">
        <v>0.21450443438548517</v>
      </c>
    </row>
    <row r="609" spans="1:10" ht="11.25" customHeight="1" x14ac:dyDescent="0.2">
      <c r="A609" s="49">
        <v>44713</v>
      </c>
      <c r="B609" s="39">
        <v>0</v>
      </c>
      <c r="C609" s="39">
        <v>0</v>
      </c>
      <c r="D609" s="39">
        <v>3651.7191699999998</v>
      </c>
      <c r="E609" s="39">
        <v>4960.4673117558114</v>
      </c>
      <c r="F609" s="39">
        <v>2454.5560500000001</v>
      </c>
      <c r="G609" s="39">
        <v>2455.6310205123923</v>
      </c>
      <c r="H609" s="40">
        <v>0.35839232997640713</v>
      </c>
      <c r="I609" s="40">
        <v>4.3794905901295422E-4</v>
      </c>
      <c r="J609" s="40">
        <v>0.21450443438548517</v>
      </c>
    </row>
    <row r="610" spans="1:10" ht="11.25" customHeight="1" x14ac:dyDescent="0.2">
      <c r="A610" s="49">
        <v>44743</v>
      </c>
      <c r="B610" s="39">
        <v>0</v>
      </c>
      <c r="C610" s="39">
        <v>0</v>
      </c>
      <c r="D610" s="39">
        <v>4381.3280500000001</v>
      </c>
      <c r="E610" s="39">
        <v>5951.5624182304891</v>
      </c>
      <c r="F610" s="39">
        <v>2944.97325</v>
      </c>
      <c r="G610" s="39">
        <v>2946.2629982636563</v>
      </c>
      <c r="H610" s="40">
        <v>0.35839232997640735</v>
      </c>
      <c r="I610" s="40">
        <v>4.3794905901317627E-4</v>
      </c>
      <c r="J610" s="40">
        <v>0.21450443438548539</v>
      </c>
    </row>
    <row r="611" spans="1:10" ht="11.25" customHeight="1" x14ac:dyDescent="0.2">
      <c r="A611" s="49">
        <v>44774</v>
      </c>
      <c r="B611" s="39">
        <v>0</v>
      </c>
      <c r="C611" s="39">
        <v>0</v>
      </c>
      <c r="D611" s="39">
        <v>3631.0068299999998</v>
      </c>
      <c r="E611" s="39">
        <v>4932.3318279639479</v>
      </c>
      <c r="F611" s="39">
        <v>2440.6339499999999</v>
      </c>
      <c r="G611" s="39">
        <v>2441.7028233417977</v>
      </c>
      <c r="H611" s="40">
        <v>0.35839232997640713</v>
      </c>
      <c r="I611" s="40">
        <v>4.3794905901295422E-4</v>
      </c>
      <c r="J611" s="40">
        <v>0.21450443438548517</v>
      </c>
    </row>
    <row r="612" spans="1:10" ht="11.25" customHeight="1" x14ac:dyDescent="0.2">
      <c r="A612" s="49">
        <v>44805</v>
      </c>
      <c r="B612" s="39">
        <v>0</v>
      </c>
      <c r="C612" s="39">
        <v>0</v>
      </c>
      <c r="D612" s="39">
        <v>5907.02574</v>
      </c>
      <c r="E612" s="39">
        <v>8024.0584581892108</v>
      </c>
      <c r="F612" s="39">
        <v>3970.4931000000001</v>
      </c>
      <c r="G612" s="39">
        <v>3972.2319737169628</v>
      </c>
      <c r="H612" s="40">
        <v>0.35839232997640713</v>
      </c>
      <c r="I612" s="40">
        <v>4.3794905901295422E-4</v>
      </c>
      <c r="J612" s="40">
        <v>0.21450443438548517</v>
      </c>
    </row>
    <row r="613" spans="1:10" ht="11.25" customHeight="1" x14ac:dyDescent="0.2">
      <c r="A613" s="49">
        <v>44835</v>
      </c>
      <c r="B613" s="39">
        <v>0</v>
      </c>
      <c r="C613" s="39">
        <v>0</v>
      </c>
      <c r="D613" s="39">
        <v>5907.02574</v>
      </c>
      <c r="E613" s="39">
        <v>8024.0584581892108</v>
      </c>
      <c r="F613" s="39">
        <v>3970.4931000000001</v>
      </c>
      <c r="G613" s="39">
        <v>3972.2319737169628</v>
      </c>
      <c r="H613" s="40">
        <v>0.35839232997640713</v>
      </c>
      <c r="I613" s="40">
        <v>4.3794905901295422E-4</v>
      </c>
      <c r="J613" s="40">
        <v>0.21450443438548517</v>
      </c>
    </row>
    <row r="614" spans="1:10" ht="11.25" customHeight="1" x14ac:dyDescent="0.2">
      <c r="A614" s="46" t="s">
        <v>55</v>
      </c>
      <c r="B614" s="39">
        <v>0</v>
      </c>
      <c r="C614" s="39">
        <v>0</v>
      </c>
      <c r="D614" s="39">
        <v>25150.015636899992</v>
      </c>
      <c r="E614" s="39">
        <v>34163.588339951668</v>
      </c>
      <c r="F614" s="39">
        <v>16904.948098500001</v>
      </c>
      <c r="G614" s="39">
        <v>16912.351604612402</v>
      </c>
      <c r="H614" s="40">
        <v>0.35839232997640735</v>
      </c>
      <c r="I614" s="40">
        <v>4.3794905901317627E-4</v>
      </c>
      <c r="J614" s="40">
        <v>0.21450443438548539</v>
      </c>
    </row>
    <row r="615" spans="1:10" ht="11.25" customHeight="1" x14ac:dyDescent="0.2">
      <c r="A615" s="47" t="s">
        <v>25</v>
      </c>
      <c r="B615" s="39">
        <v>0</v>
      </c>
      <c r="C615" s="39">
        <v>0</v>
      </c>
      <c r="D615" s="39">
        <v>25150.015636899992</v>
      </c>
      <c r="E615" s="39">
        <v>34163.588339951668</v>
      </c>
      <c r="F615" s="39">
        <v>16904.948098500001</v>
      </c>
      <c r="G615" s="39">
        <v>16912.351604612402</v>
      </c>
      <c r="H615" s="40">
        <v>0.35839232997640735</v>
      </c>
      <c r="I615" s="40">
        <v>4.3794905901317627E-4</v>
      </c>
      <c r="J615" s="40">
        <v>0.21450443438548539</v>
      </c>
    </row>
    <row r="616" spans="1:10" ht="11.25" customHeight="1" x14ac:dyDescent="0.2">
      <c r="A616" s="48" t="s">
        <v>25</v>
      </c>
      <c r="B616" s="39">
        <v>0</v>
      </c>
      <c r="C616" s="39">
        <v>0</v>
      </c>
      <c r="D616" s="39">
        <v>25150.015636899992</v>
      </c>
      <c r="E616" s="39">
        <v>34163.588339951668</v>
      </c>
      <c r="F616" s="39">
        <v>16904.948098500001</v>
      </c>
      <c r="G616" s="39">
        <v>16912.351604612402</v>
      </c>
      <c r="H616" s="40">
        <v>0.35839232997640735</v>
      </c>
      <c r="I616" s="40">
        <v>4.3794905901317627E-4</v>
      </c>
      <c r="J616" s="40">
        <v>0.21450443438548539</v>
      </c>
    </row>
    <row r="617" spans="1:10" ht="11.25" customHeight="1" x14ac:dyDescent="0.2">
      <c r="A617" s="49">
        <v>44501</v>
      </c>
      <c r="B617" s="39">
        <v>0</v>
      </c>
      <c r="C617" s="39">
        <v>0</v>
      </c>
      <c r="D617" s="39">
        <v>2586.2296305999998</v>
      </c>
      <c r="E617" s="39">
        <v>3513.1144937647573</v>
      </c>
      <c r="F617" s="39">
        <v>1738.371789</v>
      </c>
      <c r="G617" s="39">
        <v>1739.1331072892076</v>
      </c>
      <c r="H617" s="40">
        <v>0.35839232997640735</v>
      </c>
      <c r="I617" s="40">
        <v>4.3794905901317627E-4</v>
      </c>
      <c r="J617" s="40">
        <v>0.21450443438548539</v>
      </c>
    </row>
    <row r="618" spans="1:10" ht="11.25" customHeight="1" x14ac:dyDescent="0.2">
      <c r="A618" s="49">
        <v>44531</v>
      </c>
      <c r="B618" s="39">
        <v>0</v>
      </c>
      <c r="C618" s="39">
        <v>0</v>
      </c>
      <c r="D618" s="39">
        <v>2348.3985161999999</v>
      </c>
      <c r="E618" s="39">
        <v>3190.0465321340557</v>
      </c>
      <c r="F618" s="39">
        <v>1578.5101530000002</v>
      </c>
      <c r="G618" s="39">
        <v>1579.201460036149</v>
      </c>
      <c r="H618" s="40">
        <v>0.35839232997640735</v>
      </c>
      <c r="I618" s="40">
        <v>4.3794905901295422E-4</v>
      </c>
      <c r="J618" s="40">
        <v>0.21450443438548539</v>
      </c>
    </row>
    <row r="619" spans="1:10" ht="11.25" customHeight="1" x14ac:dyDescent="0.2">
      <c r="A619" s="49">
        <v>44562</v>
      </c>
      <c r="B619" s="39">
        <v>0</v>
      </c>
      <c r="C619" s="39">
        <v>0</v>
      </c>
      <c r="D619" s="39">
        <v>2328.4445151</v>
      </c>
      <c r="E619" s="39">
        <v>3162.9411700874748</v>
      </c>
      <c r="F619" s="39">
        <v>1565.0977815000001</v>
      </c>
      <c r="G619" s="39">
        <v>1565.7832146006717</v>
      </c>
      <c r="H619" s="40">
        <v>0.35839232997640735</v>
      </c>
      <c r="I619" s="40">
        <v>4.3794905901317627E-4</v>
      </c>
      <c r="J619" s="40">
        <v>0.21450443438548539</v>
      </c>
    </row>
    <row r="620" spans="1:10" ht="11.25" customHeight="1" x14ac:dyDescent="0.2">
      <c r="A620" s="49">
        <v>44593</v>
      </c>
      <c r="B620" s="39">
        <v>0</v>
      </c>
      <c r="C620" s="39">
        <v>0</v>
      </c>
      <c r="D620" s="39">
        <v>2128.3532885999998</v>
      </c>
      <c r="E620" s="39">
        <v>2891.1387827143026</v>
      </c>
      <c r="F620" s="39">
        <v>1430.6035590000001</v>
      </c>
      <c r="G620" s="39">
        <v>1431.2300904824849</v>
      </c>
      <c r="H620" s="40">
        <v>0.35839232997640735</v>
      </c>
      <c r="I620" s="40">
        <v>4.3794905901295422E-4</v>
      </c>
      <c r="J620" s="40">
        <v>0.21450443438548539</v>
      </c>
    </row>
    <row r="621" spans="1:10" ht="11.25" customHeight="1" x14ac:dyDescent="0.2">
      <c r="A621" s="49">
        <v>44621</v>
      </c>
      <c r="B621" s="39">
        <v>0</v>
      </c>
      <c r="C621" s="39">
        <v>0</v>
      </c>
      <c r="D621" s="39">
        <v>2082.7126451999998</v>
      </c>
      <c r="E621" s="39">
        <v>2829.1408827845544</v>
      </c>
      <c r="F621" s="39">
        <v>1399.925538</v>
      </c>
      <c r="G621" s="39">
        <v>1400.5386340720554</v>
      </c>
      <c r="H621" s="40">
        <v>0.35839232997640735</v>
      </c>
      <c r="I621" s="40">
        <v>4.3794905901295422E-4</v>
      </c>
      <c r="J621" s="40">
        <v>0.21450443438548517</v>
      </c>
    </row>
    <row r="622" spans="1:10" ht="11.25" customHeight="1" x14ac:dyDescent="0.2">
      <c r="A622" s="49">
        <v>44652</v>
      </c>
      <c r="B622" s="39">
        <v>0</v>
      </c>
      <c r="C622" s="39">
        <v>0</v>
      </c>
      <c r="D622" s="39">
        <v>2284.8984906000001</v>
      </c>
      <c r="E622" s="39">
        <v>3103.78858440571</v>
      </c>
      <c r="F622" s="39">
        <v>1535.8276890000002</v>
      </c>
      <c r="G622" s="39">
        <v>1536.5003032912036</v>
      </c>
      <c r="H622" s="40">
        <v>0.35839232997640713</v>
      </c>
      <c r="I622" s="40">
        <v>4.3794905901295422E-4</v>
      </c>
      <c r="J622" s="40">
        <v>0.21450443438548517</v>
      </c>
    </row>
    <row r="623" spans="1:10" ht="11.25" customHeight="1" x14ac:dyDescent="0.2">
      <c r="A623" s="49">
        <v>44682</v>
      </c>
      <c r="B623" s="39">
        <v>0</v>
      </c>
      <c r="C623" s="39">
        <v>0</v>
      </c>
      <c r="D623" s="39">
        <v>2267.9210531999997</v>
      </c>
      <c r="E623" s="39">
        <v>3080.7265636588954</v>
      </c>
      <c r="F623" s="39">
        <v>1524.416058</v>
      </c>
      <c r="G623" s="39">
        <v>1525.0836745781455</v>
      </c>
      <c r="H623" s="40">
        <v>0.35839232997640735</v>
      </c>
      <c r="I623" s="40">
        <v>4.3794905901295422E-4</v>
      </c>
      <c r="J623" s="40">
        <v>0.21450443438548539</v>
      </c>
    </row>
    <row r="624" spans="1:10" ht="11.25" customHeight="1" x14ac:dyDescent="0.2">
      <c r="A624" s="49">
        <v>44713</v>
      </c>
      <c r="B624" s="39">
        <v>0</v>
      </c>
      <c r="C624" s="39">
        <v>0</v>
      </c>
      <c r="D624" s="39">
        <v>2032.7725209</v>
      </c>
      <c r="E624" s="39">
        <v>2761.3026009773666</v>
      </c>
      <c r="F624" s="39">
        <v>1366.3575585000001</v>
      </c>
      <c r="G624" s="39">
        <v>1366.9559535070207</v>
      </c>
      <c r="H624" s="40">
        <v>0.35839232997640758</v>
      </c>
      <c r="I624" s="40">
        <v>4.3794905901317627E-4</v>
      </c>
      <c r="J624" s="40">
        <v>0.21450443438548561</v>
      </c>
    </row>
    <row r="625" spans="1:10" ht="11.25" customHeight="1" x14ac:dyDescent="0.2">
      <c r="A625" s="49">
        <v>44743</v>
      </c>
      <c r="B625" s="39">
        <v>0</v>
      </c>
      <c r="C625" s="39">
        <v>0</v>
      </c>
      <c r="D625" s="39">
        <v>2025.9374487000002</v>
      </c>
      <c r="E625" s="39">
        <v>2752.0178913260515</v>
      </c>
      <c r="F625" s="39">
        <v>1361.7632655000002</v>
      </c>
      <c r="G625" s="39">
        <v>1362.3596484407244</v>
      </c>
      <c r="H625" s="40">
        <v>0.35839232997640735</v>
      </c>
      <c r="I625" s="40">
        <v>4.3794905901295422E-4</v>
      </c>
      <c r="J625" s="40">
        <v>0.21450443438548539</v>
      </c>
    </row>
    <row r="626" spans="1:10" ht="11.25" customHeight="1" x14ac:dyDescent="0.2">
      <c r="A626" s="49">
        <v>44774</v>
      </c>
      <c r="B626" s="39">
        <v>0</v>
      </c>
      <c r="C626" s="39">
        <v>0</v>
      </c>
      <c r="D626" s="39">
        <v>1574.4919541999998</v>
      </c>
      <c r="E626" s="39">
        <v>2138.7777941948443</v>
      </c>
      <c r="F626" s="39">
        <v>1058.3176229999999</v>
      </c>
      <c r="G626" s="39">
        <v>1058.7811122071298</v>
      </c>
      <c r="H626" s="40">
        <v>0.35839232997640713</v>
      </c>
      <c r="I626" s="40">
        <v>4.3794905901317627E-4</v>
      </c>
      <c r="J626" s="40">
        <v>0.21450443438548517</v>
      </c>
    </row>
    <row r="627" spans="1:10" ht="11.25" customHeight="1" x14ac:dyDescent="0.2">
      <c r="A627" s="49">
        <v>44805</v>
      </c>
      <c r="B627" s="39">
        <v>0</v>
      </c>
      <c r="C627" s="39">
        <v>0</v>
      </c>
      <c r="D627" s="39">
        <v>1744.9277867999999</v>
      </c>
      <c r="E627" s="39">
        <v>2370.2965219518273</v>
      </c>
      <c r="F627" s="39">
        <v>1172.8785420000002</v>
      </c>
      <c r="G627" s="39">
        <v>1173.3922030538056</v>
      </c>
      <c r="H627" s="40">
        <v>0.35839232997640713</v>
      </c>
      <c r="I627" s="40">
        <v>4.3794905901295422E-4</v>
      </c>
      <c r="J627" s="40">
        <v>0.21450443438548494</v>
      </c>
    </row>
    <row r="628" spans="1:10" ht="11.25" customHeight="1" x14ac:dyDescent="0.2">
      <c r="A628" s="49">
        <v>44835</v>
      </c>
      <c r="B628" s="39">
        <v>0</v>
      </c>
      <c r="C628" s="39">
        <v>0</v>
      </c>
      <c r="D628" s="39">
        <v>1744.9277867999999</v>
      </c>
      <c r="E628" s="39">
        <v>2370.2965219518273</v>
      </c>
      <c r="F628" s="39">
        <v>1172.8785420000002</v>
      </c>
      <c r="G628" s="39">
        <v>1173.3922030538056</v>
      </c>
      <c r="H628" s="40">
        <v>0.35839232997640713</v>
      </c>
      <c r="I628" s="40">
        <v>4.3794905901295422E-4</v>
      </c>
      <c r="J628" s="40">
        <v>0.21450443438548494</v>
      </c>
    </row>
    <row r="629" spans="1:10" ht="11.25" customHeight="1" x14ac:dyDescent="0.2">
      <c r="A629" s="45" t="s">
        <v>25</v>
      </c>
      <c r="B629" s="39">
        <v>0</v>
      </c>
      <c r="C629" s="39">
        <v>0</v>
      </c>
      <c r="D629" s="39">
        <v>5197220.1955300001</v>
      </c>
      <c r="E629" s="39">
        <v>7059864.0508064367</v>
      </c>
      <c r="F629" s="39">
        <v>3493386.9994500009</v>
      </c>
      <c r="G629" s="39">
        <v>3494916.9249991775</v>
      </c>
      <c r="H629" s="40">
        <v>0.35839232997640735</v>
      </c>
      <c r="I629" s="40">
        <v>4.3794905901295422E-4</v>
      </c>
      <c r="J629" s="40">
        <v>0.21450443438548539</v>
      </c>
    </row>
    <row r="630" spans="1:10" ht="11.25" customHeight="1" x14ac:dyDescent="0.2">
      <c r="A630" s="46" t="s">
        <v>25</v>
      </c>
      <c r="B630" s="39">
        <v>0</v>
      </c>
      <c r="C630" s="39">
        <v>0</v>
      </c>
      <c r="D630" s="39">
        <v>5197220.1955300001</v>
      </c>
      <c r="E630" s="39">
        <v>7059864.0508064367</v>
      </c>
      <c r="F630" s="39">
        <v>3493386.9994500009</v>
      </c>
      <c r="G630" s="39">
        <v>3494916.9249991775</v>
      </c>
      <c r="H630" s="40">
        <v>0.35839232997640735</v>
      </c>
      <c r="I630" s="40">
        <v>4.3794905901295422E-4</v>
      </c>
      <c r="J630" s="40">
        <v>0.21450443438548539</v>
      </c>
    </row>
    <row r="631" spans="1:10" ht="11.25" customHeight="1" x14ac:dyDescent="0.2">
      <c r="A631" s="47" t="s">
        <v>25</v>
      </c>
      <c r="B631" s="39">
        <v>0</v>
      </c>
      <c r="C631" s="39">
        <v>0</v>
      </c>
      <c r="D631" s="39">
        <v>5197220.1955300001</v>
      </c>
      <c r="E631" s="39">
        <v>7059864.0508064367</v>
      </c>
      <c r="F631" s="39">
        <v>3493386.9994500009</v>
      </c>
      <c r="G631" s="39">
        <v>3494916.9249991775</v>
      </c>
      <c r="H631" s="40">
        <v>0.35839232997640735</v>
      </c>
      <c r="I631" s="40">
        <v>4.3794905901295422E-4</v>
      </c>
      <c r="J631" s="40">
        <v>0.21450443438548539</v>
      </c>
    </row>
    <row r="632" spans="1:10" ht="11.25" customHeight="1" x14ac:dyDescent="0.2">
      <c r="A632" s="48" t="s">
        <v>25</v>
      </c>
      <c r="B632" s="39">
        <v>0</v>
      </c>
      <c r="C632" s="39">
        <v>0</v>
      </c>
      <c r="D632" s="39">
        <v>5197220.1955300001</v>
      </c>
      <c r="E632" s="39">
        <v>7059864.0508064367</v>
      </c>
      <c r="F632" s="39">
        <v>3493386.9994500009</v>
      </c>
      <c r="G632" s="39">
        <v>3494916.9249991775</v>
      </c>
      <c r="H632" s="40">
        <v>0.35839232997640735</v>
      </c>
      <c r="I632" s="40">
        <v>4.3794905901295422E-4</v>
      </c>
      <c r="J632" s="40">
        <v>0.21450443438548539</v>
      </c>
    </row>
    <row r="633" spans="1:10" ht="11.25" customHeight="1" x14ac:dyDescent="0.2">
      <c r="A633" s="49">
        <v>44501</v>
      </c>
      <c r="B633" s="39">
        <v>0</v>
      </c>
      <c r="C633" s="39">
        <v>0</v>
      </c>
      <c r="D633" s="39">
        <v>465278.33098999999</v>
      </c>
      <c r="E633" s="39">
        <v>632030.5161210401</v>
      </c>
      <c r="F633" s="39">
        <v>312743.58435000002</v>
      </c>
      <c r="G633" s="39">
        <v>312880.55010847852</v>
      </c>
      <c r="H633" s="40">
        <v>0.35839232997640735</v>
      </c>
      <c r="I633" s="40">
        <v>4.3794905901317627E-4</v>
      </c>
      <c r="J633" s="40">
        <v>0.21450443438548517</v>
      </c>
    </row>
    <row r="634" spans="1:10" ht="11.25" customHeight="1" x14ac:dyDescent="0.2">
      <c r="A634" s="49">
        <v>44531</v>
      </c>
      <c r="B634" s="39">
        <v>0</v>
      </c>
      <c r="C634" s="39">
        <v>0</v>
      </c>
      <c r="D634" s="39">
        <v>428965.92419999995</v>
      </c>
      <c r="E634" s="39">
        <v>582704.02125452086</v>
      </c>
      <c r="F634" s="39">
        <v>288335.67300000001</v>
      </c>
      <c r="G634" s="39">
        <v>288461.94933667028</v>
      </c>
      <c r="H634" s="40">
        <v>0.35839232997640735</v>
      </c>
      <c r="I634" s="40">
        <v>4.3794905901317627E-4</v>
      </c>
      <c r="J634" s="40">
        <v>0.21450443438548539</v>
      </c>
    </row>
    <row r="635" spans="1:10" ht="11.25" customHeight="1" x14ac:dyDescent="0.2">
      <c r="A635" s="49">
        <v>44562</v>
      </c>
      <c r="B635" s="39">
        <v>0</v>
      </c>
      <c r="C635" s="39">
        <v>0</v>
      </c>
      <c r="D635" s="39">
        <v>395806.47007000004</v>
      </c>
      <c r="E635" s="39">
        <v>537660.47309812449</v>
      </c>
      <c r="F635" s="39">
        <v>266047.06455000001</v>
      </c>
      <c r="G635" s="39">
        <v>266163.5796115729</v>
      </c>
      <c r="H635" s="40">
        <v>0.35839232997640735</v>
      </c>
      <c r="I635" s="40">
        <v>4.3794905901317627E-4</v>
      </c>
      <c r="J635" s="40">
        <v>0.21450443438548539</v>
      </c>
    </row>
    <row r="636" spans="1:10" ht="11.25" customHeight="1" x14ac:dyDescent="0.2">
      <c r="A636" s="49">
        <v>44593</v>
      </c>
      <c r="B636" s="39">
        <v>0</v>
      </c>
      <c r="C636" s="39">
        <v>0</v>
      </c>
      <c r="D636" s="39">
        <v>414363.05635999999</v>
      </c>
      <c r="E636" s="39">
        <v>562867.5975850058</v>
      </c>
      <c r="F636" s="39">
        <v>278520.14340000006</v>
      </c>
      <c r="G636" s="39">
        <v>278642.12103471824</v>
      </c>
      <c r="H636" s="40">
        <v>0.35839232997640735</v>
      </c>
      <c r="I636" s="40">
        <v>4.3794905901295422E-4</v>
      </c>
      <c r="J636" s="40">
        <v>0.21450443438548539</v>
      </c>
    </row>
    <row r="637" spans="1:10" ht="11.25" customHeight="1" x14ac:dyDescent="0.2">
      <c r="A637" s="49">
        <v>44621</v>
      </c>
      <c r="B637" s="39">
        <v>0</v>
      </c>
      <c r="C637" s="39">
        <v>0</v>
      </c>
      <c r="D637" s="39">
        <v>376057.58794999996</v>
      </c>
      <c r="E637" s="39">
        <v>510833.74310070818</v>
      </c>
      <c r="F637" s="39">
        <v>252772.56675</v>
      </c>
      <c r="G637" s="39">
        <v>252883.2682577525</v>
      </c>
      <c r="H637" s="40">
        <v>0.35839232997640735</v>
      </c>
      <c r="I637" s="40">
        <v>4.3794905901317627E-4</v>
      </c>
      <c r="J637" s="40">
        <v>0.21450443438548517</v>
      </c>
    </row>
    <row r="638" spans="1:10" ht="11.25" customHeight="1" x14ac:dyDescent="0.2">
      <c r="A638" s="49">
        <v>44652</v>
      </c>
      <c r="B638" s="39">
        <v>0</v>
      </c>
      <c r="C638" s="39">
        <v>0</v>
      </c>
      <c r="D638" s="39">
        <v>402278.07410999999</v>
      </c>
      <c r="E638" s="39">
        <v>546451.45038870478</v>
      </c>
      <c r="F638" s="39">
        <v>270397.04715</v>
      </c>
      <c r="G638" s="39">
        <v>270515.46728235926</v>
      </c>
      <c r="H638" s="40">
        <v>0.35839232997640735</v>
      </c>
      <c r="I638" s="40">
        <v>4.3794905901317627E-4</v>
      </c>
      <c r="J638" s="40">
        <v>0.21450443438548539</v>
      </c>
    </row>
    <row r="639" spans="1:10" ht="11.25" customHeight="1" x14ac:dyDescent="0.2">
      <c r="A639" s="49">
        <v>44682</v>
      </c>
      <c r="B639" s="39">
        <v>0</v>
      </c>
      <c r="C639" s="39">
        <v>0</v>
      </c>
      <c r="D639" s="39">
        <v>433794.57197999995</v>
      </c>
      <c r="E639" s="39">
        <v>589263.21936303051</v>
      </c>
      <c r="F639" s="39">
        <v>291581.3187</v>
      </c>
      <c r="G639" s="39">
        <v>291709.01646415045</v>
      </c>
      <c r="H639" s="40">
        <v>0.35839232997640735</v>
      </c>
      <c r="I639" s="40">
        <v>4.3794905901295422E-4</v>
      </c>
      <c r="J639" s="40">
        <v>0.21450443438548539</v>
      </c>
    </row>
    <row r="640" spans="1:10" ht="11.25" customHeight="1" x14ac:dyDescent="0.2">
      <c r="A640" s="49">
        <v>44713</v>
      </c>
      <c r="B640" s="39">
        <v>0</v>
      </c>
      <c r="C640" s="39">
        <v>0</v>
      </c>
      <c r="D640" s="39">
        <v>396251.78538000002</v>
      </c>
      <c r="E640" s="39">
        <v>538265.38599964953</v>
      </c>
      <c r="F640" s="39">
        <v>266346.3897</v>
      </c>
      <c r="G640" s="39">
        <v>266463.03585074068</v>
      </c>
      <c r="H640" s="40">
        <v>0.35839232997640735</v>
      </c>
      <c r="I640" s="40">
        <v>4.3794905901317627E-4</v>
      </c>
      <c r="J640" s="40">
        <v>0.21450443438548561</v>
      </c>
    </row>
    <row r="641" spans="1:10" ht="11.25" customHeight="1" x14ac:dyDescent="0.2">
      <c r="A641" s="49">
        <v>44743</v>
      </c>
      <c r="B641" s="39">
        <v>0</v>
      </c>
      <c r="C641" s="39">
        <v>0</v>
      </c>
      <c r="D641" s="39">
        <v>386915.19702000002</v>
      </c>
      <c r="E641" s="39">
        <v>525582.63598327851</v>
      </c>
      <c r="F641" s="39">
        <v>260070.66630000001</v>
      </c>
      <c r="G641" s="39">
        <v>260184.56400358301</v>
      </c>
      <c r="H641" s="40">
        <v>0.35839232997640735</v>
      </c>
      <c r="I641" s="40">
        <v>4.3794905901317627E-4</v>
      </c>
      <c r="J641" s="40">
        <v>0.21450443438548539</v>
      </c>
    </row>
    <row r="642" spans="1:10" ht="11.25" customHeight="1" x14ac:dyDescent="0.2">
      <c r="A642" s="49">
        <v>44774</v>
      </c>
      <c r="B642" s="39">
        <v>0</v>
      </c>
      <c r="C642" s="39">
        <v>0</v>
      </c>
      <c r="D642" s="39">
        <v>450293.95521000004</v>
      </c>
      <c r="E642" s="39">
        <v>611675.85499200388</v>
      </c>
      <c r="F642" s="39">
        <v>302671.61865000002</v>
      </c>
      <c r="G642" s="39">
        <v>302804.17340057774</v>
      </c>
      <c r="H642" s="40">
        <v>0.35839232997640713</v>
      </c>
      <c r="I642" s="40">
        <v>4.3794905901295422E-4</v>
      </c>
      <c r="J642" s="40">
        <v>0.21450443438548517</v>
      </c>
    </row>
    <row r="643" spans="1:10" ht="11.25" customHeight="1" x14ac:dyDescent="0.2">
      <c r="A643" s="49">
        <v>44805</v>
      </c>
      <c r="B643" s="39">
        <v>0</v>
      </c>
      <c r="C643" s="39">
        <v>0</v>
      </c>
      <c r="D643" s="39">
        <v>523607.62112999998</v>
      </c>
      <c r="E643" s="39">
        <v>711264.57646018453</v>
      </c>
      <c r="F643" s="39">
        <v>351950.46345000004</v>
      </c>
      <c r="G643" s="39">
        <v>352104.59982428711</v>
      </c>
      <c r="H643" s="40">
        <v>0.35839232997640713</v>
      </c>
      <c r="I643" s="40">
        <v>4.3794905901295422E-4</v>
      </c>
      <c r="J643" s="40">
        <v>0.21450443438548494</v>
      </c>
    </row>
    <row r="644" spans="1:10" ht="11.25" customHeight="1" x14ac:dyDescent="0.2">
      <c r="A644" s="49">
        <v>44835</v>
      </c>
      <c r="B644" s="39">
        <v>0</v>
      </c>
      <c r="C644" s="39">
        <v>0</v>
      </c>
      <c r="D644" s="39">
        <v>523607.62112999998</v>
      </c>
      <c r="E644" s="39">
        <v>711264.57646018453</v>
      </c>
      <c r="F644" s="39">
        <v>351950.46345000004</v>
      </c>
      <c r="G644" s="39">
        <v>352104.59982428711</v>
      </c>
      <c r="H644" s="40">
        <v>0.35839232997640713</v>
      </c>
      <c r="I644" s="40">
        <v>4.3794905901295422E-4</v>
      </c>
      <c r="J644" s="40">
        <v>0.21450443438548494</v>
      </c>
    </row>
    <row r="645" spans="1:10" ht="11.25" customHeight="1" x14ac:dyDescent="0.2">
      <c r="A645" s="42" t="s">
        <v>37</v>
      </c>
      <c r="B645" s="39">
        <v>0</v>
      </c>
      <c r="C645" s="39">
        <v>0</v>
      </c>
      <c r="D645" s="39">
        <v>9208232.8355052005</v>
      </c>
      <c r="E645" s="39">
        <v>11710597.033959445</v>
      </c>
      <c r="F645" s="39">
        <v>6190889.4312032014</v>
      </c>
      <c r="G645" s="39">
        <v>5798282.5351351527</v>
      </c>
      <c r="H645" s="40">
        <v>0.27175292405787155</v>
      </c>
      <c r="I645" s="40">
        <v>-6.3416880632569894E-2</v>
      </c>
      <c r="J645" s="40">
        <v>0.13700503612126713</v>
      </c>
    </row>
    <row r="646" spans="1:10" ht="11.25" customHeight="1" x14ac:dyDescent="0.2">
      <c r="A646" s="43" t="s">
        <v>33</v>
      </c>
      <c r="B646" s="39">
        <v>0</v>
      </c>
      <c r="C646" s="39">
        <v>0</v>
      </c>
      <c r="D646" s="39">
        <v>61851.547530000003</v>
      </c>
      <c r="E646" s="39">
        <v>79114.809310292549</v>
      </c>
      <c r="F646" s="39">
        <v>42946.453349999996</v>
      </c>
      <c r="G646" s="39">
        <v>40230.567390824246</v>
      </c>
      <c r="H646" s="40">
        <v>0.27910800084540011</v>
      </c>
      <c r="I646" s="40">
        <v>-6.3238888134536708E-2</v>
      </c>
      <c r="J646" s="40">
        <v>0.13881348593447318</v>
      </c>
    </row>
    <row r="647" spans="1:10" ht="11.25" customHeight="1" x14ac:dyDescent="0.2">
      <c r="A647" s="44" t="s">
        <v>41</v>
      </c>
      <c r="B647" s="39">
        <v>0</v>
      </c>
      <c r="C647" s="39">
        <v>0</v>
      </c>
      <c r="D647" s="39">
        <v>37331.929099999987</v>
      </c>
      <c r="E647" s="39">
        <v>47476.813540954274</v>
      </c>
      <c r="F647" s="39">
        <v>25067.983959999998</v>
      </c>
      <c r="G647" s="39">
        <v>23478.873965402861</v>
      </c>
      <c r="H647" s="40">
        <v>0.27174819746869927</v>
      </c>
      <c r="I647" s="40">
        <v>-6.3392014177638734E-2</v>
      </c>
      <c r="J647" s="40">
        <v>0.13711196100754863</v>
      </c>
    </row>
    <row r="648" spans="1:10" ht="11.25" customHeight="1" x14ac:dyDescent="0.2">
      <c r="A648" s="45" t="s">
        <v>25</v>
      </c>
      <c r="B648" s="39">
        <v>0</v>
      </c>
      <c r="C648" s="39">
        <v>0</v>
      </c>
      <c r="D648" s="39">
        <v>37331.929099999987</v>
      </c>
      <c r="E648" s="39">
        <v>47476.813540954274</v>
      </c>
      <c r="F648" s="39">
        <v>25067.983959999998</v>
      </c>
      <c r="G648" s="39">
        <v>23478.873965402861</v>
      </c>
      <c r="H648" s="40">
        <v>0.27174819746869927</v>
      </c>
      <c r="I648" s="40">
        <v>-6.3392014177638734E-2</v>
      </c>
      <c r="J648" s="40">
        <v>0.13711196100754863</v>
      </c>
    </row>
    <row r="649" spans="1:10" ht="11.25" customHeight="1" x14ac:dyDescent="0.2">
      <c r="A649" s="46" t="s">
        <v>25</v>
      </c>
      <c r="B649" s="39">
        <v>0</v>
      </c>
      <c r="C649" s="39">
        <v>0</v>
      </c>
      <c r="D649" s="39">
        <v>37331.929099999987</v>
      </c>
      <c r="E649" s="39">
        <v>47476.813540954274</v>
      </c>
      <c r="F649" s="39">
        <v>25067.983959999998</v>
      </c>
      <c r="G649" s="39">
        <v>23478.873965402861</v>
      </c>
      <c r="H649" s="40">
        <v>0.27174819746869927</v>
      </c>
      <c r="I649" s="40">
        <v>-6.3392014177638734E-2</v>
      </c>
      <c r="J649" s="40">
        <v>0.13711196100754863</v>
      </c>
    </row>
    <row r="650" spans="1:10" ht="11.25" customHeight="1" x14ac:dyDescent="0.2">
      <c r="A650" s="47" t="s">
        <v>25</v>
      </c>
      <c r="B650" s="39">
        <v>0</v>
      </c>
      <c r="C650" s="39">
        <v>0</v>
      </c>
      <c r="D650" s="39">
        <v>37331.929099999987</v>
      </c>
      <c r="E650" s="39">
        <v>47476.813540954274</v>
      </c>
      <c r="F650" s="39">
        <v>25067.983959999998</v>
      </c>
      <c r="G650" s="39">
        <v>23478.873965402861</v>
      </c>
      <c r="H650" s="40">
        <v>0.27174819746869927</v>
      </c>
      <c r="I650" s="40">
        <v>-6.3392014177638734E-2</v>
      </c>
      <c r="J650" s="40">
        <v>0.13711196100754863</v>
      </c>
    </row>
    <row r="651" spans="1:10" ht="11.25" customHeight="1" x14ac:dyDescent="0.2">
      <c r="A651" s="48" t="s">
        <v>35</v>
      </c>
      <c r="B651" s="39">
        <v>0</v>
      </c>
      <c r="C651" s="39">
        <v>0</v>
      </c>
      <c r="D651" s="39">
        <v>24913.715189999999</v>
      </c>
      <c r="E651" s="39">
        <v>32813.238029922111</v>
      </c>
      <c r="F651" s="39">
        <v>20460.412829999997</v>
      </c>
      <c r="G651" s="39">
        <v>19176.757313973867</v>
      </c>
      <c r="H651" s="40">
        <v>0.31707526475589098</v>
      </c>
      <c r="I651" s="40">
        <v>-6.273849539066878E-2</v>
      </c>
      <c r="J651" s="40">
        <v>0.14580704054477578</v>
      </c>
    </row>
    <row r="652" spans="1:10" ht="11.25" customHeight="1" x14ac:dyDescent="0.2">
      <c r="A652" s="49">
        <v>44501</v>
      </c>
      <c r="B652" s="39">
        <v>0</v>
      </c>
      <c r="C652" s="39">
        <v>0</v>
      </c>
      <c r="D652" s="39">
        <v>2302.5062899999998</v>
      </c>
      <c r="E652" s="39">
        <v>3032.5740815038539</v>
      </c>
      <c r="F652" s="39">
        <v>1890.93553</v>
      </c>
      <c r="G652" s="39">
        <v>1772.3010799670431</v>
      </c>
      <c r="H652" s="40">
        <v>0.31707526475589098</v>
      </c>
      <c r="I652" s="40">
        <v>-6.273849539066878E-2</v>
      </c>
      <c r="J652" s="40">
        <v>0.14580704054477556</v>
      </c>
    </row>
    <row r="653" spans="1:10" ht="11.25" customHeight="1" x14ac:dyDescent="0.2">
      <c r="A653" s="49">
        <v>44531</v>
      </c>
      <c r="B653" s="39">
        <v>0</v>
      </c>
      <c r="C653" s="39">
        <v>0</v>
      </c>
      <c r="D653" s="39">
        <v>2033.50119</v>
      </c>
      <c r="E653" s="39">
        <v>2678.2741182006689</v>
      </c>
      <c r="F653" s="39">
        <v>1670.0148300000001</v>
      </c>
      <c r="G653" s="39">
        <v>1565.2406122856964</v>
      </c>
      <c r="H653" s="40">
        <v>0.31707526475589076</v>
      </c>
      <c r="I653" s="40">
        <v>-6.2738495390668891E-2</v>
      </c>
      <c r="J653" s="40">
        <v>0.14580704054477556</v>
      </c>
    </row>
    <row r="654" spans="1:10" ht="11.25" customHeight="1" x14ac:dyDescent="0.2">
      <c r="A654" s="49">
        <v>44562</v>
      </c>
      <c r="B654" s="39">
        <v>0</v>
      </c>
      <c r="C654" s="39">
        <v>0</v>
      </c>
      <c r="D654" s="39">
        <v>2289.2038400000001</v>
      </c>
      <c r="E654" s="39">
        <v>3015.053753648202</v>
      </c>
      <c r="F654" s="39">
        <v>1880.01088</v>
      </c>
      <c r="G654" s="39">
        <v>1762.0618260707129</v>
      </c>
      <c r="H654" s="40">
        <v>0.31707526475589076</v>
      </c>
      <c r="I654" s="40">
        <v>-6.273849539066878E-2</v>
      </c>
      <c r="J654" s="40">
        <v>0.14580704054477556</v>
      </c>
    </row>
    <row r="655" spans="1:10" ht="11.25" customHeight="1" x14ac:dyDescent="0.2">
      <c r="A655" s="49">
        <v>44593</v>
      </c>
      <c r="B655" s="39">
        <v>0</v>
      </c>
      <c r="C655" s="39">
        <v>0</v>
      </c>
      <c r="D655" s="39">
        <v>2109.7685700000002</v>
      </c>
      <c r="E655" s="39">
        <v>2778.723997906407</v>
      </c>
      <c r="F655" s="39">
        <v>1732.64949</v>
      </c>
      <c r="G655" s="39">
        <v>1623.9456679579903</v>
      </c>
      <c r="H655" s="40">
        <v>0.31707526475589054</v>
      </c>
      <c r="I655" s="40">
        <v>-6.2738495390668891E-2</v>
      </c>
      <c r="J655" s="40">
        <v>0.14580704054477556</v>
      </c>
    </row>
    <row r="656" spans="1:10" ht="11.25" customHeight="1" x14ac:dyDescent="0.2">
      <c r="A656" s="49">
        <v>44621</v>
      </c>
      <c r="B656" s="39">
        <v>0</v>
      </c>
      <c r="C656" s="39">
        <v>0</v>
      </c>
      <c r="D656" s="39">
        <v>1856.13519</v>
      </c>
      <c r="E656" s="39">
        <v>2444.6697467919757</v>
      </c>
      <c r="F656" s="39">
        <v>1524.35283</v>
      </c>
      <c r="G656" s="39">
        <v>1428.717227001292</v>
      </c>
      <c r="H656" s="40">
        <v>0.31707526475589076</v>
      </c>
      <c r="I656" s="40">
        <v>-6.2738495390668891E-2</v>
      </c>
      <c r="J656" s="40">
        <v>0.14580704054477556</v>
      </c>
    </row>
    <row r="657" spans="1:10" ht="11.25" customHeight="1" x14ac:dyDescent="0.2">
      <c r="A657" s="49">
        <v>44652</v>
      </c>
      <c r="B657" s="39">
        <v>0</v>
      </c>
      <c r="C657" s="39">
        <v>0</v>
      </c>
      <c r="D657" s="39">
        <v>2279.7443200000002</v>
      </c>
      <c r="E657" s="39">
        <v>3002.5948538397383</v>
      </c>
      <c r="F657" s="39">
        <v>1872.24224</v>
      </c>
      <c r="G657" s="39">
        <v>1754.7805788555445</v>
      </c>
      <c r="H657" s="40">
        <v>0.31707526475589076</v>
      </c>
      <c r="I657" s="40">
        <v>-6.2738495390668891E-2</v>
      </c>
      <c r="J657" s="40">
        <v>0.14580704054477556</v>
      </c>
    </row>
    <row r="658" spans="1:10" ht="11.25" customHeight="1" x14ac:dyDescent="0.2">
      <c r="A658" s="49">
        <v>44682</v>
      </c>
      <c r="B658" s="39">
        <v>0</v>
      </c>
      <c r="C658" s="39">
        <v>0</v>
      </c>
      <c r="D658" s="39">
        <v>2614.9660600000002</v>
      </c>
      <c r="E658" s="39">
        <v>3444.1071158021687</v>
      </c>
      <c r="F658" s="39">
        <v>2147.54342</v>
      </c>
      <c r="G658" s="39">
        <v>2012.8097770430691</v>
      </c>
      <c r="H658" s="40">
        <v>0.31707526475589076</v>
      </c>
      <c r="I658" s="40">
        <v>-6.2738495390668669E-2</v>
      </c>
      <c r="J658" s="40">
        <v>0.14580704054477556</v>
      </c>
    </row>
    <row r="659" spans="1:10" ht="11.25" customHeight="1" x14ac:dyDescent="0.2">
      <c r="A659" s="49">
        <v>44713</v>
      </c>
      <c r="B659" s="39">
        <v>0</v>
      </c>
      <c r="C659" s="39">
        <v>0</v>
      </c>
      <c r="D659" s="39">
        <v>1786.37123</v>
      </c>
      <c r="E659" s="39">
        <v>2352.7853607045563</v>
      </c>
      <c r="F659" s="39">
        <v>1467.0591100000001</v>
      </c>
      <c r="G659" s="39">
        <v>1375.0180287894264</v>
      </c>
      <c r="H659" s="40">
        <v>0.31707526475589076</v>
      </c>
      <c r="I659" s="40">
        <v>-6.2738495390668891E-2</v>
      </c>
      <c r="J659" s="40">
        <v>0.14580704054477556</v>
      </c>
    </row>
    <row r="660" spans="1:10" ht="11.25" customHeight="1" x14ac:dyDescent="0.2">
      <c r="A660" s="49">
        <v>44743</v>
      </c>
      <c r="B660" s="39">
        <v>0</v>
      </c>
      <c r="C660" s="39">
        <v>0</v>
      </c>
      <c r="D660" s="39">
        <v>1870.91569</v>
      </c>
      <c r="E660" s="39">
        <v>2464.1367777426999</v>
      </c>
      <c r="F660" s="39">
        <v>1536.4913300000001</v>
      </c>
      <c r="G660" s="39">
        <v>1440.0941757749924</v>
      </c>
      <c r="H660" s="40">
        <v>0.31707526475589076</v>
      </c>
      <c r="I660" s="40">
        <v>-6.273849539066878E-2</v>
      </c>
      <c r="J660" s="40">
        <v>0.14580704054477533</v>
      </c>
    </row>
    <row r="661" spans="1:10" ht="11.25" customHeight="1" x14ac:dyDescent="0.2">
      <c r="A661" s="49">
        <v>44774</v>
      </c>
      <c r="B661" s="39">
        <v>0</v>
      </c>
      <c r="C661" s="39">
        <v>0</v>
      </c>
      <c r="D661" s="39">
        <v>1655.7116100000001</v>
      </c>
      <c r="E661" s="39">
        <v>2180.696807100152</v>
      </c>
      <c r="F661" s="39">
        <v>1359.75477</v>
      </c>
      <c r="G661" s="39">
        <v>1274.4458016299152</v>
      </c>
      <c r="H661" s="40">
        <v>0.31707526475589054</v>
      </c>
      <c r="I661" s="40">
        <v>-6.273849539066878E-2</v>
      </c>
      <c r="J661" s="40">
        <v>0.14580704054477533</v>
      </c>
    </row>
    <row r="662" spans="1:10" ht="11.25" customHeight="1" x14ac:dyDescent="0.2">
      <c r="A662" s="49">
        <v>44805</v>
      </c>
      <c r="B662" s="39">
        <v>0</v>
      </c>
      <c r="C662" s="39">
        <v>0</v>
      </c>
      <c r="D662" s="39">
        <v>2057.4456</v>
      </c>
      <c r="E662" s="39">
        <v>2709.8107083408427</v>
      </c>
      <c r="F662" s="39">
        <v>1689.6792</v>
      </c>
      <c r="G662" s="39">
        <v>1583.6712692990911</v>
      </c>
      <c r="H662" s="40">
        <v>0.31707526475589076</v>
      </c>
      <c r="I662" s="40">
        <v>-6.273849539066878E-2</v>
      </c>
      <c r="J662" s="40">
        <v>0.14580704054477533</v>
      </c>
    </row>
    <row r="663" spans="1:10" ht="11.25" customHeight="1" x14ac:dyDescent="0.2">
      <c r="A663" s="49">
        <v>44835</v>
      </c>
      <c r="B663" s="39">
        <v>0</v>
      </c>
      <c r="C663" s="39">
        <v>0</v>
      </c>
      <c r="D663" s="39">
        <v>2057.4456</v>
      </c>
      <c r="E663" s="39">
        <v>2709.8107083408427</v>
      </c>
      <c r="F663" s="39">
        <v>1689.6792</v>
      </c>
      <c r="G663" s="39">
        <v>1583.6712692990911</v>
      </c>
      <c r="H663" s="40">
        <v>0.31707526475589076</v>
      </c>
      <c r="I663" s="40">
        <v>-6.273849539066878E-2</v>
      </c>
      <c r="J663" s="40">
        <v>0.14580704054477533</v>
      </c>
    </row>
    <row r="664" spans="1:10" ht="11.25" customHeight="1" x14ac:dyDescent="0.2">
      <c r="A664" s="48" t="s">
        <v>36</v>
      </c>
      <c r="B664" s="39">
        <v>0</v>
      </c>
      <c r="C664" s="39">
        <v>0</v>
      </c>
      <c r="D664" s="39">
        <v>4090.52531</v>
      </c>
      <c r="E664" s="39">
        <v>4919.1201063055232</v>
      </c>
      <c r="F664" s="39">
        <v>1483.0819300000001</v>
      </c>
      <c r="G664" s="39">
        <v>1390.0356011707108</v>
      </c>
      <c r="H664" s="40">
        <v>0.20256439784882385</v>
      </c>
      <c r="I664" s="40">
        <v>-6.2738495390668669E-2</v>
      </c>
      <c r="J664" s="40">
        <v>0.131969913882241</v>
      </c>
    </row>
    <row r="665" spans="1:10" ht="11.25" customHeight="1" x14ac:dyDescent="0.2">
      <c r="A665" s="49">
        <v>44501</v>
      </c>
      <c r="B665" s="39">
        <v>0</v>
      </c>
      <c r="C665" s="39">
        <v>0</v>
      </c>
      <c r="D665" s="39">
        <v>358.23065000000003</v>
      </c>
      <c r="E665" s="39">
        <v>430.79542590824281</v>
      </c>
      <c r="F665" s="39">
        <v>129.88195000000002</v>
      </c>
      <c r="G665" s="39">
        <v>121.73335187859394</v>
      </c>
      <c r="H665" s="40">
        <v>0.20256439784882385</v>
      </c>
      <c r="I665" s="40">
        <v>-6.2738495390668891E-2</v>
      </c>
      <c r="J665" s="40">
        <v>0.13196991388224077</v>
      </c>
    </row>
    <row r="666" spans="1:10" ht="11.25" customHeight="1" x14ac:dyDescent="0.2">
      <c r="A666" s="49">
        <v>44531</v>
      </c>
      <c r="B666" s="39">
        <v>0</v>
      </c>
      <c r="C666" s="39">
        <v>0</v>
      </c>
      <c r="D666" s="39">
        <v>316.04647999999997</v>
      </c>
      <c r="E666" s="39">
        <v>380.06624491344036</v>
      </c>
      <c r="F666" s="39">
        <v>114.58744</v>
      </c>
      <c r="G666" s="39">
        <v>107.39839642373146</v>
      </c>
      <c r="H666" s="40">
        <v>0.20256439784882407</v>
      </c>
      <c r="I666" s="40">
        <v>-6.2738495390668891E-2</v>
      </c>
      <c r="J666" s="40">
        <v>0.131969913882241</v>
      </c>
    </row>
    <row r="667" spans="1:10" ht="11.25" customHeight="1" x14ac:dyDescent="0.2">
      <c r="A667" s="49">
        <v>44562</v>
      </c>
      <c r="B667" s="39">
        <v>0</v>
      </c>
      <c r="C667" s="39">
        <v>0</v>
      </c>
      <c r="D667" s="39">
        <v>392.37973999999997</v>
      </c>
      <c r="E667" s="39">
        <v>471.86190576117804</v>
      </c>
      <c r="F667" s="39">
        <v>142.26321999999999</v>
      </c>
      <c r="G667" s="39">
        <v>133.33783962776829</v>
      </c>
      <c r="H667" s="40">
        <v>0.20256439784882385</v>
      </c>
      <c r="I667" s="40">
        <v>-6.273849539066878E-2</v>
      </c>
      <c r="J667" s="40">
        <v>0.131969913882241</v>
      </c>
    </row>
    <row r="668" spans="1:10" ht="11.25" customHeight="1" x14ac:dyDescent="0.2">
      <c r="A668" s="49">
        <v>44593</v>
      </c>
      <c r="B668" s="39">
        <v>0</v>
      </c>
      <c r="C668" s="39">
        <v>0</v>
      </c>
      <c r="D668" s="39">
        <v>384.34465999999998</v>
      </c>
      <c r="E668" s="39">
        <v>462.19920461931093</v>
      </c>
      <c r="F668" s="39">
        <v>139.34997999999999</v>
      </c>
      <c r="G668" s="39">
        <v>130.6073719220802</v>
      </c>
      <c r="H668" s="40">
        <v>0.20256439784882385</v>
      </c>
      <c r="I668" s="40">
        <v>-6.273849539066878E-2</v>
      </c>
      <c r="J668" s="40">
        <v>0.131969913882241</v>
      </c>
    </row>
    <row r="669" spans="1:10" ht="11.25" customHeight="1" x14ac:dyDescent="0.2">
      <c r="A669" s="49">
        <v>44621</v>
      </c>
      <c r="B669" s="39">
        <v>0</v>
      </c>
      <c r="C669" s="39">
        <v>0</v>
      </c>
      <c r="D669" s="39">
        <v>291.94123999999999</v>
      </c>
      <c r="E669" s="39">
        <v>351.07814148783899</v>
      </c>
      <c r="F669" s="39">
        <v>105.84772000000001</v>
      </c>
      <c r="G669" s="39">
        <v>99.206993306667201</v>
      </c>
      <c r="H669" s="40">
        <v>0.20256439784882385</v>
      </c>
      <c r="I669" s="40">
        <v>-6.2738495390668891E-2</v>
      </c>
      <c r="J669" s="40">
        <v>0.131969913882241</v>
      </c>
    </row>
    <row r="670" spans="1:10" ht="11.25" customHeight="1" x14ac:dyDescent="0.2">
      <c r="A670" s="49">
        <v>44652</v>
      </c>
      <c r="B670" s="39">
        <v>0</v>
      </c>
      <c r="C670" s="39">
        <v>0</v>
      </c>
      <c r="D670" s="39">
        <v>410.45867000000004</v>
      </c>
      <c r="E670" s="39">
        <v>493.60298333037912</v>
      </c>
      <c r="F670" s="39">
        <v>148.81801000000002</v>
      </c>
      <c r="G670" s="39">
        <v>139.4813919655665</v>
      </c>
      <c r="H670" s="40">
        <v>0.20256439784882385</v>
      </c>
      <c r="I670" s="40">
        <v>-6.2738495390668891E-2</v>
      </c>
      <c r="J670" s="40">
        <v>0.13196991388224077</v>
      </c>
    </row>
    <row r="671" spans="1:10" ht="11.25" customHeight="1" x14ac:dyDescent="0.2">
      <c r="A671" s="49">
        <v>44682</v>
      </c>
      <c r="B671" s="39">
        <v>0</v>
      </c>
      <c r="C671" s="39">
        <v>0</v>
      </c>
      <c r="D671" s="39">
        <v>378.98793999999998</v>
      </c>
      <c r="E671" s="39">
        <v>455.75740385806614</v>
      </c>
      <c r="F671" s="39">
        <v>137.40781999999999</v>
      </c>
      <c r="G671" s="39">
        <v>128.78706011828814</v>
      </c>
      <c r="H671" s="40">
        <v>0.20256439784882385</v>
      </c>
      <c r="I671" s="40">
        <v>-6.273849539066878E-2</v>
      </c>
      <c r="J671" s="40">
        <v>0.131969913882241</v>
      </c>
    </row>
    <row r="672" spans="1:10" ht="11.25" customHeight="1" x14ac:dyDescent="0.2">
      <c r="A672" s="49">
        <v>44713</v>
      </c>
      <c r="B672" s="39">
        <v>0</v>
      </c>
      <c r="C672" s="39">
        <v>0</v>
      </c>
      <c r="D672" s="39">
        <v>318.05525</v>
      </c>
      <c r="E672" s="39">
        <v>382.48192019890712</v>
      </c>
      <c r="F672" s="39">
        <v>115.31575000000001</v>
      </c>
      <c r="G672" s="39">
        <v>108.08101335015348</v>
      </c>
      <c r="H672" s="40">
        <v>0.20256439784882385</v>
      </c>
      <c r="I672" s="40">
        <v>-6.2738495390668891E-2</v>
      </c>
      <c r="J672" s="40">
        <v>0.131969913882241</v>
      </c>
    </row>
    <row r="673" spans="1:10" ht="11.25" customHeight="1" x14ac:dyDescent="0.2">
      <c r="A673" s="49">
        <v>44743</v>
      </c>
      <c r="B673" s="39">
        <v>0</v>
      </c>
      <c r="C673" s="39">
        <v>0</v>
      </c>
      <c r="D673" s="39">
        <v>312.02893999999998</v>
      </c>
      <c r="E673" s="39">
        <v>375.23489434250678</v>
      </c>
      <c r="F673" s="39">
        <v>113.13082</v>
      </c>
      <c r="G673" s="39">
        <v>106.03316257088743</v>
      </c>
      <c r="H673" s="40">
        <v>0.20256439784882385</v>
      </c>
      <c r="I673" s="40">
        <v>-6.2738495390668669E-2</v>
      </c>
      <c r="J673" s="40">
        <v>0.131969913882241</v>
      </c>
    </row>
    <row r="674" spans="1:10" ht="11.25" customHeight="1" x14ac:dyDescent="0.2">
      <c r="A674" s="49">
        <v>44774</v>
      </c>
      <c r="B674" s="39">
        <v>0</v>
      </c>
      <c r="C674" s="39">
        <v>0</v>
      </c>
      <c r="D674" s="39">
        <v>263.81846000000002</v>
      </c>
      <c r="E674" s="39">
        <v>317.25868749130404</v>
      </c>
      <c r="F674" s="39">
        <v>95.651380000000003</v>
      </c>
      <c r="G674" s="39">
        <v>89.650356336758904</v>
      </c>
      <c r="H674" s="40">
        <v>0.20256439784882385</v>
      </c>
      <c r="I674" s="40">
        <v>-6.2738495390668669E-2</v>
      </c>
      <c r="J674" s="40">
        <v>0.131969913882241</v>
      </c>
    </row>
    <row r="675" spans="1:10" ht="11.25" customHeight="1" x14ac:dyDescent="0.2">
      <c r="A675" s="49">
        <v>44805</v>
      </c>
      <c r="B675" s="39">
        <v>0</v>
      </c>
      <c r="C675" s="39">
        <v>0</v>
      </c>
      <c r="D675" s="39">
        <v>332.11664000000002</v>
      </c>
      <c r="E675" s="39">
        <v>399.39164719717462</v>
      </c>
      <c r="F675" s="39">
        <v>120.41392</v>
      </c>
      <c r="G675" s="39">
        <v>112.85933183510764</v>
      </c>
      <c r="H675" s="40">
        <v>0.20256439784882385</v>
      </c>
      <c r="I675" s="40">
        <v>-6.273849539066878E-2</v>
      </c>
      <c r="J675" s="40">
        <v>0.13196991388224077</v>
      </c>
    </row>
    <row r="676" spans="1:10" ht="11.25" customHeight="1" x14ac:dyDescent="0.2">
      <c r="A676" s="49">
        <v>44835</v>
      </c>
      <c r="B676" s="39">
        <v>0</v>
      </c>
      <c r="C676" s="39">
        <v>0</v>
      </c>
      <c r="D676" s="39">
        <v>332.11664000000002</v>
      </c>
      <c r="E676" s="39">
        <v>399.39164719717462</v>
      </c>
      <c r="F676" s="39">
        <v>120.41392</v>
      </c>
      <c r="G676" s="39">
        <v>112.85933183510764</v>
      </c>
      <c r="H676" s="40">
        <v>0.20256439784882385</v>
      </c>
      <c r="I676" s="40">
        <v>-6.273849539066878E-2</v>
      </c>
      <c r="J676" s="40">
        <v>0.13196991388224077</v>
      </c>
    </row>
    <row r="677" spans="1:10" ht="11.25" customHeight="1" x14ac:dyDescent="0.2">
      <c r="A677" s="48" t="s">
        <v>34</v>
      </c>
      <c r="B677" s="39">
        <v>0</v>
      </c>
      <c r="C677" s="39">
        <v>0</v>
      </c>
      <c r="D677" s="39">
        <v>8327.6885999999995</v>
      </c>
      <c r="E677" s="39">
        <v>9744.4554047266483</v>
      </c>
      <c r="F677" s="39">
        <v>3124.4891999999995</v>
      </c>
      <c r="G677" s="39">
        <v>2912.0810502582831</v>
      </c>
      <c r="H677" s="40">
        <v>0.17012725532588324</v>
      </c>
      <c r="I677" s="40">
        <v>-6.7981719937363461E-2</v>
      </c>
      <c r="J677" s="40">
        <v>0.10516415969239756</v>
      </c>
    </row>
    <row r="678" spans="1:10" ht="11.25" customHeight="1" x14ac:dyDescent="0.2">
      <c r="A678" s="49">
        <v>44501</v>
      </c>
      <c r="B678" s="39">
        <v>0</v>
      </c>
      <c r="C678" s="39">
        <v>0</v>
      </c>
      <c r="D678" s="39">
        <v>674.14621999999997</v>
      </c>
      <c r="E678" s="39">
        <v>788.83686609691915</v>
      </c>
      <c r="F678" s="39">
        <v>252.93484000000001</v>
      </c>
      <c r="G678" s="39">
        <v>235.73989454471814</v>
      </c>
      <c r="H678" s="40">
        <v>0.17012725532588346</v>
      </c>
      <c r="I678" s="40">
        <v>-6.7981719937363572E-2</v>
      </c>
      <c r="J678" s="40">
        <v>0.10516415969239779</v>
      </c>
    </row>
    <row r="679" spans="1:10" ht="11.25" customHeight="1" x14ac:dyDescent="0.2">
      <c r="A679" s="49">
        <v>44531</v>
      </c>
      <c r="B679" s="39">
        <v>0</v>
      </c>
      <c r="C679" s="39">
        <v>0</v>
      </c>
      <c r="D679" s="39">
        <v>634.49055999999996</v>
      </c>
      <c r="E679" s="39">
        <v>742.43469750298266</v>
      </c>
      <c r="F679" s="39">
        <v>238.05632</v>
      </c>
      <c r="G679" s="39">
        <v>221.87284192444059</v>
      </c>
      <c r="H679" s="40">
        <v>0.17012725532588324</v>
      </c>
      <c r="I679" s="40">
        <v>-6.7981719937363572E-2</v>
      </c>
      <c r="J679" s="40">
        <v>0.10516415969239756</v>
      </c>
    </row>
    <row r="680" spans="1:10" ht="11.25" customHeight="1" x14ac:dyDescent="0.2">
      <c r="A680" s="49">
        <v>44562</v>
      </c>
      <c r="B680" s="39">
        <v>0</v>
      </c>
      <c r="C680" s="39">
        <v>0</v>
      </c>
      <c r="D680" s="39">
        <v>771.19822999999997</v>
      </c>
      <c r="E680" s="39">
        <v>902.40006818207928</v>
      </c>
      <c r="F680" s="39">
        <v>289.34806000000003</v>
      </c>
      <c r="G680" s="39">
        <v>269.67768122066053</v>
      </c>
      <c r="H680" s="40">
        <v>0.17012725532588346</v>
      </c>
      <c r="I680" s="40">
        <v>-6.7981719937363683E-2</v>
      </c>
      <c r="J680" s="40">
        <v>0.10516415969239756</v>
      </c>
    </row>
    <row r="681" spans="1:10" ht="11.25" customHeight="1" x14ac:dyDescent="0.2">
      <c r="A681" s="49">
        <v>44593</v>
      </c>
      <c r="B681" s="39">
        <v>0</v>
      </c>
      <c r="C681" s="39">
        <v>0</v>
      </c>
      <c r="D681" s="39">
        <v>751.3703999999999</v>
      </c>
      <c r="E681" s="39">
        <v>879.19898388511103</v>
      </c>
      <c r="F681" s="39">
        <v>281.90879999999999</v>
      </c>
      <c r="G681" s="39">
        <v>262.74415491052173</v>
      </c>
      <c r="H681" s="40">
        <v>0.17012725532588346</v>
      </c>
      <c r="I681" s="40">
        <v>-6.7981719937363683E-2</v>
      </c>
      <c r="J681" s="40">
        <v>0.10516415969239779</v>
      </c>
    </row>
    <row r="682" spans="1:10" ht="11.25" customHeight="1" x14ac:dyDescent="0.2">
      <c r="A682" s="49">
        <v>44621</v>
      </c>
      <c r="B682" s="39">
        <v>0</v>
      </c>
      <c r="C682" s="39">
        <v>0</v>
      </c>
      <c r="D682" s="39">
        <v>624.05485999999996</v>
      </c>
      <c r="E682" s="39">
        <v>730.22360050457837</v>
      </c>
      <c r="F682" s="39">
        <v>234.14091999999999</v>
      </c>
      <c r="G682" s="39">
        <v>218.22361755068334</v>
      </c>
      <c r="H682" s="40">
        <v>0.17012725532588346</v>
      </c>
      <c r="I682" s="40">
        <v>-6.7981719937363572E-2</v>
      </c>
      <c r="J682" s="40">
        <v>0.10516415969239756</v>
      </c>
    </row>
    <row r="683" spans="1:10" ht="11.25" customHeight="1" x14ac:dyDescent="0.2">
      <c r="A683" s="49">
        <v>44652</v>
      </c>
      <c r="B683" s="39">
        <v>0</v>
      </c>
      <c r="C683" s="39">
        <v>0</v>
      </c>
      <c r="D683" s="39">
        <v>863.03238999999985</v>
      </c>
      <c r="E683" s="39">
        <v>1009.8577217680373</v>
      </c>
      <c r="F683" s="39">
        <v>323.80358000000001</v>
      </c>
      <c r="G683" s="39">
        <v>301.79085570972427</v>
      </c>
      <c r="H683" s="40">
        <v>0.17012725532588346</v>
      </c>
      <c r="I683" s="40">
        <v>-6.7981719937363683E-2</v>
      </c>
      <c r="J683" s="40">
        <v>0.10516415969239779</v>
      </c>
    </row>
    <row r="684" spans="1:10" ht="11.25" customHeight="1" x14ac:dyDescent="0.2">
      <c r="A684" s="49">
        <v>44682</v>
      </c>
      <c r="B684" s="39">
        <v>0</v>
      </c>
      <c r="C684" s="39">
        <v>0</v>
      </c>
      <c r="D684" s="39">
        <v>784.76463999999999</v>
      </c>
      <c r="E684" s="39">
        <v>918.27449428000489</v>
      </c>
      <c r="F684" s="39">
        <v>294.43808000000001</v>
      </c>
      <c r="G684" s="39">
        <v>274.42167290654493</v>
      </c>
      <c r="H684" s="40">
        <v>0.17012725532588324</v>
      </c>
      <c r="I684" s="40">
        <v>-6.7981719937363683E-2</v>
      </c>
      <c r="J684" s="40">
        <v>0.10516415969239756</v>
      </c>
    </row>
    <row r="685" spans="1:10" ht="11.25" customHeight="1" x14ac:dyDescent="0.2">
      <c r="A685" s="49">
        <v>44713</v>
      </c>
      <c r="B685" s="39">
        <v>0</v>
      </c>
      <c r="C685" s="39">
        <v>0</v>
      </c>
      <c r="D685" s="39">
        <v>691.88690999999994</v>
      </c>
      <c r="E685" s="39">
        <v>809.59573099420641</v>
      </c>
      <c r="F685" s="39">
        <v>259.59102000000001</v>
      </c>
      <c r="G685" s="39">
        <v>241.94357598010544</v>
      </c>
      <c r="H685" s="40">
        <v>0.17012725532588324</v>
      </c>
      <c r="I685" s="40">
        <v>-6.7981719937363683E-2</v>
      </c>
      <c r="J685" s="40">
        <v>0.10516415969239756</v>
      </c>
    </row>
    <row r="686" spans="1:10" ht="11.25" customHeight="1" x14ac:dyDescent="0.2">
      <c r="A686" s="49">
        <v>44743</v>
      </c>
      <c r="B686" s="39">
        <v>0</v>
      </c>
      <c r="C686" s="39">
        <v>0</v>
      </c>
      <c r="D686" s="39">
        <v>625.09842999999989</v>
      </c>
      <c r="E686" s="39">
        <v>731.44471020441881</v>
      </c>
      <c r="F686" s="39">
        <v>234.53245999999999</v>
      </c>
      <c r="G686" s="39">
        <v>218.58853998805907</v>
      </c>
      <c r="H686" s="40">
        <v>0.17012725532588346</v>
      </c>
      <c r="I686" s="40">
        <v>-6.7981719937363572E-2</v>
      </c>
      <c r="J686" s="40">
        <v>0.10516415969239779</v>
      </c>
    </row>
    <row r="687" spans="1:10" ht="11.25" customHeight="1" x14ac:dyDescent="0.2">
      <c r="A687" s="49">
        <v>44774</v>
      </c>
      <c r="B687" s="39">
        <v>0</v>
      </c>
      <c r="C687" s="39">
        <v>0</v>
      </c>
      <c r="D687" s="39">
        <v>546.83068000000003</v>
      </c>
      <c r="E687" s="39">
        <v>639.86148271638649</v>
      </c>
      <c r="F687" s="39">
        <v>205.16696000000002</v>
      </c>
      <c r="G687" s="39">
        <v>191.21935718487973</v>
      </c>
      <c r="H687" s="40">
        <v>0.17012725532588346</v>
      </c>
      <c r="I687" s="40">
        <v>-6.7981719937363683E-2</v>
      </c>
      <c r="J687" s="40">
        <v>0.10516415969239779</v>
      </c>
    </row>
    <row r="688" spans="1:10" ht="11.25" customHeight="1" x14ac:dyDescent="0.2">
      <c r="A688" s="49">
        <v>44805</v>
      </c>
      <c r="B688" s="39">
        <v>0</v>
      </c>
      <c r="C688" s="39">
        <v>0</v>
      </c>
      <c r="D688" s="39">
        <v>680.40764000000001</v>
      </c>
      <c r="E688" s="39">
        <v>796.16352429596179</v>
      </c>
      <c r="F688" s="39">
        <v>255.28408000000002</v>
      </c>
      <c r="G688" s="39">
        <v>237.92942916897249</v>
      </c>
      <c r="H688" s="40">
        <v>0.17012725532588346</v>
      </c>
      <c r="I688" s="40">
        <v>-6.7981719937363572E-2</v>
      </c>
      <c r="J688" s="40">
        <v>0.10516415969239756</v>
      </c>
    </row>
    <row r="689" spans="1:10" ht="11.25" customHeight="1" x14ac:dyDescent="0.2">
      <c r="A689" s="49">
        <v>44835</v>
      </c>
      <c r="B689" s="39">
        <v>0</v>
      </c>
      <c r="C689" s="39">
        <v>0</v>
      </c>
      <c r="D689" s="39">
        <v>680.40764000000001</v>
      </c>
      <c r="E689" s="39">
        <v>796.16352429596179</v>
      </c>
      <c r="F689" s="39">
        <v>255.28408000000002</v>
      </c>
      <c r="G689" s="39">
        <v>237.92942916897249</v>
      </c>
      <c r="H689" s="40">
        <v>0.17012725532588346</v>
      </c>
      <c r="I689" s="40">
        <v>-6.7981719937363572E-2</v>
      </c>
      <c r="J689" s="40">
        <v>0.10516415969239756</v>
      </c>
    </row>
    <row r="690" spans="1:10" ht="11.25" customHeight="1" x14ac:dyDescent="0.2">
      <c r="A690" s="44" t="s">
        <v>46</v>
      </c>
      <c r="B690" s="39">
        <v>0</v>
      </c>
      <c r="C690" s="39">
        <v>0</v>
      </c>
      <c r="D690" s="39">
        <v>24519.618429999995</v>
      </c>
      <c r="E690" s="39">
        <v>31637.995769338308</v>
      </c>
      <c r="F690" s="39">
        <v>17878.469389999991</v>
      </c>
      <c r="G690" s="39">
        <v>16751.693425421414</v>
      </c>
      <c r="H690" s="40">
        <v>0.29031354462795833</v>
      </c>
      <c r="I690" s="40">
        <v>-6.3024185124528564E-2</v>
      </c>
      <c r="J690" s="40">
        <v>0.14131772640777873</v>
      </c>
    </row>
    <row r="691" spans="1:10" ht="11.25" customHeight="1" x14ac:dyDescent="0.2">
      <c r="A691" s="45" t="s">
        <v>25</v>
      </c>
      <c r="B691" s="39">
        <v>0</v>
      </c>
      <c r="C691" s="39">
        <v>0</v>
      </c>
      <c r="D691" s="39">
        <v>24519.618429999995</v>
      </c>
      <c r="E691" s="39">
        <v>31637.995769338308</v>
      </c>
      <c r="F691" s="39">
        <v>17878.469389999991</v>
      </c>
      <c r="G691" s="39">
        <v>16751.693425421414</v>
      </c>
      <c r="H691" s="40">
        <v>0.29031354462795833</v>
      </c>
      <c r="I691" s="40">
        <v>-6.3024185124528564E-2</v>
      </c>
      <c r="J691" s="40">
        <v>0.14131772640777873</v>
      </c>
    </row>
    <row r="692" spans="1:10" ht="11.25" customHeight="1" x14ac:dyDescent="0.2">
      <c r="A692" s="46" t="s">
        <v>25</v>
      </c>
      <c r="B692" s="39">
        <v>0</v>
      </c>
      <c r="C692" s="39">
        <v>0</v>
      </c>
      <c r="D692" s="39">
        <v>24519.618429999995</v>
      </c>
      <c r="E692" s="39">
        <v>31637.995769338308</v>
      </c>
      <c r="F692" s="39">
        <v>17878.469389999991</v>
      </c>
      <c r="G692" s="39">
        <v>16751.693425421414</v>
      </c>
      <c r="H692" s="40">
        <v>0.29031354462795833</v>
      </c>
      <c r="I692" s="40">
        <v>-6.3024185124528564E-2</v>
      </c>
      <c r="J692" s="40">
        <v>0.14131772640777873</v>
      </c>
    </row>
    <row r="693" spans="1:10" ht="11.25" customHeight="1" x14ac:dyDescent="0.2">
      <c r="A693" s="47" t="s">
        <v>25</v>
      </c>
      <c r="B693" s="39">
        <v>0</v>
      </c>
      <c r="C693" s="39">
        <v>0</v>
      </c>
      <c r="D693" s="39">
        <v>24519.618429999995</v>
      </c>
      <c r="E693" s="39">
        <v>31637.995769338308</v>
      </c>
      <c r="F693" s="39">
        <v>17878.469389999991</v>
      </c>
      <c r="G693" s="39">
        <v>16751.693425421414</v>
      </c>
      <c r="H693" s="40">
        <v>0.29031354462795833</v>
      </c>
      <c r="I693" s="40">
        <v>-6.3024185124528564E-2</v>
      </c>
      <c r="J693" s="40">
        <v>0.14131772640777873</v>
      </c>
    </row>
    <row r="694" spans="1:10" ht="11.25" customHeight="1" x14ac:dyDescent="0.2">
      <c r="A694" s="48" t="s">
        <v>35</v>
      </c>
      <c r="B694" s="39">
        <v>0</v>
      </c>
      <c r="C694" s="39">
        <v>0</v>
      </c>
      <c r="D694" s="39">
        <v>19524.744889999998</v>
      </c>
      <c r="E694" s="39">
        <v>25715.558545287975</v>
      </c>
      <c r="F694" s="39">
        <v>16034.71573</v>
      </c>
      <c r="G694" s="39">
        <v>15028.721791082713</v>
      </c>
      <c r="H694" s="40">
        <v>0.31707526475589098</v>
      </c>
      <c r="I694" s="40">
        <v>-6.2738495390668669E-2</v>
      </c>
      <c r="J694" s="40">
        <v>0.14580704054477578</v>
      </c>
    </row>
    <row r="695" spans="1:10" ht="11.25" customHeight="1" x14ac:dyDescent="0.2">
      <c r="A695" s="49">
        <v>44501</v>
      </c>
      <c r="B695" s="39">
        <v>0</v>
      </c>
      <c r="C695" s="39">
        <v>0</v>
      </c>
      <c r="D695" s="39">
        <v>2010.7392199999999</v>
      </c>
      <c r="E695" s="39">
        <v>2648.2948905365533</v>
      </c>
      <c r="F695" s="39">
        <v>1651.3215399999999</v>
      </c>
      <c r="G695" s="39">
        <v>1547.7201111741979</v>
      </c>
      <c r="H695" s="40">
        <v>0.31707526475589076</v>
      </c>
      <c r="I695" s="40">
        <v>-6.273849539066878E-2</v>
      </c>
      <c r="J695" s="40">
        <v>0.14580704054477556</v>
      </c>
    </row>
    <row r="696" spans="1:10" ht="11.25" customHeight="1" x14ac:dyDescent="0.2">
      <c r="A696" s="49">
        <v>44531</v>
      </c>
      <c r="B696" s="39">
        <v>0</v>
      </c>
      <c r="C696" s="39">
        <v>0</v>
      </c>
      <c r="D696" s="39">
        <v>1783.1195200000002</v>
      </c>
      <c r="E696" s="39">
        <v>2348.5026138953967</v>
      </c>
      <c r="F696" s="39">
        <v>1464.3886400000001</v>
      </c>
      <c r="G696" s="39">
        <v>1372.5151000592123</v>
      </c>
      <c r="H696" s="40">
        <v>0.31707526475589054</v>
      </c>
      <c r="I696" s="40">
        <v>-6.2738495390668891E-2</v>
      </c>
      <c r="J696" s="40">
        <v>0.14580704054477533</v>
      </c>
    </row>
    <row r="697" spans="1:10" ht="11.25" customHeight="1" x14ac:dyDescent="0.2">
      <c r="A697" s="49">
        <v>44562</v>
      </c>
      <c r="B697" s="39">
        <v>0</v>
      </c>
      <c r="C697" s="39">
        <v>0</v>
      </c>
      <c r="D697" s="39">
        <v>1857.6132400000001</v>
      </c>
      <c r="E697" s="39">
        <v>2446.616449887048</v>
      </c>
      <c r="F697" s="39">
        <v>1525.5666799999999</v>
      </c>
      <c r="G697" s="39">
        <v>1429.854921878662</v>
      </c>
      <c r="H697" s="40">
        <v>0.31707526475589076</v>
      </c>
      <c r="I697" s="40">
        <v>-6.273849539066878E-2</v>
      </c>
      <c r="J697" s="40">
        <v>0.14580704054477533</v>
      </c>
    </row>
    <row r="698" spans="1:10" ht="11.25" customHeight="1" x14ac:dyDescent="0.2">
      <c r="A698" s="49">
        <v>44593</v>
      </c>
      <c r="B698" s="39">
        <v>0</v>
      </c>
      <c r="C698" s="39">
        <v>0</v>
      </c>
      <c r="D698" s="39">
        <v>1698.27945</v>
      </c>
      <c r="E698" s="39">
        <v>2236.7618562382386</v>
      </c>
      <c r="F698" s="39">
        <v>1394.7136500000001</v>
      </c>
      <c r="G698" s="39">
        <v>1307.2114140981723</v>
      </c>
      <c r="H698" s="40">
        <v>0.31707526475589076</v>
      </c>
      <c r="I698" s="40">
        <v>-6.273849539066878E-2</v>
      </c>
      <c r="J698" s="40">
        <v>0.14580704054477533</v>
      </c>
    </row>
    <row r="699" spans="1:10" ht="11.25" customHeight="1" x14ac:dyDescent="0.2">
      <c r="A699" s="49">
        <v>44621</v>
      </c>
      <c r="B699" s="39">
        <v>0</v>
      </c>
      <c r="C699" s="39">
        <v>0</v>
      </c>
      <c r="D699" s="39">
        <v>1443.46363</v>
      </c>
      <c r="E699" s="39">
        <v>1901.1502426477491</v>
      </c>
      <c r="F699" s="39">
        <v>1185.4459100000001</v>
      </c>
      <c r="G699" s="39">
        <v>1111.0728172395779</v>
      </c>
      <c r="H699" s="40">
        <v>0.31707526475589076</v>
      </c>
      <c r="I699" s="40">
        <v>-6.273849539066878E-2</v>
      </c>
      <c r="J699" s="40">
        <v>0.14580704054477533</v>
      </c>
    </row>
    <row r="700" spans="1:10" ht="11.25" customHeight="1" x14ac:dyDescent="0.2">
      <c r="A700" s="49">
        <v>44652</v>
      </c>
      <c r="B700" s="39">
        <v>0</v>
      </c>
      <c r="C700" s="39">
        <v>0</v>
      </c>
      <c r="D700" s="39">
        <v>2052.12462</v>
      </c>
      <c r="E700" s="39">
        <v>2702.8025771985817</v>
      </c>
      <c r="F700" s="39">
        <v>1685.30934</v>
      </c>
      <c r="G700" s="39">
        <v>1579.5755677405591</v>
      </c>
      <c r="H700" s="40">
        <v>0.31707526475589076</v>
      </c>
      <c r="I700" s="40">
        <v>-6.2738495390668669E-2</v>
      </c>
      <c r="J700" s="40">
        <v>0.14580704054477533</v>
      </c>
    </row>
    <row r="701" spans="1:10" ht="11.25" customHeight="1" x14ac:dyDescent="0.2">
      <c r="A701" s="49">
        <v>44682</v>
      </c>
      <c r="B701" s="39">
        <v>0</v>
      </c>
      <c r="C701" s="39">
        <v>0</v>
      </c>
      <c r="D701" s="39">
        <v>1968.7626</v>
      </c>
      <c r="E701" s="39">
        <v>2593.0085226364959</v>
      </c>
      <c r="F701" s="39">
        <v>1616.8482000000001</v>
      </c>
      <c r="G701" s="39">
        <v>1515.4095766568889</v>
      </c>
      <c r="H701" s="40">
        <v>0.31707526475589076</v>
      </c>
      <c r="I701" s="40">
        <v>-6.273849539066878E-2</v>
      </c>
      <c r="J701" s="40">
        <v>0.14580704054477556</v>
      </c>
    </row>
    <row r="702" spans="1:10" ht="11.25" customHeight="1" x14ac:dyDescent="0.2">
      <c r="A702" s="49">
        <v>44713</v>
      </c>
      <c r="B702" s="39">
        <v>0</v>
      </c>
      <c r="C702" s="39">
        <v>0</v>
      </c>
      <c r="D702" s="39">
        <v>1290.04204</v>
      </c>
      <c r="E702" s="39">
        <v>1699.0824613792295</v>
      </c>
      <c r="F702" s="39">
        <v>1059.4482800000001</v>
      </c>
      <c r="G702" s="39">
        <v>992.980088968568</v>
      </c>
      <c r="H702" s="40">
        <v>0.31707526475589076</v>
      </c>
      <c r="I702" s="40">
        <v>-6.2738495390668891E-2</v>
      </c>
      <c r="J702" s="40">
        <v>0.14580704054477556</v>
      </c>
    </row>
    <row r="703" spans="1:10" ht="11.25" customHeight="1" x14ac:dyDescent="0.2">
      <c r="A703" s="49">
        <v>44743</v>
      </c>
      <c r="B703" s="39">
        <v>0</v>
      </c>
      <c r="C703" s="39">
        <v>0</v>
      </c>
      <c r="D703" s="39">
        <v>1262.2547</v>
      </c>
      <c r="E703" s="39">
        <v>1662.4844431918673</v>
      </c>
      <c r="F703" s="39">
        <v>1036.6279</v>
      </c>
      <c r="G703" s="39">
        <v>971.59142527401127</v>
      </c>
      <c r="H703" s="40">
        <v>0.31707526475589076</v>
      </c>
      <c r="I703" s="40">
        <v>-6.273849539066878E-2</v>
      </c>
      <c r="J703" s="40">
        <v>0.14580704054477533</v>
      </c>
    </row>
    <row r="704" spans="1:10" ht="11.25" customHeight="1" x14ac:dyDescent="0.2">
      <c r="A704" s="49">
        <v>44774</v>
      </c>
      <c r="B704" s="39">
        <v>0</v>
      </c>
      <c r="C704" s="39">
        <v>0</v>
      </c>
      <c r="D704" s="39">
        <v>1125.3872699999999</v>
      </c>
      <c r="E704" s="39">
        <v>1482.2197365881591</v>
      </c>
      <c r="F704" s="39">
        <v>924.22539000000006</v>
      </c>
      <c r="G704" s="39">
        <v>866.24087962954593</v>
      </c>
      <c r="H704" s="40">
        <v>0.31707526475589076</v>
      </c>
      <c r="I704" s="40">
        <v>-6.2738495390668891E-2</v>
      </c>
      <c r="J704" s="40">
        <v>0.14580704054477556</v>
      </c>
    </row>
    <row r="705" spans="1:10" ht="11.25" customHeight="1" x14ac:dyDescent="0.2">
      <c r="A705" s="49">
        <v>44805</v>
      </c>
      <c r="B705" s="39">
        <v>0</v>
      </c>
      <c r="C705" s="39">
        <v>0</v>
      </c>
      <c r="D705" s="39">
        <v>1516.4793</v>
      </c>
      <c r="E705" s="39">
        <v>1997.3173755443279</v>
      </c>
      <c r="F705" s="39">
        <v>1245.4101000000001</v>
      </c>
      <c r="G705" s="39">
        <v>1167.2749441816577</v>
      </c>
      <c r="H705" s="40">
        <v>0.31707526475589076</v>
      </c>
      <c r="I705" s="40">
        <v>-6.273849539066878E-2</v>
      </c>
      <c r="J705" s="40">
        <v>0.14580704054477533</v>
      </c>
    </row>
    <row r="706" spans="1:10" ht="11.25" customHeight="1" x14ac:dyDescent="0.2">
      <c r="A706" s="49">
        <v>44835</v>
      </c>
      <c r="B706" s="39">
        <v>0</v>
      </c>
      <c r="C706" s="39">
        <v>0</v>
      </c>
      <c r="D706" s="39">
        <v>1516.4793</v>
      </c>
      <c r="E706" s="39">
        <v>1997.3173755443279</v>
      </c>
      <c r="F706" s="39">
        <v>1245.4101000000001</v>
      </c>
      <c r="G706" s="39">
        <v>1167.2749441816577</v>
      </c>
      <c r="H706" s="40">
        <v>0.31707526475589076</v>
      </c>
      <c r="I706" s="40">
        <v>-6.273849539066878E-2</v>
      </c>
      <c r="J706" s="40">
        <v>0.14580704054477533</v>
      </c>
    </row>
    <row r="707" spans="1:10" ht="11.25" customHeight="1" x14ac:dyDescent="0.2">
      <c r="A707" s="48" t="s">
        <v>36</v>
      </c>
      <c r="B707" s="39">
        <v>0</v>
      </c>
      <c r="C707" s="39">
        <v>0</v>
      </c>
      <c r="D707" s="39">
        <v>2398.4713800000004</v>
      </c>
      <c r="E707" s="39">
        <v>2884.3162908473378</v>
      </c>
      <c r="F707" s="39">
        <v>869.60214000000008</v>
      </c>
      <c r="G707" s="39">
        <v>815.04461014789433</v>
      </c>
      <c r="H707" s="40">
        <v>0.20256439784882363</v>
      </c>
      <c r="I707" s="40">
        <v>-6.273849539066878E-2</v>
      </c>
      <c r="J707" s="40">
        <v>0.13196991388224077</v>
      </c>
    </row>
    <row r="708" spans="1:10" ht="11.25" customHeight="1" x14ac:dyDescent="0.2">
      <c r="A708" s="49">
        <v>44501</v>
      </c>
      <c r="B708" s="39">
        <v>0</v>
      </c>
      <c r="C708" s="39">
        <v>0</v>
      </c>
      <c r="D708" s="39">
        <v>241.72199000000001</v>
      </c>
      <c r="E708" s="39">
        <v>290.68625935116944</v>
      </c>
      <c r="F708" s="39">
        <v>87.639970000000005</v>
      </c>
      <c r="G708" s="39">
        <v>82.141570146116649</v>
      </c>
      <c r="H708" s="40">
        <v>0.20256439784882385</v>
      </c>
      <c r="I708" s="40">
        <v>-6.2738495390668891E-2</v>
      </c>
      <c r="J708" s="40">
        <v>0.13196991388224077</v>
      </c>
    </row>
    <row r="709" spans="1:10" ht="11.25" customHeight="1" x14ac:dyDescent="0.2">
      <c r="A709" s="49">
        <v>44531</v>
      </c>
      <c r="B709" s="39">
        <v>0</v>
      </c>
      <c r="C709" s="39">
        <v>0</v>
      </c>
      <c r="D709" s="39">
        <v>198.86823000000001</v>
      </c>
      <c r="E709" s="39">
        <v>239.15185326121139</v>
      </c>
      <c r="F709" s="39">
        <v>72.102689999999996</v>
      </c>
      <c r="G709" s="39">
        <v>67.579075715780178</v>
      </c>
      <c r="H709" s="40">
        <v>0.20256439784882363</v>
      </c>
      <c r="I709" s="40">
        <v>-6.273849539066878E-2</v>
      </c>
      <c r="J709" s="40">
        <v>0.13196991388224077</v>
      </c>
    </row>
    <row r="710" spans="1:10" ht="11.25" customHeight="1" x14ac:dyDescent="0.2">
      <c r="A710" s="49">
        <v>44562</v>
      </c>
      <c r="B710" s="39">
        <v>0</v>
      </c>
      <c r="C710" s="39">
        <v>0</v>
      </c>
      <c r="D710" s="39">
        <v>211.59044</v>
      </c>
      <c r="E710" s="39">
        <v>254.4511300691677</v>
      </c>
      <c r="F710" s="39">
        <v>76.715320000000006</v>
      </c>
      <c r="G710" s="39">
        <v>71.902316249786324</v>
      </c>
      <c r="H710" s="40">
        <v>0.20256439784882385</v>
      </c>
      <c r="I710" s="40">
        <v>-6.273849539066878E-2</v>
      </c>
      <c r="J710" s="40">
        <v>0.13196991388224077</v>
      </c>
    </row>
    <row r="711" spans="1:10" ht="11.25" customHeight="1" x14ac:dyDescent="0.2">
      <c r="A711" s="49">
        <v>44593</v>
      </c>
      <c r="B711" s="39">
        <v>0</v>
      </c>
      <c r="C711" s="39">
        <v>0</v>
      </c>
      <c r="D711" s="39">
        <v>213.59921000000003</v>
      </c>
      <c r="E711" s="39">
        <v>256.86680535463449</v>
      </c>
      <c r="F711" s="39">
        <v>77.443629999999999</v>
      </c>
      <c r="G711" s="39">
        <v>72.584933176208338</v>
      </c>
      <c r="H711" s="40">
        <v>0.20256439784882385</v>
      </c>
      <c r="I711" s="40">
        <v>-6.273849539066878E-2</v>
      </c>
      <c r="J711" s="40">
        <v>0.13196991388224077</v>
      </c>
    </row>
    <row r="712" spans="1:10" ht="11.25" customHeight="1" x14ac:dyDescent="0.2">
      <c r="A712" s="49">
        <v>44621</v>
      </c>
      <c r="B712" s="39">
        <v>0</v>
      </c>
      <c r="C712" s="39">
        <v>0</v>
      </c>
      <c r="D712" s="39">
        <v>186.14602000000002</v>
      </c>
      <c r="E712" s="39">
        <v>223.85257645325515</v>
      </c>
      <c r="F712" s="39">
        <v>67.490060000000014</v>
      </c>
      <c r="G712" s="39">
        <v>63.255835181774046</v>
      </c>
      <c r="H712" s="40">
        <v>0.20256439784882385</v>
      </c>
      <c r="I712" s="40">
        <v>-6.2738495390668891E-2</v>
      </c>
      <c r="J712" s="40">
        <v>0.13196991388224077</v>
      </c>
    </row>
    <row r="713" spans="1:10" ht="11.25" customHeight="1" x14ac:dyDescent="0.2">
      <c r="A713" s="49">
        <v>44652</v>
      </c>
      <c r="B713" s="39">
        <v>0</v>
      </c>
      <c r="C713" s="39">
        <v>0</v>
      </c>
      <c r="D713" s="39">
        <v>252.43543000000003</v>
      </c>
      <c r="E713" s="39">
        <v>303.56986087365891</v>
      </c>
      <c r="F713" s="39">
        <v>91.524290000000008</v>
      </c>
      <c r="G713" s="39">
        <v>85.782193753700767</v>
      </c>
      <c r="H713" s="40">
        <v>0.20256439784882363</v>
      </c>
      <c r="I713" s="40">
        <v>-6.2738495390668891E-2</v>
      </c>
      <c r="J713" s="40">
        <v>0.13196991388224055</v>
      </c>
    </row>
    <row r="714" spans="1:10" ht="11.25" customHeight="1" x14ac:dyDescent="0.2">
      <c r="A714" s="49">
        <v>44682</v>
      </c>
      <c r="B714" s="39">
        <v>0</v>
      </c>
      <c r="C714" s="39">
        <v>0</v>
      </c>
      <c r="D714" s="39">
        <v>205.56413000000001</v>
      </c>
      <c r="E714" s="39">
        <v>247.20410421276733</v>
      </c>
      <c r="F714" s="39">
        <v>74.530389999999997</v>
      </c>
      <c r="G714" s="39">
        <v>69.854465470520253</v>
      </c>
      <c r="H714" s="40">
        <v>0.20256439784882385</v>
      </c>
      <c r="I714" s="40">
        <v>-6.273849539066878E-2</v>
      </c>
      <c r="J714" s="40">
        <v>0.131969913882241</v>
      </c>
    </row>
    <row r="715" spans="1:10" ht="11.25" customHeight="1" x14ac:dyDescent="0.2">
      <c r="A715" s="49">
        <v>44713</v>
      </c>
      <c r="B715" s="39">
        <v>0</v>
      </c>
      <c r="C715" s="39">
        <v>0</v>
      </c>
      <c r="D715" s="39">
        <v>160.03201000000001</v>
      </c>
      <c r="E715" s="39">
        <v>192.44879774218694</v>
      </c>
      <c r="F715" s="39">
        <v>58.022030000000001</v>
      </c>
      <c r="G715" s="39">
        <v>54.381815138287756</v>
      </c>
      <c r="H715" s="40">
        <v>0.20256439784882363</v>
      </c>
      <c r="I715" s="40">
        <v>-6.273849539066878E-2</v>
      </c>
      <c r="J715" s="40">
        <v>0.13196991388224077</v>
      </c>
    </row>
    <row r="716" spans="1:10" ht="11.25" customHeight="1" x14ac:dyDescent="0.2">
      <c r="A716" s="49">
        <v>44743</v>
      </c>
      <c r="B716" s="39">
        <v>0</v>
      </c>
      <c r="C716" s="39">
        <v>0</v>
      </c>
      <c r="D716" s="39">
        <v>180.11971000000003</v>
      </c>
      <c r="E716" s="39">
        <v>216.60555059685478</v>
      </c>
      <c r="F716" s="39">
        <v>65.305130000000005</v>
      </c>
      <c r="G716" s="39">
        <v>61.207984402507982</v>
      </c>
      <c r="H716" s="40">
        <v>0.20256439784882363</v>
      </c>
      <c r="I716" s="40">
        <v>-6.273849539066878E-2</v>
      </c>
      <c r="J716" s="40">
        <v>0.131969913882241</v>
      </c>
    </row>
    <row r="717" spans="1:10" ht="11.25" customHeight="1" x14ac:dyDescent="0.2">
      <c r="A717" s="49">
        <v>44774</v>
      </c>
      <c r="B717" s="39">
        <v>0</v>
      </c>
      <c r="C717" s="39">
        <v>0</v>
      </c>
      <c r="D717" s="39">
        <v>177.44135000000003</v>
      </c>
      <c r="E717" s="39">
        <v>213.38465021623242</v>
      </c>
      <c r="F717" s="39">
        <v>64.334050000000005</v>
      </c>
      <c r="G717" s="39">
        <v>60.297828500611949</v>
      </c>
      <c r="H717" s="40">
        <v>0.20256439784882385</v>
      </c>
      <c r="I717" s="40">
        <v>-6.273849539066878E-2</v>
      </c>
      <c r="J717" s="40">
        <v>0.13196991388224077</v>
      </c>
    </row>
    <row r="718" spans="1:10" ht="11.25" customHeight="1" x14ac:dyDescent="0.2">
      <c r="A718" s="49">
        <v>44805</v>
      </c>
      <c r="B718" s="39">
        <v>0</v>
      </c>
      <c r="C718" s="39">
        <v>0</v>
      </c>
      <c r="D718" s="39">
        <v>185.47643000000002</v>
      </c>
      <c r="E718" s="39">
        <v>223.04735135809955</v>
      </c>
      <c r="F718" s="39">
        <v>67.247290000000007</v>
      </c>
      <c r="G718" s="39">
        <v>63.028296206300041</v>
      </c>
      <c r="H718" s="40">
        <v>0.20256439784882385</v>
      </c>
      <c r="I718" s="40">
        <v>-6.273849539066878E-2</v>
      </c>
      <c r="J718" s="40">
        <v>0.13196991388224077</v>
      </c>
    </row>
    <row r="719" spans="1:10" ht="11.25" customHeight="1" x14ac:dyDescent="0.2">
      <c r="A719" s="49">
        <v>44835</v>
      </c>
      <c r="B719" s="39">
        <v>0</v>
      </c>
      <c r="C719" s="39">
        <v>0</v>
      </c>
      <c r="D719" s="39">
        <v>185.47643000000002</v>
      </c>
      <c r="E719" s="39">
        <v>223.04735135809955</v>
      </c>
      <c r="F719" s="39">
        <v>67.247290000000007</v>
      </c>
      <c r="G719" s="39">
        <v>63.028296206300041</v>
      </c>
      <c r="H719" s="40">
        <v>0.20256439784882385</v>
      </c>
      <c r="I719" s="40">
        <v>-6.273849539066878E-2</v>
      </c>
      <c r="J719" s="40">
        <v>0.13196991388224077</v>
      </c>
    </row>
    <row r="720" spans="1:10" ht="11.25" customHeight="1" x14ac:dyDescent="0.2">
      <c r="A720" s="48" t="s">
        <v>34</v>
      </c>
      <c r="B720" s="39">
        <v>0</v>
      </c>
      <c r="C720" s="39">
        <v>0</v>
      </c>
      <c r="D720" s="39">
        <v>2596.4021600000001</v>
      </c>
      <c r="E720" s="39">
        <v>3038.1209332029948</v>
      </c>
      <c r="F720" s="39">
        <v>974.15152000000012</v>
      </c>
      <c r="G720" s="39">
        <v>907.92702419080308</v>
      </c>
      <c r="H720" s="40">
        <v>0.17012725532588324</v>
      </c>
      <c r="I720" s="40">
        <v>-6.7981719937363572E-2</v>
      </c>
      <c r="J720" s="40">
        <v>0.10516415969239756</v>
      </c>
    </row>
    <row r="721" spans="1:10" ht="11.25" customHeight="1" x14ac:dyDescent="0.2">
      <c r="A721" s="49">
        <v>44501</v>
      </c>
      <c r="B721" s="39">
        <v>0</v>
      </c>
      <c r="C721" s="39">
        <v>0</v>
      </c>
      <c r="D721" s="39">
        <v>220.19326999999998</v>
      </c>
      <c r="E721" s="39">
        <v>257.65414666633114</v>
      </c>
      <c r="F721" s="39">
        <v>82.614940000000004</v>
      </c>
      <c r="G721" s="39">
        <v>76.998634286277905</v>
      </c>
      <c r="H721" s="40">
        <v>0.17012725532588324</v>
      </c>
      <c r="I721" s="40">
        <v>-6.7981719937363572E-2</v>
      </c>
      <c r="J721" s="40">
        <v>0.10516415969239779</v>
      </c>
    </row>
    <row r="722" spans="1:10" ht="11.25" customHeight="1" x14ac:dyDescent="0.2">
      <c r="A722" s="49">
        <v>44531</v>
      </c>
      <c r="B722" s="39">
        <v>0</v>
      </c>
      <c r="C722" s="39">
        <v>0</v>
      </c>
      <c r="D722" s="39">
        <v>208.714</v>
      </c>
      <c r="E722" s="39">
        <v>244.22193996808642</v>
      </c>
      <c r="F722" s="39">
        <v>78.308000000000007</v>
      </c>
      <c r="G722" s="39">
        <v>72.984487475144931</v>
      </c>
      <c r="H722" s="40">
        <v>0.17012725532588346</v>
      </c>
      <c r="I722" s="40">
        <v>-6.7981719937363683E-2</v>
      </c>
      <c r="J722" s="40">
        <v>0.10516415969239756</v>
      </c>
    </row>
    <row r="723" spans="1:10" ht="11.25" customHeight="1" x14ac:dyDescent="0.2">
      <c r="A723" s="49">
        <v>44562</v>
      </c>
      <c r="B723" s="39">
        <v>0</v>
      </c>
      <c r="C723" s="39">
        <v>0</v>
      </c>
      <c r="D723" s="39">
        <v>222.28040999999999</v>
      </c>
      <c r="E723" s="39">
        <v>260.09636606601202</v>
      </c>
      <c r="F723" s="39">
        <v>83.398020000000002</v>
      </c>
      <c r="G723" s="39">
        <v>77.728479161029355</v>
      </c>
      <c r="H723" s="40">
        <v>0.17012725532588346</v>
      </c>
      <c r="I723" s="40">
        <v>-6.7981719937363572E-2</v>
      </c>
      <c r="J723" s="40">
        <v>0.10516415969239756</v>
      </c>
    </row>
    <row r="724" spans="1:10" ht="11.25" customHeight="1" x14ac:dyDescent="0.2">
      <c r="A724" s="49">
        <v>44593</v>
      </c>
      <c r="B724" s="39">
        <v>0</v>
      </c>
      <c r="C724" s="39">
        <v>0</v>
      </c>
      <c r="D724" s="39">
        <v>292.19960000000003</v>
      </c>
      <c r="E724" s="39">
        <v>341.910715955321</v>
      </c>
      <c r="F724" s="39">
        <v>109.63120000000002</v>
      </c>
      <c r="G724" s="39">
        <v>102.17828246520291</v>
      </c>
      <c r="H724" s="40">
        <v>0.17012725532588324</v>
      </c>
      <c r="I724" s="40">
        <v>-6.7981719937363683E-2</v>
      </c>
      <c r="J724" s="40">
        <v>0.10516415969239756</v>
      </c>
    </row>
    <row r="725" spans="1:10" ht="11.25" customHeight="1" x14ac:dyDescent="0.2">
      <c r="A725" s="49">
        <v>44621</v>
      </c>
      <c r="B725" s="39">
        <v>0</v>
      </c>
      <c r="C725" s="39">
        <v>0</v>
      </c>
      <c r="D725" s="39">
        <v>184.71188999999998</v>
      </c>
      <c r="E725" s="39">
        <v>216.13641687175647</v>
      </c>
      <c r="F725" s="39">
        <v>69.302580000000006</v>
      </c>
      <c r="G725" s="39">
        <v>64.591271415503257</v>
      </c>
      <c r="H725" s="40">
        <v>0.17012725532588346</v>
      </c>
      <c r="I725" s="40">
        <v>-6.7981719937363794E-2</v>
      </c>
      <c r="J725" s="40">
        <v>0.10516415969239779</v>
      </c>
    </row>
    <row r="726" spans="1:10" ht="11.25" customHeight="1" x14ac:dyDescent="0.2">
      <c r="A726" s="49">
        <v>44652</v>
      </c>
      <c r="B726" s="39">
        <v>0</v>
      </c>
      <c r="C726" s="39">
        <v>0</v>
      </c>
      <c r="D726" s="39">
        <v>214.97541999999999</v>
      </c>
      <c r="E726" s="39">
        <v>251.548598167129</v>
      </c>
      <c r="F726" s="39">
        <v>80.657240000000002</v>
      </c>
      <c r="G726" s="39">
        <v>75.174022099399281</v>
      </c>
      <c r="H726" s="40">
        <v>0.17012725532588346</v>
      </c>
      <c r="I726" s="40">
        <v>-6.7981719937363572E-2</v>
      </c>
      <c r="J726" s="40">
        <v>0.10516415969239756</v>
      </c>
    </row>
    <row r="727" spans="1:10" ht="11.25" customHeight="1" x14ac:dyDescent="0.2">
      <c r="A727" s="49">
        <v>44682</v>
      </c>
      <c r="B727" s="39">
        <v>0</v>
      </c>
      <c r="C727" s="39">
        <v>0</v>
      </c>
      <c r="D727" s="39">
        <v>204.53971999999999</v>
      </c>
      <c r="E727" s="39">
        <v>239.33750116872469</v>
      </c>
      <c r="F727" s="39">
        <v>76.74184000000001</v>
      </c>
      <c r="G727" s="39">
        <v>71.524797725642031</v>
      </c>
      <c r="H727" s="40">
        <v>0.17012725532588346</v>
      </c>
      <c r="I727" s="40">
        <v>-6.7981719937363794E-2</v>
      </c>
      <c r="J727" s="40">
        <v>0.10516415969239756</v>
      </c>
    </row>
    <row r="728" spans="1:10" ht="11.25" customHeight="1" x14ac:dyDescent="0.2">
      <c r="A728" s="49">
        <v>44713</v>
      </c>
      <c r="B728" s="39">
        <v>0</v>
      </c>
      <c r="C728" s="39">
        <v>0</v>
      </c>
      <c r="D728" s="39">
        <v>190.97331</v>
      </c>
      <c r="E728" s="39">
        <v>223.46307507079908</v>
      </c>
      <c r="F728" s="39">
        <v>71.651820000000001</v>
      </c>
      <c r="G728" s="39">
        <v>66.780806039757607</v>
      </c>
      <c r="H728" s="40">
        <v>0.17012725532588346</v>
      </c>
      <c r="I728" s="40">
        <v>-6.7981719937363683E-2</v>
      </c>
      <c r="J728" s="40">
        <v>0.10516415969239756</v>
      </c>
    </row>
    <row r="729" spans="1:10" ht="11.25" customHeight="1" x14ac:dyDescent="0.2">
      <c r="A729" s="49">
        <v>44743</v>
      </c>
      <c r="B729" s="39">
        <v>0</v>
      </c>
      <c r="C729" s="39">
        <v>0</v>
      </c>
      <c r="D729" s="39">
        <v>203.49615</v>
      </c>
      <c r="E729" s="39">
        <v>238.11639146888427</v>
      </c>
      <c r="F729" s="39">
        <v>76.350300000000004</v>
      </c>
      <c r="G729" s="39">
        <v>71.159875288266306</v>
      </c>
      <c r="H729" s="40">
        <v>0.17012725532588346</v>
      </c>
      <c r="I729" s="40">
        <v>-6.7981719937363683E-2</v>
      </c>
      <c r="J729" s="40">
        <v>0.10516415969239756</v>
      </c>
    </row>
    <row r="730" spans="1:10" ht="11.25" customHeight="1" x14ac:dyDescent="0.2">
      <c r="A730" s="49">
        <v>44774</v>
      </c>
      <c r="B730" s="39">
        <v>0</v>
      </c>
      <c r="C730" s="39">
        <v>0</v>
      </c>
      <c r="D730" s="39">
        <v>232.71610999999999</v>
      </c>
      <c r="E730" s="39">
        <v>272.30746306441637</v>
      </c>
      <c r="F730" s="39">
        <v>87.313420000000008</v>
      </c>
      <c r="G730" s="39">
        <v>81.377703534786605</v>
      </c>
      <c r="H730" s="40">
        <v>0.17012725532588346</v>
      </c>
      <c r="I730" s="40">
        <v>-6.7981719937363572E-2</v>
      </c>
      <c r="J730" s="40">
        <v>0.10516415969239756</v>
      </c>
    </row>
    <row r="731" spans="1:10" ht="11.25" customHeight="1" x14ac:dyDescent="0.2">
      <c r="A731" s="49">
        <v>44805</v>
      </c>
      <c r="B731" s="39">
        <v>0</v>
      </c>
      <c r="C731" s="39">
        <v>0</v>
      </c>
      <c r="D731" s="39">
        <v>210.80114</v>
      </c>
      <c r="E731" s="39">
        <v>246.6641593677673</v>
      </c>
      <c r="F731" s="39">
        <v>79.091080000000005</v>
      </c>
      <c r="G731" s="39">
        <v>73.714332349896381</v>
      </c>
      <c r="H731" s="40">
        <v>0.17012725532588346</v>
      </c>
      <c r="I731" s="40">
        <v>-6.7981719937363683E-2</v>
      </c>
      <c r="J731" s="40">
        <v>0.10516415969239756</v>
      </c>
    </row>
    <row r="732" spans="1:10" ht="11.25" customHeight="1" x14ac:dyDescent="0.2">
      <c r="A732" s="49">
        <v>44835</v>
      </c>
      <c r="B732" s="39">
        <v>0</v>
      </c>
      <c r="C732" s="39">
        <v>0</v>
      </c>
      <c r="D732" s="39">
        <v>210.80114</v>
      </c>
      <c r="E732" s="39">
        <v>246.6641593677673</v>
      </c>
      <c r="F732" s="39">
        <v>79.091080000000005</v>
      </c>
      <c r="G732" s="39">
        <v>73.714332349896381</v>
      </c>
      <c r="H732" s="40">
        <v>0.17012725532588346</v>
      </c>
      <c r="I732" s="40">
        <v>-6.7981719937363683E-2</v>
      </c>
      <c r="J732" s="40">
        <v>0.10516415969239756</v>
      </c>
    </row>
    <row r="733" spans="1:10" ht="11.25" customHeight="1" x14ac:dyDescent="0.2">
      <c r="A733" s="43" t="s">
        <v>23</v>
      </c>
      <c r="B733" s="39">
        <v>0</v>
      </c>
      <c r="C733" s="39">
        <v>0</v>
      </c>
      <c r="D733" s="39">
        <v>9146381.2879751995</v>
      </c>
      <c r="E733" s="39">
        <v>11631482.224649152</v>
      </c>
      <c r="F733" s="39">
        <v>6147942.9778532023</v>
      </c>
      <c r="G733" s="39">
        <v>5758051.967744329</v>
      </c>
      <c r="H733" s="40">
        <v>0.27170318603939303</v>
      </c>
      <c r="I733" s="40">
        <v>-6.3418123999097631E-2</v>
      </c>
      <c r="J733" s="40">
        <v>0.13699264447049342</v>
      </c>
    </row>
    <row r="734" spans="1:10" ht="11.25" customHeight="1" x14ac:dyDescent="0.2">
      <c r="A734" s="44" t="s">
        <v>41</v>
      </c>
      <c r="B734" s="39">
        <v>0</v>
      </c>
      <c r="C734" s="39">
        <v>0</v>
      </c>
      <c r="D734" s="39">
        <v>6593435.2846799996</v>
      </c>
      <c r="E734" s="39">
        <v>8384892.658472118</v>
      </c>
      <c r="F734" s="39">
        <v>4431923.7173800003</v>
      </c>
      <c r="G734" s="39">
        <v>4150859.4295166563</v>
      </c>
      <c r="H734" s="40">
        <v>0.27170318603939414</v>
      </c>
      <c r="I734" s="40">
        <v>-6.3418123999097076E-2</v>
      </c>
      <c r="J734" s="40">
        <v>0.13699264447049453</v>
      </c>
    </row>
    <row r="735" spans="1:10" ht="11.25" customHeight="1" x14ac:dyDescent="0.2">
      <c r="A735" s="45" t="s">
        <v>25</v>
      </c>
      <c r="B735" s="39">
        <v>0</v>
      </c>
      <c r="C735" s="39">
        <v>0</v>
      </c>
      <c r="D735" s="39">
        <v>6593435.2846799996</v>
      </c>
      <c r="E735" s="39">
        <v>8384892.658472118</v>
      </c>
      <c r="F735" s="39">
        <v>4431923.7173800003</v>
      </c>
      <c r="G735" s="39">
        <v>4150859.4295166563</v>
      </c>
      <c r="H735" s="40">
        <v>0.27170318603939414</v>
      </c>
      <c r="I735" s="40">
        <v>-6.3418123999097076E-2</v>
      </c>
      <c r="J735" s="40">
        <v>0.13699264447049453</v>
      </c>
    </row>
    <row r="736" spans="1:10" ht="11.25" customHeight="1" x14ac:dyDescent="0.2">
      <c r="A736" s="46" t="s">
        <v>25</v>
      </c>
      <c r="B736" s="39">
        <v>0</v>
      </c>
      <c r="C736" s="39">
        <v>0</v>
      </c>
      <c r="D736" s="39">
        <v>6593435.2846799996</v>
      </c>
      <c r="E736" s="39">
        <v>8384892.658472118</v>
      </c>
      <c r="F736" s="39">
        <v>4431923.7173800003</v>
      </c>
      <c r="G736" s="39">
        <v>4150859.4295166563</v>
      </c>
      <c r="H736" s="40">
        <v>0.27170318603939414</v>
      </c>
      <c r="I736" s="40">
        <v>-6.3418123999097076E-2</v>
      </c>
      <c r="J736" s="40">
        <v>0.13699264447049453</v>
      </c>
    </row>
    <row r="737" spans="1:10" ht="11.25" customHeight="1" x14ac:dyDescent="0.2">
      <c r="A737" s="47" t="s">
        <v>25</v>
      </c>
      <c r="B737" s="39">
        <v>0</v>
      </c>
      <c r="C737" s="39">
        <v>0</v>
      </c>
      <c r="D737" s="39">
        <v>6593435.2846799996</v>
      </c>
      <c r="E737" s="39">
        <v>8384892.658472118</v>
      </c>
      <c r="F737" s="39">
        <v>4431923.7173800003</v>
      </c>
      <c r="G737" s="39">
        <v>4150859.4295166563</v>
      </c>
      <c r="H737" s="40">
        <v>0.27170318603939414</v>
      </c>
      <c r="I737" s="40">
        <v>-6.3418123999097076E-2</v>
      </c>
      <c r="J737" s="40">
        <v>0.13699264447049453</v>
      </c>
    </row>
    <row r="738" spans="1:10" ht="11.25" customHeight="1" x14ac:dyDescent="0.2">
      <c r="A738" s="48" t="s">
        <v>25</v>
      </c>
      <c r="B738" s="39">
        <v>0</v>
      </c>
      <c r="C738" s="39">
        <v>0</v>
      </c>
      <c r="D738" s="39">
        <v>6593435.2846799996</v>
      </c>
      <c r="E738" s="39">
        <v>8384892.658472118</v>
      </c>
      <c r="F738" s="39">
        <v>4431923.7173800003</v>
      </c>
      <c r="G738" s="39">
        <v>4150859.4295166563</v>
      </c>
      <c r="H738" s="40">
        <v>0.27170318603939414</v>
      </c>
      <c r="I738" s="40">
        <v>-6.3418123999097076E-2</v>
      </c>
      <c r="J738" s="40">
        <v>0.13699264447049453</v>
      </c>
    </row>
    <row r="739" spans="1:10" ht="11.25" customHeight="1" x14ac:dyDescent="0.2">
      <c r="A739" s="49">
        <v>44501</v>
      </c>
      <c r="B739" s="39">
        <v>0</v>
      </c>
      <c r="C739" s="39">
        <v>0</v>
      </c>
      <c r="D739" s="39">
        <v>584930.64384000003</v>
      </c>
      <c r="E739" s="39">
        <v>743858.16338340228</v>
      </c>
      <c r="F739" s="39">
        <v>393174.10144</v>
      </c>
      <c r="G739" s="39">
        <v>368239.73752164457</v>
      </c>
      <c r="H739" s="40">
        <v>0.27170318603939436</v>
      </c>
      <c r="I739" s="40">
        <v>-6.3418123999096965E-2</v>
      </c>
      <c r="J739" s="40">
        <v>0.13699264447049475</v>
      </c>
    </row>
    <row r="740" spans="1:10" ht="11.25" customHeight="1" x14ac:dyDescent="0.2">
      <c r="A740" s="49">
        <v>44531</v>
      </c>
      <c r="B740" s="39">
        <v>0</v>
      </c>
      <c r="C740" s="39">
        <v>0</v>
      </c>
      <c r="D740" s="39">
        <v>560604.59424000001</v>
      </c>
      <c r="E740" s="39">
        <v>712922.6486033299</v>
      </c>
      <c r="F740" s="39">
        <v>376822.80783999996</v>
      </c>
      <c r="G740" s="39">
        <v>352925.412286715</v>
      </c>
      <c r="H740" s="40">
        <v>0.27170318603939436</v>
      </c>
      <c r="I740" s="40">
        <v>-6.3418123999096854E-2</v>
      </c>
      <c r="J740" s="40">
        <v>0.13699264447049497</v>
      </c>
    </row>
    <row r="741" spans="1:10" ht="11.25" customHeight="1" x14ac:dyDescent="0.2">
      <c r="A741" s="49">
        <v>44562</v>
      </c>
      <c r="B741" s="39">
        <v>0</v>
      </c>
      <c r="C741" s="39">
        <v>0</v>
      </c>
      <c r="D741" s="39">
        <v>572604.00281999994</v>
      </c>
      <c r="E741" s="39">
        <v>728182.33472510427</v>
      </c>
      <c r="F741" s="39">
        <v>384888.47636999993</v>
      </c>
      <c r="G741" s="39">
        <v>360479.57124974381</v>
      </c>
      <c r="H741" s="40">
        <v>0.27170318603939436</v>
      </c>
      <c r="I741" s="40">
        <v>-6.3418123999096854E-2</v>
      </c>
      <c r="J741" s="40">
        <v>0.13699264447049475</v>
      </c>
    </row>
    <row r="742" spans="1:10" ht="11.25" customHeight="1" x14ac:dyDescent="0.2">
      <c r="A742" s="49">
        <v>44593</v>
      </c>
      <c r="B742" s="39">
        <v>0</v>
      </c>
      <c r="C742" s="39">
        <v>0</v>
      </c>
      <c r="D742" s="39">
        <v>552919.94657999999</v>
      </c>
      <c r="E742" s="39">
        <v>703150.05769051763</v>
      </c>
      <c r="F742" s="39">
        <v>371657.40153000003</v>
      </c>
      <c r="G742" s="39">
        <v>348087.58635458827</v>
      </c>
      <c r="H742" s="40">
        <v>0.27170318603939414</v>
      </c>
      <c r="I742" s="40">
        <v>-6.3418123999097076E-2</v>
      </c>
      <c r="J742" s="40">
        <v>0.13699264447049453</v>
      </c>
    </row>
    <row r="743" spans="1:10" ht="11.25" customHeight="1" x14ac:dyDescent="0.2">
      <c r="A743" s="49">
        <v>44621</v>
      </c>
      <c r="B743" s="39">
        <v>0</v>
      </c>
      <c r="C743" s="39">
        <v>0</v>
      </c>
      <c r="D743" s="39">
        <v>510691.01777999999</v>
      </c>
      <c r="E743" s="39">
        <v>649447.39439252694</v>
      </c>
      <c r="F743" s="39">
        <v>343272.29073000001</v>
      </c>
      <c r="G743" s="39">
        <v>321502.60603103077</v>
      </c>
      <c r="H743" s="40">
        <v>0.27170318603939436</v>
      </c>
      <c r="I743" s="40">
        <v>-6.3418123999097076E-2</v>
      </c>
      <c r="J743" s="40">
        <v>0.13699264447049453</v>
      </c>
    </row>
    <row r="744" spans="1:10" ht="11.25" customHeight="1" x14ac:dyDescent="0.2">
      <c r="A744" s="49">
        <v>44652</v>
      </c>
      <c r="B744" s="39">
        <v>0</v>
      </c>
      <c r="C744" s="39">
        <v>0</v>
      </c>
      <c r="D744" s="39">
        <v>613405.94004000002</v>
      </c>
      <c r="E744" s="39">
        <v>780070.28828435764</v>
      </c>
      <c r="F744" s="39">
        <v>412314.40313999995</v>
      </c>
      <c r="G744" s="39">
        <v>386166.1971950538</v>
      </c>
      <c r="H744" s="40">
        <v>0.27170318603939414</v>
      </c>
      <c r="I744" s="40">
        <v>-6.3418123999096965E-2</v>
      </c>
      <c r="J744" s="40">
        <v>0.13699264447049453</v>
      </c>
    </row>
    <row r="745" spans="1:10" ht="11.25" customHeight="1" x14ac:dyDescent="0.2">
      <c r="A745" s="49">
        <v>44682</v>
      </c>
      <c r="B745" s="39">
        <v>0</v>
      </c>
      <c r="C745" s="39">
        <v>0</v>
      </c>
      <c r="D745" s="39">
        <v>582818.43816000002</v>
      </c>
      <c r="E745" s="39">
        <v>741172.0646905757</v>
      </c>
      <c r="F745" s="39">
        <v>391754.33555999998</v>
      </c>
      <c r="G745" s="39">
        <v>366910.01053027203</v>
      </c>
      <c r="H745" s="40">
        <v>0.27170318603939436</v>
      </c>
      <c r="I745" s="40">
        <v>-6.3418123999097076E-2</v>
      </c>
      <c r="J745" s="40">
        <v>0.13699264447049475</v>
      </c>
    </row>
    <row r="746" spans="1:10" ht="11.25" customHeight="1" x14ac:dyDescent="0.2">
      <c r="A746" s="49">
        <v>44713</v>
      </c>
      <c r="B746" s="39">
        <v>0</v>
      </c>
      <c r="C746" s="39">
        <v>0</v>
      </c>
      <c r="D746" s="39">
        <v>499271.28894000006</v>
      </c>
      <c r="E746" s="39">
        <v>634924.88884299307</v>
      </c>
      <c r="F746" s="39">
        <v>335596.26678999997</v>
      </c>
      <c r="G746" s="39">
        <v>314313.38112907775</v>
      </c>
      <c r="H746" s="40">
        <v>0.27170318603939436</v>
      </c>
      <c r="I746" s="40">
        <v>-6.3418123999096854E-2</v>
      </c>
      <c r="J746" s="40">
        <v>0.13699264447049475</v>
      </c>
    </row>
    <row r="747" spans="1:10" ht="11.25" customHeight="1" x14ac:dyDescent="0.2">
      <c r="A747" s="49">
        <v>44743</v>
      </c>
      <c r="B747" s="39">
        <v>0</v>
      </c>
      <c r="C747" s="39">
        <v>0</v>
      </c>
      <c r="D747" s="39">
        <v>513225.36090000003</v>
      </c>
      <c r="E747" s="39">
        <v>652670.32661274797</v>
      </c>
      <c r="F747" s="39">
        <v>344975.80564999999</v>
      </c>
      <c r="G747" s="39">
        <v>323098.08723059989</v>
      </c>
      <c r="H747" s="40">
        <v>0.27170318603939414</v>
      </c>
      <c r="I747" s="40">
        <v>-6.3418123999097076E-2</v>
      </c>
      <c r="J747" s="40">
        <v>0.13699264447049475</v>
      </c>
    </row>
    <row r="748" spans="1:10" ht="11.25" customHeight="1" x14ac:dyDescent="0.2">
      <c r="A748" s="49">
        <v>44774</v>
      </c>
      <c r="B748" s="39">
        <v>0</v>
      </c>
      <c r="C748" s="39">
        <v>0</v>
      </c>
      <c r="D748" s="39">
        <v>475037.10737999994</v>
      </c>
      <c r="E748" s="39">
        <v>604106.20294208382</v>
      </c>
      <c r="F748" s="39">
        <v>319306.72433</v>
      </c>
      <c r="G748" s="39">
        <v>299056.89089269459</v>
      </c>
      <c r="H748" s="40">
        <v>0.27170318603939436</v>
      </c>
      <c r="I748" s="40">
        <v>-6.3418123999096965E-2</v>
      </c>
      <c r="J748" s="40">
        <v>0.13699264447049475</v>
      </c>
    </row>
    <row r="749" spans="1:10" ht="11.25" customHeight="1" x14ac:dyDescent="0.2">
      <c r="A749" s="49">
        <v>44805</v>
      </c>
      <c r="B749" s="39">
        <v>0</v>
      </c>
      <c r="C749" s="39">
        <v>0</v>
      </c>
      <c r="D749" s="39">
        <v>563963.47199999995</v>
      </c>
      <c r="E749" s="39">
        <v>717194.14415223873</v>
      </c>
      <c r="F749" s="39">
        <v>379080.55199999991</v>
      </c>
      <c r="G749" s="39">
        <v>355039.97454761784</v>
      </c>
      <c r="H749" s="40">
        <v>0.27170318603939436</v>
      </c>
      <c r="I749" s="40">
        <v>-6.3418123999096854E-2</v>
      </c>
      <c r="J749" s="40">
        <v>0.13699264447049475</v>
      </c>
    </row>
    <row r="750" spans="1:10" ht="11.25" customHeight="1" x14ac:dyDescent="0.2">
      <c r="A750" s="49">
        <v>44835</v>
      </c>
      <c r="B750" s="39">
        <v>0</v>
      </c>
      <c r="C750" s="39">
        <v>0</v>
      </c>
      <c r="D750" s="39">
        <v>563963.47199999995</v>
      </c>
      <c r="E750" s="39">
        <v>717194.14415223873</v>
      </c>
      <c r="F750" s="39">
        <v>379080.55199999991</v>
      </c>
      <c r="G750" s="39">
        <v>355039.97454761784</v>
      </c>
      <c r="H750" s="40">
        <v>0.27170318603939436</v>
      </c>
      <c r="I750" s="40">
        <v>-6.3418123999096854E-2</v>
      </c>
      <c r="J750" s="40">
        <v>0.13699264447049475</v>
      </c>
    </row>
    <row r="751" spans="1:10" ht="11.25" customHeight="1" x14ac:dyDescent="0.2">
      <c r="A751" s="44" t="s">
        <v>52</v>
      </c>
      <c r="B751" s="39">
        <v>0</v>
      </c>
      <c r="C751" s="39">
        <v>0</v>
      </c>
      <c r="D751" s="39">
        <v>67968.30365999999</v>
      </c>
      <c r="E751" s="39">
        <v>86435.508314115024</v>
      </c>
      <c r="F751" s="39">
        <v>45686.402310000005</v>
      </c>
      <c r="G751" s="39">
        <v>42789.056383231786</v>
      </c>
      <c r="H751" s="40">
        <v>0.27170318603939458</v>
      </c>
      <c r="I751" s="40">
        <v>-6.3418123999097187E-2</v>
      </c>
      <c r="J751" s="40">
        <v>0.13699264447049475</v>
      </c>
    </row>
    <row r="752" spans="1:10" ht="11.25" customHeight="1" x14ac:dyDescent="0.2">
      <c r="A752" s="45" t="s">
        <v>25</v>
      </c>
      <c r="B752" s="39">
        <v>0</v>
      </c>
      <c r="C752" s="39">
        <v>0</v>
      </c>
      <c r="D752" s="39">
        <v>67968.30365999999</v>
      </c>
      <c r="E752" s="39">
        <v>86435.508314115024</v>
      </c>
      <c r="F752" s="39">
        <v>45686.402310000005</v>
      </c>
      <c r="G752" s="39">
        <v>42789.056383231786</v>
      </c>
      <c r="H752" s="40">
        <v>0.27170318603939458</v>
      </c>
      <c r="I752" s="40">
        <v>-6.3418123999097187E-2</v>
      </c>
      <c r="J752" s="40">
        <v>0.13699264447049475</v>
      </c>
    </row>
    <row r="753" spans="1:10" ht="11.25" customHeight="1" x14ac:dyDescent="0.2">
      <c r="A753" s="46" t="s">
        <v>25</v>
      </c>
      <c r="B753" s="39">
        <v>0</v>
      </c>
      <c r="C753" s="39">
        <v>0</v>
      </c>
      <c r="D753" s="39">
        <v>67968.30365999999</v>
      </c>
      <c r="E753" s="39">
        <v>86435.508314115024</v>
      </c>
      <c r="F753" s="39">
        <v>45686.402310000005</v>
      </c>
      <c r="G753" s="39">
        <v>42789.056383231786</v>
      </c>
      <c r="H753" s="40">
        <v>0.27170318603939458</v>
      </c>
      <c r="I753" s="40">
        <v>-6.3418123999097187E-2</v>
      </c>
      <c r="J753" s="40">
        <v>0.13699264447049475</v>
      </c>
    </row>
    <row r="754" spans="1:10" ht="11.25" customHeight="1" x14ac:dyDescent="0.2">
      <c r="A754" s="47" t="s">
        <v>25</v>
      </c>
      <c r="B754" s="39">
        <v>0</v>
      </c>
      <c r="C754" s="39">
        <v>0</v>
      </c>
      <c r="D754" s="39">
        <v>67968.30365999999</v>
      </c>
      <c r="E754" s="39">
        <v>86435.508314115024</v>
      </c>
      <c r="F754" s="39">
        <v>45686.402310000005</v>
      </c>
      <c r="G754" s="39">
        <v>42789.056383231786</v>
      </c>
      <c r="H754" s="40">
        <v>0.27170318603939458</v>
      </c>
      <c r="I754" s="40">
        <v>-6.3418123999097187E-2</v>
      </c>
      <c r="J754" s="40">
        <v>0.13699264447049475</v>
      </c>
    </row>
    <row r="755" spans="1:10" ht="11.25" customHeight="1" x14ac:dyDescent="0.2">
      <c r="A755" s="48" t="s">
        <v>25</v>
      </c>
      <c r="B755" s="39">
        <v>0</v>
      </c>
      <c r="C755" s="39">
        <v>0</v>
      </c>
      <c r="D755" s="39">
        <v>67968.30365999999</v>
      </c>
      <c r="E755" s="39">
        <v>86435.508314115024</v>
      </c>
      <c r="F755" s="39">
        <v>45686.402310000005</v>
      </c>
      <c r="G755" s="39">
        <v>42789.056383231786</v>
      </c>
      <c r="H755" s="40">
        <v>0.27170318603939458</v>
      </c>
      <c r="I755" s="40">
        <v>-6.3418123999097187E-2</v>
      </c>
      <c r="J755" s="40">
        <v>0.13699264447049475</v>
      </c>
    </row>
    <row r="756" spans="1:10" ht="11.25" customHeight="1" x14ac:dyDescent="0.2">
      <c r="A756" s="49">
        <v>44501</v>
      </c>
      <c r="B756" s="39">
        <v>0</v>
      </c>
      <c r="C756" s="39">
        <v>0</v>
      </c>
      <c r="D756" s="39">
        <v>5961.1728599999997</v>
      </c>
      <c r="E756" s="39">
        <v>7580.8425185935685</v>
      </c>
      <c r="F756" s="39">
        <v>4006.9345099999996</v>
      </c>
      <c r="G756" s="39">
        <v>3752.8222403885588</v>
      </c>
      <c r="H756" s="40">
        <v>0.27170318603939436</v>
      </c>
      <c r="I756" s="40">
        <v>-6.3418123999096965E-2</v>
      </c>
      <c r="J756" s="40">
        <v>0.13699264447049475</v>
      </c>
    </row>
    <row r="757" spans="1:10" ht="11.25" customHeight="1" x14ac:dyDescent="0.2">
      <c r="A757" s="49">
        <v>44531</v>
      </c>
      <c r="B757" s="39">
        <v>0</v>
      </c>
      <c r="C757" s="39">
        <v>0</v>
      </c>
      <c r="D757" s="39">
        <v>5888.6654400000007</v>
      </c>
      <c r="E757" s="39">
        <v>7488.634601568072</v>
      </c>
      <c r="F757" s="39">
        <v>3958.19704</v>
      </c>
      <c r="G757" s="39">
        <v>3707.1756093044214</v>
      </c>
      <c r="H757" s="40">
        <v>0.27170318603939414</v>
      </c>
      <c r="I757" s="40">
        <v>-6.3418123999096965E-2</v>
      </c>
      <c r="J757" s="40">
        <v>0.13699264447049453</v>
      </c>
    </row>
    <row r="758" spans="1:10" ht="11.25" customHeight="1" x14ac:dyDescent="0.2">
      <c r="A758" s="49">
        <v>44562</v>
      </c>
      <c r="B758" s="39">
        <v>0</v>
      </c>
      <c r="C758" s="39">
        <v>0</v>
      </c>
      <c r="D758" s="39">
        <v>5277.0976199999996</v>
      </c>
      <c r="E758" s="39">
        <v>6710.9018563949048</v>
      </c>
      <c r="F758" s="39">
        <v>3547.1181699999997</v>
      </c>
      <c r="G758" s="39">
        <v>3322.1665900554899</v>
      </c>
      <c r="H758" s="40">
        <v>0.27170318603939436</v>
      </c>
      <c r="I758" s="40">
        <v>-6.3418123999096965E-2</v>
      </c>
      <c r="J758" s="40">
        <v>0.13699264447049475</v>
      </c>
    </row>
    <row r="759" spans="1:10" ht="11.25" customHeight="1" x14ac:dyDescent="0.2">
      <c r="A759" s="49">
        <v>44593</v>
      </c>
      <c r="B759" s="39">
        <v>0</v>
      </c>
      <c r="C759" s="39">
        <v>0</v>
      </c>
      <c r="D759" s="39">
        <v>5818.8153599999996</v>
      </c>
      <c r="E759" s="39">
        <v>7399.8060322869651</v>
      </c>
      <c r="F759" s="39">
        <v>3911.2457599999998</v>
      </c>
      <c r="G759" s="39">
        <v>3663.2018914013775</v>
      </c>
      <c r="H759" s="40">
        <v>0.27170318603939436</v>
      </c>
      <c r="I759" s="40">
        <v>-6.3418123999096965E-2</v>
      </c>
      <c r="J759" s="40">
        <v>0.13699264447049475</v>
      </c>
    </row>
    <row r="760" spans="1:10" ht="11.25" customHeight="1" x14ac:dyDescent="0.2">
      <c r="A760" s="49">
        <v>44621</v>
      </c>
      <c r="B760" s="39">
        <v>0</v>
      </c>
      <c r="C760" s="39">
        <v>0</v>
      </c>
      <c r="D760" s="39">
        <v>5389.4651399999993</v>
      </c>
      <c r="E760" s="39">
        <v>6853.7999895862504</v>
      </c>
      <c r="F760" s="39">
        <v>3622.6484899999996</v>
      </c>
      <c r="G760" s="39">
        <v>3392.9069188560384</v>
      </c>
      <c r="H760" s="40">
        <v>0.27170318603939458</v>
      </c>
      <c r="I760" s="40">
        <v>-6.3418123999096965E-2</v>
      </c>
      <c r="J760" s="40">
        <v>0.13699264447049475</v>
      </c>
    </row>
    <row r="761" spans="1:10" ht="11.25" customHeight="1" x14ac:dyDescent="0.2">
      <c r="A761" s="49">
        <v>44652</v>
      </c>
      <c r="B761" s="39">
        <v>0</v>
      </c>
      <c r="C761" s="39">
        <v>0</v>
      </c>
      <c r="D761" s="39">
        <v>6566.2871400000004</v>
      </c>
      <c r="E761" s="39">
        <v>8350.3682763875022</v>
      </c>
      <c r="F761" s="39">
        <v>4413.6754899999996</v>
      </c>
      <c r="G761" s="39">
        <v>4133.7684704834046</v>
      </c>
      <c r="H761" s="40">
        <v>0.27170318603939414</v>
      </c>
      <c r="I761" s="40">
        <v>-6.3418123999096965E-2</v>
      </c>
      <c r="J761" s="40">
        <v>0.13699264447049453</v>
      </c>
    </row>
    <row r="762" spans="1:10" ht="11.25" customHeight="1" x14ac:dyDescent="0.2">
      <c r="A762" s="49">
        <v>44682</v>
      </c>
      <c r="B762" s="39">
        <v>0</v>
      </c>
      <c r="C762" s="39">
        <v>0</v>
      </c>
      <c r="D762" s="39">
        <v>6031.0229399999998</v>
      </c>
      <c r="E762" s="39">
        <v>7669.6710878746753</v>
      </c>
      <c r="F762" s="39">
        <v>4053.8857899999998</v>
      </c>
      <c r="G762" s="39">
        <v>3796.7959582916028</v>
      </c>
      <c r="H762" s="40">
        <v>0.27170318603939436</v>
      </c>
      <c r="I762" s="40">
        <v>-6.3418123999096965E-2</v>
      </c>
      <c r="J762" s="40">
        <v>0.13699264447049497</v>
      </c>
    </row>
    <row r="763" spans="1:10" ht="11.25" customHeight="1" x14ac:dyDescent="0.2">
      <c r="A763" s="49">
        <v>44713</v>
      </c>
      <c r="B763" s="39">
        <v>0</v>
      </c>
      <c r="C763" s="39">
        <v>0</v>
      </c>
      <c r="D763" s="39">
        <v>4861.7933400000002</v>
      </c>
      <c r="E763" s="39">
        <v>6182.7580803431083</v>
      </c>
      <c r="F763" s="39">
        <v>3267.9621899999997</v>
      </c>
      <c r="G763" s="39">
        <v>3060.7141586102193</v>
      </c>
      <c r="H763" s="40">
        <v>0.27170318603939436</v>
      </c>
      <c r="I763" s="40">
        <v>-6.3418123999096965E-2</v>
      </c>
      <c r="J763" s="40">
        <v>0.13699264447049453</v>
      </c>
    </row>
    <row r="764" spans="1:10" ht="11.25" customHeight="1" x14ac:dyDescent="0.2">
      <c r="A764" s="49">
        <v>44743</v>
      </c>
      <c r="B764" s="39">
        <v>0</v>
      </c>
      <c r="C764" s="39">
        <v>0</v>
      </c>
      <c r="D764" s="39">
        <v>5091.8430600000002</v>
      </c>
      <c r="E764" s="39">
        <v>6475.3130422145787</v>
      </c>
      <c r="F764" s="39">
        <v>3422.59521</v>
      </c>
      <c r="G764" s="39">
        <v>3205.5406425735046</v>
      </c>
      <c r="H764" s="40">
        <v>0.27170318603939414</v>
      </c>
      <c r="I764" s="40">
        <v>-6.3418123999096965E-2</v>
      </c>
      <c r="J764" s="40">
        <v>0.13699264447049453</v>
      </c>
    </row>
    <row r="765" spans="1:10" ht="11.25" customHeight="1" x14ac:dyDescent="0.2">
      <c r="A765" s="49">
        <v>44774</v>
      </c>
      <c r="B765" s="39">
        <v>0</v>
      </c>
      <c r="C765" s="39">
        <v>0</v>
      </c>
      <c r="D765" s="39">
        <v>4862.1729599999999</v>
      </c>
      <c r="E765" s="39">
        <v>6183.2408443065924</v>
      </c>
      <c r="F765" s="39">
        <v>3268.2173599999996</v>
      </c>
      <c r="G765" s="39">
        <v>3060.9531462075188</v>
      </c>
      <c r="H765" s="40">
        <v>0.27170318603939436</v>
      </c>
      <c r="I765" s="40">
        <v>-6.3418123999096854E-2</v>
      </c>
      <c r="J765" s="40">
        <v>0.13699264447049475</v>
      </c>
    </row>
    <row r="766" spans="1:10" ht="11.25" customHeight="1" x14ac:dyDescent="0.2">
      <c r="A766" s="49">
        <v>44805</v>
      </c>
      <c r="B766" s="39">
        <v>0</v>
      </c>
      <c r="C766" s="39">
        <v>0</v>
      </c>
      <c r="D766" s="39">
        <v>6109.9838999999993</v>
      </c>
      <c r="E766" s="39">
        <v>7770.0859922794034</v>
      </c>
      <c r="F766" s="39">
        <v>4106.9611499999992</v>
      </c>
      <c r="G766" s="39">
        <v>3846.505378529826</v>
      </c>
      <c r="H766" s="40">
        <v>0.27170318603939436</v>
      </c>
      <c r="I766" s="40">
        <v>-6.3418123999096854E-2</v>
      </c>
      <c r="J766" s="40">
        <v>0.13699264447049475</v>
      </c>
    </row>
    <row r="767" spans="1:10" ht="11.25" customHeight="1" x14ac:dyDescent="0.2">
      <c r="A767" s="49">
        <v>44835</v>
      </c>
      <c r="B767" s="39">
        <v>0</v>
      </c>
      <c r="C767" s="39">
        <v>0</v>
      </c>
      <c r="D767" s="39">
        <v>6109.9838999999993</v>
      </c>
      <c r="E767" s="39">
        <v>7770.0859922794034</v>
      </c>
      <c r="F767" s="39">
        <v>4106.9611499999992</v>
      </c>
      <c r="G767" s="39">
        <v>3846.505378529826</v>
      </c>
      <c r="H767" s="40">
        <v>0.27170318603939436</v>
      </c>
      <c r="I767" s="40">
        <v>-6.3418123999096854E-2</v>
      </c>
      <c r="J767" s="40">
        <v>0.13699264447049475</v>
      </c>
    </row>
    <row r="768" spans="1:10" ht="11.25" customHeight="1" x14ac:dyDescent="0.2">
      <c r="A768" s="44" t="s">
        <v>38</v>
      </c>
      <c r="B768" s="39">
        <v>0</v>
      </c>
      <c r="C768" s="39">
        <v>0</v>
      </c>
      <c r="D768" s="39">
        <v>229504.20606</v>
      </c>
      <c r="E768" s="39">
        <v>291861.23005594366</v>
      </c>
      <c r="F768" s="39">
        <v>154266.34071000002</v>
      </c>
      <c r="G768" s="39">
        <v>144483.05878596628</v>
      </c>
      <c r="H768" s="40">
        <v>0.27170318603939436</v>
      </c>
      <c r="I768" s="40">
        <v>-6.3418123999097298E-2</v>
      </c>
      <c r="J768" s="40">
        <v>0.13699264447049453</v>
      </c>
    </row>
    <row r="769" spans="1:10" ht="11.25" customHeight="1" x14ac:dyDescent="0.2">
      <c r="A769" s="45" t="s">
        <v>25</v>
      </c>
      <c r="B769" s="39">
        <v>0</v>
      </c>
      <c r="C769" s="39">
        <v>0</v>
      </c>
      <c r="D769" s="39">
        <v>229504.20606</v>
      </c>
      <c r="E769" s="39">
        <v>291861.23005594366</v>
      </c>
      <c r="F769" s="39">
        <v>154266.34071000002</v>
      </c>
      <c r="G769" s="39">
        <v>144483.05878596628</v>
      </c>
      <c r="H769" s="40">
        <v>0.27170318603939436</v>
      </c>
      <c r="I769" s="40">
        <v>-6.3418123999097298E-2</v>
      </c>
      <c r="J769" s="40">
        <v>0.13699264447049453</v>
      </c>
    </row>
    <row r="770" spans="1:10" ht="11.25" customHeight="1" x14ac:dyDescent="0.2">
      <c r="A770" s="46" t="s">
        <v>25</v>
      </c>
      <c r="B770" s="39">
        <v>0</v>
      </c>
      <c r="C770" s="39">
        <v>0</v>
      </c>
      <c r="D770" s="39">
        <v>229504.20606</v>
      </c>
      <c r="E770" s="39">
        <v>291861.23005594366</v>
      </c>
      <c r="F770" s="39">
        <v>154266.34071000002</v>
      </c>
      <c r="G770" s="39">
        <v>144483.05878596628</v>
      </c>
      <c r="H770" s="40">
        <v>0.27170318603939436</v>
      </c>
      <c r="I770" s="40">
        <v>-6.3418123999097298E-2</v>
      </c>
      <c r="J770" s="40">
        <v>0.13699264447049453</v>
      </c>
    </row>
    <row r="771" spans="1:10" ht="11.25" customHeight="1" x14ac:dyDescent="0.2">
      <c r="A771" s="47" t="s">
        <v>25</v>
      </c>
      <c r="B771" s="39">
        <v>0</v>
      </c>
      <c r="C771" s="39">
        <v>0</v>
      </c>
      <c r="D771" s="39">
        <v>229504.20606</v>
      </c>
      <c r="E771" s="39">
        <v>291861.23005594366</v>
      </c>
      <c r="F771" s="39">
        <v>154266.34071000002</v>
      </c>
      <c r="G771" s="39">
        <v>144483.05878596628</v>
      </c>
      <c r="H771" s="40">
        <v>0.27170318603939436</v>
      </c>
      <c r="I771" s="40">
        <v>-6.3418123999097298E-2</v>
      </c>
      <c r="J771" s="40">
        <v>0.13699264447049453</v>
      </c>
    </row>
    <row r="772" spans="1:10" ht="11.25" customHeight="1" x14ac:dyDescent="0.2">
      <c r="A772" s="48" t="s">
        <v>25</v>
      </c>
      <c r="B772" s="39">
        <v>0</v>
      </c>
      <c r="C772" s="39">
        <v>0</v>
      </c>
      <c r="D772" s="39">
        <v>229504.20606</v>
      </c>
      <c r="E772" s="39">
        <v>291861.23005594366</v>
      </c>
      <c r="F772" s="39">
        <v>154266.34071000002</v>
      </c>
      <c r="G772" s="39">
        <v>144483.05878596628</v>
      </c>
      <c r="H772" s="40">
        <v>0.27170318603939436</v>
      </c>
      <c r="I772" s="40">
        <v>-6.3418123999097298E-2</v>
      </c>
      <c r="J772" s="40">
        <v>0.13699264447049453</v>
      </c>
    </row>
    <row r="773" spans="1:10" ht="11.25" customHeight="1" x14ac:dyDescent="0.2">
      <c r="A773" s="49">
        <v>44501</v>
      </c>
      <c r="B773" s="39">
        <v>0</v>
      </c>
      <c r="C773" s="39">
        <v>0</v>
      </c>
      <c r="D773" s="39">
        <v>19077.423479999998</v>
      </c>
      <c r="E773" s="39">
        <v>24260.820220938749</v>
      </c>
      <c r="F773" s="39">
        <v>12823.313179999999</v>
      </c>
      <c r="G773" s="39">
        <v>12010.082714671506</v>
      </c>
      <c r="H773" s="40">
        <v>0.27170318603939436</v>
      </c>
      <c r="I773" s="40">
        <v>-6.3418123999096965E-2</v>
      </c>
      <c r="J773" s="40">
        <v>0.13699264447049475</v>
      </c>
    </row>
    <row r="774" spans="1:10" ht="11.25" customHeight="1" x14ac:dyDescent="0.2">
      <c r="A774" s="49">
        <v>44531</v>
      </c>
      <c r="B774" s="39">
        <v>0</v>
      </c>
      <c r="C774" s="39">
        <v>0</v>
      </c>
      <c r="D774" s="39">
        <v>17092.770119999997</v>
      </c>
      <c r="E774" s="39">
        <v>21736.930219842961</v>
      </c>
      <c r="F774" s="39">
        <v>11489.284419999998</v>
      </c>
      <c r="G774" s="39">
        <v>10760.655555991545</v>
      </c>
      <c r="H774" s="40">
        <v>0.27170318603939458</v>
      </c>
      <c r="I774" s="40">
        <v>-6.3418123999096965E-2</v>
      </c>
      <c r="J774" s="40">
        <v>0.13699264447049475</v>
      </c>
    </row>
    <row r="775" spans="1:10" ht="11.25" customHeight="1" x14ac:dyDescent="0.2">
      <c r="A775" s="49">
        <v>44562</v>
      </c>
      <c r="B775" s="39">
        <v>0</v>
      </c>
      <c r="C775" s="39">
        <v>0</v>
      </c>
      <c r="D775" s="39">
        <v>17588.93346</v>
      </c>
      <c r="E775" s="39">
        <v>22367.902720116905</v>
      </c>
      <c r="F775" s="39">
        <v>11822.791609999998</v>
      </c>
      <c r="G775" s="39">
        <v>11073.012345661537</v>
      </c>
      <c r="H775" s="40">
        <v>0.27170318603939414</v>
      </c>
      <c r="I775" s="40">
        <v>-6.3418123999096854E-2</v>
      </c>
      <c r="J775" s="40">
        <v>0.13699264447049453</v>
      </c>
    </row>
    <row r="776" spans="1:10" ht="11.25" customHeight="1" x14ac:dyDescent="0.2">
      <c r="A776" s="49">
        <v>44593</v>
      </c>
      <c r="B776" s="39">
        <v>0</v>
      </c>
      <c r="C776" s="39">
        <v>0</v>
      </c>
      <c r="D776" s="39">
        <v>17128.454400000002</v>
      </c>
      <c r="E776" s="39">
        <v>21782.310032410485</v>
      </c>
      <c r="F776" s="39">
        <v>11513.270399999999</v>
      </c>
      <c r="G776" s="39">
        <v>10783.120390137667</v>
      </c>
      <c r="H776" s="40">
        <v>0.27170318603939436</v>
      </c>
      <c r="I776" s="40">
        <v>-6.3418123999096965E-2</v>
      </c>
      <c r="J776" s="40">
        <v>0.13699264447049475</v>
      </c>
    </row>
    <row r="777" spans="1:10" ht="11.25" customHeight="1" x14ac:dyDescent="0.2">
      <c r="A777" s="49">
        <v>44621</v>
      </c>
      <c r="B777" s="39">
        <v>0</v>
      </c>
      <c r="C777" s="39">
        <v>0</v>
      </c>
      <c r="D777" s="39">
        <v>16844.119020000002</v>
      </c>
      <c r="E777" s="39">
        <v>21420.719823760759</v>
      </c>
      <c r="F777" s="39">
        <v>11322.148070000001</v>
      </c>
      <c r="G777" s="39">
        <v>10604.118679760602</v>
      </c>
      <c r="H777" s="40">
        <v>0.27170318603939414</v>
      </c>
      <c r="I777" s="40">
        <v>-6.3418123999097187E-2</v>
      </c>
      <c r="J777" s="40">
        <v>0.13699264447049453</v>
      </c>
    </row>
    <row r="778" spans="1:10" ht="11.25" customHeight="1" x14ac:dyDescent="0.2">
      <c r="A778" s="49">
        <v>44652</v>
      </c>
      <c r="B778" s="39">
        <v>0</v>
      </c>
      <c r="C778" s="39">
        <v>0</v>
      </c>
      <c r="D778" s="39">
        <v>18360.700920000003</v>
      </c>
      <c r="E778" s="39">
        <v>23349.361857880438</v>
      </c>
      <c r="F778" s="39">
        <v>12341.552220000001</v>
      </c>
      <c r="G778" s="39">
        <v>11558.874130970709</v>
      </c>
      <c r="H778" s="40">
        <v>0.27170318603939414</v>
      </c>
      <c r="I778" s="40">
        <v>-6.3418123999097076E-2</v>
      </c>
      <c r="J778" s="40">
        <v>0.13699264447049453</v>
      </c>
    </row>
    <row r="779" spans="1:10" ht="11.25" customHeight="1" x14ac:dyDescent="0.2">
      <c r="A779" s="49">
        <v>44682</v>
      </c>
      <c r="B779" s="39">
        <v>0</v>
      </c>
      <c r="C779" s="39">
        <v>0</v>
      </c>
      <c r="D779" s="39">
        <v>16632.29106</v>
      </c>
      <c r="E779" s="39">
        <v>21151.337532136538</v>
      </c>
      <c r="F779" s="39">
        <v>11179.763209999999</v>
      </c>
      <c r="G779" s="39">
        <v>10470.763600467677</v>
      </c>
      <c r="H779" s="40">
        <v>0.27170318603939458</v>
      </c>
      <c r="I779" s="40">
        <v>-6.3418123999096965E-2</v>
      </c>
      <c r="J779" s="40">
        <v>0.13699264447049475</v>
      </c>
    </row>
    <row r="780" spans="1:10" ht="11.25" customHeight="1" x14ac:dyDescent="0.2">
      <c r="A780" s="49">
        <v>44713</v>
      </c>
      <c r="B780" s="39">
        <v>0</v>
      </c>
      <c r="C780" s="39">
        <v>0</v>
      </c>
      <c r="D780" s="39">
        <v>18888.752339999999</v>
      </c>
      <c r="E780" s="39">
        <v>24020.886531087064</v>
      </c>
      <c r="F780" s="39">
        <v>12696.493689999999</v>
      </c>
      <c r="G780" s="39">
        <v>11891.305878813828</v>
      </c>
      <c r="H780" s="40">
        <v>0.27170318603939436</v>
      </c>
      <c r="I780" s="40">
        <v>-6.3418123999096965E-2</v>
      </c>
      <c r="J780" s="40">
        <v>0.13699264447049453</v>
      </c>
    </row>
    <row r="781" spans="1:10" ht="11.25" customHeight="1" x14ac:dyDescent="0.2">
      <c r="A781" s="49">
        <v>44743</v>
      </c>
      <c r="B781" s="39">
        <v>0</v>
      </c>
      <c r="C781" s="39">
        <v>0</v>
      </c>
      <c r="D781" s="39">
        <v>23187.189600000002</v>
      </c>
      <c r="E781" s="39">
        <v>29487.222889619512</v>
      </c>
      <c r="F781" s="39">
        <v>15585.783599999999</v>
      </c>
      <c r="G781" s="39">
        <v>14597.362443032109</v>
      </c>
      <c r="H781" s="40">
        <v>0.27170318603939436</v>
      </c>
      <c r="I781" s="40">
        <v>-6.3418123999096854E-2</v>
      </c>
      <c r="J781" s="40">
        <v>0.13699264447049475</v>
      </c>
    </row>
    <row r="782" spans="1:10" ht="11.25" customHeight="1" x14ac:dyDescent="0.2">
      <c r="A782" s="49">
        <v>44774</v>
      </c>
      <c r="B782" s="39">
        <v>0</v>
      </c>
      <c r="C782" s="39">
        <v>0</v>
      </c>
      <c r="D782" s="39">
        <v>20265.254459999996</v>
      </c>
      <c r="E782" s="39">
        <v>25771.388662681045</v>
      </c>
      <c r="F782" s="39">
        <v>13621.740109999997</v>
      </c>
      <c r="G782" s="39">
        <v>12757.874906620547</v>
      </c>
      <c r="H782" s="40">
        <v>0.27170318603939458</v>
      </c>
      <c r="I782" s="40">
        <v>-6.3418123999096743E-2</v>
      </c>
      <c r="J782" s="40">
        <v>0.13699264447049475</v>
      </c>
    </row>
    <row r="783" spans="1:10" ht="11.25" customHeight="1" x14ac:dyDescent="0.2">
      <c r="A783" s="49">
        <v>44805</v>
      </c>
      <c r="B783" s="39">
        <v>0</v>
      </c>
      <c r="C783" s="39">
        <v>0</v>
      </c>
      <c r="D783" s="39">
        <v>22219.158600000002</v>
      </c>
      <c r="E783" s="39">
        <v>28256.174782734608</v>
      </c>
      <c r="F783" s="39">
        <v>14935.1001</v>
      </c>
      <c r="G783" s="39">
        <v>13987.944069919273</v>
      </c>
      <c r="H783" s="40">
        <v>0.27170318603939414</v>
      </c>
      <c r="I783" s="40">
        <v>-6.3418123999097076E-2</v>
      </c>
      <c r="J783" s="40">
        <v>0.13699264447049453</v>
      </c>
    </row>
    <row r="784" spans="1:10" ht="11.25" customHeight="1" x14ac:dyDescent="0.2">
      <c r="A784" s="49">
        <v>44835</v>
      </c>
      <c r="B784" s="39">
        <v>0</v>
      </c>
      <c r="C784" s="39">
        <v>0</v>
      </c>
      <c r="D784" s="39">
        <v>22219.158600000002</v>
      </c>
      <c r="E784" s="39">
        <v>28256.174782734608</v>
      </c>
      <c r="F784" s="39">
        <v>14935.1001</v>
      </c>
      <c r="G784" s="39">
        <v>13987.944069919273</v>
      </c>
      <c r="H784" s="40">
        <v>0.27170318603939414</v>
      </c>
      <c r="I784" s="40">
        <v>-6.3418123999097076E-2</v>
      </c>
      <c r="J784" s="40">
        <v>0.13699264447049453</v>
      </c>
    </row>
    <row r="785" spans="1:10" ht="11.25" customHeight="1" x14ac:dyDescent="0.2">
      <c r="A785" s="44" t="s">
        <v>46</v>
      </c>
      <c r="B785" s="39">
        <v>0</v>
      </c>
      <c r="C785" s="39">
        <v>0</v>
      </c>
      <c r="D785" s="39">
        <v>1697769.59094</v>
      </c>
      <c r="E785" s="39">
        <v>2159058.9979591975</v>
      </c>
      <c r="F785" s="39">
        <v>1141193.47379</v>
      </c>
      <c r="G785" s="39">
        <v>1068821.1245622253</v>
      </c>
      <c r="H785" s="40">
        <v>0.2717031860393937</v>
      </c>
      <c r="I785" s="40">
        <v>-6.3418123999096965E-2</v>
      </c>
      <c r="J785" s="40">
        <v>0.13699264447049431</v>
      </c>
    </row>
    <row r="786" spans="1:10" ht="11.25" customHeight="1" x14ac:dyDescent="0.2">
      <c r="A786" s="45" t="s">
        <v>25</v>
      </c>
      <c r="B786" s="39">
        <v>0</v>
      </c>
      <c r="C786" s="39">
        <v>0</v>
      </c>
      <c r="D786" s="39">
        <v>1697769.59094</v>
      </c>
      <c r="E786" s="39">
        <v>2159058.9979591975</v>
      </c>
      <c r="F786" s="39">
        <v>1141193.47379</v>
      </c>
      <c r="G786" s="39">
        <v>1068821.1245622253</v>
      </c>
      <c r="H786" s="40">
        <v>0.2717031860393937</v>
      </c>
      <c r="I786" s="40">
        <v>-6.3418123999096965E-2</v>
      </c>
      <c r="J786" s="40">
        <v>0.13699264447049431</v>
      </c>
    </row>
    <row r="787" spans="1:10" ht="11.25" customHeight="1" x14ac:dyDescent="0.2">
      <c r="A787" s="46" t="s">
        <v>25</v>
      </c>
      <c r="B787" s="39">
        <v>0</v>
      </c>
      <c r="C787" s="39">
        <v>0</v>
      </c>
      <c r="D787" s="39">
        <v>1697769.59094</v>
      </c>
      <c r="E787" s="39">
        <v>2159058.9979591975</v>
      </c>
      <c r="F787" s="39">
        <v>1141193.47379</v>
      </c>
      <c r="G787" s="39">
        <v>1068821.1245622253</v>
      </c>
      <c r="H787" s="40">
        <v>0.2717031860393937</v>
      </c>
      <c r="I787" s="40">
        <v>-6.3418123999096965E-2</v>
      </c>
      <c r="J787" s="40">
        <v>0.13699264447049431</v>
      </c>
    </row>
    <row r="788" spans="1:10" ht="11.25" customHeight="1" x14ac:dyDescent="0.2">
      <c r="A788" s="47" t="s">
        <v>25</v>
      </c>
      <c r="B788" s="39">
        <v>0</v>
      </c>
      <c r="C788" s="39">
        <v>0</v>
      </c>
      <c r="D788" s="39">
        <v>1697769.59094</v>
      </c>
      <c r="E788" s="39">
        <v>2159058.9979591975</v>
      </c>
      <c r="F788" s="39">
        <v>1141193.47379</v>
      </c>
      <c r="G788" s="39">
        <v>1068821.1245622253</v>
      </c>
      <c r="H788" s="40">
        <v>0.2717031860393937</v>
      </c>
      <c r="I788" s="40">
        <v>-6.3418123999096965E-2</v>
      </c>
      <c r="J788" s="40">
        <v>0.13699264447049431</v>
      </c>
    </row>
    <row r="789" spans="1:10" ht="11.25" customHeight="1" x14ac:dyDescent="0.2">
      <c r="A789" s="48" t="s">
        <v>25</v>
      </c>
      <c r="B789" s="39">
        <v>0</v>
      </c>
      <c r="C789" s="39">
        <v>0</v>
      </c>
      <c r="D789" s="39">
        <v>1697769.59094</v>
      </c>
      <c r="E789" s="39">
        <v>2159058.9979591975</v>
      </c>
      <c r="F789" s="39">
        <v>1141193.47379</v>
      </c>
      <c r="G789" s="39">
        <v>1068821.1245622253</v>
      </c>
      <c r="H789" s="40">
        <v>0.2717031860393937</v>
      </c>
      <c r="I789" s="40">
        <v>-6.3418123999096965E-2</v>
      </c>
      <c r="J789" s="40">
        <v>0.13699264447049431</v>
      </c>
    </row>
    <row r="790" spans="1:10" ht="11.25" customHeight="1" x14ac:dyDescent="0.2">
      <c r="A790" s="49">
        <v>44501</v>
      </c>
      <c r="B790" s="39">
        <v>0</v>
      </c>
      <c r="C790" s="39">
        <v>0</v>
      </c>
      <c r="D790" s="39">
        <v>149667.84234</v>
      </c>
      <c r="E790" s="39">
        <v>190333.07195141976</v>
      </c>
      <c r="F790" s="39">
        <v>100602.55868999999</v>
      </c>
      <c r="G790" s="39">
        <v>94222.533148371149</v>
      </c>
      <c r="H790" s="40">
        <v>0.27170318603939436</v>
      </c>
      <c r="I790" s="40">
        <v>-6.3418123999096854E-2</v>
      </c>
      <c r="J790" s="40">
        <v>0.13699264447049453</v>
      </c>
    </row>
    <row r="791" spans="1:10" ht="11.25" customHeight="1" x14ac:dyDescent="0.2">
      <c r="A791" s="49">
        <v>44531</v>
      </c>
      <c r="B791" s="39">
        <v>0</v>
      </c>
      <c r="C791" s="39">
        <v>0</v>
      </c>
      <c r="D791" s="39">
        <v>149105.62512000001</v>
      </c>
      <c r="E791" s="39">
        <v>189618.09852149955</v>
      </c>
      <c r="F791" s="39">
        <v>100224.65192</v>
      </c>
      <c r="G791" s="39">
        <v>93868.59251677111</v>
      </c>
      <c r="H791" s="40">
        <v>0.27170318603939414</v>
      </c>
      <c r="I791" s="40">
        <v>-6.3418123999096965E-2</v>
      </c>
      <c r="J791" s="40">
        <v>0.13699264447049453</v>
      </c>
    </row>
    <row r="792" spans="1:10" ht="11.25" customHeight="1" x14ac:dyDescent="0.2">
      <c r="A792" s="49">
        <v>44562</v>
      </c>
      <c r="B792" s="39">
        <v>0</v>
      </c>
      <c r="C792" s="39">
        <v>0</v>
      </c>
      <c r="D792" s="39">
        <v>127610.02223999999</v>
      </c>
      <c r="E792" s="39">
        <v>162282.07185316595</v>
      </c>
      <c r="F792" s="39">
        <v>85775.905839999992</v>
      </c>
      <c r="G792" s="39">
        <v>80336.158807304004</v>
      </c>
      <c r="H792" s="40">
        <v>0.27170318603939436</v>
      </c>
      <c r="I792" s="40">
        <v>-6.3418123999096965E-2</v>
      </c>
      <c r="J792" s="40">
        <v>0.13699264447049475</v>
      </c>
    </row>
    <row r="793" spans="1:10" ht="11.25" customHeight="1" x14ac:dyDescent="0.2">
      <c r="A793" s="49">
        <v>44593</v>
      </c>
      <c r="B793" s="39">
        <v>0</v>
      </c>
      <c r="C793" s="39">
        <v>0</v>
      </c>
      <c r="D793" s="39">
        <v>138568.51277999999</v>
      </c>
      <c r="E793" s="39">
        <v>176218.01918706653</v>
      </c>
      <c r="F793" s="39">
        <v>93141.898229999992</v>
      </c>
      <c r="G793" s="39">
        <v>87235.013778538589</v>
      </c>
      <c r="H793" s="40">
        <v>0.27170318603939436</v>
      </c>
      <c r="I793" s="40">
        <v>-6.3418123999096854E-2</v>
      </c>
      <c r="J793" s="40">
        <v>0.13699264447049475</v>
      </c>
    </row>
    <row r="794" spans="1:10" ht="11.25" customHeight="1" x14ac:dyDescent="0.2">
      <c r="A794" s="49">
        <v>44621</v>
      </c>
      <c r="B794" s="39">
        <v>0</v>
      </c>
      <c r="C794" s="39">
        <v>0</v>
      </c>
      <c r="D794" s="39">
        <v>134834.95008000001</v>
      </c>
      <c r="E794" s="39">
        <v>171470.03560619871</v>
      </c>
      <c r="F794" s="39">
        <v>90632.30128</v>
      </c>
      <c r="G794" s="39">
        <v>84884.570759101451</v>
      </c>
      <c r="H794" s="40">
        <v>0.27170318603939436</v>
      </c>
      <c r="I794" s="40">
        <v>-6.3418123999096854E-2</v>
      </c>
      <c r="J794" s="40">
        <v>0.13699264447049475</v>
      </c>
    </row>
    <row r="795" spans="1:10" ht="11.25" customHeight="1" x14ac:dyDescent="0.2">
      <c r="A795" s="49">
        <v>44652</v>
      </c>
      <c r="B795" s="39">
        <v>0</v>
      </c>
      <c r="C795" s="39">
        <v>0</v>
      </c>
      <c r="D795" s="39">
        <v>180568.15109999999</v>
      </c>
      <c r="E795" s="39">
        <v>229629.09305111275</v>
      </c>
      <c r="F795" s="39">
        <v>121372.88634999999</v>
      </c>
      <c r="G795" s="39">
        <v>113675.64559332738</v>
      </c>
      <c r="H795" s="40">
        <v>0.27170318603939436</v>
      </c>
      <c r="I795" s="40">
        <v>-6.3418123999096965E-2</v>
      </c>
      <c r="J795" s="40">
        <v>0.13699264447049475</v>
      </c>
    </row>
    <row r="796" spans="1:10" ht="11.25" customHeight="1" x14ac:dyDescent="0.2">
      <c r="A796" s="49">
        <v>44682</v>
      </c>
      <c r="B796" s="39">
        <v>0</v>
      </c>
      <c r="C796" s="39">
        <v>0</v>
      </c>
      <c r="D796" s="39">
        <v>159018.64218</v>
      </c>
      <c r="E796" s="39">
        <v>202224.51389996443</v>
      </c>
      <c r="F796" s="39">
        <v>106887.90613</v>
      </c>
      <c r="G796" s="39">
        <v>100109.27564504382</v>
      </c>
      <c r="H796" s="40">
        <v>0.27170318603939436</v>
      </c>
      <c r="I796" s="40">
        <v>-6.3418123999097076E-2</v>
      </c>
      <c r="J796" s="40">
        <v>0.13699264447049453</v>
      </c>
    </row>
    <row r="797" spans="1:10" ht="11.25" customHeight="1" x14ac:dyDescent="0.2">
      <c r="A797" s="49">
        <v>44713</v>
      </c>
      <c r="B797" s="39">
        <v>0</v>
      </c>
      <c r="C797" s="39">
        <v>0</v>
      </c>
      <c r="D797" s="39">
        <v>119978.90100000001</v>
      </c>
      <c r="E797" s="39">
        <v>152577.5506592051</v>
      </c>
      <c r="F797" s="39">
        <v>80646.478499999997</v>
      </c>
      <c r="G797" s="39">
        <v>75532.030126396494</v>
      </c>
      <c r="H797" s="40">
        <v>0.27170318603939436</v>
      </c>
      <c r="I797" s="40">
        <v>-6.3418123999096965E-2</v>
      </c>
      <c r="J797" s="40">
        <v>0.13699264447049453</v>
      </c>
    </row>
    <row r="798" spans="1:10" ht="11.25" customHeight="1" x14ac:dyDescent="0.2">
      <c r="A798" s="49">
        <v>44743</v>
      </c>
      <c r="B798" s="39">
        <v>0</v>
      </c>
      <c r="C798" s="39">
        <v>0</v>
      </c>
      <c r="D798" s="39">
        <v>113206.48020000001</v>
      </c>
      <c r="E798" s="39">
        <v>143965.0415506456</v>
      </c>
      <c r="F798" s="39">
        <v>76094.245700000014</v>
      </c>
      <c r="G798" s="39">
        <v>71268.491390579642</v>
      </c>
      <c r="H798" s="40">
        <v>0.27170318603939414</v>
      </c>
      <c r="I798" s="40">
        <v>-6.3418123999097187E-2</v>
      </c>
      <c r="J798" s="40">
        <v>0.13699264447049453</v>
      </c>
    </row>
    <row r="799" spans="1:10" ht="11.25" customHeight="1" x14ac:dyDescent="0.2">
      <c r="A799" s="49">
        <v>44774</v>
      </c>
      <c r="B799" s="39">
        <v>0</v>
      </c>
      <c r="C799" s="39">
        <v>0</v>
      </c>
      <c r="D799" s="39">
        <v>106656.13710000001</v>
      </c>
      <c r="E799" s="39">
        <v>135634.94936072448</v>
      </c>
      <c r="F799" s="39">
        <v>71691.287349999999</v>
      </c>
      <c r="G799" s="39">
        <v>67144.760399182822</v>
      </c>
      <c r="H799" s="40">
        <v>0.27170318603939458</v>
      </c>
      <c r="I799" s="40">
        <v>-6.3418123999096743E-2</v>
      </c>
      <c r="J799" s="40">
        <v>0.13699264447049497</v>
      </c>
    </row>
    <row r="800" spans="1:10" ht="11.25" customHeight="1" x14ac:dyDescent="0.2">
      <c r="A800" s="49">
        <v>44805</v>
      </c>
      <c r="B800" s="39">
        <v>0</v>
      </c>
      <c r="C800" s="39">
        <v>0</v>
      </c>
      <c r="D800" s="39">
        <v>159277.16339999999</v>
      </c>
      <c r="E800" s="39">
        <v>202553.27615909721</v>
      </c>
      <c r="F800" s="39">
        <v>107061.67690000001</v>
      </c>
      <c r="G800" s="39">
        <v>100272.02619880454</v>
      </c>
      <c r="H800" s="40">
        <v>0.27170318603939436</v>
      </c>
      <c r="I800" s="40">
        <v>-6.3418123999097076E-2</v>
      </c>
      <c r="J800" s="40">
        <v>0.13699264447049475</v>
      </c>
    </row>
    <row r="801" spans="1:10" ht="11.25" customHeight="1" x14ac:dyDescent="0.2">
      <c r="A801" s="49">
        <v>44835</v>
      </c>
      <c r="B801" s="39">
        <v>0</v>
      </c>
      <c r="C801" s="39">
        <v>0</v>
      </c>
      <c r="D801" s="39">
        <v>159277.16339999999</v>
      </c>
      <c r="E801" s="39">
        <v>202553.27615909721</v>
      </c>
      <c r="F801" s="39">
        <v>107061.67690000001</v>
      </c>
      <c r="G801" s="39">
        <v>100272.02619880454</v>
      </c>
      <c r="H801" s="40">
        <v>0.27170318603939436</v>
      </c>
      <c r="I801" s="40">
        <v>-6.3418123999097076E-2</v>
      </c>
      <c r="J801" s="40">
        <v>0.13699264447049475</v>
      </c>
    </row>
    <row r="802" spans="1:10" ht="11.25" customHeight="1" x14ac:dyDescent="0.2">
      <c r="A802" s="44" t="s">
        <v>50</v>
      </c>
      <c r="B802" s="39">
        <v>0</v>
      </c>
      <c r="C802" s="39">
        <v>0</v>
      </c>
      <c r="D802" s="39">
        <v>557703.90263520007</v>
      </c>
      <c r="E802" s="39">
        <v>709233.82984778797</v>
      </c>
      <c r="F802" s="39">
        <v>374873.04366320005</v>
      </c>
      <c r="G802" s="39">
        <v>351099.29849624826</v>
      </c>
      <c r="H802" s="40">
        <v>0.27170318603939414</v>
      </c>
      <c r="I802" s="40">
        <v>-6.3418123999097187E-2</v>
      </c>
      <c r="J802" s="40">
        <v>0.13699264447049431</v>
      </c>
    </row>
    <row r="803" spans="1:10" ht="11.25" customHeight="1" x14ac:dyDescent="0.2">
      <c r="A803" s="45" t="s">
        <v>51</v>
      </c>
      <c r="B803" s="39">
        <v>0</v>
      </c>
      <c r="C803" s="39">
        <v>0</v>
      </c>
      <c r="D803" s="39">
        <v>557703.90263520007</v>
      </c>
      <c r="E803" s="39">
        <v>709233.82984778797</v>
      </c>
      <c r="F803" s="39">
        <v>374873.04366320005</v>
      </c>
      <c r="G803" s="39">
        <v>351099.29849624826</v>
      </c>
      <c r="H803" s="40">
        <v>0.27170318603939414</v>
      </c>
      <c r="I803" s="40">
        <v>-6.3418123999097187E-2</v>
      </c>
      <c r="J803" s="40">
        <v>0.13699264447049431</v>
      </c>
    </row>
    <row r="804" spans="1:10" ht="11.25" customHeight="1" x14ac:dyDescent="0.2">
      <c r="A804" s="46" t="s">
        <v>25</v>
      </c>
      <c r="B804" s="39">
        <v>0</v>
      </c>
      <c r="C804" s="39">
        <v>0</v>
      </c>
      <c r="D804" s="39">
        <v>557703.90263520007</v>
      </c>
      <c r="E804" s="39">
        <v>709233.82984778797</v>
      </c>
      <c r="F804" s="39">
        <v>374873.04366320005</v>
      </c>
      <c r="G804" s="39">
        <v>351099.29849624826</v>
      </c>
      <c r="H804" s="40">
        <v>0.27170318603939414</v>
      </c>
      <c r="I804" s="40">
        <v>-6.3418123999097187E-2</v>
      </c>
      <c r="J804" s="40">
        <v>0.13699264447049431</v>
      </c>
    </row>
    <row r="805" spans="1:10" ht="11.25" customHeight="1" x14ac:dyDescent="0.2">
      <c r="A805" s="47" t="s">
        <v>25</v>
      </c>
      <c r="B805" s="39">
        <v>0</v>
      </c>
      <c r="C805" s="39">
        <v>0</v>
      </c>
      <c r="D805" s="39">
        <v>557703.90263520007</v>
      </c>
      <c r="E805" s="39">
        <v>709233.82984778797</v>
      </c>
      <c r="F805" s="39">
        <v>374873.04366320005</v>
      </c>
      <c r="G805" s="39">
        <v>351099.29849624826</v>
      </c>
      <c r="H805" s="40">
        <v>0.27170318603939414</v>
      </c>
      <c r="I805" s="40">
        <v>-6.3418123999097187E-2</v>
      </c>
      <c r="J805" s="40">
        <v>0.13699264447049431</v>
      </c>
    </row>
    <row r="806" spans="1:10" ht="11.25" customHeight="1" x14ac:dyDescent="0.2">
      <c r="A806" s="48" t="s">
        <v>25</v>
      </c>
      <c r="B806" s="39">
        <v>0</v>
      </c>
      <c r="C806" s="39">
        <v>0</v>
      </c>
      <c r="D806" s="39">
        <v>557703.90263520007</v>
      </c>
      <c r="E806" s="39">
        <v>709233.82984778797</v>
      </c>
      <c r="F806" s="39">
        <v>374873.04366320005</v>
      </c>
      <c r="G806" s="39">
        <v>351099.29849624826</v>
      </c>
      <c r="H806" s="40">
        <v>0.27170318603939414</v>
      </c>
      <c r="I806" s="40">
        <v>-6.3418123999097187E-2</v>
      </c>
      <c r="J806" s="40">
        <v>0.13699264447049431</v>
      </c>
    </row>
    <row r="807" spans="1:10" ht="11.25" customHeight="1" x14ac:dyDescent="0.2">
      <c r="A807" s="49">
        <v>44501</v>
      </c>
      <c r="B807" s="39">
        <v>0</v>
      </c>
      <c r="C807" s="39">
        <v>0</v>
      </c>
      <c r="D807" s="39">
        <v>48695.482173599994</v>
      </c>
      <c r="E807" s="39">
        <v>61926.199825891643</v>
      </c>
      <c r="F807" s="39">
        <v>32731.748027599991</v>
      </c>
      <c r="G807" s="39">
        <v>30655.961972478461</v>
      </c>
      <c r="H807" s="40">
        <v>0.27170318603939436</v>
      </c>
      <c r="I807" s="40">
        <v>-6.3418123999096854E-2</v>
      </c>
      <c r="J807" s="40">
        <v>0.13699264447049475</v>
      </c>
    </row>
    <row r="808" spans="1:10" ht="11.25" customHeight="1" x14ac:dyDescent="0.2">
      <c r="A808" s="49">
        <v>44531</v>
      </c>
      <c r="B808" s="39">
        <v>0</v>
      </c>
      <c r="C808" s="39">
        <v>0</v>
      </c>
      <c r="D808" s="39">
        <v>45294.413446799997</v>
      </c>
      <c r="E808" s="39">
        <v>57601.049890081136</v>
      </c>
      <c r="F808" s="39">
        <v>30445.644273799993</v>
      </c>
      <c r="G808" s="39">
        <v>28514.838630011753</v>
      </c>
      <c r="H808" s="40">
        <v>0.27170318603939414</v>
      </c>
      <c r="I808" s="40">
        <v>-6.3418123999096854E-2</v>
      </c>
      <c r="J808" s="40">
        <v>0.13699264447049475</v>
      </c>
    </row>
    <row r="809" spans="1:10" ht="11.25" customHeight="1" x14ac:dyDescent="0.2">
      <c r="A809" s="49">
        <v>44562</v>
      </c>
      <c r="B809" s="39">
        <v>0</v>
      </c>
      <c r="C809" s="39">
        <v>0</v>
      </c>
      <c r="D809" s="39">
        <v>45661.604687999999</v>
      </c>
      <c r="E809" s="39">
        <v>58068.00816140094</v>
      </c>
      <c r="F809" s="39">
        <v>30692.460007999998</v>
      </c>
      <c r="G809" s="39">
        <v>28746.00177337533</v>
      </c>
      <c r="H809" s="40">
        <v>0.27170318603939414</v>
      </c>
      <c r="I809" s="40">
        <v>-6.3418123999096965E-2</v>
      </c>
      <c r="J809" s="40">
        <v>0.13699264447049453</v>
      </c>
    </row>
    <row r="810" spans="1:10" ht="11.25" customHeight="1" x14ac:dyDescent="0.2">
      <c r="A810" s="49">
        <v>44593</v>
      </c>
      <c r="B810" s="39">
        <v>0</v>
      </c>
      <c r="C810" s="39">
        <v>0</v>
      </c>
      <c r="D810" s="39">
        <v>42804.364388399998</v>
      </c>
      <c r="E810" s="39">
        <v>54434.446569119471</v>
      </c>
      <c r="F810" s="39">
        <v>28771.902589399997</v>
      </c>
      <c r="G810" s="39">
        <v>26947.242503295492</v>
      </c>
      <c r="H810" s="40">
        <v>0.27170318603939436</v>
      </c>
      <c r="I810" s="40">
        <v>-6.3418123999096854E-2</v>
      </c>
      <c r="J810" s="40">
        <v>0.13699264447049475</v>
      </c>
    </row>
    <row r="811" spans="1:10" ht="11.25" customHeight="1" x14ac:dyDescent="0.2">
      <c r="A811" s="49">
        <v>44621</v>
      </c>
      <c r="B811" s="39">
        <v>0</v>
      </c>
      <c r="C811" s="39">
        <v>0</v>
      </c>
      <c r="D811" s="39">
        <v>40408.878671999999</v>
      </c>
      <c r="E811" s="39">
        <v>51388.099751461727</v>
      </c>
      <c r="F811" s="39">
        <v>27161.723751999998</v>
      </c>
      <c r="G811" s="39">
        <v>25439.178187066445</v>
      </c>
      <c r="H811" s="40">
        <v>0.27170318603939436</v>
      </c>
      <c r="I811" s="40">
        <v>-6.3418123999096965E-2</v>
      </c>
      <c r="J811" s="40">
        <v>0.13699264447049475</v>
      </c>
    </row>
    <row r="812" spans="1:10" ht="11.25" customHeight="1" x14ac:dyDescent="0.2">
      <c r="A812" s="49">
        <v>44652</v>
      </c>
      <c r="B812" s="39">
        <v>0</v>
      </c>
      <c r="C812" s="39">
        <v>0</v>
      </c>
      <c r="D812" s="39">
        <v>45932.448373200001</v>
      </c>
      <c r="E812" s="39">
        <v>58412.44093878843</v>
      </c>
      <c r="F812" s="39">
        <v>30874.513596199999</v>
      </c>
      <c r="G812" s="39">
        <v>28916.50986454438</v>
      </c>
      <c r="H812" s="40">
        <v>0.27170318603939414</v>
      </c>
      <c r="I812" s="40">
        <v>-6.3418123999097076E-2</v>
      </c>
      <c r="J812" s="40">
        <v>0.13699264447049475</v>
      </c>
    </row>
    <row r="813" spans="1:10" ht="11.25" customHeight="1" x14ac:dyDescent="0.2">
      <c r="A813" s="49">
        <v>44682</v>
      </c>
      <c r="B813" s="39">
        <v>0</v>
      </c>
      <c r="C813" s="39">
        <v>0</v>
      </c>
      <c r="D813" s="39">
        <v>48876.758315999999</v>
      </c>
      <c r="E813" s="39">
        <v>62156.729273734665</v>
      </c>
      <c r="F813" s="39">
        <v>32853.596806000001</v>
      </c>
      <c r="G813" s="39">
        <v>30770.083329940757</v>
      </c>
      <c r="H813" s="40">
        <v>0.27170318603939436</v>
      </c>
      <c r="I813" s="40">
        <v>-6.3418123999096965E-2</v>
      </c>
      <c r="J813" s="40">
        <v>0.13699264447049453</v>
      </c>
    </row>
    <row r="814" spans="1:10" ht="11.25" customHeight="1" x14ac:dyDescent="0.2">
      <c r="A814" s="49">
        <v>44713</v>
      </c>
      <c r="B814" s="39">
        <v>0</v>
      </c>
      <c r="C814" s="39">
        <v>0</v>
      </c>
      <c r="D814" s="39">
        <v>43280.392683600003</v>
      </c>
      <c r="E814" s="39">
        <v>55039.813268770216</v>
      </c>
      <c r="F814" s="39">
        <v>29091.875562599998</v>
      </c>
      <c r="G814" s="39">
        <v>27246.923390804735</v>
      </c>
      <c r="H814" s="40">
        <v>0.27170318603939436</v>
      </c>
      <c r="I814" s="40">
        <v>-6.3418123999096854E-2</v>
      </c>
      <c r="J814" s="40">
        <v>0.13699264447049475</v>
      </c>
    </row>
    <row r="815" spans="1:10" ht="11.25" customHeight="1" x14ac:dyDescent="0.2">
      <c r="A815" s="49">
        <v>44743</v>
      </c>
      <c r="B815" s="39">
        <v>0</v>
      </c>
      <c r="C815" s="39">
        <v>0</v>
      </c>
      <c r="D815" s="39">
        <v>48063.156731999996</v>
      </c>
      <c r="E815" s="39">
        <v>61122.069547195162</v>
      </c>
      <c r="F815" s="39">
        <v>32306.716461999997</v>
      </c>
      <c r="G815" s="39">
        <v>30257.885111409214</v>
      </c>
      <c r="H815" s="40">
        <v>0.27170318603939436</v>
      </c>
      <c r="I815" s="40">
        <v>-6.3418123999096965E-2</v>
      </c>
      <c r="J815" s="40">
        <v>0.13699264447049475</v>
      </c>
    </row>
    <row r="816" spans="1:10" ht="11.25" customHeight="1" x14ac:dyDescent="0.2">
      <c r="A816" s="49">
        <v>44774</v>
      </c>
      <c r="B816" s="39">
        <v>0</v>
      </c>
      <c r="C816" s="39">
        <v>0</v>
      </c>
      <c r="D816" s="39">
        <v>48300.814036800002</v>
      </c>
      <c r="E816" s="39">
        <v>61424.299098894859</v>
      </c>
      <c r="F816" s="39">
        <v>32466.463088799999</v>
      </c>
      <c r="G816" s="39">
        <v>30407.500906822377</v>
      </c>
      <c r="H816" s="40">
        <v>0.27170318603939436</v>
      </c>
      <c r="I816" s="40">
        <v>-6.3418123999096965E-2</v>
      </c>
      <c r="J816" s="40">
        <v>0.13699264447049453</v>
      </c>
    </row>
    <row r="817" spans="1:10" ht="11.25" customHeight="1" x14ac:dyDescent="0.2">
      <c r="A817" s="49">
        <v>44805</v>
      </c>
      <c r="B817" s="39">
        <v>0</v>
      </c>
      <c r="C817" s="39">
        <v>0</v>
      </c>
      <c r="D817" s="39">
        <v>50192.794562400006</v>
      </c>
      <c r="E817" s="39">
        <v>63830.336761224877</v>
      </c>
      <c r="F817" s="39">
        <v>33738.199748400002</v>
      </c>
      <c r="G817" s="39">
        <v>31598.586413249668</v>
      </c>
      <c r="H817" s="40">
        <v>0.27170318603939436</v>
      </c>
      <c r="I817" s="40">
        <v>-6.3418123999096965E-2</v>
      </c>
      <c r="J817" s="40">
        <v>0.13699264447049453</v>
      </c>
    </row>
    <row r="818" spans="1:10" ht="11.25" customHeight="1" x14ac:dyDescent="0.2">
      <c r="A818" s="49">
        <v>44835</v>
      </c>
      <c r="B818" s="39">
        <v>0</v>
      </c>
      <c r="C818" s="39">
        <v>0</v>
      </c>
      <c r="D818" s="39">
        <v>50192.794562400006</v>
      </c>
      <c r="E818" s="39">
        <v>63830.336761224877</v>
      </c>
      <c r="F818" s="39">
        <v>33738.199748400002</v>
      </c>
      <c r="G818" s="39">
        <v>31598.586413249668</v>
      </c>
      <c r="H818" s="40">
        <v>0.27170318603939436</v>
      </c>
      <c r="I818" s="40">
        <v>-6.3418123999096965E-2</v>
      </c>
      <c r="J818" s="40">
        <v>0.13699264447049453</v>
      </c>
    </row>
    <row r="819" spans="1:10" ht="11.25" customHeight="1" x14ac:dyDescent="0.2">
      <c r="A819" s="42" t="s">
        <v>47</v>
      </c>
      <c r="B819" s="39">
        <v>0</v>
      </c>
      <c r="C819" s="39">
        <v>0</v>
      </c>
      <c r="D819" s="39">
        <v>1065765.8407300001</v>
      </c>
      <c r="E819" s="39">
        <v>1355344.3066206756</v>
      </c>
      <c r="F819" s="39">
        <v>716363.70557999995</v>
      </c>
      <c r="G819" s="39">
        <v>670949.99596611189</v>
      </c>
      <c r="H819" s="40">
        <v>0.27170927686360047</v>
      </c>
      <c r="I819" s="40">
        <v>-6.3394766178332729E-2</v>
      </c>
      <c r="J819" s="40">
        <v>0.13700729937525824</v>
      </c>
    </row>
    <row r="820" spans="1:10" ht="11.25" customHeight="1" x14ac:dyDescent="0.2">
      <c r="A820" s="43" t="s">
        <v>23</v>
      </c>
      <c r="B820" s="39">
        <v>0</v>
      </c>
      <c r="C820" s="39">
        <v>0</v>
      </c>
      <c r="D820" s="39">
        <v>1065765.8407300001</v>
      </c>
      <c r="E820" s="39">
        <v>1355344.3066206756</v>
      </c>
      <c r="F820" s="39">
        <v>716363.70557999995</v>
      </c>
      <c r="G820" s="39">
        <v>670949.99596611189</v>
      </c>
      <c r="H820" s="40">
        <v>0.27170927686360047</v>
      </c>
      <c r="I820" s="40">
        <v>-6.3394766178332729E-2</v>
      </c>
      <c r="J820" s="40">
        <v>0.13700729937525824</v>
      </c>
    </row>
    <row r="821" spans="1:10" ht="11.25" customHeight="1" x14ac:dyDescent="0.2">
      <c r="A821" s="44" t="s">
        <v>48</v>
      </c>
      <c r="B821" s="39">
        <v>0</v>
      </c>
      <c r="C821" s="39">
        <v>0</v>
      </c>
      <c r="D821" s="39">
        <v>1065765.8407300001</v>
      </c>
      <c r="E821" s="39">
        <v>1355344.3066206756</v>
      </c>
      <c r="F821" s="39">
        <v>716363.70557999995</v>
      </c>
      <c r="G821" s="39">
        <v>670949.99596611189</v>
      </c>
      <c r="H821" s="40">
        <v>0.27170927686360047</v>
      </c>
      <c r="I821" s="40">
        <v>-6.3394766178332729E-2</v>
      </c>
      <c r="J821" s="40">
        <v>0.13700729937525824</v>
      </c>
    </row>
    <row r="822" spans="1:10" ht="11.25" customHeight="1" x14ac:dyDescent="0.2">
      <c r="A822" s="45" t="s">
        <v>49</v>
      </c>
      <c r="B822" s="39">
        <v>0</v>
      </c>
      <c r="C822" s="39">
        <v>0</v>
      </c>
      <c r="D822" s="39">
        <v>1065765.8407300001</v>
      </c>
      <c r="E822" s="39">
        <v>1355344.3066206756</v>
      </c>
      <c r="F822" s="39">
        <v>716363.70557999995</v>
      </c>
      <c r="G822" s="39">
        <v>670949.99596611189</v>
      </c>
      <c r="H822" s="40">
        <v>0.27170927686360047</v>
      </c>
      <c r="I822" s="40">
        <v>-6.3394766178332729E-2</v>
      </c>
      <c r="J822" s="40">
        <v>0.13700729937525824</v>
      </c>
    </row>
    <row r="823" spans="1:10" ht="11.25" customHeight="1" x14ac:dyDescent="0.2">
      <c r="A823" s="46" t="s">
        <v>25</v>
      </c>
      <c r="B823" s="39">
        <v>0</v>
      </c>
      <c r="C823" s="39">
        <v>0</v>
      </c>
      <c r="D823" s="39">
        <v>1065765.8407300001</v>
      </c>
      <c r="E823" s="39">
        <v>1355344.3066206756</v>
      </c>
      <c r="F823" s="39">
        <v>716363.70557999995</v>
      </c>
      <c r="G823" s="39">
        <v>670949.99596611189</v>
      </c>
      <c r="H823" s="40">
        <v>0.27170927686360047</v>
      </c>
      <c r="I823" s="40">
        <v>-6.3394766178332729E-2</v>
      </c>
      <c r="J823" s="40">
        <v>0.13700729937525824</v>
      </c>
    </row>
    <row r="824" spans="1:10" ht="11.25" customHeight="1" x14ac:dyDescent="0.2">
      <c r="A824" s="47" t="s">
        <v>25</v>
      </c>
      <c r="B824" s="39">
        <v>0</v>
      </c>
      <c r="C824" s="39">
        <v>0</v>
      </c>
      <c r="D824" s="39">
        <v>1065765.8407300001</v>
      </c>
      <c r="E824" s="39">
        <v>1355344.3066206756</v>
      </c>
      <c r="F824" s="39">
        <v>716363.70557999995</v>
      </c>
      <c r="G824" s="39">
        <v>670949.99596611189</v>
      </c>
      <c r="H824" s="40">
        <v>0.27170927686360047</v>
      </c>
      <c r="I824" s="40">
        <v>-6.3394766178332729E-2</v>
      </c>
      <c r="J824" s="40">
        <v>0.13700729937525824</v>
      </c>
    </row>
    <row r="825" spans="1:10" ht="11.25" customHeight="1" x14ac:dyDescent="0.2">
      <c r="A825" s="48" t="s">
        <v>25</v>
      </c>
      <c r="B825" s="39">
        <v>0</v>
      </c>
      <c r="C825" s="39">
        <v>0</v>
      </c>
      <c r="D825" s="39">
        <v>1065765.8407300001</v>
      </c>
      <c r="E825" s="39">
        <v>1355344.3066206756</v>
      </c>
      <c r="F825" s="39">
        <v>716363.70557999995</v>
      </c>
      <c r="G825" s="39">
        <v>670949.99596611189</v>
      </c>
      <c r="H825" s="40">
        <v>0.27170927686360047</v>
      </c>
      <c r="I825" s="40">
        <v>-6.3394766178332729E-2</v>
      </c>
      <c r="J825" s="40">
        <v>0.13700729937525824</v>
      </c>
    </row>
    <row r="826" spans="1:10" ht="11.25" customHeight="1" x14ac:dyDescent="0.2">
      <c r="A826" s="49">
        <v>44501</v>
      </c>
      <c r="B826" s="39">
        <v>0</v>
      </c>
      <c r="C826" s="39">
        <v>0</v>
      </c>
      <c r="D826" s="39">
        <v>81094.871159999995</v>
      </c>
      <c r="E826" s="39">
        <v>103129.09996023047</v>
      </c>
      <c r="F826" s="39">
        <v>54508.617360000004</v>
      </c>
      <c r="G826" s="39">
        <v>51053.05630775859</v>
      </c>
      <c r="H826" s="40">
        <v>0.27170927686360069</v>
      </c>
      <c r="I826" s="40">
        <v>-6.339476617833284E-2</v>
      </c>
      <c r="J826" s="40">
        <v>0.13700729937525824</v>
      </c>
    </row>
    <row r="827" spans="1:10" ht="11.25" customHeight="1" x14ac:dyDescent="0.2">
      <c r="A827" s="49">
        <v>44531</v>
      </c>
      <c r="B827" s="39">
        <v>0</v>
      </c>
      <c r="C827" s="39">
        <v>0</v>
      </c>
      <c r="D827" s="39">
        <v>81879.503979999994</v>
      </c>
      <c r="E827" s="39">
        <v>104126.92479635611</v>
      </c>
      <c r="F827" s="39">
        <v>55036.015079999997</v>
      </c>
      <c r="G827" s="39">
        <v>51547.0197726162</v>
      </c>
      <c r="H827" s="40">
        <v>0.27170927686360069</v>
      </c>
      <c r="I827" s="40">
        <v>-6.3394766178332729E-2</v>
      </c>
      <c r="J827" s="40">
        <v>0.13700729937525846</v>
      </c>
    </row>
    <row r="828" spans="1:10" ht="11.25" customHeight="1" x14ac:dyDescent="0.2">
      <c r="A828" s="49">
        <v>44562</v>
      </c>
      <c r="B828" s="39">
        <v>0</v>
      </c>
      <c r="C828" s="39">
        <v>0</v>
      </c>
      <c r="D828" s="39">
        <v>83208.243539999996</v>
      </c>
      <c r="E828" s="39">
        <v>105816.69522134378</v>
      </c>
      <c r="F828" s="39">
        <v>55929.13884</v>
      </c>
      <c r="G828" s="39">
        <v>52383.524160682689</v>
      </c>
      <c r="H828" s="40">
        <v>0.27170927686360069</v>
      </c>
      <c r="I828" s="40">
        <v>-6.3394766178332729E-2</v>
      </c>
      <c r="J828" s="40">
        <v>0.13700729937525846</v>
      </c>
    </row>
    <row r="829" spans="1:10" ht="11.25" customHeight="1" x14ac:dyDescent="0.2">
      <c r="A829" s="49">
        <v>44593</v>
      </c>
      <c r="B829" s="39">
        <v>0</v>
      </c>
      <c r="C829" s="39">
        <v>0</v>
      </c>
      <c r="D829" s="39">
        <v>77766.340979999994</v>
      </c>
      <c r="E829" s="39">
        <v>98896.177252003996</v>
      </c>
      <c r="F829" s="39">
        <v>52271.317080000001</v>
      </c>
      <c r="G829" s="39">
        <v>48957.589155879905</v>
      </c>
      <c r="H829" s="40">
        <v>0.27170927686360069</v>
      </c>
      <c r="I829" s="40">
        <v>-6.339476617833284E-2</v>
      </c>
      <c r="J829" s="40">
        <v>0.13700729937525846</v>
      </c>
    </row>
    <row r="830" spans="1:10" ht="11.25" customHeight="1" x14ac:dyDescent="0.2">
      <c r="A830" s="49">
        <v>44621</v>
      </c>
      <c r="B830" s="39">
        <v>0</v>
      </c>
      <c r="C830" s="39">
        <v>0</v>
      </c>
      <c r="D830" s="39">
        <v>89466.723789999989</v>
      </c>
      <c r="E830" s="39">
        <v>113775.6626143364</v>
      </c>
      <c r="F830" s="39">
        <v>60135.83034</v>
      </c>
      <c r="G830" s="39">
        <v>56323.533436655809</v>
      </c>
      <c r="H830" s="40">
        <v>0.27170927686360091</v>
      </c>
      <c r="I830" s="40">
        <v>-6.339476617833284E-2</v>
      </c>
      <c r="J830" s="40">
        <v>0.13700729937525824</v>
      </c>
    </row>
    <row r="831" spans="1:10" ht="11.25" customHeight="1" x14ac:dyDescent="0.2">
      <c r="A831" s="49">
        <v>44652</v>
      </c>
      <c r="B831" s="39">
        <v>0</v>
      </c>
      <c r="C831" s="39">
        <v>0</v>
      </c>
      <c r="D831" s="39">
        <v>89953.204490000004</v>
      </c>
      <c r="E831" s="39">
        <v>114394.3246335415</v>
      </c>
      <c r="F831" s="39">
        <v>60462.822540000001</v>
      </c>
      <c r="G831" s="39">
        <v>56629.796042594673</v>
      </c>
      <c r="H831" s="40">
        <v>0.27170927686360069</v>
      </c>
      <c r="I831" s="40">
        <v>-6.3394766178332729E-2</v>
      </c>
      <c r="J831" s="40">
        <v>0.13700729937525846</v>
      </c>
    </row>
    <row r="832" spans="1:10" ht="11.25" customHeight="1" x14ac:dyDescent="0.2">
      <c r="A832" s="49">
        <v>44682</v>
      </c>
      <c r="B832" s="39">
        <v>0</v>
      </c>
      <c r="C832" s="39">
        <v>0</v>
      </c>
      <c r="D832" s="39">
        <v>95607.655270000003</v>
      </c>
      <c r="E832" s="39">
        <v>121585.14214603613</v>
      </c>
      <c r="F832" s="39">
        <v>64263.510420000006</v>
      </c>
      <c r="G832" s="39">
        <v>60189.540203125245</v>
      </c>
      <c r="H832" s="40">
        <v>0.27170927686360069</v>
      </c>
      <c r="I832" s="40">
        <v>-6.3394766178332951E-2</v>
      </c>
      <c r="J832" s="40">
        <v>0.13700729937525846</v>
      </c>
    </row>
    <row r="833" spans="1:10" ht="11.25" customHeight="1" x14ac:dyDescent="0.2">
      <c r="A833" s="49">
        <v>44713</v>
      </c>
      <c r="B833" s="39">
        <v>0</v>
      </c>
      <c r="C833" s="39">
        <v>0</v>
      </c>
      <c r="D833" s="39">
        <v>94020.642479999995</v>
      </c>
      <c r="E833" s="39">
        <v>119566.92325849194</v>
      </c>
      <c r="F833" s="39">
        <v>63196.786080000005</v>
      </c>
      <c r="G833" s="39">
        <v>59190.440603236282</v>
      </c>
      <c r="H833" s="40">
        <v>0.27170927686360069</v>
      </c>
      <c r="I833" s="40">
        <v>-6.339476617833284E-2</v>
      </c>
      <c r="J833" s="40">
        <v>0.13700729937525846</v>
      </c>
    </row>
    <row r="834" spans="1:10" ht="11.25" customHeight="1" x14ac:dyDescent="0.2">
      <c r="A834" s="49">
        <v>44743</v>
      </c>
      <c r="B834" s="39">
        <v>0</v>
      </c>
      <c r="C834" s="39">
        <v>0</v>
      </c>
      <c r="D834" s="39">
        <v>97674.049899999998</v>
      </c>
      <c r="E834" s="39">
        <v>124212.99536666826</v>
      </c>
      <c r="F834" s="39">
        <v>65652.455400000006</v>
      </c>
      <c r="G834" s="39">
        <v>61490.433340883581</v>
      </c>
      <c r="H834" s="40">
        <v>0.27170927686360069</v>
      </c>
      <c r="I834" s="40">
        <v>-6.339476617833284E-2</v>
      </c>
      <c r="J834" s="40">
        <v>0.13700729937525846</v>
      </c>
    </row>
    <row r="835" spans="1:10" ht="11.25" customHeight="1" x14ac:dyDescent="0.2">
      <c r="A835" s="49">
        <v>44774</v>
      </c>
      <c r="B835" s="39">
        <v>0</v>
      </c>
      <c r="C835" s="39">
        <v>0</v>
      </c>
      <c r="D835" s="39">
        <v>95840.038539999994</v>
      </c>
      <c r="E835" s="39">
        <v>121880.66610628302</v>
      </c>
      <c r="F835" s="39">
        <v>64419.708840000007</v>
      </c>
      <c r="G835" s="39">
        <v>60335.836460811923</v>
      </c>
      <c r="H835" s="40">
        <v>0.27170927686360091</v>
      </c>
      <c r="I835" s="40">
        <v>-6.339476617833284E-2</v>
      </c>
      <c r="J835" s="40">
        <v>0.13700729937525846</v>
      </c>
    </row>
    <row r="836" spans="1:10" ht="11.25" customHeight="1" x14ac:dyDescent="0.2">
      <c r="A836" s="49">
        <v>44805</v>
      </c>
      <c r="B836" s="39">
        <v>0</v>
      </c>
      <c r="C836" s="39">
        <v>0</v>
      </c>
      <c r="D836" s="39">
        <v>89627.283299999996</v>
      </c>
      <c r="E836" s="39">
        <v>113979.84763269208</v>
      </c>
      <c r="F836" s="39">
        <v>60243.751799999998</v>
      </c>
      <c r="G836" s="39">
        <v>56424.613240933482</v>
      </c>
      <c r="H836" s="40">
        <v>0.27170927686360091</v>
      </c>
      <c r="I836" s="40">
        <v>-6.339476617833284E-2</v>
      </c>
      <c r="J836" s="40">
        <v>0.13700729937525846</v>
      </c>
    </row>
    <row r="837" spans="1:10" ht="11.25" customHeight="1" x14ac:dyDescent="0.2">
      <c r="A837" s="49">
        <v>44835</v>
      </c>
      <c r="B837" s="39">
        <v>0</v>
      </c>
      <c r="C837" s="39">
        <v>0</v>
      </c>
      <c r="D837" s="39">
        <v>89627.283299999996</v>
      </c>
      <c r="E837" s="39">
        <v>113979.84763269208</v>
      </c>
      <c r="F837" s="39">
        <v>60243.751799999998</v>
      </c>
      <c r="G837" s="39">
        <v>56424.613240933482</v>
      </c>
      <c r="H837" s="40">
        <v>0.27170927686360091</v>
      </c>
      <c r="I837" s="40">
        <v>-6.339476617833284E-2</v>
      </c>
      <c r="J837" s="40">
        <v>0.13700729937525846</v>
      </c>
    </row>
    <row r="838" spans="1:10" ht="11.25" customHeight="1" x14ac:dyDescent="0.2">
      <c r="A838" s="41" t="s">
        <v>62</v>
      </c>
      <c r="B838" s="39">
        <v>414657.59999999992</v>
      </c>
      <c r="C838" s="39">
        <v>696400.01956969488</v>
      </c>
      <c r="D838" s="39">
        <v>0</v>
      </c>
      <c r="E838" s="39">
        <v>0</v>
      </c>
      <c r="F838" s="39">
        <v>0</v>
      </c>
      <c r="G838" s="39">
        <v>0</v>
      </c>
      <c r="H838" s="40">
        <v>0.67945799032670573</v>
      </c>
      <c r="I838" s="40">
        <v>0</v>
      </c>
      <c r="J838" s="40">
        <v>0.67945799032670573</v>
      </c>
    </row>
    <row r="839" spans="1:10" ht="11.25" customHeight="1" x14ac:dyDescent="0.2">
      <c r="A839" s="42" t="s">
        <v>45</v>
      </c>
      <c r="B839" s="39">
        <v>414657.59999999992</v>
      </c>
      <c r="C839" s="39">
        <v>696400.01956969488</v>
      </c>
      <c r="D839" s="39">
        <v>0</v>
      </c>
      <c r="E839" s="39">
        <v>0</v>
      </c>
      <c r="F839" s="39">
        <v>0</v>
      </c>
      <c r="G839" s="39">
        <v>0</v>
      </c>
      <c r="H839" s="40">
        <v>0.67945799032670573</v>
      </c>
      <c r="I839" s="40">
        <v>0</v>
      </c>
      <c r="J839" s="40">
        <v>0.67945799032670573</v>
      </c>
    </row>
    <row r="840" spans="1:10" ht="11.25" customHeight="1" x14ac:dyDescent="0.2">
      <c r="A840" s="43" t="s">
        <v>60</v>
      </c>
      <c r="B840" s="39">
        <v>414657.59999999992</v>
      </c>
      <c r="C840" s="39">
        <v>696400.01956969488</v>
      </c>
      <c r="D840" s="39">
        <v>0</v>
      </c>
      <c r="E840" s="39">
        <v>0</v>
      </c>
      <c r="F840" s="39">
        <v>0</v>
      </c>
      <c r="G840" s="39">
        <v>0</v>
      </c>
      <c r="H840" s="40">
        <v>0.67945799032670573</v>
      </c>
      <c r="I840" s="40">
        <v>0</v>
      </c>
      <c r="J840" s="40">
        <v>0.67945799032670573</v>
      </c>
    </row>
    <row r="841" spans="1:10" ht="11.25" customHeight="1" x14ac:dyDescent="0.2">
      <c r="A841" s="44" t="s">
        <v>25</v>
      </c>
      <c r="B841" s="39">
        <v>414657.59999999992</v>
      </c>
      <c r="C841" s="39">
        <v>696400.01956969488</v>
      </c>
      <c r="D841" s="39">
        <v>0</v>
      </c>
      <c r="E841" s="39">
        <v>0</v>
      </c>
      <c r="F841" s="39">
        <v>0</v>
      </c>
      <c r="G841" s="39">
        <v>0</v>
      </c>
      <c r="H841" s="40">
        <v>0.67945799032670573</v>
      </c>
      <c r="I841" s="40">
        <v>0</v>
      </c>
      <c r="J841" s="40">
        <v>0.67945799032670573</v>
      </c>
    </row>
    <row r="842" spans="1:10" ht="11.25" customHeight="1" x14ac:dyDescent="0.2">
      <c r="A842" s="45" t="s">
        <v>25</v>
      </c>
      <c r="B842" s="39">
        <v>414657.59999999992</v>
      </c>
      <c r="C842" s="39">
        <v>696400.01956969488</v>
      </c>
      <c r="D842" s="39">
        <v>0</v>
      </c>
      <c r="E842" s="39">
        <v>0</v>
      </c>
      <c r="F842" s="39">
        <v>0</v>
      </c>
      <c r="G842" s="39">
        <v>0</v>
      </c>
      <c r="H842" s="40">
        <v>0.67945799032670573</v>
      </c>
      <c r="I842" s="40">
        <v>0</v>
      </c>
      <c r="J842" s="40">
        <v>0.67945799032670573</v>
      </c>
    </row>
    <row r="843" spans="1:10" ht="11.25" customHeight="1" x14ac:dyDescent="0.2">
      <c r="A843" s="46" t="s">
        <v>25</v>
      </c>
      <c r="B843" s="39">
        <v>414657.59999999992</v>
      </c>
      <c r="C843" s="39">
        <v>696400.01956969488</v>
      </c>
      <c r="D843" s="39">
        <v>0</v>
      </c>
      <c r="E843" s="39">
        <v>0</v>
      </c>
      <c r="F843" s="39">
        <v>0</v>
      </c>
      <c r="G843" s="39">
        <v>0</v>
      </c>
      <c r="H843" s="40">
        <v>0.67945799032670573</v>
      </c>
      <c r="I843" s="40">
        <v>0</v>
      </c>
      <c r="J843" s="40">
        <v>0.67945799032670573</v>
      </c>
    </row>
    <row r="844" spans="1:10" ht="11.25" customHeight="1" x14ac:dyDescent="0.2">
      <c r="A844" s="47" t="s">
        <v>61</v>
      </c>
      <c r="B844" s="39">
        <v>414657.59999999992</v>
      </c>
      <c r="C844" s="39">
        <v>696400.01956969488</v>
      </c>
      <c r="D844" s="39">
        <v>0</v>
      </c>
      <c r="E844" s="39">
        <v>0</v>
      </c>
      <c r="F844" s="39">
        <v>0</v>
      </c>
      <c r="G844" s="39">
        <v>0</v>
      </c>
      <c r="H844" s="40">
        <v>0.67945799032670573</v>
      </c>
      <c r="I844" s="40">
        <v>0</v>
      </c>
      <c r="J844" s="40">
        <v>0.67945799032670573</v>
      </c>
    </row>
    <row r="845" spans="1:10" ht="11.25" customHeight="1" x14ac:dyDescent="0.2">
      <c r="A845" s="48" t="s">
        <v>25</v>
      </c>
      <c r="B845" s="39">
        <v>414657.59999999992</v>
      </c>
      <c r="C845" s="39">
        <v>696400.01956969488</v>
      </c>
      <c r="D845" s="39">
        <v>0</v>
      </c>
      <c r="E845" s="39">
        <v>0</v>
      </c>
      <c r="F845" s="39">
        <v>0</v>
      </c>
      <c r="G845" s="39">
        <v>0</v>
      </c>
      <c r="H845" s="40">
        <v>0.67945799032670573</v>
      </c>
      <c r="I845" s="40">
        <v>0</v>
      </c>
      <c r="J845" s="40">
        <v>0.67945799032670573</v>
      </c>
    </row>
    <row r="846" spans="1:10" ht="11.25" customHeight="1" x14ac:dyDescent="0.2">
      <c r="A846" s="49">
        <v>44501</v>
      </c>
      <c r="B846" s="39">
        <v>34554.800000000003</v>
      </c>
      <c r="C846" s="39">
        <v>58033.334964141235</v>
      </c>
      <c r="D846" s="39">
        <v>0</v>
      </c>
      <c r="E846" s="39">
        <v>0</v>
      </c>
      <c r="F846" s="39">
        <v>0</v>
      </c>
      <c r="G846" s="39">
        <v>0</v>
      </c>
      <c r="H846" s="40">
        <v>0.67945799032670506</v>
      </c>
      <c r="I846" s="40">
        <v>0</v>
      </c>
      <c r="J846" s="40">
        <v>0.67945799032670506</v>
      </c>
    </row>
    <row r="847" spans="1:10" ht="11.25" customHeight="1" x14ac:dyDescent="0.2">
      <c r="A847" s="49">
        <v>44531</v>
      </c>
      <c r="B847" s="39">
        <v>34554.800000000003</v>
      </c>
      <c r="C847" s="39">
        <v>58033.334964141235</v>
      </c>
      <c r="D847" s="39">
        <v>0</v>
      </c>
      <c r="E847" s="39">
        <v>0</v>
      </c>
      <c r="F847" s="39">
        <v>0</v>
      </c>
      <c r="G847" s="39">
        <v>0</v>
      </c>
      <c r="H847" s="40">
        <v>0.67945799032670506</v>
      </c>
      <c r="I847" s="40">
        <v>0</v>
      </c>
      <c r="J847" s="40">
        <v>0.67945799032670506</v>
      </c>
    </row>
    <row r="848" spans="1:10" ht="11.25" customHeight="1" x14ac:dyDescent="0.2">
      <c r="A848" s="49">
        <v>44562</v>
      </c>
      <c r="B848" s="39">
        <v>34554.800000000003</v>
      </c>
      <c r="C848" s="39">
        <v>58033.334964141235</v>
      </c>
      <c r="D848" s="39">
        <v>0</v>
      </c>
      <c r="E848" s="39">
        <v>0</v>
      </c>
      <c r="F848" s="39">
        <v>0</v>
      </c>
      <c r="G848" s="39">
        <v>0</v>
      </c>
      <c r="H848" s="40">
        <v>0.67945799032670506</v>
      </c>
      <c r="I848" s="40">
        <v>0</v>
      </c>
      <c r="J848" s="40">
        <v>0.67945799032670506</v>
      </c>
    </row>
    <row r="849" spans="1:10" ht="11.25" customHeight="1" x14ac:dyDescent="0.2">
      <c r="A849" s="49">
        <v>44593</v>
      </c>
      <c r="B849" s="39">
        <v>34554.800000000003</v>
      </c>
      <c r="C849" s="39">
        <v>58033.334964141235</v>
      </c>
      <c r="D849" s="39">
        <v>0</v>
      </c>
      <c r="E849" s="39">
        <v>0</v>
      </c>
      <c r="F849" s="39">
        <v>0</v>
      </c>
      <c r="G849" s="39">
        <v>0</v>
      </c>
      <c r="H849" s="40">
        <v>0.67945799032670506</v>
      </c>
      <c r="I849" s="40">
        <v>0</v>
      </c>
      <c r="J849" s="40">
        <v>0.67945799032670506</v>
      </c>
    </row>
    <row r="850" spans="1:10" ht="11.25" customHeight="1" x14ac:dyDescent="0.2">
      <c r="A850" s="49">
        <v>44621</v>
      </c>
      <c r="B850" s="39">
        <v>34554.800000000003</v>
      </c>
      <c r="C850" s="39">
        <v>58033.334964141235</v>
      </c>
      <c r="D850" s="39">
        <v>0</v>
      </c>
      <c r="E850" s="39">
        <v>0</v>
      </c>
      <c r="F850" s="39">
        <v>0</v>
      </c>
      <c r="G850" s="39">
        <v>0</v>
      </c>
      <c r="H850" s="40">
        <v>0.67945799032670506</v>
      </c>
      <c r="I850" s="40">
        <v>0</v>
      </c>
      <c r="J850" s="40">
        <v>0.67945799032670506</v>
      </c>
    </row>
    <row r="851" spans="1:10" ht="11.25" customHeight="1" x14ac:dyDescent="0.2">
      <c r="A851" s="49">
        <v>44652</v>
      </c>
      <c r="B851" s="39">
        <v>34554.800000000003</v>
      </c>
      <c r="C851" s="39">
        <v>58033.334964141235</v>
      </c>
      <c r="D851" s="39">
        <v>0</v>
      </c>
      <c r="E851" s="39">
        <v>0</v>
      </c>
      <c r="F851" s="39">
        <v>0</v>
      </c>
      <c r="G851" s="39">
        <v>0</v>
      </c>
      <c r="H851" s="40">
        <v>0.67945799032670506</v>
      </c>
      <c r="I851" s="40">
        <v>0</v>
      </c>
      <c r="J851" s="40">
        <v>0.67945799032670506</v>
      </c>
    </row>
    <row r="852" spans="1:10" ht="11.25" customHeight="1" x14ac:dyDescent="0.2">
      <c r="A852" s="49">
        <v>44682</v>
      </c>
      <c r="B852" s="39">
        <v>34554.800000000003</v>
      </c>
      <c r="C852" s="39">
        <v>58033.334964141235</v>
      </c>
      <c r="D852" s="39">
        <v>0</v>
      </c>
      <c r="E852" s="39">
        <v>0</v>
      </c>
      <c r="F852" s="39">
        <v>0</v>
      </c>
      <c r="G852" s="39">
        <v>0</v>
      </c>
      <c r="H852" s="40">
        <v>0.67945799032670506</v>
      </c>
      <c r="I852" s="40">
        <v>0</v>
      </c>
      <c r="J852" s="40">
        <v>0.67945799032670506</v>
      </c>
    </row>
    <row r="853" spans="1:10" ht="11.25" customHeight="1" x14ac:dyDescent="0.2">
      <c r="A853" s="49">
        <v>44713</v>
      </c>
      <c r="B853" s="39">
        <v>34554.800000000003</v>
      </c>
      <c r="C853" s="39">
        <v>58033.334964141235</v>
      </c>
      <c r="D853" s="39">
        <v>0</v>
      </c>
      <c r="E853" s="39">
        <v>0</v>
      </c>
      <c r="F853" s="39">
        <v>0</v>
      </c>
      <c r="G853" s="39">
        <v>0</v>
      </c>
      <c r="H853" s="40">
        <v>0.67945799032670506</v>
      </c>
      <c r="I853" s="40">
        <v>0</v>
      </c>
      <c r="J853" s="40">
        <v>0.67945799032670506</v>
      </c>
    </row>
    <row r="854" spans="1:10" ht="11.25" customHeight="1" x14ac:dyDescent="0.2">
      <c r="A854" s="49">
        <v>44743</v>
      </c>
      <c r="B854" s="39">
        <v>34554.800000000003</v>
      </c>
      <c r="C854" s="39">
        <v>58033.334964141235</v>
      </c>
      <c r="D854" s="39">
        <v>0</v>
      </c>
      <c r="E854" s="39">
        <v>0</v>
      </c>
      <c r="F854" s="39">
        <v>0</v>
      </c>
      <c r="G854" s="39">
        <v>0</v>
      </c>
      <c r="H854" s="40">
        <v>0.67945799032670506</v>
      </c>
      <c r="I854" s="40">
        <v>0</v>
      </c>
      <c r="J854" s="40">
        <v>0.67945799032670506</v>
      </c>
    </row>
    <row r="855" spans="1:10" ht="11.25" customHeight="1" x14ac:dyDescent="0.2">
      <c r="A855" s="49">
        <v>44774</v>
      </c>
      <c r="B855" s="39">
        <v>34554.800000000003</v>
      </c>
      <c r="C855" s="39">
        <v>58033.334964141235</v>
      </c>
      <c r="D855" s="39">
        <v>0</v>
      </c>
      <c r="E855" s="39">
        <v>0</v>
      </c>
      <c r="F855" s="39">
        <v>0</v>
      </c>
      <c r="G855" s="39">
        <v>0</v>
      </c>
      <c r="H855" s="40">
        <v>0.67945799032670506</v>
      </c>
      <c r="I855" s="40">
        <v>0</v>
      </c>
      <c r="J855" s="40">
        <v>0.67945799032670506</v>
      </c>
    </row>
    <row r="856" spans="1:10" ht="11.25" customHeight="1" x14ac:dyDescent="0.2">
      <c r="A856" s="49">
        <v>44805</v>
      </c>
      <c r="B856" s="39">
        <v>34554.800000000003</v>
      </c>
      <c r="C856" s="39">
        <v>58033.334964141235</v>
      </c>
      <c r="D856" s="39">
        <v>0</v>
      </c>
      <c r="E856" s="39">
        <v>0</v>
      </c>
      <c r="F856" s="39">
        <v>0</v>
      </c>
      <c r="G856" s="39">
        <v>0</v>
      </c>
      <c r="H856" s="40">
        <v>0.67945799032670506</v>
      </c>
      <c r="I856" s="40">
        <v>0</v>
      </c>
      <c r="J856" s="40">
        <v>0.67945799032670506</v>
      </c>
    </row>
    <row r="857" spans="1:10" ht="11.25" customHeight="1" x14ac:dyDescent="0.2">
      <c r="A857" s="49">
        <v>44835</v>
      </c>
      <c r="B857" s="39">
        <v>34554.800000000003</v>
      </c>
      <c r="C857" s="39">
        <v>58033.334964141235</v>
      </c>
      <c r="D857" s="39">
        <v>0</v>
      </c>
      <c r="E857" s="39">
        <v>0</v>
      </c>
      <c r="F857" s="39">
        <v>0</v>
      </c>
      <c r="G857" s="39">
        <v>0</v>
      </c>
      <c r="H857" s="40">
        <v>0.67945799032670506</v>
      </c>
      <c r="I857" s="40">
        <v>0</v>
      </c>
      <c r="J857" s="40">
        <v>0.67945799032670506</v>
      </c>
    </row>
    <row r="858" spans="1:10" ht="11.25" customHeight="1" x14ac:dyDescent="0.2">
      <c r="A858" s="41" t="s">
        <v>59</v>
      </c>
      <c r="B858" s="39">
        <v>238392</v>
      </c>
      <c r="C858" s="39">
        <v>410217.5103686371</v>
      </c>
      <c r="D858" s="39">
        <v>841509.8360657841</v>
      </c>
      <c r="E858" s="39">
        <v>1451971.1757379258</v>
      </c>
      <c r="F858" s="39">
        <v>0</v>
      </c>
      <c r="G858" s="39">
        <v>0</v>
      </c>
      <c r="H858" s="40">
        <v>0.72440551901527139</v>
      </c>
      <c r="I858" s="40">
        <v>0</v>
      </c>
      <c r="J858" s="40">
        <v>0.72440551901527139</v>
      </c>
    </row>
    <row r="859" spans="1:10" ht="11.25" customHeight="1" x14ac:dyDescent="0.2">
      <c r="A859" s="42" t="s">
        <v>39</v>
      </c>
      <c r="B859" s="39">
        <v>238392</v>
      </c>
      <c r="C859" s="39">
        <v>410217.5103686371</v>
      </c>
      <c r="D859" s="39">
        <v>841509.8360657841</v>
      </c>
      <c r="E859" s="39">
        <v>1451971.1757379258</v>
      </c>
      <c r="F859" s="39">
        <v>0</v>
      </c>
      <c r="G859" s="39">
        <v>0</v>
      </c>
      <c r="H859" s="40">
        <v>0.72440551901527139</v>
      </c>
      <c r="I859" s="40">
        <v>0</v>
      </c>
      <c r="J859" s="40">
        <v>0.72440551901527139</v>
      </c>
    </row>
    <row r="860" spans="1:10" ht="11.25" customHeight="1" x14ac:dyDescent="0.2">
      <c r="A860" s="43" t="s">
        <v>40</v>
      </c>
      <c r="B860" s="39">
        <v>238392</v>
      </c>
      <c r="C860" s="39">
        <v>410217.5103686371</v>
      </c>
      <c r="D860" s="39">
        <v>841509.8360657841</v>
      </c>
      <c r="E860" s="39">
        <v>1451971.1757379258</v>
      </c>
      <c r="F860" s="39">
        <v>0</v>
      </c>
      <c r="G860" s="39">
        <v>0</v>
      </c>
      <c r="H860" s="40">
        <v>0.72440551901527139</v>
      </c>
      <c r="I860" s="40">
        <v>0</v>
      </c>
      <c r="J860" s="40">
        <v>0.72440551901527139</v>
      </c>
    </row>
    <row r="861" spans="1:10" ht="11.25" customHeight="1" x14ac:dyDescent="0.2">
      <c r="A861" s="44" t="s">
        <v>38</v>
      </c>
      <c r="B861" s="39">
        <v>238392</v>
      </c>
      <c r="C861" s="39">
        <v>410217.5103686371</v>
      </c>
      <c r="D861" s="39">
        <v>841509.8360657841</v>
      </c>
      <c r="E861" s="39">
        <v>1451971.1757379258</v>
      </c>
      <c r="F861" s="39">
        <v>0</v>
      </c>
      <c r="G861" s="39">
        <v>0</v>
      </c>
      <c r="H861" s="40">
        <v>0.72440551901527139</v>
      </c>
      <c r="I861" s="40">
        <v>0</v>
      </c>
      <c r="J861" s="40">
        <v>0.72440551901527139</v>
      </c>
    </row>
    <row r="862" spans="1:10" ht="11.25" customHeight="1" x14ac:dyDescent="0.2">
      <c r="A862" s="45" t="s">
        <v>25</v>
      </c>
      <c r="B862" s="39">
        <v>238392</v>
      </c>
      <c r="C862" s="39">
        <v>410217.5103686371</v>
      </c>
      <c r="D862" s="39">
        <v>841509.8360657841</v>
      </c>
      <c r="E862" s="39">
        <v>1451971.1757379258</v>
      </c>
      <c r="F862" s="39">
        <v>0</v>
      </c>
      <c r="G862" s="39">
        <v>0</v>
      </c>
      <c r="H862" s="40">
        <v>0.72440551901527139</v>
      </c>
      <c r="I862" s="40">
        <v>0</v>
      </c>
      <c r="J862" s="40">
        <v>0.72440551901527139</v>
      </c>
    </row>
    <row r="863" spans="1:10" ht="11.25" customHeight="1" x14ac:dyDescent="0.2">
      <c r="A863" s="46" t="s">
        <v>58</v>
      </c>
      <c r="B863" s="39">
        <v>238392</v>
      </c>
      <c r="C863" s="39">
        <v>410217.5103686371</v>
      </c>
      <c r="D863" s="39">
        <v>841509.8360657841</v>
      </c>
      <c r="E863" s="39">
        <v>1451971.1757379258</v>
      </c>
      <c r="F863" s="39">
        <v>0</v>
      </c>
      <c r="G863" s="39">
        <v>0</v>
      </c>
      <c r="H863" s="40">
        <v>0.72440551901527139</v>
      </c>
      <c r="I863" s="40">
        <v>0</v>
      </c>
      <c r="J863" s="40">
        <v>0.72440551901527139</v>
      </c>
    </row>
    <row r="864" spans="1:10" ht="11.25" customHeight="1" x14ac:dyDescent="0.2">
      <c r="A864" s="47" t="s">
        <v>25</v>
      </c>
      <c r="B864" s="39">
        <v>238392</v>
      </c>
      <c r="C864" s="39">
        <v>410217.5103686371</v>
      </c>
      <c r="D864" s="39">
        <v>841509.8360657841</v>
      </c>
      <c r="E864" s="39">
        <v>1451971.1757379258</v>
      </c>
      <c r="F864" s="39">
        <v>0</v>
      </c>
      <c r="G864" s="39">
        <v>0</v>
      </c>
      <c r="H864" s="40">
        <v>0.72440551901527139</v>
      </c>
      <c r="I864" s="40">
        <v>0</v>
      </c>
      <c r="J864" s="40">
        <v>0.72440551901527139</v>
      </c>
    </row>
    <row r="865" spans="1:10" ht="11.25" customHeight="1" x14ac:dyDescent="0.2">
      <c r="A865" s="48" t="s">
        <v>35</v>
      </c>
      <c r="B865" s="39">
        <v>0</v>
      </c>
      <c r="C865" s="39">
        <v>0</v>
      </c>
      <c r="D865" s="39">
        <v>648752.46719999996</v>
      </c>
      <c r="E865" s="39">
        <v>1121345.6939397345</v>
      </c>
      <c r="F865" s="39">
        <v>0</v>
      </c>
      <c r="G865" s="39">
        <v>0</v>
      </c>
      <c r="H865" s="40">
        <v>0.72846463117039928</v>
      </c>
      <c r="I865" s="40">
        <v>0</v>
      </c>
      <c r="J865" s="40">
        <v>0.72846463117039928</v>
      </c>
    </row>
    <row r="866" spans="1:10" ht="11.25" customHeight="1" x14ac:dyDescent="0.2">
      <c r="A866" s="49">
        <v>44501</v>
      </c>
      <c r="B866" s="39">
        <v>0</v>
      </c>
      <c r="C866" s="39">
        <v>0</v>
      </c>
      <c r="D866" s="39">
        <v>48891.432389999994</v>
      </c>
      <c r="E866" s="39">
        <v>84507.111653373853</v>
      </c>
      <c r="F866" s="39">
        <v>0</v>
      </c>
      <c r="G866" s="39">
        <v>0</v>
      </c>
      <c r="H866" s="40">
        <v>0.72846463117039928</v>
      </c>
      <c r="I866" s="40">
        <v>0</v>
      </c>
      <c r="J866" s="40">
        <v>0.72846463117039928</v>
      </c>
    </row>
    <row r="867" spans="1:10" ht="11.25" customHeight="1" x14ac:dyDescent="0.2">
      <c r="A867" s="49">
        <v>44531</v>
      </c>
      <c r="B867" s="39">
        <v>0</v>
      </c>
      <c r="C867" s="39">
        <v>0</v>
      </c>
      <c r="D867" s="39">
        <v>50694.410250000001</v>
      </c>
      <c r="E867" s="39">
        <v>87623.495115167156</v>
      </c>
      <c r="F867" s="39">
        <v>0</v>
      </c>
      <c r="G867" s="39">
        <v>0</v>
      </c>
      <c r="H867" s="40">
        <v>0.72846463117039928</v>
      </c>
      <c r="I867" s="40">
        <v>0</v>
      </c>
      <c r="J867" s="40">
        <v>0.72846463117039928</v>
      </c>
    </row>
    <row r="868" spans="1:10" ht="11.25" customHeight="1" x14ac:dyDescent="0.2">
      <c r="A868" s="49">
        <v>44562</v>
      </c>
      <c r="B868" s="39">
        <v>0</v>
      </c>
      <c r="C868" s="39">
        <v>0</v>
      </c>
      <c r="D868" s="39">
        <v>51401.187089999999</v>
      </c>
      <c r="E868" s="39">
        <v>88845.133885237548</v>
      </c>
      <c r="F868" s="39">
        <v>0</v>
      </c>
      <c r="G868" s="39">
        <v>0</v>
      </c>
      <c r="H868" s="40">
        <v>0.7284646311703995</v>
      </c>
      <c r="I868" s="40">
        <v>0</v>
      </c>
      <c r="J868" s="40">
        <v>0.7284646311703995</v>
      </c>
    </row>
    <row r="869" spans="1:10" ht="11.25" customHeight="1" x14ac:dyDescent="0.2">
      <c r="A869" s="49">
        <v>44593</v>
      </c>
      <c r="B869" s="39">
        <v>0</v>
      </c>
      <c r="C869" s="39">
        <v>0</v>
      </c>
      <c r="D869" s="39">
        <v>51469.094100000002</v>
      </c>
      <c r="E869" s="39">
        <v>88962.508750231078</v>
      </c>
      <c r="F869" s="39">
        <v>0</v>
      </c>
      <c r="G869" s="39">
        <v>0</v>
      </c>
      <c r="H869" s="40">
        <v>0.72846463117039928</v>
      </c>
      <c r="I869" s="40">
        <v>0</v>
      </c>
      <c r="J869" s="40">
        <v>0.72846463117039928</v>
      </c>
    </row>
    <row r="870" spans="1:10" ht="11.25" customHeight="1" x14ac:dyDescent="0.2">
      <c r="A870" s="49">
        <v>44621</v>
      </c>
      <c r="B870" s="39">
        <v>0</v>
      </c>
      <c r="C870" s="39">
        <v>0</v>
      </c>
      <c r="D870" s="39">
        <v>54063.243869999998</v>
      </c>
      <c r="E870" s="39">
        <v>93446.404875634908</v>
      </c>
      <c r="F870" s="39">
        <v>0</v>
      </c>
      <c r="G870" s="39">
        <v>0</v>
      </c>
      <c r="H870" s="40">
        <v>0.7284646311703995</v>
      </c>
      <c r="I870" s="40">
        <v>0</v>
      </c>
      <c r="J870" s="40">
        <v>0.7284646311703995</v>
      </c>
    </row>
    <row r="871" spans="1:10" ht="11.25" customHeight="1" x14ac:dyDescent="0.2">
      <c r="A871" s="49">
        <v>44652</v>
      </c>
      <c r="B871" s="39">
        <v>0</v>
      </c>
      <c r="C871" s="39">
        <v>0</v>
      </c>
      <c r="D871" s="39">
        <v>55431.83784</v>
      </c>
      <c r="E871" s="39">
        <v>95811.971147212986</v>
      </c>
      <c r="F871" s="39">
        <v>0</v>
      </c>
      <c r="G871" s="39">
        <v>0</v>
      </c>
      <c r="H871" s="40">
        <v>0.72846463117039928</v>
      </c>
      <c r="I871" s="40">
        <v>0</v>
      </c>
      <c r="J871" s="40">
        <v>0.72846463117039928</v>
      </c>
    </row>
    <row r="872" spans="1:10" ht="11.25" customHeight="1" x14ac:dyDescent="0.2">
      <c r="A872" s="49">
        <v>44682</v>
      </c>
      <c r="B872" s="39">
        <v>0</v>
      </c>
      <c r="C872" s="39">
        <v>0</v>
      </c>
      <c r="D872" s="39">
        <v>55236.955769999993</v>
      </c>
      <c r="E872" s="39">
        <v>95475.124381968708</v>
      </c>
      <c r="F872" s="39">
        <v>0</v>
      </c>
      <c r="G872" s="39">
        <v>0</v>
      </c>
      <c r="H872" s="40">
        <v>0.7284646311703995</v>
      </c>
      <c r="I872" s="40">
        <v>0</v>
      </c>
      <c r="J872" s="40">
        <v>0.7284646311703995</v>
      </c>
    </row>
    <row r="873" spans="1:10" ht="11.25" customHeight="1" x14ac:dyDescent="0.2">
      <c r="A873" s="49">
        <v>44713</v>
      </c>
      <c r="B873" s="39">
        <v>0</v>
      </c>
      <c r="C873" s="39">
        <v>0</v>
      </c>
      <c r="D873" s="39">
        <v>48887.437859999998</v>
      </c>
      <c r="E873" s="39">
        <v>84500.207249550716</v>
      </c>
      <c r="F873" s="39">
        <v>0</v>
      </c>
      <c r="G873" s="39">
        <v>0</v>
      </c>
      <c r="H873" s="40">
        <v>0.7284646311703995</v>
      </c>
      <c r="I873" s="40">
        <v>0</v>
      </c>
      <c r="J873" s="40">
        <v>0.7284646311703995</v>
      </c>
    </row>
    <row r="874" spans="1:10" ht="11.25" customHeight="1" x14ac:dyDescent="0.2">
      <c r="A874" s="49">
        <v>44743</v>
      </c>
      <c r="B874" s="39">
        <v>0</v>
      </c>
      <c r="C874" s="39">
        <v>0</v>
      </c>
      <c r="D874" s="39">
        <v>63592.322669999994</v>
      </c>
      <c r="E874" s="39">
        <v>109917.08054907055</v>
      </c>
      <c r="F874" s="39">
        <v>0</v>
      </c>
      <c r="G874" s="39">
        <v>0</v>
      </c>
      <c r="H874" s="40">
        <v>0.72846463117039906</v>
      </c>
      <c r="I874" s="40">
        <v>0</v>
      </c>
      <c r="J874" s="40">
        <v>0.72846463117039906</v>
      </c>
    </row>
    <row r="875" spans="1:10" ht="11.25" customHeight="1" x14ac:dyDescent="0.2">
      <c r="A875" s="49">
        <v>44774</v>
      </c>
      <c r="B875" s="39">
        <v>0</v>
      </c>
      <c r="C875" s="39">
        <v>0</v>
      </c>
      <c r="D875" s="39">
        <v>60014.158679999993</v>
      </c>
      <c r="E875" s="39">
        <v>103732.350647828</v>
      </c>
      <c r="F875" s="39">
        <v>0</v>
      </c>
      <c r="G875" s="39">
        <v>0</v>
      </c>
      <c r="H875" s="40">
        <v>0.72846463117039928</v>
      </c>
      <c r="I875" s="40">
        <v>0</v>
      </c>
      <c r="J875" s="40">
        <v>0.72846463117039928</v>
      </c>
    </row>
    <row r="876" spans="1:10" ht="11.25" customHeight="1" x14ac:dyDescent="0.2">
      <c r="A876" s="49">
        <v>44805</v>
      </c>
      <c r="B876" s="39">
        <v>0</v>
      </c>
      <c r="C876" s="39">
        <v>0</v>
      </c>
      <c r="D876" s="39">
        <v>54535.193339999998</v>
      </c>
      <c r="E876" s="39">
        <v>94262.152842229523</v>
      </c>
      <c r="F876" s="39">
        <v>0</v>
      </c>
      <c r="G876" s="39">
        <v>0</v>
      </c>
      <c r="H876" s="40">
        <v>0.7284646311703995</v>
      </c>
      <c r="I876" s="40">
        <v>0</v>
      </c>
      <c r="J876" s="40">
        <v>0.7284646311703995</v>
      </c>
    </row>
    <row r="877" spans="1:10" ht="11.25" customHeight="1" x14ac:dyDescent="0.2">
      <c r="A877" s="49">
        <v>44835</v>
      </c>
      <c r="B877" s="39">
        <v>0</v>
      </c>
      <c r="C877" s="39">
        <v>0</v>
      </c>
      <c r="D877" s="39">
        <v>54535.193339999998</v>
      </c>
      <c r="E877" s="39">
        <v>94262.152842229523</v>
      </c>
      <c r="F877" s="39">
        <v>0</v>
      </c>
      <c r="G877" s="39">
        <v>0</v>
      </c>
      <c r="H877" s="40">
        <v>0.7284646311703995</v>
      </c>
      <c r="I877" s="40">
        <v>0</v>
      </c>
      <c r="J877" s="40">
        <v>0.7284646311703995</v>
      </c>
    </row>
    <row r="878" spans="1:10" ht="11.25" customHeight="1" x14ac:dyDescent="0.2">
      <c r="A878" s="48" t="s">
        <v>25</v>
      </c>
      <c r="B878" s="39">
        <v>238392</v>
      </c>
      <c r="C878" s="39">
        <v>410217.5103686371</v>
      </c>
      <c r="D878" s="39">
        <v>0</v>
      </c>
      <c r="E878" s="39">
        <v>0</v>
      </c>
      <c r="F878" s="39">
        <v>0</v>
      </c>
      <c r="G878" s="39">
        <v>0</v>
      </c>
      <c r="H878" s="40">
        <v>0.72076877734419398</v>
      </c>
      <c r="I878" s="40">
        <v>0</v>
      </c>
      <c r="J878" s="40">
        <v>0.72076877734419398</v>
      </c>
    </row>
    <row r="879" spans="1:10" ht="11.25" customHeight="1" x14ac:dyDescent="0.2">
      <c r="A879" s="49">
        <v>44501</v>
      </c>
      <c r="B879" s="39">
        <v>19866</v>
      </c>
      <c r="C879" s="39">
        <v>34184.792530719751</v>
      </c>
      <c r="D879" s="39">
        <v>0</v>
      </c>
      <c r="E879" s="39">
        <v>0</v>
      </c>
      <c r="F879" s="39">
        <v>0</v>
      </c>
      <c r="G879" s="39">
        <v>0</v>
      </c>
      <c r="H879" s="40">
        <v>0.72076877734419376</v>
      </c>
      <c r="I879" s="40">
        <v>0</v>
      </c>
      <c r="J879" s="40">
        <v>0.72076877734419376</v>
      </c>
    </row>
    <row r="880" spans="1:10" ht="11.25" customHeight="1" x14ac:dyDescent="0.2">
      <c r="A880" s="49">
        <v>44531</v>
      </c>
      <c r="B880" s="39">
        <v>19866</v>
      </c>
      <c r="C880" s="39">
        <v>34184.792530719751</v>
      </c>
      <c r="D880" s="39">
        <v>0</v>
      </c>
      <c r="E880" s="39">
        <v>0</v>
      </c>
      <c r="F880" s="39">
        <v>0</v>
      </c>
      <c r="G880" s="39">
        <v>0</v>
      </c>
      <c r="H880" s="40">
        <v>0.72076877734419376</v>
      </c>
      <c r="I880" s="40">
        <v>0</v>
      </c>
      <c r="J880" s="40">
        <v>0.72076877734419376</v>
      </c>
    </row>
    <row r="881" spans="1:10" ht="11.25" customHeight="1" x14ac:dyDescent="0.2">
      <c r="A881" s="49">
        <v>44562</v>
      </c>
      <c r="B881" s="39">
        <v>19866</v>
      </c>
      <c r="C881" s="39">
        <v>34184.792530719751</v>
      </c>
      <c r="D881" s="39">
        <v>0</v>
      </c>
      <c r="E881" s="39">
        <v>0</v>
      </c>
      <c r="F881" s="39">
        <v>0</v>
      </c>
      <c r="G881" s="39">
        <v>0</v>
      </c>
      <c r="H881" s="40">
        <v>0.72076877734419376</v>
      </c>
      <c r="I881" s="40">
        <v>0</v>
      </c>
      <c r="J881" s="40">
        <v>0.72076877734419376</v>
      </c>
    </row>
    <row r="882" spans="1:10" ht="11.25" customHeight="1" x14ac:dyDescent="0.2">
      <c r="A882" s="49">
        <v>44593</v>
      </c>
      <c r="B882" s="39">
        <v>19866</v>
      </c>
      <c r="C882" s="39">
        <v>34184.792530719751</v>
      </c>
      <c r="D882" s="39">
        <v>0</v>
      </c>
      <c r="E882" s="39">
        <v>0</v>
      </c>
      <c r="F882" s="39">
        <v>0</v>
      </c>
      <c r="G882" s="39">
        <v>0</v>
      </c>
      <c r="H882" s="40">
        <v>0.72076877734419376</v>
      </c>
      <c r="I882" s="40">
        <v>0</v>
      </c>
      <c r="J882" s="40">
        <v>0.72076877734419376</v>
      </c>
    </row>
    <row r="883" spans="1:10" ht="11.25" customHeight="1" x14ac:dyDescent="0.2">
      <c r="A883" s="49">
        <v>44621</v>
      </c>
      <c r="B883" s="39">
        <v>19866</v>
      </c>
      <c r="C883" s="39">
        <v>34184.792530719751</v>
      </c>
      <c r="D883" s="39">
        <v>0</v>
      </c>
      <c r="E883" s="39">
        <v>0</v>
      </c>
      <c r="F883" s="39">
        <v>0</v>
      </c>
      <c r="G883" s="39">
        <v>0</v>
      </c>
      <c r="H883" s="40">
        <v>0.72076877734419376</v>
      </c>
      <c r="I883" s="40">
        <v>0</v>
      </c>
      <c r="J883" s="40">
        <v>0.72076877734419376</v>
      </c>
    </row>
    <row r="884" spans="1:10" ht="11.25" customHeight="1" x14ac:dyDescent="0.2">
      <c r="A884" s="49">
        <v>44652</v>
      </c>
      <c r="B884" s="39">
        <v>19866</v>
      </c>
      <c r="C884" s="39">
        <v>34184.792530719751</v>
      </c>
      <c r="D884" s="39">
        <v>0</v>
      </c>
      <c r="E884" s="39">
        <v>0</v>
      </c>
      <c r="F884" s="39">
        <v>0</v>
      </c>
      <c r="G884" s="39">
        <v>0</v>
      </c>
      <c r="H884" s="40">
        <v>0.72076877734419376</v>
      </c>
      <c r="I884" s="40">
        <v>0</v>
      </c>
      <c r="J884" s="40">
        <v>0.72076877734419376</v>
      </c>
    </row>
    <row r="885" spans="1:10" ht="11.25" customHeight="1" x14ac:dyDescent="0.2">
      <c r="A885" s="49">
        <v>44682</v>
      </c>
      <c r="B885" s="39">
        <v>19866</v>
      </c>
      <c r="C885" s="39">
        <v>34184.792530719751</v>
      </c>
      <c r="D885" s="39">
        <v>0</v>
      </c>
      <c r="E885" s="39">
        <v>0</v>
      </c>
      <c r="F885" s="39">
        <v>0</v>
      </c>
      <c r="G885" s="39">
        <v>0</v>
      </c>
      <c r="H885" s="40">
        <v>0.72076877734419376</v>
      </c>
      <c r="I885" s="40">
        <v>0</v>
      </c>
      <c r="J885" s="40">
        <v>0.72076877734419376</v>
      </c>
    </row>
    <row r="886" spans="1:10" ht="11.25" customHeight="1" x14ac:dyDescent="0.2">
      <c r="A886" s="49">
        <v>44713</v>
      </c>
      <c r="B886" s="39">
        <v>19866</v>
      </c>
      <c r="C886" s="39">
        <v>34184.792530719751</v>
      </c>
      <c r="D886" s="39">
        <v>0</v>
      </c>
      <c r="E886" s="39">
        <v>0</v>
      </c>
      <c r="F886" s="39">
        <v>0</v>
      </c>
      <c r="G886" s="39">
        <v>0</v>
      </c>
      <c r="H886" s="40">
        <v>0.72076877734419376</v>
      </c>
      <c r="I886" s="40">
        <v>0</v>
      </c>
      <c r="J886" s="40">
        <v>0.72076877734419376</v>
      </c>
    </row>
    <row r="887" spans="1:10" ht="11.25" customHeight="1" x14ac:dyDescent="0.2">
      <c r="A887" s="49">
        <v>44743</v>
      </c>
      <c r="B887" s="39">
        <v>19866</v>
      </c>
      <c r="C887" s="39">
        <v>34184.792530719751</v>
      </c>
      <c r="D887" s="39">
        <v>0</v>
      </c>
      <c r="E887" s="39">
        <v>0</v>
      </c>
      <c r="F887" s="39">
        <v>0</v>
      </c>
      <c r="G887" s="39">
        <v>0</v>
      </c>
      <c r="H887" s="40">
        <v>0.72076877734419376</v>
      </c>
      <c r="I887" s="40">
        <v>0</v>
      </c>
      <c r="J887" s="40">
        <v>0.72076877734419376</v>
      </c>
    </row>
    <row r="888" spans="1:10" ht="11.25" customHeight="1" x14ac:dyDescent="0.2">
      <c r="A888" s="49">
        <v>44774</v>
      </c>
      <c r="B888" s="39">
        <v>19866</v>
      </c>
      <c r="C888" s="39">
        <v>34184.792530719751</v>
      </c>
      <c r="D888" s="39">
        <v>0</v>
      </c>
      <c r="E888" s="39">
        <v>0</v>
      </c>
      <c r="F888" s="39">
        <v>0</v>
      </c>
      <c r="G888" s="39">
        <v>0</v>
      </c>
      <c r="H888" s="40">
        <v>0.72076877734419376</v>
      </c>
      <c r="I888" s="40">
        <v>0</v>
      </c>
      <c r="J888" s="40">
        <v>0.72076877734419376</v>
      </c>
    </row>
    <row r="889" spans="1:10" ht="11.25" customHeight="1" x14ac:dyDescent="0.2">
      <c r="A889" s="49">
        <v>44805</v>
      </c>
      <c r="B889" s="39">
        <v>19866</v>
      </c>
      <c r="C889" s="39">
        <v>34184.792530719751</v>
      </c>
      <c r="D889" s="39">
        <v>0</v>
      </c>
      <c r="E889" s="39">
        <v>0</v>
      </c>
      <c r="F889" s="39">
        <v>0</v>
      </c>
      <c r="G889" s="39">
        <v>0</v>
      </c>
      <c r="H889" s="40">
        <v>0.72076877734419376</v>
      </c>
      <c r="I889" s="40">
        <v>0</v>
      </c>
      <c r="J889" s="40">
        <v>0.72076877734419376</v>
      </c>
    </row>
    <row r="890" spans="1:10" ht="11.25" customHeight="1" x14ac:dyDescent="0.2">
      <c r="A890" s="49">
        <v>44835</v>
      </c>
      <c r="B890" s="39">
        <v>19866</v>
      </c>
      <c r="C890" s="39">
        <v>34184.792530719751</v>
      </c>
      <c r="D890" s="39">
        <v>0</v>
      </c>
      <c r="E890" s="39">
        <v>0</v>
      </c>
      <c r="F890" s="39">
        <v>0</v>
      </c>
      <c r="G890" s="39">
        <v>0</v>
      </c>
      <c r="H890" s="40">
        <v>0.72076877734419376</v>
      </c>
      <c r="I890" s="40">
        <v>0</v>
      </c>
      <c r="J890" s="40">
        <v>0.72076877734419376</v>
      </c>
    </row>
    <row r="891" spans="1:10" ht="11.25" customHeight="1" x14ac:dyDescent="0.2">
      <c r="A891" s="48" t="s">
        <v>34</v>
      </c>
      <c r="B891" s="39">
        <v>0</v>
      </c>
      <c r="C891" s="39">
        <v>0</v>
      </c>
      <c r="D891" s="39">
        <v>192757.36886578414</v>
      </c>
      <c r="E891" s="39">
        <v>330625.48179819155</v>
      </c>
      <c r="F891" s="39">
        <v>0</v>
      </c>
      <c r="G891" s="39">
        <v>0</v>
      </c>
      <c r="H891" s="40">
        <v>0.71524172457658008</v>
      </c>
      <c r="I891" s="40">
        <v>0</v>
      </c>
      <c r="J891" s="40">
        <v>0.71524172457658008</v>
      </c>
    </row>
    <row r="892" spans="1:10" ht="11.25" customHeight="1" x14ac:dyDescent="0.2">
      <c r="A892" s="49">
        <v>44501</v>
      </c>
      <c r="B892" s="39">
        <v>0</v>
      </c>
      <c r="C892" s="39">
        <v>0</v>
      </c>
      <c r="D892" s="39">
        <v>13244.164089659065</v>
      </c>
      <c r="E892" s="39">
        <v>22716.942853722023</v>
      </c>
      <c r="F892" s="39">
        <v>0</v>
      </c>
      <c r="G892" s="39">
        <v>0</v>
      </c>
      <c r="H892" s="40">
        <v>0.71524172457657986</v>
      </c>
      <c r="I892" s="40">
        <v>0</v>
      </c>
      <c r="J892" s="40">
        <v>0.71524172457657986</v>
      </c>
    </row>
    <row r="893" spans="1:10" ht="11.25" customHeight="1" x14ac:dyDescent="0.2">
      <c r="A893" s="49">
        <v>44531</v>
      </c>
      <c r="B893" s="39">
        <v>0</v>
      </c>
      <c r="C893" s="39">
        <v>0</v>
      </c>
      <c r="D893" s="39">
        <v>15488.835193339424</v>
      </c>
      <c r="E893" s="39">
        <v>26567.096388705937</v>
      </c>
      <c r="F893" s="39">
        <v>0</v>
      </c>
      <c r="G893" s="39">
        <v>0</v>
      </c>
      <c r="H893" s="40">
        <v>0.71524172457657986</v>
      </c>
      <c r="I893" s="40">
        <v>0</v>
      </c>
      <c r="J893" s="40">
        <v>0.71524172457657986</v>
      </c>
    </row>
    <row r="894" spans="1:10" ht="11.25" customHeight="1" x14ac:dyDescent="0.2">
      <c r="A894" s="49">
        <v>44562</v>
      </c>
      <c r="B894" s="39">
        <v>0</v>
      </c>
      <c r="C894" s="39">
        <v>0</v>
      </c>
      <c r="D894" s="39">
        <v>17101.374969111719</v>
      </c>
      <c r="E894" s="39">
        <v>29332.991894649938</v>
      </c>
      <c r="F894" s="39">
        <v>0</v>
      </c>
      <c r="G894" s="39">
        <v>0</v>
      </c>
      <c r="H894" s="40">
        <v>0.71524172457657964</v>
      </c>
      <c r="I894" s="40">
        <v>0</v>
      </c>
      <c r="J894" s="40">
        <v>0.71524172457657964</v>
      </c>
    </row>
    <row r="895" spans="1:10" ht="11.25" customHeight="1" x14ac:dyDescent="0.2">
      <c r="A895" s="49">
        <v>44593</v>
      </c>
      <c r="B895" s="39">
        <v>0</v>
      </c>
      <c r="C895" s="39">
        <v>0</v>
      </c>
      <c r="D895" s="39">
        <v>14992.521322718485</v>
      </c>
      <c r="E895" s="39">
        <v>25715.7981293308</v>
      </c>
      <c r="F895" s="39">
        <v>0</v>
      </c>
      <c r="G895" s="39">
        <v>0</v>
      </c>
      <c r="H895" s="40">
        <v>0.71524172457657986</v>
      </c>
      <c r="I895" s="40">
        <v>0</v>
      </c>
      <c r="J895" s="40">
        <v>0.71524172457657986</v>
      </c>
    </row>
    <row r="896" spans="1:10" ht="11.25" customHeight="1" x14ac:dyDescent="0.2">
      <c r="A896" s="49">
        <v>44621</v>
      </c>
      <c r="B896" s="39">
        <v>0</v>
      </c>
      <c r="C896" s="39">
        <v>0</v>
      </c>
      <c r="D896" s="39">
        <v>14535.27215675287</v>
      </c>
      <c r="E896" s="39">
        <v>24931.505281338737</v>
      </c>
      <c r="F896" s="39">
        <v>0</v>
      </c>
      <c r="G896" s="39">
        <v>0</v>
      </c>
      <c r="H896" s="40">
        <v>0.71524172457658008</v>
      </c>
      <c r="I896" s="40">
        <v>0</v>
      </c>
      <c r="J896" s="40">
        <v>0.71524172457658008</v>
      </c>
    </row>
    <row r="897" spans="1:10" ht="11.25" customHeight="1" x14ac:dyDescent="0.2">
      <c r="A897" s="49">
        <v>44652</v>
      </c>
      <c r="B897" s="39">
        <v>0</v>
      </c>
      <c r="C897" s="39">
        <v>0</v>
      </c>
      <c r="D897" s="39">
        <v>14712.66434018771</v>
      </c>
      <c r="E897" s="39">
        <v>25235.775755979914</v>
      </c>
      <c r="F897" s="39">
        <v>0</v>
      </c>
      <c r="G897" s="39">
        <v>0</v>
      </c>
      <c r="H897" s="40">
        <v>0.71524172457657964</v>
      </c>
      <c r="I897" s="40">
        <v>0</v>
      </c>
      <c r="J897" s="40">
        <v>0.71524172457657964</v>
      </c>
    </row>
    <row r="898" spans="1:10" ht="11.25" customHeight="1" x14ac:dyDescent="0.2">
      <c r="A898" s="49">
        <v>44682</v>
      </c>
      <c r="B898" s="39">
        <v>0</v>
      </c>
      <c r="C898" s="39">
        <v>0</v>
      </c>
      <c r="D898" s="39">
        <v>14509.015551984538</v>
      </c>
      <c r="E898" s="39">
        <v>24886.468857294374</v>
      </c>
      <c r="F898" s="39">
        <v>0</v>
      </c>
      <c r="G898" s="39">
        <v>0</v>
      </c>
      <c r="H898" s="40">
        <v>0.71524172457657964</v>
      </c>
      <c r="I898" s="40">
        <v>0</v>
      </c>
      <c r="J898" s="40">
        <v>0.71524172457657964</v>
      </c>
    </row>
    <row r="899" spans="1:10" ht="11.25" customHeight="1" x14ac:dyDescent="0.2">
      <c r="A899" s="49">
        <v>44713</v>
      </c>
      <c r="B899" s="39">
        <v>0</v>
      </c>
      <c r="C899" s="39">
        <v>0</v>
      </c>
      <c r="D899" s="39">
        <v>12288.091031580125</v>
      </c>
      <c r="E899" s="39">
        <v>21077.046452761497</v>
      </c>
      <c r="F899" s="39">
        <v>0</v>
      </c>
      <c r="G899" s="39">
        <v>0</v>
      </c>
      <c r="H899" s="40">
        <v>0.71524172457657986</v>
      </c>
      <c r="I899" s="40">
        <v>0</v>
      </c>
      <c r="J899" s="40">
        <v>0.71524172457657986</v>
      </c>
    </row>
    <row r="900" spans="1:10" ht="11.25" customHeight="1" x14ac:dyDescent="0.2">
      <c r="A900" s="49">
        <v>44743</v>
      </c>
      <c r="B900" s="39">
        <v>0</v>
      </c>
      <c r="C900" s="39">
        <v>0</v>
      </c>
      <c r="D900" s="39">
        <v>18387.308197765717</v>
      </c>
      <c r="E900" s="39">
        <v>31538.678223456747</v>
      </c>
      <c r="F900" s="39">
        <v>0</v>
      </c>
      <c r="G900" s="39">
        <v>0</v>
      </c>
      <c r="H900" s="40">
        <v>0.71524172457657964</v>
      </c>
      <c r="I900" s="40">
        <v>0</v>
      </c>
      <c r="J900" s="40">
        <v>0.71524172457657964</v>
      </c>
    </row>
    <row r="901" spans="1:10" ht="11.25" customHeight="1" x14ac:dyDescent="0.2">
      <c r="A901" s="49">
        <v>44774</v>
      </c>
      <c r="B901" s="39">
        <v>0</v>
      </c>
      <c r="C901" s="39">
        <v>0</v>
      </c>
      <c r="D901" s="39">
        <v>20190.688661854187</v>
      </c>
      <c r="E901" s="39">
        <v>34631.911640747567</v>
      </c>
      <c r="F901" s="39">
        <v>0</v>
      </c>
      <c r="G901" s="39">
        <v>0</v>
      </c>
      <c r="H901" s="40">
        <v>0.71524172457657964</v>
      </c>
      <c r="I901" s="40">
        <v>0</v>
      </c>
      <c r="J901" s="40">
        <v>0.71524172457657964</v>
      </c>
    </row>
    <row r="902" spans="1:10" ht="11.25" customHeight="1" x14ac:dyDescent="0.2">
      <c r="A902" s="49">
        <v>44805</v>
      </c>
      <c r="B902" s="39">
        <v>0</v>
      </c>
      <c r="C902" s="39">
        <v>0</v>
      </c>
      <c r="D902" s="39">
        <v>18653.716675415148</v>
      </c>
      <c r="E902" s="39">
        <v>31995.633160101981</v>
      </c>
      <c r="F902" s="39">
        <v>0</v>
      </c>
      <c r="G902" s="39">
        <v>0</v>
      </c>
      <c r="H902" s="40">
        <v>0.71524172457657964</v>
      </c>
      <c r="I902" s="40">
        <v>0</v>
      </c>
      <c r="J902" s="40">
        <v>0.71524172457657964</v>
      </c>
    </row>
    <row r="903" spans="1:10" ht="11.25" customHeight="1" x14ac:dyDescent="0.2">
      <c r="A903" s="49">
        <v>44835</v>
      </c>
      <c r="B903" s="39">
        <v>0</v>
      </c>
      <c r="C903" s="39">
        <v>0</v>
      </c>
      <c r="D903" s="39">
        <v>18653.716675415148</v>
      </c>
      <c r="E903" s="39">
        <v>31995.633160101981</v>
      </c>
      <c r="F903" s="39">
        <v>0</v>
      </c>
      <c r="G903" s="39">
        <v>0</v>
      </c>
      <c r="H903" s="40">
        <v>0.71524172457657964</v>
      </c>
      <c r="I903" s="40">
        <v>0</v>
      </c>
      <c r="J903" s="40">
        <v>0.71524172457657964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2DF95-5DE4-4002-A435-6D6A7A9615AA}">
  <sheetPr codeName="Planilha19"/>
  <dimension ref="A1:G536"/>
  <sheetViews>
    <sheetView showGridLines="0" workbookViewId="0"/>
  </sheetViews>
  <sheetFormatPr defaultRowHeight="11.25" customHeight="1" x14ac:dyDescent="0.2"/>
  <cols>
    <col min="1" max="1" width="53.109375" style="14" bestFit="1" customWidth="1"/>
    <col min="2" max="2" width="19.88671875" style="39" bestFit="1" customWidth="1"/>
    <col min="3" max="3" width="21.21875" style="39" bestFit="1" customWidth="1"/>
    <col min="4" max="4" width="19.77734375" style="39" bestFit="1" customWidth="1"/>
    <col min="5" max="5" width="21.109375" style="39" bestFit="1" customWidth="1"/>
    <col min="6" max="6" width="14.44140625" style="39" bestFit="1" customWidth="1"/>
    <col min="7" max="7" width="14.33203125" style="39" bestFit="1" customWidth="1"/>
    <col min="8" max="16384" width="8.88671875" style="14"/>
  </cols>
  <sheetData>
    <row r="1" spans="1:7" ht="11.25" customHeight="1" x14ac:dyDescent="0.2">
      <c r="A1" s="38" t="s">
        <v>796</v>
      </c>
      <c r="B1" s="39" t="s">
        <v>821</v>
      </c>
      <c r="C1" s="39" t="s">
        <v>822</v>
      </c>
      <c r="D1" s="39" t="s">
        <v>823</v>
      </c>
      <c r="E1" s="39" t="s">
        <v>824</v>
      </c>
      <c r="F1" s="39" t="s">
        <v>825</v>
      </c>
      <c r="G1" s="39" t="s">
        <v>826</v>
      </c>
    </row>
    <row r="2" spans="1:7" ht="11.25" customHeight="1" x14ac:dyDescent="0.2">
      <c r="A2" s="41" t="s">
        <v>814</v>
      </c>
      <c r="B2" s="39">
        <v>59043.935999999994</v>
      </c>
      <c r="C2" s="39">
        <v>124150.14570299991</v>
      </c>
      <c r="D2" s="39">
        <v>101238.88871693829</v>
      </c>
      <c r="E2" s="39">
        <v>141160.1873539954</v>
      </c>
      <c r="F2" s="39">
        <v>183194.08170299992</v>
      </c>
      <c r="G2" s="39">
        <v>242399.07607093369</v>
      </c>
    </row>
    <row r="3" spans="1:7" ht="11.25" customHeight="1" x14ac:dyDescent="0.2">
      <c r="A3" s="42" t="s">
        <v>39</v>
      </c>
      <c r="B3" s="39">
        <v>59043.935999999994</v>
      </c>
      <c r="C3" s="39">
        <v>64623.957641399968</v>
      </c>
      <c r="D3" s="39">
        <v>101238.88871693829</v>
      </c>
      <c r="E3" s="39">
        <v>73479.349374588855</v>
      </c>
      <c r="F3" s="39">
        <v>123667.89364139996</v>
      </c>
      <c r="G3" s="39">
        <v>174718.23809152714</v>
      </c>
    </row>
    <row r="4" spans="1:7" ht="11.25" customHeight="1" x14ac:dyDescent="0.2">
      <c r="A4" s="43" t="s">
        <v>42</v>
      </c>
      <c r="B4" s="39">
        <v>58022.256000000001</v>
      </c>
      <c r="C4" s="39">
        <v>62717.518577399991</v>
      </c>
      <c r="D4" s="39">
        <v>99480.813672501215</v>
      </c>
      <c r="E4" s="39">
        <v>71011.304788265945</v>
      </c>
      <c r="F4" s="39">
        <v>120739.77457739999</v>
      </c>
      <c r="G4" s="39">
        <v>170492.11846076715</v>
      </c>
    </row>
    <row r="5" spans="1:7" ht="11.25" customHeight="1" x14ac:dyDescent="0.2">
      <c r="A5" s="44" t="s">
        <v>50</v>
      </c>
      <c r="B5" s="39">
        <v>58022.256000000001</v>
      </c>
      <c r="C5" s="39">
        <v>62717.518577399991</v>
      </c>
      <c r="D5" s="39">
        <v>99480.813672501215</v>
      </c>
      <c r="E5" s="39">
        <v>71011.304788265945</v>
      </c>
      <c r="F5" s="39">
        <v>120739.77457739999</v>
      </c>
      <c r="G5" s="39">
        <v>170492.11846076715</v>
      </c>
    </row>
    <row r="6" spans="1:7" ht="11.25" customHeight="1" x14ac:dyDescent="0.2">
      <c r="A6" s="45" t="s">
        <v>51</v>
      </c>
      <c r="B6" s="39">
        <v>58022.256000000001</v>
      </c>
      <c r="C6" s="39">
        <v>62717.518577399991</v>
      </c>
      <c r="D6" s="39">
        <v>99480.813672501215</v>
      </c>
      <c r="E6" s="39">
        <v>71011.304788265945</v>
      </c>
      <c r="F6" s="39">
        <v>120739.77457739999</v>
      </c>
      <c r="G6" s="39">
        <v>170492.11846076715</v>
      </c>
    </row>
    <row r="7" spans="1:7" ht="11.25" customHeight="1" x14ac:dyDescent="0.2">
      <c r="A7" s="46" t="s">
        <v>25</v>
      </c>
      <c r="B7" s="39">
        <v>58022.256000000001</v>
      </c>
      <c r="C7" s="39">
        <v>62717.518577399991</v>
      </c>
      <c r="D7" s="39">
        <v>99480.813672501215</v>
      </c>
      <c r="E7" s="39">
        <v>71011.304788265945</v>
      </c>
      <c r="F7" s="39">
        <v>120739.77457739999</v>
      </c>
      <c r="G7" s="39">
        <v>170492.11846076715</v>
      </c>
    </row>
    <row r="8" spans="1:7" ht="11.25" customHeight="1" x14ac:dyDescent="0.2">
      <c r="A8" s="47" t="s">
        <v>25</v>
      </c>
      <c r="B8" s="39">
        <v>58022.256000000001</v>
      </c>
      <c r="C8" s="39">
        <v>62717.518577399991</v>
      </c>
      <c r="D8" s="39">
        <v>99480.813672501215</v>
      </c>
      <c r="E8" s="39">
        <v>71011.304788265945</v>
      </c>
      <c r="F8" s="39">
        <v>120739.77457739999</v>
      </c>
      <c r="G8" s="39">
        <v>170492.11846076715</v>
      </c>
    </row>
    <row r="9" spans="1:7" ht="11.25" customHeight="1" x14ac:dyDescent="0.2">
      <c r="A9" s="48" t="s">
        <v>35</v>
      </c>
      <c r="B9" s="39">
        <v>17084.760000000006</v>
      </c>
      <c r="C9" s="39">
        <v>53373.461011200001</v>
      </c>
      <c r="D9" s="39">
        <v>29398.921576418987</v>
      </c>
      <c r="E9" s="39">
        <v>60975.170736759479</v>
      </c>
      <c r="F9" s="39">
        <v>70458.221011200003</v>
      </c>
      <c r="G9" s="39">
        <v>90374.092313178466</v>
      </c>
    </row>
    <row r="10" spans="1:7" ht="11.25" customHeight="1" x14ac:dyDescent="0.2">
      <c r="A10" s="49">
        <v>44501</v>
      </c>
      <c r="B10" s="39">
        <v>1433.19</v>
      </c>
      <c r="C10" s="39">
        <v>4376.8742640000037</v>
      </c>
      <c r="D10" s="39">
        <v>2466.1886040019249</v>
      </c>
      <c r="E10" s="39">
        <v>5000.2501333898126</v>
      </c>
      <c r="F10" s="39">
        <v>5810.0642640000042</v>
      </c>
      <c r="G10" s="39">
        <v>7466.438737391738</v>
      </c>
    </row>
    <row r="11" spans="1:7" ht="11.25" customHeight="1" x14ac:dyDescent="0.2">
      <c r="A11" s="49">
        <v>44531</v>
      </c>
      <c r="B11" s="39">
        <v>1430.3520000000005</v>
      </c>
      <c r="C11" s="39">
        <v>4340.4535727999937</v>
      </c>
      <c r="D11" s="39">
        <v>2461.3050622118226</v>
      </c>
      <c r="E11" s="39">
        <v>4958.642228970697</v>
      </c>
      <c r="F11" s="39">
        <v>5770.8055727999945</v>
      </c>
      <c r="G11" s="39">
        <v>7419.9472911825196</v>
      </c>
    </row>
    <row r="12" spans="1:7" ht="11.25" customHeight="1" x14ac:dyDescent="0.2">
      <c r="A12" s="49">
        <v>44562</v>
      </c>
      <c r="B12" s="39">
        <v>1433.19</v>
      </c>
      <c r="C12" s="39">
        <v>4418.4276768000018</v>
      </c>
      <c r="D12" s="39">
        <v>2466.1886040019249</v>
      </c>
      <c r="E12" s="39">
        <v>5047.7217867578274</v>
      </c>
      <c r="F12" s="39">
        <v>5851.6176768000023</v>
      </c>
      <c r="G12" s="39">
        <v>7513.9103907597528</v>
      </c>
    </row>
    <row r="13" spans="1:7" ht="11.25" customHeight="1" x14ac:dyDescent="0.2">
      <c r="A13" s="49">
        <v>44593</v>
      </c>
      <c r="B13" s="39">
        <v>1421.8380000000009</v>
      </c>
      <c r="C13" s="39">
        <v>3740.1611327999926</v>
      </c>
      <c r="D13" s="39">
        <v>2446.6544368415143</v>
      </c>
      <c r="E13" s="39">
        <v>4272.8531996007405</v>
      </c>
      <c r="F13" s="39">
        <v>5161.9991327999933</v>
      </c>
      <c r="G13" s="39">
        <v>6719.5076364422548</v>
      </c>
    </row>
    <row r="14" spans="1:7" ht="11.25" customHeight="1" x14ac:dyDescent="0.2">
      <c r="A14" s="49">
        <v>44621</v>
      </c>
      <c r="B14" s="39">
        <v>1421.8380000000009</v>
      </c>
      <c r="C14" s="39">
        <v>4238.4874368000001</v>
      </c>
      <c r="D14" s="39">
        <v>2446.6544368415143</v>
      </c>
      <c r="E14" s="39">
        <v>4842.1535764798537</v>
      </c>
      <c r="F14" s="39">
        <v>5660.3254368000007</v>
      </c>
      <c r="G14" s="39">
        <v>7288.808013321368</v>
      </c>
    </row>
    <row r="15" spans="1:7" ht="11.25" customHeight="1" x14ac:dyDescent="0.2">
      <c r="A15" s="49">
        <v>44652</v>
      </c>
      <c r="B15" s="39">
        <v>1424.6760000000004</v>
      </c>
      <c r="C15" s="39">
        <v>4413.8062608000073</v>
      </c>
      <c r="D15" s="39">
        <v>2451.5379786316166</v>
      </c>
      <c r="E15" s="39">
        <v>5042.442166056705</v>
      </c>
      <c r="F15" s="39">
        <v>5838.4822608000077</v>
      </c>
      <c r="G15" s="39">
        <v>7493.9801446883212</v>
      </c>
    </row>
    <row r="16" spans="1:7" ht="11.25" customHeight="1" x14ac:dyDescent="0.2">
      <c r="A16" s="49">
        <v>44682</v>
      </c>
      <c r="B16" s="39">
        <v>1421.8380000000009</v>
      </c>
      <c r="C16" s="39">
        <v>4524.346598399994</v>
      </c>
      <c r="D16" s="39">
        <v>2446.6544368415143</v>
      </c>
      <c r="E16" s="39">
        <v>5168.7261999334632</v>
      </c>
      <c r="F16" s="39">
        <v>5946.1845983999947</v>
      </c>
      <c r="G16" s="39">
        <v>7615.3806367749776</v>
      </c>
    </row>
    <row r="17" spans="1:7" ht="11.25" customHeight="1" x14ac:dyDescent="0.2">
      <c r="A17" s="49">
        <v>44713</v>
      </c>
      <c r="B17" s="39">
        <v>1421.8380000000009</v>
      </c>
      <c r="C17" s="39">
        <v>4271.0340047999998</v>
      </c>
      <c r="D17" s="39">
        <v>2446.6544368415143</v>
      </c>
      <c r="E17" s="39">
        <v>4879.3355860984375</v>
      </c>
      <c r="F17" s="39">
        <v>5692.8720048000005</v>
      </c>
      <c r="G17" s="39">
        <v>7325.9900229399518</v>
      </c>
    </row>
    <row r="18" spans="1:7" ht="11.25" customHeight="1" x14ac:dyDescent="0.2">
      <c r="A18" s="49">
        <v>44743</v>
      </c>
      <c r="B18" s="39">
        <v>1419.0000000000002</v>
      </c>
      <c r="C18" s="39">
        <v>4476.2838720000054</v>
      </c>
      <c r="D18" s="39">
        <v>2441.7708950514107</v>
      </c>
      <c r="E18" s="39">
        <v>5113.8181446417439</v>
      </c>
      <c r="F18" s="39">
        <v>5895.2838720000054</v>
      </c>
      <c r="G18" s="39">
        <v>7555.5890396931545</v>
      </c>
    </row>
    <row r="19" spans="1:7" ht="11.25" customHeight="1" x14ac:dyDescent="0.2">
      <c r="A19" s="49">
        <v>44774</v>
      </c>
      <c r="B19" s="39">
        <v>1419.0000000000002</v>
      </c>
      <c r="C19" s="39">
        <v>4766.8234464000034</v>
      </c>
      <c r="D19" s="39">
        <v>2441.7708950514107</v>
      </c>
      <c r="E19" s="39">
        <v>5445.7377882096916</v>
      </c>
      <c r="F19" s="39">
        <v>6185.8234464000034</v>
      </c>
      <c r="G19" s="39">
        <v>7887.5086832611023</v>
      </c>
    </row>
    <row r="20" spans="1:7" ht="11.25" customHeight="1" x14ac:dyDescent="0.2">
      <c r="A20" s="49">
        <v>44805</v>
      </c>
      <c r="B20" s="39">
        <v>1419.0000000000002</v>
      </c>
      <c r="C20" s="39">
        <v>4903.381372799995</v>
      </c>
      <c r="D20" s="39">
        <v>2441.7708950514107</v>
      </c>
      <c r="E20" s="39">
        <v>5601.7449633102533</v>
      </c>
      <c r="F20" s="39">
        <v>6322.381372799995</v>
      </c>
      <c r="G20" s="39">
        <v>8043.515858361664</v>
      </c>
    </row>
    <row r="21" spans="1:7" ht="11.25" customHeight="1" x14ac:dyDescent="0.2">
      <c r="A21" s="49">
        <v>44835</v>
      </c>
      <c r="B21" s="39">
        <v>1419.0000000000002</v>
      </c>
      <c r="C21" s="39">
        <v>4903.381372799995</v>
      </c>
      <c r="D21" s="39">
        <v>2441.7708950514107</v>
      </c>
      <c r="E21" s="39">
        <v>5601.7449633102533</v>
      </c>
      <c r="F21" s="39">
        <v>6322.381372799995</v>
      </c>
      <c r="G21" s="39">
        <v>8043.515858361664</v>
      </c>
    </row>
    <row r="22" spans="1:7" ht="11.25" customHeight="1" x14ac:dyDescent="0.2">
      <c r="A22" s="48" t="s">
        <v>34</v>
      </c>
      <c r="B22" s="39">
        <v>40937.495999999999</v>
      </c>
      <c r="C22" s="39">
        <v>9344.0575662000028</v>
      </c>
      <c r="D22" s="39">
        <v>70081.892096082229</v>
      </c>
      <c r="E22" s="39">
        <v>10036.134051506455</v>
      </c>
      <c r="F22" s="39">
        <v>50281.553566200004</v>
      </c>
      <c r="G22" s="39">
        <v>80118.02614758868</v>
      </c>
    </row>
    <row r="23" spans="1:7" ht="11.25" customHeight="1" x14ac:dyDescent="0.2">
      <c r="A23" s="49">
        <v>44501</v>
      </c>
      <c r="B23" s="39">
        <v>3457.188000000001</v>
      </c>
      <c r="C23" s="39">
        <v>763.60120260000099</v>
      </c>
      <c r="D23" s="39">
        <v>5918.4439705806735</v>
      </c>
      <c r="E23" s="39">
        <v>820.15804985047316</v>
      </c>
      <c r="F23" s="39">
        <v>4220.7892026000018</v>
      </c>
      <c r="G23" s="39">
        <v>6738.6020204311462</v>
      </c>
    </row>
    <row r="24" spans="1:7" ht="11.25" customHeight="1" x14ac:dyDescent="0.2">
      <c r="A24" s="49">
        <v>44531</v>
      </c>
      <c r="B24" s="39">
        <v>3450.3284999999992</v>
      </c>
      <c r="C24" s="39">
        <v>879.19784999999945</v>
      </c>
      <c r="D24" s="39">
        <v>5906.7010261945979</v>
      </c>
      <c r="E24" s="39">
        <v>944.3164725690641</v>
      </c>
      <c r="F24" s="39">
        <v>4329.5263499999983</v>
      </c>
      <c r="G24" s="39">
        <v>6851.0174987636619</v>
      </c>
    </row>
    <row r="25" spans="1:7" ht="11.25" customHeight="1" x14ac:dyDescent="0.2">
      <c r="A25" s="49">
        <v>44562</v>
      </c>
      <c r="B25" s="39">
        <v>3450.3284999999992</v>
      </c>
      <c r="C25" s="39">
        <v>796.338813600001</v>
      </c>
      <c r="D25" s="39">
        <v>5906.7010261945979</v>
      </c>
      <c r="E25" s="39">
        <v>855.32040305670319</v>
      </c>
      <c r="F25" s="39">
        <v>4246.6673135999999</v>
      </c>
      <c r="G25" s="39">
        <v>6762.021429251301</v>
      </c>
    </row>
    <row r="26" spans="1:7" ht="11.25" customHeight="1" x14ac:dyDescent="0.2">
      <c r="A26" s="49">
        <v>44593</v>
      </c>
      <c r="B26" s="39">
        <v>3402.3120000000013</v>
      </c>
      <c r="C26" s="39">
        <v>739.52690699999994</v>
      </c>
      <c r="D26" s="39">
        <v>5824.5004154920916</v>
      </c>
      <c r="E26" s="39">
        <v>794.30066871540998</v>
      </c>
      <c r="F26" s="39">
        <v>4141.8389070000012</v>
      </c>
      <c r="G26" s="39">
        <v>6618.8010842075018</v>
      </c>
    </row>
    <row r="27" spans="1:7" ht="11.25" customHeight="1" x14ac:dyDescent="0.2">
      <c r="A27" s="49">
        <v>44621</v>
      </c>
      <c r="B27" s="39">
        <v>3402.3120000000013</v>
      </c>
      <c r="C27" s="39">
        <v>802.85774399999968</v>
      </c>
      <c r="D27" s="39">
        <v>5824.5004154920916</v>
      </c>
      <c r="E27" s="39">
        <v>862.32216421916496</v>
      </c>
      <c r="F27" s="39">
        <v>4205.1697440000007</v>
      </c>
      <c r="G27" s="39">
        <v>6686.8225797112564</v>
      </c>
    </row>
    <row r="28" spans="1:7" ht="11.25" customHeight="1" x14ac:dyDescent="0.2">
      <c r="A28" s="49">
        <v>44652</v>
      </c>
      <c r="B28" s="39">
        <v>3402.3120000000013</v>
      </c>
      <c r="C28" s="39">
        <v>706.78929600000015</v>
      </c>
      <c r="D28" s="39">
        <v>5824.5004154920916</v>
      </c>
      <c r="E28" s="39">
        <v>759.13831550917985</v>
      </c>
      <c r="F28" s="39">
        <v>4109.1012960000016</v>
      </c>
      <c r="G28" s="39">
        <v>6583.6387310012715</v>
      </c>
    </row>
    <row r="29" spans="1:7" ht="11.25" customHeight="1" x14ac:dyDescent="0.2">
      <c r="A29" s="49">
        <v>44682</v>
      </c>
      <c r="B29" s="39">
        <v>3395.4524999999999</v>
      </c>
      <c r="C29" s="39">
        <v>801.08505240000068</v>
      </c>
      <c r="D29" s="39">
        <v>5812.757471106017</v>
      </c>
      <c r="E29" s="39">
        <v>860.4181765346367</v>
      </c>
      <c r="F29" s="39">
        <v>4196.537552400001</v>
      </c>
      <c r="G29" s="39">
        <v>6673.1756476406536</v>
      </c>
    </row>
    <row r="30" spans="1:7" ht="11.25" customHeight="1" x14ac:dyDescent="0.2">
      <c r="A30" s="49">
        <v>44713</v>
      </c>
      <c r="B30" s="39">
        <v>3395.4524999999999</v>
      </c>
      <c r="C30" s="39">
        <v>761.71414379999965</v>
      </c>
      <c r="D30" s="39">
        <v>5812.757471106017</v>
      </c>
      <c r="E30" s="39">
        <v>818.1312242508111</v>
      </c>
      <c r="F30" s="39">
        <v>4157.1666437999993</v>
      </c>
      <c r="G30" s="39">
        <v>6630.8886953568281</v>
      </c>
    </row>
    <row r="31" spans="1:7" ht="11.25" customHeight="1" x14ac:dyDescent="0.2">
      <c r="A31" s="49">
        <v>44743</v>
      </c>
      <c r="B31" s="39">
        <v>3395.4524999999999</v>
      </c>
      <c r="C31" s="39">
        <v>759.25524899999971</v>
      </c>
      <c r="D31" s="39">
        <v>5812.757471106017</v>
      </c>
      <c r="E31" s="39">
        <v>815.49020907549607</v>
      </c>
      <c r="F31" s="39">
        <v>4154.7077489999992</v>
      </c>
      <c r="G31" s="39">
        <v>6628.2476801815128</v>
      </c>
    </row>
    <row r="32" spans="1:7" ht="11.25" customHeight="1" x14ac:dyDescent="0.2">
      <c r="A32" s="49">
        <v>44774</v>
      </c>
      <c r="B32" s="39">
        <v>3395.4524999999999</v>
      </c>
      <c r="C32" s="39">
        <v>828.44740500000091</v>
      </c>
      <c r="D32" s="39">
        <v>5812.757471106017</v>
      </c>
      <c r="E32" s="39">
        <v>889.80714772971317</v>
      </c>
      <c r="F32" s="39">
        <v>4223.8999050000011</v>
      </c>
      <c r="G32" s="39">
        <v>6702.5646188357305</v>
      </c>
    </row>
    <row r="33" spans="1:7" ht="11.25" customHeight="1" x14ac:dyDescent="0.2">
      <c r="A33" s="49">
        <v>44805</v>
      </c>
      <c r="B33" s="39">
        <v>3395.4524999999999</v>
      </c>
      <c r="C33" s="39">
        <v>752.62195140000017</v>
      </c>
      <c r="D33" s="39">
        <v>5812.757471106017</v>
      </c>
      <c r="E33" s="39">
        <v>808.36560999790242</v>
      </c>
      <c r="F33" s="39">
        <v>4148.0744513999998</v>
      </c>
      <c r="G33" s="39">
        <v>6621.1230811039195</v>
      </c>
    </row>
    <row r="34" spans="1:7" ht="11.25" customHeight="1" x14ac:dyDescent="0.2">
      <c r="A34" s="49">
        <v>44835</v>
      </c>
      <c r="B34" s="39">
        <v>3395.4524999999999</v>
      </c>
      <c r="C34" s="39">
        <v>752.62195140000017</v>
      </c>
      <c r="D34" s="39">
        <v>5812.757471106017</v>
      </c>
      <c r="E34" s="39">
        <v>808.36560999790242</v>
      </c>
      <c r="F34" s="39">
        <v>4148.0744513999998</v>
      </c>
      <c r="G34" s="39">
        <v>6621.1230811039195</v>
      </c>
    </row>
    <row r="35" spans="1:7" ht="11.25" customHeight="1" x14ac:dyDescent="0.2">
      <c r="A35" s="43" t="s">
        <v>40</v>
      </c>
      <c r="B35" s="39">
        <v>1021.68</v>
      </c>
      <c r="C35" s="39">
        <v>1906.4390640000001</v>
      </c>
      <c r="D35" s="39">
        <v>1758.0750444370158</v>
      </c>
      <c r="E35" s="39">
        <v>2468.0445863229361</v>
      </c>
      <c r="F35" s="39">
        <v>2928.119064</v>
      </c>
      <c r="G35" s="39">
        <v>4226.1196307599521</v>
      </c>
    </row>
    <row r="36" spans="1:7" ht="11.25" customHeight="1" x14ac:dyDescent="0.2">
      <c r="A36" s="44" t="s">
        <v>50</v>
      </c>
      <c r="B36" s="39">
        <v>1021.68</v>
      </c>
      <c r="C36" s="39">
        <v>1906.4390640000001</v>
      </c>
      <c r="D36" s="39">
        <v>1758.0750444370158</v>
      </c>
      <c r="E36" s="39">
        <v>2468.0445863229361</v>
      </c>
      <c r="F36" s="39">
        <v>2928.119064</v>
      </c>
      <c r="G36" s="39">
        <v>4226.1196307599521</v>
      </c>
    </row>
    <row r="37" spans="1:7" ht="11.25" customHeight="1" x14ac:dyDescent="0.2">
      <c r="A37" s="45" t="s">
        <v>51</v>
      </c>
      <c r="B37" s="39">
        <v>1021.68</v>
      </c>
      <c r="C37" s="39">
        <v>1906.4390640000001</v>
      </c>
      <c r="D37" s="39">
        <v>1758.0750444370158</v>
      </c>
      <c r="E37" s="39">
        <v>2468.0445863229361</v>
      </c>
      <c r="F37" s="39">
        <v>2928.119064</v>
      </c>
      <c r="G37" s="39">
        <v>4226.1196307599521</v>
      </c>
    </row>
    <row r="38" spans="1:7" ht="11.25" customHeight="1" x14ac:dyDescent="0.2">
      <c r="A38" s="46" t="s">
        <v>25</v>
      </c>
      <c r="B38" s="39">
        <v>1021.68</v>
      </c>
      <c r="C38" s="39">
        <v>1906.4390640000001</v>
      </c>
      <c r="D38" s="39">
        <v>1758.0750444370158</v>
      </c>
      <c r="E38" s="39">
        <v>2468.0445863229361</v>
      </c>
      <c r="F38" s="39">
        <v>2928.119064</v>
      </c>
      <c r="G38" s="39">
        <v>4226.1196307599521</v>
      </c>
    </row>
    <row r="39" spans="1:7" ht="11.25" customHeight="1" x14ac:dyDescent="0.2">
      <c r="A39" s="47" t="s">
        <v>25</v>
      </c>
      <c r="B39" s="39">
        <v>1021.68</v>
      </c>
      <c r="C39" s="39">
        <v>1906.4390640000001</v>
      </c>
      <c r="D39" s="39">
        <v>1758.0750444370158</v>
      </c>
      <c r="E39" s="39">
        <v>2468.0445863229361</v>
      </c>
      <c r="F39" s="39">
        <v>2928.119064</v>
      </c>
      <c r="G39" s="39">
        <v>4226.1196307599521</v>
      </c>
    </row>
    <row r="40" spans="1:7" ht="11.25" customHeight="1" x14ac:dyDescent="0.2">
      <c r="A40" s="48" t="s">
        <v>35</v>
      </c>
      <c r="B40" s="39">
        <v>0</v>
      </c>
      <c r="C40" s="39">
        <v>1142.3157071999999</v>
      </c>
      <c r="D40" s="39">
        <v>0</v>
      </c>
      <c r="E40" s="39">
        <v>1305.0099049635555</v>
      </c>
      <c r="F40" s="39">
        <v>1142.3157071999999</v>
      </c>
      <c r="G40" s="39">
        <v>1305.0099049635555</v>
      </c>
    </row>
    <row r="41" spans="1:7" ht="11.25" customHeight="1" x14ac:dyDescent="0.2">
      <c r="A41" s="49">
        <v>44501</v>
      </c>
      <c r="B41" s="39">
        <v>0</v>
      </c>
      <c r="C41" s="39">
        <v>83.519803200000013</v>
      </c>
      <c r="D41" s="39">
        <v>0</v>
      </c>
      <c r="E41" s="39">
        <v>95.415102628474912</v>
      </c>
      <c r="F41" s="39">
        <v>83.519803200000013</v>
      </c>
      <c r="G41" s="39">
        <v>95.415102628474912</v>
      </c>
    </row>
    <row r="42" spans="1:7" ht="11.25" customHeight="1" x14ac:dyDescent="0.2">
      <c r="A42" s="49">
        <v>44531</v>
      </c>
      <c r="B42" s="39">
        <v>0</v>
      </c>
      <c r="C42" s="39">
        <v>88.141219200000165</v>
      </c>
      <c r="D42" s="39">
        <v>0</v>
      </c>
      <c r="E42" s="39">
        <v>100.69472332960331</v>
      </c>
      <c r="F42" s="39">
        <v>88.141219200000165</v>
      </c>
      <c r="G42" s="39">
        <v>100.69472332960331</v>
      </c>
    </row>
    <row r="43" spans="1:7" ht="11.25" customHeight="1" x14ac:dyDescent="0.2">
      <c r="A43" s="49">
        <v>44562</v>
      </c>
      <c r="B43" s="39">
        <v>0</v>
      </c>
      <c r="C43" s="39">
        <v>94.532539200000116</v>
      </c>
      <c r="D43" s="39">
        <v>0</v>
      </c>
      <c r="E43" s="39">
        <v>107.99632642690827</v>
      </c>
      <c r="F43" s="39">
        <v>94.532539200000116</v>
      </c>
      <c r="G43" s="39">
        <v>107.99632642690827</v>
      </c>
    </row>
    <row r="44" spans="1:7" ht="11.25" customHeight="1" x14ac:dyDescent="0.2">
      <c r="A44" s="49">
        <v>44593</v>
      </c>
      <c r="B44" s="39">
        <v>0</v>
      </c>
      <c r="C44" s="39">
        <v>80.8059504</v>
      </c>
      <c r="D44" s="39">
        <v>0</v>
      </c>
      <c r="E44" s="39">
        <v>92.314729621003835</v>
      </c>
      <c r="F44" s="39">
        <v>80.8059504</v>
      </c>
      <c r="G44" s="39">
        <v>92.314729621003835</v>
      </c>
    </row>
    <row r="45" spans="1:7" ht="11.25" customHeight="1" x14ac:dyDescent="0.2">
      <c r="A45" s="49">
        <v>44621</v>
      </c>
      <c r="B45" s="39">
        <v>0</v>
      </c>
      <c r="C45" s="39">
        <v>87.098942400000027</v>
      </c>
      <c r="D45" s="39">
        <v>0</v>
      </c>
      <c r="E45" s="39">
        <v>99.504000362965741</v>
      </c>
      <c r="F45" s="39">
        <v>87.098942400000027</v>
      </c>
      <c r="G45" s="39">
        <v>99.504000362965741</v>
      </c>
    </row>
    <row r="46" spans="1:7" ht="11.25" customHeight="1" x14ac:dyDescent="0.2">
      <c r="A46" s="49">
        <v>44652</v>
      </c>
      <c r="B46" s="39">
        <v>0</v>
      </c>
      <c r="C46" s="39">
        <v>90.107779199999953</v>
      </c>
      <c r="D46" s="39">
        <v>0</v>
      </c>
      <c r="E46" s="39">
        <v>102.94137043646614</v>
      </c>
      <c r="F46" s="39">
        <v>90.107779199999953</v>
      </c>
      <c r="G46" s="39">
        <v>102.94137043646614</v>
      </c>
    </row>
    <row r="47" spans="1:7" ht="11.25" customHeight="1" x14ac:dyDescent="0.2">
      <c r="A47" s="49">
        <v>44682</v>
      </c>
      <c r="B47" s="39">
        <v>0</v>
      </c>
      <c r="C47" s="39">
        <v>95.181504000000004</v>
      </c>
      <c r="D47" s="39">
        <v>0</v>
      </c>
      <c r="E47" s="39">
        <v>108.73771997217295</v>
      </c>
      <c r="F47" s="39">
        <v>95.181504000000004</v>
      </c>
      <c r="G47" s="39">
        <v>108.73771997217295</v>
      </c>
    </row>
    <row r="48" spans="1:7" ht="11.25" customHeight="1" x14ac:dyDescent="0.2">
      <c r="A48" s="49">
        <v>44713</v>
      </c>
      <c r="B48" s="39">
        <v>0</v>
      </c>
      <c r="C48" s="39">
        <v>94.434211199999766</v>
      </c>
      <c r="D48" s="39">
        <v>0</v>
      </c>
      <c r="E48" s="39">
        <v>107.8839940715647</v>
      </c>
      <c r="F48" s="39">
        <v>94.434211199999766</v>
      </c>
      <c r="G48" s="39">
        <v>107.8839940715647</v>
      </c>
    </row>
    <row r="49" spans="1:7" ht="11.25" customHeight="1" x14ac:dyDescent="0.2">
      <c r="A49" s="49">
        <v>44743</v>
      </c>
      <c r="B49" s="39">
        <v>0</v>
      </c>
      <c r="C49" s="39">
        <v>106.21390560000007</v>
      </c>
      <c r="D49" s="39">
        <v>0</v>
      </c>
      <c r="E49" s="39">
        <v>121.34141024167491</v>
      </c>
      <c r="F49" s="39">
        <v>106.21390560000007</v>
      </c>
      <c r="G49" s="39">
        <v>121.34141024167491</v>
      </c>
    </row>
    <row r="50" spans="1:7" ht="11.25" customHeight="1" x14ac:dyDescent="0.2">
      <c r="A50" s="49">
        <v>44774</v>
      </c>
      <c r="B50" s="39">
        <v>0</v>
      </c>
      <c r="C50" s="39">
        <v>109.81271039999979</v>
      </c>
      <c r="D50" s="39">
        <v>0</v>
      </c>
      <c r="E50" s="39">
        <v>125.45277444723399</v>
      </c>
      <c r="F50" s="39">
        <v>109.81271039999979</v>
      </c>
      <c r="G50" s="39">
        <v>125.45277444723399</v>
      </c>
    </row>
    <row r="51" spans="1:7" ht="11.25" customHeight="1" x14ac:dyDescent="0.2">
      <c r="A51" s="49">
        <v>44805</v>
      </c>
      <c r="B51" s="39">
        <v>0</v>
      </c>
      <c r="C51" s="39">
        <v>106.23357119999991</v>
      </c>
      <c r="D51" s="39">
        <v>0</v>
      </c>
      <c r="E51" s="39">
        <v>121.36387671274335</v>
      </c>
      <c r="F51" s="39">
        <v>106.23357119999991</v>
      </c>
      <c r="G51" s="39">
        <v>121.36387671274335</v>
      </c>
    </row>
    <row r="52" spans="1:7" ht="11.25" customHeight="1" x14ac:dyDescent="0.2">
      <c r="A52" s="49">
        <v>44835</v>
      </c>
      <c r="B52" s="39">
        <v>0</v>
      </c>
      <c r="C52" s="39">
        <v>106.23357119999991</v>
      </c>
      <c r="D52" s="39">
        <v>0</v>
      </c>
      <c r="E52" s="39">
        <v>121.36387671274335</v>
      </c>
      <c r="F52" s="39">
        <v>106.23357119999991</v>
      </c>
      <c r="G52" s="39">
        <v>121.36387671274335</v>
      </c>
    </row>
    <row r="53" spans="1:7" ht="11.25" customHeight="1" x14ac:dyDescent="0.2">
      <c r="A53" s="48" t="s">
        <v>25</v>
      </c>
      <c r="B53" s="39">
        <v>1021.68</v>
      </c>
      <c r="C53" s="39">
        <v>0</v>
      </c>
      <c r="D53" s="39">
        <v>1758.0750444370158</v>
      </c>
      <c r="E53" s="39">
        <v>0</v>
      </c>
      <c r="F53" s="39">
        <v>1021.68</v>
      </c>
      <c r="G53" s="39">
        <v>1758.0750444370158</v>
      </c>
    </row>
    <row r="54" spans="1:7" ht="11.25" customHeight="1" x14ac:dyDescent="0.2">
      <c r="A54" s="49">
        <v>44501</v>
      </c>
      <c r="B54" s="39">
        <v>85.140000000000015</v>
      </c>
      <c r="C54" s="39">
        <v>0</v>
      </c>
      <c r="D54" s="39">
        <v>146.50625370308464</v>
      </c>
      <c r="E54" s="39">
        <v>0</v>
      </c>
      <c r="F54" s="39">
        <v>85.140000000000015</v>
      </c>
      <c r="G54" s="39">
        <v>146.50625370308464</v>
      </c>
    </row>
    <row r="55" spans="1:7" ht="11.25" customHeight="1" x14ac:dyDescent="0.2">
      <c r="A55" s="49">
        <v>44531</v>
      </c>
      <c r="B55" s="39">
        <v>85.140000000000015</v>
      </c>
      <c r="C55" s="39">
        <v>0</v>
      </c>
      <c r="D55" s="39">
        <v>146.50625370308464</v>
      </c>
      <c r="E55" s="39">
        <v>0</v>
      </c>
      <c r="F55" s="39">
        <v>85.140000000000015</v>
      </c>
      <c r="G55" s="39">
        <v>146.50625370308464</v>
      </c>
    </row>
    <row r="56" spans="1:7" ht="11.25" customHeight="1" x14ac:dyDescent="0.2">
      <c r="A56" s="49">
        <v>44562</v>
      </c>
      <c r="B56" s="39">
        <v>85.140000000000015</v>
      </c>
      <c r="C56" s="39">
        <v>0</v>
      </c>
      <c r="D56" s="39">
        <v>146.50625370308464</v>
      </c>
      <c r="E56" s="39">
        <v>0</v>
      </c>
      <c r="F56" s="39">
        <v>85.140000000000015</v>
      </c>
      <c r="G56" s="39">
        <v>146.50625370308464</v>
      </c>
    </row>
    <row r="57" spans="1:7" ht="11.25" customHeight="1" x14ac:dyDescent="0.2">
      <c r="A57" s="49">
        <v>44593</v>
      </c>
      <c r="B57" s="39">
        <v>85.140000000000015</v>
      </c>
      <c r="C57" s="39">
        <v>0</v>
      </c>
      <c r="D57" s="39">
        <v>146.50625370308464</v>
      </c>
      <c r="E57" s="39">
        <v>0</v>
      </c>
      <c r="F57" s="39">
        <v>85.140000000000015</v>
      </c>
      <c r="G57" s="39">
        <v>146.50625370308464</v>
      </c>
    </row>
    <row r="58" spans="1:7" ht="11.25" customHeight="1" x14ac:dyDescent="0.2">
      <c r="A58" s="49">
        <v>44621</v>
      </c>
      <c r="B58" s="39">
        <v>85.140000000000015</v>
      </c>
      <c r="C58" s="39">
        <v>0</v>
      </c>
      <c r="D58" s="39">
        <v>146.50625370308464</v>
      </c>
      <c r="E58" s="39">
        <v>0</v>
      </c>
      <c r="F58" s="39">
        <v>85.140000000000015</v>
      </c>
      <c r="G58" s="39">
        <v>146.50625370308464</v>
      </c>
    </row>
    <row r="59" spans="1:7" ht="11.25" customHeight="1" x14ac:dyDescent="0.2">
      <c r="A59" s="49">
        <v>44652</v>
      </c>
      <c r="B59" s="39">
        <v>85.140000000000015</v>
      </c>
      <c r="C59" s="39">
        <v>0</v>
      </c>
      <c r="D59" s="39">
        <v>146.50625370308464</v>
      </c>
      <c r="E59" s="39">
        <v>0</v>
      </c>
      <c r="F59" s="39">
        <v>85.140000000000015</v>
      </c>
      <c r="G59" s="39">
        <v>146.50625370308464</v>
      </c>
    </row>
    <row r="60" spans="1:7" ht="11.25" customHeight="1" x14ac:dyDescent="0.2">
      <c r="A60" s="49">
        <v>44682</v>
      </c>
      <c r="B60" s="39">
        <v>85.140000000000015</v>
      </c>
      <c r="C60" s="39">
        <v>0</v>
      </c>
      <c r="D60" s="39">
        <v>146.50625370308464</v>
      </c>
      <c r="E60" s="39">
        <v>0</v>
      </c>
      <c r="F60" s="39">
        <v>85.140000000000015</v>
      </c>
      <c r="G60" s="39">
        <v>146.50625370308464</v>
      </c>
    </row>
    <row r="61" spans="1:7" ht="11.25" customHeight="1" x14ac:dyDescent="0.2">
      <c r="A61" s="49">
        <v>44713</v>
      </c>
      <c r="B61" s="39">
        <v>85.140000000000015</v>
      </c>
      <c r="C61" s="39">
        <v>0</v>
      </c>
      <c r="D61" s="39">
        <v>146.50625370308464</v>
      </c>
      <c r="E61" s="39">
        <v>0</v>
      </c>
      <c r="F61" s="39">
        <v>85.140000000000015</v>
      </c>
      <c r="G61" s="39">
        <v>146.50625370308464</v>
      </c>
    </row>
    <row r="62" spans="1:7" ht="11.25" customHeight="1" x14ac:dyDescent="0.2">
      <c r="A62" s="49">
        <v>44743</v>
      </c>
      <c r="B62" s="39">
        <v>85.140000000000015</v>
      </c>
      <c r="C62" s="39">
        <v>0</v>
      </c>
      <c r="D62" s="39">
        <v>146.50625370308464</v>
      </c>
      <c r="E62" s="39">
        <v>0</v>
      </c>
      <c r="F62" s="39">
        <v>85.140000000000015</v>
      </c>
      <c r="G62" s="39">
        <v>146.50625370308464</v>
      </c>
    </row>
    <row r="63" spans="1:7" ht="11.25" customHeight="1" x14ac:dyDescent="0.2">
      <c r="A63" s="49">
        <v>44774</v>
      </c>
      <c r="B63" s="39">
        <v>85.140000000000015</v>
      </c>
      <c r="C63" s="39">
        <v>0</v>
      </c>
      <c r="D63" s="39">
        <v>146.50625370308464</v>
      </c>
      <c r="E63" s="39">
        <v>0</v>
      </c>
      <c r="F63" s="39">
        <v>85.140000000000015</v>
      </c>
      <c r="G63" s="39">
        <v>146.50625370308464</v>
      </c>
    </row>
    <row r="64" spans="1:7" ht="11.25" customHeight="1" x14ac:dyDescent="0.2">
      <c r="A64" s="49">
        <v>44805</v>
      </c>
      <c r="B64" s="39">
        <v>85.140000000000015</v>
      </c>
      <c r="C64" s="39">
        <v>0</v>
      </c>
      <c r="D64" s="39">
        <v>146.50625370308464</v>
      </c>
      <c r="E64" s="39">
        <v>0</v>
      </c>
      <c r="F64" s="39">
        <v>85.140000000000015</v>
      </c>
      <c r="G64" s="39">
        <v>146.50625370308464</v>
      </c>
    </row>
    <row r="65" spans="1:7" ht="11.25" customHeight="1" x14ac:dyDescent="0.2">
      <c r="A65" s="49">
        <v>44835</v>
      </c>
      <c r="B65" s="39">
        <v>85.140000000000015</v>
      </c>
      <c r="C65" s="39">
        <v>0</v>
      </c>
      <c r="D65" s="39">
        <v>146.50625370308464</v>
      </c>
      <c r="E65" s="39">
        <v>0</v>
      </c>
      <c r="F65" s="39">
        <v>85.140000000000015</v>
      </c>
      <c r="G65" s="39">
        <v>146.50625370308464</v>
      </c>
    </row>
    <row r="66" spans="1:7" ht="11.25" customHeight="1" x14ac:dyDescent="0.2">
      <c r="A66" s="48" t="s">
        <v>34</v>
      </c>
      <c r="B66" s="39">
        <v>0</v>
      </c>
      <c r="C66" s="39">
        <v>764.12335680000024</v>
      </c>
      <c r="D66" s="39">
        <v>0</v>
      </c>
      <c r="E66" s="39">
        <v>1163.0346813593808</v>
      </c>
      <c r="F66" s="39">
        <v>764.12335680000024</v>
      </c>
      <c r="G66" s="39">
        <v>1163.0346813593808</v>
      </c>
    </row>
    <row r="67" spans="1:7" ht="11.25" customHeight="1" x14ac:dyDescent="0.2">
      <c r="A67" s="49">
        <v>44501</v>
      </c>
      <c r="B67" s="39">
        <v>0</v>
      </c>
      <c r="C67" s="39">
        <v>51.335222400000049</v>
      </c>
      <c r="D67" s="39">
        <v>0</v>
      </c>
      <c r="E67" s="39">
        <v>78.134824037480598</v>
      </c>
      <c r="F67" s="39">
        <v>51.335222400000049</v>
      </c>
      <c r="G67" s="39">
        <v>78.134824037480598</v>
      </c>
    </row>
    <row r="68" spans="1:7" ht="11.25" customHeight="1" x14ac:dyDescent="0.2">
      <c r="A68" s="49">
        <v>44531</v>
      </c>
      <c r="B68" s="39">
        <v>0</v>
      </c>
      <c r="C68" s="39">
        <v>61.621315199999941</v>
      </c>
      <c r="D68" s="39">
        <v>0</v>
      </c>
      <c r="E68" s="39">
        <v>93.790781358534048</v>
      </c>
      <c r="F68" s="39">
        <v>61.621315199999941</v>
      </c>
      <c r="G68" s="39">
        <v>93.790781358534048</v>
      </c>
    </row>
    <row r="69" spans="1:7" ht="11.25" customHeight="1" x14ac:dyDescent="0.2">
      <c r="A69" s="49">
        <v>44562</v>
      </c>
      <c r="B69" s="39">
        <v>0</v>
      </c>
      <c r="C69" s="39">
        <v>61.811798399999958</v>
      </c>
      <c r="D69" s="39">
        <v>0</v>
      </c>
      <c r="E69" s="39">
        <v>94.080706494109123</v>
      </c>
      <c r="F69" s="39">
        <v>61.811798399999958</v>
      </c>
      <c r="G69" s="39">
        <v>94.080706494109123</v>
      </c>
    </row>
    <row r="70" spans="1:7" ht="11.25" customHeight="1" x14ac:dyDescent="0.2">
      <c r="A70" s="49">
        <v>44593</v>
      </c>
      <c r="B70" s="39">
        <v>0</v>
      </c>
      <c r="C70" s="39">
        <v>54.763919999999956</v>
      </c>
      <c r="D70" s="39">
        <v>0</v>
      </c>
      <c r="E70" s="39">
        <v>83.353476477831663</v>
      </c>
      <c r="F70" s="39">
        <v>54.763919999999956</v>
      </c>
      <c r="G70" s="39">
        <v>83.353476477831663</v>
      </c>
    </row>
    <row r="71" spans="1:7" ht="11.25" customHeight="1" x14ac:dyDescent="0.2">
      <c r="A71" s="49">
        <v>44621</v>
      </c>
      <c r="B71" s="39">
        <v>0</v>
      </c>
      <c r="C71" s="39">
        <v>58.192617600000041</v>
      </c>
      <c r="D71" s="39">
        <v>0</v>
      </c>
      <c r="E71" s="39">
        <v>88.572128918182983</v>
      </c>
      <c r="F71" s="39">
        <v>58.192617600000041</v>
      </c>
      <c r="G71" s="39">
        <v>88.572128918182983</v>
      </c>
    </row>
    <row r="72" spans="1:7" ht="11.25" customHeight="1" x14ac:dyDescent="0.2">
      <c r="A72" s="49">
        <v>44652</v>
      </c>
      <c r="B72" s="39">
        <v>0</v>
      </c>
      <c r="C72" s="39">
        <v>53.335296000000113</v>
      </c>
      <c r="D72" s="39">
        <v>0</v>
      </c>
      <c r="E72" s="39">
        <v>81.179037961018878</v>
      </c>
      <c r="F72" s="39">
        <v>53.335296000000113</v>
      </c>
      <c r="G72" s="39">
        <v>81.179037961018878</v>
      </c>
    </row>
    <row r="73" spans="1:7" ht="11.25" customHeight="1" x14ac:dyDescent="0.2">
      <c r="A73" s="49">
        <v>44682</v>
      </c>
      <c r="B73" s="39">
        <v>0</v>
      </c>
      <c r="C73" s="39">
        <v>66.383395199999953</v>
      </c>
      <c r="D73" s="39">
        <v>0</v>
      </c>
      <c r="E73" s="39">
        <v>101.03890974791072</v>
      </c>
      <c r="F73" s="39">
        <v>66.383395199999953</v>
      </c>
      <c r="G73" s="39">
        <v>101.03890974791072</v>
      </c>
    </row>
    <row r="74" spans="1:7" ht="11.25" customHeight="1" x14ac:dyDescent="0.2">
      <c r="A74" s="49">
        <v>44713</v>
      </c>
      <c r="B74" s="39">
        <v>0</v>
      </c>
      <c r="C74" s="39">
        <v>62.383247999999995</v>
      </c>
      <c r="D74" s="39">
        <v>0</v>
      </c>
      <c r="E74" s="39">
        <v>94.95048190083439</v>
      </c>
      <c r="F74" s="39">
        <v>62.383247999999995</v>
      </c>
      <c r="G74" s="39">
        <v>94.95048190083439</v>
      </c>
    </row>
    <row r="75" spans="1:7" ht="11.25" customHeight="1" x14ac:dyDescent="0.2">
      <c r="A75" s="49">
        <v>44743</v>
      </c>
      <c r="B75" s="39">
        <v>0</v>
      </c>
      <c r="C75" s="39">
        <v>72.669340800000072</v>
      </c>
      <c r="D75" s="39">
        <v>0</v>
      </c>
      <c r="E75" s="39">
        <v>110.6064392218881</v>
      </c>
      <c r="F75" s="39">
        <v>72.669340800000072</v>
      </c>
      <c r="G75" s="39">
        <v>110.6064392218881</v>
      </c>
    </row>
    <row r="76" spans="1:7" ht="11.25" customHeight="1" x14ac:dyDescent="0.2">
      <c r="A76" s="49">
        <v>44774</v>
      </c>
      <c r="B76" s="39">
        <v>0</v>
      </c>
      <c r="C76" s="39">
        <v>79.145769600000023</v>
      </c>
      <c r="D76" s="39">
        <v>0</v>
      </c>
      <c r="E76" s="39">
        <v>120.4638938314403</v>
      </c>
      <c r="F76" s="39">
        <v>79.145769600000023</v>
      </c>
      <c r="G76" s="39">
        <v>120.4638938314403</v>
      </c>
    </row>
    <row r="77" spans="1:7" ht="11.25" customHeight="1" x14ac:dyDescent="0.2">
      <c r="A77" s="49">
        <v>44805</v>
      </c>
      <c r="B77" s="39">
        <v>0</v>
      </c>
      <c r="C77" s="39">
        <v>71.240716800000044</v>
      </c>
      <c r="D77" s="39">
        <v>0</v>
      </c>
      <c r="E77" s="39">
        <v>108.43200070507507</v>
      </c>
      <c r="F77" s="39">
        <v>71.240716800000044</v>
      </c>
      <c r="G77" s="39">
        <v>108.43200070507507</v>
      </c>
    </row>
    <row r="78" spans="1:7" ht="11.25" customHeight="1" x14ac:dyDescent="0.2">
      <c r="A78" s="49">
        <v>44835</v>
      </c>
      <c r="B78" s="39">
        <v>0</v>
      </c>
      <c r="C78" s="39">
        <v>71.240716800000044</v>
      </c>
      <c r="D78" s="39">
        <v>0</v>
      </c>
      <c r="E78" s="39">
        <v>108.43200070507507</v>
      </c>
      <c r="F78" s="39">
        <v>71.240716800000044</v>
      </c>
      <c r="G78" s="39">
        <v>108.43200070507507</v>
      </c>
    </row>
    <row r="79" spans="1:7" ht="11.25" customHeight="1" x14ac:dyDescent="0.2">
      <c r="A79" s="42" t="s">
        <v>37</v>
      </c>
      <c r="B79" s="39">
        <v>0</v>
      </c>
      <c r="C79" s="39">
        <v>59526.188061599983</v>
      </c>
      <c r="D79" s="39">
        <v>0</v>
      </c>
      <c r="E79" s="39">
        <v>67680.83797940654</v>
      </c>
      <c r="F79" s="39">
        <v>59526.188061599983</v>
      </c>
      <c r="G79" s="39">
        <v>67680.83797940654</v>
      </c>
    </row>
    <row r="80" spans="1:7" ht="11.25" customHeight="1" x14ac:dyDescent="0.2">
      <c r="A80" s="43" t="s">
        <v>23</v>
      </c>
      <c r="B80" s="39">
        <v>0</v>
      </c>
      <c r="C80" s="39">
        <v>59526.188061599983</v>
      </c>
      <c r="D80" s="39">
        <v>0</v>
      </c>
      <c r="E80" s="39">
        <v>67680.83797940654</v>
      </c>
      <c r="F80" s="39">
        <v>59526.188061599983</v>
      </c>
      <c r="G80" s="39">
        <v>67680.83797940654</v>
      </c>
    </row>
    <row r="81" spans="1:7" ht="11.25" customHeight="1" x14ac:dyDescent="0.2">
      <c r="A81" s="44" t="s">
        <v>50</v>
      </c>
      <c r="B81" s="39">
        <v>0</v>
      </c>
      <c r="C81" s="39">
        <v>59526.188061599983</v>
      </c>
      <c r="D81" s="39">
        <v>0</v>
      </c>
      <c r="E81" s="39">
        <v>67680.83797940654</v>
      </c>
      <c r="F81" s="39">
        <v>59526.188061599983</v>
      </c>
      <c r="G81" s="39">
        <v>67680.83797940654</v>
      </c>
    </row>
    <row r="82" spans="1:7" ht="11.25" customHeight="1" x14ac:dyDescent="0.2">
      <c r="A82" s="45" t="s">
        <v>51</v>
      </c>
      <c r="B82" s="39">
        <v>0</v>
      </c>
      <c r="C82" s="39">
        <v>59526.188061599983</v>
      </c>
      <c r="D82" s="39">
        <v>0</v>
      </c>
      <c r="E82" s="39">
        <v>67680.83797940654</v>
      </c>
      <c r="F82" s="39">
        <v>59526.188061599983</v>
      </c>
      <c r="G82" s="39">
        <v>67680.83797940654</v>
      </c>
    </row>
    <row r="83" spans="1:7" ht="11.25" customHeight="1" x14ac:dyDescent="0.2">
      <c r="A83" s="46" t="s">
        <v>25</v>
      </c>
      <c r="B83" s="39">
        <v>0</v>
      </c>
      <c r="C83" s="39">
        <v>59526.188061599983</v>
      </c>
      <c r="D83" s="39">
        <v>0</v>
      </c>
      <c r="E83" s="39">
        <v>67680.83797940654</v>
      </c>
      <c r="F83" s="39">
        <v>59526.188061599983</v>
      </c>
      <c r="G83" s="39">
        <v>67680.83797940654</v>
      </c>
    </row>
    <row r="84" spans="1:7" ht="11.25" customHeight="1" x14ac:dyDescent="0.2">
      <c r="A84" s="47" t="s">
        <v>25</v>
      </c>
      <c r="B84" s="39">
        <v>0</v>
      </c>
      <c r="C84" s="39">
        <v>59526.188061599983</v>
      </c>
      <c r="D84" s="39">
        <v>0</v>
      </c>
      <c r="E84" s="39">
        <v>67680.83797940654</v>
      </c>
      <c r="F84" s="39">
        <v>59526.188061599983</v>
      </c>
      <c r="G84" s="39">
        <v>67680.83797940654</v>
      </c>
    </row>
    <row r="85" spans="1:7" ht="11.25" customHeight="1" x14ac:dyDescent="0.2">
      <c r="A85" s="48" t="s">
        <v>25</v>
      </c>
      <c r="B85" s="39">
        <v>0</v>
      </c>
      <c r="C85" s="39">
        <v>59526.188061599983</v>
      </c>
      <c r="D85" s="39">
        <v>0</v>
      </c>
      <c r="E85" s="39">
        <v>67680.83797940654</v>
      </c>
      <c r="F85" s="39">
        <v>59526.188061599983</v>
      </c>
      <c r="G85" s="39">
        <v>67680.83797940654</v>
      </c>
    </row>
    <row r="86" spans="1:7" ht="11.25" customHeight="1" x14ac:dyDescent="0.2">
      <c r="A86" s="49">
        <v>44501</v>
      </c>
      <c r="B86" s="39">
        <v>0</v>
      </c>
      <c r="C86" s="39">
        <v>5197.4827788000084</v>
      </c>
      <c r="D86" s="39">
        <v>0</v>
      </c>
      <c r="E86" s="39">
        <v>5909.4996892576764</v>
      </c>
      <c r="F86" s="39">
        <v>5197.4827788000084</v>
      </c>
      <c r="G86" s="39">
        <v>5909.4996892576764</v>
      </c>
    </row>
    <row r="87" spans="1:7" ht="11.25" customHeight="1" x14ac:dyDescent="0.2">
      <c r="A87" s="49">
        <v>44531</v>
      </c>
      <c r="B87" s="39">
        <v>0</v>
      </c>
      <c r="C87" s="39">
        <v>4834.4717694000074</v>
      </c>
      <c r="D87" s="39">
        <v>0</v>
      </c>
      <c r="E87" s="39">
        <v>5496.758841708066</v>
      </c>
      <c r="F87" s="39">
        <v>4834.4717694000074</v>
      </c>
      <c r="G87" s="39">
        <v>5496.758841708066</v>
      </c>
    </row>
    <row r="88" spans="1:7" ht="11.25" customHeight="1" x14ac:dyDescent="0.2">
      <c r="A88" s="49">
        <v>44562</v>
      </c>
      <c r="B88" s="39">
        <v>0</v>
      </c>
      <c r="C88" s="39">
        <v>4873.6637039999987</v>
      </c>
      <c r="D88" s="39">
        <v>0</v>
      </c>
      <c r="E88" s="39">
        <v>5541.319783070825</v>
      </c>
      <c r="F88" s="39">
        <v>4873.6637039999987</v>
      </c>
      <c r="G88" s="39">
        <v>5541.319783070825</v>
      </c>
    </row>
    <row r="89" spans="1:7" ht="11.25" customHeight="1" x14ac:dyDescent="0.2">
      <c r="A89" s="49">
        <v>44593</v>
      </c>
      <c r="B89" s="39">
        <v>0</v>
      </c>
      <c r="C89" s="39">
        <v>4568.6978922000017</v>
      </c>
      <c r="D89" s="39">
        <v>0</v>
      </c>
      <c r="E89" s="39">
        <v>5194.5758982392545</v>
      </c>
      <c r="F89" s="39">
        <v>4568.6978922000017</v>
      </c>
      <c r="G89" s="39">
        <v>5194.5758982392545</v>
      </c>
    </row>
    <row r="90" spans="1:7" ht="11.25" customHeight="1" x14ac:dyDescent="0.2">
      <c r="A90" s="49">
        <v>44621</v>
      </c>
      <c r="B90" s="39">
        <v>0</v>
      </c>
      <c r="C90" s="39">
        <v>4313.0171759999976</v>
      </c>
      <c r="D90" s="39">
        <v>0</v>
      </c>
      <c r="E90" s="39">
        <v>4903.8688045869021</v>
      </c>
      <c r="F90" s="39">
        <v>4313.0171759999976</v>
      </c>
      <c r="G90" s="39">
        <v>4903.8688045869021</v>
      </c>
    </row>
    <row r="91" spans="1:7" ht="11.25" customHeight="1" x14ac:dyDescent="0.2">
      <c r="A91" s="49">
        <v>44652</v>
      </c>
      <c r="B91" s="39">
        <v>0</v>
      </c>
      <c r="C91" s="39">
        <v>4902.5720406</v>
      </c>
      <c r="D91" s="39">
        <v>0</v>
      </c>
      <c r="E91" s="39">
        <v>5574.1883491489043</v>
      </c>
      <c r="F91" s="39">
        <v>4902.5720406</v>
      </c>
      <c r="G91" s="39">
        <v>5574.1883491489043</v>
      </c>
    </row>
    <row r="92" spans="1:7" ht="11.25" customHeight="1" x14ac:dyDescent="0.2">
      <c r="A92" s="49">
        <v>44682</v>
      </c>
      <c r="B92" s="39">
        <v>0</v>
      </c>
      <c r="C92" s="39">
        <v>5216.8311779999976</v>
      </c>
      <c r="D92" s="39">
        <v>0</v>
      </c>
      <c r="E92" s="39">
        <v>5931.4986768303434</v>
      </c>
      <c r="F92" s="39">
        <v>5216.8311779999976</v>
      </c>
      <c r="G92" s="39">
        <v>5931.4986768303434</v>
      </c>
    </row>
    <row r="93" spans="1:7" ht="11.25" customHeight="1" x14ac:dyDescent="0.2">
      <c r="A93" s="49">
        <v>44713</v>
      </c>
      <c r="B93" s="39">
        <v>0</v>
      </c>
      <c r="C93" s="39">
        <v>4619.5064837999998</v>
      </c>
      <c r="D93" s="39">
        <v>0</v>
      </c>
      <c r="E93" s="39">
        <v>5252.3448931643579</v>
      </c>
      <c r="F93" s="39">
        <v>4619.5064837999998</v>
      </c>
      <c r="G93" s="39">
        <v>5252.3448931643579</v>
      </c>
    </row>
    <row r="94" spans="1:7" ht="11.25" customHeight="1" x14ac:dyDescent="0.2">
      <c r="A94" s="49">
        <v>44743</v>
      </c>
      <c r="B94" s="39">
        <v>0</v>
      </c>
      <c r="C94" s="39">
        <v>5129.9919060000011</v>
      </c>
      <c r="D94" s="39">
        <v>0</v>
      </c>
      <c r="E94" s="39">
        <v>5832.7630633151748</v>
      </c>
      <c r="F94" s="39">
        <v>5129.9919060000011</v>
      </c>
      <c r="G94" s="39">
        <v>5832.7630633151748</v>
      </c>
    </row>
    <row r="95" spans="1:7" ht="11.25" customHeight="1" x14ac:dyDescent="0.2">
      <c r="A95" s="49">
        <v>44774</v>
      </c>
      <c r="B95" s="39">
        <v>0</v>
      </c>
      <c r="C95" s="39">
        <v>5155.3581143999972</v>
      </c>
      <c r="D95" s="39">
        <v>0</v>
      </c>
      <c r="E95" s="39">
        <v>5861.6042556840757</v>
      </c>
      <c r="F95" s="39">
        <v>5155.3581143999972</v>
      </c>
      <c r="G95" s="39">
        <v>5861.6042556840757</v>
      </c>
    </row>
    <row r="96" spans="1:7" ht="11.25" customHeight="1" x14ac:dyDescent="0.2">
      <c r="A96" s="49">
        <v>44805</v>
      </c>
      <c r="B96" s="39">
        <v>0</v>
      </c>
      <c r="C96" s="39">
        <v>5357.2975091999833</v>
      </c>
      <c r="D96" s="39">
        <v>0</v>
      </c>
      <c r="E96" s="39">
        <v>6091.2078622004838</v>
      </c>
      <c r="F96" s="39">
        <v>5357.2975091999833</v>
      </c>
      <c r="G96" s="39">
        <v>6091.2078622004838</v>
      </c>
    </row>
    <row r="97" spans="1:7" ht="11.25" customHeight="1" x14ac:dyDescent="0.2">
      <c r="A97" s="49">
        <v>44835</v>
      </c>
      <c r="B97" s="39">
        <v>0</v>
      </c>
      <c r="C97" s="39">
        <v>5357.2975091999833</v>
      </c>
      <c r="D97" s="39">
        <v>0</v>
      </c>
      <c r="E97" s="39">
        <v>6091.2078622004838</v>
      </c>
      <c r="F97" s="39">
        <v>5357.2975091999833</v>
      </c>
      <c r="G97" s="39">
        <v>6091.2078622004838</v>
      </c>
    </row>
    <row r="98" spans="1:7" ht="11.25" customHeight="1" x14ac:dyDescent="0.2">
      <c r="A98" s="41" t="s">
        <v>816</v>
      </c>
      <c r="B98" s="39">
        <v>0</v>
      </c>
      <c r="C98" s="39">
        <v>992078.28364499996</v>
      </c>
      <c r="D98" s="39">
        <v>0</v>
      </c>
      <c r="E98" s="39">
        <v>1010100.5136434599</v>
      </c>
      <c r="F98" s="39">
        <v>992078.28364499996</v>
      </c>
      <c r="G98" s="39">
        <v>1010100.5136434599</v>
      </c>
    </row>
    <row r="99" spans="1:7" ht="11.25" customHeight="1" x14ac:dyDescent="0.2">
      <c r="A99" s="42" t="s">
        <v>22</v>
      </c>
      <c r="B99" s="39">
        <v>0</v>
      </c>
      <c r="C99" s="39">
        <v>992078.28364499996</v>
      </c>
      <c r="D99" s="39">
        <v>0</v>
      </c>
      <c r="E99" s="39">
        <v>1010100.5136434599</v>
      </c>
      <c r="F99" s="39">
        <v>992078.28364499996</v>
      </c>
      <c r="G99" s="39">
        <v>1010100.5136434599</v>
      </c>
    </row>
    <row r="100" spans="1:7" ht="11.25" customHeight="1" x14ac:dyDescent="0.2">
      <c r="A100" s="43" t="s">
        <v>23</v>
      </c>
      <c r="B100" s="39">
        <v>0</v>
      </c>
      <c r="C100" s="39">
        <v>992078.28364499996</v>
      </c>
      <c r="D100" s="39">
        <v>0</v>
      </c>
      <c r="E100" s="39">
        <v>1010100.5136434599</v>
      </c>
      <c r="F100" s="39">
        <v>992078.28364499996</v>
      </c>
      <c r="G100" s="39">
        <v>1010100.5136434599</v>
      </c>
    </row>
    <row r="101" spans="1:7" ht="11.25" customHeight="1" x14ac:dyDescent="0.2">
      <c r="A101" s="44" t="s">
        <v>24</v>
      </c>
      <c r="B101" s="39">
        <v>0</v>
      </c>
      <c r="C101" s="39">
        <v>992078.28364499996</v>
      </c>
      <c r="D101" s="39">
        <v>0</v>
      </c>
      <c r="E101" s="39">
        <v>1010100.5136434599</v>
      </c>
      <c r="F101" s="39">
        <v>992078.28364499996</v>
      </c>
      <c r="G101" s="39">
        <v>1010100.5136434599</v>
      </c>
    </row>
    <row r="102" spans="1:7" ht="11.25" customHeight="1" x14ac:dyDescent="0.2">
      <c r="A102" s="45" t="s">
        <v>29</v>
      </c>
      <c r="B102" s="39">
        <v>0</v>
      </c>
      <c r="C102" s="39">
        <v>400907.48357499996</v>
      </c>
      <c r="D102" s="39">
        <v>0</v>
      </c>
      <c r="E102" s="39">
        <v>408191.21813910472</v>
      </c>
      <c r="F102" s="39">
        <v>400907.4835749999</v>
      </c>
      <c r="G102" s="39">
        <v>408191.21813910472</v>
      </c>
    </row>
    <row r="103" spans="1:7" ht="11.25" customHeight="1" x14ac:dyDescent="0.2">
      <c r="A103" s="46" t="s">
        <v>25</v>
      </c>
      <c r="B103" s="39">
        <v>0</v>
      </c>
      <c r="C103" s="39">
        <v>400907.48357499996</v>
      </c>
      <c r="D103" s="39">
        <v>0</v>
      </c>
      <c r="E103" s="39">
        <v>408191.21813910472</v>
      </c>
      <c r="F103" s="39">
        <v>400907.4835749999</v>
      </c>
      <c r="G103" s="39">
        <v>408191.21813910472</v>
      </c>
    </row>
    <row r="104" spans="1:7" ht="11.25" customHeight="1" x14ac:dyDescent="0.2">
      <c r="A104" s="47" t="s">
        <v>25</v>
      </c>
      <c r="B104" s="39">
        <v>0</v>
      </c>
      <c r="C104" s="39">
        <v>400907.48357499996</v>
      </c>
      <c r="D104" s="39">
        <v>0</v>
      </c>
      <c r="E104" s="39">
        <v>408191.21813910472</v>
      </c>
      <c r="F104" s="39">
        <v>400907.4835749999</v>
      </c>
      <c r="G104" s="39">
        <v>408191.21813910472</v>
      </c>
    </row>
    <row r="105" spans="1:7" ht="11.25" customHeight="1" x14ac:dyDescent="0.2">
      <c r="A105" s="48" t="s">
        <v>25</v>
      </c>
      <c r="B105" s="39">
        <v>0</v>
      </c>
      <c r="C105" s="39">
        <v>400907.48357499996</v>
      </c>
      <c r="D105" s="39">
        <v>0</v>
      </c>
      <c r="E105" s="39">
        <v>408191.21813910472</v>
      </c>
      <c r="F105" s="39">
        <v>400907.4835749999</v>
      </c>
      <c r="G105" s="39">
        <v>408191.21813910472</v>
      </c>
    </row>
    <row r="106" spans="1:7" ht="11.25" customHeight="1" x14ac:dyDescent="0.2">
      <c r="A106" s="49">
        <v>44501</v>
      </c>
      <c r="B106" s="39">
        <v>0</v>
      </c>
      <c r="C106" s="39">
        <v>27068.6682</v>
      </c>
      <c r="D106" s="39">
        <v>0</v>
      </c>
      <c r="E106" s="39">
        <v>27560.454918000811</v>
      </c>
      <c r="F106" s="39">
        <v>27068.6682</v>
      </c>
      <c r="G106" s="39">
        <v>27560.454918000811</v>
      </c>
    </row>
    <row r="107" spans="1:7" ht="11.25" customHeight="1" x14ac:dyDescent="0.2">
      <c r="A107" s="49">
        <v>44531</v>
      </c>
      <c r="B107" s="39">
        <v>0</v>
      </c>
      <c r="C107" s="39">
        <v>28281.8298</v>
      </c>
      <c r="D107" s="39">
        <v>0</v>
      </c>
      <c r="E107" s="39">
        <v>28795.657379311771</v>
      </c>
      <c r="F107" s="39">
        <v>28281.8298</v>
      </c>
      <c r="G107" s="39">
        <v>28795.657379311771</v>
      </c>
    </row>
    <row r="108" spans="1:7" ht="11.25" customHeight="1" x14ac:dyDescent="0.2">
      <c r="A108" s="49">
        <v>44562</v>
      </c>
      <c r="B108" s="39">
        <v>0</v>
      </c>
      <c r="C108" s="39">
        <v>28888.410600000003</v>
      </c>
      <c r="D108" s="39">
        <v>0</v>
      </c>
      <c r="E108" s="39">
        <v>29413.258609967255</v>
      </c>
      <c r="F108" s="39">
        <v>28888.410600000003</v>
      </c>
      <c r="G108" s="39">
        <v>29413.258609967255</v>
      </c>
    </row>
    <row r="109" spans="1:7" ht="11.25" customHeight="1" x14ac:dyDescent="0.2">
      <c r="A109" s="49">
        <v>44593</v>
      </c>
      <c r="B109" s="39">
        <v>0</v>
      </c>
      <c r="C109" s="39">
        <v>29809.113600000001</v>
      </c>
      <c r="D109" s="39">
        <v>0</v>
      </c>
      <c r="E109" s="39">
        <v>30350.689049355038</v>
      </c>
      <c r="F109" s="39">
        <v>29809.113600000001</v>
      </c>
      <c r="G109" s="39">
        <v>30350.689049355038</v>
      </c>
    </row>
    <row r="110" spans="1:7" ht="11.25" customHeight="1" x14ac:dyDescent="0.2">
      <c r="A110" s="49">
        <v>44621</v>
      </c>
      <c r="B110" s="39">
        <v>0</v>
      </c>
      <c r="C110" s="39">
        <v>31368.892799999998</v>
      </c>
      <c r="D110" s="39">
        <v>0</v>
      </c>
      <c r="E110" s="39">
        <v>31938.806499611983</v>
      </c>
      <c r="F110" s="39">
        <v>31368.892799999998</v>
      </c>
      <c r="G110" s="39">
        <v>31938.806499611983</v>
      </c>
    </row>
    <row r="111" spans="1:7" ht="11.25" customHeight="1" x14ac:dyDescent="0.2">
      <c r="A111" s="49">
        <v>44652</v>
      </c>
      <c r="B111" s="39">
        <v>0</v>
      </c>
      <c r="C111" s="39">
        <v>35127.527399999999</v>
      </c>
      <c r="D111" s="39">
        <v>0</v>
      </c>
      <c r="E111" s="39">
        <v>35765.728410995056</v>
      </c>
      <c r="F111" s="39">
        <v>35127.527399999999</v>
      </c>
      <c r="G111" s="39">
        <v>35765.728410995056</v>
      </c>
    </row>
    <row r="112" spans="1:7" ht="11.25" customHeight="1" x14ac:dyDescent="0.2">
      <c r="A112" s="49">
        <v>44682</v>
      </c>
      <c r="B112" s="39">
        <v>0</v>
      </c>
      <c r="C112" s="39">
        <v>38142.378400000001</v>
      </c>
      <c r="D112" s="39">
        <v>0</v>
      </c>
      <c r="E112" s="39">
        <v>38835.353575264853</v>
      </c>
      <c r="F112" s="39">
        <v>38142.378400000001</v>
      </c>
      <c r="G112" s="39">
        <v>38835.353575264853</v>
      </c>
    </row>
    <row r="113" spans="1:7" ht="11.25" customHeight="1" x14ac:dyDescent="0.2">
      <c r="A113" s="49">
        <v>44713</v>
      </c>
      <c r="B113" s="39">
        <v>0</v>
      </c>
      <c r="C113" s="39">
        <v>36503.165999999997</v>
      </c>
      <c r="D113" s="39">
        <v>0</v>
      </c>
      <c r="E113" s="39">
        <v>37166.359773374439</v>
      </c>
      <c r="F113" s="39">
        <v>36503.165999999997</v>
      </c>
      <c r="G113" s="39">
        <v>37166.359773374439</v>
      </c>
    </row>
    <row r="114" spans="1:7" ht="11.25" customHeight="1" x14ac:dyDescent="0.2">
      <c r="A114" s="49">
        <v>44743</v>
      </c>
      <c r="B114" s="39">
        <v>0</v>
      </c>
      <c r="C114" s="39">
        <v>36597.943574999998</v>
      </c>
      <c r="D114" s="39">
        <v>0</v>
      </c>
      <c r="E114" s="39">
        <v>37262.859965664364</v>
      </c>
      <c r="F114" s="39">
        <v>36597.943574999998</v>
      </c>
      <c r="G114" s="39">
        <v>37262.859965664364</v>
      </c>
    </row>
    <row r="115" spans="1:7" ht="11.25" customHeight="1" x14ac:dyDescent="0.2">
      <c r="A115" s="49">
        <v>44774</v>
      </c>
      <c r="B115" s="39">
        <v>0</v>
      </c>
      <c r="C115" s="39">
        <v>36308.193599999999</v>
      </c>
      <c r="D115" s="39">
        <v>0</v>
      </c>
      <c r="E115" s="39">
        <v>36967.845092092328</v>
      </c>
      <c r="F115" s="39">
        <v>36308.193599999999</v>
      </c>
      <c r="G115" s="39">
        <v>36967.845092092328</v>
      </c>
    </row>
    <row r="116" spans="1:7" ht="11.25" customHeight="1" x14ac:dyDescent="0.2">
      <c r="A116" s="49">
        <v>44805</v>
      </c>
      <c r="B116" s="39">
        <v>0</v>
      </c>
      <c r="C116" s="39">
        <v>36405.679799999998</v>
      </c>
      <c r="D116" s="39">
        <v>0</v>
      </c>
      <c r="E116" s="39">
        <v>37067.10243273338</v>
      </c>
      <c r="F116" s="39">
        <v>36405.679799999998</v>
      </c>
      <c r="G116" s="39">
        <v>37067.10243273338</v>
      </c>
    </row>
    <row r="117" spans="1:7" ht="11.25" customHeight="1" x14ac:dyDescent="0.2">
      <c r="A117" s="49">
        <v>44835</v>
      </c>
      <c r="B117" s="39">
        <v>0</v>
      </c>
      <c r="C117" s="39">
        <v>36405.679799999998</v>
      </c>
      <c r="D117" s="39">
        <v>0</v>
      </c>
      <c r="E117" s="39">
        <v>37067.10243273338</v>
      </c>
      <c r="F117" s="39">
        <v>36405.679799999998</v>
      </c>
      <c r="G117" s="39">
        <v>37067.10243273338</v>
      </c>
    </row>
    <row r="118" spans="1:7" ht="11.25" customHeight="1" x14ac:dyDescent="0.2">
      <c r="A118" s="45" t="s">
        <v>30</v>
      </c>
      <c r="B118" s="39">
        <v>0</v>
      </c>
      <c r="C118" s="39">
        <v>502821.0803700001</v>
      </c>
      <c r="D118" s="39">
        <v>0</v>
      </c>
      <c r="E118" s="39">
        <v>511958.16476251173</v>
      </c>
      <c r="F118" s="39">
        <v>502821.0803700001</v>
      </c>
      <c r="G118" s="39">
        <v>511958.16476251162</v>
      </c>
    </row>
    <row r="119" spans="1:7" ht="11.25" customHeight="1" x14ac:dyDescent="0.2">
      <c r="A119" s="46" t="s">
        <v>25</v>
      </c>
      <c r="B119" s="39">
        <v>0</v>
      </c>
      <c r="C119" s="39">
        <v>502821.0803700001</v>
      </c>
      <c r="D119" s="39">
        <v>0</v>
      </c>
      <c r="E119" s="39">
        <v>511958.16476251173</v>
      </c>
      <c r="F119" s="39">
        <v>502821.0803700001</v>
      </c>
      <c r="G119" s="39">
        <v>511958.16476251162</v>
      </c>
    </row>
    <row r="120" spans="1:7" ht="11.25" customHeight="1" x14ac:dyDescent="0.2">
      <c r="A120" s="47" t="s">
        <v>25</v>
      </c>
      <c r="B120" s="39">
        <v>0</v>
      </c>
      <c r="C120" s="39">
        <v>502821.0803700001</v>
      </c>
      <c r="D120" s="39">
        <v>0</v>
      </c>
      <c r="E120" s="39">
        <v>511958.16476251173</v>
      </c>
      <c r="F120" s="39">
        <v>502821.0803700001</v>
      </c>
      <c r="G120" s="39">
        <v>511958.16476251162</v>
      </c>
    </row>
    <row r="121" spans="1:7" ht="11.25" customHeight="1" x14ac:dyDescent="0.2">
      <c r="A121" s="48" t="s">
        <v>25</v>
      </c>
      <c r="B121" s="39">
        <v>0</v>
      </c>
      <c r="C121" s="39">
        <v>502821.0803700001</v>
      </c>
      <c r="D121" s="39">
        <v>0</v>
      </c>
      <c r="E121" s="39">
        <v>511958.16476251173</v>
      </c>
      <c r="F121" s="39">
        <v>502821.0803700001</v>
      </c>
      <c r="G121" s="39">
        <v>511958.16476251162</v>
      </c>
    </row>
    <row r="122" spans="1:7" ht="11.25" customHeight="1" x14ac:dyDescent="0.2">
      <c r="A122" s="49">
        <v>44501</v>
      </c>
      <c r="B122" s="39">
        <v>0</v>
      </c>
      <c r="C122" s="39">
        <v>34074.614020000008</v>
      </c>
      <c r="D122" s="39">
        <v>0</v>
      </c>
      <c r="E122" s="39">
        <v>34693.805688960856</v>
      </c>
      <c r="F122" s="39">
        <v>34074.614020000008</v>
      </c>
      <c r="G122" s="39">
        <v>34693.805688960856</v>
      </c>
    </row>
    <row r="123" spans="1:7" ht="11.25" customHeight="1" x14ac:dyDescent="0.2">
      <c r="A123" s="49">
        <v>44531</v>
      </c>
      <c r="B123" s="39">
        <v>0</v>
      </c>
      <c r="C123" s="39">
        <v>35251.776640000004</v>
      </c>
      <c r="D123" s="39">
        <v>0</v>
      </c>
      <c r="E123" s="39">
        <v>35892.35928603512</v>
      </c>
      <c r="F123" s="39">
        <v>35251.776640000004</v>
      </c>
      <c r="G123" s="39">
        <v>35892.35928603512</v>
      </c>
    </row>
    <row r="124" spans="1:7" ht="11.25" customHeight="1" x14ac:dyDescent="0.2">
      <c r="A124" s="49">
        <v>44562</v>
      </c>
      <c r="B124" s="39">
        <v>0</v>
      </c>
      <c r="C124" s="39">
        <v>36497.81816000001</v>
      </c>
      <c r="D124" s="39">
        <v>0</v>
      </c>
      <c r="E124" s="39">
        <v>37161.043425784548</v>
      </c>
      <c r="F124" s="39">
        <v>36497.81816000001</v>
      </c>
      <c r="G124" s="39">
        <v>37161.043425784548</v>
      </c>
    </row>
    <row r="125" spans="1:7" ht="11.25" customHeight="1" x14ac:dyDescent="0.2">
      <c r="A125" s="49">
        <v>44593</v>
      </c>
      <c r="B125" s="39">
        <v>0</v>
      </c>
      <c r="C125" s="39">
        <v>37523.225010000002</v>
      </c>
      <c r="D125" s="39">
        <v>0</v>
      </c>
      <c r="E125" s="39">
        <v>38205.083601416423</v>
      </c>
      <c r="F125" s="39">
        <v>37523.225010000002</v>
      </c>
      <c r="G125" s="39">
        <v>38205.083601416423</v>
      </c>
    </row>
    <row r="126" spans="1:7" ht="11.25" customHeight="1" x14ac:dyDescent="0.2">
      <c r="A126" s="49">
        <v>44621</v>
      </c>
      <c r="B126" s="39">
        <v>0</v>
      </c>
      <c r="C126" s="39">
        <v>38616.399810000003</v>
      </c>
      <c r="D126" s="39">
        <v>0</v>
      </c>
      <c r="E126" s="39">
        <v>39318.123181938397</v>
      </c>
      <c r="F126" s="39">
        <v>38616.399810000003</v>
      </c>
      <c r="G126" s="39">
        <v>39318.123181938397</v>
      </c>
    </row>
    <row r="127" spans="1:7" ht="11.25" customHeight="1" x14ac:dyDescent="0.2">
      <c r="A127" s="49">
        <v>44652</v>
      </c>
      <c r="B127" s="39">
        <v>0</v>
      </c>
      <c r="C127" s="39">
        <v>45073.241210000007</v>
      </c>
      <c r="D127" s="39">
        <v>0</v>
      </c>
      <c r="E127" s="39">
        <v>45892.295988842518</v>
      </c>
      <c r="F127" s="39">
        <v>45073.241210000007</v>
      </c>
      <c r="G127" s="39">
        <v>45892.295988842518</v>
      </c>
    </row>
    <row r="128" spans="1:7" ht="11.25" customHeight="1" x14ac:dyDescent="0.2">
      <c r="A128" s="49">
        <v>44682</v>
      </c>
      <c r="B128" s="39">
        <v>0</v>
      </c>
      <c r="C128" s="39">
        <v>47872.168640000004</v>
      </c>
      <c r="D128" s="39">
        <v>0</v>
      </c>
      <c r="E128" s="39">
        <v>48742.084524581369</v>
      </c>
      <c r="F128" s="39">
        <v>47872.168640000004</v>
      </c>
      <c r="G128" s="39">
        <v>48742.084524581369</v>
      </c>
    </row>
    <row r="129" spans="1:7" ht="11.25" customHeight="1" x14ac:dyDescent="0.2">
      <c r="A129" s="49">
        <v>44713</v>
      </c>
      <c r="B129" s="39">
        <v>0</v>
      </c>
      <c r="C129" s="39">
        <v>44606.642210000005</v>
      </c>
      <c r="D129" s="39">
        <v>0</v>
      </c>
      <c r="E129" s="39">
        <v>45417.218119107529</v>
      </c>
      <c r="F129" s="39">
        <v>44606.642210000005</v>
      </c>
      <c r="G129" s="39">
        <v>45417.218119107529</v>
      </c>
    </row>
    <row r="130" spans="1:7" ht="11.25" customHeight="1" x14ac:dyDescent="0.2">
      <c r="A130" s="49">
        <v>44743</v>
      </c>
      <c r="B130" s="39">
        <v>0</v>
      </c>
      <c r="C130" s="39">
        <v>45434.966530000005</v>
      </c>
      <c r="D130" s="39">
        <v>0</v>
      </c>
      <c r="E130" s="39">
        <v>46260.594451665638</v>
      </c>
      <c r="F130" s="39">
        <v>45434.966530000005</v>
      </c>
      <c r="G130" s="39">
        <v>46260.594451665638</v>
      </c>
    </row>
    <row r="131" spans="1:7" ht="11.25" customHeight="1" x14ac:dyDescent="0.2">
      <c r="A131" s="49">
        <v>44774</v>
      </c>
      <c r="B131" s="39">
        <v>0</v>
      </c>
      <c r="C131" s="39">
        <v>44305.574760000003</v>
      </c>
      <c r="D131" s="39">
        <v>0</v>
      </c>
      <c r="E131" s="39">
        <v>45110.679779349957</v>
      </c>
      <c r="F131" s="39">
        <v>44305.574760000003</v>
      </c>
      <c r="G131" s="39">
        <v>45110.679779349957</v>
      </c>
    </row>
    <row r="132" spans="1:7" ht="11.25" customHeight="1" x14ac:dyDescent="0.2">
      <c r="A132" s="49">
        <v>44805</v>
      </c>
      <c r="B132" s="39">
        <v>0</v>
      </c>
      <c r="C132" s="39">
        <v>46782.326690000002</v>
      </c>
      <c r="D132" s="39">
        <v>0</v>
      </c>
      <c r="E132" s="39">
        <v>47632.438357414663</v>
      </c>
      <c r="F132" s="39">
        <v>46782.326690000002</v>
      </c>
      <c r="G132" s="39">
        <v>47632.438357414663</v>
      </c>
    </row>
    <row r="133" spans="1:7" ht="11.25" customHeight="1" x14ac:dyDescent="0.2">
      <c r="A133" s="49">
        <v>44835</v>
      </c>
      <c r="B133" s="39">
        <v>0</v>
      </c>
      <c r="C133" s="39">
        <v>46782.326690000002</v>
      </c>
      <c r="D133" s="39">
        <v>0</v>
      </c>
      <c r="E133" s="39">
        <v>47632.438357414663</v>
      </c>
      <c r="F133" s="39">
        <v>46782.326690000002</v>
      </c>
      <c r="G133" s="39">
        <v>47632.438357414663</v>
      </c>
    </row>
    <row r="134" spans="1:7" ht="11.25" customHeight="1" x14ac:dyDescent="0.2">
      <c r="A134" s="45" t="s">
        <v>31</v>
      </c>
      <c r="B134" s="39">
        <v>0</v>
      </c>
      <c r="C134" s="39">
        <v>88349.719700000074</v>
      </c>
      <c r="D134" s="39">
        <v>0</v>
      </c>
      <c r="E134" s="39">
        <v>89951.130741843532</v>
      </c>
      <c r="F134" s="39">
        <v>88349.719700000045</v>
      </c>
      <c r="G134" s="39">
        <v>89951.130741843532</v>
      </c>
    </row>
    <row r="135" spans="1:7" ht="11.25" customHeight="1" x14ac:dyDescent="0.2">
      <c r="A135" s="46" t="s">
        <v>25</v>
      </c>
      <c r="B135" s="39">
        <v>0</v>
      </c>
      <c r="C135" s="39">
        <v>88349.719700000074</v>
      </c>
      <c r="D135" s="39">
        <v>0</v>
      </c>
      <c r="E135" s="39">
        <v>89951.130741843532</v>
      </c>
      <c r="F135" s="39">
        <v>88349.719700000045</v>
      </c>
      <c r="G135" s="39">
        <v>89951.130741843532</v>
      </c>
    </row>
    <row r="136" spans="1:7" ht="11.25" customHeight="1" x14ac:dyDescent="0.2">
      <c r="A136" s="47" t="s">
        <v>25</v>
      </c>
      <c r="B136" s="39">
        <v>0</v>
      </c>
      <c r="C136" s="39">
        <v>88349.719700000074</v>
      </c>
      <c r="D136" s="39">
        <v>0</v>
      </c>
      <c r="E136" s="39">
        <v>89951.130741843532</v>
      </c>
      <c r="F136" s="39">
        <v>88349.719700000045</v>
      </c>
      <c r="G136" s="39">
        <v>89951.130741843532</v>
      </c>
    </row>
    <row r="137" spans="1:7" ht="11.25" customHeight="1" x14ac:dyDescent="0.2">
      <c r="A137" s="48" t="s">
        <v>25</v>
      </c>
      <c r="B137" s="39">
        <v>0</v>
      </c>
      <c r="C137" s="39">
        <v>88349.719700000074</v>
      </c>
      <c r="D137" s="39">
        <v>0</v>
      </c>
      <c r="E137" s="39">
        <v>89951.130741843532</v>
      </c>
      <c r="F137" s="39">
        <v>88349.719700000045</v>
      </c>
      <c r="G137" s="39">
        <v>89951.130741843532</v>
      </c>
    </row>
    <row r="138" spans="1:7" ht="11.25" customHeight="1" x14ac:dyDescent="0.2">
      <c r="A138" s="49">
        <v>44501</v>
      </c>
      <c r="B138" s="39">
        <v>0</v>
      </c>
      <c r="C138" s="39">
        <v>6075.7812500000045</v>
      </c>
      <c r="D138" s="39">
        <v>0</v>
      </c>
      <c r="E138" s="39">
        <v>6185.9097621742831</v>
      </c>
      <c r="F138" s="39">
        <v>6075.7812500000045</v>
      </c>
      <c r="G138" s="39">
        <v>6185.9097621742831</v>
      </c>
    </row>
    <row r="139" spans="1:7" ht="11.25" customHeight="1" x14ac:dyDescent="0.2">
      <c r="A139" s="49">
        <v>44531</v>
      </c>
      <c r="B139" s="39">
        <v>0</v>
      </c>
      <c r="C139" s="39">
        <v>6073.781450000004</v>
      </c>
      <c r="D139" s="39">
        <v>0</v>
      </c>
      <c r="E139" s="39">
        <v>6183.8737141611327</v>
      </c>
      <c r="F139" s="39">
        <v>6073.781450000004</v>
      </c>
      <c r="G139" s="39">
        <v>6183.8737141611327</v>
      </c>
    </row>
    <row r="140" spans="1:7" ht="11.25" customHeight="1" x14ac:dyDescent="0.2">
      <c r="A140" s="49">
        <v>44562</v>
      </c>
      <c r="B140" s="39">
        <v>0</v>
      </c>
      <c r="C140" s="39">
        <v>6600.6732000000047</v>
      </c>
      <c r="D140" s="39">
        <v>0</v>
      </c>
      <c r="E140" s="39">
        <v>6720.3158087368865</v>
      </c>
      <c r="F140" s="39">
        <v>6600.6732000000047</v>
      </c>
      <c r="G140" s="39">
        <v>6720.3158087368865</v>
      </c>
    </row>
    <row r="141" spans="1:7" ht="11.25" customHeight="1" x14ac:dyDescent="0.2">
      <c r="A141" s="49">
        <v>44593</v>
      </c>
      <c r="B141" s="39">
        <v>0</v>
      </c>
      <c r="C141" s="39">
        <v>6634.2809500000049</v>
      </c>
      <c r="D141" s="39">
        <v>0</v>
      </c>
      <c r="E141" s="39">
        <v>6754.532726735657</v>
      </c>
      <c r="F141" s="39">
        <v>6634.2809500000049</v>
      </c>
      <c r="G141" s="39">
        <v>6754.532726735657</v>
      </c>
    </row>
    <row r="142" spans="1:7" ht="11.25" customHeight="1" x14ac:dyDescent="0.2">
      <c r="A142" s="49">
        <v>44621</v>
      </c>
      <c r="B142" s="39">
        <v>0</v>
      </c>
      <c r="C142" s="39">
        <v>6078.2810000000045</v>
      </c>
      <c r="D142" s="39">
        <v>0</v>
      </c>
      <c r="E142" s="39">
        <v>6188.4548221907207</v>
      </c>
      <c r="F142" s="39">
        <v>6078.2810000000045</v>
      </c>
      <c r="G142" s="39">
        <v>6188.4548221907207</v>
      </c>
    </row>
    <row r="143" spans="1:7" ht="11.25" customHeight="1" x14ac:dyDescent="0.2">
      <c r="A143" s="49">
        <v>44652</v>
      </c>
      <c r="B143" s="39">
        <v>0</v>
      </c>
      <c r="C143" s="39">
        <v>8855.2810500000069</v>
      </c>
      <c r="D143" s="39">
        <v>0</v>
      </c>
      <c r="E143" s="39">
        <v>9015.790272895676</v>
      </c>
      <c r="F143" s="39">
        <v>8855.2810500000069</v>
      </c>
      <c r="G143" s="39">
        <v>9015.790272895676</v>
      </c>
    </row>
    <row r="144" spans="1:7" ht="11.25" customHeight="1" x14ac:dyDescent="0.2">
      <c r="A144" s="49">
        <v>44682</v>
      </c>
      <c r="B144" s="39">
        <v>0</v>
      </c>
      <c r="C144" s="39">
        <v>8410.0478000000057</v>
      </c>
      <c r="D144" s="39">
        <v>0</v>
      </c>
      <c r="E144" s="39">
        <v>8562.4868055235438</v>
      </c>
      <c r="F144" s="39">
        <v>8410.0478000000057</v>
      </c>
      <c r="G144" s="39">
        <v>8562.4868055235438</v>
      </c>
    </row>
    <row r="145" spans="1:7" ht="11.25" customHeight="1" x14ac:dyDescent="0.2">
      <c r="A145" s="49">
        <v>44713</v>
      </c>
      <c r="B145" s="39">
        <v>0</v>
      </c>
      <c r="C145" s="39">
        <v>6658.3341000000046</v>
      </c>
      <c r="D145" s="39">
        <v>0</v>
      </c>
      <c r="E145" s="39">
        <v>6779.0218597827097</v>
      </c>
      <c r="F145" s="39">
        <v>6658.3341000000046</v>
      </c>
      <c r="G145" s="39">
        <v>6779.0218597827097</v>
      </c>
    </row>
    <row r="146" spans="1:7" ht="11.25" customHeight="1" x14ac:dyDescent="0.2">
      <c r="A146" s="49">
        <v>44743</v>
      </c>
      <c r="B146" s="39">
        <v>0</v>
      </c>
      <c r="C146" s="39">
        <v>7682.3428000000049</v>
      </c>
      <c r="D146" s="39">
        <v>0</v>
      </c>
      <c r="E146" s="39">
        <v>7821.5915562939845</v>
      </c>
      <c r="F146" s="39">
        <v>7682.3428000000049</v>
      </c>
      <c r="G146" s="39">
        <v>7821.5915562939845</v>
      </c>
    </row>
    <row r="147" spans="1:7" ht="11.25" customHeight="1" x14ac:dyDescent="0.2">
      <c r="A147" s="49">
        <v>44774</v>
      </c>
      <c r="B147" s="39">
        <v>0</v>
      </c>
      <c r="C147" s="39">
        <v>6778.544300000005</v>
      </c>
      <c r="D147" s="39">
        <v>0</v>
      </c>
      <c r="E147" s="39">
        <v>6901.4109681287227</v>
      </c>
      <c r="F147" s="39">
        <v>6778.544300000005</v>
      </c>
      <c r="G147" s="39">
        <v>6901.4109681287227</v>
      </c>
    </row>
    <row r="148" spans="1:7" ht="11.25" customHeight="1" x14ac:dyDescent="0.2">
      <c r="A148" s="49">
        <v>44805</v>
      </c>
      <c r="B148" s="39">
        <v>0</v>
      </c>
      <c r="C148" s="39">
        <v>9251.1859000000059</v>
      </c>
      <c r="D148" s="39">
        <v>0</v>
      </c>
      <c r="E148" s="39">
        <v>9418.871222610107</v>
      </c>
      <c r="F148" s="39">
        <v>9251.1859000000059</v>
      </c>
      <c r="G148" s="39">
        <v>9418.871222610107</v>
      </c>
    </row>
    <row r="149" spans="1:7" ht="11.25" customHeight="1" x14ac:dyDescent="0.2">
      <c r="A149" s="49">
        <v>44835</v>
      </c>
      <c r="B149" s="39">
        <v>0</v>
      </c>
      <c r="C149" s="39">
        <v>9251.1859000000059</v>
      </c>
      <c r="D149" s="39">
        <v>0</v>
      </c>
      <c r="E149" s="39">
        <v>9418.871222610107</v>
      </c>
      <c r="F149" s="39">
        <v>9251.1859000000059</v>
      </c>
      <c r="G149" s="39">
        <v>9418.871222610107</v>
      </c>
    </row>
    <row r="150" spans="1:7" ht="11.25" customHeight="1" x14ac:dyDescent="0.2">
      <c r="A150" s="45" t="s">
        <v>32</v>
      </c>
      <c r="B150" s="39">
        <v>0</v>
      </c>
      <c r="C150" s="39">
        <v>8.0753750353323981E-12</v>
      </c>
      <c r="D150" s="39">
        <v>0</v>
      </c>
      <c r="E150" s="39">
        <v>0</v>
      </c>
      <c r="F150" s="39">
        <v>8.0753750353323981E-12</v>
      </c>
      <c r="G150" s="39">
        <v>0</v>
      </c>
    </row>
    <row r="151" spans="1:7" ht="11.25" customHeight="1" x14ac:dyDescent="0.2">
      <c r="A151" s="46" t="s">
        <v>25</v>
      </c>
      <c r="B151" s="39">
        <v>0</v>
      </c>
      <c r="C151" s="39">
        <v>8.0753750353323981E-12</v>
      </c>
      <c r="D151" s="39">
        <v>0</v>
      </c>
      <c r="E151" s="39">
        <v>0</v>
      </c>
      <c r="F151" s="39">
        <v>8.0753750353323981E-12</v>
      </c>
      <c r="G151" s="39">
        <v>0</v>
      </c>
    </row>
    <row r="152" spans="1:7" ht="11.25" customHeight="1" x14ac:dyDescent="0.2">
      <c r="A152" s="47" t="s">
        <v>25</v>
      </c>
      <c r="B152" s="39">
        <v>0</v>
      </c>
      <c r="C152" s="39">
        <v>8.0753750353323981E-12</v>
      </c>
      <c r="D152" s="39">
        <v>0</v>
      </c>
      <c r="E152" s="39">
        <v>0</v>
      </c>
      <c r="F152" s="39">
        <v>8.0753750353323981E-12</v>
      </c>
      <c r="G152" s="39">
        <v>0</v>
      </c>
    </row>
    <row r="153" spans="1:7" ht="11.25" customHeight="1" x14ac:dyDescent="0.2">
      <c r="A153" s="48" t="s">
        <v>25</v>
      </c>
      <c r="B153" s="39">
        <v>0</v>
      </c>
      <c r="C153" s="39">
        <v>8.0753750353323981E-12</v>
      </c>
      <c r="D153" s="39">
        <v>0</v>
      </c>
      <c r="E153" s="39">
        <v>0</v>
      </c>
      <c r="F153" s="39">
        <v>8.0753750353323981E-12</v>
      </c>
      <c r="G153" s="39">
        <v>0</v>
      </c>
    </row>
    <row r="154" spans="1:7" ht="11.25" customHeight="1" x14ac:dyDescent="0.2">
      <c r="A154" s="49">
        <v>44501</v>
      </c>
      <c r="B154" s="39">
        <v>0</v>
      </c>
      <c r="C154" s="39">
        <v>5.1772985898423943E-13</v>
      </c>
      <c r="D154" s="39">
        <v>0</v>
      </c>
      <c r="E154" s="39">
        <v>0</v>
      </c>
      <c r="F154" s="39">
        <v>5.1772985898423943E-13</v>
      </c>
      <c r="G154" s="39">
        <v>0</v>
      </c>
    </row>
    <row r="155" spans="1:7" ht="11.25" customHeight="1" x14ac:dyDescent="0.2">
      <c r="A155" s="49">
        <v>44531</v>
      </c>
      <c r="B155" s="39">
        <v>0</v>
      </c>
      <c r="C155" s="39">
        <v>4.8888182391237935E-13</v>
      </c>
      <c r="D155" s="39">
        <v>0</v>
      </c>
      <c r="E155" s="39">
        <v>0</v>
      </c>
      <c r="F155" s="39">
        <v>4.8888182391237935E-13</v>
      </c>
      <c r="G155" s="39">
        <v>0</v>
      </c>
    </row>
    <row r="156" spans="1:7" ht="11.25" customHeight="1" x14ac:dyDescent="0.2">
      <c r="A156" s="49">
        <v>44562</v>
      </c>
      <c r="B156" s="39">
        <v>0</v>
      </c>
      <c r="C156" s="39">
        <v>5.6147086979763114E-13</v>
      </c>
      <c r="D156" s="39">
        <v>0</v>
      </c>
      <c r="E156" s="39">
        <v>0</v>
      </c>
      <c r="F156" s="39">
        <v>5.6147086979763114E-13</v>
      </c>
      <c r="G156" s="39">
        <v>0</v>
      </c>
    </row>
    <row r="157" spans="1:7" ht="11.25" customHeight="1" x14ac:dyDescent="0.2">
      <c r="A157" s="49">
        <v>44593</v>
      </c>
      <c r="B157" s="39">
        <v>0</v>
      </c>
      <c r="C157" s="39">
        <v>5.8605564845493066E-13</v>
      </c>
      <c r="D157" s="39">
        <v>0</v>
      </c>
      <c r="E157" s="39">
        <v>0</v>
      </c>
      <c r="F157" s="39">
        <v>5.8605564845493066E-13</v>
      </c>
      <c r="G157" s="39">
        <v>0</v>
      </c>
    </row>
    <row r="158" spans="1:7" ht="11.25" customHeight="1" x14ac:dyDescent="0.2">
      <c r="A158" s="49">
        <v>44621</v>
      </c>
      <c r="B158" s="39">
        <v>0</v>
      </c>
      <c r="C158" s="39">
        <v>4.3968384488835001E-13</v>
      </c>
      <c r="D158" s="39">
        <v>0</v>
      </c>
      <c r="E158" s="39">
        <v>0</v>
      </c>
      <c r="F158" s="39">
        <v>4.3968384488835001E-13</v>
      </c>
      <c r="G158" s="39">
        <v>0</v>
      </c>
    </row>
    <row r="159" spans="1:7" ht="11.25" customHeight="1" x14ac:dyDescent="0.2">
      <c r="A159" s="49">
        <v>44652</v>
      </c>
      <c r="B159" s="39">
        <v>0</v>
      </c>
      <c r="C159" s="39">
        <v>1.088096723833587E-12</v>
      </c>
      <c r="D159" s="39">
        <v>0</v>
      </c>
      <c r="E159" s="39">
        <v>0</v>
      </c>
      <c r="F159" s="39">
        <v>1.088096723833587E-12</v>
      </c>
      <c r="G159" s="39">
        <v>0</v>
      </c>
    </row>
    <row r="160" spans="1:7" ht="11.25" customHeight="1" x14ac:dyDescent="0.2">
      <c r="A160" s="49">
        <v>44682</v>
      </c>
      <c r="B160" s="39">
        <v>0</v>
      </c>
      <c r="C160" s="39">
        <v>8.695053566043498E-13</v>
      </c>
      <c r="D160" s="39">
        <v>0</v>
      </c>
      <c r="E160" s="39">
        <v>0</v>
      </c>
      <c r="F160" s="39">
        <v>8.695053566043498E-13</v>
      </c>
      <c r="G160" s="39">
        <v>0</v>
      </c>
    </row>
    <row r="161" spans="1:7" ht="11.25" customHeight="1" x14ac:dyDescent="0.2">
      <c r="A161" s="49">
        <v>44713</v>
      </c>
      <c r="B161" s="39">
        <v>0</v>
      </c>
      <c r="C161" s="39">
        <v>4.3118575376865918E-13</v>
      </c>
      <c r="D161" s="39">
        <v>0</v>
      </c>
      <c r="E161" s="39">
        <v>0</v>
      </c>
      <c r="F161" s="39">
        <v>4.3118575376865918E-13</v>
      </c>
      <c r="G161" s="39">
        <v>0</v>
      </c>
    </row>
    <row r="162" spans="1:7" ht="11.25" customHeight="1" x14ac:dyDescent="0.2">
      <c r="A162" s="49">
        <v>44743</v>
      </c>
      <c r="B162" s="39">
        <v>0</v>
      </c>
      <c r="C162" s="39">
        <v>5.7841020861815193E-13</v>
      </c>
      <c r="D162" s="39">
        <v>0</v>
      </c>
      <c r="E162" s="39">
        <v>0</v>
      </c>
      <c r="F162" s="39">
        <v>5.7841020861815193E-13</v>
      </c>
      <c r="G162" s="39">
        <v>0</v>
      </c>
    </row>
    <row r="163" spans="1:7" ht="11.25" customHeight="1" x14ac:dyDescent="0.2">
      <c r="A163" s="49">
        <v>44774</v>
      </c>
      <c r="B163" s="39">
        <v>0</v>
      </c>
      <c r="C163" s="39">
        <v>4.4099124352214858E-13</v>
      </c>
      <c r="D163" s="39">
        <v>0</v>
      </c>
      <c r="E163" s="39">
        <v>0</v>
      </c>
      <c r="F163" s="39">
        <v>4.4099124352214858E-13</v>
      </c>
      <c r="G163" s="39">
        <v>0</v>
      </c>
    </row>
    <row r="164" spans="1:7" ht="11.25" customHeight="1" x14ac:dyDescent="0.2">
      <c r="A164" s="49">
        <v>44805</v>
      </c>
      <c r="B164" s="39">
        <v>0</v>
      </c>
      <c r="C164" s="39">
        <v>1.0366818514739862E-12</v>
      </c>
      <c r="D164" s="39">
        <v>0</v>
      </c>
      <c r="E164" s="39">
        <v>0</v>
      </c>
      <c r="F164" s="39">
        <v>1.0366818514739862E-12</v>
      </c>
      <c r="G164" s="39">
        <v>0</v>
      </c>
    </row>
    <row r="165" spans="1:7" ht="11.25" customHeight="1" x14ac:dyDescent="0.2">
      <c r="A165" s="49">
        <v>44835</v>
      </c>
      <c r="B165" s="39">
        <v>0</v>
      </c>
      <c r="C165" s="39">
        <v>1.0366818514739862E-12</v>
      </c>
      <c r="D165" s="39">
        <v>0</v>
      </c>
      <c r="E165" s="39">
        <v>0</v>
      </c>
      <c r="F165" s="39">
        <v>1.0366818514739862E-12</v>
      </c>
      <c r="G165" s="39">
        <v>0</v>
      </c>
    </row>
    <row r="166" spans="1:7" ht="11.25" customHeight="1" x14ac:dyDescent="0.2">
      <c r="A166" s="41" t="s">
        <v>815</v>
      </c>
      <c r="B166" s="39">
        <v>238392</v>
      </c>
      <c r="C166" s="39">
        <v>167373.39069421584</v>
      </c>
      <c r="D166" s="39">
        <v>410217.5103686371</v>
      </c>
      <c r="E166" s="39">
        <v>287085.82330257643</v>
      </c>
      <c r="F166" s="39">
        <v>405765.39069421584</v>
      </c>
      <c r="G166" s="39">
        <v>697303.33367121359</v>
      </c>
    </row>
    <row r="167" spans="1:7" ht="11.25" customHeight="1" x14ac:dyDescent="0.2">
      <c r="A167" s="42" t="s">
        <v>39</v>
      </c>
      <c r="B167" s="39">
        <v>238392</v>
      </c>
      <c r="C167" s="39">
        <v>167373.39069421584</v>
      </c>
      <c r="D167" s="39">
        <v>410217.5103686371</v>
      </c>
      <c r="E167" s="39">
        <v>287085.82330257643</v>
      </c>
      <c r="F167" s="39">
        <v>405765.39069421584</v>
      </c>
      <c r="G167" s="39">
        <v>697303.33367121359</v>
      </c>
    </row>
    <row r="168" spans="1:7" ht="11.25" customHeight="1" x14ac:dyDescent="0.2">
      <c r="A168" s="43" t="s">
        <v>40</v>
      </c>
      <c r="B168" s="39">
        <v>238392</v>
      </c>
      <c r="C168" s="39">
        <v>167373.39069421584</v>
      </c>
      <c r="D168" s="39">
        <v>410217.5103686371</v>
      </c>
      <c r="E168" s="39">
        <v>287085.82330257643</v>
      </c>
      <c r="F168" s="39">
        <v>405765.39069421584</v>
      </c>
      <c r="G168" s="39">
        <v>697303.33367121359</v>
      </c>
    </row>
    <row r="169" spans="1:7" ht="11.25" customHeight="1" x14ac:dyDescent="0.2">
      <c r="A169" s="44" t="s">
        <v>38</v>
      </c>
      <c r="B169" s="39">
        <v>238392</v>
      </c>
      <c r="C169" s="39">
        <v>167373.39069421584</v>
      </c>
      <c r="D169" s="39">
        <v>410217.5103686371</v>
      </c>
      <c r="E169" s="39">
        <v>287085.82330257643</v>
      </c>
      <c r="F169" s="39">
        <v>405765.39069421584</v>
      </c>
      <c r="G169" s="39">
        <v>697303.33367121359</v>
      </c>
    </row>
    <row r="170" spans="1:7" ht="11.25" customHeight="1" x14ac:dyDescent="0.2">
      <c r="A170" s="45" t="s">
        <v>25</v>
      </c>
      <c r="B170" s="39">
        <v>238392</v>
      </c>
      <c r="C170" s="39">
        <v>167373.39069421584</v>
      </c>
      <c r="D170" s="39">
        <v>410217.5103686371</v>
      </c>
      <c r="E170" s="39">
        <v>287085.82330257643</v>
      </c>
      <c r="F170" s="39">
        <v>405765.39069421584</v>
      </c>
      <c r="G170" s="39">
        <v>697303.33367121359</v>
      </c>
    </row>
    <row r="171" spans="1:7" ht="11.25" customHeight="1" x14ac:dyDescent="0.2">
      <c r="A171" s="46" t="s">
        <v>58</v>
      </c>
      <c r="B171" s="39">
        <v>238392</v>
      </c>
      <c r="C171" s="39">
        <v>167373.39069421584</v>
      </c>
      <c r="D171" s="39">
        <v>410217.5103686371</v>
      </c>
      <c r="E171" s="39">
        <v>287085.82330257643</v>
      </c>
      <c r="F171" s="39">
        <v>405765.39069421584</v>
      </c>
      <c r="G171" s="39">
        <v>697303.33367121359</v>
      </c>
    </row>
    <row r="172" spans="1:7" ht="11.25" customHeight="1" x14ac:dyDescent="0.2">
      <c r="A172" s="47" t="s">
        <v>25</v>
      </c>
      <c r="B172" s="39">
        <v>238392</v>
      </c>
      <c r="C172" s="39">
        <v>167373.39069421584</v>
      </c>
      <c r="D172" s="39">
        <v>410217.5103686371</v>
      </c>
      <c r="E172" s="39">
        <v>287085.82330257643</v>
      </c>
      <c r="F172" s="39">
        <v>405765.39069421584</v>
      </c>
      <c r="G172" s="39">
        <v>697303.33367121359</v>
      </c>
    </row>
    <row r="173" spans="1:7" ht="11.25" customHeight="1" x14ac:dyDescent="0.2">
      <c r="A173" s="48" t="s">
        <v>35</v>
      </c>
      <c r="B173" s="39">
        <v>0</v>
      </c>
      <c r="C173" s="39">
        <v>0</v>
      </c>
      <c r="D173" s="39">
        <v>0</v>
      </c>
      <c r="E173" s="39">
        <v>0</v>
      </c>
      <c r="F173" s="39">
        <v>0</v>
      </c>
      <c r="G173" s="39">
        <v>0</v>
      </c>
    </row>
    <row r="174" spans="1:7" ht="11.25" customHeight="1" x14ac:dyDescent="0.2">
      <c r="A174" s="49">
        <v>44501</v>
      </c>
      <c r="B174" s="39">
        <v>0</v>
      </c>
      <c r="C174" s="39">
        <v>0</v>
      </c>
      <c r="D174" s="39">
        <v>0</v>
      </c>
      <c r="E174" s="39">
        <v>0</v>
      </c>
      <c r="F174" s="39">
        <v>0</v>
      </c>
      <c r="G174" s="39">
        <v>0</v>
      </c>
    </row>
    <row r="175" spans="1:7" ht="11.25" customHeight="1" x14ac:dyDescent="0.2">
      <c r="A175" s="49">
        <v>44531</v>
      </c>
      <c r="B175" s="39">
        <v>0</v>
      </c>
      <c r="C175" s="39">
        <v>0</v>
      </c>
      <c r="D175" s="39">
        <v>0</v>
      </c>
      <c r="E175" s="39">
        <v>0</v>
      </c>
      <c r="F175" s="39">
        <v>0</v>
      </c>
      <c r="G175" s="39">
        <v>0</v>
      </c>
    </row>
    <row r="176" spans="1:7" ht="11.25" customHeight="1" x14ac:dyDescent="0.2">
      <c r="A176" s="49">
        <v>44562</v>
      </c>
      <c r="B176" s="39">
        <v>0</v>
      </c>
      <c r="C176" s="39">
        <v>0</v>
      </c>
      <c r="D176" s="39">
        <v>0</v>
      </c>
      <c r="E176" s="39">
        <v>0</v>
      </c>
      <c r="F176" s="39">
        <v>0</v>
      </c>
      <c r="G176" s="39">
        <v>0</v>
      </c>
    </row>
    <row r="177" spans="1:7" ht="11.25" customHeight="1" x14ac:dyDescent="0.2">
      <c r="A177" s="49">
        <v>44593</v>
      </c>
      <c r="B177" s="39">
        <v>0</v>
      </c>
      <c r="C177" s="39">
        <v>0</v>
      </c>
      <c r="D177" s="39">
        <v>0</v>
      </c>
      <c r="E177" s="39">
        <v>0</v>
      </c>
      <c r="F177" s="39">
        <v>0</v>
      </c>
      <c r="G177" s="39">
        <v>0</v>
      </c>
    </row>
    <row r="178" spans="1:7" ht="11.25" customHeight="1" x14ac:dyDescent="0.2">
      <c r="A178" s="49">
        <v>44621</v>
      </c>
      <c r="B178" s="39">
        <v>0</v>
      </c>
      <c r="C178" s="39">
        <v>0</v>
      </c>
      <c r="D178" s="39">
        <v>0</v>
      </c>
      <c r="E178" s="39">
        <v>0</v>
      </c>
      <c r="F178" s="39">
        <v>0</v>
      </c>
      <c r="G178" s="39">
        <v>0</v>
      </c>
    </row>
    <row r="179" spans="1:7" ht="11.25" customHeight="1" x14ac:dyDescent="0.2">
      <c r="A179" s="49">
        <v>44652</v>
      </c>
      <c r="B179" s="39">
        <v>0</v>
      </c>
      <c r="C179" s="39">
        <v>0</v>
      </c>
      <c r="D179" s="39">
        <v>0</v>
      </c>
      <c r="E179" s="39">
        <v>0</v>
      </c>
      <c r="F179" s="39">
        <v>0</v>
      </c>
      <c r="G179" s="39">
        <v>0</v>
      </c>
    </row>
    <row r="180" spans="1:7" ht="11.25" customHeight="1" x14ac:dyDescent="0.2">
      <c r="A180" s="49">
        <v>44682</v>
      </c>
      <c r="B180" s="39">
        <v>0</v>
      </c>
      <c r="C180" s="39">
        <v>0</v>
      </c>
      <c r="D180" s="39">
        <v>0</v>
      </c>
      <c r="E180" s="39">
        <v>0</v>
      </c>
      <c r="F180" s="39">
        <v>0</v>
      </c>
      <c r="G180" s="39">
        <v>0</v>
      </c>
    </row>
    <row r="181" spans="1:7" ht="11.25" customHeight="1" x14ac:dyDescent="0.2">
      <c r="A181" s="49">
        <v>44713</v>
      </c>
      <c r="B181" s="39">
        <v>0</v>
      </c>
      <c r="C181" s="39">
        <v>0</v>
      </c>
      <c r="D181" s="39">
        <v>0</v>
      </c>
      <c r="E181" s="39">
        <v>0</v>
      </c>
      <c r="F181" s="39">
        <v>0</v>
      </c>
      <c r="G181" s="39">
        <v>0</v>
      </c>
    </row>
    <row r="182" spans="1:7" ht="11.25" customHeight="1" x14ac:dyDescent="0.2">
      <c r="A182" s="49">
        <v>44743</v>
      </c>
      <c r="B182" s="39">
        <v>0</v>
      </c>
      <c r="C182" s="39">
        <v>0</v>
      </c>
      <c r="D182" s="39">
        <v>0</v>
      </c>
      <c r="E182" s="39">
        <v>0</v>
      </c>
      <c r="F182" s="39">
        <v>0</v>
      </c>
      <c r="G182" s="39">
        <v>0</v>
      </c>
    </row>
    <row r="183" spans="1:7" ht="11.25" customHeight="1" x14ac:dyDescent="0.2">
      <c r="A183" s="49">
        <v>44774</v>
      </c>
      <c r="B183" s="39">
        <v>0</v>
      </c>
      <c r="C183" s="39">
        <v>0</v>
      </c>
      <c r="D183" s="39">
        <v>0</v>
      </c>
      <c r="E183" s="39">
        <v>0</v>
      </c>
      <c r="F183" s="39">
        <v>0</v>
      </c>
      <c r="G183" s="39">
        <v>0</v>
      </c>
    </row>
    <row r="184" spans="1:7" ht="11.25" customHeight="1" x14ac:dyDescent="0.2">
      <c r="A184" s="49">
        <v>44805</v>
      </c>
      <c r="B184" s="39">
        <v>0</v>
      </c>
      <c r="C184" s="39">
        <v>0</v>
      </c>
      <c r="D184" s="39">
        <v>0</v>
      </c>
      <c r="E184" s="39">
        <v>0</v>
      </c>
      <c r="F184" s="39">
        <v>0</v>
      </c>
      <c r="G184" s="39">
        <v>0</v>
      </c>
    </row>
    <row r="185" spans="1:7" ht="11.25" customHeight="1" x14ac:dyDescent="0.2">
      <c r="A185" s="49">
        <v>44835</v>
      </c>
      <c r="B185" s="39">
        <v>0</v>
      </c>
      <c r="C185" s="39">
        <v>0</v>
      </c>
      <c r="D185" s="39">
        <v>0</v>
      </c>
      <c r="E185" s="39">
        <v>0</v>
      </c>
      <c r="F185" s="39">
        <v>0</v>
      </c>
      <c r="G185" s="39">
        <v>0</v>
      </c>
    </row>
    <row r="186" spans="1:7" ht="11.25" customHeight="1" x14ac:dyDescent="0.2">
      <c r="A186" s="48" t="s">
        <v>25</v>
      </c>
      <c r="B186" s="39">
        <v>238392</v>
      </c>
      <c r="C186" s="39">
        <v>0</v>
      </c>
      <c r="D186" s="39">
        <v>410217.5103686371</v>
      </c>
      <c r="E186" s="39">
        <v>0</v>
      </c>
      <c r="F186" s="39">
        <v>238392</v>
      </c>
      <c r="G186" s="39">
        <v>410217.5103686371</v>
      </c>
    </row>
    <row r="187" spans="1:7" ht="11.25" customHeight="1" x14ac:dyDescent="0.2">
      <c r="A187" s="49">
        <v>44501</v>
      </c>
      <c r="B187" s="39">
        <v>19866</v>
      </c>
      <c r="C187" s="39">
        <v>0</v>
      </c>
      <c r="D187" s="39">
        <v>34184.792530719751</v>
      </c>
      <c r="E187" s="39">
        <v>0</v>
      </c>
      <c r="F187" s="39">
        <v>19866</v>
      </c>
      <c r="G187" s="39">
        <v>34184.792530719751</v>
      </c>
    </row>
    <row r="188" spans="1:7" ht="11.25" customHeight="1" x14ac:dyDescent="0.2">
      <c r="A188" s="49">
        <v>44531</v>
      </c>
      <c r="B188" s="39">
        <v>19866</v>
      </c>
      <c r="C188" s="39">
        <v>0</v>
      </c>
      <c r="D188" s="39">
        <v>34184.792530719751</v>
      </c>
      <c r="E188" s="39">
        <v>0</v>
      </c>
      <c r="F188" s="39">
        <v>19866</v>
      </c>
      <c r="G188" s="39">
        <v>34184.792530719751</v>
      </c>
    </row>
    <row r="189" spans="1:7" ht="11.25" customHeight="1" x14ac:dyDescent="0.2">
      <c r="A189" s="49">
        <v>44562</v>
      </c>
      <c r="B189" s="39">
        <v>19866</v>
      </c>
      <c r="C189" s="39">
        <v>0</v>
      </c>
      <c r="D189" s="39">
        <v>34184.792530719751</v>
      </c>
      <c r="E189" s="39">
        <v>0</v>
      </c>
      <c r="F189" s="39">
        <v>19866</v>
      </c>
      <c r="G189" s="39">
        <v>34184.792530719751</v>
      </c>
    </row>
    <row r="190" spans="1:7" ht="11.25" customHeight="1" x14ac:dyDescent="0.2">
      <c r="A190" s="49">
        <v>44593</v>
      </c>
      <c r="B190" s="39">
        <v>19866</v>
      </c>
      <c r="C190" s="39">
        <v>0</v>
      </c>
      <c r="D190" s="39">
        <v>34184.792530719751</v>
      </c>
      <c r="E190" s="39">
        <v>0</v>
      </c>
      <c r="F190" s="39">
        <v>19866</v>
      </c>
      <c r="G190" s="39">
        <v>34184.792530719751</v>
      </c>
    </row>
    <row r="191" spans="1:7" ht="11.25" customHeight="1" x14ac:dyDescent="0.2">
      <c r="A191" s="49">
        <v>44621</v>
      </c>
      <c r="B191" s="39">
        <v>19866</v>
      </c>
      <c r="C191" s="39">
        <v>0</v>
      </c>
      <c r="D191" s="39">
        <v>34184.792530719751</v>
      </c>
      <c r="E191" s="39">
        <v>0</v>
      </c>
      <c r="F191" s="39">
        <v>19866</v>
      </c>
      <c r="G191" s="39">
        <v>34184.792530719751</v>
      </c>
    </row>
    <row r="192" spans="1:7" ht="11.25" customHeight="1" x14ac:dyDescent="0.2">
      <c r="A192" s="49">
        <v>44652</v>
      </c>
      <c r="B192" s="39">
        <v>19866</v>
      </c>
      <c r="C192" s="39">
        <v>0</v>
      </c>
      <c r="D192" s="39">
        <v>34184.792530719751</v>
      </c>
      <c r="E192" s="39">
        <v>0</v>
      </c>
      <c r="F192" s="39">
        <v>19866</v>
      </c>
      <c r="G192" s="39">
        <v>34184.792530719751</v>
      </c>
    </row>
    <row r="193" spans="1:7" ht="11.25" customHeight="1" x14ac:dyDescent="0.2">
      <c r="A193" s="49">
        <v>44682</v>
      </c>
      <c r="B193" s="39">
        <v>19866</v>
      </c>
      <c r="C193" s="39">
        <v>0</v>
      </c>
      <c r="D193" s="39">
        <v>34184.792530719751</v>
      </c>
      <c r="E193" s="39">
        <v>0</v>
      </c>
      <c r="F193" s="39">
        <v>19866</v>
      </c>
      <c r="G193" s="39">
        <v>34184.792530719751</v>
      </c>
    </row>
    <row r="194" spans="1:7" ht="11.25" customHeight="1" x14ac:dyDescent="0.2">
      <c r="A194" s="49">
        <v>44713</v>
      </c>
      <c r="B194" s="39">
        <v>19866</v>
      </c>
      <c r="C194" s="39">
        <v>0</v>
      </c>
      <c r="D194" s="39">
        <v>34184.792530719751</v>
      </c>
      <c r="E194" s="39">
        <v>0</v>
      </c>
      <c r="F194" s="39">
        <v>19866</v>
      </c>
      <c r="G194" s="39">
        <v>34184.792530719751</v>
      </c>
    </row>
    <row r="195" spans="1:7" ht="11.25" customHeight="1" x14ac:dyDescent="0.2">
      <c r="A195" s="49">
        <v>44743</v>
      </c>
      <c r="B195" s="39">
        <v>19866</v>
      </c>
      <c r="C195" s="39">
        <v>0</v>
      </c>
      <c r="D195" s="39">
        <v>34184.792530719751</v>
      </c>
      <c r="E195" s="39">
        <v>0</v>
      </c>
      <c r="F195" s="39">
        <v>19866</v>
      </c>
      <c r="G195" s="39">
        <v>34184.792530719751</v>
      </c>
    </row>
    <row r="196" spans="1:7" ht="11.25" customHeight="1" x14ac:dyDescent="0.2">
      <c r="A196" s="49">
        <v>44774</v>
      </c>
      <c r="B196" s="39">
        <v>19866</v>
      </c>
      <c r="C196" s="39">
        <v>0</v>
      </c>
      <c r="D196" s="39">
        <v>34184.792530719751</v>
      </c>
      <c r="E196" s="39">
        <v>0</v>
      </c>
      <c r="F196" s="39">
        <v>19866</v>
      </c>
      <c r="G196" s="39">
        <v>34184.792530719751</v>
      </c>
    </row>
    <row r="197" spans="1:7" ht="11.25" customHeight="1" x14ac:dyDescent="0.2">
      <c r="A197" s="49">
        <v>44805</v>
      </c>
      <c r="B197" s="39">
        <v>19866</v>
      </c>
      <c r="C197" s="39">
        <v>0</v>
      </c>
      <c r="D197" s="39">
        <v>34184.792530719751</v>
      </c>
      <c r="E197" s="39">
        <v>0</v>
      </c>
      <c r="F197" s="39">
        <v>19866</v>
      </c>
      <c r="G197" s="39">
        <v>34184.792530719751</v>
      </c>
    </row>
    <row r="198" spans="1:7" ht="11.25" customHeight="1" x14ac:dyDescent="0.2">
      <c r="A198" s="49">
        <v>44835</v>
      </c>
      <c r="B198" s="39">
        <v>19866</v>
      </c>
      <c r="C198" s="39">
        <v>0</v>
      </c>
      <c r="D198" s="39">
        <v>34184.792530719751</v>
      </c>
      <c r="E198" s="39">
        <v>0</v>
      </c>
      <c r="F198" s="39">
        <v>19866</v>
      </c>
      <c r="G198" s="39">
        <v>34184.792530719751</v>
      </c>
    </row>
    <row r="199" spans="1:7" ht="11.25" customHeight="1" x14ac:dyDescent="0.2">
      <c r="A199" s="48" t="s">
        <v>34</v>
      </c>
      <c r="B199" s="39">
        <v>0</v>
      </c>
      <c r="C199" s="39">
        <v>167373.39069421584</v>
      </c>
      <c r="D199" s="39">
        <v>0</v>
      </c>
      <c r="E199" s="39">
        <v>287085.82330257643</v>
      </c>
      <c r="F199" s="39">
        <v>167373.39069421584</v>
      </c>
      <c r="G199" s="39">
        <v>287085.82330257643</v>
      </c>
    </row>
    <row r="200" spans="1:7" ht="11.25" customHeight="1" x14ac:dyDescent="0.2">
      <c r="A200" s="49">
        <v>44501</v>
      </c>
      <c r="B200" s="39">
        <v>0</v>
      </c>
      <c r="C200" s="39">
        <v>11683.899630340935</v>
      </c>
      <c r="D200" s="39">
        <v>0</v>
      </c>
      <c r="E200" s="39">
        <v>20040.712151725646</v>
      </c>
      <c r="F200" s="39">
        <v>11683.899630340935</v>
      </c>
      <c r="G200" s="39">
        <v>20040.712151725646</v>
      </c>
    </row>
    <row r="201" spans="1:7" ht="11.25" customHeight="1" x14ac:dyDescent="0.2">
      <c r="A201" s="49">
        <v>44531</v>
      </c>
      <c r="B201" s="39">
        <v>0</v>
      </c>
      <c r="C201" s="39">
        <v>13433.267326660574</v>
      </c>
      <c r="D201" s="39">
        <v>0</v>
      </c>
      <c r="E201" s="39">
        <v>23041.300616079505</v>
      </c>
      <c r="F201" s="39">
        <v>13433.267326660574</v>
      </c>
      <c r="G201" s="39">
        <v>23041.300616079505</v>
      </c>
    </row>
    <row r="202" spans="1:7" ht="11.25" customHeight="1" x14ac:dyDescent="0.2">
      <c r="A202" s="49">
        <v>44562</v>
      </c>
      <c r="B202" s="39">
        <v>0</v>
      </c>
      <c r="C202" s="39">
        <v>14831.802310888281</v>
      </c>
      <c r="D202" s="39">
        <v>0</v>
      </c>
      <c r="E202" s="39">
        <v>25440.126174306919</v>
      </c>
      <c r="F202" s="39">
        <v>14831.802310888281</v>
      </c>
      <c r="G202" s="39">
        <v>25440.126174306919</v>
      </c>
    </row>
    <row r="203" spans="1:7" ht="11.25" customHeight="1" x14ac:dyDescent="0.2">
      <c r="A203" s="49">
        <v>44593</v>
      </c>
      <c r="B203" s="39">
        <v>0</v>
      </c>
      <c r="C203" s="39">
        <v>13002.820697281515</v>
      </c>
      <c r="D203" s="39">
        <v>0</v>
      </c>
      <c r="E203" s="39">
        <v>22302.980597165191</v>
      </c>
      <c r="F203" s="39">
        <v>13002.820697281515</v>
      </c>
      <c r="G203" s="39">
        <v>22302.980597165191</v>
      </c>
    </row>
    <row r="204" spans="1:7" ht="11.25" customHeight="1" x14ac:dyDescent="0.2">
      <c r="A204" s="49">
        <v>44621</v>
      </c>
      <c r="B204" s="39">
        <v>0</v>
      </c>
      <c r="C204" s="39">
        <v>12606.254383247127</v>
      </c>
      <c r="D204" s="39">
        <v>0</v>
      </c>
      <c r="E204" s="39">
        <v>21622.773508771872</v>
      </c>
      <c r="F204" s="39">
        <v>12606.254383247127</v>
      </c>
      <c r="G204" s="39">
        <v>21622.773508771872</v>
      </c>
    </row>
    <row r="205" spans="1:7" ht="11.25" customHeight="1" x14ac:dyDescent="0.2">
      <c r="A205" s="49">
        <v>44652</v>
      </c>
      <c r="B205" s="39">
        <v>0</v>
      </c>
      <c r="C205" s="39">
        <v>12760.104339812289</v>
      </c>
      <c r="D205" s="39">
        <v>0</v>
      </c>
      <c r="E205" s="39">
        <v>21886.663373596733</v>
      </c>
      <c r="F205" s="39">
        <v>12760.104339812289</v>
      </c>
      <c r="G205" s="39">
        <v>21886.663373596733</v>
      </c>
    </row>
    <row r="206" spans="1:7" ht="11.25" customHeight="1" x14ac:dyDescent="0.2">
      <c r="A206" s="49">
        <v>44682</v>
      </c>
      <c r="B206" s="39">
        <v>0</v>
      </c>
      <c r="C206" s="39">
        <v>12583.48236801546</v>
      </c>
      <c r="D206" s="39">
        <v>0</v>
      </c>
      <c r="E206" s="39">
        <v>21583.713998093823</v>
      </c>
      <c r="F206" s="39">
        <v>12583.48236801546</v>
      </c>
      <c r="G206" s="39">
        <v>21583.713998093823</v>
      </c>
    </row>
    <row r="207" spans="1:7" ht="11.25" customHeight="1" x14ac:dyDescent="0.2">
      <c r="A207" s="49">
        <v>44713</v>
      </c>
      <c r="B207" s="39">
        <v>0</v>
      </c>
      <c r="C207" s="39">
        <v>10657.303128419873</v>
      </c>
      <c r="D207" s="39">
        <v>0</v>
      </c>
      <c r="E207" s="39">
        <v>18279.850997326281</v>
      </c>
      <c r="F207" s="39">
        <v>10657.303128419873</v>
      </c>
      <c r="G207" s="39">
        <v>18279.850997326281</v>
      </c>
    </row>
    <row r="208" spans="1:7" ht="11.25" customHeight="1" x14ac:dyDescent="0.2">
      <c r="A208" s="49">
        <v>44743</v>
      </c>
      <c r="B208" s="39">
        <v>0</v>
      </c>
      <c r="C208" s="39">
        <v>15947.075642234282</v>
      </c>
      <c r="D208" s="39">
        <v>0</v>
      </c>
      <c r="E208" s="39">
        <v>27353.089526539101</v>
      </c>
      <c r="F208" s="39">
        <v>15947.075642234282</v>
      </c>
      <c r="G208" s="39">
        <v>27353.089526539101</v>
      </c>
    </row>
    <row r="209" spans="1:7" ht="11.25" customHeight="1" x14ac:dyDescent="0.2">
      <c r="A209" s="49">
        <v>44774</v>
      </c>
      <c r="B209" s="39">
        <v>0</v>
      </c>
      <c r="C209" s="39">
        <v>17511.124298145809</v>
      </c>
      <c r="D209" s="39">
        <v>0</v>
      </c>
      <c r="E209" s="39">
        <v>30035.81104042647</v>
      </c>
      <c r="F209" s="39">
        <v>17511.124298145809</v>
      </c>
      <c r="G209" s="39">
        <v>30035.81104042647</v>
      </c>
    </row>
    <row r="210" spans="1:7" ht="11.25" customHeight="1" x14ac:dyDescent="0.2">
      <c r="A210" s="49">
        <v>44805</v>
      </c>
      <c r="B210" s="39">
        <v>0</v>
      </c>
      <c r="C210" s="39">
        <v>16178.128284584851</v>
      </c>
      <c r="D210" s="39">
        <v>0</v>
      </c>
      <c r="E210" s="39">
        <v>27749.400659272465</v>
      </c>
      <c r="F210" s="39">
        <v>16178.128284584851</v>
      </c>
      <c r="G210" s="39">
        <v>27749.400659272465</v>
      </c>
    </row>
    <row r="211" spans="1:7" ht="11.25" customHeight="1" x14ac:dyDescent="0.2">
      <c r="A211" s="49">
        <v>44835</v>
      </c>
      <c r="B211" s="39">
        <v>0</v>
      </c>
      <c r="C211" s="39">
        <v>16178.128284584851</v>
      </c>
      <c r="D211" s="39">
        <v>0</v>
      </c>
      <c r="E211" s="39">
        <v>27749.400659272465</v>
      </c>
      <c r="F211" s="39">
        <v>16178.128284584851</v>
      </c>
      <c r="G211" s="39">
        <v>27749.400659272465</v>
      </c>
    </row>
    <row r="212" spans="1:7" ht="11.25" customHeight="1" x14ac:dyDescent="0.2">
      <c r="A212" s="41" t="s">
        <v>813</v>
      </c>
      <c r="B212" s="39">
        <v>0</v>
      </c>
      <c r="C212" s="39">
        <v>0</v>
      </c>
      <c r="D212" s="39">
        <v>0</v>
      </c>
      <c r="E212" s="39">
        <v>0</v>
      </c>
      <c r="F212" s="39">
        <v>0</v>
      </c>
      <c r="G212" s="39">
        <v>0</v>
      </c>
    </row>
    <row r="213" spans="1:7" ht="11.25" customHeight="1" x14ac:dyDescent="0.2">
      <c r="A213" s="42" t="s">
        <v>45</v>
      </c>
      <c r="B213" s="39">
        <v>0</v>
      </c>
      <c r="C213" s="39">
        <v>0</v>
      </c>
      <c r="D213" s="39">
        <v>0</v>
      </c>
      <c r="E213" s="39">
        <v>0</v>
      </c>
      <c r="F213" s="39">
        <v>0</v>
      </c>
      <c r="G213" s="39">
        <v>0</v>
      </c>
    </row>
    <row r="214" spans="1:7" ht="11.25" customHeight="1" x14ac:dyDescent="0.2">
      <c r="A214" s="43" t="s">
        <v>60</v>
      </c>
      <c r="B214" s="39">
        <v>0</v>
      </c>
      <c r="C214" s="39">
        <v>0</v>
      </c>
      <c r="D214" s="39">
        <v>0</v>
      </c>
      <c r="E214" s="39">
        <v>0</v>
      </c>
      <c r="F214" s="39">
        <v>0</v>
      </c>
      <c r="G214" s="39">
        <v>0</v>
      </c>
    </row>
    <row r="215" spans="1:7" ht="11.25" customHeight="1" x14ac:dyDescent="0.2">
      <c r="A215" s="44" t="s">
        <v>25</v>
      </c>
      <c r="B215" s="39">
        <v>0</v>
      </c>
      <c r="C215" s="39">
        <v>0</v>
      </c>
      <c r="D215" s="39">
        <v>0</v>
      </c>
      <c r="E215" s="39">
        <v>0</v>
      </c>
      <c r="F215" s="39">
        <v>0</v>
      </c>
      <c r="G215" s="39">
        <v>0</v>
      </c>
    </row>
    <row r="216" spans="1:7" ht="11.25" customHeight="1" x14ac:dyDescent="0.2">
      <c r="A216" s="45" t="s">
        <v>25</v>
      </c>
      <c r="B216" s="39">
        <v>0</v>
      </c>
      <c r="C216" s="39">
        <v>0</v>
      </c>
      <c r="D216" s="39">
        <v>0</v>
      </c>
      <c r="E216" s="39">
        <v>0</v>
      </c>
      <c r="F216" s="39">
        <v>0</v>
      </c>
      <c r="G216" s="39">
        <v>0</v>
      </c>
    </row>
    <row r="217" spans="1:7" ht="11.25" customHeight="1" x14ac:dyDescent="0.2">
      <c r="A217" s="46" t="s">
        <v>25</v>
      </c>
      <c r="B217" s="39">
        <v>0</v>
      </c>
      <c r="C217" s="39">
        <v>0</v>
      </c>
      <c r="D217" s="39">
        <v>0</v>
      </c>
      <c r="E217" s="39">
        <v>0</v>
      </c>
      <c r="F217" s="39">
        <v>0</v>
      </c>
      <c r="G217" s="39">
        <v>0</v>
      </c>
    </row>
    <row r="218" spans="1:7" ht="11.25" customHeight="1" x14ac:dyDescent="0.2">
      <c r="A218" s="47" t="s">
        <v>61</v>
      </c>
      <c r="B218" s="39">
        <v>0</v>
      </c>
      <c r="C218" s="39">
        <v>0</v>
      </c>
      <c r="D218" s="39">
        <v>0</v>
      </c>
      <c r="E218" s="39">
        <v>0</v>
      </c>
      <c r="F218" s="39">
        <v>0</v>
      </c>
      <c r="G218" s="39">
        <v>0</v>
      </c>
    </row>
    <row r="219" spans="1:7" ht="11.25" customHeight="1" x14ac:dyDescent="0.2">
      <c r="A219" s="48" t="s">
        <v>25</v>
      </c>
      <c r="B219" s="39">
        <v>0</v>
      </c>
      <c r="C219" s="39">
        <v>0</v>
      </c>
      <c r="D219" s="39">
        <v>0</v>
      </c>
      <c r="E219" s="39">
        <v>0</v>
      </c>
      <c r="F219" s="39">
        <v>0</v>
      </c>
      <c r="G219" s="39">
        <v>0</v>
      </c>
    </row>
    <row r="220" spans="1:7" ht="11.25" customHeight="1" x14ac:dyDescent="0.2">
      <c r="A220" s="49">
        <v>44501</v>
      </c>
      <c r="B220" s="39">
        <v>0</v>
      </c>
      <c r="C220" s="39">
        <v>0</v>
      </c>
      <c r="D220" s="39">
        <v>0</v>
      </c>
      <c r="E220" s="39">
        <v>0</v>
      </c>
      <c r="F220" s="39">
        <v>0</v>
      </c>
      <c r="G220" s="39">
        <v>0</v>
      </c>
    </row>
    <row r="221" spans="1:7" ht="11.25" customHeight="1" x14ac:dyDescent="0.2">
      <c r="A221" s="49">
        <v>44531</v>
      </c>
      <c r="B221" s="39">
        <v>0</v>
      </c>
      <c r="C221" s="39">
        <v>0</v>
      </c>
      <c r="D221" s="39">
        <v>0</v>
      </c>
      <c r="E221" s="39">
        <v>0</v>
      </c>
      <c r="F221" s="39">
        <v>0</v>
      </c>
      <c r="G221" s="39">
        <v>0</v>
      </c>
    </row>
    <row r="222" spans="1:7" ht="11.25" customHeight="1" x14ac:dyDescent="0.2">
      <c r="A222" s="49">
        <v>44562</v>
      </c>
      <c r="B222" s="39">
        <v>0</v>
      </c>
      <c r="C222" s="39">
        <v>0</v>
      </c>
      <c r="D222" s="39">
        <v>0</v>
      </c>
      <c r="E222" s="39">
        <v>0</v>
      </c>
      <c r="F222" s="39">
        <v>0</v>
      </c>
      <c r="G222" s="39">
        <v>0</v>
      </c>
    </row>
    <row r="223" spans="1:7" ht="11.25" customHeight="1" x14ac:dyDescent="0.2">
      <c r="A223" s="49">
        <v>44593</v>
      </c>
      <c r="B223" s="39">
        <v>0</v>
      </c>
      <c r="C223" s="39">
        <v>0</v>
      </c>
      <c r="D223" s="39">
        <v>0</v>
      </c>
      <c r="E223" s="39">
        <v>0</v>
      </c>
      <c r="F223" s="39">
        <v>0</v>
      </c>
      <c r="G223" s="39">
        <v>0</v>
      </c>
    </row>
    <row r="224" spans="1:7" ht="11.25" customHeight="1" x14ac:dyDescent="0.2">
      <c r="A224" s="49">
        <v>44621</v>
      </c>
      <c r="B224" s="39">
        <v>0</v>
      </c>
      <c r="C224" s="39">
        <v>0</v>
      </c>
      <c r="D224" s="39">
        <v>0</v>
      </c>
      <c r="E224" s="39">
        <v>0</v>
      </c>
      <c r="F224" s="39">
        <v>0</v>
      </c>
      <c r="G224" s="39">
        <v>0</v>
      </c>
    </row>
    <row r="225" spans="1:7" ht="11.25" customHeight="1" x14ac:dyDescent="0.2">
      <c r="A225" s="49">
        <v>44652</v>
      </c>
      <c r="B225" s="39">
        <v>0</v>
      </c>
      <c r="C225" s="39">
        <v>0</v>
      </c>
      <c r="D225" s="39">
        <v>0</v>
      </c>
      <c r="E225" s="39">
        <v>0</v>
      </c>
      <c r="F225" s="39">
        <v>0</v>
      </c>
      <c r="G225" s="39">
        <v>0</v>
      </c>
    </row>
    <row r="226" spans="1:7" ht="11.25" customHeight="1" x14ac:dyDescent="0.2">
      <c r="A226" s="49">
        <v>44682</v>
      </c>
      <c r="B226" s="39">
        <v>0</v>
      </c>
      <c r="C226" s="39">
        <v>0</v>
      </c>
      <c r="D226" s="39">
        <v>0</v>
      </c>
      <c r="E226" s="39">
        <v>0</v>
      </c>
      <c r="F226" s="39">
        <v>0</v>
      </c>
      <c r="G226" s="39">
        <v>0</v>
      </c>
    </row>
    <row r="227" spans="1:7" ht="11.25" customHeight="1" x14ac:dyDescent="0.2">
      <c r="A227" s="49">
        <v>44713</v>
      </c>
      <c r="B227" s="39">
        <v>0</v>
      </c>
      <c r="C227" s="39">
        <v>0</v>
      </c>
      <c r="D227" s="39">
        <v>0</v>
      </c>
      <c r="E227" s="39">
        <v>0</v>
      </c>
      <c r="F227" s="39">
        <v>0</v>
      </c>
      <c r="G227" s="39">
        <v>0</v>
      </c>
    </row>
    <row r="228" spans="1:7" ht="11.25" customHeight="1" x14ac:dyDescent="0.2">
      <c r="A228" s="49">
        <v>44743</v>
      </c>
      <c r="B228" s="39">
        <v>0</v>
      </c>
      <c r="C228" s="39">
        <v>0</v>
      </c>
      <c r="D228" s="39">
        <v>0</v>
      </c>
      <c r="E228" s="39">
        <v>0</v>
      </c>
      <c r="F228" s="39">
        <v>0</v>
      </c>
      <c r="G228" s="39">
        <v>0</v>
      </c>
    </row>
    <row r="229" spans="1:7" ht="11.25" customHeight="1" x14ac:dyDescent="0.2">
      <c r="A229" s="49">
        <v>44774</v>
      </c>
      <c r="B229" s="39">
        <v>0</v>
      </c>
      <c r="C229" s="39">
        <v>0</v>
      </c>
      <c r="D229" s="39">
        <v>0</v>
      </c>
      <c r="E229" s="39">
        <v>0</v>
      </c>
      <c r="F229" s="39">
        <v>0</v>
      </c>
      <c r="G229" s="39">
        <v>0</v>
      </c>
    </row>
    <row r="230" spans="1:7" ht="11.25" customHeight="1" x14ac:dyDescent="0.2">
      <c r="A230" s="49">
        <v>44805</v>
      </c>
      <c r="B230" s="39">
        <v>0</v>
      </c>
      <c r="C230" s="39">
        <v>0</v>
      </c>
      <c r="D230" s="39">
        <v>0</v>
      </c>
      <c r="E230" s="39">
        <v>0</v>
      </c>
      <c r="F230" s="39">
        <v>0</v>
      </c>
      <c r="G230" s="39">
        <v>0</v>
      </c>
    </row>
    <row r="231" spans="1:7" ht="11.25" customHeight="1" x14ac:dyDescent="0.2">
      <c r="A231" s="49">
        <v>44835</v>
      </c>
      <c r="B231" s="39">
        <v>0</v>
      </c>
      <c r="C231" s="39">
        <v>0</v>
      </c>
      <c r="D231" s="39">
        <v>0</v>
      </c>
      <c r="E231" s="39">
        <v>0</v>
      </c>
      <c r="F231" s="39">
        <v>0</v>
      </c>
      <c r="G231" s="39">
        <v>0</v>
      </c>
    </row>
    <row r="232" spans="1:7" ht="11.25" customHeight="1" x14ac:dyDescent="0.2">
      <c r="A232" s="41" t="s">
        <v>812</v>
      </c>
      <c r="B232" s="39">
        <v>0</v>
      </c>
      <c r="C232" s="39">
        <v>979182.65098120004</v>
      </c>
      <c r="D232" s="39">
        <v>0</v>
      </c>
      <c r="E232" s="39">
        <v>1101001.7871853085</v>
      </c>
      <c r="F232" s="39">
        <v>979182.65098120004</v>
      </c>
      <c r="G232" s="39">
        <v>1101001.7871853081</v>
      </c>
    </row>
    <row r="233" spans="1:7" ht="11.25" customHeight="1" x14ac:dyDescent="0.2">
      <c r="A233" s="42" t="s">
        <v>45</v>
      </c>
      <c r="B233" s="39">
        <v>0</v>
      </c>
      <c r="C233" s="39">
        <v>222329.30969600001</v>
      </c>
      <c r="D233" s="39">
        <v>0</v>
      </c>
      <c r="E233" s="39">
        <v>253994.53888993146</v>
      </c>
      <c r="F233" s="39">
        <v>222329.30969600001</v>
      </c>
      <c r="G233" s="39">
        <v>253994.53888993146</v>
      </c>
    </row>
    <row r="234" spans="1:7" ht="11.25" customHeight="1" x14ac:dyDescent="0.2">
      <c r="A234" s="43" t="s">
        <v>42</v>
      </c>
      <c r="B234" s="39">
        <v>0</v>
      </c>
      <c r="C234" s="39">
        <v>219598.67558400001</v>
      </c>
      <c r="D234" s="39">
        <v>0</v>
      </c>
      <c r="E234" s="39">
        <v>250874.99449381517</v>
      </c>
      <c r="F234" s="39">
        <v>219598.67558400001</v>
      </c>
      <c r="G234" s="39">
        <v>250874.99449381517</v>
      </c>
    </row>
    <row r="235" spans="1:7" ht="11.25" customHeight="1" x14ac:dyDescent="0.2">
      <c r="A235" s="44" t="s">
        <v>44</v>
      </c>
      <c r="B235" s="39">
        <v>0</v>
      </c>
      <c r="C235" s="39">
        <v>219598.67558400001</v>
      </c>
      <c r="D235" s="39">
        <v>0</v>
      </c>
      <c r="E235" s="39">
        <v>250874.99449381517</v>
      </c>
      <c r="F235" s="39">
        <v>219598.67558400001</v>
      </c>
      <c r="G235" s="39">
        <v>250874.99449381517</v>
      </c>
    </row>
    <row r="236" spans="1:7" ht="11.25" customHeight="1" x14ac:dyDescent="0.2">
      <c r="A236" s="45" t="s">
        <v>53</v>
      </c>
      <c r="B236" s="39">
        <v>0</v>
      </c>
      <c r="C236" s="39">
        <v>219598.67558400001</v>
      </c>
      <c r="D236" s="39">
        <v>0</v>
      </c>
      <c r="E236" s="39">
        <v>250874.99449381517</v>
      </c>
      <c r="F236" s="39">
        <v>219598.67558400001</v>
      </c>
      <c r="G236" s="39">
        <v>250874.99449381517</v>
      </c>
    </row>
    <row r="237" spans="1:7" ht="11.25" customHeight="1" x14ac:dyDescent="0.2">
      <c r="A237" s="46" t="s">
        <v>55</v>
      </c>
      <c r="B237" s="39">
        <v>0</v>
      </c>
      <c r="C237" s="39">
        <v>219598.67558400001</v>
      </c>
      <c r="D237" s="39">
        <v>0</v>
      </c>
      <c r="E237" s="39">
        <v>250874.99449381517</v>
      </c>
      <c r="F237" s="39">
        <v>219598.67558400001</v>
      </c>
      <c r="G237" s="39">
        <v>250874.99449381517</v>
      </c>
    </row>
    <row r="238" spans="1:7" ht="11.25" customHeight="1" x14ac:dyDescent="0.2">
      <c r="A238" s="47" t="s">
        <v>25</v>
      </c>
      <c r="B238" s="39">
        <v>0</v>
      </c>
      <c r="C238" s="39">
        <v>219598.67558400001</v>
      </c>
      <c r="D238" s="39">
        <v>0</v>
      </c>
      <c r="E238" s="39">
        <v>250874.99449381517</v>
      </c>
      <c r="F238" s="39">
        <v>219598.67558400001</v>
      </c>
      <c r="G238" s="39">
        <v>250874.99449381517</v>
      </c>
    </row>
    <row r="239" spans="1:7" ht="11.25" customHeight="1" x14ac:dyDescent="0.2">
      <c r="A239" s="48" t="s">
        <v>35</v>
      </c>
      <c r="B239" s="39">
        <v>0</v>
      </c>
      <c r="C239" s="39">
        <v>219598.67558400001</v>
      </c>
      <c r="D239" s="39">
        <v>0</v>
      </c>
      <c r="E239" s="39">
        <v>250874.99449381517</v>
      </c>
      <c r="F239" s="39">
        <v>219598.67558400001</v>
      </c>
      <c r="G239" s="39">
        <v>250874.99449381517</v>
      </c>
    </row>
    <row r="240" spans="1:7" ht="11.25" customHeight="1" x14ac:dyDescent="0.2">
      <c r="A240" s="49">
        <v>44713</v>
      </c>
      <c r="B240" s="39">
        <v>0</v>
      </c>
      <c r="C240" s="39">
        <v>44388.667904000009</v>
      </c>
      <c r="D240" s="39">
        <v>0</v>
      </c>
      <c r="E240" s="39">
        <v>50710.719390218226</v>
      </c>
      <c r="F240" s="39">
        <v>44388.667904000009</v>
      </c>
      <c r="G240" s="39">
        <v>50710.719390218226</v>
      </c>
    </row>
    <row r="241" spans="1:7" ht="11.25" customHeight="1" x14ac:dyDescent="0.2">
      <c r="A241" s="49">
        <v>44743</v>
      </c>
      <c r="B241" s="39">
        <v>0</v>
      </c>
      <c r="C241" s="39">
        <v>44388.667904000009</v>
      </c>
      <c r="D241" s="39">
        <v>0</v>
      </c>
      <c r="E241" s="39">
        <v>50710.719390218226</v>
      </c>
      <c r="F241" s="39">
        <v>44388.667904000009</v>
      </c>
      <c r="G241" s="39">
        <v>50710.719390218226</v>
      </c>
    </row>
    <row r="242" spans="1:7" ht="11.25" customHeight="1" x14ac:dyDescent="0.2">
      <c r="A242" s="49">
        <v>44774</v>
      </c>
      <c r="B242" s="39">
        <v>0</v>
      </c>
      <c r="C242" s="39">
        <v>130821.33977600001</v>
      </c>
      <c r="D242" s="39">
        <v>0</v>
      </c>
      <c r="E242" s="39">
        <v>149453.55571337871</v>
      </c>
      <c r="F242" s="39">
        <v>130821.33977600001</v>
      </c>
      <c r="G242" s="39">
        <v>149453.55571337871</v>
      </c>
    </row>
    <row r="243" spans="1:7" ht="11.25" customHeight="1" x14ac:dyDescent="0.2">
      <c r="A243" s="43" t="s">
        <v>40</v>
      </c>
      <c r="B243" s="39">
        <v>0</v>
      </c>
      <c r="C243" s="39">
        <v>2730.6341119999997</v>
      </c>
      <c r="D243" s="39">
        <v>0</v>
      </c>
      <c r="E243" s="39">
        <v>3119.5443961162782</v>
      </c>
      <c r="F243" s="39">
        <v>2730.6341119999997</v>
      </c>
      <c r="G243" s="39">
        <v>3119.5443961162782</v>
      </c>
    </row>
    <row r="244" spans="1:7" ht="11.25" customHeight="1" x14ac:dyDescent="0.2">
      <c r="A244" s="44" t="s">
        <v>44</v>
      </c>
      <c r="B244" s="39">
        <v>0</v>
      </c>
      <c r="C244" s="39">
        <v>2730.6341119999997</v>
      </c>
      <c r="D244" s="39">
        <v>0</v>
      </c>
      <c r="E244" s="39">
        <v>3119.5443961162782</v>
      </c>
      <c r="F244" s="39">
        <v>2730.6341119999997</v>
      </c>
      <c r="G244" s="39">
        <v>3119.5443961162782</v>
      </c>
    </row>
    <row r="245" spans="1:7" ht="11.25" customHeight="1" x14ac:dyDescent="0.2">
      <c r="A245" s="45" t="s">
        <v>53</v>
      </c>
      <c r="B245" s="39">
        <v>0</v>
      </c>
      <c r="C245" s="39">
        <v>2730.6341119999997</v>
      </c>
      <c r="D245" s="39">
        <v>0</v>
      </c>
      <c r="E245" s="39">
        <v>3119.5443961162782</v>
      </c>
      <c r="F245" s="39">
        <v>2730.6341119999997</v>
      </c>
      <c r="G245" s="39">
        <v>3119.5443961162782</v>
      </c>
    </row>
    <row r="246" spans="1:7" ht="11.25" customHeight="1" x14ac:dyDescent="0.2">
      <c r="A246" s="46" t="s">
        <v>55</v>
      </c>
      <c r="B246" s="39">
        <v>0</v>
      </c>
      <c r="C246" s="39">
        <v>2730.6341119999997</v>
      </c>
      <c r="D246" s="39">
        <v>0</v>
      </c>
      <c r="E246" s="39">
        <v>3119.5443961162782</v>
      </c>
      <c r="F246" s="39">
        <v>2730.6341119999997</v>
      </c>
      <c r="G246" s="39">
        <v>3119.5443961162782</v>
      </c>
    </row>
    <row r="247" spans="1:7" ht="11.25" customHeight="1" x14ac:dyDescent="0.2">
      <c r="A247" s="47" t="s">
        <v>25</v>
      </c>
      <c r="B247" s="39">
        <v>0</v>
      </c>
      <c r="C247" s="39">
        <v>2730.6341119999997</v>
      </c>
      <c r="D247" s="39">
        <v>0</v>
      </c>
      <c r="E247" s="39">
        <v>3119.5443961162782</v>
      </c>
      <c r="F247" s="39">
        <v>2730.6341119999997</v>
      </c>
      <c r="G247" s="39">
        <v>3119.5443961162782</v>
      </c>
    </row>
    <row r="248" spans="1:7" ht="11.25" customHeight="1" x14ac:dyDescent="0.2">
      <c r="A248" s="48" t="s">
        <v>35</v>
      </c>
      <c r="B248" s="39">
        <v>0</v>
      </c>
      <c r="C248" s="39">
        <v>2730.6341119999997</v>
      </c>
      <c r="D248" s="39">
        <v>0</v>
      </c>
      <c r="E248" s="39">
        <v>3119.5443961162782</v>
      </c>
      <c r="F248" s="39">
        <v>2730.6341119999997</v>
      </c>
      <c r="G248" s="39">
        <v>3119.5443961162782</v>
      </c>
    </row>
    <row r="249" spans="1:7" ht="11.25" customHeight="1" x14ac:dyDescent="0.2">
      <c r="A249" s="49">
        <v>44805</v>
      </c>
      <c r="B249" s="39">
        <v>0</v>
      </c>
      <c r="C249" s="39">
        <v>1365.3170559999999</v>
      </c>
      <c r="D249" s="39">
        <v>0</v>
      </c>
      <c r="E249" s="39">
        <v>1559.7721980581391</v>
      </c>
      <c r="F249" s="39">
        <v>1365.3170559999999</v>
      </c>
      <c r="G249" s="39">
        <v>1559.7721980581391</v>
      </c>
    </row>
    <row r="250" spans="1:7" ht="11.25" customHeight="1" x14ac:dyDescent="0.2">
      <c r="A250" s="49">
        <v>44835</v>
      </c>
      <c r="B250" s="39">
        <v>0</v>
      </c>
      <c r="C250" s="39">
        <v>1365.3170559999999</v>
      </c>
      <c r="D250" s="39">
        <v>0</v>
      </c>
      <c r="E250" s="39">
        <v>1559.7721980581391</v>
      </c>
      <c r="F250" s="39">
        <v>1365.3170559999999</v>
      </c>
      <c r="G250" s="39">
        <v>1559.7721980581391</v>
      </c>
    </row>
    <row r="251" spans="1:7" ht="11.25" customHeight="1" x14ac:dyDescent="0.2">
      <c r="A251" s="42" t="s">
        <v>39</v>
      </c>
      <c r="B251" s="39">
        <v>0</v>
      </c>
      <c r="C251" s="39">
        <v>282048.75494400004</v>
      </c>
      <c r="D251" s="39">
        <v>0</v>
      </c>
      <c r="E251" s="39">
        <v>322219.52001935907</v>
      </c>
      <c r="F251" s="39">
        <v>282048.75494400004</v>
      </c>
      <c r="G251" s="39">
        <v>322219.52001935907</v>
      </c>
    </row>
    <row r="252" spans="1:7" ht="11.25" customHeight="1" x14ac:dyDescent="0.2">
      <c r="A252" s="43" t="s">
        <v>40</v>
      </c>
      <c r="B252" s="39">
        <v>0</v>
      </c>
      <c r="C252" s="39">
        <v>282048.75494400004</v>
      </c>
      <c r="D252" s="39">
        <v>0</v>
      </c>
      <c r="E252" s="39">
        <v>322219.52001935907</v>
      </c>
      <c r="F252" s="39">
        <v>282048.75494400004</v>
      </c>
      <c r="G252" s="39">
        <v>322219.52001935907</v>
      </c>
    </row>
    <row r="253" spans="1:7" ht="11.25" customHeight="1" x14ac:dyDescent="0.2">
      <c r="A253" s="44" t="s">
        <v>44</v>
      </c>
      <c r="B253" s="39">
        <v>0</v>
      </c>
      <c r="C253" s="39">
        <v>282048.75494400004</v>
      </c>
      <c r="D253" s="39">
        <v>0</v>
      </c>
      <c r="E253" s="39">
        <v>322219.52001935907</v>
      </c>
      <c r="F253" s="39">
        <v>282048.75494400004</v>
      </c>
      <c r="G253" s="39">
        <v>322219.52001935907</v>
      </c>
    </row>
    <row r="254" spans="1:7" ht="11.25" customHeight="1" x14ac:dyDescent="0.2">
      <c r="A254" s="45" t="s">
        <v>53</v>
      </c>
      <c r="B254" s="39">
        <v>0</v>
      </c>
      <c r="C254" s="39">
        <v>282048.75494400004</v>
      </c>
      <c r="D254" s="39">
        <v>0</v>
      </c>
      <c r="E254" s="39">
        <v>322219.52001935907</v>
      </c>
      <c r="F254" s="39">
        <v>282048.75494400004</v>
      </c>
      <c r="G254" s="39">
        <v>322219.52001935907</v>
      </c>
    </row>
    <row r="255" spans="1:7" ht="11.25" customHeight="1" x14ac:dyDescent="0.2">
      <c r="A255" s="46" t="s">
        <v>55</v>
      </c>
      <c r="B255" s="39">
        <v>0</v>
      </c>
      <c r="C255" s="39">
        <v>282048.75494400004</v>
      </c>
      <c r="D255" s="39">
        <v>0</v>
      </c>
      <c r="E255" s="39">
        <v>322219.52001935907</v>
      </c>
      <c r="F255" s="39">
        <v>282048.75494400004</v>
      </c>
      <c r="G255" s="39">
        <v>322219.52001935907</v>
      </c>
    </row>
    <row r="256" spans="1:7" ht="11.25" customHeight="1" x14ac:dyDescent="0.2">
      <c r="A256" s="47" t="s">
        <v>25</v>
      </c>
      <c r="B256" s="39">
        <v>0</v>
      </c>
      <c r="C256" s="39">
        <v>282048.75494400004</v>
      </c>
      <c r="D256" s="39">
        <v>0</v>
      </c>
      <c r="E256" s="39">
        <v>322219.52001935907</v>
      </c>
      <c r="F256" s="39">
        <v>282048.75494400004</v>
      </c>
      <c r="G256" s="39">
        <v>322219.52001935907</v>
      </c>
    </row>
    <row r="257" spans="1:7" ht="11.25" customHeight="1" x14ac:dyDescent="0.2">
      <c r="A257" s="48" t="s">
        <v>35</v>
      </c>
      <c r="B257" s="39">
        <v>0</v>
      </c>
      <c r="C257" s="39">
        <v>282048.75494400004</v>
      </c>
      <c r="D257" s="39">
        <v>0</v>
      </c>
      <c r="E257" s="39">
        <v>322219.52001935907</v>
      </c>
      <c r="F257" s="39">
        <v>282048.75494400004</v>
      </c>
      <c r="G257" s="39">
        <v>322219.52001935907</v>
      </c>
    </row>
    <row r="258" spans="1:7" ht="11.25" customHeight="1" x14ac:dyDescent="0.2">
      <c r="A258" s="49">
        <v>44501</v>
      </c>
      <c r="B258" s="39">
        <v>0</v>
      </c>
      <c r="C258" s="39">
        <v>2784.1245440000002</v>
      </c>
      <c r="D258" s="39">
        <v>0</v>
      </c>
      <c r="E258" s="39">
        <v>3180.6531974229547</v>
      </c>
      <c r="F258" s="39">
        <v>2784.1245440000002</v>
      </c>
      <c r="G258" s="39">
        <v>3180.6531974229547</v>
      </c>
    </row>
    <row r="259" spans="1:7" ht="11.25" customHeight="1" x14ac:dyDescent="0.2">
      <c r="A259" s="49">
        <v>44531</v>
      </c>
      <c r="B259" s="39">
        <v>0</v>
      </c>
      <c r="C259" s="39">
        <v>477.742976</v>
      </c>
      <c r="D259" s="39">
        <v>0</v>
      </c>
      <c r="E259" s="39">
        <v>545.78547049393694</v>
      </c>
      <c r="F259" s="39">
        <v>477.742976</v>
      </c>
      <c r="G259" s="39">
        <v>545.78547049393694</v>
      </c>
    </row>
    <row r="260" spans="1:7" ht="11.25" customHeight="1" x14ac:dyDescent="0.2">
      <c r="A260" s="49">
        <v>44562</v>
      </c>
      <c r="B260" s="39">
        <v>0</v>
      </c>
      <c r="C260" s="39">
        <v>2654.331584</v>
      </c>
      <c r="D260" s="39">
        <v>0</v>
      </c>
      <c r="E260" s="39">
        <v>3032.374488369991</v>
      </c>
      <c r="F260" s="39">
        <v>2654.331584</v>
      </c>
      <c r="G260" s="39">
        <v>3032.374488369991</v>
      </c>
    </row>
    <row r="261" spans="1:7" ht="11.25" customHeight="1" x14ac:dyDescent="0.2">
      <c r="A261" s="49">
        <v>44593</v>
      </c>
      <c r="B261" s="39">
        <v>0</v>
      </c>
      <c r="C261" s="39">
        <v>563.74720000000002</v>
      </c>
      <c r="D261" s="39">
        <v>0</v>
      </c>
      <c r="E261" s="39">
        <v>644.03883730074881</v>
      </c>
      <c r="F261" s="39">
        <v>563.74720000000002</v>
      </c>
      <c r="G261" s="39">
        <v>644.03883730074881</v>
      </c>
    </row>
    <row r="262" spans="1:7" ht="11.25" customHeight="1" x14ac:dyDescent="0.2">
      <c r="A262" s="49">
        <v>44621</v>
      </c>
      <c r="B262" s="39">
        <v>0</v>
      </c>
      <c r="C262" s="39">
        <v>8142.0828160000001</v>
      </c>
      <c r="D262" s="39">
        <v>0</v>
      </c>
      <c r="E262" s="39">
        <v>9301.7181283083046</v>
      </c>
      <c r="F262" s="39">
        <v>8142.0828160000001</v>
      </c>
      <c r="G262" s="39">
        <v>9301.7181283083046</v>
      </c>
    </row>
    <row r="263" spans="1:7" ht="11.25" customHeight="1" x14ac:dyDescent="0.2">
      <c r="A263" s="49">
        <v>44652</v>
      </c>
      <c r="B263" s="39">
        <v>0</v>
      </c>
      <c r="C263" s="39">
        <v>38804.424128000006</v>
      </c>
      <c r="D263" s="39">
        <v>0</v>
      </c>
      <c r="E263" s="39">
        <v>44331.140265569833</v>
      </c>
      <c r="F263" s="39">
        <v>38804.424128000006</v>
      </c>
      <c r="G263" s="39">
        <v>44331.140265569833</v>
      </c>
    </row>
    <row r="264" spans="1:7" ht="11.25" customHeight="1" x14ac:dyDescent="0.2">
      <c r="A264" s="49">
        <v>44682</v>
      </c>
      <c r="B264" s="39">
        <v>0</v>
      </c>
      <c r="C264" s="39">
        <v>47665.219072000007</v>
      </c>
      <c r="D264" s="39">
        <v>0</v>
      </c>
      <c r="E264" s="39">
        <v>54453.933023199686</v>
      </c>
      <c r="F264" s="39">
        <v>47665.219072000007</v>
      </c>
      <c r="G264" s="39">
        <v>54453.933023199686</v>
      </c>
    </row>
    <row r="265" spans="1:7" ht="11.25" customHeight="1" x14ac:dyDescent="0.2">
      <c r="A265" s="49">
        <v>44713</v>
      </c>
      <c r="B265" s="39">
        <v>0</v>
      </c>
      <c r="C265" s="39">
        <v>34506.048384000002</v>
      </c>
      <c r="D265" s="39">
        <v>0</v>
      </c>
      <c r="E265" s="39">
        <v>39420.568795862302</v>
      </c>
      <c r="F265" s="39">
        <v>34506.048384000002</v>
      </c>
      <c r="G265" s="39">
        <v>39420.568795862302</v>
      </c>
    </row>
    <row r="266" spans="1:7" ht="11.25" customHeight="1" x14ac:dyDescent="0.2">
      <c r="A266" s="49">
        <v>44743</v>
      </c>
      <c r="B266" s="39">
        <v>0</v>
      </c>
      <c r="C266" s="39">
        <v>38471.682176000002</v>
      </c>
      <c r="D266" s="39">
        <v>0</v>
      </c>
      <c r="E266" s="39">
        <v>43951.007575088595</v>
      </c>
      <c r="F266" s="39">
        <v>38471.682176000002</v>
      </c>
      <c r="G266" s="39">
        <v>43951.007575088595</v>
      </c>
    </row>
    <row r="267" spans="1:7" ht="11.25" customHeight="1" x14ac:dyDescent="0.2">
      <c r="A267" s="49">
        <v>44774</v>
      </c>
      <c r="B267" s="39">
        <v>0</v>
      </c>
      <c r="C267" s="39">
        <v>38734.939008000001</v>
      </c>
      <c r="D267" s="39">
        <v>0</v>
      </c>
      <c r="E267" s="39">
        <v>44251.758734460673</v>
      </c>
      <c r="F267" s="39">
        <v>38734.939008000001</v>
      </c>
      <c r="G267" s="39">
        <v>44251.758734460673</v>
      </c>
    </row>
    <row r="268" spans="1:7" ht="11.25" customHeight="1" x14ac:dyDescent="0.2">
      <c r="A268" s="49">
        <v>44805</v>
      </c>
      <c r="B268" s="39">
        <v>0</v>
      </c>
      <c r="C268" s="39">
        <v>34622.206528000002</v>
      </c>
      <c r="D268" s="39">
        <v>0</v>
      </c>
      <c r="E268" s="39">
        <v>39553.270751641016</v>
      </c>
      <c r="F268" s="39">
        <v>34622.206528000002</v>
      </c>
      <c r="G268" s="39">
        <v>39553.270751641016</v>
      </c>
    </row>
    <row r="269" spans="1:7" ht="11.25" customHeight="1" x14ac:dyDescent="0.2">
      <c r="A269" s="49">
        <v>44835</v>
      </c>
      <c r="B269" s="39">
        <v>0</v>
      </c>
      <c r="C269" s="39">
        <v>34622.206528000002</v>
      </c>
      <c r="D269" s="39">
        <v>0</v>
      </c>
      <c r="E269" s="39">
        <v>39553.270751641016</v>
      </c>
      <c r="F269" s="39">
        <v>34622.206528000002</v>
      </c>
      <c r="G269" s="39">
        <v>39553.270751641016</v>
      </c>
    </row>
    <row r="270" spans="1:7" ht="11.25" customHeight="1" x14ac:dyDescent="0.2">
      <c r="A270" s="42" t="s">
        <v>43</v>
      </c>
      <c r="B270" s="39">
        <v>0</v>
      </c>
      <c r="C270" s="39">
        <v>474804.58634119999</v>
      </c>
      <c r="D270" s="39">
        <v>0</v>
      </c>
      <c r="E270" s="39">
        <v>524787.7282760177</v>
      </c>
      <c r="F270" s="39">
        <v>474804.58634120005</v>
      </c>
      <c r="G270" s="39">
        <v>524787.72827601759</v>
      </c>
    </row>
    <row r="271" spans="1:7" ht="11.25" customHeight="1" x14ac:dyDescent="0.2">
      <c r="A271" s="43" t="s">
        <v>23</v>
      </c>
      <c r="B271" s="39">
        <v>0</v>
      </c>
      <c r="C271" s="39">
        <v>474804.58634119999</v>
      </c>
      <c r="D271" s="39">
        <v>0</v>
      </c>
      <c r="E271" s="39">
        <v>524787.7282760177</v>
      </c>
      <c r="F271" s="39">
        <v>474804.58634120005</v>
      </c>
      <c r="G271" s="39">
        <v>524787.72827601759</v>
      </c>
    </row>
    <row r="272" spans="1:7" ht="11.25" customHeight="1" x14ac:dyDescent="0.2">
      <c r="A272" s="44" t="s">
        <v>44</v>
      </c>
      <c r="B272" s="39">
        <v>0</v>
      </c>
      <c r="C272" s="39">
        <v>474804.58634119999</v>
      </c>
      <c r="D272" s="39">
        <v>0</v>
      </c>
      <c r="E272" s="39">
        <v>524787.7282760177</v>
      </c>
      <c r="F272" s="39">
        <v>474804.58634120005</v>
      </c>
      <c r="G272" s="39">
        <v>524787.72827601759</v>
      </c>
    </row>
    <row r="273" spans="1:7" ht="11.25" customHeight="1" x14ac:dyDescent="0.2">
      <c r="A273" s="45" t="s">
        <v>53</v>
      </c>
      <c r="B273" s="39">
        <v>0</v>
      </c>
      <c r="C273" s="39">
        <v>375121.46976660006</v>
      </c>
      <c r="D273" s="39">
        <v>0</v>
      </c>
      <c r="E273" s="39">
        <v>414610.87278737797</v>
      </c>
      <c r="F273" s="39">
        <v>375121.46976660006</v>
      </c>
      <c r="G273" s="39">
        <v>414610.87278737791</v>
      </c>
    </row>
    <row r="274" spans="1:7" ht="11.25" customHeight="1" x14ac:dyDescent="0.2">
      <c r="A274" s="46" t="s">
        <v>55</v>
      </c>
      <c r="B274" s="39">
        <v>0</v>
      </c>
      <c r="C274" s="39">
        <v>375121.46976660006</v>
      </c>
      <c r="D274" s="39">
        <v>0</v>
      </c>
      <c r="E274" s="39">
        <v>414610.87278737797</v>
      </c>
      <c r="F274" s="39">
        <v>375121.46976660006</v>
      </c>
      <c r="G274" s="39">
        <v>414610.87278737791</v>
      </c>
    </row>
    <row r="275" spans="1:7" ht="11.25" customHeight="1" x14ac:dyDescent="0.2">
      <c r="A275" s="47" t="s">
        <v>25</v>
      </c>
      <c r="B275" s="39">
        <v>0</v>
      </c>
      <c r="C275" s="39">
        <v>375121.46976660006</v>
      </c>
      <c r="D275" s="39">
        <v>0</v>
      </c>
      <c r="E275" s="39">
        <v>414610.87278737797</v>
      </c>
      <c r="F275" s="39">
        <v>375121.46976660006</v>
      </c>
      <c r="G275" s="39">
        <v>414610.87278737791</v>
      </c>
    </row>
    <row r="276" spans="1:7" ht="11.25" customHeight="1" x14ac:dyDescent="0.2">
      <c r="A276" s="48" t="s">
        <v>25</v>
      </c>
      <c r="B276" s="39">
        <v>0</v>
      </c>
      <c r="C276" s="39">
        <v>375121.46976660006</v>
      </c>
      <c r="D276" s="39">
        <v>0</v>
      </c>
      <c r="E276" s="39">
        <v>414610.87278737797</v>
      </c>
      <c r="F276" s="39">
        <v>375121.46976660006</v>
      </c>
      <c r="G276" s="39">
        <v>414610.87278737791</v>
      </c>
    </row>
    <row r="277" spans="1:7" ht="11.25" customHeight="1" x14ac:dyDescent="0.2">
      <c r="A277" s="49">
        <v>44501</v>
      </c>
      <c r="B277" s="39">
        <v>0</v>
      </c>
      <c r="C277" s="39">
        <v>8094.5038379999987</v>
      </c>
      <c r="D277" s="39">
        <v>0</v>
      </c>
      <c r="E277" s="39">
        <v>8946.6201525124688</v>
      </c>
      <c r="F277" s="39">
        <v>8094.5038379999987</v>
      </c>
      <c r="G277" s="39">
        <v>8946.6201525124688</v>
      </c>
    </row>
    <row r="278" spans="1:7" ht="11.25" customHeight="1" x14ac:dyDescent="0.2">
      <c r="A278" s="49">
        <v>44531</v>
      </c>
      <c r="B278" s="39">
        <v>0</v>
      </c>
      <c r="C278" s="39">
        <v>2874.7425428000001</v>
      </c>
      <c r="D278" s="39">
        <v>0</v>
      </c>
      <c r="E278" s="39">
        <v>3177.3694943424916</v>
      </c>
      <c r="F278" s="39">
        <v>2874.7425428000001</v>
      </c>
      <c r="G278" s="39">
        <v>3177.3694943424916</v>
      </c>
    </row>
    <row r="279" spans="1:7" ht="11.25" customHeight="1" x14ac:dyDescent="0.2">
      <c r="A279" s="49">
        <v>44562</v>
      </c>
      <c r="B279" s="39">
        <v>0</v>
      </c>
      <c r="C279" s="39">
        <v>249.54675160000002</v>
      </c>
      <c r="D279" s="39">
        <v>0</v>
      </c>
      <c r="E279" s="39">
        <v>275.81678155213734</v>
      </c>
      <c r="F279" s="39">
        <v>249.54675160000002</v>
      </c>
      <c r="G279" s="39">
        <v>275.81678155213734</v>
      </c>
    </row>
    <row r="280" spans="1:7" ht="11.25" customHeight="1" x14ac:dyDescent="0.2">
      <c r="A280" s="49">
        <v>44593</v>
      </c>
      <c r="B280" s="39">
        <v>0</v>
      </c>
      <c r="C280" s="39">
        <v>2663.0332047999996</v>
      </c>
      <c r="D280" s="39">
        <v>0</v>
      </c>
      <c r="E280" s="39">
        <v>2943.3733078271398</v>
      </c>
      <c r="F280" s="39">
        <v>2663.0332047999996</v>
      </c>
      <c r="G280" s="39">
        <v>2943.3733078271398</v>
      </c>
    </row>
    <row r="281" spans="1:7" ht="11.25" customHeight="1" x14ac:dyDescent="0.2">
      <c r="A281" s="49">
        <v>44621</v>
      </c>
      <c r="B281" s="39">
        <v>0</v>
      </c>
      <c r="C281" s="39">
        <v>5183.725663199999</v>
      </c>
      <c r="D281" s="39">
        <v>0</v>
      </c>
      <c r="E281" s="39">
        <v>5729.4215200397039</v>
      </c>
      <c r="F281" s="39">
        <v>5183.725663199999</v>
      </c>
      <c r="G281" s="39">
        <v>5729.4215200397039</v>
      </c>
    </row>
    <row r="282" spans="1:7" ht="11.25" customHeight="1" x14ac:dyDescent="0.2">
      <c r="A282" s="49">
        <v>44652</v>
      </c>
      <c r="B282" s="39">
        <v>0</v>
      </c>
      <c r="C282" s="39">
        <v>37567.146359999999</v>
      </c>
      <c r="D282" s="39">
        <v>0</v>
      </c>
      <c r="E282" s="39">
        <v>41521.876500809129</v>
      </c>
      <c r="F282" s="39">
        <v>37567.146359999999</v>
      </c>
      <c r="G282" s="39">
        <v>41521.876500809129</v>
      </c>
    </row>
    <row r="283" spans="1:7" ht="11.25" customHeight="1" x14ac:dyDescent="0.2">
      <c r="A283" s="49">
        <v>44682</v>
      </c>
      <c r="B283" s="39">
        <v>0</v>
      </c>
      <c r="C283" s="39">
        <v>47322.892833200007</v>
      </c>
      <c r="D283" s="39">
        <v>0</v>
      </c>
      <c r="E283" s="39">
        <v>52304.61992112716</v>
      </c>
      <c r="F283" s="39">
        <v>47322.892833200007</v>
      </c>
      <c r="G283" s="39">
        <v>52304.61992112716</v>
      </c>
    </row>
    <row r="284" spans="1:7" ht="11.25" customHeight="1" x14ac:dyDescent="0.2">
      <c r="A284" s="49">
        <v>44713</v>
      </c>
      <c r="B284" s="39">
        <v>0</v>
      </c>
      <c r="C284" s="39">
        <v>48022.434539399997</v>
      </c>
      <c r="D284" s="39">
        <v>0</v>
      </c>
      <c r="E284" s="39">
        <v>53077.803065081069</v>
      </c>
      <c r="F284" s="39">
        <v>48022.434539399997</v>
      </c>
      <c r="G284" s="39">
        <v>53077.803065081069</v>
      </c>
    </row>
    <row r="285" spans="1:7" ht="11.25" customHeight="1" x14ac:dyDescent="0.2">
      <c r="A285" s="49">
        <v>44743</v>
      </c>
      <c r="B285" s="39">
        <v>0</v>
      </c>
      <c r="C285" s="39">
        <v>52051.218197000002</v>
      </c>
      <c r="D285" s="39">
        <v>0</v>
      </c>
      <c r="E285" s="39">
        <v>57530.700708045544</v>
      </c>
      <c r="F285" s="39">
        <v>52051.218197000002</v>
      </c>
      <c r="G285" s="39">
        <v>57530.700708045544</v>
      </c>
    </row>
    <row r="286" spans="1:7" ht="11.25" customHeight="1" x14ac:dyDescent="0.2">
      <c r="A286" s="49">
        <v>44774</v>
      </c>
      <c r="B286" s="39">
        <v>0</v>
      </c>
      <c r="C286" s="39">
        <v>52028.695927000001</v>
      </c>
      <c r="D286" s="39">
        <v>0</v>
      </c>
      <c r="E286" s="39">
        <v>57505.807496714122</v>
      </c>
      <c r="F286" s="39">
        <v>52028.695927000001</v>
      </c>
      <c r="G286" s="39">
        <v>57505.807496714122</v>
      </c>
    </row>
    <row r="287" spans="1:7" ht="11.25" customHeight="1" x14ac:dyDescent="0.2">
      <c r="A287" s="49">
        <v>44805</v>
      </c>
      <c r="B287" s="39">
        <v>0</v>
      </c>
      <c r="C287" s="39">
        <v>59531.764954800004</v>
      </c>
      <c r="D287" s="39">
        <v>0</v>
      </c>
      <c r="E287" s="39">
        <v>65798.731919663493</v>
      </c>
      <c r="F287" s="39">
        <v>59531.764954800004</v>
      </c>
      <c r="G287" s="39">
        <v>65798.731919663493</v>
      </c>
    </row>
    <row r="288" spans="1:7" ht="11.25" customHeight="1" x14ac:dyDescent="0.2">
      <c r="A288" s="49">
        <v>44835</v>
      </c>
      <c r="B288" s="39">
        <v>0</v>
      </c>
      <c r="C288" s="39">
        <v>59531.764954800004</v>
      </c>
      <c r="D288" s="39">
        <v>0</v>
      </c>
      <c r="E288" s="39">
        <v>65798.731919663493</v>
      </c>
      <c r="F288" s="39">
        <v>59531.764954800004</v>
      </c>
      <c r="G288" s="39">
        <v>65798.731919663493</v>
      </c>
    </row>
    <row r="289" spans="1:7" ht="11.25" customHeight="1" x14ac:dyDescent="0.2">
      <c r="A289" s="45" t="s">
        <v>56</v>
      </c>
      <c r="B289" s="39">
        <v>0</v>
      </c>
      <c r="C289" s="39">
        <v>99683.116574600019</v>
      </c>
      <c r="D289" s="39">
        <v>0</v>
      </c>
      <c r="E289" s="39">
        <v>110176.85548863979</v>
      </c>
      <c r="F289" s="39">
        <v>99683.116574599961</v>
      </c>
      <c r="G289" s="39">
        <v>110176.85548863975</v>
      </c>
    </row>
    <row r="290" spans="1:7" ht="11.25" customHeight="1" x14ac:dyDescent="0.2">
      <c r="A290" s="46" t="s">
        <v>55</v>
      </c>
      <c r="B290" s="39">
        <v>0</v>
      </c>
      <c r="C290" s="39">
        <v>99683.116574600019</v>
      </c>
      <c r="D290" s="39">
        <v>0</v>
      </c>
      <c r="E290" s="39">
        <v>110176.85548863979</v>
      </c>
      <c r="F290" s="39">
        <v>99683.116574599961</v>
      </c>
      <c r="G290" s="39">
        <v>110176.85548863975</v>
      </c>
    </row>
    <row r="291" spans="1:7" ht="11.25" customHeight="1" x14ac:dyDescent="0.2">
      <c r="A291" s="47" t="s">
        <v>25</v>
      </c>
      <c r="B291" s="39">
        <v>0</v>
      </c>
      <c r="C291" s="39">
        <v>99683.116574600019</v>
      </c>
      <c r="D291" s="39">
        <v>0</v>
      </c>
      <c r="E291" s="39">
        <v>110176.85548863979</v>
      </c>
      <c r="F291" s="39">
        <v>99683.116574599961</v>
      </c>
      <c r="G291" s="39">
        <v>110176.85548863975</v>
      </c>
    </row>
    <row r="292" spans="1:7" ht="11.25" customHeight="1" x14ac:dyDescent="0.2">
      <c r="A292" s="48" t="s">
        <v>25</v>
      </c>
      <c r="B292" s="39">
        <v>0</v>
      </c>
      <c r="C292" s="39">
        <v>99683.116574600019</v>
      </c>
      <c r="D292" s="39">
        <v>0</v>
      </c>
      <c r="E292" s="39">
        <v>110176.85548863979</v>
      </c>
      <c r="F292" s="39">
        <v>99683.116574599961</v>
      </c>
      <c r="G292" s="39">
        <v>110176.85548863975</v>
      </c>
    </row>
    <row r="293" spans="1:7" ht="11.25" customHeight="1" x14ac:dyDescent="0.2">
      <c r="A293" s="49">
        <v>44501</v>
      </c>
      <c r="B293" s="39">
        <v>0</v>
      </c>
      <c r="C293" s="39">
        <v>7489.1052203999998</v>
      </c>
      <c r="D293" s="39">
        <v>0</v>
      </c>
      <c r="E293" s="39">
        <v>8277.4906319238908</v>
      </c>
      <c r="F293" s="39">
        <v>7489.1052203999998</v>
      </c>
      <c r="G293" s="39">
        <v>8277.4906319238908</v>
      </c>
    </row>
    <row r="294" spans="1:7" ht="11.25" customHeight="1" x14ac:dyDescent="0.2">
      <c r="A294" s="49">
        <v>44531</v>
      </c>
      <c r="B294" s="39">
        <v>0</v>
      </c>
      <c r="C294" s="39">
        <v>9595.3879108000001</v>
      </c>
      <c r="D294" s="39">
        <v>0</v>
      </c>
      <c r="E294" s="39">
        <v>10605.503755638321</v>
      </c>
      <c r="F294" s="39">
        <v>9595.3879108000001</v>
      </c>
      <c r="G294" s="39">
        <v>10605.503755638321</v>
      </c>
    </row>
    <row r="295" spans="1:7" ht="11.25" customHeight="1" x14ac:dyDescent="0.2">
      <c r="A295" s="49">
        <v>44562</v>
      </c>
      <c r="B295" s="39">
        <v>0</v>
      </c>
      <c r="C295" s="39">
        <v>9513.8572933999985</v>
      </c>
      <c r="D295" s="39">
        <v>0</v>
      </c>
      <c r="E295" s="39">
        <v>10515.390330618578</v>
      </c>
      <c r="F295" s="39">
        <v>9513.8572933999985</v>
      </c>
      <c r="G295" s="39">
        <v>10515.390330618578</v>
      </c>
    </row>
    <row r="296" spans="1:7" ht="11.25" customHeight="1" x14ac:dyDescent="0.2">
      <c r="A296" s="49">
        <v>44593</v>
      </c>
      <c r="B296" s="39">
        <v>0</v>
      </c>
      <c r="C296" s="39">
        <v>8696.2988923999983</v>
      </c>
      <c r="D296" s="39">
        <v>0</v>
      </c>
      <c r="E296" s="39">
        <v>9611.7667592880207</v>
      </c>
      <c r="F296" s="39">
        <v>8696.2988923999983</v>
      </c>
      <c r="G296" s="39">
        <v>9611.7667592880207</v>
      </c>
    </row>
    <row r="297" spans="1:7" ht="11.25" customHeight="1" x14ac:dyDescent="0.2">
      <c r="A297" s="49">
        <v>44621</v>
      </c>
      <c r="B297" s="39">
        <v>0</v>
      </c>
      <c r="C297" s="39">
        <v>8509.8144967999997</v>
      </c>
      <c r="D297" s="39">
        <v>0</v>
      </c>
      <c r="E297" s="39">
        <v>9405.6509694638589</v>
      </c>
      <c r="F297" s="39">
        <v>8509.8144967999997</v>
      </c>
      <c r="G297" s="39">
        <v>9405.6509694638589</v>
      </c>
    </row>
    <row r="298" spans="1:7" ht="11.25" customHeight="1" x14ac:dyDescent="0.2">
      <c r="A298" s="49">
        <v>44652</v>
      </c>
      <c r="B298" s="39">
        <v>0</v>
      </c>
      <c r="C298" s="39">
        <v>9335.9313603999981</v>
      </c>
      <c r="D298" s="39">
        <v>0</v>
      </c>
      <c r="E298" s="39">
        <v>10318.733961100355</v>
      </c>
      <c r="F298" s="39">
        <v>9335.9313603999981</v>
      </c>
      <c r="G298" s="39">
        <v>10318.733961100355</v>
      </c>
    </row>
    <row r="299" spans="1:7" ht="11.25" customHeight="1" x14ac:dyDescent="0.2">
      <c r="A299" s="49">
        <v>44682</v>
      </c>
      <c r="B299" s="39">
        <v>0</v>
      </c>
      <c r="C299" s="39">
        <v>9266.5627687999986</v>
      </c>
      <c r="D299" s="39">
        <v>0</v>
      </c>
      <c r="E299" s="39">
        <v>10242.062870199583</v>
      </c>
      <c r="F299" s="39">
        <v>9266.5627687999986</v>
      </c>
      <c r="G299" s="39">
        <v>10242.062870199583</v>
      </c>
    </row>
    <row r="300" spans="1:7" ht="11.25" customHeight="1" x14ac:dyDescent="0.2">
      <c r="A300" s="49">
        <v>44713</v>
      </c>
      <c r="B300" s="39">
        <v>0</v>
      </c>
      <c r="C300" s="39">
        <v>8305.7627305999995</v>
      </c>
      <c r="D300" s="39">
        <v>0</v>
      </c>
      <c r="E300" s="39">
        <v>9180.118474801191</v>
      </c>
      <c r="F300" s="39">
        <v>8305.7627305999995</v>
      </c>
      <c r="G300" s="39">
        <v>9180.118474801191</v>
      </c>
    </row>
    <row r="301" spans="1:7" ht="11.25" customHeight="1" x14ac:dyDescent="0.2">
      <c r="A301" s="49">
        <v>44743</v>
      </c>
      <c r="B301" s="39">
        <v>0</v>
      </c>
      <c r="C301" s="39">
        <v>8277.8351157999987</v>
      </c>
      <c r="D301" s="39">
        <v>0</v>
      </c>
      <c r="E301" s="39">
        <v>9149.2508927502313</v>
      </c>
      <c r="F301" s="39">
        <v>8277.8351157999987</v>
      </c>
      <c r="G301" s="39">
        <v>9149.2508927502313</v>
      </c>
    </row>
    <row r="302" spans="1:7" ht="11.25" customHeight="1" x14ac:dyDescent="0.2">
      <c r="A302" s="49">
        <v>44774</v>
      </c>
      <c r="B302" s="39">
        <v>0</v>
      </c>
      <c r="C302" s="39">
        <v>6433.2612027999994</v>
      </c>
      <c r="D302" s="39">
        <v>0</v>
      </c>
      <c r="E302" s="39">
        <v>7110.4968847069049</v>
      </c>
      <c r="F302" s="39">
        <v>6433.2612027999994</v>
      </c>
      <c r="G302" s="39">
        <v>7110.4968847069049</v>
      </c>
    </row>
    <row r="303" spans="1:7" ht="11.25" customHeight="1" x14ac:dyDescent="0.2">
      <c r="A303" s="49">
        <v>44805</v>
      </c>
      <c r="B303" s="39">
        <v>0</v>
      </c>
      <c r="C303" s="39">
        <v>7129.6497911999995</v>
      </c>
      <c r="D303" s="39">
        <v>0</v>
      </c>
      <c r="E303" s="39">
        <v>7880.1949790744211</v>
      </c>
      <c r="F303" s="39">
        <v>7129.6497911999995</v>
      </c>
      <c r="G303" s="39">
        <v>7880.1949790744211</v>
      </c>
    </row>
    <row r="304" spans="1:7" ht="11.25" customHeight="1" x14ac:dyDescent="0.2">
      <c r="A304" s="49">
        <v>44835</v>
      </c>
      <c r="B304" s="39">
        <v>0</v>
      </c>
      <c r="C304" s="39">
        <v>7129.6497911999995</v>
      </c>
      <c r="D304" s="39">
        <v>0</v>
      </c>
      <c r="E304" s="39">
        <v>7880.1949790744211</v>
      </c>
      <c r="F304" s="39">
        <v>7129.6497911999995</v>
      </c>
      <c r="G304" s="39">
        <v>7880.1949790744211</v>
      </c>
    </row>
    <row r="305" spans="1:7" ht="11.25" customHeight="1" x14ac:dyDescent="0.2">
      <c r="A305" s="41" t="s">
        <v>811</v>
      </c>
      <c r="B305" s="39">
        <v>21575.339999999989</v>
      </c>
      <c r="C305" s="39">
        <v>1288512.4585283992</v>
      </c>
      <c r="D305" s="39">
        <v>37058.448603168436</v>
      </c>
      <c r="E305" s="39">
        <v>748922.83880280727</v>
      </c>
      <c r="F305" s="39">
        <v>1310087.7985283993</v>
      </c>
      <c r="G305" s="39">
        <v>785981.28740597586</v>
      </c>
    </row>
    <row r="306" spans="1:7" ht="11.25" customHeight="1" x14ac:dyDescent="0.2">
      <c r="A306" s="42" t="s">
        <v>45</v>
      </c>
      <c r="B306" s="39">
        <v>11357.026399999992</v>
      </c>
      <c r="C306" s="39">
        <v>12924.257128400017</v>
      </c>
      <c r="D306" s="39">
        <v>19475.093603176876</v>
      </c>
      <c r="E306" s="39">
        <v>14896.138406911379</v>
      </c>
      <c r="F306" s="39">
        <v>24281.28352840001</v>
      </c>
      <c r="G306" s="39">
        <v>34371.232010088257</v>
      </c>
    </row>
    <row r="307" spans="1:7" ht="11.25" customHeight="1" x14ac:dyDescent="0.2">
      <c r="A307" s="43" t="s">
        <v>42</v>
      </c>
      <c r="B307" s="39">
        <v>10838.618399999996</v>
      </c>
      <c r="C307" s="39">
        <v>12101.379989200015</v>
      </c>
      <c r="D307" s="39">
        <v>18583.033302851425</v>
      </c>
      <c r="E307" s="39">
        <v>13823.707306100809</v>
      </c>
      <c r="F307" s="39">
        <v>22939.998389200009</v>
      </c>
      <c r="G307" s="39">
        <v>32406.740608952234</v>
      </c>
    </row>
    <row r="308" spans="1:7" ht="11.25" customHeight="1" x14ac:dyDescent="0.2">
      <c r="A308" s="44" t="s">
        <v>44</v>
      </c>
      <c r="B308" s="39">
        <v>10838.618399999996</v>
      </c>
      <c r="C308" s="39">
        <v>12101.379989200015</v>
      </c>
      <c r="D308" s="39">
        <v>18583.033302851425</v>
      </c>
      <c r="E308" s="39">
        <v>13823.707306100809</v>
      </c>
      <c r="F308" s="39">
        <v>22939.998389200009</v>
      </c>
      <c r="G308" s="39">
        <v>32406.740608952234</v>
      </c>
    </row>
    <row r="309" spans="1:7" ht="11.25" customHeight="1" x14ac:dyDescent="0.2">
      <c r="A309" s="45" t="s">
        <v>53</v>
      </c>
      <c r="B309" s="39">
        <v>10838.618399999996</v>
      </c>
      <c r="C309" s="39">
        <v>12101.379989200015</v>
      </c>
      <c r="D309" s="39">
        <v>18583.033302851425</v>
      </c>
      <c r="E309" s="39">
        <v>13823.707306100809</v>
      </c>
      <c r="F309" s="39">
        <v>22939.998389200009</v>
      </c>
      <c r="G309" s="39">
        <v>32406.740608952234</v>
      </c>
    </row>
    <row r="310" spans="1:7" ht="11.25" customHeight="1" x14ac:dyDescent="0.2">
      <c r="A310" s="46" t="s">
        <v>25</v>
      </c>
      <c r="B310" s="39">
        <v>10838.618399999996</v>
      </c>
      <c r="C310" s="39">
        <v>12101.379989200015</v>
      </c>
      <c r="D310" s="39">
        <v>18583.033302851425</v>
      </c>
      <c r="E310" s="39">
        <v>13823.707306100809</v>
      </c>
      <c r="F310" s="39">
        <v>22939.998389200009</v>
      </c>
      <c r="G310" s="39">
        <v>32406.740608952234</v>
      </c>
    </row>
    <row r="311" spans="1:7" ht="11.25" customHeight="1" x14ac:dyDescent="0.2">
      <c r="A311" s="47" t="s">
        <v>25</v>
      </c>
      <c r="B311" s="39">
        <v>10838.618399999996</v>
      </c>
      <c r="C311" s="39">
        <v>12101.379989200015</v>
      </c>
      <c r="D311" s="39">
        <v>18583.033302851425</v>
      </c>
      <c r="E311" s="39">
        <v>13823.707306100809</v>
      </c>
      <c r="F311" s="39">
        <v>22939.998389200009</v>
      </c>
      <c r="G311" s="39">
        <v>32406.740608952234</v>
      </c>
    </row>
    <row r="312" spans="1:7" ht="11.25" customHeight="1" x14ac:dyDescent="0.2">
      <c r="A312" s="48" t="s">
        <v>35</v>
      </c>
      <c r="B312" s="39">
        <v>3181.5872000000004</v>
      </c>
      <c r="C312" s="39">
        <v>12083.672134400014</v>
      </c>
      <c r="D312" s="39">
        <v>5474.775916157937</v>
      </c>
      <c r="E312" s="39">
        <v>13804.687902241367</v>
      </c>
      <c r="F312" s="39">
        <v>15265.259334400014</v>
      </c>
      <c r="G312" s="39">
        <v>19279.463818399305</v>
      </c>
    </row>
    <row r="313" spans="1:7" ht="11.25" customHeight="1" x14ac:dyDescent="0.2">
      <c r="A313" s="49">
        <v>44501</v>
      </c>
      <c r="B313" s="39">
        <v>86.275200000000055</v>
      </c>
      <c r="C313" s="39">
        <v>0</v>
      </c>
      <c r="D313" s="39">
        <v>148.45967041912584</v>
      </c>
      <c r="E313" s="39">
        <v>0</v>
      </c>
      <c r="F313" s="39">
        <v>86.275200000000055</v>
      </c>
      <c r="G313" s="39">
        <v>148.45967041912584</v>
      </c>
    </row>
    <row r="314" spans="1:7" ht="11.25" customHeight="1" x14ac:dyDescent="0.2">
      <c r="A314" s="49">
        <v>44531</v>
      </c>
      <c r="B314" s="39">
        <v>86.275200000000055</v>
      </c>
      <c r="C314" s="39">
        <v>0</v>
      </c>
      <c r="D314" s="39">
        <v>148.45967041912584</v>
      </c>
      <c r="E314" s="39">
        <v>0</v>
      </c>
      <c r="F314" s="39">
        <v>86.275200000000055</v>
      </c>
      <c r="G314" s="39">
        <v>148.45967041912584</v>
      </c>
    </row>
    <row r="315" spans="1:7" ht="11.25" customHeight="1" x14ac:dyDescent="0.2">
      <c r="A315" s="49">
        <v>44593</v>
      </c>
      <c r="B315" s="39">
        <v>86.275200000000055</v>
      </c>
      <c r="C315" s="39">
        <v>0</v>
      </c>
      <c r="D315" s="39">
        <v>148.45967041912584</v>
      </c>
      <c r="E315" s="39">
        <v>0</v>
      </c>
      <c r="F315" s="39">
        <v>86.275200000000055</v>
      </c>
      <c r="G315" s="39">
        <v>148.45967041912584</v>
      </c>
    </row>
    <row r="316" spans="1:7" ht="11.25" customHeight="1" x14ac:dyDescent="0.2">
      <c r="A316" s="49">
        <v>44621</v>
      </c>
      <c r="B316" s="39">
        <v>86.275200000000055</v>
      </c>
      <c r="C316" s="39">
        <v>0</v>
      </c>
      <c r="D316" s="39">
        <v>148.45967041912584</v>
      </c>
      <c r="E316" s="39">
        <v>0</v>
      </c>
      <c r="F316" s="39">
        <v>86.275200000000055</v>
      </c>
      <c r="G316" s="39">
        <v>148.45967041912584</v>
      </c>
    </row>
    <row r="317" spans="1:7" ht="11.25" customHeight="1" x14ac:dyDescent="0.2">
      <c r="A317" s="49">
        <v>44652</v>
      </c>
      <c r="B317" s="39">
        <v>86.275200000000055</v>
      </c>
      <c r="C317" s="39">
        <v>0</v>
      </c>
      <c r="D317" s="39">
        <v>148.45967041912584</v>
      </c>
      <c r="E317" s="39">
        <v>0</v>
      </c>
      <c r="F317" s="39">
        <v>86.275200000000055</v>
      </c>
      <c r="G317" s="39">
        <v>148.45967041912584</v>
      </c>
    </row>
    <row r="318" spans="1:7" ht="11.25" customHeight="1" x14ac:dyDescent="0.2">
      <c r="A318" s="49">
        <v>44682</v>
      </c>
      <c r="B318" s="39">
        <v>86.275200000000055</v>
      </c>
      <c r="C318" s="39">
        <v>0</v>
      </c>
      <c r="D318" s="39">
        <v>148.45967041912584</v>
      </c>
      <c r="E318" s="39">
        <v>0</v>
      </c>
      <c r="F318" s="39">
        <v>86.275200000000055</v>
      </c>
      <c r="G318" s="39">
        <v>148.45967041912584</v>
      </c>
    </row>
    <row r="319" spans="1:7" ht="11.25" customHeight="1" x14ac:dyDescent="0.2">
      <c r="A319" s="49">
        <v>44713</v>
      </c>
      <c r="B319" s="39">
        <v>832.48</v>
      </c>
      <c r="C319" s="39">
        <v>3273.9421984000032</v>
      </c>
      <c r="D319" s="39">
        <v>1432.5055917634943</v>
      </c>
      <c r="E319" s="39">
        <v>3740.2330811530342</v>
      </c>
      <c r="F319" s="39">
        <v>4106.4221984000033</v>
      </c>
      <c r="G319" s="39">
        <v>5172.7386729165282</v>
      </c>
    </row>
    <row r="320" spans="1:7" ht="11.25" customHeight="1" x14ac:dyDescent="0.2">
      <c r="A320" s="49">
        <v>44743</v>
      </c>
      <c r="B320" s="39">
        <v>832.48</v>
      </c>
      <c r="C320" s="39">
        <v>3273.9421984000032</v>
      </c>
      <c r="D320" s="39">
        <v>1432.5055917634943</v>
      </c>
      <c r="E320" s="39">
        <v>3740.2330811530342</v>
      </c>
      <c r="F320" s="39">
        <v>4106.4221984000033</v>
      </c>
      <c r="G320" s="39">
        <v>5172.7386729165282</v>
      </c>
    </row>
    <row r="321" spans="1:7" ht="11.25" customHeight="1" x14ac:dyDescent="0.2">
      <c r="A321" s="49">
        <v>44774</v>
      </c>
      <c r="B321" s="39">
        <v>832.48</v>
      </c>
      <c r="C321" s="39">
        <v>5535.7877376000088</v>
      </c>
      <c r="D321" s="39">
        <v>1432.5055917634943</v>
      </c>
      <c r="E321" s="39">
        <v>6324.2217399352976</v>
      </c>
      <c r="F321" s="39">
        <v>6368.2677376000083</v>
      </c>
      <c r="G321" s="39">
        <v>7756.7273316987921</v>
      </c>
    </row>
    <row r="322" spans="1:7" ht="11.25" customHeight="1" x14ac:dyDescent="0.2">
      <c r="A322" s="49">
        <v>44805</v>
      </c>
      <c r="B322" s="39">
        <v>83.248000000000118</v>
      </c>
      <c r="C322" s="39">
        <v>0</v>
      </c>
      <c r="D322" s="39">
        <v>143.25055917634961</v>
      </c>
      <c r="E322" s="39">
        <v>0</v>
      </c>
      <c r="F322" s="39">
        <v>83.248000000000118</v>
      </c>
      <c r="G322" s="39">
        <v>143.25055917634961</v>
      </c>
    </row>
    <row r="323" spans="1:7" ht="11.25" customHeight="1" x14ac:dyDescent="0.2">
      <c r="A323" s="49">
        <v>44835</v>
      </c>
      <c r="B323" s="39">
        <v>83.248000000000118</v>
      </c>
      <c r="C323" s="39">
        <v>0</v>
      </c>
      <c r="D323" s="39">
        <v>143.25055917634961</v>
      </c>
      <c r="E323" s="39">
        <v>0</v>
      </c>
      <c r="F323" s="39">
        <v>83.248000000000118</v>
      </c>
      <c r="G323" s="39">
        <v>143.25055917634961</v>
      </c>
    </row>
    <row r="324" spans="1:7" ht="11.25" customHeight="1" x14ac:dyDescent="0.2">
      <c r="A324" s="48" t="s">
        <v>34</v>
      </c>
      <c r="B324" s="39">
        <v>7657.0312000000004</v>
      </c>
      <c r="C324" s="39">
        <v>17.7078548</v>
      </c>
      <c r="D324" s="39">
        <v>13108.257386693484</v>
      </c>
      <c r="E324" s="39">
        <v>19.019403859439805</v>
      </c>
      <c r="F324" s="39">
        <v>7674.7390548000003</v>
      </c>
      <c r="G324" s="39">
        <v>13127.276790552924</v>
      </c>
    </row>
    <row r="325" spans="1:7" ht="11.25" customHeight="1" x14ac:dyDescent="0.2">
      <c r="A325" s="49">
        <v>44501</v>
      </c>
      <c r="B325" s="39">
        <v>203.04119999999989</v>
      </c>
      <c r="C325" s="39">
        <v>0</v>
      </c>
      <c r="D325" s="39">
        <v>347.59115382775354</v>
      </c>
      <c r="E325" s="39">
        <v>0</v>
      </c>
      <c r="F325" s="39">
        <v>203.04119999999989</v>
      </c>
      <c r="G325" s="39">
        <v>347.59115382775354</v>
      </c>
    </row>
    <row r="326" spans="1:7" ht="11.25" customHeight="1" x14ac:dyDescent="0.2">
      <c r="A326" s="49">
        <v>44531</v>
      </c>
      <c r="B326" s="39">
        <v>203.04119999999989</v>
      </c>
      <c r="C326" s="39">
        <v>0</v>
      </c>
      <c r="D326" s="39">
        <v>347.59115382775354</v>
      </c>
      <c r="E326" s="39">
        <v>0</v>
      </c>
      <c r="F326" s="39">
        <v>203.04119999999989</v>
      </c>
      <c r="G326" s="39">
        <v>347.59115382775354</v>
      </c>
    </row>
    <row r="327" spans="1:7" ht="11.25" customHeight="1" x14ac:dyDescent="0.2">
      <c r="A327" s="49">
        <v>44593</v>
      </c>
      <c r="B327" s="39">
        <v>203.04119999999989</v>
      </c>
      <c r="C327" s="39">
        <v>0</v>
      </c>
      <c r="D327" s="39">
        <v>347.59115382775354</v>
      </c>
      <c r="E327" s="39">
        <v>0</v>
      </c>
      <c r="F327" s="39">
        <v>203.04119999999989</v>
      </c>
      <c r="G327" s="39">
        <v>347.59115382775354</v>
      </c>
    </row>
    <row r="328" spans="1:7" ht="11.25" customHeight="1" x14ac:dyDescent="0.2">
      <c r="A328" s="49">
        <v>44621</v>
      </c>
      <c r="B328" s="39">
        <v>203.04119999999989</v>
      </c>
      <c r="C328" s="39">
        <v>0</v>
      </c>
      <c r="D328" s="39">
        <v>347.59115382775354</v>
      </c>
      <c r="E328" s="39">
        <v>0</v>
      </c>
      <c r="F328" s="39">
        <v>203.04119999999989</v>
      </c>
      <c r="G328" s="39">
        <v>347.59115382775354</v>
      </c>
    </row>
    <row r="329" spans="1:7" ht="11.25" customHeight="1" x14ac:dyDescent="0.2">
      <c r="A329" s="49">
        <v>44652</v>
      </c>
      <c r="B329" s="39">
        <v>203.04119999999989</v>
      </c>
      <c r="C329" s="39">
        <v>0</v>
      </c>
      <c r="D329" s="39">
        <v>347.59115382775354</v>
      </c>
      <c r="E329" s="39">
        <v>0</v>
      </c>
      <c r="F329" s="39">
        <v>203.04119999999989</v>
      </c>
      <c r="G329" s="39">
        <v>347.59115382775354</v>
      </c>
    </row>
    <row r="330" spans="1:7" ht="11.25" customHeight="1" x14ac:dyDescent="0.2">
      <c r="A330" s="49">
        <v>44682</v>
      </c>
      <c r="B330" s="39">
        <v>203.04119999999989</v>
      </c>
      <c r="C330" s="39">
        <v>0</v>
      </c>
      <c r="D330" s="39">
        <v>347.59115382775354</v>
      </c>
      <c r="E330" s="39">
        <v>0</v>
      </c>
      <c r="F330" s="39">
        <v>203.04119999999989</v>
      </c>
      <c r="G330" s="39">
        <v>347.59115382775354</v>
      </c>
    </row>
    <row r="331" spans="1:7" ht="11.25" customHeight="1" x14ac:dyDescent="0.2">
      <c r="A331" s="49">
        <v>44713</v>
      </c>
      <c r="B331" s="39">
        <v>2012.12</v>
      </c>
      <c r="C331" s="39">
        <v>8.3297443999999992</v>
      </c>
      <c r="D331" s="39">
        <v>3444.5970199146764</v>
      </c>
      <c r="E331" s="39">
        <v>8.946694818703115</v>
      </c>
      <c r="F331" s="39">
        <v>2020.4497443999999</v>
      </c>
      <c r="G331" s="39">
        <v>3453.5437147333796</v>
      </c>
    </row>
    <row r="332" spans="1:7" ht="11.25" customHeight="1" x14ac:dyDescent="0.2">
      <c r="A332" s="49">
        <v>44743</v>
      </c>
      <c r="B332" s="39">
        <v>2012.12</v>
      </c>
      <c r="C332" s="39">
        <v>8.3297443999999992</v>
      </c>
      <c r="D332" s="39">
        <v>3444.5970199146764</v>
      </c>
      <c r="E332" s="39">
        <v>8.946694818703115</v>
      </c>
      <c r="F332" s="39">
        <v>2020.4497443999999</v>
      </c>
      <c r="G332" s="39">
        <v>3453.5437147333796</v>
      </c>
    </row>
    <row r="333" spans="1:7" ht="11.25" customHeight="1" x14ac:dyDescent="0.2">
      <c r="A333" s="49">
        <v>44774</v>
      </c>
      <c r="B333" s="39">
        <v>2012.12</v>
      </c>
      <c r="C333" s="39">
        <v>1.0483660000000004</v>
      </c>
      <c r="D333" s="39">
        <v>3444.5970199146764</v>
      </c>
      <c r="E333" s="39">
        <v>1.1260142220335734</v>
      </c>
      <c r="F333" s="39">
        <v>2013.1683659999999</v>
      </c>
      <c r="G333" s="39">
        <v>3445.7230341367099</v>
      </c>
    </row>
    <row r="334" spans="1:7" ht="11.25" customHeight="1" x14ac:dyDescent="0.2">
      <c r="A334" s="49">
        <v>44805</v>
      </c>
      <c r="B334" s="39">
        <v>201.21200000000024</v>
      </c>
      <c r="C334" s="39">
        <v>0</v>
      </c>
      <c r="D334" s="39">
        <v>344.45970199146808</v>
      </c>
      <c r="E334" s="39">
        <v>0</v>
      </c>
      <c r="F334" s="39">
        <v>201.21200000000024</v>
      </c>
      <c r="G334" s="39">
        <v>344.45970199146808</v>
      </c>
    </row>
    <row r="335" spans="1:7" ht="11.25" customHeight="1" x14ac:dyDescent="0.2">
      <c r="A335" s="49">
        <v>44835</v>
      </c>
      <c r="B335" s="39">
        <v>201.21200000000024</v>
      </c>
      <c r="C335" s="39">
        <v>0</v>
      </c>
      <c r="D335" s="39">
        <v>344.45970199146808</v>
      </c>
      <c r="E335" s="39">
        <v>0</v>
      </c>
      <c r="F335" s="39">
        <v>201.21200000000024</v>
      </c>
      <c r="G335" s="39">
        <v>344.45970199146808</v>
      </c>
    </row>
    <row r="336" spans="1:7" ht="11.25" customHeight="1" x14ac:dyDescent="0.2">
      <c r="A336" s="43" t="s">
        <v>40</v>
      </c>
      <c r="B336" s="39">
        <v>518.40800000000024</v>
      </c>
      <c r="C336" s="39">
        <v>822.87713920000033</v>
      </c>
      <c r="D336" s="39">
        <v>892.06030032544891</v>
      </c>
      <c r="E336" s="39">
        <v>1072.4311008105728</v>
      </c>
      <c r="F336" s="39">
        <v>1341.2851392000007</v>
      </c>
      <c r="G336" s="39">
        <v>1964.4914011360218</v>
      </c>
    </row>
    <row r="337" spans="1:7" ht="11.25" customHeight="1" x14ac:dyDescent="0.2">
      <c r="A337" s="44" t="s">
        <v>44</v>
      </c>
      <c r="B337" s="39">
        <v>518.40800000000024</v>
      </c>
      <c r="C337" s="39">
        <v>822.87713920000033</v>
      </c>
      <c r="D337" s="39">
        <v>892.06030032544891</v>
      </c>
      <c r="E337" s="39">
        <v>1072.4311008105728</v>
      </c>
      <c r="F337" s="39">
        <v>1341.2851392000007</v>
      </c>
      <c r="G337" s="39">
        <v>1964.4914011360218</v>
      </c>
    </row>
    <row r="338" spans="1:7" ht="11.25" customHeight="1" x14ac:dyDescent="0.2">
      <c r="A338" s="45" t="s">
        <v>53</v>
      </c>
      <c r="B338" s="39">
        <v>160.44159999999982</v>
      </c>
      <c r="C338" s="39">
        <v>494.28839040000037</v>
      </c>
      <c r="D338" s="39">
        <v>276.08289586714585</v>
      </c>
      <c r="E338" s="39">
        <v>655.60813629489803</v>
      </c>
      <c r="F338" s="39">
        <v>654.72999040000013</v>
      </c>
      <c r="G338" s="39">
        <v>931.69103216204394</v>
      </c>
    </row>
    <row r="339" spans="1:7" ht="11.25" customHeight="1" x14ac:dyDescent="0.2">
      <c r="A339" s="46" t="s">
        <v>25</v>
      </c>
      <c r="B339" s="39">
        <v>160.44159999999982</v>
      </c>
      <c r="C339" s="39">
        <v>494.28839040000037</v>
      </c>
      <c r="D339" s="39">
        <v>276.08289586714585</v>
      </c>
      <c r="E339" s="39">
        <v>655.60813629489803</v>
      </c>
      <c r="F339" s="39">
        <v>654.72999040000013</v>
      </c>
      <c r="G339" s="39">
        <v>931.69103216204394</v>
      </c>
    </row>
    <row r="340" spans="1:7" ht="11.25" customHeight="1" x14ac:dyDescent="0.2">
      <c r="A340" s="47" t="s">
        <v>25</v>
      </c>
      <c r="B340" s="39">
        <v>160.44159999999982</v>
      </c>
      <c r="C340" s="39">
        <v>494.28839040000037</v>
      </c>
      <c r="D340" s="39">
        <v>276.08289586714585</v>
      </c>
      <c r="E340" s="39">
        <v>655.60813629489803</v>
      </c>
      <c r="F340" s="39">
        <v>654.72999040000013</v>
      </c>
      <c r="G340" s="39">
        <v>931.69103216204394</v>
      </c>
    </row>
    <row r="341" spans="1:7" ht="11.25" customHeight="1" x14ac:dyDescent="0.2">
      <c r="A341" s="48" t="s">
        <v>35</v>
      </c>
      <c r="B341" s="39">
        <v>0</v>
      </c>
      <c r="C341" s="39">
        <v>254.78751360000052</v>
      </c>
      <c r="D341" s="39">
        <v>0</v>
      </c>
      <c r="E341" s="39">
        <v>291.0755991651809</v>
      </c>
      <c r="F341" s="39">
        <v>254.78751360000052</v>
      </c>
      <c r="G341" s="39">
        <v>291.0755991651809</v>
      </c>
    </row>
    <row r="342" spans="1:7" ht="11.25" customHeight="1" x14ac:dyDescent="0.2">
      <c r="A342" s="49">
        <v>44805</v>
      </c>
      <c r="B342" s="39">
        <v>0</v>
      </c>
      <c r="C342" s="39">
        <v>127.39375680000026</v>
      </c>
      <c r="D342" s="39">
        <v>0</v>
      </c>
      <c r="E342" s="39">
        <v>145.53779958259045</v>
      </c>
      <c r="F342" s="39">
        <v>127.39375680000026</v>
      </c>
      <c r="G342" s="39">
        <v>145.53779958259045</v>
      </c>
    </row>
    <row r="343" spans="1:7" ht="11.25" customHeight="1" x14ac:dyDescent="0.2">
      <c r="A343" s="49">
        <v>44835</v>
      </c>
      <c r="B343" s="39">
        <v>0</v>
      </c>
      <c r="C343" s="39">
        <v>127.39375680000026</v>
      </c>
      <c r="D343" s="39">
        <v>0</v>
      </c>
      <c r="E343" s="39">
        <v>145.53779958259045</v>
      </c>
      <c r="F343" s="39">
        <v>127.39375680000026</v>
      </c>
      <c r="G343" s="39">
        <v>145.53779958259045</v>
      </c>
    </row>
    <row r="344" spans="1:7" ht="11.25" customHeight="1" x14ac:dyDescent="0.2">
      <c r="A344" s="48" t="s">
        <v>25</v>
      </c>
      <c r="B344" s="39">
        <v>160.44159999999982</v>
      </c>
      <c r="C344" s="39">
        <v>0</v>
      </c>
      <c r="D344" s="39">
        <v>276.08289586714585</v>
      </c>
      <c r="E344" s="39">
        <v>0</v>
      </c>
      <c r="F344" s="39">
        <v>160.44159999999982</v>
      </c>
      <c r="G344" s="39">
        <v>276.08289586714585</v>
      </c>
    </row>
    <row r="345" spans="1:7" ht="11.25" customHeight="1" x14ac:dyDescent="0.2">
      <c r="A345" s="49">
        <v>44805</v>
      </c>
      <c r="B345" s="39">
        <v>80.220799999999912</v>
      </c>
      <c r="C345" s="39">
        <v>0</v>
      </c>
      <c r="D345" s="39">
        <v>138.04144793357293</v>
      </c>
      <c r="E345" s="39">
        <v>0</v>
      </c>
      <c r="F345" s="39">
        <v>80.220799999999912</v>
      </c>
      <c r="G345" s="39">
        <v>138.04144793357293</v>
      </c>
    </row>
    <row r="346" spans="1:7" ht="11.25" customHeight="1" x14ac:dyDescent="0.2">
      <c r="A346" s="49">
        <v>44835</v>
      </c>
      <c r="B346" s="39">
        <v>80.220799999999912</v>
      </c>
      <c r="C346" s="39">
        <v>0</v>
      </c>
      <c r="D346" s="39">
        <v>138.04144793357293</v>
      </c>
      <c r="E346" s="39">
        <v>0</v>
      </c>
      <c r="F346" s="39">
        <v>80.220799999999912</v>
      </c>
      <c r="G346" s="39">
        <v>138.04144793357293</v>
      </c>
    </row>
    <row r="347" spans="1:7" ht="11.25" customHeight="1" x14ac:dyDescent="0.2">
      <c r="A347" s="48" t="s">
        <v>34</v>
      </c>
      <c r="B347" s="39">
        <v>0</v>
      </c>
      <c r="C347" s="39">
        <v>239.50087679999984</v>
      </c>
      <c r="D347" s="39">
        <v>0</v>
      </c>
      <c r="E347" s="39">
        <v>364.53253712971713</v>
      </c>
      <c r="F347" s="39">
        <v>239.50087679999984</v>
      </c>
      <c r="G347" s="39">
        <v>364.53253712971713</v>
      </c>
    </row>
    <row r="348" spans="1:7" ht="11.25" customHeight="1" x14ac:dyDescent="0.2">
      <c r="A348" s="49">
        <v>44805</v>
      </c>
      <c r="B348" s="39">
        <v>0</v>
      </c>
      <c r="C348" s="39">
        <v>119.75043839999992</v>
      </c>
      <c r="D348" s="39">
        <v>0</v>
      </c>
      <c r="E348" s="39">
        <v>182.26626856485856</v>
      </c>
      <c r="F348" s="39">
        <v>119.75043839999992</v>
      </c>
      <c r="G348" s="39">
        <v>182.26626856485856</v>
      </c>
    </row>
    <row r="349" spans="1:7" ht="11.25" customHeight="1" x14ac:dyDescent="0.2">
      <c r="A349" s="49">
        <v>44835</v>
      </c>
      <c r="B349" s="39">
        <v>0</v>
      </c>
      <c r="C349" s="39">
        <v>119.75043839999992</v>
      </c>
      <c r="D349" s="39">
        <v>0</v>
      </c>
      <c r="E349" s="39">
        <v>182.26626856485856</v>
      </c>
      <c r="F349" s="39">
        <v>119.75043839999992</v>
      </c>
      <c r="G349" s="39">
        <v>182.26626856485856</v>
      </c>
    </row>
    <row r="350" spans="1:7" ht="11.25" customHeight="1" x14ac:dyDescent="0.2">
      <c r="A350" s="45" t="s">
        <v>56</v>
      </c>
      <c r="B350" s="39">
        <v>35.569599999999994</v>
      </c>
      <c r="C350" s="39">
        <v>328.58874880000008</v>
      </c>
      <c r="D350" s="39">
        <v>61.207057102622024</v>
      </c>
      <c r="E350" s="39">
        <v>416.8229645156747</v>
      </c>
      <c r="F350" s="39">
        <v>364.15834880000006</v>
      </c>
      <c r="G350" s="39">
        <v>478.0300216182967</v>
      </c>
    </row>
    <row r="351" spans="1:7" ht="11.25" customHeight="1" x14ac:dyDescent="0.2">
      <c r="A351" s="46" t="s">
        <v>25</v>
      </c>
      <c r="B351" s="39">
        <v>35.569599999999994</v>
      </c>
      <c r="C351" s="39">
        <v>328.58874880000008</v>
      </c>
      <c r="D351" s="39">
        <v>61.207057102622024</v>
      </c>
      <c r="E351" s="39">
        <v>416.8229645156747</v>
      </c>
      <c r="F351" s="39">
        <v>364.15834880000006</v>
      </c>
      <c r="G351" s="39">
        <v>478.0300216182967</v>
      </c>
    </row>
    <row r="352" spans="1:7" ht="11.25" customHeight="1" x14ac:dyDescent="0.2">
      <c r="A352" s="47" t="s">
        <v>25</v>
      </c>
      <c r="B352" s="39">
        <v>35.569599999999994</v>
      </c>
      <c r="C352" s="39">
        <v>328.58874880000008</v>
      </c>
      <c r="D352" s="39">
        <v>61.207057102622024</v>
      </c>
      <c r="E352" s="39">
        <v>416.8229645156747</v>
      </c>
      <c r="F352" s="39">
        <v>364.15834880000006</v>
      </c>
      <c r="G352" s="39">
        <v>478.0300216182967</v>
      </c>
    </row>
    <row r="353" spans="1:7" ht="11.25" customHeight="1" x14ac:dyDescent="0.2">
      <c r="A353" s="48" t="s">
        <v>35</v>
      </c>
      <c r="B353" s="39">
        <v>0</v>
      </c>
      <c r="C353" s="39">
        <v>219.44187520000006</v>
      </c>
      <c r="D353" s="39">
        <v>0</v>
      </c>
      <c r="E353" s="39">
        <v>250.69586183116132</v>
      </c>
      <c r="F353" s="39">
        <v>219.44187520000006</v>
      </c>
      <c r="G353" s="39">
        <v>250.69586183116132</v>
      </c>
    </row>
    <row r="354" spans="1:7" ht="11.25" customHeight="1" x14ac:dyDescent="0.2">
      <c r="A354" s="49">
        <v>44593</v>
      </c>
      <c r="B354" s="39">
        <v>0</v>
      </c>
      <c r="C354" s="39">
        <v>5.519478399999989</v>
      </c>
      <c r="D354" s="39">
        <v>0</v>
      </c>
      <c r="E354" s="39">
        <v>6.3055895465956917</v>
      </c>
      <c r="F354" s="39">
        <v>5.519478399999989</v>
      </c>
      <c r="G354" s="39">
        <v>6.3055895465956917</v>
      </c>
    </row>
    <row r="355" spans="1:7" ht="11.25" customHeight="1" x14ac:dyDescent="0.2">
      <c r="A355" s="49">
        <v>44621</v>
      </c>
      <c r="B355" s="39">
        <v>0</v>
      </c>
      <c r="C355" s="39">
        <v>5.8996800000000054</v>
      </c>
      <c r="D355" s="39">
        <v>0</v>
      </c>
      <c r="E355" s="39">
        <v>6.7399413205892387</v>
      </c>
      <c r="F355" s="39">
        <v>5.8996800000000054</v>
      </c>
      <c r="G355" s="39">
        <v>6.7399413205892387</v>
      </c>
    </row>
    <row r="356" spans="1:7" ht="11.25" customHeight="1" x14ac:dyDescent="0.2">
      <c r="A356" s="49">
        <v>44652</v>
      </c>
      <c r="B356" s="39">
        <v>0</v>
      </c>
      <c r="C356" s="39">
        <v>6.3323232000000012</v>
      </c>
      <c r="D356" s="39">
        <v>0</v>
      </c>
      <c r="E356" s="39">
        <v>7.2342036840991106</v>
      </c>
      <c r="F356" s="39">
        <v>6.3323232000000012</v>
      </c>
      <c r="G356" s="39">
        <v>7.2342036840991106</v>
      </c>
    </row>
    <row r="357" spans="1:7" ht="11.25" customHeight="1" x14ac:dyDescent="0.2">
      <c r="A357" s="49">
        <v>44682</v>
      </c>
      <c r="B357" s="39">
        <v>0</v>
      </c>
      <c r="C357" s="39">
        <v>7.6958047999999826</v>
      </c>
      <c r="D357" s="39">
        <v>0</v>
      </c>
      <c r="E357" s="39">
        <v>8.7918790115241556</v>
      </c>
      <c r="F357" s="39">
        <v>7.6958047999999826</v>
      </c>
      <c r="G357" s="39">
        <v>8.7918790115241556</v>
      </c>
    </row>
    <row r="358" spans="1:7" ht="11.25" customHeight="1" x14ac:dyDescent="0.2">
      <c r="A358" s="49">
        <v>44713</v>
      </c>
      <c r="B358" s="39">
        <v>0</v>
      </c>
      <c r="C358" s="39">
        <v>7.3024928000000253</v>
      </c>
      <c r="D358" s="39">
        <v>0</v>
      </c>
      <c r="E358" s="39">
        <v>8.3425495901515898</v>
      </c>
      <c r="F358" s="39">
        <v>7.3024928000000253</v>
      </c>
      <c r="G358" s="39">
        <v>8.3425495901515898</v>
      </c>
    </row>
    <row r="359" spans="1:7" ht="11.25" customHeight="1" x14ac:dyDescent="0.2">
      <c r="A359" s="49">
        <v>44743</v>
      </c>
      <c r="B359" s="39">
        <v>0</v>
      </c>
      <c r="C359" s="39">
        <v>12.363107199999993</v>
      </c>
      <c r="D359" s="39">
        <v>0</v>
      </c>
      <c r="E359" s="39">
        <v>14.123921478479204</v>
      </c>
      <c r="F359" s="39">
        <v>12.363107199999993</v>
      </c>
      <c r="G359" s="39">
        <v>14.123921478479204</v>
      </c>
    </row>
    <row r="360" spans="1:7" ht="11.25" customHeight="1" x14ac:dyDescent="0.2">
      <c r="A360" s="49">
        <v>44774</v>
      </c>
      <c r="B360" s="39">
        <v>0</v>
      </c>
      <c r="C360" s="39">
        <v>36.302697599999988</v>
      </c>
      <c r="D360" s="39">
        <v>0</v>
      </c>
      <c r="E360" s="39">
        <v>41.473105592692399</v>
      </c>
      <c r="F360" s="39">
        <v>36.302697599999988</v>
      </c>
      <c r="G360" s="39">
        <v>41.473105592692399</v>
      </c>
    </row>
    <row r="361" spans="1:7" ht="11.25" customHeight="1" x14ac:dyDescent="0.2">
      <c r="A361" s="49">
        <v>44805</v>
      </c>
      <c r="B361" s="39">
        <v>0</v>
      </c>
      <c r="C361" s="39">
        <v>69.01314560000003</v>
      </c>
      <c r="D361" s="39">
        <v>0</v>
      </c>
      <c r="E361" s="39">
        <v>78.842335803514956</v>
      </c>
      <c r="F361" s="39">
        <v>69.01314560000003</v>
      </c>
      <c r="G361" s="39">
        <v>78.842335803514956</v>
      </c>
    </row>
    <row r="362" spans="1:7" ht="11.25" customHeight="1" x14ac:dyDescent="0.2">
      <c r="A362" s="49">
        <v>44835</v>
      </c>
      <c r="B362" s="39">
        <v>0</v>
      </c>
      <c r="C362" s="39">
        <v>69.01314560000003</v>
      </c>
      <c r="D362" s="39">
        <v>0</v>
      </c>
      <c r="E362" s="39">
        <v>78.842335803514956</v>
      </c>
      <c r="F362" s="39">
        <v>69.01314560000003</v>
      </c>
      <c r="G362" s="39">
        <v>78.842335803514956</v>
      </c>
    </row>
    <row r="363" spans="1:7" ht="11.25" customHeight="1" x14ac:dyDescent="0.2">
      <c r="A363" s="48" t="s">
        <v>25</v>
      </c>
      <c r="B363" s="39">
        <v>35.569599999999994</v>
      </c>
      <c r="C363" s="39">
        <v>0</v>
      </c>
      <c r="D363" s="39">
        <v>61.207057102622024</v>
      </c>
      <c r="E363" s="39">
        <v>0</v>
      </c>
      <c r="F363" s="39">
        <v>35.569599999999994</v>
      </c>
      <c r="G363" s="39">
        <v>61.207057102622024</v>
      </c>
    </row>
    <row r="364" spans="1:7" ht="11.25" customHeight="1" x14ac:dyDescent="0.2">
      <c r="A364" s="49">
        <v>44593</v>
      </c>
      <c r="B364" s="39">
        <v>0.75680000000000069</v>
      </c>
      <c r="C364" s="39">
        <v>0</v>
      </c>
      <c r="D364" s="39">
        <v>1.3022778106940869</v>
      </c>
      <c r="E364" s="39">
        <v>0</v>
      </c>
      <c r="F364" s="39">
        <v>0.75680000000000069</v>
      </c>
      <c r="G364" s="39">
        <v>1.3022778106940869</v>
      </c>
    </row>
    <row r="365" spans="1:7" ht="11.25" customHeight="1" x14ac:dyDescent="0.2">
      <c r="A365" s="49">
        <v>44621</v>
      </c>
      <c r="B365" s="39">
        <v>0.75680000000000069</v>
      </c>
      <c r="C365" s="39">
        <v>0</v>
      </c>
      <c r="D365" s="39">
        <v>1.3022778106940869</v>
      </c>
      <c r="E365" s="39">
        <v>0</v>
      </c>
      <c r="F365" s="39">
        <v>0.75680000000000069</v>
      </c>
      <c r="G365" s="39">
        <v>1.3022778106940869</v>
      </c>
    </row>
    <row r="366" spans="1:7" ht="11.25" customHeight="1" x14ac:dyDescent="0.2">
      <c r="A366" s="49">
        <v>44652</v>
      </c>
      <c r="B366" s="39">
        <v>2.2704000000000022</v>
      </c>
      <c r="C366" s="39">
        <v>0</v>
      </c>
      <c r="D366" s="39">
        <v>3.9068334320822604</v>
      </c>
      <c r="E366" s="39">
        <v>0</v>
      </c>
      <c r="F366" s="39">
        <v>2.2704000000000022</v>
      </c>
      <c r="G366" s="39">
        <v>3.9068334320822604</v>
      </c>
    </row>
    <row r="367" spans="1:7" ht="11.25" customHeight="1" x14ac:dyDescent="0.2">
      <c r="A367" s="49">
        <v>44682</v>
      </c>
      <c r="B367" s="39">
        <v>2.2704000000000022</v>
      </c>
      <c r="C367" s="39">
        <v>0</v>
      </c>
      <c r="D367" s="39">
        <v>3.9068334320822604</v>
      </c>
      <c r="E367" s="39">
        <v>0</v>
      </c>
      <c r="F367" s="39">
        <v>2.2704000000000022</v>
      </c>
      <c r="G367" s="39">
        <v>3.9068334320822604</v>
      </c>
    </row>
    <row r="368" spans="1:7" ht="11.25" customHeight="1" x14ac:dyDescent="0.2">
      <c r="A368" s="49">
        <v>44713</v>
      </c>
      <c r="B368" s="39">
        <v>2.2704000000000022</v>
      </c>
      <c r="C368" s="39">
        <v>0</v>
      </c>
      <c r="D368" s="39">
        <v>3.9068334320822604</v>
      </c>
      <c r="E368" s="39">
        <v>0</v>
      </c>
      <c r="F368" s="39">
        <v>2.2704000000000022</v>
      </c>
      <c r="G368" s="39">
        <v>3.9068334320822604</v>
      </c>
    </row>
    <row r="369" spans="1:7" ht="11.25" customHeight="1" x14ac:dyDescent="0.2">
      <c r="A369" s="49">
        <v>44743</v>
      </c>
      <c r="B369" s="39">
        <v>3.0272000000000028</v>
      </c>
      <c r="C369" s="39">
        <v>0</v>
      </c>
      <c r="D369" s="39">
        <v>5.2091112427763475</v>
      </c>
      <c r="E369" s="39">
        <v>0</v>
      </c>
      <c r="F369" s="39">
        <v>3.0272000000000028</v>
      </c>
      <c r="G369" s="39">
        <v>5.2091112427763475</v>
      </c>
    </row>
    <row r="370" spans="1:7" ht="11.25" customHeight="1" x14ac:dyDescent="0.2">
      <c r="A370" s="49">
        <v>44774</v>
      </c>
      <c r="B370" s="39">
        <v>7.5680000000000076</v>
      </c>
      <c r="C370" s="39">
        <v>0</v>
      </c>
      <c r="D370" s="39">
        <v>13.022778106940867</v>
      </c>
      <c r="E370" s="39">
        <v>0</v>
      </c>
      <c r="F370" s="39">
        <v>7.5680000000000076</v>
      </c>
      <c r="G370" s="39">
        <v>13.022778106940867</v>
      </c>
    </row>
    <row r="371" spans="1:7" ht="11.25" customHeight="1" x14ac:dyDescent="0.2">
      <c r="A371" s="49">
        <v>44805</v>
      </c>
      <c r="B371" s="39">
        <v>8.3247999999999909</v>
      </c>
      <c r="C371" s="39">
        <v>0</v>
      </c>
      <c r="D371" s="39">
        <v>14.325055917634925</v>
      </c>
      <c r="E371" s="39">
        <v>0</v>
      </c>
      <c r="F371" s="39">
        <v>8.3247999999999909</v>
      </c>
      <c r="G371" s="39">
        <v>14.325055917634925</v>
      </c>
    </row>
    <row r="372" spans="1:7" ht="11.25" customHeight="1" x14ac:dyDescent="0.2">
      <c r="A372" s="49">
        <v>44835</v>
      </c>
      <c r="B372" s="39">
        <v>8.3247999999999909</v>
      </c>
      <c r="C372" s="39">
        <v>0</v>
      </c>
      <c r="D372" s="39">
        <v>14.325055917634925</v>
      </c>
      <c r="E372" s="39">
        <v>0</v>
      </c>
      <c r="F372" s="39">
        <v>8.3247999999999909</v>
      </c>
      <c r="G372" s="39">
        <v>14.325055917634925</v>
      </c>
    </row>
    <row r="373" spans="1:7" ht="11.25" customHeight="1" x14ac:dyDescent="0.2">
      <c r="A373" s="48" t="s">
        <v>34</v>
      </c>
      <c r="B373" s="39">
        <v>0</v>
      </c>
      <c r="C373" s="39">
        <v>109.14687360000002</v>
      </c>
      <c r="D373" s="39">
        <v>0</v>
      </c>
      <c r="E373" s="39">
        <v>166.12710268451335</v>
      </c>
      <c r="F373" s="39">
        <v>109.14687360000002</v>
      </c>
      <c r="G373" s="39">
        <v>166.12710268451335</v>
      </c>
    </row>
    <row r="374" spans="1:7" ht="11.25" customHeight="1" x14ac:dyDescent="0.2">
      <c r="A374" s="49">
        <v>44593</v>
      </c>
      <c r="B374" s="39">
        <v>0</v>
      </c>
      <c r="C374" s="39">
        <v>3.5556863999999981</v>
      </c>
      <c r="D374" s="39">
        <v>0</v>
      </c>
      <c r="E374" s="39">
        <v>5.411935864067912</v>
      </c>
      <c r="F374" s="39">
        <v>3.5556863999999981</v>
      </c>
      <c r="G374" s="39">
        <v>5.411935864067912</v>
      </c>
    </row>
    <row r="375" spans="1:7" ht="11.25" customHeight="1" x14ac:dyDescent="0.2">
      <c r="A375" s="49">
        <v>44621</v>
      </c>
      <c r="B375" s="39">
        <v>0</v>
      </c>
      <c r="C375" s="39">
        <v>4.3176192000000002</v>
      </c>
      <c r="D375" s="39">
        <v>0</v>
      </c>
      <c r="E375" s="39">
        <v>6.5716364063681816</v>
      </c>
      <c r="F375" s="39">
        <v>4.3176192000000002</v>
      </c>
      <c r="G375" s="39">
        <v>6.5716364063681816</v>
      </c>
    </row>
    <row r="376" spans="1:7" ht="11.25" customHeight="1" x14ac:dyDescent="0.2">
      <c r="A376" s="49">
        <v>44652</v>
      </c>
      <c r="B376" s="39">
        <v>0</v>
      </c>
      <c r="C376" s="39">
        <v>4.6350911999999873</v>
      </c>
      <c r="D376" s="39">
        <v>0</v>
      </c>
      <c r="E376" s="39">
        <v>7.0548449656599406</v>
      </c>
      <c r="F376" s="39">
        <v>4.6350911999999873</v>
      </c>
      <c r="G376" s="39">
        <v>7.0548449656599406</v>
      </c>
    </row>
    <row r="377" spans="1:7" ht="11.25" customHeight="1" x14ac:dyDescent="0.2">
      <c r="A377" s="49">
        <v>44682</v>
      </c>
      <c r="B377" s="39">
        <v>0</v>
      </c>
      <c r="C377" s="39">
        <v>6.3494400000000057</v>
      </c>
      <c r="D377" s="39">
        <v>0</v>
      </c>
      <c r="E377" s="39">
        <v>9.6641711858355688</v>
      </c>
      <c r="F377" s="39">
        <v>6.3494400000000057</v>
      </c>
      <c r="G377" s="39">
        <v>9.6641711858355688</v>
      </c>
    </row>
    <row r="378" spans="1:7" ht="11.25" customHeight="1" x14ac:dyDescent="0.2">
      <c r="A378" s="49">
        <v>44713</v>
      </c>
      <c r="B378" s="39">
        <v>0</v>
      </c>
      <c r="C378" s="39">
        <v>6.1589568000000128</v>
      </c>
      <c r="D378" s="39">
        <v>0</v>
      </c>
      <c r="E378" s="39">
        <v>9.3742460502605134</v>
      </c>
      <c r="F378" s="39">
        <v>6.1589568000000128</v>
      </c>
      <c r="G378" s="39">
        <v>9.3742460502605134</v>
      </c>
    </row>
    <row r="379" spans="1:7" ht="11.25" customHeight="1" x14ac:dyDescent="0.2">
      <c r="A379" s="49">
        <v>44743</v>
      </c>
      <c r="B379" s="39">
        <v>0</v>
      </c>
      <c r="C379" s="39">
        <v>6.4764287999999999</v>
      </c>
      <c r="D379" s="39">
        <v>0</v>
      </c>
      <c r="E379" s="39">
        <v>9.8574546095522724</v>
      </c>
      <c r="F379" s="39">
        <v>6.4764287999999999</v>
      </c>
      <c r="G379" s="39">
        <v>9.8574546095522724</v>
      </c>
    </row>
    <row r="380" spans="1:7" ht="11.25" customHeight="1" x14ac:dyDescent="0.2">
      <c r="A380" s="49">
        <v>44774</v>
      </c>
      <c r="B380" s="39">
        <v>0</v>
      </c>
      <c r="C380" s="39">
        <v>8.190777599999997</v>
      </c>
      <c r="D380" s="39">
        <v>0</v>
      </c>
      <c r="E380" s="39">
        <v>12.466780829727869</v>
      </c>
      <c r="F380" s="39">
        <v>8.190777599999997</v>
      </c>
      <c r="G380" s="39">
        <v>12.466780829727869</v>
      </c>
    </row>
    <row r="381" spans="1:7" ht="11.25" customHeight="1" x14ac:dyDescent="0.2">
      <c r="A381" s="49">
        <v>44805</v>
      </c>
      <c r="B381" s="39">
        <v>0</v>
      </c>
      <c r="C381" s="39">
        <v>34.731436800000012</v>
      </c>
      <c r="D381" s="39">
        <v>0</v>
      </c>
      <c r="E381" s="39">
        <v>52.863016386520542</v>
      </c>
      <c r="F381" s="39">
        <v>34.731436800000012</v>
      </c>
      <c r="G381" s="39">
        <v>52.863016386520542</v>
      </c>
    </row>
    <row r="382" spans="1:7" ht="11.25" customHeight="1" x14ac:dyDescent="0.2">
      <c r="A382" s="49">
        <v>44835</v>
      </c>
      <c r="B382" s="39">
        <v>0</v>
      </c>
      <c r="C382" s="39">
        <v>34.731436800000012</v>
      </c>
      <c r="D382" s="39">
        <v>0</v>
      </c>
      <c r="E382" s="39">
        <v>52.863016386520542</v>
      </c>
      <c r="F382" s="39">
        <v>34.731436800000012</v>
      </c>
      <c r="G382" s="39">
        <v>52.863016386520542</v>
      </c>
    </row>
    <row r="383" spans="1:7" ht="11.25" customHeight="1" x14ac:dyDescent="0.2">
      <c r="A383" s="45" t="s">
        <v>25</v>
      </c>
      <c r="B383" s="39">
        <v>322.39680000000038</v>
      </c>
      <c r="C383" s="39">
        <v>0</v>
      </c>
      <c r="D383" s="39">
        <v>554.77034735568111</v>
      </c>
      <c r="E383" s="39">
        <v>0</v>
      </c>
      <c r="F383" s="39">
        <v>322.39680000000038</v>
      </c>
      <c r="G383" s="39">
        <v>554.77034735568111</v>
      </c>
    </row>
    <row r="384" spans="1:7" ht="11.25" customHeight="1" x14ac:dyDescent="0.2">
      <c r="A384" s="46" t="s">
        <v>25</v>
      </c>
      <c r="B384" s="39">
        <v>322.39680000000038</v>
      </c>
      <c r="C384" s="39">
        <v>0</v>
      </c>
      <c r="D384" s="39">
        <v>554.77034735568111</v>
      </c>
      <c r="E384" s="39">
        <v>0</v>
      </c>
      <c r="F384" s="39">
        <v>322.39680000000038</v>
      </c>
      <c r="G384" s="39">
        <v>554.77034735568111</v>
      </c>
    </row>
    <row r="385" spans="1:7" ht="11.25" customHeight="1" x14ac:dyDescent="0.2">
      <c r="A385" s="47" t="s">
        <v>25</v>
      </c>
      <c r="B385" s="39">
        <v>322.39680000000038</v>
      </c>
      <c r="C385" s="39">
        <v>0</v>
      </c>
      <c r="D385" s="39">
        <v>554.77034735568111</v>
      </c>
      <c r="E385" s="39">
        <v>0</v>
      </c>
      <c r="F385" s="39">
        <v>322.39680000000038</v>
      </c>
      <c r="G385" s="39">
        <v>554.77034735568111</v>
      </c>
    </row>
    <row r="386" spans="1:7" ht="11.25" customHeight="1" x14ac:dyDescent="0.2">
      <c r="A386" s="48" t="s">
        <v>25</v>
      </c>
      <c r="B386" s="39">
        <v>322.39680000000038</v>
      </c>
      <c r="C386" s="39">
        <v>0</v>
      </c>
      <c r="D386" s="39">
        <v>554.77034735568111</v>
      </c>
      <c r="E386" s="39">
        <v>0</v>
      </c>
      <c r="F386" s="39">
        <v>322.39680000000038</v>
      </c>
      <c r="G386" s="39">
        <v>554.77034735568111</v>
      </c>
    </row>
    <row r="387" spans="1:7" ht="11.25" customHeight="1" x14ac:dyDescent="0.2">
      <c r="A387" s="49">
        <v>44501</v>
      </c>
      <c r="B387" s="39">
        <v>28.001600000000078</v>
      </c>
      <c r="C387" s="39">
        <v>0</v>
      </c>
      <c r="D387" s="39">
        <v>48.184278995681296</v>
      </c>
      <c r="E387" s="39">
        <v>0</v>
      </c>
      <c r="F387" s="39">
        <v>28.001600000000078</v>
      </c>
      <c r="G387" s="39">
        <v>48.184278995681296</v>
      </c>
    </row>
    <row r="388" spans="1:7" ht="11.25" customHeight="1" x14ac:dyDescent="0.2">
      <c r="A388" s="49">
        <v>44531</v>
      </c>
      <c r="B388" s="39">
        <v>20.433600000000038</v>
      </c>
      <c r="C388" s="39">
        <v>0</v>
      </c>
      <c r="D388" s="39">
        <v>35.16150088874037</v>
      </c>
      <c r="E388" s="39">
        <v>0</v>
      </c>
      <c r="F388" s="39">
        <v>20.433600000000038</v>
      </c>
      <c r="G388" s="39">
        <v>35.16150088874037</v>
      </c>
    </row>
    <row r="389" spans="1:7" ht="11.25" customHeight="1" x14ac:dyDescent="0.2">
      <c r="A389" s="49">
        <v>44562</v>
      </c>
      <c r="B389" s="39">
        <v>26.487999999999975</v>
      </c>
      <c r="C389" s="39">
        <v>0</v>
      </c>
      <c r="D389" s="39">
        <v>45.579723374292954</v>
      </c>
      <c r="E389" s="39">
        <v>0</v>
      </c>
      <c r="F389" s="39">
        <v>26.487999999999975</v>
      </c>
      <c r="G389" s="39">
        <v>45.579723374292954</v>
      </c>
    </row>
    <row r="390" spans="1:7" ht="11.25" customHeight="1" x14ac:dyDescent="0.2">
      <c r="A390" s="49">
        <v>44593</v>
      </c>
      <c r="B390" s="39">
        <v>147.57600000000022</v>
      </c>
      <c r="C390" s="39">
        <v>0</v>
      </c>
      <c r="D390" s="39">
        <v>253.94417308534707</v>
      </c>
      <c r="E390" s="39">
        <v>0</v>
      </c>
      <c r="F390" s="39">
        <v>147.57600000000022</v>
      </c>
      <c r="G390" s="39">
        <v>253.94417308534707</v>
      </c>
    </row>
    <row r="391" spans="1:7" ht="11.25" customHeight="1" x14ac:dyDescent="0.2">
      <c r="A391" s="49">
        <v>44621</v>
      </c>
      <c r="B391" s="39">
        <v>25.731199999999991</v>
      </c>
      <c r="C391" s="39">
        <v>0</v>
      </c>
      <c r="D391" s="39">
        <v>44.277445563598896</v>
      </c>
      <c r="E391" s="39">
        <v>0</v>
      </c>
      <c r="F391" s="39">
        <v>25.731199999999991</v>
      </c>
      <c r="G391" s="39">
        <v>44.277445563598896</v>
      </c>
    </row>
    <row r="392" spans="1:7" ht="11.25" customHeight="1" x14ac:dyDescent="0.2">
      <c r="A392" s="49">
        <v>44652</v>
      </c>
      <c r="B392" s="39">
        <v>19.676799999999986</v>
      </c>
      <c r="C392" s="39">
        <v>0</v>
      </c>
      <c r="D392" s="39">
        <v>33.859223078046199</v>
      </c>
      <c r="E392" s="39">
        <v>0</v>
      </c>
      <c r="F392" s="39">
        <v>19.676799999999986</v>
      </c>
      <c r="G392" s="39">
        <v>33.859223078046199</v>
      </c>
    </row>
    <row r="393" spans="1:7" ht="11.25" customHeight="1" x14ac:dyDescent="0.2">
      <c r="A393" s="49">
        <v>44682</v>
      </c>
      <c r="B393" s="39">
        <v>23.460800000000038</v>
      </c>
      <c r="C393" s="39">
        <v>0</v>
      </c>
      <c r="D393" s="39">
        <v>40.370612131516722</v>
      </c>
      <c r="E393" s="39">
        <v>0</v>
      </c>
      <c r="F393" s="39">
        <v>23.460800000000038</v>
      </c>
      <c r="G393" s="39">
        <v>40.370612131516722</v>
      </c>
    </row>
    <row r="394" spans="1:7" ht="11.25" customHeight="1" x14ac:dyDescent="0.2">
      <c r="A394" s="49">
        <v>44713</v>
      </c>
      <c r="B394" s="39">
        <v>31.028800000000015</v>
      </c>
      <c r="C394" s="39">
        <v>0</v>
      </c>
      <c r="D394" s="39">
        <v>53.393390238457528</v>
      </c>
      <c r="E394" s="39">
        <v>0</v>
      </c>
      <c r="F394" s="39">
        <v>31.028800000000015</v>
      </c>
      <c r="G394" s="39">
        <v>53.393390238457528</v>
      </c>
    </row>
    <row r="395" spans="1:7" ht="11.25" customHeight="1" x14ac:dyDescent="0.2">
      <c r="A395" s="42" t="s">
        <v>39</v>
      </c>
      <c r="B395" s="39">
        <v>10218.313599999998</v>
      </c>
      <c r="C395" s="39">
        <v>14220.618400000005</v>
      </c>
      <c r="D395" s="39">
        <v>17583.354999991549</v>
      </c>
      <c r="E395" s="39">
        <v>16898.680110850109</v>
      </c>
      <c r="F395" s="39">
        <v>24438.932000000001</v>
      </c>
      <c r="G395" s="39">
        <v>34482.035110841658</v>
      </c>
    </row>
    <row r="396" spans="1:7" ht="11.25" customHeight="1" x14ac:dyDescent="0.2">
      <c r="A396" s="43" t="s">
        <v>40</v>
      </c>
      <c r="B396" s="39">
        <v>10218.313599999998</v>
      </c>
      <c r="C396" s="39">
        <v>14220.618400000005</v>
      </c>
      <c r="D396" s="39">
        <v>17583.354999991549</v>
      </c>
      <c r="E396" s="39">
        <v>16898.680110850109</v>
      </c>
      <c r="F396" s="39">
        <v>24438.932000000001</v>
      </c>
      <c r="G396" s="39">
        <v>34482.035110841658</v>
      </c>
    </row>
    <row r="397" spans="1:7" ht="11.25" customHeight="1" x14ac:dyDescent="0.2">
      <c r="A397" s="44" t="s">
        <v>44</v>
      </c>
      <c r="B397" s="39">
        <v>10218.313599999998</v>
      </c>
      <c r="C397" s="39">
        <v>14220.618400000005</v>
      </c>
      <c r="D397" s="39">
        <v>17583.354999991549</v>
      </c>
      <c r="E397" s="39">
        <v>16898.680110850109</v>
      </c>
      <c r="F397" s="39">
        <v>24438.932000000001</v>
      </c>
      <c r="G397" s="39">
        <v>34482.035110841658</v>
      </c>
    </row>
    <row r="398" spans="1:7" ht="11.25" customHeight="1" x14ac:dyDescent="0.2">
      <c r="A398" s="45" t="s">
        <v>53</v>
      </c>
      <c r="B398" s="39">
        <v>9764.9904000000024</v>
      </c>
      <c r="C398" s="39">
        <v>11029.653497600008</v>
      </c>
      <c r="D398" s="39">
        <v>16803.290591385787</v>
      </c>
      <c r="E398" s="39">
        <v>12805.218923418739</v>
      </c>
      <c r="F398" s="39">
        <v>20794.64389760001</v>
      </c>
      <c r="G398" s="39">
        <v>29608.509514804526</v>
      </c>
    </row>
    <row r="399" spans="1:7" ht="11.25" customHeight="1" x14ac:dyDescent="0.2">
      <c r="A399" s="46" t="s">
        <v>25</v>
      </c>
      <c r="B399" s="39">
        <v>9764.9904000000024</v>
      </c>
      <c r="C399" s="39">
        <v>11029.653497600008</v>
      </c>
      <c r="D399" s="39">
        <v>16803.290591385787</v>
      </c>
      <c r="E399" s="39">
        <v>12805.218923418739</v>
      </c>
      <c r="F399" s="39">
        <v>20794.64389760001</v>
      </c>
      <c r="G399" s="39">
        <v>29608.509514804526</v>
      </c>
    </row>
    <row r="400" spans="1:7" ht="11.25" customHeight="1" x14ac:dyDescent="0.2">
      <c r="A400" s="47" t="s">
        <v>25</v>
      </c>
      <c r="B400" s="39">
        <v>9764.9904000000024</v>
      </c>
      <c r="C400" s="39">
        <v>11029.653497600008</v>
      </c>
      <c r="D400" s="39">
        <v>16803.290591385787</v>
      </c>
      <c r="E400" s="39">
        <v>12805.218923418739</v>
      </c>
      <c r="F400" s="39">
        <v>20794.64389760001</v>
      </c>
      <c r="G400" s="39">
        <v>29608.509514804526</v>
      </c>
    </row>
    <row r="401" spans="1:7" ht="11.25" customHeight="1" x14ac:dyDescent="0.2">
      <c r="A401" s="48" t="s">
        <v>35</v>
      </c>
      <c r="B401" s="39">
        <v>0</v>
      </c>
      <c r="C401" s="39">
        <v>10490.522547200009</v>
      </c>
      <c r="D401" s="39">
        <v>0</v>
      </c>
      <c r="E401" s="39">
        <v>11984.634148029441</v>
      </c>
      <c r="F401" s="39">
        <v>10490.522547200009</v>
      </c>
      <c r="G401" s="39">
        <v>11984.634148029441</v>
      </c>
    </row>
    <row r="402" spans="1:7" ht="11.25" customHeight="1" x14ac:dyDescent="0.2">
      <c r="A402" s="49">
        <v>44501</v>
      </c>
      <c r="B402" s="39">
        <v>0</v>
      </c>
      <c r="C402" s="39">
        <v>52.546483200000011</v>
      </c>
      <c r="D402" s="39">
        <v>0</v>
      </c>
      <c r="E402" s="39">
        <v>60.030410695381434</v>
      </c>
      <c r="F402" s="39">
        <v>52.546483200000011</v>
      </c>
      <c r="G402" s="39">
        <v>60.030410695381434</v>
      </c>
    </row>
    <row r="403" spans="1:7" ht="11.25" customHeight="1" x14ac:dyDescent="0.2">
      <c r="A403" s="49">
        <v>44531</v>
      </c>
      <c r="B403" s="39">
        <v>0</v>
      </c>
      <c r="C403" s="39">
        <v>46.423926399999928</v>
      </c>
      <c r="D403" s="39">
        <v>0</v>
      </c>
      <c r="E403" s="39">
        <v>53.03584936934763</v>
      </c>
      <c r="F403" s="39">
        <v>46.423926399999928</v>
      </c>
      <c r="G403" s="39">
        <v>53.03584936934763</v>
      </c>
    </row>
    <row r="404" spans="1:7" ht="11.25" customHeight="1" x14ac:dyDescent="0.2">
      <c r="A404" s="49">
        <v>44562</v>
      </c>
      <c r="B404" s="39">
        <v>0</v>
      </c>
      <c r="C404" s="39">
        <v>71.976095999999927</v>
      </c>
      <c r="D404" s="39">
        <v>0</v>
      </c>
      <c r="E404" s="39">
        <v>82.227284111188567</v>
      </c>
      <c r="F404" s="39">
        <v>71.976095999999927</v>
      </c>
      <c r="G404" s="39">
        <v>82.227284111188567</v>
      </c>
    </row>
    <row r="405" spans="1:7" ht="11.25" customHeight="1" x14ac:dyDescent="0.2">
      <c r="A405" s="49">
        <v>44593</v>
      </c>
      <c r="B405" s="39">
        <v>0</v>
      </c>
      <c r="C405" s="39">
        <v>34.441020799999876</v>
      </c>
      <c r="D405" s="39">
        <v>0</v>
      </c>
      <c r="E405" s="39">
        <v>39.346279664861889</v>
      </c>
      <c r="F405" s="39">
        <v>34.441020799999876</v>
      </c>
      <c r="G405" s="39">
        <v>39.346279664861889</v>
      </c>
    </row>
    <row r="406" spans="1:7" ht="11.25" customHeight="1" x14ac:dyDescent="0.2">
      <c r="A406" s="49">
        <v>44621</v>
      </c>
      <c r="B406" s="39">
        <v>0</v>
      </c>
      <c r="C406" s="39">
        <v>110.52067199999976</v>
      </c>
      <c r="D406" s="39">
        <v>0</v>
      </c>
      <c r="E406" s="39">
        <v>126.26156740570468</v>
      </c>
      <c r="F406" s="39">
        <v>110.52067199999976</v>
      </c>
      <c r="G406" s="39">
        <v>126.26156740570468</v>
      </c>
    </row>
    <row r="407" spans="1:7" ht="11.25" customHeight="1" x14ac:dyDescent="0.2">
      <c r="A407" s="49">
        <v>44652</v>
      </c>
      <c r="B407" s="39">
        <v>0</v>
      </c>
      <c r="C407" s="39">
        <v>1259.070374400002</v>
      </c>
      <c r="D407" s="39">
        <v>0</v>
      </c>
      <c r="E407" s="39">
        <v>1438.3933436980187</v>
      </c>
      <c r="F407" s="39">
        <v>1259.070374400002</v>
      </c>
      <c r="G407" s="39">
        <v>1438.3933436980187</v>
      </c>
    </row>
    <row r="408" spans="1:7" ht="11.25" customHeight="1" x14ac:dyDescent="0.2">
      <c r="A408" s="49">
        <v>44682</v>
      </c>
      <c r="B408" s="39">
        <v>0</v>
      </c>
      <c r="C408" s="39">
        <v>1504.0644192000004</v>
      </c>
      <c r="D408" s="39">
        <v>0</v>
      </c>
      <c r="E408" s="39">
        <v>1718.2806402710194</v>
      </c>
      <c r="F408" s="39">
        <v>1504.0644192000004</v>
      </c>
      <c r="G408" s="39">
        <v>1718.2806402710194</v>
      </c>
    </row>
    <row r="409" spans="1:7" ht="11.25" customHeight="1" x14ac:dyDescent="0.2">
      <c r="A409" s="49">
        <v>44713</v>
      </c>
      <c r="B409" s="39">
        <v>0</v>
      </c>
      <c r="C409" s="39">
        <v>1301.862719999998</v>
      </c>
      <c r="D409" s="39">
        <v>0</v>
      </c>
      <c r="E409" s="39">
        <v>1487.2803847433552</v>
      </c>
      <c r="F409" s="39">
        <v>1301.862719999998</v>
      </c>
      <c r="G409" s="39">
        <v>1487.2803847433552</v>
      </c>
    </row>
    <row r="410" spans="1:7" ht="11.25" customHeight="1" x14ac:dyDescent="0.2">
      <c r="A410" s="49">
        <v>44743</v>
      </c>
      <c r="B410" s="39">
        <v>0</v>
      </c>
      <c r="C410" s="39">
        <v>1661.8087519999999</v>
      </c>
      <c r="D410" s="39">
        <v>0</v>
      </c>
      <c r="E410" s="39">
        <v>1898.4916935361957</v>
      </c>
      <c r="F410" s="39">
        <v>1661.8087519999999</v>
      </c>
      <c r="G410" s="39">
        <v>1898.4916935361957</v>
      </c>
    </row>
    <row r="411" spans="1:7" ht="11.25" customHeight="1" x14ac:dyDescent="0.2">
      <c r="A411" s="49">
        <v>44774</v>
      </c>
      <c r="B411" s="39">
        <v>0</v>
      </c>
      <c r="C411" s="39">
        <v>1401.6590848000021</v>
      </c>
      <c r="D411" s="39">
        <v>0</v>
      </c>
      <c r="E411" s="39">
        <v>1601.2902365929713</v>
      </c>
      <c r="F411" s="39">
        <v>1401.6590848000021</v>
      </c>
      <c r="G411" s="39">
        <v>1601.2902365929713</v>
      </c>
    </row>
    <row r="412" spans="1:7" ht="11.25" customHeight="1" x14ac:dyDescent="0.2">
      <c r="A412" s="49">
        <v>44805</v>
      </c>
      <c r="B412" s="39">
        <v>0</v>
      </c>
      <c r="C412" s="39">
        <v>1523.0744992000027</v>
      </c>
      <c r="D412" s="39">
        <v>0</v>
      </c>
      <c r="E412" s="39">
        <v>1739.9982289706986</v>
      </c>
      <c r="F412" s="39">
        <v>1523.0744992000027</v>
      </c>
      <c r="G412" s="39">
        <v>1739.9982289706986</v>
      </c>
    </row>
    <row r="413" spans="1:7" ht="11.25" customHeight="1" x14ac:dyDescent="0.2">
      <c r="A413" s="49">
        <v>44835</v>
      </c>
      <c r="B413" s="39">
        <v>0</v>
      </c>
      <c r="C413" s="39">
        <v>1523.0744992000027</v>
      </c>
      <c r="D413" s="39">
        <v>0</v>
      </c>
      <c r="E413" s="39">
        <v>1739.9982289706986</v>
      </c>
      <c r="F413" s="39">
        <v>1523.0744992000027</v>
      </c>
      <c r="G413" s="39">
        <v>1739.9982289706986</v>
      </c>
    </row>
    <row r="414" spans="1:7" ht="11.25" customHeight="1" x14ac:dyDescent="0.2">
      <c r="A414" s="48" t="s">
        <v>25</v>
      </c>
      <c r="B414" s="39">
        <v>9764.9904000000024</v>
      </c>
      <c r="C414" s="39">
        <v>0</v>
      </c>
      <c r="D414" s="39">
        <v>16803.290591385787</v>
      </c>
      <c r="E414" s="39">
        <v>0</v>
      </c>
      <c r="F414" s="39">
        <v>9764.9904000000024</v>
      </c>
      <c r="G414" s="39">
        <v>16803.290591385787</v>
      </c>
    </row>
    <row r="415" spans="1:7" ht="11.25" customHeight="1" x14ac:dyDescent="0.2">
      <c r="A415" s="49">
        <v>44501</v>
      </c>
      <c r="B415" s="39">
        <v>384.45439999999991</v>
      </c>
      <c r="C415" s="39">
        <v>0</v>
      </c>
      <c r="D415" s="39">
        <v>661.55712783259526</v>
      </c>
      <c r="E415" s="39">
        <v>0</v>
      </c>
      <c r="F415" s="39">
        <v>384.45439999999991</v>
      </c>
      <c r="G415" s="39">
        <v>661.55712783259526</v>
      </c>
    </row>
    <row r="416" spans="1:7" ht="11.25" customHeight="1" x14ac:dyDescent="0.2">
      <c r="A416" s="49">
        <v>44531</v>
      </c>
      <c r="B416" s="39">
        <v>255.04160000000036</v>
      </c>
      <c r="C416" s="39">
        <v>0</v>
      </c>
      <c r="D416" s="39">
        <v>438.86762220390744</v>
      </c>
      <c r="E416" s="39">
        <v>0</v>
      </c>
      <c r="F416" s="39">
        <v>255.04160000000036</v>
      </c>
      <c r="G416" s="39">
        <v>438.86762220390744</v>
      </c>
    </row>
    <row r="417" spans="1:7" ht="11.25" customHeight="1" x14ac:dyDescent="0.2">
      <c r="A417" s="49">
        <v>44562</v>
      </c>
      <c r="B417" s="39">
        <v>332.99200000000047</v>
      </c>
      <c r="C417" s="39">
        <v>0</v>
      </c>
      <c r="D417" s="39">
        <v>573.00223670539845</v>
      </c>
      <c r="E417" s="39">
        <v>0</v>
      </c>
      <c r="F417" s="39">
        <v>332.99200000000047</v>
      </c>
      <c r="G417" s="39">
        <v>573.00223670539845</v>
      </c>
    </row>
    <row r="418" spans="1:7" ht="11.25" customHeight="1" x14ac:dyDescent="0.2">
      <c r="A418" s="49">
        <v>44593</v>
      </c>
      <c r="B418" s="39">
        <v>292.12479999999999</v>
      </c>
      <c r="C418" s="39">
        <v>0</v>
      </c>
      <c r="D418" s="39">
        <v>502.67923492791698</v>
      </c>
      <c r="E418" s="39">
        <v>0</v>
      </c>
      <c r="F418" s="39">
        <v>292.12479999999999</v>
      </c>
      <c r="G418" s="39">
        <v>502.67923492791698</v>
      </c>
    </row>
    <row r="419" spans="1:7" ht="11.25" customHeight="1" x14ac:dyDescent="0.2">
      <c r="A419" s="49">
        <v>44621</v>
      </c>
      <c r="B419" s="39">
        <v>1213.9072000000017</v>
      </c>
      <c r="C419" s="39">
        <v>0</v>
      </c>
      <c r="D419" s="39">
        <v>2088.8536083533158</v>
      </c>
      <c r="E419" s="39">
        <v>0</v>
      </c>
      <c r="F419" s="39">
        <v>1213.9072000000017</v>
      </c>
      <c r="G419" s="39">
        <v>2088.8536083533158</v>
      </c>
    </row>
    <row r="420" spans="1:7" ht="11.25" customHeight="1" x14ac:dyDescent="0.2">
      <c r="A420" s="49">
        <v>44652</v>
      </c>
      <c r="B420" s="39">
        <v>1121.5775999999996</v>
      </c>
      <c r="C420" s="39">
        <v>0</v>
      </c>
      <c r="D420" s="39">
        <v>1929.975715448634</v>
      </c>
      <c r="E420" s="39">
        <v>0</v>
      </c>
      <c r="F420" s="39">
        <v>1121.5775999999996</v>
      </c>
      <c r="G420" s="39">
        <v>1929.975715448634</v>
      </c>
    </row>
    <row r="421" spans="1:7" ht="11.25" customHeight="1" x14ac:dyDescent="0.2">
      <c r="A421" s="49">
        <v>44682</v>
      </c>
      <c r="B421" s="39">
        <v>1110.9824000000006</v>
      </c>
      <c r="C421" s="39">
        <v>0</v>
      </c>
      <c r="D421" s="39">
        <v>1911.7438260989186</v>
      </c>
      <c r="E421" s="39">
        <v>0</v>
      </c>
      <c r="F421" s="39">
        <v>1110.9824000000006</v>
      </c>
      <c r="G421" s="39">
        <v>1911.7438260989186</v>
      </c>
    </row>
    <row r="422" spans="1:7" ht="11.25" customHeight="1" x14ac:dyDescent="0.2">
      <c r="A422" s="49">
        <v>44713</v>
      </c>
      <c r="B422" s="39">
        <v>1193.4735999999987</v>
      </c>
      <c r="C422" s="39">
        <v>0</v>
      </c>
      <c r="D422" s="39">
        <v>2053.6921074645707</v>
      </c>
      <c r="E422" s="39">
        <v>0</v>
      </c>
      <c r="F422" s="39">
        <v>1193.4735999999987</v>
      </c>
      <c r="G422" s="39">
        <v>2053.6921074645707</v>
      </c>
    </row>
    <row r="423" spans="1:7" ht="11.25" customHeight="1" x14ac:dyDescent="0.2">
      <c r="A423" s="49">
        <v>44743</v>
      </c>
      <c r="B423" s="39">
        <v>1039.8432000000007</v>
      </c>
      <c r="C423" s="39">
        <v>0</v>
      </c>
      <c r="D423" s="39">
        <v>1789.3297118936748</v>
      </c>
      <c r="E423" s="39">
        <v>0</v>
      </c>
      <c r="F423" s="39">
        <v>1039.8432000000007</v>
      </c>
      <c r="G423" s="39">
        <v>1789.3297118936748</v>
      </c>
    </row>
    <row r="424" spans="1:7" ht="11.25" customHeight="1" x14ac:dyDescent="0.2">
      <c r="A424" s="49">
        <v>44774</v>
      </c>
      <c r="B424" s="39">
        <v>1353.915199999999</v>
      </c>
      <c r="C424" s="39">
        <v>0</v>
      </c>
      <c r="D424" s="39">
        <v>2329.7750033317175</v>
      </c>
      <c r="E424" s="39">
        <v>0</v>
      </c>
      <c r="F424" s="39">
        <v>1353.915199999999</v>
      </c>
      <c r="G424" s="39">
        <v>2329.7750033317175</v>
      </c>
    </row>
    <row r="425" spans="1:7" ht="11.25" customHeight="1" x14ac:dyDescent="0.2">
      <c r="A425" s="49">
        <v>44805</v>
      </c>
      <c r="B425" s="39">
        <v>733.33919999999989</v>
      </c>
      <c r="C425" s="39">
        <v>0</v>
      </c>
      <c r="D425" s="39">
        <v>1261.9071985625687</v>
      </c>
      <c r="E425" s="39">
        <v>0</v>
      </c>
      <c r="F425" s="39">
        <v>733.33919999999989</v>
      </c>
      <c r="G425" s="39">
        <v>1261.9071985625687</v>
      </c>
    </row>
    <row r="426" spans="1:7" ht="11.25" customHeight="1" x14ac:dyDescent="0.2">
      <c r="A426" s="49">
        <v>44835</v>
      </c>
      <c r="B426" s="39">
        <v>733.33919999999989</v>
      </c>
      <c r="C426" s="39">
        <v>0</v>
      </c>
      <c r="D426" s="39">
        <v>1261.9071985625687</v>
      </c>
      <c r="E426" s="39">
        <v>0</v>
      </c>
      <c r="F426" s="39">
        <v>733.33919999999989</v>
      </c>
      <c r="G426" s="39">
        <v>1261.9071985625687</v>
      </c>
    </row>
    <row r="427" spans="1:7" ht="11.25" customHeight="1" x14ac:dyDescent="0.2">
      <c r="A427" s="48" t="s">
        <v>34</v>
      </c>
      <c r="B427" s="39">
        <v>0</v>
      </c>
      <c r="C427" s="39">
        <v>539.13095040000007</v>
      </c>
      <c r="D427" s="39">
        <v>0</v>
      </c>
      <c r="E427" s="39">
        <v>820.58477538929753</v>
      </c>
      <c r="F427" s="39">
        <v>539.13095040000007</v>
      </c>
      <c r="G427" s="39">
        <v>820.58477538929753</v>
      </c>
    </row>
    <row r="428" spans="1:7" ht="11.25" customHeight="1" x14ac:dyDescent="0.2">
      <c r="A428" s="49">
        <v>44501</v>
      </c>
      <c r="B428" s="39">
        <v>0</v>
      </c>
      <c r="C428" s="39">
        <v>30.858278400000021</v>
      </c>
      <c r="D428" s="39">
        <v>0</v>
      </c>
      <c r="E428" s="39">
        <v>46.96787196316086</v>
      </c>
      <c r="F428" s="39">
        <v>30.858278400000021</v>
      </c>
      <c r="G428" s="39">
        <v>46.96787196316086</v>
      </c>
    </row>
    <row r="429" spans="1:7" ht="11.25" customHeight="1" x14ac:dyDescent="0.2">
      <c r="A429" s="49">
        <v>44531</v>
      </c>
      <c r="B429" s="39">
        <v>0</v>
      </c>
      <c r="C429" s="39">
        <v>32.953593600000005</v>
      </c>
      <c r="D429" s="39">
        <v>0</v>
      </c>
      <c r="E429" s="39">
        <v>50.157048454486564</v>
      </c>
      <c r="F429" s="39">
        <v>32.953593600000005</v>
      </c>
      <c r="G429" s="39">
        <v>50.157048454486564</v>
      </c>
    </row>
    <row r="430" spans="1:7" ht="11.25" customHeight="1" x14ac:dyDescent="0.2">
      <c r="A430" s="49">
        <v>44562</v>
      </c>
      <c r="B430" s="39">
        <v>0</v>
      </c>
      <c r="C430" s="39">
        <v>21.207129600000059</v>
      </c>
      <c r="D430" s="39">
        <v>0</v>
      </c>
      <c r="E430" s="39">
        <v>32.278331760690868</v>
      </c>
      <c r="F430" s="39">
        <v>21.207129600000059</v>
      </c>
      <c r="G430" s="39">
        <v>32.278331760690868</v>
      </c>
    </row>
    <row r="431" spans="1:7" ht="11.25" customHeight="1" x14ac:dyDescent="0.2">
      <c r="A431" s="49">
        <v>44593</v>
      </c>
      <c r="B431" s="39">
        <v>0</v>
      </c>
      <c r="C431" s="39">
        <v>23.619916800000006</v>
      </c>
      <c r="D431" s="39">
        <v>0</v>
      </c>
      <c r="E431" s="39">
        <v>35.950716811308297</v>
      </c>
      <c r="F431" s="39">
        <v>23.619916800000006</v>
      </c>
      <c r="G431" s="39">
        <v>35.950716811308297</v>
      </c>
    </row>
    <row r="432" spans="1:7" ht="11.25" customHeight="1" x14ac:dyDescent="0.2">
      <c r="A432" s="49">
        <v>44621</v>
      </c>
      <c r="B432" s="39">
        <v>0</v>
      </c>
      <c r="C432" s="39">
        <v>45.398495999999938</v>
      </c>
      <c r="D432" s="39">
        <v>0</v>
      </c>
      <c r="E432" s="39">
        <v>69.09882397872417</v>
      </c>
      <c r="F432" s="39">
        <v>45.398495999999938</v>
      </c>
      <c r="G432" s="39">
        <v>69.09882397872417</v>
      </c>
    </row>
    <row r="433" spans="1:7" ht="11.25" customHeight="1" x14ac:dyDescent="0.2">
      <c r="A433" s="49">
        <v>44652</v>
      </c>
      <c r="B433" s="39">
        <v>0</v>
      </c>
      <c r="C433" s="39">
        <v>50.732025599999986</v>
      </c>
      <c r="D433" s="39">
        <v>0</v>
      </c>
      <c r="E433" s="39">
        <v>77.216727774826111</v>
      </c>
      <c r="F433" s="39">
        <v>50.732025599999986</v>
      </c>
      <c r="G433" s="39">
        <v>77.216727774826111</v>
      </c>
    </row>
    <row r="434" spans="1:7" ht="11.25" customHeight="1" x14ac:dyDescent="0.2">
      <c r="A434" s="49">
        <v>44682</v>
      </c>
      <c r="B434" s="39">
        <v>0</v>
      </c>
      <c r="C434" s="39">
        <v>43.493664000000138</v>
      </c>
      <c r="D434" s="39">
        <v>0</v>
      </c>
      <c r="E434" s="39">
        <v>66.199572622973818</v>
      </c>
      <c r="F434" s="39">
        <v>43.493664000000138</v>
      </c>
      <c r="G434" s="39">
        <v>66.199572622973818</v>
      </c>
    </row>
    <row r="435" spans="1:7" ht="11.25" customHeight="1" x14ac:dyDescent="0.2">
      <c r="A435" s="49">
        <v>44713</v>
      </c>
      <c r="B435" s="39">
        <v>0</v>
      </c>
      <c r="C435" s="39">
        <v>80.066438399999697</v>
      </c>
      <c r="D435" s="39">
        <v>0</v>
      </c>
      <c r="E435" s="39">
        <v>121.86519865338599</v>
      </c>
      <c r="F435" s="39">
        <v>80.066438399999697</v>
      </c>
      <c r="G435" s="39">
        <v>121.86519865338599</v>
      </c>
    </row>
    <row r="436" spans="1:7" ht="11.25" customHeight="1" x14ac:dyDescent="0.2">
      <c r="A436" s="49">
        <v>44743</v>
      </c>
      <c r="B436" s="39">
        <v>0</v>
      </c>
      <c r="C436" s="39">
        <v>67.431052800000117</v>
      </c>
      <c r="D436" s="39">
        <v>0</v>
      </c>
      <c r="E436" s="39">
        <v>102.63349799357383</v>
      </c>
      <c r="F436" s="39">
        <v>67.431052800000117</v>
      </c>
      <c r="G436" s="39">
        <v>102.63349799357383</v>
      </c>
    </row>
    <row r="437" spans="1:7" ht="11.25" customHeight="1" x14ac:dyDescent="0.2">
      <c r="A437" s="49">
        <v>44774</v>
      </c>
      <c r="B437" s="39">
        <v>0</v>
      </c>
      <c r="C437" s="39">
        <v>51.303475200000022</v>
      </c>
      <c r="D437" s="39">
        <v>0</v>
      </c>
      <c r="E437" s="39">
        <v>78.086503181551365</v>
      </c>
      <c r="F437" s="39">
        <v>51.303475200000022</v>
      </c>
      <c r="G437" s="39">
        <v>78.086503181551365</v>
      </c>
    </row>
    <row r="438" spans="1:7" ht="11.25" customHeight="1" x14ac:dyDescent="0.2">
      <c r="A438" s="49">
        <v>44805</v>
      </c>
      <c r="B438" s="39">
        <v>0</v>
      </c>
      <c r="C438" s="39">
        <v>46.033440000000041</v>
      </c>
      <c r="D438" s="39">
        <v>0</v>
      </c>
      <c r="E438" s="39">
        <v>70.065241097307876</v>
      </c>
      <c r="F438" s="39">
        <v>46.033440000000041</v>
      </c>
      <c r="G438" s="39">
        <v>70.065241097307876</v>
      </c>
    </row>
    <row r="439" spans="1:7" ht="11.25" customHeight="1" x14ac:dyDescent="0.2">
      <c r="A439" s="49">
        <v>44835</v>
      </c>
      <c r="B439" s="39">
        <v>0</v>
      </c>
      <c r="C439" s="39">
        <v>46.033440000000041</v>
      </c>
      <c r="D439" s="39">
        <v>0</v>
      </c>
      <c r="E439" s="39">
        <v>70.065241097307876</v>
      </c>
      <c r="F439" s="39">
        <v>46.033440000000041</v>
      </c>
      <c r="G439" s="39">
        <v>70.065241097307876</v>
      </c>
    </row>
    <row r="440" spans="1:7" ht="11.25" customHeight="1" x14ac:dyDescent="0.2">
      <c r="A440" s="45" t="s">
        <v>56</v>
      </c>
      <c r="B440" s="39">
        <v>2.2704000000000022</v>
      </c>
      <c r="C440" s="39">
        <v>27.687945599999995</v>
      </c>
      <c r="D440" s="39">
        <v>3.9068334320822604</v>
      </c>
      <c r="E440" s="39">
        <v>35.94603740960919</v>
      </c>
      <c r="F440" s="39">
        <v>29.958345599999998</v>
      </c>
      <c r="G440" s="39">
        <v>39.852870841691448</v>
      </c>
    </row>
    <row r="441" spans="1:7" ht="11.25" customHeight="1" x14ac:dyDescent="0.2">
      <c r="A441" s="46" t="s">
        <v>25</v>
      </c>
      <c r="B441" s="39">
        <v>2.2704000000000022</v>
      </c>
      <c r="C441" s="39">
        <v>27.687945599999995</v>
      </c>
      <c r="D441" s="39">
        <v>3.9068334320822604</v>
      </c>
      <c r="E441" s="39">
        <v>35.94603740960919</v>
      </c>
      <c r="F441" s="39">
        <v>29.958345599999998</v>
      </c>
      <c r="G441" s="39">
        <v>39.852870841691448</v>
      </c>
    </row>
    <row r="442" spans="1:7" ht="11.25" customHeight="1" x14ac:dyDescent="0.2">
      <c r="A442" s="47" t="s">
        <v>25</v>
      </c>
      <c r="B442" s="39">
        <v>2.2704000000000022</v>
      </c>
      <c r="C442" s="39">
        <v>27.687945599999995</v>
      </c>
      <c r="D442" s="39">
        <v>3.9068334320822604</v>
      </c>
      <c r="E442" s="39">
        <v>35.94603740960919</v>
      </c>
      <c r="F442" s="39">
        <v>29.958345599999998</v>
      </c>
      <c r="G442" s="39">
        <v>39.852870841691448</v>
      </c>
    </row>
    <row r="443" spans="1:7" ht="11.25" customHeight="1" x14ac:dyDescent="0.2">
      <c r="A443" s="48" t="s">
        <v>35</v>
      </c>
      <c r="B443" s="39">
        <v>0</v>
      </c>
      <c r="C443" s="39">
        <v>16.322447999999987</v>
      </c>
      <c r="D443" s="39">
        <v>0</v>
      </c>
      <c r="E443" s="39">
        <v>18.647170986963523</v>
      </c>
      <c r="F443" s="39">
        <v>16.322447999999987</v>
      </c>
      <c r="G443" s="39">
        <v>18.647170986963523</v>
      </c>
    </row>
    <row r="444" spans="1:7" ht="11.25" customHeight="1" x14ac:dyDescent="0.2">
      <c r="A444" s="49">
        <v>44501</v>
      </c>
      <c r="B444" s="39">
        <v>0</v>
      </c>
      <c r="C444" s="39">
        <v>5.2179391999999964</v>
      </c>
      <c r="D444" s="39">
        <v>0</v>
      </c>
      <c r="E444" s="39">
        <v>5.9611036568766949</v>
      </c>
      <c r="F444" s="39">
        <v>5.2179391999999964</v>
      </c>
      <c r="G444" s="39">
        <v>5.9611036568766949</v>
      </c>
    </row>
    <row r="445" spans="1:7" ht="11.25" customHeight="1" x14ac:dyDescent="0.2">
      <c r="A445" s="49">
        <v>44531</v>
      </c>
      <c r="B445" s="39">
        <v>0</v>
      </c>
      <c r="C445" s="39">
        <v>5.480147199999986</v>
      </c>
      <c r="D445" s="39">
        <v>0</v>
      </c>
      <c r="E445" s="39">
        <v>6.2606566044584264</v>
      </c>
      <c r="F445" s="39">
        <v>5.480147199999986</v>
      </c>
      <c r="G445" s="39">
        <v>6.2606566044584264</v>
      </c>
    </row>
    <row r="446" spans="1:7" ht="11.25" customHeight="1" x14ac:dyDescent="0.2">
      <c r="A446" s="49">
        <v>44562</v>
      </c>
      <c r="B446" s="39">
        <v>0</v>
      </c>
      <c r="C446" s="39">
        <v>5.624361600000003</v>
      </c>
      <c r="D446" s="39">
        <v>0</v>
      </c>
      <c r="E446" s="39">
        <v>6.4254107256284048</v>
      </c>
      <c r="F446" s="39">
        <v>5.624361600000003</v>
      </c>
      <c r="G446" s="39">
        <v>6.4254107256284048</v>
      </c>
    </row>
    <row r="447" spans="1:7" ht="11.25" customHeight="1" x14ac:dyDescent="0.2">
      <c r="A447" s="48" t="s">
        <v>25</v>
      </c>
      <c r="B447" s="39">
        <v>2.2704000000000022</v>
      </c>
      <c r="C447" s="39">
        <v>0</v>
      </c>
      <c r="D447" s="39">
        <v>3.9068334320822604</v>
      </c>
      <c r="E447" s="39">
        <v>0</v>
      </c>
      <c r="F447" s="39">
        <v>2.2704000000000022</v>
      </c>
      <c r="G447" s="39">
        <v>3.9068334320822604</v>
      </c>
    </row>
    <row r="448" spans="1:7" ht="11.25" customHeight="1" x14ac:dyDescent="0.2">
      <c r="A448" s="49">
        <v>44501</v>
      </c>
      <c r="B448" s="39">
        <v>0.75680000000000069</v>
      </c>
      <c r="C448" s="39">
        <v>0</v>
      </c>
      <c r="D448" s="39">
        <v>1.3022778106940869</v>
      </c>
      <c r="E448" s="39">
        <v>0</v>
      </c>
      <c r="F448" s="39">
        <v>0.75680000000000069</v>
      </c>
      <c r="G448" s="39">
        <v>1.3022778106940869</v>
      </c>
    </row>
    <row r="449" spans="1:7" ht="11.25" customHeight="1" x14ac:dyDescent="0.2">
      <c r="A449" s="49">
        <v>44531</v>
      </c>
      <c r="B449" s="39">
        <v>0.75680000000000069</v>
      </c>
      <c r="C449" s="39">
        <v>0</v>
      </c>
      <c r="D449" s="39">
        <v>1.3022778106940869</v>
      </c>
      <c r="E449" s="39">
        <v>0</v>
      </c>
      <c r="F449" s="39">
        <v>0.75680000000000069</v>
      </c>
      <c r="G449" s="39">
        <v>1.3022778106940869</v>
      </c>
    </row>
    <row r="450" spans="1:7" ht="11.25" customHeight="1" x14ac:dyDescent="0.2">
      <c r="A450" s="49">
        <v>44562</v>
      </c>
      <c r="B450" s="39">
        <v>0.75680000000000069</v>
      </c>
      <c r="C450" s="39">
        <v>0</v>
      </c>
      <c r="D450" s="39">
        <v>1.3022778106940869</v>
      </c>
      <c r="E450" s="39">
        <v>0</v>
      </c>
      <c r="F450" s="39">
        <v>0.75680000000000069</v>
      </c>
      <c r="G450" s="39">
        <v>1.3022778106940869</v>
      </c>
    </row>
    <row r="451" spans="1:7" ht="11.25" customHeight="1" x14ac:dyDescent="0.2">
      <c r="A451" s="48" t="s">
        <v>34</v>
      </c>
      <c r="B451" s="39">
        <v>0</v>
      </c>
      <c r="C451" s="39">
        <v>11.36549760000001</v>
      </c>
      <c r="D451" s="39">
        <v>0</v>
      </c>
      <c r="E451" s="39">
        <v>17.29886642264567</v>
      </c>
      <c r="F451" s="39">
        <v>11.36549760000001</v>
      </c>
      <c r="G451" s="39">
        <v>17.29886642264567</v>
      </c>
    </row>
    <row r="452" spans="1:7" ht="11.25" customHeight="1" x14ac:dyDescent="0.2">
      <c r="A452" s="49">
        <v>44501</v>
      </c>
      <c r="B452" s="39">
        <v>0</v>
      </c>
      <c r="C452" s="39">
        <v>3.8096639999999988</v>
      </c>
      <c r="D452" s="39">
        <v>0</v>
      </c>
      <c r="E452" s="39">
        <v>5.7985027115013352</v>
      </c>
      <c r="F452" s="39">
        <v>3.8096639999999988</v>
      </c>
      <c r="G452" s="39">
        <v>5.7985027115013352</v>
      </c>
    </row>
    <row r="453" spans="1:7" ht="11.25" customHeight="1" x14ac:dyDescent="0.2">
      <c r="A453" s="49">
        <v>44531</v>
      </c>
      <c r="B453" s="39">
        <v>0</v>
      </c>
      <c r="C453" s="39">
        <v>4.1271360000000081</v>
      </c>
      <c r="D453" s="39">
        <v>0</v>
      </c>
      <c r="E453" s="39">
        <v>6.2817112707931262</v>
      </c>
      <c r="F453" s="39">
        <v>4.1271360000000081</v>
      </c>
      <c r="G453" s="39">
        <v>6.2817112707931262</v>
      </c>
    </row>
    <row r="454" spans="1:7" ht="11.25" customHeight="1" x14ac:dyDescent="0.2">
      <c r="A454" s="49">
        <v>44562</v>
      </c>
      <c r="B454" s="39">
        <v>0</v>
      </c>
      <c r="C454" s="39">
        <v>3.4286976000000031</v>
      </c>
      <c r="D454" s="39">
        <v>0</v>
      </c>
      <c r="E454" s="39">
        <v>5.2186524403512085</v>
      </c>
      <c r="F454" s="39">
        <v>3.4286976000000031</v>
      </c>
      <c r="G454" s="39">
        <v>5.2186524403512085</v>
      </c>
    </row>
    <row r="455" spans="1:7" ht="11.25" customHeight="1" x14ac:dyDescent="0.2">
      <c r="A455" s="45" t="s">
        <v>25</v>
      </c>
      <c r="B455" s="39">
        <v>451.05280000000062</v>
      </c>
      <c r="C455" s="39">
        <v>3163.2769567999972</v>
      </c>
      <c r="D455" s="39">
        <v>776.15757517367604</v>
      </c>
      <c r="E455" s="39">
        <v>4057.5151500217598</v>
      </c>
      <c r="F455" s="39">
        <v>3614.329756799998</v>
      </c>
      <c r="G455" s="39">
        <v>4833.6727251954362</v>
      </c>
    </row>
    <row r="456" spans="1:7" ht="11.25" customHeight="1" x14ac:dyDescent="0.2">
      <c r="A456" s="46" t="s">
        <v>25</v>
      </c>
      <c r="B456" s="39">
        <v>451.05280000000062</v>
      </c>
      <c r="C456" s="39">
        <v>3163.2769567999972</v>
      </c>
      <c r="D456" s="39">
        <v>776.15757517367604</v>
      </c>
      <c r="E456" s="39">
        <v>4057.5151500217598</v>
      </c>
      <c r="F456" s="39">
        <v>3614.329756799998</v>
      </c>
      <c r="G456" s="39">
        <v>4833.6727251954362</v>
      </c>
    </row>
    <row r="457" spans="1:7" ht="11.25" customHeight="1" x14ac:dyDescent="0.2">
      <c r="A457" s="47" t="s">
        <v>25</v>
      </c>
      <c r="B457" s="39">
        <v>451.05280000000062</v>
      </c>
      <c r="C457" s="39">
        <v>3163.2769567999972</v>
      </c>
      <c r="D457" s="39">
        <v>776.15757517367604</v>
      </c>
      <c r="E457" s="39">
        <v>4057.5151500217598</v>
      </c>
      <c r="F457" s="39">
        <v>3614.329756799998</v>
      </c>
      <c r="G457" s="39">
        <v>4833.6727251954362</v>
      </c>
    </row>
    <row r="458" spans="1:7" ht="11.25" customHeight="1" x14ac:dyDescent="0.2">
      <c r="A458" s="48" t="s">
        <v>35</v>
      </c>
      <c r="B458" s="39">
        <v>0</v>
      </c>
      <c r="C458" s="39">
        <v>1994.4720415999984</v>
      </c>
      <c r="D458" s="39">
        <v>0</v>
      </c>
      <c r="E458" s="39">
        <v>2278.5345181331522</v>
      </c>
      <c r="F458" s="39">
        <v>1994.4720415999984</v>
      </c>
      <c r="G458" s="39">
        <v>2278.5345181331522</v>
      </c>
    </row>
    <row r="459" spans="1:7" ht="11.25" customHeight="1" x14ac:dyDescent="0.2">
      <c r="A459" s="49">
        <v>44743</v>
      </c>
      <c r="B459" s="39">
        <v>0</v>
      </c>
      <c r="C459" s="39">
        <v>560.67936639999937</v>
      </c>
      <c r="D459" s="39">
        <v>0</v>
      </c>
      <c r="E459" s="39">
        <v>640.53406781404169</v>
      </c>
      <c r="F459" s="39">
        <v>560.67936639999937</v>
      </c>
      <c r="G459" s="39">
        <v>640.53406781404169</v>
      </c>
    </row>
    <row r="460" spans="1:7" ht="11.25" customHeight="1" x14ac:dyDescent="0.2">
      <c r="A460" s="49">
        <v>44774</v>
      </c>
      <c r="B460" s="39">
        <v>0</v>
      </c>
      <c r="C460" s="39">
        <v>492.93792959999979</v>
      </c>
      <c r="D460" s="39">
        <v>0</v>
      </c>
      <c r="E460" s="39">
        <v>563.14456380629872</v>
      </c>
      <c r="F460" s="39">
        <v>492.93792959999979</v>
      </c>
      <c r="G460" s="39">
        <v>563.14456380629872</v>
      </c>
    </row>
    <row r="461" spans="1:7" ht="11.25" customHeight="1" x14ac:dyDescent="0.2">
      <c r="A461" s="49">
        <v>44805</v>
      </c>
      <c r="B461" s="39">
        <v>0</v>
      </c>
      <c r="C461" s="39">
        <v>470.4273727999996</v>
      </c>
      <c r="D461" s="39">
        <v>0</v>
      </c>
      <c r="E461" s="39">
        <v>537.4279432564058</v>
      </c>
      <c r="F461" s="39">
        <v>470.4273727999996</v>
      </c>
      <c r="G461" s="39">
        <v>537.4279432564058</v>
      </c>
    </row>
    <row r="462" spans="1:7" ht="11.25" customHeight="1" x14ac:dyDescent="0.2">
      <c r="A462" s="49">
        <v>44835</v>
      </c>
      <c r="B462" s="39">
        <v>0</v>
      </c>
      <c r="C462" s="39">
        <v>470.4273727999996</v>
      </c>
      <c r="D462" s="39">
        <v>0</v>
      </c>
      <c r="E462" s="39">
        <v>537.4279432564058</v>
      </c>
      <c r="F462" s="39">
        <v>470.4273727999996</v>
      </c>
      <c r="G462" s="39">
        <v>537.4279432564058</v>
      </c>
    </row>
    <row r="463" spans="1:7" ht="11.25" customHeight="1" x14ac:dyDescent="0.2">
      <c r="A463" s="48" t="s">
        <v>25</v>
      </c>
      <c r="B463" s="39">
        <v>451.05280000000062</v>
      </c>
      <c r="C463" s="39">
        <v>0</v>
      </c>
      <c r="D463" s="39">
        <v>776.15757517367604</v>
      </c>
      <c r="E463" s="39">
        <v>0</v>
      </c>
      <c r="F463" s="39">
        <v>451.05280000000062</v>
      </c>
      <c r="G463" s="39">
        <v>776.15757517367604</v>
      </c>
    </row>
    <row r="464" spans="1:7" ht="11.25" customHeight="1" x14ac:dyDescent="0.2">
      <c r="A464" s="49">
        <v>44743</v>
      </c>
      <c r="B464" s="39">
        <v>112.76320000000015</v>
      </c>
      <c r="C464" s="39">
        <v>0</v>
      </c>
      <c r="D464" s="39">
        <v>194.03939379341901</v>
      </c>
      <c r="E464" s="39">
        <v>0</v>
      </c>
      <c r="F464" s="39">
        <v>112.76320000000015</v>
      </c>
      <c r="G464" s="39">
        <v>194.03939379341901</v>
      </c>
    </row>
    <row r="465" spans="1:7" ht="11.25" customHeight="1" x14ac:dyDescent="0.2">
      <c r="A465" s="49">
        <v>44774</v>
      </c>
      <c r="B465" s="39">
        <v>112.76320000000015</v>
      </c>
      <c r="C465" s="39">
        <v>0</v>
      </c>
      <c r="D465" s="39">
        <v>194.03939379341901</v>
      </c>
      <c r="E465" s="39">
        <v>0</v>
      </c>
      <c r="F465" s="39">
        <v>112.76320000000015</v>
      </c>
      <c r="G465" s="39">
        <v>194.03939379341901</v>
      </c>
    </row>
    <row r="466" spans="1:7" ht="11.25" customHeight="1" x14ac:dyDescent="0.2">
      <c r="A466" s="49">
        <v>44805</v>
      </c>
      <c r="B466" s="39">
        <v>112.76320000000015</v>
      </c>
      <c r="C466" s="39">
        <v>0</v>
      </c>
      <c r="D466" s="39">
        <v>194.03939379341901</v>
      </c>
      <c r="E466" s="39">
        <v>0</v>
      </c>
      <c r="F466" s="39">
        <v>112.76320000000015</v>
      </c>
      <c r="G466" s="39">
        <v>194.03939379341901</v>
      </c>
    </row>
    <row r="467" spans="1:7" ht="11.25" customHeight="1" x14ac:dyDescent="0.2">
      <c r="A467" s="49">
        <v>44835</v>
      </c>
      <c r="B467" s="39">
        <v>112.76320000000015</v>
      </c>
      <c r="C467" s="39">
        <v>0</v>
      </c>
      <c r="D467" s="39">
        <v>194.03939379341901</v>
      </c>
      <c r="E467" s="39">
        <v>0</v>
      </c>
      <c r="F467" s="39">
        <v>112.76320000000015</v>
      </c>
      <c r="G467" s="39">
        <v>194.03939379341901</v>
      </c>
    </row>
    <row r="468" spans="1:7" ht="11.25" customHeight="1" x14ac:dyDescent="0.2">
      <c r="A468" s="48" t="s">
        <v>34</v>
      </c>
      <c r="B468" s="39">
        <v>0</v>
      </c>
      <c r="C468" s="39">
        <v>1168.8049151999985</v>
      </c>
      <c r="D468" s="39">
        <v>0</v>
      </c>
      <c r="E468" s="39">
        <v>1778.9806318886081</v>
      </c>
      <c r="F468" s="39">
        <v>1168.8049151999985</v>
      </c>
      <c r="G468" s="39">
        <v>1778.9806318886081</v>
      </c>
    </row>
    <row r="469" spans="1:7" ht="11.25" customHeight="1" x14ac:dyDescent="0.2">
      <c r="A469" s="49">
        <v>44743</v>
      </c>
      <c r="B469" s="39">
        <v>0</v>
      </c>
      <c r="C469" s="39">
        <v>307.43988479999939</v>
      </c>
      <c r="D469" s="39">
        <v>0</v>
      </c>
      <c r="E469" s="39">
        <v>467.93916881815699</v>
      </c>
      <c r="F469" s="39">
        <v>307.43988479999939</v>
      </c>
      <c r="G469" s="39">
        <v>467.93916881815699</v>
      </c>
    </row>
    <row r="470" spans="1:7" ht="11.25" customHeight="1" x14ac:dyDescent="0.2">
      <c r="A470" s="49">
        <v>44774</v>
      </c>
      <c r="B470" s="39">
        <v>0</v>
      </c>
      <c r="C470" s="39">
        <v>310.8685823999993</v>
      </c>
      <c r="D470" s="39">
        <v>0</v>
      </c>
      <c r="E470" s="39">
        <v>473.15782125850802</v>
      </c>
      <c r="F470" s="39">
        <v>310.8685823999993</v>
      </c>
      <c r="G470" s="39">
        <v>473.15782125850802</v>
      </c>
    </row>
    <row r="471" spans="1:7" ht="11.25" customHeight="1" x14ac:dyDescent="0.2">
      <c r="A471" s="49">
        <v>44805</v>
      </c>
      <c r="B471" s="39">
        <v>0</v>
      </c>
      <c r="C471" s="39">
        <v>275.24822399999999</v>
      </c>
      <c r="D471" s="39">
        <v>0</v>
      </c>
      <c r="E471" s="39">
        <v>418.94182090597155</v>
      </c>
      <c r="F471" s="39">
        <v>275.24822399999999</v>
      </c>
      <c r="G471" s="39">
        <v>418.94182090597155</v>
      </c>
    </row>
    <row r="472" spans="1:7" ht="11.25" customHeight="1" x14ac:dyDescent="0.2">
      <c r="A472" s="49">
        <v>44835</v>
      </c>
      <c r="B472" s="39">
        <v>0</v>
      </c>
      <c r="C472" s="39">
        <v>275.24822399999999</v>
      </c>
      <c r="D472" s="39">
        <v>0</v>
      </c>
      <c r="E472" s="39">
        <v>418.94182090597155</v>
      </c>
      <c r="F472" s="39">
        <v>275.24822399999999</v>
      </c>
      <c r="G472" s="39">
        <v>418.94182090597155</v>
      </c>
    </row>
    <row r="473" spans="1:7" ht="11.25" customHeight="1" x14ac:dyDescent="0.2">
      <c r="A473" s="42" t="s">
        <v>43</v>
      </c>
      <c r="B473" s="39">
        <v>0</v>
      </c>
      <c r="C473" s="39">
        <v>1261367.5829999994</v>
      </c>
      <c r="D473" s="39">
        <v>0</v>
      </c>
      <c r="E473" s="39">
        <v>717128.02028504584</v>
      </c>
      <c r="F473" s="39">
        <v>1261367.5829999992</v>
      </c>
      <c r="G473" s="39">
        <v>717128.02028504584</v>
      </c>
    </row>
    <row r="474" spans="1:7" ht="11.25" customHeight="1" x14ac:dyDescent="0.2">
      <c r="A474" s="43" t="s">
        <v>23</v>
      </c>
      <c r="B474" s="39">
        <v>0</v>
      </c>
      <c r="C474" s="39">
        <v>1261367.5829999994</v>
      </c>
      <c r="D474" s="39">
        <v>0</v>
      </c>
      <c r="E474" s="39">
        <v>717128.02028504584</v>
      </c>
      <c r="F474" s="39">
        <v>1261367.5829999992</v>
      </c>
      <c r="G474" s="39">
        <v>717128.02028504584</v>
      </c>
    </row>
    <row r="475" spans="1:7" ht="11.25" customHeight="1" x14ac:dyDescent="0.2">
      <c r="A475" s="44" t="s">
        <v>44</v>
      </c>
      <c r="B475" s="39">
        <v>0</v>
      </c>
      <c r="C475" s="39">
        <v>1261367.5829999994</v>
      </c>
      <c r="D475" s="39">
        <v>0</v>
      </c>
      <c r="E475" s="39">
        <v>717128.02028504584</v>
      </c>
      <c r="F475" s="39">
        <v>1261367.5829999992</v>
      </c>
      <c r="G475" s="39">
        <v>717128.02028504584</v>
      </c>
    </row>
    <row r="476" spans="1:7" ht="11.25" customHeight="1" x14ac:dyDescent="0.2">
      <c r="A476" s="45" t="s">
        <v>53</v>
      </c>
      <c r="B476" s="39">
        <v>0</v>
      </c>
      <c r="C476" s="39">
        <v>64865.30561999997</v>
      </c>
      <c r="D476" s="39">
        <v>0</v>
      </c>
      <c r="E476" s="39">
        <v>36878.011478478795</v>
      </c>
      <c r="F476" s="39">
        <v>64865.305619999948</v>
      </c>
      <c r="G476" s="39">
        <v>36878.011478478795</v>
      </c>
    </row>
    <row r="477" spans="1:7" ht="11.25" customHeight="1" x14ac:dyDescent="0.2">
      <c r="A477" s="46" t="s">
        <v>54</v>
      </c>
      <c r="B477" s="39">
        <v>0</v>
      </c>
      <c r="C477" s="39">
        <v>64865.30561999997</v>
      </c>
      <c r="D477" s="39">
        <v>0</v>
      </c>
      <c r="E477" s="39">
        <v>36878.011478478795</v>
      </c>
      <c r="F477" s="39">
        <v>64865.305619999948</v>
      </c>
      <c r="G477" s="39">
        <v>36878.011478478795</v>
      </c>
    </row>
    <row r="478" spans="1:7" ht="11.25" customHeight="1" x14ac:dyDescent="0.2">
      <c r="A478" s="47" t="s">
        <v>25</v>
      </c>
      <c r="B478" s="39">
        <v>0</v>
      </c>
      <c r="C478" s="39">
        <v>64865.30561999997</v>
      </c>
      <c r="D478" s="39">
        <v>0</v>
      </c>
      <c r="E478" s="39">
        <v>36878.011478478795</v>
      </c>
      <c r="F478" s="39">
        <v>64865.305619999948</v>
      </c>
      <c r="G478" s="39">
        <v>36878.011478478795</v>
      </c>
    </row>
    <row r="479" spans="1:7" ht="11.25" customHeight="1" x14ac:dyDescent="0.2">
      <c r="A479" s="48" t="s">
        <v>25</v>
      </c>
      <c r="B479" s="39">
        <v>0</v>
      </c>
      <c r="C479" s="39">
        <v>64865.30561999997</v>
      </c>
      <c r="D479" s="39">
        <v>0</v>
      </c>
      <c r="E479" s="39">
        <v>36878.011478478795</v>
      </c>
      <c r="F479" s="39">
        <v>64865.305619999948</v>
      </c>
      <c r="G479" s="39">
        <v>36878.011478478795</v>
      </c>
    </row>
    <row r="480" spans="1:7" ht="11.25" customHeight="1" x14ac:dyDescent="0.2">
      <c r="A480" s="49">
        <v>44501</v>
      </c>
      <c r="B480" s="39">
        <v>0</v>
      </c>
      <c r="C480" s="39">
        <v>1576.1096399999992</v>
      </c>
      <c r="D480" s="39">
        <v>0</v>
      </c>
      <c r="E480" s="39">
        <v>896.06899774383703</v>
      </c>
      <c r="F480" s="39">
        <v>1576.1096399999992</v>
      </c>
      <c r="G480" s="39">
        <v>896.06899774383703</v>
      </c>
    </row>
    <row r="481" spans="1:7" ht="11.25" customHeight="1" x14ac:dyDescent="0.2">
      <c r="A481" s="49">
        <v>44531</v>
      </c>
      <c r="B481" s="39">
        <v>0</v>
      </c>
      <c r="C481" s="39">
        <v>482.38460999999978</v>
      </c>
      <c r="D481" s="39">
        <v>0</v>
      </c>
      <c r="E481" s="39">
        <v>274.25115806648563</v>
      </c>
      <c r="F481" s="39">
        <v>482.38460999999978</v>
      </c>
      <c r="G481" s="39">
        <v>274.25115806648563</v>
      </c>
    </row>
    <row r="482" spans="1:7" ht="11.25" customHeight="1" x14ac:dyDescent="0.2">
      <c r="A482" s="49">
        <v>44562</v>
      </c>
      <c r="B482" s="39">
        <v>0</v>
      </c>
      <c r="C482" s="39">
        <v>245.19122999999985</v>
      </c>
      <c r="D482" s="39">
        <v>0</v>
      </c>
      <c r="E482" s="39">
        <v>139.39909644971058</v>
      </c>
      <c r="F482" s="39">
        <v>245.19122999999985</v>
      </c>
      <c r="G482" s="39">
        <v>139.39909644971058</v>
      </c>
    </row>
    <row r="483" spans="1:7" ht="11.25" customHeight="1" x14ac:dyDescent="0.2">
      <c r="A483" s="49">
        <v>44593</v>
      </c>
      <c r="B483" s="39">
        <v>0</v>
      </c>
      <c r="C483" s="39">
        <v>549.33803999999964</v>
      </c>
      <c r="D483" s="39">
        <v>0</v>
      </c>
      <c r="E483" s="39">
        <v>312.31633538220342</v>
      </c>
      <c r="F483" s="39">
        <v>549.33803999999964</v>
      </c>
      <c r="G483" s="39">
        <v>312.31633538220342</v>
      </c>
    </row>
    <row r="484" spans="1:7" ht="11.25" customHeight="1" x14ac:dyDescent="0.2">
      <c r="A484" s="49">
        <v>44621</v>
      </c>
      <c r="B484" s="39">
        <v>0</v>
      </c>
      <c r="C484" s="39">
        <v>1259.9279699999993</v>
      </c>
      <c r="D484" s="39">
        <v>0</v>
      </c>
      <c r="E484" s="39">
        <v>716.30955401511744</v>
      </c>
      <c r="F484" s="39">
        <v>1259.9279699999993</v>
      </c>
      <c r="G484" s="39">
        <v>716.30955401511744</v>
      </c>
    </row>
    <row r="485" spans="1:7" ht="11.25" customHeight="1" x14ac:dyDescent="0.2">
      <c r="A485" s="49">
        <v>44652</v>
      </c>
      <c r="B485" s="39">
        <v>0</v>
      </c>
      <c r="C485" s="39">
        <v>6016.0589399999972</v>
      </c>
      <c r="D485" s="39">
        <v>0</v>
      </c>
      <c r="E485" s="39">
        <v>3420.3229064277857</v>
      </c>
      <c r="F485" s="39">
        <v>6016.0589399999972</v>
      </c>
      <c r="G485" s="39">
        <v>3420.3229064277857</v>
      </c>
    </row>
    <row r="486" spans="1:7" ht="11.25" customHeight="1" x14ac:dyDescent="0.2">
      <c r="A486" s="49">
        <v>44682</v>
      </c>
      <c r="B486" s="39">
        <v>0</v>
      </c>
      <c r="C486" s="39">
        <v>8175.8592899999958</v>
      </c>
      <c r="D486" s="39">
        <v>0</v>
      </c>
      <c r="E486" s="39">
        <v>4648.238836788626</v>
      </c>
      <c r="F486" s="39">
        <v>8175.8592899999958</v>
      </c>
      <c r="G486" s="39">
        <v>4648.238836788626</v>
      </c>
    </row>
    <row r="487" spans="1:7" ht="11.25" customHeight="1" x14ac:dyDescent="0.2">
      <c r="A487" s="49">
        <v>44713</v>
      </c>
      <c r="B487" s="39">
        <v>0</v>
      </c>
      <c r="C487" s="39">
        <v>7701.7772099999956</v>
      </c>
      <c r="D487" s="39">
        <v>0</v>
      </c>
      <c r="E487" s="39">
        <v>4378.7079339296633</v>
      </c>
      <c r="F487" s="39">
        <v>7701.7772099999956</v>
      </c>
      <c r="G487" s="39">
        <v>4378.7079339296633</v>
      </c>
    </row>
    <row r="488" spans="1:7" ht="11.25" customHeight="1" x14ac:dyDescent="0.2">
      <c r="A488" s="49">
        <v>44743</v>
      </c>
      <c r="B488" s="39">
        <v>0</v>
      </c>
      <c r="C488" s="39">
        <v>7873.0073699999957</v>
      </c>
      <c r="D488" s="39">
        <v>0</v>
      </c>
      <c r="E488" s="39">
        <v>4476.0577844481322</v>
      </c>
      <c r="F488" s="39">
        <v>7873.0073699999957</v>
      </c>
      <c r="G488" s="39">
        <v>4476.0577844481322</v>
      </c>
    </row>
    <row r="489" spans="1:7" ht="11.25" customHeight="1" x14ac:dyDescent="0.2">
      <c r="A489" s="49">
        <v>44774</v>
      </c>
      <c r="B489" s="39">
        <v>0</v>
      </c>
      <c r="C489" s="39">
        <v>9944.1458399999938</v>
      </c>
      <c r="D489" s="39">
        <v>0</v>
      </c>
      <c r="E489" s="39">
        <v>5653.5665858038565</v>
      </c>
      <c r="F489" s="39">
        <v>9944.1458399999938</v>
      </c>
      <c r="G489" s="39">
        <v>5653.5665858038565</v>
      </c>
    </row>
    <row r="490" spans="1:7" ht="11.25" customHeight="1" x14ac:dyDescent="0.2">
      <c r="A490" s="49">
        <v>44805</v>
      </c>
      <c r="B490" s="39">
        <v>0</v>
      </c>
      <c r="C490" s="39">
        <v>10520.752739999994</v>
      </c>
      <c r="D490" s="39">
        <v>0</v>
      </c>
      <c r="E490" s="39">
        <v>5981.3861447116888</v>
      </c>
      <c r="F490" s="39">
        <v>10520.752739999994</v>
      </c>
      <c r="G490" s="39">
        <v>5981.3861447116888</v>
      </c>
    </row>
    <row r="491" spans="1:7" ht="11.25" customHeight="1" x14ac:dyDescent="0.2">
      <c r="A491" s="49">
        <v>44835</v>
      </c>
      <c r="B491" s="39">
        <v>0</v>
      </c>
      <c r="C491" s="39">
        <v>10520.752739999994</v>
      </c>
      <c r="D491" s="39">
        <v>0</v>
      </c>
      <c r="E491" s="39">
        <v>5981.3861447116888</v>
      </c>
      <c r="F491" s="39">
        <v>10520.752739999994</v>
      </c>
      <c r="G491" s="39">
        <v>5981.3861447116888</v>
      </c>
    </row>
    <row r="492" spans="1:7" ht="11.25" customHeight="1" x14ac:dyDescent="0.2">
      <c r="A492" s="45" t="s">
        <v>56</v>
      </c>
      <c r="B492" s="39">
        <v>0</v>
      </c>
      <c r="C492" s="39">
        <v>11504.335949999995</v>
      </c>
      <c r="D492" s="39">
        <v>0</v>
      </c>
      <c r="E492" s="39">
        <v>6540.5848189754706</v>
      </c>
      <c r="F492" s="39">
        <v>11504.335949999993</v>
      </c>
      <c r="G492" s="39">
        <v>6540.5848189754679</v>
      </c>
    </row>
    <row r="493" spans="1:7" ht="11.25" customHeight="1" x14ac:dyDescent="0.2">
      <c r="A493" s="46" t="s">
        <v>54</v>
      </c>
      <c r="B493" s="39">
        <v>0</v>
      </c>
      <c r="C493" s="39">
        <v>11332.572599999996</v>
      </c>
      <c r="D493" s="39">
        <v>0</v>
      </c>
      <c r="E493" s="39">
        <v>6442.9318328014733</v>
      </c>
      <c r="F493" s="39">
        <v>11332.572599999994</v>
      </c>
      <c r="G493" s="39">
        <v>6442.9318328014706</v>
      </c>
    </row>
    <row r="494" spans="1:7" ht="11.25" customHeight="1" x14ac:dyDescent="0.2">
      <c r="A494" s="47" t="s">
        <v>25</v>
      </c>
      <c r="B494" s="39">
        <v>0</v>
      </c>
      <c r="C494" s="39">
        <v>11332.572599999996</v>
      </c>
      <c r="D494" s="39">
        <v>0</v>
      </c>
      <c r="E494" s="39">
        <v>6442.9318328014733</v>
      </c>
      <c r="F494" s="39">
        <v>11332.572599999994</v>
      </c>
      <c r="G494" s="39">
        <v>6442.9318328014706</v>
      </c>
    </row>
    <row r="495" spans="1:7" ht="11.25" customHeight="1" x14ac:dyDescent="0.2">
      <c r="A495" s="48" t="s">
        <v>25</v>
      </c>
      <c r="B495" s="39">
        <v>0</v>
      </c>
      <c r="C495" s="39">
        <v>11332.572599999996</v>
      </c>
      <c r="D495" s="39">
        <v>0</v>
      </c>
      <c r="E495" s="39">
        <v>6442.9318328014733</v>
      </c>
      <c r="F495" s="39">
        <v>11332.572599999994</v>
      </c>
      <c r="G495" s="39">
        <v>6442.9318328014706</v>
      </c>
    </row>
    <row r="496" spans="1:7" ht="11.25" customHeight="1" x14ac:dyDescent="0.2">
      <c r="A496" s="49">
        <v>44501</v>
      </c>
      <c r="B496" s="39">
        <v>0</v>
      </c>
      <c r="C496" s="39">
        <v>697.41251999999963</v>
      </c>
      <c r="D496" s="39">
        <v>0</v>
      </c>
      <c r="E496" s="39">
        <v>396.50143743198197</v>
      </c>
      <c r="F496" s="39">
        <v>697.41251999999963</v>
      </c>
      <c r="G496" s="39">
        <v>396.50143743198197</v>
      </c>
    </row>
    <row r="497" spans="1:7" ht="11.25" customHeight="1" x14ac:dyDescent="0.2">
      <c r="A497" s="49">
        <v>44531</v>
      </c>
      <c r="B497" s="39">
        <v>0</v>
      </c>
      <c r="C497" s="39">
        <v>642.11309999999958</v>
      </c>
      <c r="D497" s="39">
        <v>0</v>
      </c>
      <c r="E497" s="39">
        <v>365.06193944425604</v>
      </c>
      <c r="F497" s="39">
        <v>642.11309999999958</v>
      </c>
      <c r="G497" s="39">
        <v>365.06193944425604</v>
      </c>
    </row>
    <row r="498" spans="1:7" ht="11.25" customHeight="1" x14ac:dyDescent="0.2">
      <c r="A498" s="49">
        <v>44562</v>
      </c>
      <c r="B498" s="39">
        <v>0</v>
      </c>
      <c r="C498" s="39">
        <v>739.38218999999958</v>
      </c>
      <c r="D498" s="39">
        <v>0</v>
      </c>
      <c r="E498" s="39">
        <v>420.362544031482</v>
      </c>
      <c r="F498" s="39">
        <v>739.38218999999958</v>
      </c>
      <c r="G498" s="39">
        <v>420.362544031482</v>
      </c>
    </row>
    <row r="499" spans="1:7" ht="11.25" customHeight="1" x14ac:dyDescent="0.2">
      <c r="A499" s="49">
        <v>44593</v>
      </c>
      <c r="B499" s="39">
        <v>0</v>
      </c>
      <c r="C499" s="39">
        <v>714.5507699999996</v>
      </c>
      <c r="D499" s="39">
        <v>0</v>
      </c>
      <c r="E499" s="39">
        <v>406.24508350255832</v>
      </c>
      <c r="F499" s="39">
        <v>714.5507699999996</v>
      </c>
      <c r="G499" s="39">
        <v>406.24508350255832</v>
      </c>
    </row>
    <row r="500" spans="1:7" ht="11.25" customHeight="1" x14ac:dyDescent="0.2">
      <c r="A500" s="49">
        <v>44621</v>
      </c>
      <c r="B500" s="39">
        <v>0</v>
      </c>
      <c r="C500" s="39">
        <v>726.12860999999953</v>
      </c>
      <c r="D500" s="39">
        <v>0</v>
      </c>
      <c r="E500" s="39">
        <v>412.82745773690306</v>
      </c>
      <c r="F500" s="39">
        <v>726.12860999999953</v>
      </c>
      <c r="G500" s="39">
        <v>412.82745773690306</v>
      </c>
    </row>
    <row r="501" spans="1:7" ht="11.25" customHeight="1" x14ac:dyDescent="0.2">
      <c r="A501" s="49">
        <v>44652</v>
      </c>
      <c r="B501" s="39">
        <v>0</v>
      </c>
      <c r="C501" s="39">
        <v>1389.2646299999992</v>
      </c>
      <c r="D501" s="39">
        <v>0</v>
      </c>
      <c r="E501" s="39">
        <v>789.84160302773273</v>
      </c>
      <c r="F501" s="39">
        <v>1389.2646299999992</v>
      </c>
      <c r="G501" s="39">
        <v>789.84160302773273</v>
      </c>
    </row>
    <row r="502" spans="1:7" ht="11.25" customHeight="1" x14ac:dyDescent="0.2">
      <c r="A502" s="49">
        <v>44682</v>
      </c>
      <c r="B502" s="39">
        <v>0</v>
      </c>
      <c r="C502" s="39">
        <v>1070.5693499999993</v>
      </c>
      <c r="D502" s="39">
        <v>0</v>
      </c>
      <c r="E502" s="39">
        <v>608.65309120866175</v>
      </c>
      <c r="F502" s="39">
        <v>1070.5693499999993</v>
      </c>
      <c r="G502" s="39">
        <v>608.65309120866175</v>
      </c>
    </row>
    <row r="503" spans="1:7" ht="11.25" customHeight="1" x14ac:dyDescent="0.2">
      <c r="A503" s="49">
        <v>44713</v>
      </c>
      <c r="B503" s="39">
        <v>0</v>
      </c>
      <c r="C503" s="39">
        <v>832.61426999999946</v>
      </c>
      <c r="D503" s="39">
        <v>0</v>
      </c>
      <c r="E503" s="39">
        <v>473.36797865541666</v>
      </c>
      <c r="F503" s="39">
        <v>832.61426999999946</v>
      </c>
      <c r="G503" s="39">
        <v>473.36797865541666</v>
      </c>
    </row>
    <row r="504" spans="1:7" ht="11.25" customHeight="1" x14ac:dyDescent="0.2">
      <c r="A504" s="49">
        <v>44743</v>
      </c>
      <c r="B504" s="39">
        <v>0</v>
      </c>
      <c r="C504" s="39">
        <v>998.96954999999946</v>
      </c>
      <c r="D504" s="39">
        <v>0</v>
      </c>
      <c r="E504" s="39">
        <v>567.94630318047666</v>
      </c>
      <c r="F504" s="39">
        <v>998.96954999999946</v>
      </c>
      <c r="G504" s="39">
        <v>567.94630318047666</v>
      </c>
    </row>
    <row r="505" spans="1:7" ht="11.25" customHeight="1" x14ac:dyDescent="0.2">
      <c r="A505" s="49">
        <v>44774</v>
      </c>
      <c r="B505" s="39">
        <v>0</v>
      </c>
      <c r="C505" s="39">
        <v>827.89172999999948</v>
      </c>
      <c r="D505" s="39">
        <v>0</v>
      </c>
      <c r="E505" s="39">
        <v>470.68306284930236</v>
      </c>
      <c r="F505" s="39">
        <v>827.89172999999948</v>
      </c>
      <c r="G505" s="39">
        <v>470.68306284930236</v>
      </c>
    </row>
    <row r="506" spans="1:7" ht="11.25" customHeight="1" x14ac:dyDescent="0.2">
      <c r="A506" s="49">
        <v>44805</v>
      </c>
      <c r="B506" s="39">
        <v>0</v>
      </c>
      <c r="C506" s="39">
        <v>1346.8379399999994</v>
      </c>
      <c r="D506" s="39">
        <v>0</v>
      </c>
      <c r="E506" s="39">
        <v>765.7206658663506</v>
      </c>
      <c r="F506" s="39">
        <v>1346.8379399999994</v>
      </c>
      <c r="G506" s="39">
        <v>765.7206658663506</v>
      </c>
    </row>
    <row r="507" spans="1:7" ht="11.25" customHeight="1" x14ac:dyDescent="0.2">
      <c r="A507" s="49">
        <v>44835</v>
      </c>
      <c r="B507" s="39">
        <v>0</v>
      </c>
      <c r="C507" s="39">
        <v>1346.8379399999994</v>
      </c>
      <c r="D507" s="39">
        <v>0</v>
      </c>
      <c r="E507" s="39">
        <v>765.7206658663506</v>
      </c>
      <c r="F507" s="39">
        <v>1346.8379399999994</v>
      </c>
      <c r="G507" s="39">
        <v>765.7206658663506</v>
      </c>
    </row>
    <row r="508" spans="1:7" ht="11.25" customHeight="1" x14ac:dyDescent="0.2">
      <c r="A508" s="46" t="s">
        <v>55</v>
      </c>
      <c r="B508" s="39">
        <v>0</v>
      </c>
      <c r="C508" s="39">
        <v>171.76334999999989</v>
      </c>
      <c r="D508" s="39">
        <v>0</v>
      </c>
      <c r="E508" s="39">
        <v>97.65298617399732</v>
      </c>
      <c r="F508" s="39">
        <v>171.76334999999989</v>
      </c>
      <c r="G508" s="39">
        <v>97.65298617399732</v>
      </c>
    </row>
    <row r="509" spans="1:7" ht="11.25" customHeight="1" x14ac:dyDescent="0.2">
      <c r="A509" s="47" t="s">
        <v>25</v>
      </c>
      <c r="B509" s="39">
        <v>0</v>
      </c>
      <c r="C509" s="39">
        <v>171.76334999999989</v>
      </c>
      <c r="D509" s="39">
        <v>0</v>
      </c>
      <c r="E509" s="39">
        <v>97.65298617399732</v>
      </c>
      <c r="F509" s="39">
        <v>171.76334999999989</v>
      </c>
      <c r="G509" s="39">
        <v>97.65298617399732</v>
      </c>
    </row>
    <row r="510" spans="1:7" ht="11.25" customHeight="1" x14ac:dyDescent="0.2">
      <c r="A510" s="48" t="s">
        <v>25</v>
      </c>
      <c r="B510" s="39">
        <v>0</v>
      </c>
      <c r="C510" s="39">
        <v>171.76334999999989</v>
      </c>
      <c r="D510" s="39">
        <v>0</v>
      </c>
      <c r="E510" s="39">
        <v>97.65298617399732</v>
      </c>
      <c r="F510" s="39">
        <v>171.76334999999989</v>
      </c>
      <c r="G510" s="39">
        <v>97.65298617399732</v>
      </c>
    </row>
    <row r="511" spans="1:7" ht="11.25" customHeight="1" x14ac:dyDescent="0.2">
      <c r="A511" s="49">
        <v>44501</v>
      </c>
      <c r="B511" s="39">
        <v>0</v>
      </c>
      <c r="C511" s="39">
        <v>171.76334999999989</v>
      </c>
      <c r="D511" s="39">
        <v>0</v>
      </c>
      <c r="E511" s="39">
        <v>97.65298617399732</v>
      </c>
      <c r="F511" s="39">
        <v>171.76334999999989</v>
      </c>
      <c r="G511" s="39">
        <v>97.65298617399732</v>
      </c>
    </row>
    <row r="512" spans="1:7" ht="11.25" customHeight="1" x14ac:dyDescent="0.2">
      <c r="A512" s="45" t="s">
        <v>25</v>
      </c>
      <c r="B512" s="39">
        <v>0</v>
      </c>
      <c r="C512" s="39">
        <v>1184997.9414299994</v>
      </c>
      <c r="D512" s="39">
        <v>0</v>
      </c>
      <c r="E512" s="39">
        <v>673709.42398759164</v>
      </c>
      <c r="F512" s="39">
        <v>1184997.9414299992</v>
      </c>
      <c r="G512" s="39">
        <v>673709.42398759152</v>
      </c>
    </row>
    <row r="513" spans="1:7" ht="11.25" customHeight="1" x14ac:dyDescent="0.2">
      <c r="A513" s="46" t="s">
        <v>25</v>
      </c>
      <c r="B513" s="39">
        <v>0</v>
      </c>
      <c r="C513" s="39">
        <v>1184997.9414299994</v>
      </c>
      <c r="D513" s="39">
        <v>0</v>
      </c>
      <c r="E513" s="39">
        <v>673709.42398759164</v>
      </c>
      <c r="F513" s="39">
        <v>1184997.9414299992</v>
      </c>
      <c r="G513" s="39">
        <v>673709.42398759152</v>
      </c>
    </row>
    <row r="514" spans="1:7" ht="11.25" customHeight="1" x14ac:dyDescent="0.2">
      <c r="A514" s="47" t="s">
        <v>25</v>
      </c>
      <c r="B514" s="39">
        <v>0</v>
      </c>
      <c r="C514" s="39">
        <v>1184997.9414299994</v>
      </c>
      <c r="D514" s="39">
        <v>0</v>
      </c>
      <c r="E514" s="39">
        <v>673709.42398759164</v>
      </c>
      <c r="F514" s="39">
        <v>1184997.9414299992</v>
      </c>
      <c r="G514" s="39">
        <v>673709.42398759152</v>
      </c>
    </row>
    <row r="515" spans="1:7" ht="11.25" customHeight="1" x14ac:dyDescent="0.2">
      <c r="A515" s="48" t="s">
        <v>25</v>
      </c>
      <c r="B515" s="39">
        <v>0</v>
      </c>
      <c r="C515" s="39">
        <v>1184997.9414299994</v>
      </c>
      <c r="D515" s="39">
        <v>0</v>
      </c>
      <c r="E515" s="39">
        <v>673709.42398759164</v>
      </c>
      <c r="F515" s="39">
        <v>1184997.9414299992</v>
      </c>
      <c r="G515" s="39">
        <v>673709.42398759152</v>
      </c>
    </row>
    <row r="516" spans="1:7" ht="11.25" customHeight="1" x14ac:dyDescent="0.2">
      <c r="A516" s="49">
        <v>44501</v>
      </c>
      <c r="B516" s="39">
        <v>0</v>
      </c>
      <c r="C516" s="39">
        <v>106086.30068999995</v>
      </c>
      <c r="D516" s="39">
        <v>0</v>
      </c>
      <c r="E516" s="39">
        <v>60313.47231252239</v>
      </c>
      <c r="F516" s="39">
        <v>106086.30068999995</v>
      </c>
      <c r="G516" s="39">
        <v>60313.47231252239</v>
      </c>
    </row>
    <row r="517" spans="1:7" ht="11.25" customHeight="1" x14ac:dyDescent="0.2">
      <c r="A517" s="49">
        <v>44531</v>
      </c>
      <c r="B517" s="39">
        <v>0</v>
      </c>
      <c r="C517" s="39">
        <v>97806.850199999957</v>
      </c>
      <c r="D517" s="39">
        <v>0</v>
      </c>
      <c r="E517" s="39">
        <v>55606.338548373838</v>
      </c>
      <c r="F517" s="39">
        <v>97806.850199999957</v>
      </c>
      <c r="G517" s="39">
        <v>55606.338548373838</v>
      </c>
    </row>
    <row r="518" spans="1:7" ht="11.25" customHeight="1" x14ac:dyDescent="0.2">
      <c r="A518" s="49">
        <v>44562</v>
      </c>
      <c r="B518" s="39">
        <v>0</v>
      </c>
      <c r="C518" s="39">
        <v>90246.292169999957</v>
      </c>
      <c r="D518" s="39">
        <v>0</v>
      </c>
      <c r="E518" s="39">
        <v>51307.918258065729</v>
      </c>
      <c r="F518" s="39">
        <v>90246.292169999957</v>
      </c>
      <c r="G518" s="39">
        <v>51307.918258065729</v>
      </c>
    </row>
    <row r="519" spans="1:7" ht="11.25" customHeight="1" x14ac:dyDescent="0.2">
      <c r="A519" s="49">
        <v>44593</v>
      </c>
      <c r="B519" s="39">
        <v>0</v>
      </c>
      <c r="C519" s="39">
        <v>94477.307159999953</v>
      </c>
      <c r="D519" s="39">
        <v>0</v>
      </c>
      <c r="E519" s="39">
        <v>53713.386294875934</v>
      </c>
      <c r="F519" s="39">
        <v>94477.307159999953</v>
      </c>
      <c r="G519" s="39">
        <v>53713.386294875934</v>
      </c>
    </row>
    <row r="520" spans="1:7" ht="11.25" customHeight="1" x14ac:dyDescent="0.2">
      <c r="A520" s="49">
        <v>44621</v>
      </c>
      <c r="B520" s="39">
        <v>0</v>
      </c>
      <c r="C520" s="39">
        <v>85743.426449999955</v>
      </c>
      <c r="D520" s="39">
        <v>0</v>
      </c>
      <c r="E520" s="39">
        <v>48747.894342029344</v>
      </c>
      <c r="F520" s="39">
        <v>85743.426449999955</v>
      </c>
      <c r="G520" s="39">
        <v>48747.894342029344</v>
      </c>
    </row>
    <row r="521" spans="1:7" ht="11.25" customHeight="1" x14ac:dyDescent="0.2">
      <c r="A521" s="49">
        <v>44652</v>
      </c>
      <c r="B521" s="39">
        <v>0</v>
      </c>
      <c r="C521" s="39">
        <v>91721.857409999939</v>
      </c>
      <c r="D521" s="39">
        <v>0</v>
      </c>
      <c r="E521" s="39">
        <v>52146.824532195511</v>
      </c>
      <c r="F521" s="39">
        <v>91721.857409999939</v>
      </c>
      <c r="G521" s="39">
        <v>52146.824532195511</v>
      </c>
    </row>
    <row r="522" spans="1:7" ht="11.25" customHeight="1" x14ac:dyDescent="0.2">
      <c r="A522" s="49">
        <v>44682</v>
      </c>
      <c r="B522" s="39">
        <v>0</v>
      </c>
      <c r="C522" s="39">
        <v>98907.811379999941</v>
      </c>
      <c r="D522" s="39">
        <v>0</v>
      </c>
      <c r="E522" s="39">
        <v>56232.270371947649</v>
      </c>
      <c r="F522" s="39">
        <v>98907.811379999941</v>
      </c>
      <c r="G522" s="39">
        <v>56232.270371947649</v>
      </c>
    </row>
    <row r="523" spans="1:7" ht="11.25" customHeight="1" x14ac:dyDescent="0.2">
      <c r="A523" s="49">
        <v>44713</v>
      </c>
      <c r="B523" s="39">
        <v>0</v>
      </c>
      <c r="C523" s="39">
        <v>90347.826779999959</v>
      </c>
      <c r="D523" s="39">
        <v>0</v>
      </c>
      <c r="E523" s="39">
        <v>51365.643947897181</v>
      </c>
      <c r="F523" s="39">
        <v>90347.826779999959</v>
      </c>
      <c r="G523" s="39">
        <v>51365.643947897181</v>
      </c>
    </row>
    <row r="524" spans="1:7" ht="11.25" customHeight="1" x14ac:dyDescent="0.2">
      <c r="A524" s="49">
        <v>44743</v>
      </c>
      <c r="B524" s="39">
        <v>0</v>
      </c>
      <c r="C524" s="39">
        <v>88219.02761999995</v>
      </c>
      <c r="D524" s="39">
        <v>0</v>
      </c>
      <c r="E524" s="39">
        <v>50155.353190650676</v>
      </c>
      <c r="F524" s="39">
        <v>88219.02761999995</v>
      </c>
      <c r="G524" s="39">
        <v>50155.353190650676</v>
      </c>
    </row>
    <row r="525" spans="1:7" ht="11.25" customHeight="1" x14ac:dyDescent="0.2">
      <c r="A525" s="49">
        <v>44774</v>
      </c>
      <c r="B525" s="39">
        <v>0</v>
      </c>
      <c r="C525" s="39">
        <v>102669.77150999995</v>
      </c>
      <c r="D525" s="39">
        <v>0</v>
      </c>
      <c r="E525" s="39">
        <v>58371.065642079615</v>
      </c>
      <c r="F525" s="39">
        <v>102669.77150999995</v>
      </c>
      <c r="G525" s="39">
        <v>58371.065642079615</v>
      </c>
    </row>
    <row r="526" spans="1:7" ht="11.25" customHeight="1" x14ac:dyDescent="0.2">
      <c r="A526" s="49">
        <v>44805</v>
      </c>
      <c r="B526" s="39">
        <v>0</v>
      </c>
      <c r="C526" s="39">
        <v>119385.73502999994</v>
      </c>
      <c r="D526" s="39">
        <v>0</v>
      </c>
      <c r="E526" s="39">
        <v>67874.628273476832</v>
      </c>
      <c r="F526" s="39">
        <v>119385.73502999994</v>
      </c>
      <c r="G526" s="39">
        <v>67874.628273476832</v>
      </c>
    </row>
    <row r="527" spans="1:7" ht="11.25" customHeight="1" x14ac:dyDescent="0.2">
      <c r="A527" s="49">
        <v>44835</v>
      </c>
      <c r="B527" s="39">
        <v>0</v>
      </c>
      <c r="C527" s="39">
        <v>119385.73502999994</v>
      </c>
      <c r="D527" s="39">
        <v>0</v>
      </c>
      <c r="E527" s="39">
        <v>67874.628273476832</v>
      </c>
      <c r="F527" s="39">
        <v>119385.73502999994</v>
      </c>
      <c r="G527" s="39">
        <v>67874.628273476832</v>
      </c>
    </row>
    <row r="528" spans="1:7" ht="11.25" customHeight="1" x14ac:dyDescent="0.2">
      <c r="A528" s="41" t="s">
        <v>820</v>
      </c>
      <c r="B528" s="39">
        <v>0</v>
      </c>
      <c r="C528" s="39">
        <v>0</v>
      </c>
      <c r="D528" s="39">
        <v>0</v>
      </c>
      <c r="E528" s="39">
        <v>0</v>
      </c>
      <c r="F528" s="39">
        <v>0</v>
      </c>
      <c r="G528" s="39">
        <v>0</v>
      </c>
    </row>
    <row r="529" spans="1:7" ht="11.25" customHeight="1" x14ac:dyDescent="0.2">
      <c r="A529" s="42" t="s">
        <v>22</v>
      </c>
      <c r="B529" s="39">
        <v>0</v>
      </c>
      <c r="C529" s="39">
        <v>0</v>
      </c>
      <c r="D529" s="39">
        <v>0</v>
      </c>
      <c r="E529" s="39">
        <v>0</v>
      </c>
      <c r="F529" s="39">
        <v>0</v>
      </c>
      <c r="G529" s="39">
        <v>0</v>
      </c>
    </row>
    <row r="530" spans="1:7" ht="11.25" customHeight="1" x14ac:dyDescent="0.2">
      <c r="A530" s="43" t="s">
        <v>23</v>
      </c>
      <c r="B530" s="39">
        <v>0</v>
      </c>
      <c r="C530" s="39">
        <v>0</v>
      </c>
      <c r="D530" s="39">
        <v>0</v>
      </c>
      <c r="E530" s="39">
        <v>0</v>
      </c>
      <c r="F530" s="39">
        <v>0</v>
      </c>
      <c r="G530" s="39">
        <v>0</v>
      </c>
    </row>
    <row r="531" spans="1:7" ht="11.25" customHeight="1" x14ac:dyDescent="0.2">
      <c r="A531" s="44" t="s">
        <v>24</v>
      </c>
      <c r="B531" s="39">
        <v>0</v>
      </c>
      <c r="C531" s="39">
        <v>0</v>
      </c>
      <c r="D531" s="39">
        <v>0</v>
      </c>
      <c r="E531" s="39">
        <v>0</v>
      </c>
      <c r="F531" s="39">
        <v>0</v>
      </c>
      <c r="G531" s="39">
        <v>0</v>
      </c>
    </row>
    <row r="532" spans="1:7" ht="11.25" customHeight="1" x14ac:dyDescent="0.2">
      <c r="A532" s="45" t="s">
        <v>24</v>
      </c>
      <c r="B532" s="39">
        <v>0</v>
      </c>
      <c r="C532" s="39">
        <v>0</v>
      </c>
      <c r="D532" s="39">
        <v>0</v>
      </c>
      <c r="E532" s="39">
        <v>0</v>
      </c>
      <c r="F532" s="39">
        <v>0</v>
      </c>
      <c r="G532" s="39">
        <v>0</v>
      </c>
    </row>
    <row r="533" spans="1:7" ht="11.25" customHeight="1" x14ac:dyDescent="0.2">
      <c r="A533" s="46" t="s">
        <v>25</v>
      </c>
      <c r="B533" s="39">
        <v>0</v>
      </c>
      <c r="C533" s="39">
        <v>0</v>
      </c>
      <c r="D533" s="39">
        <v>0</v>
      </c>
      <c r="E533" s="39">
        <v>0</v>
      </c>
      <c r="F533" s="39">
        <v>0</v>
      </c>
      <c r="G533" s="39">
        <v>0</v>
      </c>
    </row>
    <row r="534" spans="1:7" ht="11.25" customHeight="1" x14ac:dyDescent="0.2">
      <c r="A534" s="47" t="s">
        <v>25</v>
      </c>
      <c r="B534" s="39">
        <v>0</v>
      </c>
      <c r="C534" s="39">
        <v>0</v>
      </c>
      <c r="D534" s="39">
        <v>0</v>
      </c>
      <c r="E534" s="39">
        <v>0</v>
      </c>
      <c r="F534" s="39">
        <v>0</v>
      </c>
      <c r="G534" s="39">
        <v>0</v>
      </c>
    </row>
    <row r="535" spans="1:7" ht="11.25" customHeight="1" x14ac:dyDescent="0.2">
      <c r="A535" s="48" t="s">
        <v>25</v>
      </c>
      <c r="B535" s="39">
        <v>0</v>
      </c>
      <c r="C535" s="39">
        <v>0</v>
      </c>
      <c r="D535" s="39">
        <v>0</v>
      </c>
      <c r="E535" s="39">
        <v>0</v>
      </c>
      <c r="F535" s="39">
        <v>0</v>
      </c>
      <c r="G535" s="39">
        <v>0</v>
      </c>
    </row>
    <row r="536" spans="1:7" ht="11.25" customHeight="1" x14ac:dyDescent="0.2">
      <c r="A536" s="49">
        <v>44501</v>
      </c>
      <c r="B536" s="39">
        <v>0</v>
      </c>
      <c r="C536" s="39">
        <v>0</v>
      </c>
      <c r="D536" s="39">
        <v>0</v>
      </c>
      <c r="E536" s="39">
        <v>0</v>
      </c>
      <c r="F536" s="39">
        <v>0</v>
      </c>
      <c r="G536" s="39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75FB6-5665-454C-82BE-3EA92E9A9B7A}">
  <dimension ref="A1:V35"/>
  <sheetViews>
    <sheetView showGridLines="0" tabSelected="1" workbookViewId="0">
      <selection sqref="A1:J1"/>
    </sheetView>
  </sheetViews>
  <sheetFormatPr defaultRowHeight="11.25" customHeight="1" x14ac:dyDescent="0.3"/>
  <cols>
    <col min="1" max="1" width="9" style="8" bestFit="1" customWidth="1"/>
    <col min="2" max="2" width="10.77734375" style="8" bestFit="1" customWidth="1"/>
    <col min="3" max="3" width="10" style="8" bestFit="1" customWidth="1"/>
    <col min="4" max="4" width="6.109375" style="8" bestFit="1" customWidth="1"/>
    <col min="5" max="10" width="7.77734375" style="8" customWidth="1"/>
    <col min="11" max="12" width="8.88671875" style="8"/>
    <col min="13" max="13" width="14.33203125" style="8" customWidth="1"/>
    <col min="14" max="14" width="16.77734375" style="8" customWidth="1"/>
    <col min="15" max="15" width="31.77734375" style="8" customWidth="1"/>
    <col min="16" max="22" width="7.77734375" style="8" customWidth="1"/>
    <col min="23" max="16384" width="8.88671875" style="8"/>
  </cols>
  <sheetData>
    <row r="1" spans="1:22" ht="11.25" customHeight="1" x14ac:dyDescent="0.3">
      <c r="A1" s="131" t="s">
        <v>985</v>
      </c>
      <c r="B1" s="155"/>
      <c r="C1" s="155"/>
      <c r="D1" s="155"/>
      <c r="E1" s="155"/>
      <c r="F1" s="155"/>
      <c r="G1" s="155"/>
      <c r="H1" s="155"/>
      <c r="I1" s="155"/>
      <c r="J1" s="155"/>
      <c r="L1" s="131" t="s">
        <v>995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</row>
    <row r="2" spans="1:22" ht="11.25" customHeight="1" x14ac:dyDescent="0.3">
      <c r="A2" s="147" t="s">
        <v>69</v>
      </c>
      <c r="B2" s="147" t="s">
        <v>70</v>
      </c>
      <c r="C2" s="147" t="s">
        <v>986</v>
      </c>
      <c r="D2" s="147" t="s">
        <v>75</v>
      </c>
      <c r="E2" s="147" t="s">
        <v>987</v>
      </c>
      <c r="F2" s="154"/>
      <c r="G2" s="154"/>
      <c r="H2" s="147" t="s">
        <v>657</v>
      </c>
      <c r="I2" s="154"/>
      <c r="J2" s="154"/>
      <c r="L2" s="147" t="s">
        <v>69</v>
      </c>
      <c r="M2" s="147" t="s">
        <v>70</v>
      </c>
      <c r="N2" s="147" t="s">
        <v>71</v>
      </c>
      <c r="O2" s="147" t="s">
        <v>72</v>
      </c>
      <c r="P2" s="147" t="s">
        <v>75</v>
      </c>
      <c r="Q2" s="147" t="s">
        <v>987</v>
      </c>
      <c r="R2" s="152"/>
      <c r="S2" s="152"/>
      <c r="T2" s="147" t="s">
        <v>657</v>
      </c>
      <c r="U2" s="152"/>
      <c r="V2" s="152"/>
    </row>
    <row r="3" spans="1:22" ht="11.25" customHeight="1" x14ac:dyDescent="0.3">
      <c r="A3" s="154"/>
      <c r="B3" s="154"/>
      <c r="C3" s="154"/>
      <c r="D3" s="154"/>
      <c r="E3" s="147" t="s">
        <v>615</v>
      </c>
      <c r="F3" s="154"/>
      <c r="G3" s="30" t="s">
        <v>643</v>
      </c>
      <c r="H3" s="147" t="s">
        <v>615</v>
      </c>
      <c r="I3" s="154"/>
      <c r="J3" s="30" t="s">
        <v>643</v>
      </c>
      <c r="L3" s="152"/>
      <c r="M3" s="152"/>
      <c r="N3" s="152"/>
      <c r="O3" s="152"/>
      <c r="P3" s="152"/>
      <c r="Q3" s="147" t="s">
        <v>615</v>
      </c>
      <c r="R3" s="152"/>
      <c r="S3" s="30" t="s">
        <v>643</v>
      </c>
      <c r="T3" s="147" t="s">
        <v>615</v>
      </c>
      <c r="U3" s="152"/>
      <c r="V3" s="30" t="s">
        <v>643</v>
      </c>
    </row>
    <row r="4" spans="1:22" ht="11.25" customHeight="1" x14ac:dyDescent="0.3">
      <c r="A4" s="154"/>
      <c r="B4" s="154"/>
      <c r="C4" s="154"/>
      <c r="D4" s="154"/>
      <c r="E4" s="30" t="s">
        <v>988</v>
      </c>
      <c r="F4" s="30" t="s">
        <v>989</v>
      </c>
      <c r="G4" s="30" t="s">
        <v>989</v>
      </c>
      <c r="H4" s="30" t="s">
        <v>988</v>
      </c>
      <c r="I4" s="30" t="s">
        <v>989</v>
      </c>
      <c r="J4" s="30" t="s">
        <v>989</v>
      </c>
      <c r="L4" s="152"/>
      <c r="M4" s="152"/>
      <c r="N4" s="152"/>
      <c r="O4" s="152"/>
      <c r="P4" s="152"/>
      <c r="Q4" s="30" t="s">
        <v>988</v>
      </c>
      <c r="R4" s="30" t="s">
        <v>989</v>
      </c>
      <c r="S4" s="30" t="s">
        <v>989</v>
      </c>
      <c r="T4" s="30" t="s">
        <v>988</v>
      </c>
      <c r="U4" s="30" t="s">
        <v>989</v>
      </c>
      <c r="V4" s="30" t="s">
        <v>989</v>
      </c>
    </row>
    <row r="5" spans="1:22" ht="11.25" customHeight="1" x14ac:dyDescent="0.3">
      <c r="A5" s="153" t="s">
        <v>45</v>
      </c>
      <c r="B5" s="153" t="s">
        <v>42</v>
      </c>
      <c r="C5" s="153" t="s">
        <v>25</v>
      </c>
      <c r="D5" s="31" t="s">
        <v>990</v>
      </c>
      <c r="E5" s="29">
        <f ca="1">ROUND('TUSD BE'!$AM$5+'TUSD BF_350'!$AM$5+'TUSD CVA'!$AM$5,2)</f>
        <v>51.04</v>
      </c>
      <c r="F5" s="29">
        <f ca="1">ROUND('TUSD BE'!$AM$7+'TUSD BF_350'!$AM$7+'TUSD CVA'!$AM$7,2)</f>
        <v>145.72</v>
      </c>
      <c r="G5" s="29">
        <f ca="1">ROUND('TE BE'!$AB$5+'TE BF_350'!$AB$5+'TE CVA'!$AB$5,2)</f>
        <v>361.95</v>
      </c>
      <c r="H5" s="29">
        <f ca="1">ROUND('TUSD BE'!$AM$5,2)</f>
        <v>52.34</v>
      </c>
      <c r="I5" s="29">
        <f ca="1">ROUND('TUSD BE'!$AM$7,2)</f>
        <v>118.36</v>
      </c>
      <c r="J5" s="29">
        <f>ROUND('TE BE'!$AB$5,2)</f>
        <v>363.93</v>
      </c>
      <c r="L5" s="149" t="s">
        <v>22</v>
      </c>
      <c r="M5" s="149" t="s">
        <v>996</v>
      </c>
      <c r="N5" s="149" t="s">
        <v>997</v>
      </c>
      <c r="O5" s="149" t="s">
        <v>997</v>
      </c>
      <c r="P5" s="31" t="s">
        <v>990</v>
      </c>
      <c r="Q5" s="29">
        <v>0</v>
      </c>
      <c r="R5" s="29">
        <f ca="1">ROUND('TUSD BE'!$AM$29+'TUSD BF_350'!$AM$29+'TUSD CVA'!$AM$29,2)</f>
        <v>728.02</v>
      </c>
      <c r="S5" s="29">
        <f ca="1">ROUND('TE BE'!$AB$10+'TE BF_350'!$AB$10+'TE CVA'!$AB$10,2)</f>
        <v>437.01</v>
      </c>
      <c r="T5" s="29">
        <v>0</v>
      </c>
      <c r="U5" s="29">
        <f ca="1">ROUND('TUSD BE'!$AM$29,2)</f>
        <v>1155.98</v>
      </c>
      <c r="V5" s="29">
        <f>ROUND('TE BE'!$AB$10,2)</f>
        <v>363.93</v>
      </c>
    </row>
    <row r="6" spans="1:22" ht="11.25" customHeight="1" x14ac:dyDescent="0.3">
      <c r="A6" s="154"/>
      <c r="B6" s="154"/>
      <c r="C6" s="154"/>
      <c r="D6" s="31" t="s">
        <v>991</v>
      </c>
      <c r="E6" s="29">
        <f ca="1">ROUND('TUSD BE'!$AM$6+'TUSD BF_350'!$AM$6+'TUSD CVA'!$AM$6,2)</f>
        <v>21.37</v>
      </c>
      <c r="F6" s="29">
        <f ca="1">ROUND('TUSD BE'!$AM$7+'TUSD BF_350'!$AM$7+'TUSD CVA'!$AM$7,2)</f>
        <v>145.72</v>
      </c>
      <c r="G6" s="29">
        <f ca="1">ROUND('TE BE'!$AB$6+'TE BF_350'!$AB$6+'TE CVA'!$AB$6,2)</f>
        <v>222.39</v>
      </c>
      <c r="H6" s="29">
        <f ca="1">ROUND('TUSD BE'!$AM$6,2)</f>
        <v>21.75</v>
      </c>
      <c r="I6" s="29">
        <f ca="1">ROUND('TUSD BE'!$AM$7,2)</f>
        <v>118.36</v>
      </c>
      <c r="J6" s="29">
        <f>ROUND('TE BE'!$AB$6,2)</f>
        <v>222.82</v>
      </c>
      <c r="L6" s="151"/>
      <c r="M6" s="151"/>
      <c r="N6" s="151"/>
      <c r="O6" s="151"/>
      <c r="P6" s="31" t="s">
        <v>998</v>
      </c>
      <c r="Q6" s="29">
        <v>0</v>
      </c>
      <c r="R6" s="29">
        <f ca="1">ROUND('TUSD BE'!$AM$30+'TUSD BF_350'!$AM$30+'TUSD CVA'!$AM$30,2)</f>
        <v>509.77</v>
      </c>
      <c r="S6" s="29">
        <f ca="1">ROUND('TE BE'!$AB$11+'TE BF_350'!$AB$11+'TE CVA'!$AB$11,2)</f>
        <v>272.82</v>
      </c>
      <c r="T6" s="29">
        <v>0</v>
      </c>
      <c r="U6" s="29">
        <f ca="1">ROUND('TUSD BE'!$AM$30,2)</f>
        <v>753.37</v>
      </c>
      <c r="V6" s="29">
        <f>ROUND('TE BE'!$AB$11,2)</f>
        <v>222.82</v>
      </c>
    </row>
    <row r="7" spans="1:22" ht="11.25" customHeight="1" x14ac:dyDescent="0.3">
      <c r="A7" s="154"/>
      <c r="B7" s="153" t="s">
        <v>992</v>
      </c>
      <c r="C7" s="153" t="s">
        <v>25</v>
      </c>
      <c r="D7" s="31" t="s">
        <v>990</v>
      </c>
      <c r="E7" s="29">
        <f ca="1">ROUND('TUSD BE'!$AM$5+'TUSD BF_350'!$AM$5+'TUSD CVA'!$AM$5,2)</f>
        <v>51.04</v>
      </c>
      <c r="F7" s="29">
        <f ca="1">ROUND('TUSD BE'!$AM$8+'TUSD BF_350'!$AM$8+'TUSD CVA'!$AM$8,2)</f>
        <v>13.61</v>
      </c>
      <c r="G7" s="29">
        <v>0</v>
      </c>
      <c r="H7" s="29">
        <f ca="1">ROUND('TUSD BE'!$AM$5,2)</f>
        <v>52.34</v>
      </c>
      <c r="I7" s="29">
        <f ca="1">ROUND('TUSD BE'!$AM$8,2)</f>
        <v>13.82</v>
      </c>
      <c r="J7" s="29">
        <v>0</v>
      </c>
      <c r="L7" s="151"/>
      <c r="M7" s="150"/>
      <c r="N7" s="150"/>
      <c r="O7" s="150"/>
      <c r="P7" s="31" t="s">
        <v>991</v>
      </c>
      <c r="Q7" s="29">
        <v>0</v>
      </c>
      <c r="R7" s="29">
        <f ca="1">ROUND('TUSD BE'!$AM$31+'TUSD BF_350'!$AM$31+'TUSD CVA'!$AM$31,2)</f>
        <v>291.52999999999997</v>
      </c>
      <c r="S7" s="29">
        <f ca="1">ROUND('TE BE'!$AB$12+'TE BF_350'!$AB$12+'TE CVA'!$AB$12,2)</f>
        <v>272.82</v>
      </c>
      <c r="T7" s="29">
        <v>0</v>
      </c>
      <c r="U7" s="29">
        <f ca="1">ROUND('TUSD BE'!$AM$31,2)</f>
        <v>350.77</v>
      </c>
      <c r="V7" s="29">
        <f>ROUND('TE BE'!$AB$12,2)</f>
        <v>222.82</v>
      </c>
    </row>
    <row r="8" spans="1:22" ht="11.25" customHeight="1" x14ac:dyDescent="0.3">
      <c r="A8" s="154"/>
      <c r="B8" s="154"/>
      <c r="C8" s="154"/>
      <c r="D8" s="31" t="s">
        <v>991</v>
      </c>
      <c r="E8" s="29">
        <f ca="1">ROUND('TUSD BE'!$AM$6+'TUSD BF_350'!$AM$6+'TUSD CVA'!$AM$6,2)</f>
        <v>21.37</v>
      </c>
      <c r="F8" s="29">
        <f ca="1">ROUND('TUSD BE'!$AM$8+'TUSD BF_350'!$AM$8+'TUSD CVA'!$AM$8,2)</f>
        <v>13.61</v>
      </c>
      <c r="G8" s="29">
        <v>0</v>
      </c>
      <c r="H8" s="29">
        <f ca="1">ROUND('TUSD BE'!$AM$6,2)</f>
        <v>21.75</v>
      </c>
      <c r="I8" s="29">
        <f ca="1">ROUND('TUSD BE'!$AM$8,2)</f>
        <v>13.82</v>
      </c>
      <c r="J8" s="29">
        <v>0</v>
      </c>
      <c r="L8" s="151"/>
      <c r="M8" s="31" t="s">
        <v>999</v>
      </c>
      <c r="N8" s="31" t="s">
        <v>997</v>
      </c>
      <c r="O8" s="31" t="s">
        <v>997</v>
      </c>
      <c r="P8" s="31" t="s">
        <v>993</v>
      </c>
      <c r="Q8" s="29">
        <v>0</v>
      </c>
      <c r="R8" s="29">
        <f ca="1">ROUND('TUSD BE'!$AM$37+'TUSD BF_350'!$AM$37+'TUSD CVA'!$AM$37,2)</f>
        <v>384.48</v>
      </c>
      <c r="S8" s="29">
        <f ca="1">ROUND('TE BE'!$AB$18+'TE BF_350'!$AB$18+'TE CVA'!$AB$18,2)</f>
        <v>286.51</v>
      </c>
      <c r="T8" s="29">
        <v>0</v>
      </c>
      <c r="U8" s="29">
        <f ca="1">ROUND('TUSD BE'!$AM$37,2)</f>
        <v>459.16</v>
      </c>
      <c r="V8" s="29">
        <f>ROUND('TE BE'!$AB$18,2)</f>
        <v>234.58</v>
      </c>
    </row>
    <row r="9" spans="1:22" ht="11.25" customHeight="1" x14ac:dyDescent="0.3">
      <c r="A9" s="154"/>
      <c r="B9" s="153" t="s">
        <v>40</v>
      </c>
      <c r="C9" s="153" t="s">
        <v>25</v>
      </c>
      <c r="D9" s="31" t="s">
        <v>993</v>
      </c>
      <c r="E9" s="29">
        <f ca="1">ROUND('TUSD BE'!$AM$10+'TUSD BF_350'!$AM$10+'TUSD CVA'!$AM$10,2)</f>
        <v>21.37</v>
      </c>
      <c r="F9" s="29">
        <v>0</v>
      </c>
      <c r="G9" s="29">
        <v>0</v>
      </c>
      <c r="H9" s="29">
        <f ca="1">ROUND('TUSD BE'!$AM$10,2)</f>
        <v>21.75</v>
      </c>
      <c r="I9" s="29">
        <v>0</v>
      </c>
      <c r="J9" s="29">
        <v>0</v>
      </c>
      <c r="L9" s="151"/>
      <c r="M9" s="31" t="s">
        <v>1001</v>
      </c>
      <c r="N9" s="31" t="s">
        <v>997</v>
      </c>
      <c r="O9" s="31" t="s">
        <v>997</v>
      </c>
      <c r="P9" s="31" t="s">
        <v>993</v>
      </c>
      <c r="Q9" s="29">
        <v>0</v>
      </c>
      <c r="R9" s="29">
        <f ca="1">ROUND('TUSD BE'!$AM$32+'TUSD BF_350'!$AM$32+'TUSD CVA'!$AM$32,2)</f>
        <v>384.48</v>
      </c>
      <c r="S9" s="29">
        <f ca="1">ROUND('TE BE'!$AB$13+'TE BF_350'!$AB$13+'TE CVA'!$AB$13,2)</f>
        <v>286.51</v>
      </c>
      <c r="T9" s="29">
        <v>0</v>
      </c>
      <c r="U9" s="29">
        <f ca="1">ROUND('TUSD BE'!$AM$32,2)</f>
        <v>459.16</v>
      </c>
      <c r="V9" s="29">
        <f>ROUND('TE BE'!$AB$13,2)</f>
        <v>234.58</v>
      </c>
    </row>
    <row r="10" spans="1:22" ht="11.25" customHeight="1" x14ac:dyDescent="0.3">
      <c r="A10" s="154"/>
      <c r="B10" s="154"/>
      <c r="C10" s="154"/>
      <c r="D10" s="31" t="s">
        <v>990</v>
      </c>
      <c r="E10" s="29">
        <v>0</v>
      </c>
      <c r="F10" s="29">
        <f ca="1">ROUND('TUSD BE'!$AM$11+'TUSD BF_350'!$AM$11+'TUSD CVA'!$AM$11,2)</f>
        <v>1385.5</v>
      </c>
      <c r="G10" s="29">
        <f ca="1">ROUND('TE BE'!$AB$5+'TE BF_350'!$AB$5+'TE CVA'!$AB$5,2)</f>
        <v>361.95</v>
      </c>
      <c r="H10" s="29">
        <v>0</v>
      </c>
      <c r="I10" s="29">
        <f ca="1">ROUND('TUSD BE'!$AM$11,2)</f>
        <v>1389.94</v>
      </c>
      <c r="J10" s="29">
        <f>ROUND('TE BE'!$AB$5,2)</f>
        <v>363.93</v>
      </c>
      <c r="L10" s="151"/>
      <c r="M10" s="31" t="s">
        <v>999</v>
      </c>
      <c r="N10" s="31" t="s">
        <v>997</v>
      </c>
      <c r="O10" s="31" t="s">
        <v>1000</v>
      </c>
      <c r="P10" s="31" t="s">
        <v>993</v>
      </c>
      <c r="Q10" s="29">
        <v>0</v>
      </c>
      <c r="R10" s="29">
        <f ca="1">ROUND('TUSD BE'!$AM$38+'TUSD BF_350'!$AM$38+'TUSD CVA'!$AM$38,2)</f>
        <v>251.4</v>
      </c>
      <c r="S10" s="29">
        <f ca="1">ROUND('TE BE'!$AB$19+'TE BF_350'!$AB$19+'TE CVA'!$AB$19,2)</f>
        <v>286.51</v>
      </c>
      <c r="T10" s="29">
        <v>0</v>
      </c>
      <c r="U10" s="29">
        <f ca="1">ROUND('TUSD BE'!$AM$38,2)</f>
        <v>337.52</v>
      </c>
      <c r="V10" s="29">
        <f>ROUND('TE BE'!$AB$19,2)</f>
        <v>234.58</v>
      </c>
    </row>
    <row r="11" spans="1:22" ht="11.25" customHeight="1" x14ac:dyDescent="0.3">
      <c r="A11" s="154"/>
      <c r="B11" s="154"/>
      <c r="C11" s="154"/>
      <c r="D11" s="31" t="s">
        <v>991</v>
      </c>
      <c r="E11" s="29">
        <v>0</v>
      </c>
      <c r="F11" s="29">
        <f ca="1">ROUND('TUSD BE'!$AM$12+'TUSD BF_350'!$AM$12+'TUSD CVA'!$AM$12,2)</f>
        <v>145.72</v>
      </c>
      <c r="G11" s="29">
        <f ca="1">ROUND('TE BE'!$AB$6+'TE BF_350'!$AB$6+'TE CVA'!$AB$6,2)</f>
        <v>222.39</v>
      </c>
      <c r="H11" s="29">
        <v>0</v>
      </c>
      <c r="I11" s="29">
        <f ca="1">ROUND('TUSD BE'!$AM$12,2)</f>
        <v>118.36</v>
      </c>
      <c r="J11" s="29">
        <f>ROUND('TE BE'!$AB$6,2)</f>
        <v>222.82</v>
      </c>
      <c r="L11" s="150"/>
      <c r="M11" s="31" t="s">
        <v>1001</v>
      </c>
      <c r="N11" s="31" t="s">
        <v>997</v>
      </c>
      <c r="O11" s="31" t="s">
        <v>1000</v>
      </c>
      <c r="P11" s="31" t="s">
        <v>993</v>
      </c>
      <c r="Q11" s="29">
        <v>0</v>
      </c>
      <c r="R11" s="29">
        <f ca="1">ROUND('TUSD BE'!$AM$33+'TUSD BF_350'!$AM$33+'TUSD CVA'!$AM$33,2)</f>
        <v>251.4</v>
      </c>
      <c r="S11" s="29">
        <f ca="1">ROUND('TE BE'!$AB$14+'TE BF_350'!$AB$14+'TE CVA'!$AB$14,2)</f>
        <v>286.51</v>
      </c>
      <c r="T11" s="29">
        <v>0</v>
      </c>
      <c r="U11" s="29">
        <f ca="1">ROUND('TUSD BE'!$AM$33,2)</f>
        <v>337.52</v>
      </c>
      <c r="V11" s="29">
        <f>ROUND('TE BE'!$AB$14,2)</f>
        <v>234.58</v>
      </c>
    </row>
    <row r="12" spans="1:22" ht="11.25" customHeight="1" x14ac:dyDescent="0.3">
      <c r="A12" s="154"/>
      <c r="B12" s="153" t="s">
        <v>994</v>
      </c>
      <c r="C12" s="153" t="s">
        <v>25</v>
      </c>
      <c r="D12" s="31" t="s">
        <v>993</v>
      </c>
      <c r="E12" s="29">
        <f ca="1">ROUND('TUSD BE'!$AM$10+'TUSD BF_350'!$AM$10+'TUSD CVA'!$AM$10,2)</f>
        <v>21.37</v>
      </c>
      <c r="F12" s="29">
        <v>0</v>
      </c>
      <c r="G12" s="29">
        <v>0</v>
      </c>
      <c r="H12" s="29">
        <f ca="1">ROUND('TUSD BE'!$AM$10,2)</f>
        <v>21.75</v>
      </c>
      <c r="I12" s="29">
        <v>0</v>
      </c>
      <c r="J12" s="29">
        <v>0</v>
      </c>
      <c r="L12" s="149" t="s">
        <v>43</v>
      </c>
      <c r="M12" s="149" t="s">
        <v>996</v>
      </c>
      <c r="N12" s="149" t="s">
        <v>1002</v>
      </c>
      <c r="O12" s="149" t="s">
        <v>1003</v>
      </c>
      <c r="P12" s="31" t="s">
        <v>990</v>
      </c>
      <c r="Q12" s="29">
        <v>0</v>
      </c>
      <c r="R12" s="29">
        <f ca="1">ROUND(('TUSD BE'!$AM$42+'TUSD BF_350'!$AM$42+'TUSD CVA'!$AM$42)*(1-CUSTOS!$M$38),2)</f>
        <v>712.83</v>
      </c>
      <c r="S12" s="29">
        <f ca="1">ROUND(('TE BE'!$AB$23+'TE BF_350'!$AB$23+'TE CVA'!$AB$23)*(1-CUSTOS!$M$38),2)</f>
        <v>410.79</v>
      </c>
      <c r="T12" s="29">
        <v>0</v>
      </c>
      <c r="U12" s="29">
        <f ca="1">ROUND('TUSD BE'!$AM$42*(1-CUSTOS!$M$38),2)</f>
        <v>1101.17</v>
      </c>
      <c r="V12" s="29">
        <f>ROUND('TE BE'!$AB$23*(1-CUSTOS!$M$38),2)</f>
        <v>342.09</v>
      </c>
    </row>
    <row r="13" spans="1:22" ht="11.25" customHeight="1" x14ac:dyDescent="0.3">
      <c r="A13" s="154"/>
      <c r="B13" s="154"/>
      <c r="C13" s="154"/>
      <c r="D13" s="31" t="s">
        <v>990</v>
      </c>
      <c r="E13" s="29">
        <v>0</v>
      </c>
      <c r="F13" s="29">
        <f ca="1">ROUND('TUSD BE'!$AM$13+'TUSD BF_350'!$AM$13+'TUSD CVA'!$AM$13,2)</f>
        <v>1253.3900000000001</v>
      </c>
      <c r="G13" s="29">
        <v>0</v>
      </c>
      <c r="H13" s="29">
        <v>0</v>
      </c>
      <c r="I13" s="29">
        <f ca="1">ROUND('TUSD BE'!$AM$13,2)</f>
        <v>1285.3900000000001</v>
      </c>
      <c r="J13" s="29">
        <v>0</v>
      </c>
      <c r="L13" s="151"/>
      <c r="M13" s="151"/>
      <c r="N13" s="151"/>
      <c r="O13" s="151"/>
      <c r="P13" s="31" t="s">
        <v>998</v>
      </c>
      <c r="Q13" s="29">
        <v>0</v>
      </c>
      <c r="R13" s="29">
        <f ca="1">ROUND(('TUSD BE'!$AM$43+'TUSD BF_350'!$AM$43+'TUSD CVA'!$AM$43)*(1-CUSTOS!$M$38),2)</f>
        <v>496.28</v>
      </c>
      <c r="S13" s="29">
        <f ca="1">ROUND(('TE BE'!$AB$24+'TE BF_350'!$AB$24+'TE CVA'!$AB$24)*(1-CUSTOS!$M$38),2)</f>
        <v>256.45</v>
      </c>
      <c r="T13" s="29">
        <v>0</v>
      </c>
      <c r="U13" s="29">
        <f ca="1">ROUND('TUSD BE'!$AM$43*(1-CUSTOS!$M$38),2)</f>
        <v>716.9</v>
      </c>
      <c r="V13" s="29">
        <f>ROUND('TE BE'!$AB$24*(1-CUSTOS!$M$38),2)</f>
        <v>209.45</v>
      </c>
    </row>
    <row r="14" spans="1:22" ht="11.25" customHeight="1" x14ac:dyDescent="0.3">
      <c r="A14" s="154"/>
      <c r="B14" s="154"/>
      <c r="C14" s="154"/>
      <c r="D14" s="31" t="s">
        <v>991</v>
      </c>
      <c r="E14" s="29">
        <v>0</v>
      </c>
      <c r="F14" s="29">
        <f ca="1">ROUND('TUSD BE'!$AM$14+'TUSD BF_350'!$AM$14+'TUSD CVA'!$AM$14,2)</f>
        <v>13.61</v>
      </c>
      <c r="G14" s="29">
        <v>0</v>
      </c>
      <c r="H14" s="29">
        <v>0</v>
      </c>
      <c r="I14" s="29">
        <f ca="1">ROUND('TUSD BE'!$AM$14,2)</f>
        <v>13.82</v>
      </c>
      <c r="J14" s="29">
        <v>0</v>
      </c>
      <c r="L14" s="151"/>
      <c r="M14" s="150"/>
      <c r="N14" s="150"/>
      <c r="O14" s="150"/>
      <c r="P14" s="31" t="s">
        <v>991</v>
      </c>
      <c r="Q14" s="29">
        <v>0</v>
      </c>
      <c r="R14" s="29">
        <f ca="1">ROUND(('TUSD BE'!$AM$44+'TUSD BF_350'!$AM$44+'TUSD CVA'!$AM$44)*(1-CUSTOS!$M$38),2)</f>
        <v>279.74</v>
      </c>
      <c r="S14" s="29">
        <f ca="1">ROUND(('TE BE'!$AB$25+'TE BF_350'!$AB$25+'TE CVA'!$AB$25)*(1-CUSTOS!$M$38),2)</f>
        <v>256.45</v>
      </c>
      <c r="T14" s="29">
        <v>0</v>
      </c>
      <c r="U14" s="29">
        <f ca="1">ROUND('TUSD BE'!$AM$44*(1-CUSTOS!$M$38),2)</f>
        <v>332.63</v>
      </c>
      <c r="V14" s="29">
        <f>ROUND('TE BE'!$AB$25*(1-CUSTOS!$M$38),2)</f>
        <v>209.45</v>
      </c>
    </row>
    <row r="15" spans="1:22" ht="11.25" customHeight="1" x14ac:dyDescent="0.3">
      <c r="A15" s="154"/>
      <c r="B15" s="31" t="s">
        <v>60</v>
      </c>
      <c r="C15" s="31" t="s">
        <v>25</v>
      </c>
      <c r="D15" s="31" t="s">
        <v>993</v>
      </c>
      <c r="E15" s="29">
        <f ca="1">ROUND('TUSD BE'!$AM$9+'TUSD BF_350'!$AM$9+'TUSD CVA'!$AM$9,2)</f>
        <v>12.44</v>
      </c>
      <c r="F15" s="29">
        <v>0</v>
      </c>
      <c r="G15" s="29">
        <v>0</v>
      </c>
      <c r="H15" s="29">
        <f ca="1">ROUND('TUSD BE'!$AM$9,2)</f>
        <v>13</v>
      </c>
      <c r="I15" s="29">
        <v>0</v>
      </c>
      <c r="J15" s="29">
        <v>0</v>
      </c>
      <c r="L15" s="151"/>
      <c r="M15" s="31" t="s">
        <v>999</v>
      </c>
      <c r="N15" s="31" t="s">
        <v>1002</v>
      </c>
      <c r="O15" s="31" t="s">
        <v>1003</v>
      </c>
      <c r="P15" s="31" t="s">
        <v>993</v>
      </c>
      <c r="Q15" s="29">
        <v>0</v>
      </c>
      <c r="R15" s="29">
        <f ca="1">ROUND(('TUSD BE'!$AM$54+'TUSD BF_350'!$AM$54+'TUSD CVA'!$AM$54)*(1-CUSTOS!$M$38),2)</f>
        <v>361.41</v>
      </c>
      <c r="S15" s="29">
        <f ca="1">ROUND(('TE BE'!$AB$35+'TE BF_350'!$AB$35+'TE CVA'!$AB$35)*(1-CUSTOS!$M$38),2)</f>
        <v>269.32</v>
      </c>
      <c r="T15" s="29">
        <v>0</v>
      </c>
      <c r="U15" s="29">
        <f ca="1">ROUND(('TUSD BE'!$AM$54)*(1-CUSTOS!$M$38),2)</f>
        <v>431.61</v>
      </c>
      <c r="V15" s="29">
        <f>ROUND(('TE BE'!$AB$35)*(1-CUSTOS!$M$38),2)</f>
        <v>220.51</v>
      </c>
    </row>
    <row r="16" spans="1:22" ht="11.25" customHeight="1" x14ac:dyDescent="0.3">
      <c r="A16" s="153" t="s">
        <v>39</v>
      </c>
      <c r="B16" s="153" t="s">
        <v>42</v>
      </c>
      <c r="C16" s="153" t="s">
        <v>25</v>
      </c>
      <c r="D16" s="31" t="s">
        <v>990</v>
      </c>
      <c r="E16" s="29">
        <f ca="1">ROUND('TUSD BE'!$AM$17+'TUSD BF_350'!$AM$17+'TUSD CVA'!$AM$17,2)</f>
        <v>51.04</v>
      </c>
      <c r="F16" s="29">
        <f ca="1">ROUND('TUSD BE'!$AM$19+'TUSD BF_350'!$AM$19+'TUSD CVA'!$AM$19,2)</f>
        <v>145.72</v>
      </c>
      <c r="G16" s="29">
        <f ca="1">ROUND('TE BE'!$AB$8+'TE BF_350'!$AB$8+'TE CVA'!$AB$8,2)</f>
        <v>361.95</v>
      </c>
      <c r="H16" s="29">
        <f ca="1">ROUND('TUSD BE'!$AM$17,2)</f>
        <v>52.34</v>
      </c>
      <c r="I16" s="29">
        <f ca="1">ROUND('TUSD BE'!$AM$19,2)</f>
        <v>118.36</v>
      </c>
      <c r="J16" s="29">
        <f>ROUND('TE BE'!$AB$8,2)</f>
        <v>363.93</v>
      </c>
      <c r="L16" s="151"/>
      <c r="M16" s="31" t="s">
        <v>1001</v>
      </c>
      <c r="N16" s="31" t="s">
        <v>1002</v>
      </c>
      <c r="O16" s="31" t="s">
        <v>1003</v>
      </c>
      <c r="P16" s="31" t="s">
        <v>993</v>
      </c>
      <c r="Q16" s="29">
        <v>0</v>
      </c>
      <c r="R16" s="29">
        <f ca="1">ROUND(('TUSD BE'!$AM$45+'TUSD BF_350'!$AM$45+'TUSD CVA'!$AM$45)*(1-CUSTOS!$M$38),2)</f>
        <v>361.41</v>
      </c>
      <c r="S16" s="29">
        <f ca="1">ROUND(('TE BE'!$AB$26+'TE BF_350'!$AB$26+'TE CVA'!$AB$26)*(1-CUSTOS!$M$38),2)</f>
        <v>269.32</v>
      </c>
      <c r="T16" s="29">
        <v>0</v>
      </c>
      <c r="U16" s="29">
        <f ca="1">ROUND(('TUSD BE'!$AM$45)*(1-CUSTOS!$M$38),2)</f>
        <v>431.61</v>
      </c>
      <c r="V16" s="29">
        <f>ROUND(('TE BE'!$AB$26)*(1-CUSTOS!$M$38),2)</f>
        <v>220.51</v>
      </c>
    </row>
    <row r="17" spans="1:22" ht="11.25" customHeight="1" x14ac:dyDescent="0.3">
      <c r="A17" s="154"/>
      <c r="B17" s="154"/>
      <c r="C17" s="154"/>
      <c r="D17" s="31" t="s">
        <v>991</v>
      </c>
      <c r="E17" s="29">
        <f ca="1">ROUND('TUSD BE'!$AM$18+'TUSD BF_350'!$AM$18+'TUSD CVA'!$AM$18,2)</f>
        <v>21.37</v>
      </c>
      <c r="F17" s="29">
        <f ca="1">ROUND('TUSD BE'!$AM$19+'TUSD BF_350'!$AM$19+'TUSD CVA'!$AM$19,2)</f>
        <v>145.72</v>
      </c>
      <c r="G17" s="29">
        <f ca="1">ROUND('TE BE'!$AB$9+'TE BF_350'!$AB$9+'TE CVA'!$AB$9,2)</f>
        <v>222.39</v>
      </c>
      <c r="H17" s="29">
        <f ca="1">ROUND('TUSD BE'!$AM$18,2)</f>
        <v>21.75</v>
      </c>
      <c r="I17" s="29">
        <f ca="1">ROUND('TUSD BE'!$AM$19,2)</f>
        <v>118.36</v>
      </c>
      <c r="J17" s="29">
        <f>ROUND('TE BE'!$AB$9,2)</f>
        <v>222.82</v>
      </c>
      <c r="L17" s="151"/>
      <c r="M17" s="149" t="s">
        <v>996</v>
      </c>
      <c r="N17" s="149" t="s">
        <v>1002</v>
      </c>
      <c r="O17" s="149" t="s">
        <v>1004</v>
      </c>
      <c r="P17" s="31" t="s">
        <v>990</v>
      </c>
      <c r="Q17" s="29">
        <v>0</v>
      </c>
      <c r="R17" s="29">
        <f ca="1">ROUND(('TUSD BE'!$AM$46+'TUSD BF_350'!$AM$46+'TUSD CVA'!$AM$46)*(1-CUSTOS!$M$39),2)</f>
        <v>712.83</v>
      </c>
      <c r="S17" s="29">
        <f ca="1">ROUND(('TE BE'!$AB$27+'TE BF_350'!$AB$27+'TE CVA'!$AB$27)*(1-CUSTOS!$M$39),2)</f>
        <v>410.79</v>
      </c>
      <c r="T17" s="29">
        <v>0</v>
      </c>
      <c r="U17" s="29">
        <f ca="1">ROUND('TUSD BE'!$AM$46*(1-CUSTOS!$M$39),2)</f>
        <v>1101.17</v>
      </c>
      <c r="V17" s="29">
        <f>ROUND('TE BE'!$AB$27*(1-CUSTOS!$M$39),2)</f>
        <v>342.09</v>
      </c>
    </row>
    <row r="18" spans="1:22" ht="11.25" customHeight="1" x14ac:dyDescent="0.3">
      <c r="A18" s="154"/>
      <c r="B18" s="153" t="s">
        <v>992</v>
      </c>
      <c r="C18" s="153" t="s">
        <v>25</v>
      </c>
      <c r="D18" s="31" t="s">
        <v>990</v>
      </c>
      <c r="E18" s="29">
        <f ca="1">ROUND('TUSD BE'!$AM$17+'TUSD BF_350'!$AM$17+'TUSD CVA'!$AM$17,2)</f>
        <v>51.04</v>
      </c>
      <c r="F18" s="29">
        <f ca="1">ROUND('TUSD BE'!$AM$20+'TUSD BF_350'!$AM$20+'TUSD CVA'!$AM$20,2)</f>
        <v>13.61</v>
      </c>
      <c r="G18" s="29">
        <v>0</v>
      </c>
      <c r="H18" s="29">
        <f ca="1">ROUND('TUSD BE'!$AM$17,2)</f>
        <v>52.34</v>
      </c>
      <c r="I18" s="29">
        <f ca="1">ROUND('TUSD BE'!$AM$20,2)</f>
        <v>13.82</v>
      </c>
      <c r="J18" s="29">
        <v>0</v>
      </c>
      <c r="L18" s="151"/>
      <c r="M18" s="151"/>
      <c r="N18" s="151"/>
      <c r="O18" s="151"/>
      <c r="P18" s="31" t="s">
        <v>998</v>
      </c>
      <c r="Q18" s="29">
        <v>0</v>
      </c>
      <c r="R18" s="29">
        <f ca="1">ROUND(('TUSD BE'!$AM$47+'TUSD BF_350'!$AM$47+'TUSD CVA'!$AM$47)*(1-CUSTOS!$M$39),2)</f>
        <v>496.28</v>
      </c>
      <c r="S18" s="29">
        <f ca="1">ROUND(('TE BE'!$AB$28+'TE BF_350'!$AB$28+'TE CVA'!$AB$28)*(1-CUSTOS!$M$39),2)</f>
        <v>256.45</v>
      </c>
      <c r="T18" s="29">
        <v>0</v>
      </c>
      <c r="U18" s="29">
        <f ca="1">ROUND('TUSD BE'!$AM$47*(1-CUSTOS!$M$39),2)</f>
        <v>716.9</v>
      </c>
      <c r="V18" s="29">
        <f>ROUND('TE BE'!$AB$28*(1-CUSTOS!$M$39),2)</f>
        <v>209.45</v>
      </c>
    </row>
    <row r="19" spans="1:22" ht="11.25" customHeight="1" x14ac:dyDescent="0.3">
      <c r="A19" s="154"/>
      <c r="B19" s="154"/>
      <c r="C19" s="154"/>
      <c r="D19" s="31" t="s">
        <v>991</v>
      </c>
      <c r="E19" s="29">
        <f ca="1">ROUND('TUSD BE'!$AM$18+'TUSD BF_350'!$AM$18+'TUSD CVA'!$AM$18,2)</f>
        <v>21.37</v>
      </c>
      <c r="F19" s="29">
        <f ca="1">ROUND('TUSD BE'!$AM$20+'TUSD BF_350'!$AM$20+'TUSD CVA'!$AM$20,2)</f>
        <v>13.61</v>
      </c>
      <c r="G19" s="29">
        <v>0</v>
      </c>
      <c r="H19" s="29">
        <f ca="1">ROUND('TUSD BE'!$AM$18,2)</f>
        <v>21.75</v>
      </c>
      <c r="I19" s="29">
        <f ca="1">ROUND('TUSD BE'!$AM$20,2)</f>
        <v>13.82</v>
      </c>
      <c r="J19" s="29">
        <v>0</v>
      </c>
      <c r="L19" s="151"/>
      <c r="M19" s="150"/>
      <c r="N19" s="150"/>
      <c r="O19" s="150"/>
      <c r="P19" s="31" t="s">
        <v>991</v>
      </c>
      <c r="Q19" s="29">
        <v>0</v>
      </c>
      <c r="R19" s="29">
        <f ca="1">ROUND(('TUSD BE'!$AM$48+'TUSD BF_350'!$AM$48+'TUSD CVA'!$AM$48)*(1-CUSTOS!$M$39),2)</f>
        <v>279.74</v>
      </c>
      <c r="S19" s="29">
        <f ca="1">ROUND(('TE BE'!$AB$29+'TE BF_350'!$AB$29+'TE CVA'!$AB$29)*(1-CUSTOS!$M$39),2)</f>
        <v>256.45</v>
      </c>
      <c r="T19" s="29">
        <v>0</v>
      </c>
      <c r="U19" s="29">
        <f ca="1">ROUND('TUSD BE'!$AM$48*(1-CUSTOS!$M$39),2)</f>
        <v>332.63</v>
      </c>
      <c r="V19" s="29">
        <f>ROUND('TE BE'!$AB$29*(1-CUSTOS!$M$39),2)</f>
        <v>209.45</v>
      </c>
    </row>
    <row r="20" spans="1:22" ht="11.25" customHeight="1" x14ac:dyDescent="0.3">
      <c r="A20" s="154"/>
      <c r="B20" s="153" t="s">
        <v>40</v>
      </c>
      <c r="C20" s="153" t="s">
        <v>25</v>
      </c>
      <c r="D20" s="31" t="s">
        <v>993</v>
      </c>
      <c r="E20" s="29">
        <f ca="1">ROUND('TUSD BE'!$AM$22+'TUSD BF_350'!$AM$22+'TUSD CVA'!$AM$22,2)</f>
        <v>21.37</v>
      </c>
      <c r="F20" s="29">
        <v>0</v>
      </c>
      <c r="G20" s="29">
        <v>0</v>
      </c>
      <c r="H20" s="29">
        <f ca="1">ROUND('TUSD BE'!$AM$22,2)</f>
        <v>21.75</v>
      </c>
      <c r="I20" s="29">
        <v>0</v>
      </c>
      <c r="J20" s="29">
        <v>0</v>
      </c>
      <c r="L20" s="151"/>
      <c r="M20" s="31" t="s">
        <v>999</v>
      </c>
      <c r="N20" s="31" t="s">
        <v>1002</v>
      </c>
      <c r="O20" s="31" t="s">
        <v>1004</v>
      </c>
      <c r="P20" s="31" t="s">
        <v>993</v>
      </c>
      <c r="Q20" s="29">
        <v>0</v>
      </c>
      <c r="R20" s="29">
        <f ca="1">ROUND(('TUSD BE'!$AM$54+'TUSD BF_350'!$AM$54+'TUSD CVA'!$AM$54)*(1-CUSTOS!$M$39),2)</f>
        <v>361.41</v>
      </c>
      <c r="S20" s="29">
        <f ca="1">ROUND(('TE BE'!$AB$35+'TE BF_350'!$AB$35+'TE CVA'!$AB$35)*(1-CUSTOS!$M$39),2)</f>
        <v>269.32</v>
      </c>
      <c r="T20" s="29">
        <v>0</v>
      </c>
      <c r="U20" s="29">
        <f ca="1">ROUND(('TUSD BE'!$AM$54)*(1-CUSTOS!$M$39),2)</f>
        <v>431.61</v>
      </c>
      <c r="V20" s="29">
        <f>ROUND(('TE BE'!$AB$35)*(1-CUSTOS!$M$39),2)</f>
        <v>220.51</v>
      </c>
    </row>
    <row r="21" spans="1:22" ht="11.25" customHeight="1" x14ac:dyDescent="0.3">
      <c r="A21" s="154"/>
      <c r="B21" s="154"/>
      <c r="C21" s="154"/>
      <c r="D21" s="31" t="s">
        <v>990</v>
      </c>
      <c r="E21" s="29">
        <v>0</v>
      </c>
      <c r="F21" s="29">
        <f ca="1">ROUND('TUSD BE'!$AM$23+'TUSD BF_350'!$AM$23+'TUSD CVA'!$AM$23,2)</f>
        <v>1385.5</v>
      </c>
      <c r="G21" s="29">
        <f ca="1">ROUND('TE BE'!$AB$8+'TE BF_350'!$AB$8+'TE CVA'!$AB$8,2)</f>
        <v>361.95</v>
      </c>
      <c r="H21" s="29">
        <v>0</v>
      </c>
      <c r="I21" s="29">
        <f ca="1">ROUND('TUSD BE'!$AM$23,2)</f>
        <v>1389.94</v>
      </c>
      <c r="J21" s="29">
        <f>ROUND('TE BE'!$AB$8,2)</f>
        <v>363.93</v>
      </c>
      <c r="L21" s="151"/>
      <c r="M21" s="31" t="s">
        <v>1001</v>
      </c>
      <c r="N21" s="31" t="s">
        <v>1002</v>
      </c>
      <c r="O21" s="31" t="s">
        <v>1004</v>
      </c>
      <c r="P21" s="31" t="s">
        <v>993</v>
      </c>
      <c r="Q21" s="29">
        <v>0</v>
      </c>
      <c r="R21" s="29">
        <f ca="1">ROUND(('TUSD BE'!$AM$45+'TUSD BF_350'!$AM$45+'TUSD CVA'!$AM$45)*(1-CUSTOS!$M$39),2)</f>
        <v>361.41</v>
      </c>
      <c r="S21" s="29">
        <f ca="1">ROUND(('TE BE'!$AB$26+'TE BF_350'!$AB$26+'TE CVA'!$AB$26)*(1-CUSTOS!$M$39),2)</f>
        <v>269.32</v>
      </c>
      <c r="T21" s="29">
        <v>0</v>
      </c>
      <c r="U21" s="29">
        <f ca="1">ROUND(('TUSD BE'!$AM$45)*(1-CUSTOS!$M$39),2)</f>
        <v>431.61</v>
      </c>
      <c r="V21" s="29">
        <f>ROUND(('TE BE'!$AB$26)*(1-CUSTOS!$M$39),2)</f>
        <v>220.51</v>
      </c>
    </row>
    <row r="22" spans="1:22" ht="11.25" customHeight="1" x14ac:dyDescent="0.3">
      <c r="A22" s="154"/>
      <c r="B22" s="154"/>
      <c r="C22" s="154"/>
      <c r="D22" s="31" t="s">
        <v>991</v>
      </c>
      <c r="E22" s="29">
        <v>0</v>
      </c>
      <c r="F22" s="29">
        <f ca="1">ROUND('TUSD BE'!$AM$24+'TUSD BF_350'!$AM$24+'TUSD CVA'!$AM$24,2)</f>
        <v>145.72</v>
      </c>
      <c r="G22" s="29">
        <f ca="1">ROUND('TE BE'!$AB$9+'TE BF_350'!$AB$9+'TE CVA'!$AB$9,2)</f>
        <v>222.39</v>
      </c>
      <c r="H22" s="29">
        <v>0</v>
      </c>
      <c r="I22" s="29">
        <f ca="1">ROUND('TUSD BE'!$AM$24,2)</f>
        <v>118.36</v>
      </c>
      <c r="J22" s="29">
        <f>ROUND('TE BE'!$AB$9,2)</f>
        <v>222.82</v>
      </c>
      <c r="L22" s="151"/>
      <c r="M22" s="149" t="s">
        <v>996</v>
      </c>
      <c r="N22" s="149" t="s">
        <v>1002</v>
      </c>
      <c r="O22" s="149" t="s">
        <v>1005</v>
      </c>
      <c r="P22" s="31" t="s">
        <v>990</v>
      </c>
      <c r="Q22" s="29">
        <v>0</v>
      </c>
      <c r="R22" s="29">
        <f ca="1">ROUND(('TUSD BE'!$AM$50+'TUSD BF_350'!$AM$50+'TUSD CVA'!$AM$50)*(1-CUSTOS!$M$40),2)</f>
        <v>697.66</v>
      </c>
      <c r="S22" s="29">
        <f ca="1">ROUND(('TE BE'!$AB$31+'TE BF_350'!$AB$31+'TE CVA'!$AB$31)*(1-CUSTOS!$M$40),2)</f>
        <v>402.05</v>
      </c>
      <c r="T22" s="29">
        <v>0</v>
      </c>
      <c r="U22" s="29">
        <f ca="1">ROUND('TUSD BE'!$AM$50*(1-CUSTOS!$M$40),2)</f>
        <v>1077.74</v>
      </c>
      <c r="V22" s="29">
        <f>ROUND('TE BE'!$AB$31*(1-CUSTOS!$M$40),2)</f>
        <v>334.81</v>
      </c>
    </row>
    <row r="23" spans="1:22" ht="11.25" customHeight="1" x14ac:dyDescent="0.3">
      <c r="A23" s="154"/>
      <c r="B23" s="153" t="s">
        <v>994</v>
      </c>
      <c r="C23" s="153" t="s">
        <v>25</v>
      </c>
      <c r="D23" s="31" t="s">
        <v>993</v>
      </c>
      <c r="E23" s="29">
        <f ca="1">ROUND('TUSD BE'!$AM$22+'TUSD BF_350'!$AM$22+'TUSD CVA'!$AM$22,2)</f>
        <v>21.37</v>
      </c>
      <c r="F23" s="29">
        <v>0</v>
      </c>
      <c r="G23" s="29">
        <v>0</v>
      </c>
      <c r="H23" s="29">
        <f ca="1">ROUND('TUSD BE'!$AM$22,2)</f>
        <v>21.75</v>
      </c>
      <c r="I23" s="29">
        <v>0</v>
      </c>
      <c r="J23" s="29">
        <v>0</v>
      </c>
      <c r="L23" s="151"/>
      <c r="M23" s="151"/>
      <c r="N23" s="151"/>
      <c r="O23" s="151"/>
      <c r="P23" s="31" t="s">
        <v>998</v>
      </c>
      <c r="Q23" s="29">
        <v>0</v>
      </c>
      <c r="R23" s="29">
        <f ca="1">ROUND(('TUSD BE'!$AM$51+'TUSD BF_350'!$AM$51+'TUSD CVA'!$AM$51)*(1-CUSTOS!$M$40),2)</f>
        <v>485.72</v>
      </c>
      <c r="S23" s="29">
        <f ca="1">ROUND(('TE BE'!$AB$32+'TE BF_350'!$AB$32+'TE CVA'!$AB$32)*(1-CUSTOS!$M$40),2)</f>
        <v>250.99</v>
      </c>
      <c r="T23" s="29">
        <v>0</v>
      </c>
      <c r="U23" s="29">
        <f ca="1">ROUND('TUSD BE'!$AM$51*(1-CUSTOS!$M$40),2)</f>
        <v>701.65</v>
      </c>
      <c r="V23" s="29">
        <f>ROUND('TE BE'!$AB$32*(1-CUSTOS!$M$40),2)</f>
        <v>205</v>
      </c>
    </row>
    <row r="24" spans="1:22" ht="11.25" customHeight="1" x14ac:dyDescent="0.3">
      <c r="A24" s="154"/>
      <c r="B24" s="154"/>
      <c r="C24" s="154"/>
      <c r="D24" s="31" t="s">
        <v>990</v>
      </c>
      <c r="E24" s="29">
        <v>0</v>
      </c>
      <c r="F24" s="29">
        <f ca="1">ROUND('TUSD BE'!$AM$25+'TUSD BF_350'!$AM$25+'TUSD CVA'!$AM$25,2)</f>
        <v>1253.3900000000001</v>
      </c>
      <c r="G24" s="29">
        <v>0</v>
      </c>
      <c r="H24" s="29">
        <v>0</v>
      </c>
      <c r="I24" s="29">
        <f ca="1">ROUND('TUSD BE'!$AM$25,2)</f>
        <v>1285.3900000000001</v>
      </c>
      <c r="J24" s="29">
        <v>0</v>
      </c>
      <c r="L24" s="151"/>
      <c r="M24" s="150"/>
      <c r="N24" s="150"/>
      <c r="O24" s="150"/>
      <c r="P24" s="31" t="s">
        <v>991</v>
      </c>
      <c r="Q24" s="29">
        <v>0</v>
      </c>
      <c r="R24" s="29">
        <f ca="1">ROUND(('TUSD BE'!$AM$52+'TUSD BF_350'!$AM$52+'TUSD CVA'!$AM$52)*(1-CUSTOS!$M$40),2)</f>
        <v>273.79000000000002</v>
      </c>
      <c r="S24" s="29">
        <f ca="1">ROUND(('TE BE'!$AB$33+'TE BF_350'!$AB$33+'TE CVA'!$AB$33)*(1-CUSTOS!$M$40),2)</f>
        <v>250.99</v>
      </c>
      <c r="T24" s="29">
        <v>0</v>
      </c>
      <c r="U24" s="29">
        <f ca="1">ROUND('TUSD BE'!$AM$52*(1-CUSTOS!$M$40),2)</f>
        <v>325.55</v>
      </c>
      <c r="V24" s="29">
        <f>ROUND('TE BE'!$AB$33*(1-CUSTOS!$M$40),2)</f>
        <v>205</v>
      </c>
    </row>
    <row r="25" spans="1:22" ht="11.25" customHeight="1" x14ac:dyDescent="0.3">
      <c r="A25" s="154"/>
      <c r="B25" s="154"/>
      <c r="C25" s="154"/>
      <c r="D25" s="31" t="s">
        <v>991</v>
      </c>
      <c r="E25" s="29">
        <v>0</v>
      </c>
      <c r="F25" s="29">
        <f ca="1">ROUND('TUSD BE'!$AM$26+'TUSD BF_350'!$AM$26+'TUSD CVA'!$AM$26,2)</f>
        <v>13.61</v>
      </c>
      <c r="G25" s="29">
        <v>0</v>
      </c>
      <c r="H25" s="29">
        <v>0</v>
      </c>
      <c r="I25" s="29">
        <f ca="1">ROUND('TUSD BE'!$AM$26,2)</f>
        <v>13.82</v>
      </c>
      <c r="J25" s="29">
        <v>0</v>
      </c>
      <c r="L25" s="151"/>
      <c r="M25" s="31" t="s">
        <v>999</v>
      </c>
      <c r="N25" s="31" t="s">
        <v>1002</v>
      </c>
      <c r="O25" s="31" t="s">
        <v>1005</v>
      </c>
      <c r="P25" s="31" t="s">
        <v>993</v>
      </c>
      <c r="Q25" s="29">
        <v>0</v>
      </c>
      <c r="R25" s="29">
        <f ca="1">ROUND(('TUSD BE'!$AM$54+'TUSD BF_350'!$AM$54+'TUSD CVA'!$AM$54)*(1-CUSTOS!$M$40),2)</f>
        <v>353.72</v>
      </c>
      <c r="S25" s="29">
        <f ca="1">ROUND(('TE BE'!$AB$35+'TE BF_350'!$AB$35+'TE CVA'!$AB$35)*(1-CUSTOS!$M$40),2)</f>
        <v>263.58999999999997</v>
      </c>
      <c r="T25" s="29">
        <v>0</v>
      </c>
      <c r="U25" s="29">
        <f ca="1">ROUND(('TUSD BE'!$AM$54)*(1-CUSTOS!$M$40),2)</f>
        <v>422.43</v>
      </c>
      <c r="V25" s="29">
        <f>ROUND(('TE BE'!$AB$35)*(1-CUSTOS!$M$40),2)</f>
        <v>215.82</v>
      </c>
    </row>
    <row r="26" spans="1:22" ht="11.25" customHeight="1" x14ac:dyDescent="0.3">
      <c r="A26" s="154"/>
      <c r="B26" s="31" t="s">
        <v>60</v>
      </c>
      <c r="C26" s="31" t="s">
        <v>25</v>
      </c>
      <c r="D26" s="31" t="s">
        <v>993</v>
      </c>
      <c r="E26" s="29">
        <f ca="1">ROUND('TUSD BE'!$AM$21+'TUSD BF_350'!$AM$21+'TUSD CVA'!$AM$21,2)</f>
        <v>12.44</v>
      </c>
      <c r="F26" s="29">
        <v>0</v>
      </c>
      <c r="G26" s="29">
        <v>0</v>
      </c>
      <c r="H26" s="29">
        <f ca="1">ROUND('TUSD BE'!$AM$21,2)</f>
        <v>13</v>
      </c>
      <c r="I26" s="29">
        <v>0</v>
      </c>
      <c r="J26" s="29">
        <v>0</v>
      </c>
      <c r="L26" s="150"/>
      <c r="M26" s="31" t="s">
        <v>1001</v>
      </c>
      <c r="N26" s="31" t="s">
        <v>1002</v>
      </c>
      <c r="O26" s="31" t="s">
        <v>1005</v>
      </c>
      <c r="P26" s="31" t="s">
        <v>993</v>
      </c>
      <c r="Q26" s="29">
        <v>0</v>
      </c>
      <c r="R26" s="29">
        <f ca="1">ROUND(('TUSD BE'!$AM$45+'TUSD BF_350'!$AM$45+'TUSD CVA'!$AM$45)*(1-CUSTOS!$M$40),2)</f>
        <v>353.72</v>
      </c>
      <c r="S26" s="29">
        <f ca="1">ROUND(('TE BE'!$AB$26+'TE BF_350'!$AB$26+'TE CVA'!$AB$26)*(1-CUSTOS!$M$40),2)</f>
        <v>263.58999999999997</v>
      </c>
      <c r="T26" s="29">
        <v>0</v>
      </c>
      <c r="U26" s="29">
        <f ca="1">ROUND(('TUSD BE'!$AM$45)*(1-CUSTOS!$M$40),2)</f>
        <v>422.43</v>
      </c>
      <c r="V26" s="29">
        <f>ROUND(('TE BE'!$AB$26)*(1-CUSTOS!$M$40),2)</f>
        <v>215.82</v>
      </c>
    </row>
    <row r="27" spans="1:22" ht="11.25" customHeight="1" x14ac:dyDescent="0.3">
      <c r="L27" s="149" t="s">
        <v>37</v>
      </c>
      <c r="M27" s="149" t="s">
        <v>996</v>
      </c>
      <c r="N27" s="149" t="s">
        <v>993</v>
      </c>
      <c r="O27" s="149" t="s">
        <v>993</v>
      </c>
      <c r="P27" s="31" t="s">
        <v>990</v>
      </c>
      <c r="Q27" s="29">
        <v>0</v>
      </c>
      <c r="R27" s="29">
        <f ca="1">ROUND(('TUSD BE'!$AM$57+'TUSD BF_350'!$AM$57+'TUSD CVA'!$AM$57)*(1-CUSTOS!$M$31),2)</f>
        <v>829.05</v>
      </c>
      <c r="S27" s="29">
        <f ca="1">ROUND(('TE BE'!$AB$38+'TE BF_350'!$AB$38+'TE CVA'!$AB$38)*(1-CUSTOS!$M$31),2)</f>
        <v>437.01</v>
      </c>
      <c r="T27" s="29">
        <v>0</v>
      </c>
      <c r="U27" s="29">
        <f ca="1">ROUND('TUSD BE'!$AM$57*(1-CUSTOS!$M$31),2)</f>
        <v>1217.9100000000001</v>
      </c>
      <c r="V27" s="29">
        <f>ROUND('TE BE'!$AB$38*(1-CUSTOS!$M$31),2)</f>
        <v>363.93</v>
      </c>
    </row>
    <row r="28" spans="1:22" ht="11.25" customHeight="1" x14ac:dyDescent="0.3">
      <c r="L28" s="151"/>
      <c r="M28" s="151"/>
      <c r="N28" s="151"/>
      <c r="O28" s="151"/>
      <c r="P28" s="31" t="s">
        <v>998</v>
      </c>
      <c r="Q28" s="29">
        <v>0</v>
      </c>
      <c r="R28" s="29">
        <f ca="1">ROUND(('TUSD BE'!$AM$58+'TUSD BF_350'!$AM$58+'TUSD CVA'!$AM$58)*(1-CUSTOS!$M$31),2)</f>
        <v>570.4</v>
      </c>
      <c r="S28" s="29">
        <f ca="1">ROUND(('TE BE'!$AB$39+'TE BF_350'!$AB$39+'TE CVA'!$AB$39)*(1-CUSTOS!$M$31),2)</f>
        <v>272.82</v>
      </c>
      <c r="T28" s="29">
        <v>0</v>
      </c>
      <c r="U28" s="29">
        <f ca="1">ROUND('TUSD BE'!$AM$58*(1-CUSTOS!$M$31),2)</f>
        <v>790.53</v>
      </c>
      <c r="V28" s="29">
        <f>ROUND('TE BE'!$AB$39*(1-CUSTOS!$M$31),2)</f>
        <v>222.82</v>
      </c>
    </row>
    <row r="29" spans="1:22" ht="11.25" customHeight="1" x14ac:dyDescent="0.3">
      <c r="L29" s="151"/>
      <c r="M29" s="150"/>
      <c r="N29" s="150"/>
      <c r="O29" s="150"/>
      <c r="P29" s="31" t="s">
        <v>991</v>
      </c>
      <c r="Q29" s="29">
        <v>0</v>
      </c>
      <c r="R29" s="29">
        <f ca="1">ROUND(('TUSD BE'!$AM$59+'TUSD BF_350'!$AM$59+'TUSD CVA'!$AM$59)*(1-CUSTOS!$M$31),2)</f>
        <v>311.74</v>
      </c>
      <c r="S29" s="29">
        <f ca="1">ROUND(('TE BE'!$AB$40+'TE BF_350'!$AB$40+'TE CVA'!$AB$40)*(1-CUSTOS!$M$31),2)</f>
        <v>272.82</v>
      </c>
      <c r="T29" s="29">
        <v>0</v>
      </c>
      <c r="U29" s="29">
        <f ca="1">ROUND('TUSD BE'!$AM$59*(1-CUSTOS!$M$31),2)</f>
        <v>363.15</v>
      </c>
      <c r="V29" s="29">
        <f>ROUND('TE BE'!$AB$40*(1-CUSTOS!$M$31),2)</f>
        <v>222.82</v>
      </c>
    </row>
    <row r="30" spans="1:22" ht="11.25" customHeight="1" x14ac:dyDescent="0.3">
      <c r="L30" s="151"/>
      <c r="M30" s="31" t="s">
        <v>999</v>
      </c>
      <c r="N30" s="31" t="s">
        <v>993</v>
      </c>
      <c r="O30" s="31" t="s">
        <v>993</v>
      </c>
      <c r="P30" s="31" t="s">
        <v>993</v>
      </c>
      <c r="Q30" s="29">
        <v>0</v>
      </c>
      <c r="R30" s="29">
        <f ca="1">ROUND(('TUSD BE'!$AM$61+'TUSD BF_350'!$AM$61+'TUSD CVA'!$AM$61)*(1-CUSTOS!$M$31),2)</f>
        <v>384.48</v>
      </c>
      <c r="S30" s="29">
        <f ca="1">ROUND(('TE BE'!$AB$42+'TE BF_350'!$AB$42+'TE CVA'!$AB$42)*(1-CUSTOS!$M$31),2)</f>
        <v>286.51</v>
      </c>
      <c r="T30" s="29">
        <v>0</v>
      </c>
      <c r="U30" s="29">
        <f ca="1">ROUND(('TUSD BE'!$AM$61)*(1-CUSTOS!$M$31),2)</f>
        <v>459.16</v>
      </c>
      <c r="V30" s="29">
        <f>ROUND(('TE BE'!$AB$42)*(1-CUSTOS!$M$31),2)</f>
        <v>234.58</v>
      </c>
    </row>
    <row r="31" spans="1:22" ht="11.25" customHeight="1" x14ac:dyDescent="0.3">
      <c r="L31" s="150"/>
      <c r="M31" s="31" t="s">
        <v>1001</v>
      </c>
      <c r="N31" s="31" t="s">
        <v>993</v>
      </c>
      <c r="O31" s="31" t="s">
        <v>993</v>
      </c>
      <c r="P31" s="31" t="s">
        <v>993</v>
      </c>
      <c r="Q31" s="29">
        <v>0</v>
      </c>
      <c r="R31" s="29">
        <f ca="1">ROUND(('TUSD BE'!$AM$60+'TUSD BF_350'!$AM$60+'TUSD CVA'!$AM$60)*(1-CUSTOS!$M$31),2)</f>
        <v>384.48</v>
      </c>
      <c r="S31" s="29">
        <f ca="1">ROUND(('TE BE'!$AB$41+'TE BF_350'!$AB$41+'TE CVA'!$AB$41)*(1-CUSTOS!$M$31),2)</f>
        <v>286.51</v>
      </c>
      <c r="T31" s="29">
        <v>0</v>
      </c>
      <c r="U31" s="29">
        <f ca="1">ROUND(('TUSD BE'!$AM$60)*(1-CUSTOS!$M$31),2)</f>
        <v>459.16</v>
      </c>
      <c r="V31" s="29">
        <f>ROUND(('TE BE'!$AB$41)*(1-CUSTOS!$M$31),2)</f>
        <v>234.58</v>
      </c>
    </row>
    <row r="32" spans="1:22" ht="11.25" customHeight="1" x14ac:dyDescent="0.3">
      <c r="L32" s="149" t="s">
        <v>47</v>
      </c>
      <c r="M32" s="149" t="s">
        <v>1001</v>
      </c>
      <c r="N32" s="149" t="s">
        <v>1006</v>
      </c>
      <c r="O32" s="31" t="s">
        <v>1007</v>
      </c>
      <c r="P32" s="31" t="s">
        <v>993</v>
      </c>
      <c r="Q32" s="29">
        <v>0</v>
      </c>
      <c r="R32" s="29">
        <f ca="1">ROUND(('TUSD BE'!$AM$62+'TUSD BF_350'!$AM$62+'TUSD CVA'!$AM$62),2)</f>
        <v>211.47</v>
      </c>
      <c r="S32" s="29">
        <f ca="1">ROUND(('TE BE'!$AB$43+'TE BF_350'!$AB$43+'TE CVA'!$AB$43),2)</f>
        <v>157.58000000000001</v>
      </c>
      <c r="T32" s="29">
        <v>0</v>
      </c>
      <c r="U32" s="29">
        <f ca="1">ROUND(('TUSD BE'!$AM$62),2)</f>
        <v>252.54</v>
      </c>
      <c r="V32" s="29">
        <f>ROUND(('TE BE'!$AB$43),2)</f>
        <v>129.02000000000001</v>
      </c>
    </row>
    <row r="33" spans="12:22" ht="11.25" customHeight="1" x14ac:dyDescent="0.3">
      <c r="L33" s="150"/>
      <c r="M33" s="150"/>
      <c r="N33" s="150"/>
      <c r="O33" s="31" t="s">
        <v>1008</v>
      </c>
      <c r="P33" s="31" t="s">
        <v>993</v>
      </c>
      <c r="Q33" s="29">
        <v>0</v>
      </c>
      <c r="R33" s="29">
        <f ca="1">ROUND(('TUSD BE'!$AM$63+'TUSD BF_350'!$AM$63+'TUSD CVA'!$AM$63),2)</f>
        <v>230.69</v>
      </c>
      <c r="S33" s="29">
        <f ca="1">ROUND(('TE BE'!$AB$44+'TE BF_350'!$AB$44+'TE CVA'!$AB$44),2)</f>
        <v>171.9</v>
      </c>
      <c r="T33" s="29">
        <v>0</v>
      </c>
      <c r="U33" s="29">
        <f ca="1">ROUND(('TUSD BE'!$AM$63),2)</f>
        <v>275.5</v>
      </c>
      <c r="V33" s="29">
        <f>ROUND(('TE BE'!$AB$44),2)</f>
        <v>140.75</v>
      </c>
    </row>
    <row r="34" spans="12:22" ht="11.25" customHeight="1" x14ac:dyDescent="0.3">
      <c r="L34" s="149" t="s">
        <v>88</v>
      </c>
      <c r="M34" s="149" t="s">
        <v>62</v>
      </c>
      <c r="N34" s="31" t="s">
        <v>89</v>
      </c>
      <c r="O34" s="31" t="s">
        <v>993</v>
      </c>
      <c r="P34" s="31" t="s">
        <v>993</v>
      </c>
      <c r="Q34" s="29">
        <f ca="1">ROUND(('TUSD BE'!$AM$27+'TUSD BF_350'!$AM$27+'TUSD CVA'!$AM$27),2)</f>
        <v>5.71</v>
      </c>
      <c r="R34" s="29">
        <v>0</v>
      </c>
      <c r="S34" s="29">
        <v>0</v>
      </c>
      <c r="T34" s="29">
        <f ca="1">ROUND(('TUSD BE'!$AM$27),2)</f>
        <v>5.96</v>
      </c>
      <c r="U34" s="29">
        <v>0</v>
      </c>
      <c r="V34" s="29">
        <v>0</v>
      </c>
    </row>
    <row r="35" spans="12:22" ht="11.25" customHeight="1" x14ac:dyDescent="0.3">
      <c r="L35" s="150"/>
      <c r="M35" s="150"/>
      <c r="N35" s="31" t="s">
        <v>90</v>
      </c>
      <c r="O35" s="31" t="s">
        <v>993</v>
      </c>
      <c r="P35" s="31" t="s">
        <v>993</v>
      </c>
      <c r="Q35" s="29">
        <f ca="1">ROUND(('TUSD BE'!$AM$28+'TUSD BF_350'!$AM$28+'TUSD CVA'!$AM$28),2)</f>
        <v>20.84</v>
      </c>
      <c r="R35" s="29">
        <v>0</v>
      </c>
      <c r="S35" s="29">
        <v>0</v>
      </c>
      <c r="T35" s="29">
        <f ca="1">ROUND(('TUSD BE'!$AM$28),2)</f>
        <v>21.78</v>
      </c>
      <c r="U35" s="29">
        <v>0</v>
      </c>
      <c r="V35" s="29">
        <v>0</v>
      </c>
    </row>
  </sheetData>
  <mergeCells count="60"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A16:A26"/>
    <mergeCell ref="B5:B6"/>
    <mergeCell ref="B7:B8"/>
    <mergeCell ref="B9:B11"/>
    <mergeCell ref="B12:B14"/>
    <mergeCell ref="B16:B17"/>
    <mergeCell ref="B18:B19"/>
    <mergeCell ref="B20:B22"/>
    <mergeCell ref="B23:B25"/>
    <mergeCell ref="C20:C22"/>
    <mergeCell ref="C23:C25"/>
    <mergeCell ref="L1:V1"/>
    <mergeCell ref="L2:L4"/>
    <mergeCell ref="M2:M4"/>
    <mergeCell ref="N2:N4"/>
    <mergeCell ref="O2:O4"/>
    <mergeCell ref="P2:P4"/>
    <mergeCell ref="Q2:S2"/>
    <mergeCell ref="Q3:R3"/>
    <mergeCell ref="C5:C6"/>
    <mergeCell ref="C7:C8"/>
    <mergeCell ref="C9:C11"/>
    <mergeCell ref="C12:C14"/>
    <mergeCell ref="C16:C17"/>
    <mergeCell ref="C18:C19"/>
    <mergeCell ref="T2:V2"/>
    <mergeCell ref="T3:U3"/>
    <mergeCell ref="L5:L11"/>
    <mergeCell ref="L12:L26"/>
    <mergeCell ref="L27:L31"/>
    <mergeCell ref="N5:N7"/>
    <mergeCell ref="N12:N14"/>
    <mergeCell ref="N17:N19"/>
    <mergeCell ref="N22:N24"/>
    <mergeCell ref="N27:N29"/>
    <mergeCell ref="L34:L35"/>
    <mergeCell ref="M5:M7"/>
    <mergeCell ref="M12:M14"/>
    <mergeCell ref="M17:M19"/>
    <mergeCell ref="M22:M24"/>
    <mergeCell ref="M27:M29"/>
    <mergeCell ref="M32:M33"/>
    <mergeCell ref="M34:M35"/>
    <mergeCell ref="L32:L33"/>
    <mergeCell ref="N32:N33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BEA85-68C9-4348-8748-27E07E9EA2FB}">
  <sheetPr codeName="Planilha21"/>
  <dimension ref="A1:AN886"/>
  <sheetViews>
    <sheetView showGridLines="0" workbookViewId="0">
      <selection sqref="A1:O886 Q1:AJ13"/>
    </sheetView>
  </sheetViews>
  <sheetFormatPr defaultRowHeight="11.25" customHeight="1" x14ac:dyDescent="0.3"/>
  <cols>
    <col min="1" max="1" width="18.5546875" style="4" bestFit="1" customWidth="1"/>
    <col min="2" max="2" width="8.44140625" style="4" bestFit="1" customWidth="1"/>
    <col min="3" max="3" width="10" style="4" bestFit="1" customWidth="1"/>
    <col min="4" max="4" width="13.21875" style="4" bestFit="1" customWidth="1"/>
    <col min="5" max="5" width="24.44140625" style="4" bestFit="1" customWidth="1"/>
    <col min="6" max="6" width="12.88671875" style="4" bestFit="1" customWidth="1"/>
    <col min="7" max="7" width="37.88671875" style="4" bestFit="1" customWidth="1"/>
    <col min="8" max="8" width="10" style="4" bestFit="1" customWidth="1"/>
    <col min="9" max="9" width="8.44140625" style="5" bestFit="1" customWidth="1"/>
    <col min="10" max="10" width="9.88671875" style="6" bestFit="1" customWidth="1"/>
    <col min="11" max="11" width="10.21875" style="6" bestFit="1" customWidth="1"/>
    <col min="12" max="12" width="9.6640625" style="6" bestFit="1" customWidth="1"/>
    <col min="13" max="13" width="13.33203125" style="6" bestFit="1" customWidth="1"/>
    <col min="14" max="14" width="13.77734375" style="6" bestFit="1" customWidth="1"/>
    <col min="15" max="15" width="12.44140625" style="6" bestFit="1" customWidth="1"/>
    <col min="16" max="16" width="7.88671875" style="6" bestFit="1" customWidth="1"/>
    <col min="17" max="17" width="9" style="4" bestFit="1" customWidth="1"/>
    <col min="18" max="18" width="18.33203125" style="4" bestFit="1" customWidth="1"/>
    <col min="19" max="19" width="19.6640625" style="4" bestFit="1" customWidth="1"/>
    <col min="20" max="20" width="17.6640625" style="4" bestFit="1" customWidth="1"/>
    <col min="21" max="21" width="16.5546875" style="4" bestFit="1" customWidth="1"/>
    <col min="22" max="22" width="18" style="4" bestFit="1" customWidth="1"/>
    <col min="23" max="23" width="15.77734375" style="4" bestFit="1" customWidth="1"/>
    <col min="24" max="24" width="16.21875" style="4" bestFit="1" customWidth="1"/>
    <col min="25" max="25" width="17.77734375" style="4" bestFit="1" customWidth="1"/>
    <col min="26" max="26" width="15.5546875" style="4" bestFit="1" customWidth="1"/>
    <col min="27" max="27" width="16.33203125" style="4" bestFit="1" customWidth="1"/>
    <col min="28" max="28" width="17.88671875" style="4" bestFit="1" customWidth="1"/>
    <col min="29" max="29" width="15.6640625" style="4" bestFit="1" customWidth="1"/>
    <col min="30" max="30" width="16.77734375" style="4" bestFit="1" customWidth="1"/>
    <col min="31" max="31" width="21" style="4" bestFit="1" customWidth="1"/>
    <col min="32" max="32" width="11.109375" style="4" bestFit="1" customWidth="1"/>
    <col min="33" max="33" width="12.44140625" style="4" bestFit="1" customWidth="1"/>
    <col min="34" max="34" width="10.44140625" style="4" bestFit="1" customWidth="1"/>
    <col min="35" max="35" width="11.33203125" style="4" bestFit="1" customWidth="1"/>
    <col min="36" max="36" width="15.5546875" style="4" bestFit="1" customWidth="1"/>
    <col min="37" max="37" width="8.88671875" style="4"/>
    <col min="38" max="38" width="8.44140625" style="4" bestFit="1" customWidth="1"/>
    <col min="39" max="39" width="5.44140625" style="4" bestFit="1" customWidth="1"/>
    <col min="40" max="40" width="14.33203125" style="4" bestFit="1" customWidth="1"/>
    <col min="41" max="16384" width="8.88671875" style="4"/>
  </cols>
  <sheetData>
    <row r="1" spans="1:40" s="1" customFormat="1" ht="11.25" customHeight="1" x14ac:dyDescent="0.3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54" t="s">
        <v>8</v>
      </c>
      <c r="J1" s="30" t="s">
        <v>863</v>
      </c>
      <c r="K1" s="30" t="s">
        <v>864</v>
      </c>
      <c r="L1" s="30" t="s">
        <v>865</v>
      </c>
      <c r="M1" s="30" t="s">
        <v>866</v>
      </c>
      <c r="N1" s="30" t="s">
        <v>867</v>
      </c>
      <c r="O1" s="30" t="s">
        <v>868</v>
      </c>
      <c r="P1" s="7"/>
      <c r="Q1" s="147" t="s">
        <v>869</v>
      </c>
      <c r="R1" s="152"/>
      <c r="S1" s="152"/>
      <c r="T1" s="152"/>
      <c r="U1" s="152"/>
      <c r="V1" s="152"/>
      <c r="W1" s="152"/>
      <c r="X1" s="152"/>
      <c r="Y1" s="152"/>
      <c r="Z1" s="152"/>
      <c r="AA1" s="152"/>
      <c r="AB1" s="152"/>
      <c r="AC1" s="152"/>
      <c r="AD1" s="152"/>
      <c r="AE1" s="152"/>
      <c r="AF1" s="152"/>
      <c r="AG1" s="152"/>
      <c r="AH1" s="152"/>
      <c r="AI1" s="152"/>
      <c r="AJ1" s="152"/>
      <c r="AL1" s="34" t="s">
        <v>890</v>
      </c>
      <c r="AM1" s="34" t="s">
        <v>66</v>
      </c>
      <c r="AN1" s="34" t="s">
        <v>891</v>
      </c>
    </row>
    <row r="2" spans="1:40" ht="11.25" customHeight="1" x14ac:dyDescent="0.2">
      <c r="A2" s="35" t="s">
        <v>21</v>
      </c>
      <c r="B2" s="35" t="s">
        <v>45</v>
      </c>
      <c r="C2" s="35" t="s">
        <v>42</v>
      </c>
      <c r="D2" s="35" t="s">
        <v>41</v>
      </c>
      <c r="E2" s="35" t="s">
        <v>25</v>
      </c>
      <c r="F2" s="35" t="s">
        <v>25</v>
      </c>
      <c r="G2" s="35" t="s">
        <v>25</v>
      </c>
      <c r="H2" s="35" t="s">
        <v>35</v>
      </c>
      <c r="I2" s="55">
        <v>44562</v>
      </c>
      <c r="J2" s="56">
        <f ca="1">EFEITO!$J$2*EFEITO!$Y$2</f>
        <v>641.08015876873412</v>
      </c>
      <c r="K2" s="56">
        <f ca="1">EFEITO!$L$2*EFEITO!$Z$2</f>
        <v>0</v>
      </c>
      <c r="L2" s="56">
        <f>EFEITO!$N$2*EFEITO!$AA$2</f>
        <v>0</v>
      </c>
      <c r="M2" s="56">
        <f ca="1">$J$2-EFEITO!$K$2*EFEITO!$Y$2</f>
        <v>0</v>
      </c>
      <c r="N2" s="56">
        <f ca="1">$K$2-EFEITO!$M$2*EFEITO!$Z$2</f>
        <v>0</v>
      </c>
      <c r="O2" s="56">
        <f>$L$2-EFEITO!$O$2*EFEITO!$AA$2</f>
        <v>0</v>
      </c>
      <c r="P2" s="39"/>
      <c r="Q2" s="28" t="s">
        <v>69</v>
      </c>
      <c r="R2" s="28" t="s">
        <v>871</v>
      </c>
      <c r="S2" s="28" t="s">
        <v>872</v>
      </c>
      <c r="T2" s="28" t="s">
        <v>873</v>
      </c>
      <c r="U2" s="28" t="s">
        <v>874</v>
      </c>
      <c r="V2" s="28" t="s">
        <v>875</v>
      </c>
      <c r="W2" s="28" t="s">
        <v>876</v>
      </c>
      <c r="X2" s="57" t="s">
        <v>877</v>
      </c>
      <c r="Y2" s="57" t="s">
        <v>878</v>
      </c>
      <c r="Z2" s="57" t="s">
        <v>879</v>
      </c>
      <c r="AA2" s="57" t="s">
        <v>880</v>
      </c>
      <c r="AB2" s="57" t="s">
        <v>881</v>
      </c>
      <c r="AC2" s="57" t="s">
        <v>882</v>
      </c>
      <c r="AD2" s="57" t="s">
        <v>883</v>
      </c>
      <c r="AE2" s="57" t="s">
        <v>884</v>
      </c>
      <c r="AF2" s="57" t="s">
        <v>885</v>
      </c>
      <c r="AG2" s="57" t="s">
        <v>886</v>
      </c>
      <c r="AH2" s="57" t="s">
        <v>887</v>
      </c>
      <c r="AI2" s="57" t="s">
        <v>888</v>
      </c>
      <c r="AJ2" s="57" t="s">
        <v>889</v>
      </c>
      <c r="AL2" s="35"/>
      <c r="AM2" s="35"/>
      <c r="AN2" s="35"/>
    </row>
    <row r="3" spans="1:40" ht="11.25" customHeight="1" x14ac:dyDescent="0.2">
      <c r="A3" s="35" t="s">
        <v>21</v>
      </c>
      <c r="B3" s="35" t="s">
        <v>45</v>
      </c>
      <c r="C3" s="35" t="s">
        <v>42</v>
      </c>
      <c r="D3" s="35" t="s">
        <v>41</v>
      </c>
      <c r="E3" s="35" t="s">
        <v>25</v>
      </c>
      <c r="F3" s="35" t="s">
        <v>25</v>
      </c>
      <c r="G3" s="35" t="s">
        <v>25</v>
      </c>
      <c r="H3" s="35" t="s">
        <v>34</v>
      </c>
      <c r="I3" s="55">
        <v>44562</v>
      </c>
      <c r="J3" s="56">
        <f ca="1">EFEITO!$J$3*EFEITO!$Y$3</f>
        <v>1531.1836152005042</v>
      </c>
      <c r="K3" s="56">
        <f ca="1">EFEITO!$L$3*EFEITO!$Z$3</f>
        <v>0</v>
      </c>
      <c r="L3" s="56">
        <f>EFEITO!$N$3*EFEITO!$AA$3</f>
        <v>0</v>
      </c>
      <c r="M3" s="56">
        <f ca="1">$J$3-EFEITO!$K$3*EFEITO!$Y$3</f>
        <v>0</v>
      </c>
      <c r="N3" s="56">
        <f ca="1">$K$3-EFEITO!$M$3*EFEITO!$Z$3</f>
        <v>0</v>
      </c>
      <c r="O3" s="56">
        <f>$L$3-EFEITO!$O$3*EFEITO!$AA$3</f>
        <v>0</v>
      </c>
      <c r="P3" s="39"/>
      <c r="Q3" s="56" t="s">
        <v>870</v>
      </c>
      <c r="R3" s="56">
        <f>SUMIF($B$2:$B$886,$Q$3,$J$2:$J$886)</f>
        <v>0</v>
      </c>
      <c r="S3" s="56">
        <f>SUMIF($B$2:$B$886,$Q$3,$K$2:$K$886)</f>
        <v>0</v>
      </c>
      <c r="T3" s="56">
        <f>SUMIF($B$2:$B$886,$Q$3,$L$2:$L$886)</f>
        <v>0</v>
      </c>
      <c r="U3" s="56">
        <f>SUMIF($B$2:$B$886,$Q$3,$M$2:$M$886)</f>
        <v>0</v>
      </c>
      <c r="V3" s="56">
        <f>SUMIF($B$2:$B$886,$Q$3,$N$2:$N$886)</f>
        <v>0</v>
      </c>
      <c r="W3" s="56">
        <f>SUMIF($B$2:$B$886,$Q$3,$O$2:$O$886)</f>
        <v>0</v>
      </c>
      <c r="X3" s="36">
        <f>$R$3-$U$3</f>
        <v>0</v>
      </c>
      <c r="Y3" s="36">
        <f>$S$3-$V$3</f>
        <v>0</v>
      </c>
      <c r="Z3" s="36">
        <f>$T$3-$W$3</f>
        <v>0</v>
      </c>
      <c r="AA3" s="36">
        <f>SUMIF(EFEITO!$B$2:$B$886,$Q$3,EFEITO!$AE$2:$AE$886)</f>
        <v>0</v>
      </c>
      <c r="AB3" s="36">
        <f>SUMIF(EFEITO!$B$2:$B$886,$Q$3,EFEITO!$AF$2:$AF$886)</f>
        <v>0</v>
      </c>
      <c r="AC3" s="36">
        <f>SUMIF(EFEITO!$B$2:$B$886,$Q$3,EFEITO!$AG$2:$AH$886)</f>
        <v>0</v>
      </c>
      <c r="AD3" s="36">
        <f>SUMIF(SUBSIDIO!$B$2:$B$886,$Q$3,SUBSIDIO!$AD$2:$AD$886)</f>
        <v>0</v>
      </c>
      <c r="AE3" s="36">
        <f>SUMIF(SUBSIDIO!$B$2:$B$886,$Q$3,SUBSIDIO!$AE$2:$AE$886)</f>
        <v>0</v>
      </c>
      <c r="AF3" s="36" t="str">
        <f>IF(ABS($X$3-$AA$3)&lt;0.01,"OK","ERRO")</f>
        <v>OK</v>
      </c>
      <c r="AG3" s="36" t="str">
        <f>IF(ABS($Y$3-$AB$3)&lt;0.01,"OK","ERRO")</f>
        <v>OK</v>
      </c>
      <c r="AH3" s="36" t="str">
        <f>IF(ABS($Z$3-$AC$3)&lt;0.01,"OK","ERRO")</f>
        <v>OK</v>
      </c>
      <c r="AI3" s="36" t="str">
        <f>IF(ABS($U$3-$AD$3)&lt;0.01,"OK","ERRO")</f>
        <v>OK</v>
      </c>
      <c r="AJ3" s="36" t="str">
        <f>IF(ABS(($V$3+$W$3)-$AE$3)&lt;0.01,"OK","ERRO")</f>
        <v>OK</v>
      </c>
    </row>
    <row r="4" spans="1:40" ht="11.25" customHeight="1" x14ac:dyDescent="0.2">
      <c r="A4" s="35" t="s">
        <v>21</v>
      </c>
      <c r="B4" s="35" t="s">
        <v>45</v>
      </c>
      <c r="C4" s="35" t="s">
        <v>42</v>
      </c>
      <c r="D4" s="35" t="s">
        <v>44</v>
      </c>
      <c r="E4" s="35" t="s">
        <v>53</v>
      </c>
      <c r="F4" s="35" t="s">
        <v>55</v>
      </c>
      <c r="G4" s="35" t="s">
        <v>25</v>
      </c>
      <c r="H4" s="35" t="s">
        <v>35</v>
      </c>
      <c r="I4" s="55">
        <v>44713</v>
      </c>
      <c r="J4" s="56">
        <f ca="1">EFEITO!$J$4*EFEITO!$Y$2</f>
        <v>0</v>
      </c>
      <c r="K4" s="56">
        <f ca="1">EFEITO!$L$4*EFEITO!$Z$2</f>
        <v>24669.049238936477</v>
      </c>
      <c r="L4" s="56">
        <f>EFEITO!$N$4*EFEITO!$AA$2</f>
        <v>37648.612597782441</v>
      </c>
      <c r="M4" s="56">
        <f ca="1">$J$4-EFEITO!$K$4*EFEITO!$Y$4</f>
        <v>0</v>
      </c>
      <c r="N4" s="56">
        <f ca="1">$K$4-EFEITO!$M$4*EFEITO!$Z$4</f>
        <v>19735.239391149182</v>
      </c>
      <c r="O4" s="56">
        <f>$L$4-EFEITO!$O$4*EFEITO!$AA$4</f>
        <v>30118.890078225952</v>
      </c>
      <c r="P4" s="39"/>
      <c r="Q4" s="56" t="s">
        <v>748</v>
      </c>
      <c r="R4" s="56">
        <f>SUMIF($B$2:$B$886,$Q$4,$J$2:$J$886)</f>
        <v>0</v>
      </c>
      <c r="S4" s="56">
        <f>SUMIF($B$2:$B$886,$Q$4,$K$2:$K$886)</f>
        <v>0</v>
      </c>
      <c r="T4" s="56">
        <f>SUMIF($B$2:$B$886,$Q$4,$L$2:$L$886)</f>
        <v>0</v>
      </c>
      <c r="U4" s="56">
        <f>SUMIF($B$2:$B$886,$Q$4,$M$2:$M$886)</f>
        <v>0</v>
      </c>
      <c r="V4" s="56">
        <f>SUMIF($B$2:$B$886,$Q$4,$N$2:$N$886)</f>
        <v>0</v>
      </c>
      <c r="W4" s="56">
        <f>SUMIF($B$2:$B$886,$Q$4,$O$2:$O$886)</f>
        <v>0</v>
      </c>
      <c r="X4" s="36">
        <f>$R$4-$U$4</f>
        <v>0</v>
      </c>
      <c r="Y4" s="36">
        <f>$S$4-$V$4</f>
        <v>0</v>
      </c>
      <c r="Z4" s="36">
        <f>$T$4-$W$4</f>
        <v>0</v>
      </c>
      <c r="AA4" s="36">
        <f>SUMIF(EFEITO!$B$2:$B$886,$Q$4,EFEITO!$AE$2:$AE$886)</f>
        <v>0</v>
      </c>
      <c r="AB4" s="36">
        <f>SUMIF(EFEITO!$B$2:$B$886,$Q$4,EFEITO!$AF$2:$AF$886)</f>
        <v>0</v>
      </c>
      <c r="AC4" s="36">
        <f>SUMIF(EFEITO!$B$2:$B$886,$Q$4,EFEITO!$AG$2:$AH$886)</f>
        <v>0</v>
      </c>
      <c r="AD4" s="36">
        <f>SUMIF(SUBSIDIO!$B$2:$B$886,$Q$4,SUBSIDIO!$AD$2:$AD$886)</f>
        <v>0</v>
      </c>
      <c r="AE4" s="36">
        <f>SUMIF(SUBSIDIO!$B$2:$B$886,$Q$4,SUBSIDIO!$AE$2:$AE$886)</f>
        <v>0</v>
      </c>
      <c r="AF4" s="36" t="str">
        <f>IF(ABS($X$4-$AA$4)&lt;0.01,"OK","ERRO")</f>
        <v>OK</v>
      </c>
      <c r="AG4" s="36" t="str">
        <f>IF(ABS($Y$4-$AB$4)&lt;0.01,"OK","ERRO")</f>
        <v>OK</v>
      </c>
      <c r="AH4" s="36" t="str">
        <f>IF(ABS($Z$4-$AC$4)&lt;0.01,"OK","ERRO")</f>
        <v>OK</v>
      </c>
      <c r="AI4" s="36" t="str">
        <f>IF(ABS($U$4-$AD$4)&lt;0.01,"OK","ERRO")</f>
        <v>OK</v>
      </c>
      <c r="AJ4" s="36" t="str">
        <f>IF(ABS(($V$4+$W$4)-$AE$4)&lt;0.01,"OK","ERRO")</f>
        <v>OK</v>
      </c>
    </row>
    <row r="5" spans="1:40" ht="11.25" customHeight="1" x14ac:dyDescent="0.2">
      <c r="A5" s="35" t="s">
        <v>21</v>
      </c>
      <c r="B5" s="35" t="s">
        <v>45</v>
      </c>
      <c r="C5" s="35" t="s">
        <v>42</v>
      </c>
      <c r="D5" s="35" t="s">
        <v>44</v>
      </c>
      <c r="E5" s="35" t="s">
        <v>53</v>
      </c>
      <c r="F5" s="35" t="s">
        <v>55</v>
      </c>
      <c r="G5" s="35" t="s">
        <v>25</v>
      </c>
      <c r="H5" s="35" t="s">
        <v>35</v>
      </c>
      <c r="I5" s="55">
        <v>44743</v>
      </c>
      <c r="J5" s="56">
        <f ca="1">EFEITO!$J$5*EFEITO!$Y$2</f>
        <v>0</v>
      </c>
      <c r="K5" s="56">
        <f ca="1">EFEITO!$L$5*EFEITO!$Z$2</f>
        <v>24669.049238936477</v>
      </c>
      <c r="L5" s="56">
        <f>EFEITO!$N$5*EFEITO!$AA$2</f>
        <v>37648.612597782441</v>
      </c>
      <c r="M5" s="56">
        <f ca="1">$J$5-EFEITO!$K$5*EFEITO!$Y$5</f>
        <v>0</v>
      </c>
      <c r="N5" s="56">
        <f ca="1">$K$5-EFEITO!$M$5*EFEITO!$Z$5</f>
        <v>19735.239391149182</v>
      </c>
      <c r="O5" s="56">
        <f>$L$5-EFEITO!$O$5*EFEITO!$AA$5</f>
        <v>30118.890078225952</v>
      </c>
      <c r="P5" s="39"/>
      <c r="Q5" s="56" t="s">
        <v>749</v>
      </c>
      <c r="R5" s="56">
        <f>SUMIF($B$2:$B$886,$Q$5,$J$2:$J$886)</f>
        <v>0</v>
      </c>
      <c r="S5" s="56">
        <f>SUMIF($B$2:$B$886,$Q$5,$K$2:$K$886)</f>
        <v>0</v>
      </c>
      <c r="T5" s="56">
        <f>SUMIF($B$2:$B$886,$Q$5,$L$2:$L$886)</f>
        <v>0</v>
      </c>
      <c r="U5" s="56">
        <f>SUMIF($B$2:$B$886,$Q$5,$M$2:$M$886)</f>
        <v>0</v>
      </c>
      <c r="V5" s="56">
        <f>SUMIF($B$2:$B$886,$Q$5,$N$2:$N$886)</f>
        <v>0</v>
      </c>
      <c r="W5" s="56">
        <f>SUMIF($B$2:$B$886,$Q$5,$O$2:$O$886)</f>
        <v>0</v>
      </c>
      <c r="X5" s="36">
        <f>$R$5-$U$5</f>
        <v>0</v>
      </c>
      <c r="Y5" s="36">
        <f>$S$5-$V$5</f>
        <v>0</v>
      </c>
      <c r="Z5" s="36">
        <f>$T$5-$W$5</f>
        <v>0</v>
      </c>
      <c r="AA5" s="36">
        <f>SUMIF(EFEITO!$B$2:$B$886,$Q$5,EFEITO!$AE$2:$AE$886)</f>
        <v>0</v>
      </c>
      <c r="AB5" s="36">
        <f>SUMIF(EFEITO!$B$2:$B$886,$Q$5,EFEITO!$AF$2:$AF$886)</f>
        <v>0</v>
      </c>
      <c r="AC5" s="36">
        <f>SUMIF(EFEITO!$B$2:$B$886,$Q$5,EFEITO!$AG$2:$AH$886)</f>
        <v>0</v>
      </c>
      <c r="AD5" s="36">
        <f>SUMIF(SUBSIDIO!$B$2:$B$886,$Q$5,SUBSIDIO!$AD$2:$AD$886)</f>
        <v>0</v>
      </c>
      <c r="AE5" s="36">
        <f>SUMIF(SUBSIDIO!$B$2:$B$886,$Q$5,SUBSIDIO!$AE$2:$AE$886)</f>
        <v>0</v>
      </c>
      <c r="AF5" s="36" t="str">
        <f>IF(ABS($X$5-$AA$5)&lt;0.01,"OK","ERRO")</f>
        <v>OK</v>
      </c>
      <c r="AG5" s="36" t="str">
        <f>IF(ABS($Y$5-$AB$5)&lt;0.01,"OK","ERRO")</f>
        <v>OK</v>
      </c>
      <c r="AH5" s="36" t="str">
        <f>IF(ABS($Z$5-$AC$5)&lt;0.01,"OK","ERRO")</f>
        <v>OK</v>
      </c>
      <c r="AI5" s="36" t="str">
        <f>IF(ABS($U$5-$AD$5)&lt;0.01,"OK","ERRO")</f>
        <v>OK</v>
      </c>
      <c r="AJ5" s="36" t="str">
        <f>IF(ABS(($V$5+$W$5)-$AE$5)&lt;0.01,"OK","ERRO")</f>
        <v>OK</v>
      </c>
    </row>
    <row r="6" spans="1:40" ht="11.25" customHeight="1" x14ac:dyDescent="0.2">
      <c r="A6" s="35" t="s">
        <v>21</v>
      </c>
      <c r="B6" s="35" t="s">
        <v>45</v>
      </c>
      <c r="C6" s="35" t="s">
        <v>42</v>
      </c>
      <c r="D6" s="35" t="s">
        <v>44</v>
      </c>
      <c r="E6" s="35" t="s">
        <v>53</v>
      </c>
      <c r="F6" s="35" t="s">
        <v>55</v>
      </c>
      <c r="G6" s="35" t="s">
        <v>25</v>
      </c>
      <c r="H6" s="35" t="s">
        <v>35</v>
      </c>
      <c r="I6" s="55">
        <v>44774</v>
      </c>
      <c r="J6" s="56">
        <f ca="1">EFEITO!$J$6*EFEITO!$Y$2</f>
        <v>0</v>
      </c>
      <c r="K6" s="56">
        <f ca="1">EFEITO!$L$6*EFEITO!$Z$2</f>
        <v>72704.098249070608</v>
      </c>
      <c r="L6" s="56">
        <f>EFEITO!$N$6*EFEITO!$AA$2</f>
        <v>110957.19185359158</v>
      </c>
      <c r="M6" s="56">
        <f ca="1">$J$6-EFEITO!$K$6*EFEITO!$Y$6</f>
        <v>0</v>
      </c>
      <c r="N6" s="56">
        <f ca="1">$K$6-EFEITO!$M$6*EFEITO!$Z$6</f>
        <v>58163.27859925649</v>
      </c>
      <c r="O6" s="56">
        <f>$L$6-EFEITO!$O$6*EFEITO!$AA$6</f>
        <v>88765.753482873261</v>
      </c>
      <c r="P6" s="39"/>
      <c r="Q6" s="56" t="s">
        <v>45</v>
      </c>
      <c r="R6" s="56" t="e">
        <f ca="1">SUMIF($B$2:$B$886,$Q$6,$J$2:$J$886)</f>
        <v>#NAME?</v>
      </c>
      <c r="S6" s="56" t="e">
        <f ca="1">SUMIF($B$2:$B$886,$Q$6,$K$2:$K$886)</f>
        <v>#NAME?</v>
      </c>
      <c r="T6" s="56" t="e">
        <f>SUMIF($B$2:$B$886,$Q$6,$L$2:$L$886)</f>
        <v>#NAME?</v>
      </c>
      <c r="U6" s="56" t="e">
        <f ca="1">SUMIF($B$2:$B$886,$Q$6,$M$2:$M$886)</f>
        <v>#NAME?</v>
      </c>
      <c r="V6" s="56" t="e">
        <f ca="1">SUMIF($B$2:$B$886,$Q$6,$N$2:$N$886)</f>
        <v>#NAME?</v>
      </c>
      <c r="W6" s="56" t="e">
        <f>SUMIF($B$2:$B$886,$Q$6,$O$2:$O$886)</f>
        <v>#NAME?</v>
      </c>
      <c r="X6" s="36" t="e">
        <f ca="1">$R$6-$U$6</f>
        <v>#NAME?</v>
      </c>
      <c r="Y6" s="36" t="e">
        <f ca="1">$S$6-$V$6</f>
        <v>#NAME?</v>
      </c>
      <c r="Z6" s="36" t="e">
        <f>$T$6-$W$6</f>
        <v>#NAME?</v>
      </c>
      <c r="AA6" s="36">
        <f ca="1">SUMIF(EFEITO!$B$2:$B$886,$Q$6,EFEITO!$AE$2:$AE$886)</f>
        <v>763151.34161323588</v>
      </c>
      <c r="AB6" s="36">
        <f ca="1">SUMIF(EFEITO!$B$2:$B$886,$Q$6,EFEITO!$AF$2:$AF$886)</f>
        <v>169089.94620363714</v>
      </c>
      <c r="AC6" s="36">
        <f>SUMIF(EFEITO!$B$2:$B$886,$Q$6,EFEITO!$AG$2:$AH$886)</f>
        <v>248752.65439930873</v>
      </c>
      <c r="AD6" s="36">
        <f ca="1">SUMIF(SUBSIDIO!$B$2:$B$886,$Q$6,SUBSIDIO!$AD$2:$AD$886)</f>
        <v>6362.5170062997704</v>
      </c>
      <c r="AE6" s="36">
        <f ca="1">SUMIF(SUBSIDIO!$B$2:$B$886,$Q$6,SUBSIDIO!$AE$2:$AE$886)</f>
        <v>256957.54032247144</v>
      </c>
      <c r="AF6" s="36" t="e">
        <f ca="1">IF(ABS($X$6-$AA$6)&lt;0.01,"OK","ERRO")</f>
        <v>#NAME?</v>
      </c>
      <c r="AG6" s="36" t="e">
        <f ca="1">IF(ABS($Y$6-$AB$6)&lt;0.01,"OK","ERRO")</f>
        <v>#NAME?</v>
      </c>
      <c r="AH6" s="36" t="e">
        <f>IF(ABS($Z$6-$AC$6)&lt;0.01,"OK","ERRO")</f>
        <v>#NAME?</v>
      </c>
      <c r="AI6" s="36" t="e">
        <f ca="1">IF(ABS($U$6-$AD$6)&lt;0.01,"OK","ERRO")</f>
        <v>#NAME?</v>
      </c>
      <c r="AJ6" s="36" t="e">
        <f ca="1">IF(ABS(($V$6+$W$6)-$AE$6)&lt;0.01,"OK","ERRO")</f>
        <v>#NAME?</v>
      </c>
    </row>
    <row r="7" spans="1:40" ht="11.25" customHeight="1" x14ac:dyDescent="0.2">
      <c r="A7" s="35" t="s">
        <v>21</v>
      </c>
      <c r="B7" s="35" t="s">
        <v>45</v>
      </c>
      <c r="C7" s="35" t="s">
        <v>42</v>
      </c>
      <c r="D7" s="35" t="s">
        <v>44</v>
      </c>
      <c r="E7" s="35" t="s">
        <v>53</v>
      </c>
      <c r="F7" s="35" t="s">
        <v>25</v>
      </c>
      <c r="G7" s="35" t="s">
        <v>25</v>
      </c>
      <c r="H7" s="35" t="s">
        <v>35</v>
      </c>
      <c r="I7" s="55">
        <v>44501</v>
      </c>
      <c r="J7" s="56">
        <f ca="1">EFEITO!$J$7*EFEITO!$Y$2</f>
        <v>2436.1046033211896</v>
      </c>
      <c r="K7" s="56">
        <f ca="1">EFEITO!$L$7*EFEITO!$Z$2</f>
        <v>0</v>
      </c>
      <c r="L7" s="56">
        <f>EFEITO!$N$7*EFEITO!$AA$2</f>
        <v>0</v>
      </c>
      <c r="M7" s="56">
        <f ca="1">$J$7-EFEITO!$K$7*EFEITO!$Y$7</f>
        <v>48.722092066424011</v>
      </c>
      <c r="N7" s="56">
        <f ca="1">$K$7-EFEITO!$M$7*EFEITO!$Z$7</f>
        <v>0</v>
      </c>
      <c r="O7" s="56">
        <f>$L$7-EFEITO!$O$7*EFEITO!$AA$7</f>
        <v>0</v>
      </c>
      <c r="P7" s="39"/>
      <c r="Q7" s="56" t="s">
        <v>39</v>
      </c>
      <c r="R7" s="56">
        <f ca="1">SUMIF($B$2:$B$886,$Q$7,$J$2:$J$886)</f>
        <v>3173232.1951522748</v>
      </c>
      <c r="S7" s="56">
        <f ca="1">SUMIF($B$2:$B$886,$Q$7,$K$2:$K$886)</f>
        <v>5417070.110559687</v>
      </c>
      <c r="T7" s="56">
        <f>SUMIF($B$2:$B$886,$Q$7,$L$2:$L$886)</f>
        <v>4561716.9093337143</v>
      </c>
      <c r="U7" s="56">
        <f ca="1">SUMIF($B$2:$B$886,$Q$7,$M$2:$M$886)</f>
        <v>288252.43811379309</v>
      </c>
      <c r="V7" s="56">
        <f ca="1">SUMIF($B$2:$B$886,$Q$7,$N$2:$N$886)</f>
        <v>336731.26197908231</v>
      </c>
      <c r="W7" s="56">
        <f>SUMIF($B$2:$B$886,$Q$7,$O$2:$O$886)</f>
        <v>217945.82901497194</v>
      </c>
      <c r="X7" s="36">
        <f ca="1">$R$7-$U$7</f>
        <v>2884979.7570384815</v>
      </c>
      <c r="Y7" s="36">
        <f ca="1">$S$7-$V$7</f>
        <v>5080338.8485806044</v>
      </c>
      <c r="Z7" s="36">
        <f>$T$7-$W$7</f>
        <v>4343771.0803187424</v>
      </c>
      <c r="AA7" s="36">
        <f ca="1">SUMIF(EFEITO!$B$2:$B$886,$Q$7,EFEITO!$AE$2:$AE$886)</f>
        <v>2884979.7570384843</v>
      </c>
      <c r="AB7" s="36">
        <f ca="1">SUMIF(EFEITO!$B$2:$B$886,$Q$7,EFEITO!$AF$2:$AF$886)</f>
        <v>5080338.8485806044</v>
      </c>
      <c r="AC7" s="36">
        <f>SUMIF(EFEITO!$B$2:$B$886,$Q$7,EFEITO!$AG$2:$AH$886)</f>
        <v>4343771.0803187443</v>
      </c>
      <c r="AD7" s="36">
        <f ca="1">SUMIF(SUBSIDIO!$B$2:$B$886,$Q$7,SUBSIDIO!$AD$2:$AD$886)</f>
        <v>288252.43811379309</v>
      </c>
      <c r="AE7" s="36">
        <f ca="1">SUMIF(SUBSIDIO!$B$2:$B$886,$Q$7,SUBSIDIO!$AE$2:$AE$886)</f>
        <v>554677.09099405375</v>
      </c>
      <c r="AF7" s="36" t="str">
        <f ca="1">IF(ABS($X$7-$AA$7)&lt;0.01,"OK","ERRO")</f>
        <v>OK</v>
      </c>
      <c r="AG7" s="36" t="str">
        <f ca="1">IF(ABS($Y$7-$AB$7)&lt;0.01,"OK","ERRO")</f>
        <v>OK</v>
      </c>
      <c r="AH7" s="36" t="str">
        <f>IF(ABS($Z$7-$AC$7)&lt;0.01,"OK","ERRO")</f>
        <v>OK</v>
      </c>
      <c r="AI7" s="36" t="str">
        <f ca="1">IF(ABS($U$7-$AD$7)&lt;0.01,"OK","ERRO")</f>
        <v>OK</v>
      </c>
      <c r="AJ7" s="36" t="str">
        <f ca="1">IF(ABS(($V$7+$W$7)-$AE$7)&lt;0.01,"OK","ERRO")</f>
        <v>OK</v>
      </c>
    </row>
    <row r="8" spans="1:40" ht="11.25" customHeight="1" x14ac:dyDescent="0.2">
      <c r="A8" s="35" t="s">
        <v>21</v>
      </c>
      <c r="B8" s="35" t="s">
        <v>45</v>
      </c>
      <c r="C8" s="35" t="s">
        <v>42</v>
      </c>
      <c r="D8" s="35" t="s">
        <v>44</v>
      </c>
      <c r="E8" s="35" t="s">
        <v>53</v>
      </c>
      <c r="F8" s="35" t="s">
        <v>25</v>
      </c>
      <c r="G8" s="35" t="s">
        <v>25</v>
      </c>
      <c r="H8" s="35" t="s">
        <v>35</v>
      </c>
      <c r="I8" s="55">
        <v>44531</v>
      </c>
      <c r="J8" s="56">
        <f ca="1">EFEITO!$J$8*EFEITO!$Y$2</f>
        <v>2436.1046033211896</v>
      </c>
      <c r="K8" s="56">
        <f ca="1">EFEITO!$L$8*EFEITO!$Z$2</f>
        <v>0</v>
      </c>
      <c r="L8" s="56">
        <f>EFEITO!$N$8*EFEITO!$AA$2</f>
        <v>0</v>
      </c>
      <c r="M8" s="56">
        <f ca="1">$J$8-EFEITO!$K$8*EFEITO!$Y$8</f>
        <v>48.722092066424011</v>
      </c>
      <c r="N8" s="56">
        <f ca="1">$K$8-EFEITO!$M$8*EFEITO!$Z$8</f>
        <v>0</v>
      </c>
      <c r="O8" s="56">
        <f>$L$8-EFEITO!$O$8*EFEITO!$AA$8</f>
        <v>0</v>
      </c>
      <c r="P8" s="39"/>
      <c r="Q8" s="56" t="s">
        <v>750</v>
      </c>
      <c r="R8" s="56">
        <f>SUMIF($B$2:$B$886,$Q$8,$J$2:$J$886)</f>
        <v>0</v>
      </c>
      <c r="S8" s="56">
        <f>SUMIF($B$2:$B$886,$Q$8,$K$2:$K$886)</f>
        <v>0</v>
      </c>
      <c r="T8" s="56">
        <f>SUMIF($B$2:$B$886,$Q$8,$L$2:$L$886)</f>
        <v>0</v>
      </c>
      <c r="U8" s="56">
        <f>SUMIF($B$2:$B$886,$Q$8,$M$2:$M$886)</f>
        <v>0</v>
      </c>
      <c r="V8" s="56">
        <f>SUMIF($B$2:$B$886,$Q$8,$N$2:$N$886)</f>
        <v>0</v>
      </c>
      <c r="W8" s="56">
        <f>SUMIF($B$2:$B$886,$Q$8,$O$2:$O$886)</f>
        <v>0</v>
      </c>
      <c r="X8" s="36">
        <f>$R$8-$U$8</f>
        <v>0</v>
      </c>
      <c r="Y8" s="36">
        <f>$S$8-$V$8</f>
        <v>0</v>
      </c>
      <c r="Z8" s="36">
        <f>$T$8-$W$8</f>
        <v>0</v>
      </c>
      <c r="AA8" s="36">
        <f>SUMIF(EFEITO!$B$2:$B$886,$Q$8,EFEITO!$AE$2:$AE$886)</f>
        <v>0</v>
      </c>
      <c r="AB8" s="36">
        <f>SUMIF(EFEITO!$B$2:$B$886,$Q$8,EFEITO!$AF$2:$AF$886)</f>
        <v>0</v>
      </c>
      <c r="AC8" s="36">
        <f>SUMIF(EFEITO!$B$2:$B$886,$Q$8,EFEITO!$AG$2:$AH$886)</f>
        <v>0</v>
      </c>
      <c r="AD8" s="36">
        <f>SUMIF(SUBSIDIO!$B$2:$B$886,$Q$8,SUBSIDIO!$AD$2:$AD$886)</f>
        <v>0</v>
      </c>
      <c r="AE8" s="36">
        <f>SUMIF(SUBSIDIO!$B$2:$B$886,$Q$8,SUBSIDIO!$AE$2:$AE$886)</f>
        <v>0</v>
      </c>
      <c r="AF8" s="36" t="str">
        <f>IF(ABS($X$8-$AA$8)&lt;0.01,"OK","ERRO")</f>
        <v>OK</v>
      </c>
      <c r="AG8" s="36" t="str">
        <f>IF(ABS($Y$8-$AB$8)&lt;0.01,"OK","ERRO")</f>
        <v>OK</v>
      </c>
      <c r="AH8" s="36" t="str">
        <f>IF(ABS($Z$8-$AC$8)&lt;0.01,"OK","ERRO")</f>
        <v>OK</v>
      </c>
      <c r="AI8" s="36" t="str">
        <f>IF(ABS($U$8-$AD$8)&lt;0.01,"OK","ERRO")</f>
        <v>OK</v>
      </c>
      <c r="AJ8" s="36" t="str">
        <f>IF(ABS(($V$8+$W$8)-$AE$8)&lt;0.01,"OK","ERRO")</f>
        <v>OK</v>
      </c>
    </row>
    <row r="9" spans="1:40" ht="11.25" customHeight="1" x14ac:dyDescent="0.2">
      <c r="A9" s="35" t="s">
        <v>21</v>
      </c>
      <c r="B9" s="35" t="s">
        <v>45</v>
      </c>
      <c r="C9" s="35" t="s">
        <v>42</v>
      </c>
      <c r="D9" s="35" t="s">
        <v>44</v>
      </c>
      <c r="E9" s="35" t="s">
        <v>53</v>
      </c>
      <c r="F9" s="35" t="s">
        <v>25</v>
      </c>
      <c r="G9" s="35" t="s">
        <v>25</v>
      </c>
      <c r="H9" s="35" t="s">
        <v>35</v>
      </c>
      <c r="I9" s="55">
        <v>44593</v>
      </c>
      <c r="J9" s="56">
        <f ca="1">EFEITO!$J$9*EFEITO!$Y$2</f>
        <v>2436.1046033211896</v>
      </c>
      <c r="K9" s="56">
        <f ca="1">EFEITO!$L$9*EFEITO!$Z$2</f>
        <v>0</v>
      </c>
      <c r="L9" s="56">
        <f>EFEITO!$N$9*EFEITO!$AA$2</f>
        <v>0</v>
      </c>
      <c r="M9" s="56">
        <f ca="1">$J$9-EFEITO!$K$9*EFEITO!$Y$9</f>
        <v>48.722092066424011</v>
      </c>
      <c r="N9" s="56">
        <f ca="1">$K$9-EFEITO!$M$9*EFEITO!$Z$9</f>
        <v>0</v>
      </c>
      <c r="O9" s="56">
        <f>$L$9-EFEITO!$O$9*EFEITO!$AA$9</f>
        <v>0</v>
      </c>
      <c r="P9" s="39"/>
      <c r="Q9" s="56" t="s">
        <v>22</v>
      </c>
      <c r="R9" s="56">
        <f>SUMIF($B$2:$B$886,$Q$9,$J$2:$J$886)</f>
        <v>0</v>
      </c>
      <c r="S9" s="56">
        <f ca="1">SUMIF($B$2:$B$886,$Q$9,$K$2:$K$886)</f>
        <v>24290792.541720562</v>
      </c>
      <c r="T9" s="56">
        <f>SUMIF($B$2:$B$886,$Q$9,$L$2:$L$886)</f>
        <v>12183574.875239236</v>
      </c>
      <c r="U9" s="56">
        <f>SUMIF($B$2:$B$886,$Q$9,$M$2:$M$886)</f>
        <v>0</v>
      </c>
      <c r="V9" s="56">
        <f ca="1">SUMIF($B$2:$B$886,$Q$9,$N$2:$N$886)</f>
        <v>586825.19609251444</v>
      </c>
      <c r="W9" s="56">
        <f>SUMIF($B$2:$B$886,$Q$9,$O$2:$O$886)</f>
        <v>417964.15383831231</v>
      </c>
      <c r="X9" s="36">
        <f>$R$9-$U$9</f>
        <v>0</v>
      </c>
      <c r="Y9" s="36">
        <f ca="1">$S$9-$V$9</f>
        <v>23703967.345628045</v>
      </c>
      <c r="Z9" s="36">
        <f>$T$9-$W$9</f>
        <v>11765610.721400924</v>
      </c>
      <c r="AA9" s="36">
        <f>SUMIF(EFEITO!$B$2:$B$886,$Q$9,EFEITO!$AE$2:$AE$886)</f>
        <v>0</v>
      </c>
      <c r="AB9" s="36">
        <f ca="1">SUMIF(EFEITO!$B$2:$B$886,$Q$9,EFEITO!$AF$2:$AF$886)</f>
        <v>23703967.345628045</v>
      </c>
      <c r="AC9" s="36">
        <f>SUMIF(EFEITO!$B$2:$B$886,$Q$9,EFEITO!$AG$2:$AH$886)</f>
        <v>11765610.721400926</v>
      </c>
      <c r="AD9" s="36">
        <f>SUMIF(SUBSIDIO!$B$2:$B$886,$Q$9,SUBSIDIO!$AD$2:$AD$886)</f>
        <v>0</v>
      </c>
      <c r="AE9" s="36">
        <f ca="1">SUMIF(SUBSIDIO!$B$2:$B$886,$Q$9,SUBSIDIO!$AE$2:$AE$886)</f>
        <v>1004789.3499308267</v>
      </c>
      <c r="AF9" s="36" t="str">
        <f>IF(ABS($X$9-$AA$9)&lt;0.01,"OK","ERRO")</f>
        <v>OK</v>
      </c>
      <c r="AG9" s="36" t="str">
        <f ca="1">IF(ABS($Y$9-$AB$9)&lt;0.01,"OK","ERRO")</f>
        <v>OK</v>
      </c>
      <c r="AH9" s="36" t="str">
        <f>IF(ABS($Z$9-$AC$9)&lt;0.01,"OK","ERRO")</f>
        <v>OK</v>
      </c>
      <c r="AI9" s="36" t="str">
        <f>IF(ABS($U$9-$AD$9)&lt;0.01,"OK","ERRO")</f>
        <v>OK</v>
      </c>
      <c r="AJ9" s="36" t="str">
        <f ca="1">IF(ABS(($V$9+$W$9)-$AE$9)&lt;0.01,"OK","ERRO")</f>
        <v>OK</v>
      </c>
    </row>
    <row r="10" spans="1:40" ht="11.25" customHeight="1" x14ac:dyDescent="0.2">
      <c r="A10" s="35" t="s">
        <v>21</v>
      </c>
      <c r="B10" s="35" t="s">
        <v>45</v>
      </c>
      <c r="C10" s="35" t="s">
        <v>42</v>
      </c>
      <c r="D10" s="35" t="s">
        <v>44</v>
      </c>
      <c r="E10" s="35" t="s">
        <v>53</v>
      </c>
      <c r="F10" s="35" t="s">
        <v>25</v>
      </c>
      <c r="G10" s="35" t="s">
        <v>25</v>
      </c>
      <c r="H10" s="35" t="s">
        <v>35</v>
      </c>
      <c r="I10" s="55">
        <v>44621</v>
      </c>
      <c r="J10" s="56">
        <f ca="1">EFEITO!$J$10*EFEITO!$Y$2</f>
        <v>2436.1046033211896</v>
      </c>
      <c r="K10" s="56">
        <f ca="1">EFEITO!$L$10*EFEITO!$Z$2</f>
        <v>0</v>
      </c>
      <c r="L10" s="56">
        <f>EFEITO!$N$10*EFEITO!$AA$2</f>
        <v>0</v>
      </c>
      <c r="M10" s="56">
        <f ca="1">$J$10-EFEITO!$K$10*EFEITO!$Y$10</f>
        <v>48.722092066424011</v>
      </c>
      <c r="N10" s="56">
        <f ca="1">$K$10-EFEITO!$M$10*EFEITO!$Z$10</f>
        <v>0</v>
      </c>
      <c r="O10" s="56">
        <f>$L$10-EFEITO!$O$10*EFEITO!$AA$10</f>
        <v>0</v>
      </c>
      <c r="P10" s="39"/>
      <c r="Q10" s="56" t="s">
        <v>43</v>
      </c>
      <c r="R10" s="56">
        <f>SUMIF($B$2:$B$886,$Q$10,$J$2:$J$886)</f>
        <v>0</v>
      </c>
      <c r="S10" s="56">
        <f ca="1">SUMIF($B$2:$B$886,$Q$10,$K$2:$K$886)</f>
        <v>8491123.9099889454</v>
      </c>
      <c r="T10" s="56">
        <f>SUMIF($B$2:$B$886,$Q$10,$L$2:$L$886)</f>
        <v>4122089.4198884261</v>
      </c>
      <c r="U10" s="56">
        <f>SUMIF($B$2:$B$886,$Q$10,$M$2:$M$886)</f>
        <v>0</v>
      </c>
      <c r="V10" s="56">
        <f ca="1">SUMIF($B$2:$B$886,$Q$10,$N$2:$N$886)</f>
        <v>829491.86582992249</v>
      </c>
      <c r="W10" s="56">
        <f>SUMIF($B$2:$B$886,$Q$10,$O$2:$O$886)</f>
        <v>402683.98862942541</v>
      </c>
      <c r="X10" s="36">
        <f>$R$10-$U$10</f>
        <v>0</v>
      </c>
      <c r="Y10" s="36">
        <f ca="1">$S$10-$V$10</f>
        <v>7661632.0441590231</v>
      </c>
      <c r="Z10" s="36">
        <f>$T$10-$W$10</f>
        <v>3719405.4312590007</v>
      </c>
      <c r="AA10" s="36">
        <f>SUMIF(EFEITO!$B$2:$B$886,$Q$10,EFEITO!$AE$2:$AE$886)</f>
        <v>0</v>
      </c>
      <c r="AB10" s="36">
        <f ca="1">SUMIF(EFEITO!$B$2:$B$886,$Q$10,EFEITO!$AF$2:$AF$886)</f>
        <v>7661632.044159024</v>
      </c>
      <c r="AC10" s="36">
        <f>SUMIF(EFEITO!$B$2:$B$886,$Q$10,EFEITO!$AG$2:$AH$886)</f>
        <v>3719405.4312589997</v>
      </c>
      <c r="AD10" s="36">
        <f>SUMIF(SUBSIDIO!$B$2:$B$886,$Q$10,SUBSIDIO!$AD$2:$AD$886)</f>
        <v>0</v>
      </c>
      <c r="AE10" s="36">
        <f ca="1">SUMIF(SUBSIDIO!$B$2:$B$886,$Q$10,SUBSIDIO!$AE$2:$AE$886)</f>
        <v>1232175.8544593472</v>
      </c>
      <c r="AF10" s="36" t="str">
        <f>IF(ABS($X$10-$AA$10)&lt;0.01,"OK","ERRO")</f>
        <v>OK</v>
      </c>
      <c r="AG10" s="36" t="str">
        <f ca="1">IF(ABS($Y$10-$AB$10)&lt;0.01,"OK","ERRO")</f>
        <v>OK</v>
      </c>
      <c r="AH10" s="36" t="str">
        <f>IF(ABS($Z$10-$AC$10)&lt;0.01,"OK","ERRO")</f>
        <v>OK</v>
      </c>
      <c r="AI10" s="36" t="str">
        <f>IF(ABS($U$10-$AD$10)&lt;0.01,"OK","ERRO")</f>
        <v>OK</v>
      </c>
      <c r="AJ10" s="36" t="str">
        <f ca="1">IF(ABS(($V$10+$W$10)-$AE$10)&lt;0.01,"OK","ERRO")</f>
        <v>OK</v>
      </c>
    </row>
    <row r="11" spans="1:40" ht="11.25" customHeight="1" x14ac:dyDescent="0.2">
      <c r="A11" s="35" t="s">
        <v>21</v>
      </c>
      <c r="B11" s="35" t="s">
        <v>45</v>
      </c>
      <c r="C11" s="35" t="s">
        <v>42</v>
      </c>
      <c r="D11" s="35" t="s">
        <v>44</v>
      </c>
      <c r="E11" s="35" t="s">
        <v>53</v>
      </c>
      <c r="F11" s="35" t="s">
        <v>25</v>
      </c>
      <c r="G11" s="35" t="s">
        <v>25</v>
      </c>
      <c r="H11" s="35" t="s">
        <v>35</v>
      </c>
      <c r="I11" s="55">
        <v>44652</v>
      </c>
      <c r="J11" s="56">
        <f ca="1">EFEITO!$J$11*EFEITO!$Y$2</f>
        <v>2436.1046033211896</v>
      </c>
      <c r="K11" s="56">
        <f ca="1">EFEITO!$L$11*EFEITO!$Z$2</f>
        <v>0</v>
      </c>
      <c r="L11" s="56">
        <f>EFEITO!$N$11*EFEITO!$AA$2</f>
        <v>0</v>
      </c>
      <c r="M11" s="56">
        <f ca="1">$J$11-EFEITO!$K$11*EFEITO!$Y$11</f>
        <v>48.722092066424011</v>
      </c>
      <c r="N11" s="56">
        <f ca="1">$K$11-EFEITO!$M$11*EFEITO!$Z$11</f>
        <v>0</v>
      </c>
      <c r="O11" s="56">
        <f>$L$11-EFEITO!$O$11*EFEITO!$AA$11</f>
        <v>0</v>
      </c>
      <c r="P11" s="39"/>
      <c r="Q11" s="56" t="s">
        <v>37</v>
      </c>
      <c r="R11" s="56">
        <f>SUMIF($B$2:$B$886,$Q$11,$J$2:$J$886)</f>
        <v>0</v>
      </c>
      <c r="S11" s="56">
        <f ca="1">SUMIF($B$2:$B$886,$Q$11,$K$2:$K$886)</f>
        <v>11738901.997981915</v>
      </c>
      <c r="T11" s="56">
        <f>SUMIF($B$2:$B$886,$Q$11,$L$2:$L$886)</f>
        <v>5699777.0302845854</v>
      </c>
      <c r="U11" s="56">
        <f>SUMIF($B$2:$B$886,$Q$11,$M$2:$M$886)</f>
        <v>0</v>
      </c>
      <c r="V11" s="56">
        <f ca="1">SUMIF($B$2:$B$886,$Q$11,$N$2:$N$886)</f>
        <v>22602.461012962282</v>
      </c>
      <c r="W11" s="56">
        <f>SUMIF($B$2:$B$886,$Q$11,$O$2:$O$886)</f>
        <v>10972.559862819613</v>
      </c>
      <c r="X11" s="36">
        <f>$R$11-$U$11</f>
        <v>0</v>
      </c>
      <c r="Y11" s="36">
        <f ca="1">$S$11-$V$11</f>
        <v>11716299.536968952</v>
      </c>
      <c r="Z11" s="36">
        <f>$T$11-$W$11</f>
        <v>5688804.4704217659</v>
      </c>
      <c r="AA11" s="36">
        <f>SUMIF(EFEITO!$B$2:$B$886,$Q$11,EFEITO!$AE$2:$AE$886)</f>
        <v>0</v>
      </c>
      <c r="AB11" s="36">
        <f ca="1">SUMIF(EFEITO!$B$2:$B$886,$Q$11,EFEITO!$AF$2:$AF$886)</f>
        <v>11716299.536968954</v>
      </c>
      <c r="AC11" s="36">
        <f>SUMIF(EFEITO!$B$2:$B$886,$Q$11,EFEITO!$AG$2:$AH$886)</f>
        <v>5688804.4704217678</v>
      </c>
      <c r="AD11" s="36">
        <f>SUMIF(SUBSIDIO!$B$2:$B$886,$Q$11,SUBSIDIO!$AD$2:$AD$886)</f>
        <v>0</v>
      </c>
      <c r="AE11" s="36">
        <f ca="1">SUMIF(SUBSIDIO!$B$2:$B$886,$Q$11,SUBSIDIO!$AE$2:$AE$886)</f>
        <v>33575.020875781833</v>
      </c>
      <c r="AF11" s="36" t="str">
        <f>IF(ABS($X$11-$AA$11)&lt;0.01,"OK","ERRO")</f>
        <v>OK</v>
      </c>
      <c r="AG11" s="36" t="str">
        <f ca="1">IF(ABS($Y$11-$AB$11)&lt;0.01,"OK","ERRO")</f>
        <v>OK</v>
      </c>
      <c r="AH11" s="36" t="str">
        <f>IF(ABS($Z$11-$AC$11)&lt;0.01,"OK","ERRO")</f>
        <v>OK</v>
      </c>
      <c r="AI11" s="36" t="str">
        <f>IF(ABS($U$11-$AD$11)&lt;0.01,"OK","ERRO")</f>
        <v>OK</v>
      </c>
      <c r="AJ11" s="36" t="str">
        <f ca="1">IF(ABS(($V$11+$W$11)-$AE$11)&lt;0.01,"OK","ERRO")</f>
        <v>OK</v>
      </c>
    </row>
    <row r="12" spans="1:40" ht="11.25" customHeight="1" x14ac:dyDescent="0.2">
      <c r="A12" s="35" t="s">
        <v>21</v>
      </c>
      <c r="B12" s="35" t="s">
        <v>45</v>
      </c>
      <c r="C12" s="35" t="s">
        <v>42</v>
      </c>
      <c r="D12" s="35" t="s">
        <v>44</v>
      </c>
      <c r="E12" s="35" t="s">
        <v>53</v>
      </c>
      <c r="F12" s="35" t="s">
        <v>25</v>
      </c>
      <c r="G12" s="35" t="s">
        <v>25</v>
      </c>
      <c r="H12" s="35" t="s">
        <v>35</v>
      </c>
      <c r="I12" s="55">
        <v>44682</v>
      </c>
      <c r="J12" s="56">
        <f ca="1">EFEITO!$J$12*EFEITO!$Y$2</f>
        <v>2436.1046033211896</v>
      </c>
      <c r="K12" s="56">
        <f ca="1">EFEITO!$L$12*EFEITO!$Z$2</f>
        <v>0</v>
      </c>
      <c r="L12" s="56">
        <f>EFEITO!$N$12*EFEITO!$AA$2</f>
        <v>0</v>
      </c>
      <c r="M12" s="56">
        <f ca="1">$J$12-EFEITO!$K$12*EFEITO!$Y$12</f>
        <v>48.722092066424011</v>
      </c>
      <c r="N12" s="56">
        <f ca="1">$K$12-EFEITO!$M$12*EFEITO!$Z$12</f>
        <v>0</v>
      </c>
      <c r="O12" s="56">
        <f>$L$12-EFEITO!$O$12*EFEITO!$AA$12</f>
        <v>0</v>
      </c>
      <c r="P12" s="39"/>
      <c r="Q12" s="56" t="s">
        <v>47</v>
      </c>
      <c r="R12" s="56">
        <f>SUMIF($B$2:$B$886,$Q$12,$J$2:$J$886)</f>
        <v>0</v>
      </c>
      <c r="S12" s="56">
        <f ca="1">SUMIF($B$2:$B$886,$Q$12,$K$2:$K$886)</f>
        <v>1353388.6205410417</v>
      </c>
      <c r="T12" s="56">
        <f>SUMIF($B$2:$B$886,$Q$12,$L$2:$L$886)</f>
        <v>657014.19186295709</v>
      </c>
      <c r="U12" s="56">
        <f>SUMIF($B$2:$B$886,$Q$12,$M$2:$M$886)</f>
        <v>0</v>
      </c>
      <c r="V12" s="56">
        <f ca="1">SUMIF($B$2:$B$886,$Q$12,$N$2:$N$886)</f>
        <v>0</v>
      </c>
      <c r="W12" s="56">
        <f>SUMIF($B$2:$B$886,$Q$12,$O$2:$O$886)</f>
        <v>0</v>
      </c>
      <c r="X12" s="36">
        <f>$R$12-$U$12</f>
        <v>0</v>
      </c>
      <c r="Y12" s="36">
        <f ca="1">$S$12-$V$12</f>
        <v>1353388.6205410417</v>
      </c>
      <c r="Z12" s="36">
        <f>$T$12-$W$12</f>
        <v>657014.19186295709</v>
      </c>
      <c r="AA12" s="36">
        <f>SUMIF(EFEITO!$B$2:$B$886,$Q$12,EFEITO!$AE$2:$AE$886)</f>
        <v>0</v>
      </c>
      <c r="AB12" s="36">
        <f ca="1">SUMIF(EFEITO!$B$2:$B$886,$Q$12,EFEITO!$AF$2:$AF$886)</f>
        <v>1353388.6205410417</v>
      </c>
      <c r="AC12" s="36">
        <f>SUMIF(EFEITO!$B$2:$B$886,$Q$12,EFEITO!$AG$2:$AH$886)</f>
        <v>657014.19186295709</v>
      </c>
      <c r="AD12" s="36">
        <f>SUMIF(SUBSIDIO!$B$2:$B$886,$Q$12,SUBSIDIO!$AD$2:$AD$886)</f>
        <v>0</v>
      </c>
      <c r="AE12" s="36">
        <f>SUMIF(SUBSIDIO!$B$2:$B$886,$Q$12,SUBSIDIO!$AE$2:$AE$886)</f>
        <v>0</v>
      </c>
      <c r="AF12" s="36" t="str">
        <f>IF(ABS($X$12-$AA$12)&lt;0.01,"OK","ERRO")</f>
        <v>OK</v>
      </c>
      <c r="AG12" s="36" t="str">
        <f ca="1">IF(ABS($Y$12-$AB$12)&lt;0.01,"OK","ERRO")</f>
        <v>OK</v>
      </c>
      <c r="AH12" s="36" t="str">
        <f>IF(ABS($Z$12-$AC$12)&lt;0.01,"OK","ERRO")</f>
        <v>OK</v>
      </c>
      <c r="AI12" s="36" t="str">
        <f>IF(ABS($U$12-$AD$12)&lt;0.01,"OK","ERRO")</f>
        <v>OK</v>
      </c>
      <c r="AJ12" s="36" t="str">
        <f ca="1">IF(ABS(($V$12+$W$12)-$AE$12)&lt;0.01,"OK","ERRO")</f>
        <v>OK</v>
      </c>
    </row>
    <row r="13" spans="1:40" ht="11.25" customHeight="1" x14ac:dyDescent="0.2">
      <c r="A13" s="35" t="s">
        <v>21</v>
      </c>
      <c r="B13" s="35" t="s">
        <v>45</v>
      </c>
      <c r="C13" s="35" t="s">
        <v>42</v>
      </c>
      <c r="D13" s="35" t="s">
        <v>44</v>
      </c>
      <c r="E13" s="35" t="s">
        <v>53</v>
      </c>
      <c r="F13" s="35" t="s">
        <v>25</v>
      </c>
      <c r="G13" s="35" t="s">
        <v>25</v>
      </c>
      <c r="H13" s="35" t="s">
        <v>35</v>
      </c>
      <c r="I13" s="55">
        <v>44713</v>
      </c>
      <c r="J13" s="56">
        <f ca="1">EFEITO!$J$13*EFEITO!$Y$2</f>
        <v>23506.272488186918</v>
      </c>
      <c r="K13" s="56">
        <f ca="1">EFEITO!$L$13*EFEITO!$Z$2</f>
        <v>36389.936941758751</v>
      </c>
      <c r="L13" s="56">
        <f>EFEITO!$N$13*EFEITO!$AA$2</f>
        <v>55536.41833166455</v>
      </c>
      <c r="M13" s="56">
        <f ca="1">$J$13-EFEITO!$K$13*EFEITO!$Y$13</f>
        <v>470.12544976373829</v>
      </c>
      <c r="N13" s="56">
        <f ca="1">$K$13-EFEITO!$M$13*EFEITO!$Z$13</f>
        <v>727.79873883517575</v>
      </c>
      <c r="O13" s="56">
        <f>$L$13-EFEITO!$O$13*EFEITO!$AA$13</f>
        <v>1110.7283666332878</v>
      </c>
      <c r="P13" s="39"/>
      <c r="Q13" s="56" t="s">
        <v>88</v>
      </c>
      <c r="R13" s="56">
        <f>SUMIF($B$2:$B$886,$Q$13,$J$2:$J$886)</f>
        <v>0</v>
      </c>
      <c r="S13" s="56">
        <f>SUMIF($B$2:$B$886,$Q$13,$K$2:$K$886)</f>
        <v>0</v>
      </c>
      <c r="T13" s="56">
        <f>SUMIF($B$2:$B$886,$Q$13,$L$2:$L$886)</f>
        <v>0</v>
      </c>
      <c r="U13" s="56">
        <f>SUMIF($B$2:$B$886,$Q$13,$M$2:$M$886)</f>
        <v>0</v>
      </c>
      <c r="V13" s="56">
        <f>SUMIF($B$2:$B$886,$Q$13,$N$2:$N$886)</f>
        <v>0</v>
      </c>
      <c r="W13" s="56">
        <f>SUMIF($B$2:$B$886,$Q$13,$O$2:$O$886)</f>
        <v>0</v>
      </c>
      <c r="X13" s="36">
        <f>$R$13-$U$13</f>
        <v>0</v>
      </c>
      <c r="Y13" s="36">
        <f>$S$13-$V$13</f>
        <v>0</v>
      </c>
      <c r="Z13" s="36">
        <f>$T$13-$W$13</f>
        <v>0</v>
      </c>
      <c r="AA13" s="36">
        <f>SUMIF(EFEITO!$B$2:$B$886,$Q$13,EFEITO!$AE$2:$AE$886)</f>
        <v>0</v>
      </c>
      <c r="AB13" s="36">
        <f>SUMIF(EFEITO!$B$2:$B$886,$Q$13,EFEITO!$AF$2:$AF$886)</f>
        <v>0</v>
      </c>
      <c r="AC13" s="36">
        <f>SUMIF(EFEITO!$B$2:$B$886,$Q$13,EFEITO!$AG$2:$AH$886)</f>
        <v>0</v>
      </c>
      <c r="AD13" s="36">
        <f>SUMIF(SUBSIDIO!$B$2:$B$886,$Q$13,SUBSIDIO!$AD$2:$AD$886)</f>
        <v>0</v>
      </c>
      <c r="AE13" s="36">
        <f>SUMIF(SUBSIDIO!$B$2:$B$886,$Q$13,SUBSIDIO!$AE$2:$AE$886)</f>
        <v>0</v>
      </c>
      <c r="AF13" s="36" t="str">
        <f>IF(ABS($X$13-$AA$13)&lt;0.01,"OK","ERRO")</f>
        <v>OK</v>
      </c>
      <c r="AG13" s="36" t="str">
        <f>IF(ABS($Y$13-$AB$13)&lt;0.01,"OK","ERRO")</f>
        <v>OK</v>
      </c>
      <c r="AH13" s="36" t="str">
        <f>IF(ABS($Z$13-$AC$13)&lt;0.01,"OK","ERRO")</f>
        <v>OK</v>
      </c>
      <c r="AI13" s="36" t="str">
        <f>IF(ABS($U$13-$AD$13)&lt;0.01,"OK","ERRO")</f>
        <v>OK</v>
      </c>
      <c r="AJ13" s="36" t="str">
        <f>IF(ABS(($V$13+$W$13)-$AE$13)&lt;0.01,"OK","ERRO")</f>
        <v>OK</v>
      </c>
    </row>
    <row r="14" spans="1:40" ht="11.25" customHeight="1" x14ac:dyDescent="0.2">
      <c r="A14" s="35" t="s">
        <v>21</v>
      </c>
      <c r="B14" s="35" t="s">
        <v>45</v>
      </c>
      <c r="C14" s="35" t="s">
        <v>42</v>
      </c>
      <c r="D14" s="35" t="s">
        <v>44</v>
      </c>
      <c r="E14" s="35" t="s">
        <v>53</v>
      </c>
      <c r="F14" s="35" t="s">
        <v>25</v>
      </c>
      <c r="G14" s="35" t="s">
        <v>25</v>
      </c>
      <c r="H14" s="35" t="s">
        <v>35</v>
      </c>
      <c r="I14" s="55">
        <v>44743</v>
      </c>
      <c r="J14" s="56">
        <f ca="1">EFEITO!$J$14*EFEITO!$Y$2</f>
        <v>23506.272488186918</v>
      </c>
      <c r="K14" s="56">
        <f ca="1">EFEITO!$L$14*EFEITO!$Z$2</f>
        <v>36389.936941758751</v>
      </c>
      <c r="L14" s="56">
        <f>EFEITO!$N$14*EFEITO!$AA$2</f>
        <v>55536.41833166455</v>
      </c>
      <c r="M14" s="56">
        <f ca="1">$J$14-EFEITO!$K$14*EFEITO!$Y$14</f>
        <v>470.12544976373829</v>
      </c>
      <c r="N14" s="56">
        <f ca="1">$K$14-EFEITO!$M$14*EFEITO!$Z$14</f>
        <v>727.79873883517575</v>
      </c>
      <c r="O14" s="56">
        <f>$L$14-EFEITO!$O$14*EFEITO!$AA$14</f>
        <v>1110.7283666332878</v>
      </c>
      <c r="P14" s="39"/>
      <c r="Q14" s="39"/>
      <c r="R14" s="39"/>
      <c r="S14" s="39"/>
      <c r="T14" s="39"/>
      <c r="U14" s="39"/>
      <c r="V14" s="39"/>
      <c r="W14" s="39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35" t="s">
        <v>21</v>
      </c>
      <c r="B15" s="35" t="s">
        <v>45</v>
      </c>
      <c r="C15" s="35" t="s">
        <v>42</v>
      </c>
      <c r="D15" s="35" t="s">
        <v>44</v>
      </c>
      <c r="E15" s="35" t="s">
        <v>53</v>
      </c>
      <c r="F15" s="35" t="s">
        <v>25</v>
      </c>
      <c r="G15" s="35" t="s">
        <v>25</v>
      </c>
      <c r="H15" s="35" t="s">
        <v>35</v>
      </c>
      <c r="I15" s="55">
        <v>44774</v>
      </c>
      <c r="J15" s="56">
        <f ca="1">EFEITO!$J$15*EFEITO!$Y$2</f>
        <v>23506.272488186918</v>
      </c>
      <c r="K15" s="56">
        <f ca="1">EFEITO!$L$15*EFEITO!$Z$2</f>
        <v>61530.398060379317</v>
      </c>
      <c r="L15" s="56">
        <f>EFEITO!$N$15*EFEITO!$AA$2</f>
        <v>93904.47508233336</v>
      </c>
      <c r="M15" s="56">
        <f ca="1">$J$15-EFEITO!$K$15*EFEITO!$Y$15</f>
        <v>470.12544976373829</v>
      </c>
      <c r="N15" s="56">
        <f ca="1">$K$15-EFEITO!$M$15*EFEITO!$Z$15</f>
        <v>1230.6079612075919</v>
      </c>
      <c r="O15" s="56">
        <f>$L$15-EFEITO!$O$15*EFEITO!$AA$15</f>
        <v>1878.0895016466675</v>
      </c>
      <c r="P15" s="39"/>
      <c r="Q15" s="39"/>
      <c r="R15" s="39"/>
      <c r="S15" s="39"/>
      <c r="T15" s="39"/>
      <c r="U15" s="39"/>
      <c r="V15" s="39"/>
      <c r="W15" s="39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35" t="s">
        <v>21</v>
      </c>
      <c r="B16" s="35" t="s">
        <v>45</v>
      </c>
      <c r="C16" s="35" t="s">
        <v>42</v>
      </c>
      <c r="D16" s="35" t="s">
        <v>44</v>
      </c>
      <c r="E16" s="35" t="s">
        <v>53</v>
      </c>
      <c r="F16" s="35" t="s">
        <v>25</v>
      </c>
      <c r="G16" s="35" t="s">
        <v>25</v>
      </c>
      <c r="H16" s="35" t="s">
        <v>35</v>
      </c>
      <c r="I16" s="55">
        <v>44805</v>
      </c>
      <c r="J16" s="56">
        <f ca="1">EFEITO!$J$16*EFEITO!$Y$2</f>
        <v>2350.6272488186919</v>
      </c>
      <c r="K16" s="56">
        <f ca="1">EFEITO!$L$16*EFEITO!$Z$2</f>
        <v>0</v>
      </c>
      <c r="L16" s="56">
        <f>EFEITO!$N$16*EFEITO!$AA$2</f>
        <v>0</v>
      </c>
      <c r="M16" s="56">
        <f ca="1">$J$16-EFEITO!$K$16*EFEITO!$Y$16</f>
        <v>47.012544976374102</v>
      </c>
      <c r="N16" s="56">
        <f ca="1">$K$16-EFEITO!$M$16*EFEITO!$Z$16</f>
        <v>0</v>
      </c>
      <c r="O16" s="56">
        <f>$L$16-EFEITO!$O$16*EFEITO!$AA$16</f>
        <v>0</v>
      </c>
      <c r="P16" s="39"/>
      <c r="Q16" s="39"/>
      <c r="R16" s="39"/>
      <c r="S16" s="39"/>
      <c r="T16" s="39"/>
      <c r="U16" s="39"/>
      <c r="V16" s="39"/>
      <c r="W16" s="39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35" t="s">
        <v>57</v>
      </c>
      <c r="B17" s="35" t="s">
        <v>45</v>
      </c>
      <c r="C17" s="35" t="s">
        <v>42</v>
      </c>
      <c r="D17" s="35" t="s">
        <v>44</v>
      </c>
      <c r="E17" s="35" t="s">
        <v>53</v>
      </c>
      <c r="F17" s="35" t="s">
        <v>25</v>
      </c>
      <c r="G17" s="35" t="s">
        <v>25</v>
      </c>
      <c r="H17" s="35" t="s">
        <v>35</v>
      </c>
      <c r="I17" s="55">
        <v>44835</v>
      </c>
      <c r="J17" s="56">
        <f ca="1">EFEITO!$J$17*EFEITO!$Y$2</f>
        <v>2350.6272488186919</v>
      </c>
      <c r="K17" s="56">
        <f ca="1">EFEITO!$L$17*EFEITO!$Z$2</f>
        <v>0</v>
      </c>
      <c r="L17" s="56">
        <f>EFEITO!$N$17*EFEITO!$AA$2</f>
        <v>0</v>
      </c>
      <c r="M17" s="56">
        <f ca="1">$J$17-EFEITO!$K$17*EFEITO!$Y$17</f>
        <v>47.012544976374102</v>
      </c>
      <c r="N17" s="56">
        <f ca="1">$K$17-EFEITO!$M$17*EFEITO!$Z$17</f>
        <v>0</v>
      </c>
      <c r="O17" s="56">
        <f>$L$17-EFEITO!$O$17*EFEITO!$AA$17</f>
        <v>0</v>
      </c>
      <c r="P17" s="39"/>
      <c r="Q17" s="39"/>
      <c r="R17" s="39"/>
      <c r="S17" s="39"/>
      <c r="T17" s="39"/>
      <c r="U17" s="39"/>
      <c r="V17" s="39"/>
      <c r="W17" s="39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35" t="s">
        <v>21</v>
      </c>
      <c r="B18" s="35" t="s">
        <v>45</v>
      </c>
      <c r="C18" s="35" t="s">
        <v>42</v>
      </c>
      <c r="D18" s="35" t="s">
        <v>44</v>
      </c>
      <c r="E18" s="35" t="s">
        <v>53</v>
      </c>
      <c r="F18" s="35" t="s">
        <v>25</v>
      </c>
      <c r="G18" s="35" t="s">
        <v>25</v>
      </c>
      <c r="H18" s="35" t="s">
        <v>34</v>
      </c>
      <c r="I18" s="55">
        <v>44501</v>
      </c>
      <c r="J18" s="56">
        <f ca="1">EFEITO!$J$18*EFEITO!$Y$3</f>
        <v>5665.3793762418654</v>
      </c>
      <c r="K18" s="56">
        <f ca="1">EFEITO!$L$18*EFEITO!$Z$3</f>
        <v>0</v>
      </c>
      <c r="L18" s="56">
        <f>EFEITO!$N$18*EFEITO!$AA$3</f>
        <v>0</v>
      </c>
      <c r="M18" s="56">
        <f ca="1">$J$18-EFEITO!$K$18*EFEITO!$Y$18</f>
        <v>113.30758752483689</v>
      </c>
      <c r="N18" s="56">
        <f ca="1">$K$18-EFEITO!$M$18*EFEITO!$Z$18</f>
        <v>0</v>
      </c>
      <c r="O18" s="56">
        <f>$L$18-EFEITO!$O$18*EFEITO!$AA$18</f>
        <v>0</v>
      </c>
      <c r="P18" s="39"/>
      <c r="Q18" s="39"/>
      <c r="R18" s="39"/>
      <c r="S18" s="39"/>
      <c r="T18" s="39"/>
      <c r="U18" s="39"/>
      <c r="V18" s="39"/>
      <c r="W18" s="39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35" t="s">
        <v>21</v>
      </c>
      <c r="B19" s="35" t="s">
        <v>45</v>
      </c>
      <c r="C19" s="35" t="s">
        <v>42</v>
      </c>
      <c r="D19" s="35" t="s">
        <v>44</v>
      </c>
      <c r="E19" s="35" t="s">
        <v>53</v>
      </c>
      <c r="F19" s="35" t="s">
        <v>25</v>
      </c>
      <c r="G19" s="35" t="s">
        <v>25</v>
      </c>
      <c r="H19" s="35" t="s">
        <v>34</v>
      </c>
      <c r="I19" s="55">
        <v>44531</v>
      </c>
      <c r="J19" s="56">
        <f ca="1">EFEITO!$J$19*EFEITO!$Y$3</f>
        <v>5665.3793762418654</v>
      </c>
      <c r="K19" s="56">
        <f ca="1">EFEITO!$L$19*EFEITO!$Z$3</f>
        <v>0</v>
      </c>
      <c r="L19" s="56">
        <f>EFEITO!$N$19*EFEITO!$AA$3</f>
        <v>0</v>
      </c>
      <c r="M19" s="56">
        <f ca="1">$J$19-EFEITO!$K$19*EFEITO!$Y$19</f>
        <v>113.30758752483689</v>
      </c>
      <c r="N19" s="56">
        <f ca="1">$K$19-EFEITO!$M$19*EFEITO!$Z$19</f>
        <v>0</v>
      </c>
      <c r="O19" s="56">
        <f>$L$19-EFEITO!$O$19*EFEITO!$AA$19</f>
        <v>0</v>
      </c>
      <c r="P19" s="39"/>
      <c r="Q19" s="39"/>
      <c r="R19" s="39"/>
      <c r="S19" s="39"/>
      <c r="T19" s="39"/>
      <c r="U19" s="39"/>
      <c r="V19" s="39"/>
      <c r="W19" s="39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35" t="s">
        <v>21</v>
      </c>
      <c r="B20" s="35" t="s">
        <v>45</v>
      </c>
      <c r="C20" s="35" t="s">
        <v>42</v>
      </c>
      <c r="D20" s="35" t="s">
        <v>44</v>
      </c>
      <c r="E20" s="35" t="s">
        <v>53</v>
      </c>
      <c r="F20" s="35" t="s">
        <v>25</v>
      </c>
      <c r="G20" s="35" t="s">
        <v>25</v>
      </c>
      <c r="H20" s="35" t="s">
        <v>34</v>
      </c>
      <c r="I20" s="55">
        <v>44593</v>
      </c>
      <c r="J20" s="56">
        <f ca="1">EFEITO!$J$20*EFEITO!$Y$3</f>
        <v>5665.3793762418654</v>
      </c>
      <c r="K20" s="56">
        <f ca="1">EFEITO!$L$20*EFEITO!$Z$3</f>
        <v>0</v>
      </c>
      <c r="L20" s="56">
        <f>EFEITO!$N$20*EFEITO!$AA$3</f>
        <v>0</v>
      </c>
      <c r="M20" s="56">
        <f ca="1">$J$20-EFEITO!$K$20*EFEITO!$Y$20</f>
        <v>113.30758752483689</v>
      </c>
      <c r="N20" s="56">
        <f ca="1">$K$20-EFEITO!$M$20*EFEITO!$Z$20</f>
        <v>0</v>
      </c>
      <c r="O20" s="56">
        <f>$L$20-EFEITO!$O$20*EFEITO!$AA$20</f>
        <v>0</v>
      </c>
      <c r="P20" s="39"/>
      <c r="Q20" s="39"/>
      <c r="R20" s="39"/>
      <c r="S20" s="39"/>
      <c r="T20" s="39"/>
      <c r="U20" s="39"/>
      <c r="V20" s="39"/>
      <c r="W20" s="39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35" t="s">
        <v>21</v>
      </c>
      <c r="B21" s="35" t="s">
        <v>45</v>
      </c>
      <c r="C21" s="35" t="s">
        <v>42</v>
      </c>
      <c r="D21" s="35" t="s">
        <v>44</v>
      </c>
      <c r="E21" s="35" t="s">
        <v>53</v>
      </c>
      <c r="F21" s="35" t="s">
        <v>25</v>
      </c>
      <c r="G21" s="35" t="s">
        <v>25</v>
      </c>
      <c r="H21" s="35" t="s">
        <v>34</v>
      </c>
      <c r="I21" s="55">
        <v>44621</v>
      </c>
      <c r="J21" s="56">
        <f ca="1">EFEITO!$J$21*EFEITO!$Y$3</f>
        <v>5665.3793762418654</v>
      </c>
      <c r="K21" s="56">
        <f ca="1">EFEITO!$L$21*EFEITO!$Z$3</f>
        <v>0</v>
      </c>
      <c r="L21" s="56">
        <f>EFEITO!$N$21*EFEITO!$AA$3</f>
        <v>0</v>
      </c>
      <c r="M21" s="56">
        <f ca="1">$J$21-EFEITO!$K$21*EFEITO!$Y$21</f>
        <v>113.30758752483689</v>
      </c>
      <c r="N21" s="56">
        <f ca="1">$K$21-EFEITO!$M$21*EFEITO!$Z$21</f>
        <v>0</v>
      </c>
      <c r="O21" s="56">
        <f>$L$21-EFEITO!$O$21*EFEITO!$AA$21</f>
        <v>0</v>
      </c>
      <c r="P21" s="39"/>
      <c r="Q21" s="39"/>
      <c r="R21" s="39"/>
      <c r="S21" s="39"/>
      <c r="T21" s="39"/>
      <c r="U21" s="39"/>
      <c r="V21" s="39"/>
      <c r="W21" s="39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35" t="s">
        <v>21</v>
      </c>
      <c r="B22" s="35" t="s">
        <v>45</v>
      </c>
      <c r="C22" s="35" t="s">
        <v>42</v>
      </c>
      <c r="D22" s="35" t="s">
        <v>44</v>
      </c>
      <c r="E22" s="35" t="s">
        <v>53</v>
      </c>
      <c r="F22" s="35" t="s">
        <v>25</v>
      </c>
      <c r="G22" s="35" t="s">
        <v>25</v>
      </c>
      <c r="H22" s="35" t="s">
        <v>34</v>
      </c>
      <c r="I22" s="55">
        <v>44652</v>
      </c>
      <c r="J22" s="56">
        <f ca="1">EFEITO!$J$22*EFEITO!$Y$3</f>
        <v>5665.3793762418654</v>
      </c>
      <c r="K22" s="56">
        <f ca="1">EFEITO!$L$22*EFEITO!$Z$3</f>
        <v>0</v>
      </c>
      <c r="L22" s="56">
        <f>EFEITO!$N$22*EFEITO!$AA$3</f>
        <v>0</v>
      </c>
      <c r="M22" s="56">
        <f ca="1">$J$22-EFEITO!$K$22*EFEITO!$Y$22</f>
        <v>113.30758752483689</v>
      </c>
      <c r="N22" s="56">
        <f ca="1">$K$22-EFEITO!$M$22*EFEITO!$Z$22</f>
        <v>0</v>
      </c>
      <c r="O22" s="56">
        <f>$L$22-EFEITO!$O$22*EFEITO!$AA$22</f>
        <v>0</v>
      </c>
      <c r="P22" s="39"/>
      <c r="Q22" s="39"/>
      <c r="R22" s="39"/>
      <c r="S22" s="39"/>
      <c r="T22" s="39"/>
      <c r="U22" s="39"/>
      <c r="V22" s="39"/>
      <c r="W22" s="39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35" t="s">
        <v>21</v>
      </c>
      <c r="B23" s="35" t="s">
        <v>45</v>
      </c>
      <c r="C23" s="35" t="s">
        <v>42</v>
      </c>
      <c r="D23" s="35" t="s">
        <v>44</v>
      </c>
      <c r="E23" s="35" t="s">
        <v>53</v>
      </c>
      <c r="F23" s="35" t="s">
        <v>25</v>
      </c>
      <c r="G23" s="35" t="s">
        <v>25</v>
      </c>
      <c r="H23" s="35" t="s">
        <v>34</v>
      </c>
      <c r="I23" s="55">
        <v>44682</v>
      </c>
      <c r="J23" s="56">
        <f ca="1">EFEITO!$J$23*EFEITO!$Y$3</f>
        <v>5665.3793762418654</v>
      </c>
      <c r="K23" s="56">
        <f ca="1">EFEITO!$L$23*EFEITO!$Z$3</f>
        <v>0</v>
      </c>
      <c r="L23" s="56">
        <f>EFEITO!$N$23*EFEITO!$AA$3</f>
        <v>0</v>
      </c>
      <c r="M23" s="56">
        <f ca="1">$J$23-EFEITO!$K$23*EFEITO!$Y$23</f>
        <v>113.30758752483689</v>
      </c>
      <c r="N23" s="56">
        <f ca="1">$K$23-EFEITO!$M$23*EFEITO!$Z$23</f>
        <v>0</v>
      </c>
      <c r="O23" s="56">
        <f>$L$23-EFEITO!$O$23*EFEITO!$AA$23</f>
        <v>0</v>
      </c>
      <c r="P23" s="39"/>
      <c r="Q23" s="39"/>
      <c r="R23" s="39"/>
      <c r="S23" s="39"/>
      <c r="T23" s="39"/>
      <c r="U23" s="39"/>
      <c r="V23" s="39"/>
      <c r="W23" s="39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35" t="s">
        <v>21</v>
      </c>
      <c r="B24" s="35" t="s">
        <v>45</v>
      </c>
      <c r="C24" s="35" t="s">
        <v>42</v>
      </c>
      <c r="D24" s="35" t="s">
        <v>44</v>
      </c>
      <c r="E24" s="35" t="s">
        <v>53</v>
      </c>
      <c r="F24" s="35" t="s">
        <v>25</v>
      </c>
      <c r="G24" s="35" t="s">
        <v>25</v>
      </c>
      <c r="H24" s="35" t="s">
        <v>34</v>
      </c>
      <c r="I24" s="55">
        <v>44713</v>
      </c>
      <c r="J24" s="56">
        <f ca="1">EFEITO!$J$24*EFEITO!$Y$3</f>
        <v>56143.399224018482</v>
      </c>
      <c r="K24" s="56">
        <f ca="1">EFEITO!$L$24*EFEITO!$Z$3</f>
        <v>63.68067741018406</v>
      </c>
      <c r="L24" s="56">
        <f>EFEITO!$N$24*EFEITO!$AA$3</f>
        <v>158.17330675744481</v>
      </c>
      <c r="M24" s="56">
        <f ca="1">$J$24-EFEITO!$K$24*EFEITO!$Y$24</f>
        <v>1122.8679844803628</v>
      </c>
      <c r="N24" s="56">
        <f ca="1">$K$24-EFEITO!$M$24*EFEITO!$Z$24</f>
        <v>1.2736135482036843</v>
      </c>
      <c r="O24" s="56">
        <f>$L$24-EFEITO!$O$24*EFEITO!$AA$24</f>
        <v>3.1634661351488944</v>
      </c>
      <c r="P24" s="39"/>
      <c r="Q24" s="39"/>
      <c r="R24" s="39"/>
      <c r="S24" s="39"/>
      <c r="T24" s="39"/>
      <c r="U24" s="39"/>
      <c r="V24" s="39"/>
      <c r="W24" s="39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35" t="s">
        <v>21</v>
      </c>
      <c r="B25" s="35" t="s">
        <v>45</v>
      </c>
      <c r="C25" s="35" t="s">
        <v>42</v>
      </c>
      <c r="D25" s="35" t="s">
        <v>44</v>
      </c>
      <c r="E25" s="35" t="s">
        <v>53</v>
      </c>
      <c r="F25" s="35" t="s">
        <v>25</v>
      </c>
      <c r="G25" s="35" t="s">
        <v>25</v>
      </c>
      <c r="H25" s="35" t="s">
        <v>34</v>
      </c>
      <c r="I25" s="55">
        <v>44743</v>
      </c>
      <c r="J25" s="56">
        <f ca="1">EFEITO!$J$25*EFEITO!$Y$3</f>
        <v>56143.399224018482</v>
      </c>
      <c r="K25" s="56">
        <f ca="1">EFEITO!$L$25*EFEITO!$Z$3</f>
        <v>63.68067741018406</v>
      </c>
      <c r="L25" s="56">
        <f>EFEITO!$N$25*EFEITO!$AA$3</f>
        <v>158.17330675744481</v>
      </c>
      <c r="M25" s="56">
        <f ca="1">$J$25-EFEITO!$K$25*EFEITO!$Y$25</f>
        <v>1122.8679844803628</v>
      </c>
      <c r="N25" s="56">
        <f ca="1">$K$25-EFEITO!$M$25*EFEITO!$Z$25</f>
        <v>1.2736135482036843</v>
      </c>
      <c r="O25" s="56">
        <f>$L$25-EFEITO!$O$25*EFEITO!$AA$25</f>
        <v>3.1634661351488944</v>
      </c>
      <c r="P25" s="39"/>
      <c r="Q25" s="39"/>
      <c r="R25" s="39"/>
      <c r="S25" s="39"/>
      <c r="T25" s="39"/>
      <c r="U25" s="39"/>
      <c r="V25" s="39"/>
      <c r="W25" s="39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35" t="s">
        <v>21</v>
      </c>
      <c r="B26" s="35" t="s">
        <v>45</v>
      </c>
      <c r="C26" s="35" t="s">
        <v>42</v>
      </c>
      <c r="D26" s="35" t="s">
        <v>44</v>
      </c>
      <c r="E26" s="35" t="s">
        <v>53</v>
      </c>
      <c r="F26" s="35" t="s">
        <v>25</v>
      </c>
      <c r="G26" s="35" t="s">
        <v>25</v>
      </c>
      <c r="H26" s="35" t="s">
        <v>34</v>
      </c>
      <c r="I26" s="55">
        <v>44774</v>
      </c>
      <c r="J26" s="56">
        <f ca="1">EFEITO!$J$26*EFEITO!$Y$3</f>
        <v>56143.399224018482</v>
      </c>
      <c r="K26" s="56">
        <f ca="1">EFEITO!$L$26*EFEITO!$Z$3</f>
        <v>8.0147305664991375</v>
      </c>
      <c r="L26" s="56">
        <f>EFEITO!$N$26*EFEITO!$AA$3</f>
        <v>19.907395587321428</v>
      </c>
      <c r="M26" s="56">
        <f ca="1">$J$26-EFEITO!$K$26*EFEITO!$Y$26</f>
        <v>1122.8679844803628</v>
      </c>
      <c r="N26" s="56">
        <f ca="1">$K$26-EFEITO!$M$26*EFEITO!$Z$26</f>
        <v>0.16029461132998257</v>
      </c>
      <c r="O26" s="56">
        <f>$L$26-EFEITO!$O$26*EFEITO!$AA$26</f>
        <v>0.3981479117464275</v>
      </c>
      <c r="P26" s="39"/>
      <c r="Q26" s="39"/>
      <c r="R26" s="39"/>
      <c r="S26" s="39"/>
      <c r="T26" s="39"/>
      <c r="U26" s="39"/>
      <c r="V26" s="39"/>
      <c r="W26" s="39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35" t="s">
        <v>21</v>
      </c>
      <c r="B27" s="35" t="s">
        <v>45</v>
      </c>
      <c r="C27" s="35" t="s">
        <v>42</v>
      </c>
      <c r="D27" s="35" t="s">
        <v>44</v>
      </c>
      <c r="E27" s="35" t="s">
        <v>53</v>
      </c>
      <c r="F27" s="35" t="s">
        <v>25</v>
      </c>
      <c r="G27" s="35" t="s">
        <v>25</v>
      </c>
      <c r="H27" s="35" t="s">
        <v>34</v>
      </c>
      <c r="I27" s="55">
        <v>44805</v>
      </c>
      <c r="J27" s="56">
        <f ca="1">EFEITO!$J$27*EFEITO!$Y$3</f>
        <v>5614.3399224018485</v>
      </c>
      <c r="K27" s="56">
        <f ca="1">EFEITO!$L$27*EFEITO!$Z$3</f>
        <v>0</v>
      </c>
      <c r="L27" s="56">
        <f>EFEITO!$N$27*EFEITO!$AA$3</f>
        <v>0</v>
      </c>
      <c r="M27" s="56">
        <f ca="1">$J$27-EFEITO!$K$27*EFEITO!$Y$27</f>
        <v>112.28679844803719</v>
      </c>
      <c r="N27" s="56">
        <f ca="1">$K$27-EFEITO!$M$27*EFEITO!$Z$27</f>
        <v>0</v>
      </c>
      <c r="O27" s="56">
        <f>$L$27-EFEITO!$O$27*EFEITO!$AA$27</f>
        <v>0</v>
      </c>
      <c r="P27" s="39"/>
      <c r="Q27" s="39"/>
      <c r="R27" s="39"/>
      <c r="S27" s="39"/>
      <c r="T27" s="39"/>
      <c r="U27" s="39"/>
      <c r="V27" s="39"/>
      <c r="W27" s="39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35" t="s">
        <v>57</v>
      </c>
      <c r="B28" s="35" t="s">
        <v>45</v>
      </c>
      <c r="C28" s="35" t="s">
        <v>42</v>
      </c>
      <c r="D28" s="35" t="s">
        <v>44</v>
      </c>
      <c r="E28" s="35" t="s">
        <v>53</v>
      </c>
      <c r="F28" s="35" t="s">
        <v>25</v>
      </c>
      <c r="G28" s="35" t="s">
        <v>25</v>
      </c>
      <c r="H28" s="35" t="s">
        <v>34</v>
      </c>
      <c r="I28" s="55">
        <v>44835</v>
      </c>
      <c r="J28" s="56">
        <f ca="1">EFEITO!$J$28*EFEITO!$Y$3</f>
        <v>5614.3399224018485</v>
      </c>
      <c r="K28" s="56">
        <f ca="1">EFEITO!$L$28*EFEITO!$Z$3</f>
        <v>0</v>
      </c>
      <c r="L28" s="56">
        <f>EFEITO!$N$28*EFEITO!$AA$3</f>
        <v>0</v>
      </c>
      <c r="M28" s="56">
        <f ca="1">$J$28-EFEITO!$K$28*EFEITO!$Y$28</f>
        <v>112.28679844803719</v>
      </c>
      <c r="N28" s="56">
        <f ca="1">$K$28-EFEITO!$M$28*EFEITO!$Z$28</f>
        <v>0</v>
      </c>
      <c r="O28" s="56">
        <f>$L$28-EFEITO!$O$28*EFEITO!$AA$28</f>
        <v>0</v>
      </c>
      <c r="P28" s="39"/>
      <c r="Q28" s="39"/>
      <c r="R28" s="39"/>
      <c r="S28" s="39"/>
      <c r="T28" s="39"/>
      <c r="U28" s="39"/>
      <c r="V28" s="39"/>
      <c r="W28" s="39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35" t="s">
        <v>21</v>
      </c>
      <c r="B29" s="35" t="s">
        <v>45</v>
      </c>
      <c r="C29" s="35" t="s">
        <v>60</v>
      </c>
      <c r="D29" s="35" t="s">
        <v>25</v>
      </c>
      <c r="E29" s="35" t="s">
        <v>25</v>
      </c>
      <c r="F29" s="35" t="s">
        <v>25</v>
      </c>
      <c r="G29" s="35" t="s">
        <v>61</v>
      </c>
      <c r="H29" s="35" t="s">
        <v>25</v>
      </c>
      <c r="I29" s="55">
        <v>44501</v>
      </c>
      <c r="J29" s="56">
        <f ca="1">EFEITO!$J$29*EFEITO!$Y$29</f>
        <v>37434.645377548193</v>
      </c>
      <c r="K29" s="56">
        <f>EFEITO!$L$29*EFEITO!$Z$29</f>
        <v>0</v>
      </c>
      <c r="L29" s="56">
        <f>EFEITO!$N$29*EFEITO!$AA$29</f>
        <v>0</v>
      </c>
      <c r="M29" s="56">
        <f ca="1">$J$29-EFEITO!$K$29*EFEITO!$Y$29</f>
        <v>0</v>
      </c>
      <c r="N29" s="56">
        <f>$K$29-EFEITO!$M$29*EFEITO!$Z$29</f>
        <v>0</v>
      </c>
      <c r="O29" s="56">
        <f>$L$29-EFEITO!$O$29*EFEITO!$AA$29</f>
        <v>0</v>
      </c>
      <c r="P29" s="39"/>
      <c r="Q29" s="39"/>
      <c r="R29" s="39"/>
      <c r="S29" s="39"/>
      <c r="T29" s="39"/>
      <c r="U29" s="39"/>
      <c r="V29" s="39"/>
      <c r="W29" s="39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35" t="s">
        <v>21</v>
      </c>
      <c r="B30" s="35" t="s">
        <v>45</v>
      </c>
      <c r="C30" s="35" t="s">
        <v>60</v>
      </c>
      <c r="D30" s="35" t="s">
        <v>25</v>
      </c>
      <c r="E30" s="35" t="s">
        <v>25</v>
      </c>
      <c r="F30" s="35" t="s">
        <v>25</v>
      </c>
      <c r="G30" s="35" t="s">
        <v>61</v>
      </c>
      <c r="H30" s="35" t="s">
        <v>25</v>
      </c>
      <c r="I30" s="55">
        <v>44531</v>
      </c>
      <c r="J30" s="56">
        <f ca="1">EFEITO!$J$30*EFEITO!$Y$30</f>
        <v>37434.645377548193</v>
      </c>
      <c r="K30" s="56">
        <f>EFEITO!$L$30*EFEITO!$Z$30</f>
        <v>0</v>
      </c>
      <c r="L30" s="56">
        <f>EFEITO!$N$30*EFEITO!$AA$30</f>
        <v>0</v>
      </c>
      <c r="M30" s="56">
        <f ca="1">$J$30-EFEITO!$K$30*EFEITO!$Y$30</f>
        <v>0</v>
      </c>
      <c r="N30" s="56">
        <f>$K$30-EFEITO!$M$30*EFEITO!$Z$30</f>
        <v>0</v>
      </c>
      <c r="O30" s="56">
        <f>$L$30-EFEITO!$O$30*EFEITO!$AA$30</f>
        <v>0</v>
      </c>
      <c r="P30" s="39"/>
      <c r="Q30" s="39"/>
      <c r="R30" s="39"/>
      <c r="S30" s="39"/>
      <c r="T30" s="39"/>
      <c r="U30" s="39"/>
      <c r="V30" s="39"/>
      <c r="W30" s="39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35" t="s">
        <v>21</v>
      </c>
      <c r="B31" s="35" t="s">
        <v>45</v>
      </c>
      <c r="C31" s="35" t="s">
        <v>60</v>
      </c>
      <c r="D31" s="35" t="s">
        <v>25</v>
      </c>
      <c r="E31" s="35" t="s">
        <v>25</v>
      </c>
      <c r="F31" s="35" t="s">
        <v>25</v>
      </c>
      <c r="G31" s="35" t="s">
        <v>61</v>
      </c>
      <c r="H31" s="35" t="s">
        <v>25</v>
      </c>
      <c r="I31" s="55">
        <v>44562</v>
      </c>
      <c r="J31" s="56">
        <f ca="1">EFEITO!$J$31*EFEITO!$Y$31</f>
        <v>37434.645377548193</v>
      </c>
      <c r="K31" s="56">
        <f>EFEITO!$L$31*EFEITO!$Z$31</f>
        <v>0</v>
      </c>
      <c r="L31" s="56">
        <f>EFEITO!$N$31*EFEITO!$AA$31</f>
        <v>0</v>
      </c>
      <c r="M31" s="56">
        <f ca="1">$J$31-EFEITO!$K$31*EFEITO!$Y$31</f>
        <v>0</v>
      </c>
      <c r="N31" s="56">
        <f>$K$31-EFEITO!$M$31*EFEITO!$Z$31</f>
        <v>0</v>
      </c>
      <c r="O31" s="56">
        <f>$L$31-EFEITO!$O$31*EFEITO!$AA$31</f>
        <v>0</v>
      </c>
      <c r="P31" s="39"/>
      <c r="Q31" s="39"/>
      <c r="R31" s="39"/>
      <c r="S31" s="39"/>
      <c r="T31" s="39"/>
      <c r="U31" s="39"/>
      <c r="V31" s="39"/>
      <c r="W31" s="39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35" t="s">
        <v>21</v>
      </c>
      <c r="B32" s="35" t="s">
        <v>45</v>
      </c>
      <c r="C32" s="35" t="s">
        <v>60</v>
      </c>
      <c r="D32" s="35" t="s">
        <v>25</v>
      </c>
      <c r="E32" s="35" t="s">
        <v>25</v>
      </c>
      <c r="F32" s="35" t="s">
        <v>25</v>
      </c>
      <c r="G32" s="35" t="s">
        <v>61</v>
      </c>
      <c r="H32" s="35" t="s">
        <v>25</v>
      </c>
      <c r="I32" s="55">
        <v>44593</v>
      </c>
      <c r="J32" s="56">
        <f ca="1">EFEITO!$J$32*EFEITO!$Y$32</f>
        <v>37434.645377548193</v>
      </c>
      <c r="K32" s="56">
        <f>EFEITO!$L$32*EFEITO!$Z$32</f>
        <v>0</v>
      </c>
      <c r="L32" s="56">
        <f>EFEITO!$N$32*EFEITO!$AA$32</f>
        <v>0</v>
      </c>
      <c r="M32" s="56">
        <f ca="1">$J$32-EFEITO!$K$32*EFEITO!$Y$32</f>
        <v>0</v>
      </c>
      <c r="N32" s="56">
        <f>$K$32-EFEITO!$M$32*EFEITO!$Z$32</f>
        <v>0</v>
      </c>
      <c r="O32" s="56">
        <f>$L$32-EFEITO!$O$32*EFEITO!$AA$32</f>
        <v>0</v>
      </c>
      <c r="P32" s="39"/>
      <c r="Q32" s="39"/>
      <c r="R32" s="39"/>
      <c r="S32" s="39"/>
      <c r="T32" s="39"/>
      <c r="U32" s="39"/>
      <c r="V32" s="39"/>
      <c r="W32" s="39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35" t="s">
        <v>21</v>
      </c>
      <c r="B33" s="35" t="s">
        <v>45</v>
      </c>
      <c r="C33" s="35" t="s">
        <v>60</v>
      </c>
      <c r="D33" s="35" t="s">
        <v>25</v>
      </c>
      <c r="E33" s="35" t="s">
        <v>25</v>
      </c>
      <c r="F33" s="35" t="s">
        <v>25</v>
      </c>
      <c r="G33" s="35" t="s">
        <v>61</v>
      </c>
      <c r="H33" s="35" t="s">
        <v>25</v>
      </c>
      <c r="I33" s="55">
        <v>44621</v>
      </c>
      <c r="J33" s="56">
        <f ca="1">EFEITO!$J$33*EFEITO!$Y$33</f>
        <v>37434.645377548193</v>
      </c>
      <c r="K33" s="56">
        <f>EFEITO!$L$33*EFEITO!$Z$33</f>
        <v>0</v>
      </c>
      <c r="L33" s="56">
        <f>EFEITO!$N$33*EFEITO!$AA$33</f>
        <v>0</v>
      </c>
      <c r="M33" s="56">
        <f ca="1">$J$33-EFEITO!$K$33*EFEITO!$Y$33</f>
        <v>0</v>
      </c>
      <c r="N33" s="56">
        <f>$K$33-EFEITO!$M$33*EFEITO!$Z$33</f>
        <v>0</v>
      </c>
      <c r="O33" s="56">
        <f>$L$33-EFEITO!$O$33*EFEITO!$AA$33</f>
        <v>0</v>
      </c>
      <c r="P33" s="39"/>
      <c r="Q33" s="39"/>
      <c r="R33" s="39"/>
      <c r="S33" s="39"/>
      <c r="T33" s="39"/>
      <c r="U33" s="39"/>
      <c r="V33" s="39"/>
      <c r="W33" s="39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35" t="s">
        <v>21</v>
      </c>
      <c r="B34" s="35" t="s">
        <v>45</v>
      </c>
      <c r="C34" s="35" t="s">
        <v>60</v>
      </c>
      <c r="D34" s="35" t="s">
        <v>25</v>
      </c>
      <c r="E34" s="35" t="s">
        <v>25</v>
      </c>
      <c r="F34" s="35" t="s">
        <v>25</v>
      </c>
      <c r="G34" s="35" t="s">
        <v>61</v>
      </c>
      <c r="H34" s="35" t="s">
        <v>25</v>
      </c>
      <c r="I34" s="55">
        <v>44652</v>
      </c>
      <c r="J34" s="56">
        <f ca="1">EFEITO!$J$34*EFEITO!$Y$34</f>
        <v>37434.645377548193</v>
      </c>
      <c r="K34" s="56">
        <f>EFEITO!$L$34*EFEITO!$Z$34</f>
        <v>0</v>
      </c>
      <c r="L34" s="56">
        <f>EFEITO!$N$34*EFEITO!$AA$34</f>
        <v>0</v>
      </c>
      <c r="M34" s="56">
        <f ca="1">$J$34-EFEITO!$K$34*EFEITO!$Y$34</f>
        <v>0</v>
      </c>
      <c r="N34" s="56">
        <f>$K$34-EFEITO!$M$34*EFEITO!$Z$34</f>
        <v>0</v>
      </c>
      <c r="O34" s="56">
        <f>$L$34-EFEITO!$O$34*EFEITO!$AA$34</f>
        <v>0</v>
      </c>
      <c r="P34" s="39"/>
      <c r="Q34" s="39"/>
      <c r="R34" s="39"/>
      <c r="S34" s="39"/>
      <c r="T34" s="39"/>
      <c r="U34" s="39"/>
      <c r="V34" s="39"/>
      <c r="W34" s="39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35" t="s">
        <v>21</v>
      </c>
      <c r="B35" s="35" t="s">
        <v>45</v>
      </c>
      <c r="C35" s="35" t="s">
        <v>60</v>
      </c>
      <c r="D35" s="35" t="s">
        <v>25</v>
      </c>
      <c r="E35" s="35" t="s">
        <v>25</v>
      </c>
      <c r="F35" s="35" t="s">
        <v>25</v>
      </c>
      <c r="G35" s="35" t="s">
        <v>61</v>
      </c>
      <c r="H35" s="35" t="s">
        <v>25</v>
      </c>
      <c r="I35" s="55">
        <v>44682</v>
      </c>
      <c r="J35" s="56">
        <f ca="1">EFEITO!$J$35*EFEITO!$Y$35</f>
        <v>37434.645377548193</v>
      </c>
      <c r="K35" s="56">
        <f>EFEITO!$L$35*EFEITO!$Z$35</f>
        <v>0</v>
      </c>
      <c r="L35" s="56">
        <f>EFEITO!$N$35*EFEITO!$AA$35</f>
        <v>0</v>
      </c>
      <c r="M35" s="56">
        <f ca="1">$J$35-EFEITO!$K$35*EFEITO!$Y$35</f>
        <v>0</v>
      </c>
      <c r="N35" s="56">
        <f>$K$35-EFEITO!$M$35*EFEITO!$Z$35</f>
        <v>0</v>
      </c>
      <c r="O35" s="56">
        <f>$L$35-EFEITO!$O$35*EFEITO!$AA$35</f>
        <v>0</v>
      </c>
      <c r="P35" s="39"/>
      <c r="Q35" s="39"/>
      <c r="R35" s="39"/>
      <c r="S35" s="39"/>
      <c r="T35" s="39"/>
      <c r="U35" s="39"/>
      <c r="V35" s="39"/>
      <c r="W35" s="39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35" t="s">
        <v>21</v>
      </c>
      <c r="B36" s="35" t="s">
        <v>45</v>
      </c>
      <c r="C36" s="35" t="s">
        <v>60</v>
      </c>
      <c r="D36" s="35" t="s">
        <v>25</v>
      </c>
      <c r="E36" s="35" t="s">
        <v>25</v>
      </c>
      <c r="F36" s="35" t="s">
        <v>25</v>
      </c>
      <c r="G36" s="35" t="s">
        <v>61</v>
      </c>
      <c r="H36" s="35" t="s">
        <v>25</v>
      </c>
      <c r="I36" s="55">
        <v>44713</v>
      </c>
      <c r="J36" s="56">
        <f ca="1">EFEITO!$J$36*EFEITO!$Y$36</f>
        <v>37434.645377548193</v>
      </c>
      <c r="K36" s="56">
        <f>EFEITO!$L$36*EFEITO!$Z$36</f>
        <v>0</v>
      </c>
      <c r="L36" s="56">
        <f>EFEITO!$N$36*EFEITO!$AA$36</f>
        <v>0</v>
      </c>
      <c r="M36" s="56">
        <f ca="1">$J$36-EFEITO!$K$36*EFEITO!$Y$36</f>
        <v>0</v>
      </c>
      <c r="N36" s="56">
        <f>$K$36-EFEITO!$M$36*EFEITO!$Z$36</f>
        <v>0</v>
      </c>
      <c r="O36" s="56">
        <f>$L$36-EFEITO!$O$36*EFEITO!$AA$36</f>
        <v>0</v>
      </c>
      <c r="P36" s="39"/>
      <c r="Q36" s="39"/>
      <c r="R36" s="39"/>
      <c r="S36" s="39"/>
      <c r="T36" s="39"/>
      <c r="U36" s="39"/>
      <c r="V36" s="39"/>
      <c r="W36" s="39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35" t="s">
        <v>21</v>
      </c>
      <c r="B37" s="35" t="s">
        <v>45</v>
      </c>
      <c r="C37" s="35" t="s">
        <v>60</v>
      </c>
      <c r="D37" s="35" t="s">
        <v>25</v>
      </c>
      <c r="E37" s="35" t="s">
        <v>25</v>
      </c>
      <c r="F37" s="35" t="s">
        <v>25</v>
      </c>
      <c r="G37" s="35" t="s">
        <v>61</v>
      </c>
      <c r="H37" s="35" t="s">
        <v>25</v>
      </c>
      <c r="I37" s="55">
        <v>44743</v>
      </c>
      <c r="J37" s="56">
        <f ca="1">EFEITO!$J$37*EFEITO!$Y$37</f>
        <v>37434.645377548193</v>
      </c>
      <c r="K37" s="56">
        <f>EFEITO!$L$37*EFEITO!$Z$37</f>
        <v>0</v>
      </c>
      <c r="L37" s="56">
        <f>EFEITO!$N$37*EFEITO!$AA$37</f>
        <v>0</v>
      </c>
      <c r="M37" s="56">
        <f ca="1">$J$37-EFEITO!$K$37*EFEITO!$Y$37</f>
        <v>0</v>
      </c>
      <c r="N37" s="56">
        <f>$K$37-EFEITO!$M$37*EFEITO!$Z$37</f>
        <v>0</v>
      </c>
      <c r="O37" s="56">
        <f>$L$37-EFEITO!$O$37*EFEITO!$AA$37</f>
        <v>0</v>
      </c>
      <c r="P37" s="39"/>
      <c r="Q37" s="39"/>
      <c r="R37" s="39"/>
      <c r="S37" s="39"/>
      <c r="T37" s="39"/>
      <c r="U37" s="39"/>
      <c r="V37" s="39"/>
      <c r="W37" s="39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35" t="s">
        <v>21</v>
      </c>
      <c r="B38" s="35" t="s">
        <v>45</v>
      </c>
      <c r="C38" s="35" t="s">
        <v>60</v>
      </c>
      <c r="D38" s="35" t="s">
        <v>25</v>
      </c>
      <c r="E38" s="35" t="s">
        <v>25</v>
      </c>
      <c r="F38" s="35" t="s">
        <v>25</v>
      </c>
      <c r="G38" s="35" t="s">
        <v>61</v>
      </c>
      <c r="H38" s="35" t="s">
        <v>25</v>
      </c>
      <c r="I38" s="55">
        <v>44774</v>
      </c>
      <c r="J38" s="56">
        <f ca="1">EFEITO!$J$38*EFEITO!$Y$38</f>
        <v>37434.645377548193</v>
      </c>
      <c r="K38" s="56">
        <f>EFEITO!$L$38*EFEITO!$Z$38</f>
        <v>0</v>
      </c>
      <c r="L38" s="56">
        <f>EFEITO!$N$38*EFEITO!$AA$38</f>
        <v>0</v>
      </c>
      <c r="M38" s="56">
        <f ca="1">$J$38-EFEITO!$K$38*EFEITO!$Y$38</f>
        <v>0</v>
      </c>
      <c r="N38" s="56">
        <f>$K$38-EFEITO!$M$38*EFEITO!$Z$38</f>
        <v>0</v>
      </c>
      <c r="O38" s="56">
        <f>$L$38-EFEITO!$O$38*EFEITO!$AA$38</f>
        <v>0</v>
      </c>
      <c r="P38" s="39"/>
      <c r="Q38" s="39"/>
      <c r="R38" s="39"/>
      <c r="S38" s="39"/>
      <c r="T38" s="39"/>
      <c r="U38" s="39"/>
      <c r="V38" s="39"/>
      <c r="W38" s="39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35" t="s">
        <v>21</v>
      </c>
      <c r="B39" s="35" t="s">
        <v>45</v>
      </c>
      <c r="C39" s="35" t="s">
        <v>60</v>
      </c>
      <c r="D39" s="35" t="s">
        <v>25</v>
      </c>
      <c r="E39" s="35" t="s">
        <v>25</v>
      </c>
      <c r="F39" s="35" t="s">
        <v>25</v>
      </c>
      <c r="G39" s="35" t="s">
        <v>61</v>
      </c>
      <c r="H39" s="35" t="s">
        <v>25</v>
      </c>
      <c r="I39" s="55">
        <v>44805</v>
      </c>
      <c r="J39" s="56">
        <f ca="1">EFEITO!$J$39*EFEITO!$Y$39</f>
        <v>37434.645377548193</v>
      </c>
      <c r="K39" s="56">
        <f>EFEITO!$L$39*EFEITO!$Z$39</f>
        <v>0</v>
      </c>
      <c r="L39" s="56">
        <f>EFEITO!$N$39*EFEITO!$AA$39</f>
        <v>0</v>
      </c>
      <c r="M39" s="56">
        <f ca="1">$J$39-EFEITO!$K$39*EFEITO!$Y$39</f>
        <v>0</v>
      </c>
      <c r="N39" s="56">
        <f>$K$39-EFEITO!$M$39*EFEITO!$Z$39</f>
        <v>0</v>
      </c>
      <c r="O39" s="56">
        <f>$L$39-EFEITO!$O$39*EFEITO!$AA$39</f>
        <v>0</v>
      </c>
      <c r="P39" s="39"/>
      <c r="Q39" s="39"/>
      <c r="R39" s="39"/>
      <c r="S39" s="39"/>
      <c r="T39" s="39"/>
      <c r="U39" s="39"/>
      <c r="V39" s="39"/>
      <c r="W39" s="39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35" t="s">
        <v>57</v>
      </c>
      <c r="B40" s="35" t="s">
        <v>45</v>
      </c>
      <c r="C40" s="35" t="s">
        <v>60</v>
      </c>
      <c r="D40" s="35" t="s">
        <v>25</v>
      </c>
      <c r="E40" s="35" t="s">
        <v>25</v>
      </c>
      <c r="F40" s="35" t="s">
        <v>25</v>
      </c>
      <c r="G40" s="35" t="s">
        <v>61</v>
      </c>
      <c r="H40" s="35" t="s">
        <v>25</v>
      </c>
      <c r="I40" s="55">
        <v>44835</v>
      </c>
      <c r="J40" s="56">
        <f ca="1">EFEITO!$J$40*EFEITO!$Y$40</f>
        <v>37434.645377548193</v>
      </c>
      <c r="K40" s="56">
        <f>EFEITO!$L$40*EFEITO!$Z$40</f>
        <v>0</v>
      </c>
      <c r="L40" s="56">
        <f>EFEITO!$N$40*EFEITO!$AA$40</f>
        <v>0</v>
      </c>
      <c r="M40" s="56">
        <f ca="1">$J$40-EFEITO!$K$40*EFEITO!$Y$40</f>
        <v>0</v>
      </c>
      <c r="N40" s="56">
        <f>$K$40-EFEITO!$M$40*EFEITO!$Z$40</f>
        <v>0</v>
      </c>
      <c r="O40" s="56">
        <f>$L$40-EFEITO!$O$40*EFEITO!$AA$40</f>
        <v>0</v>
      </c>
      <c r="P40" s="39"/>
      <c r="Q40" s="39"/>
      <c r="R40" s="39"/>
      <c r="S40" s="39"/>
      <c r="T40" s="39"/>
      <c r="U40" s="39"/>
      <c r="V40" s="39"/>
      <c r="W40" s="39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35" t="s">
        <v>21</v>
      </c>
      <c r="B41" s="35" t="s">
        <v>45</v>
      </c>
      <c r="C41" s="35" t="s">
        <v>40</v>
      </c>
      <c r="D41" s="35" t="s">
        <v>44</v>
      </c>
      <c r="E41" s="35" t="s">
        <v>53</v>
      </c>
      <c r="F41" s="35" t="s">
        <v>55</v>
      </c>
      <c r="G41" s="35" t="s">
        <v>25</v>
      </c>
      <c r="H41" s="35" t="s">
        <v>35</v>
      </c>
      <c r="I41" s="55">
        <v>44805</v>
      </c>
      <c r="J41" s="56" t="e">
        <f>EFEITO!$J$41*EFEITO!R0C25</f>
        <v>#NAME?</v>
      </c>
      <c r="K41" s="56" t="e">
        <f>EFEITO!$L$41*EFEITO!R0C26</f>
        <v>#NAME?</v>
      </c>
      <c r="L41" s="56" t="e">
        <f>EFEITO!$N$41*EFEITO!R0C27</f>
        <v>#NAME?</v>
      </c>
      <c r="M41" s="56" t="e">
        <f>$J$41-EFEITO!$K$41*EFEITO!$Y$41</f>
        <v>#NAME?</v>
      </c>
      <c r="N41" s="56" t="e">
        <f ca="1">$K$41-EFEITO!$M$41*EFEITO!$Z$41</f>
        <v>#NAME?</v>
      </c>
      <c r="O41" s="56" t="e">
        <f>$L$41-EFEITO!$O$41*EFEITO!$AA$41</f>
        <v>#NAME?</v>
      </c>
      <c r="P41" s="39"/>
      <c r="Q41" s="39"/>
      <c r="R41" s="39"/>
      <c r="S41" s="39"/>
      <c r="T41" s="39"/>
      <c r="U41" s="39"/>
      <c r="V41" s="39"/>
      <c r="W41" s="39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35" t="s">
        <v>57</v>
      </c>
      <c r="B42" s="35" t="s">
        <v>45</v>
      </c>
      <c r="C42" s="35" t="s">
        <v>40</v>
      </c>
      <c r="D42" s="35" t="s">
        <v>44</v>
      </c>
      <c r="E42" s="35" t="s">
        <v>53</v>
      </c>
      <c r="F42" s="35" t="s">
        <v>55</v>
      </c>
      <c r="G42" s="35" t="s">
        <v>25</v>
      </c>
      <c r="H42" s="35" t="s">
        <v>35</v>
      </c>
      <c r="I42" s="55">
        <v>44835</v>
      </c>
      <c r="J42" s="56" t="e">
        <f>EFEITO!$J$42*EFEITO!R0C25</f>
        <v>#NAME?</v>
      </c>
      <c r="K42" s="56" t="e">
        <f>EFEITO!$L$42*EFEITO!R0C26</f>
        <v>#NAME?</v>
      </c>
      <c r="L42" s="56" t="e">
        <f>EFEITO!$N$42*EFEITO!R0C27</f>
        <v>#NAME?</v>
      </c>
      <c r="M42" s="56" t="e">
        <f>$J$42-EFEITO!$K$42*EFEITO!$Y$42</f>
        <v>#NAME?</v>
      </c>
      <c r="N42" s="56" t="e">
        <f ca="1">$K$42-EFEITO!$M$42*EFEITO!$Z$42</f>
        <v>#NAME?</v>
      </c>
      <c r="O42" s="56" t="e">
        <f>$L$42-EFEITO!$O$42*EFEITO!$AA$42</f>
        <v>#NAME?</v>
      </c>
      <c r="P42" s="39"/>
      <c r="Q42" s="39"/>
      <c r="R42" s="39"/>
      <c r="S42" s="39"/>
      <c r="T42" s="39"/>
      <c r="U42" s="39"/>
      <c r="V42" s="39"/>
      <c r="W42" s="39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35" t="s">
        <v>21</v>
      </c>
      <c r="B43" s="35" t="s">
        <v>45</v>
      </c>
      <c r="C43" s="35" t="s">
        <v>40</v>
      </c>
      <c r="D43" s="35" t="s">
        <v>44</v>
      </c>
      <c r="E43" s="35" t="s">
        <v>53</v>
      </c>
      <c r="F43" s="35" t="s">
        <v>25</v>
      </c>
      <c r="G43" s="35" t="s">
        <v>25</v>
      </c>
      <c r="H43" s="35" t="s">
        <v>35</v>
      </c>
      <c r="I43" s="55">
        <v>44805</v>
      </c>
      <c r="J43" s="56" t="e">
        <f>EFEITO!$J$43*EFEITO!R0C25</f>
        <v>#NAME?</v>
      </c>
      <c r="K43" s="56" t="e">
        <f>EFEITO!$L$43*EFEITO!R0C26</f>
        <v>#NAME?</v>
      </c>
      <c r="L43" s="56" t="e">
        <f>EFEITO!$N$43*EFEITO!R0C27</f>
        <v>#NAME?</v>
      </c>
      <c r="M43" s="56" t="e">
        <f>$J$43-EFEITO!$K$43*EFEITO!$Y$43</f>
        <v>#NAME?</v>
      </c>
      <c r="N43" s="56" t="e">
        <f ca="1">$K$43-EFEITO!$M$43*EFEITO!$Z$43</f>
        <v>#NAME?</v>
      </c>
      <c r="O43" s="56" t="e">
        <f>$L$43-EFEITO!$O$43*EFEITO!$AA$43</f>
        <v>#NAME?</v>
      </c>
      <c r="P43" s="39"/>
      <c r="Q43" s="39"/>
      <c r="R43" s="39"/>
      <c r="S43" s="39"/>
      <c r="T43" s="39"/>
      <c r="U43" s="39"/>
      <c r="V43" s="39"/>
      <c r="W43" s="39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35" t="s">
        <v>57</v>
      </c>
      <c r="B44" s="35" t="s">
        <v>45</v>
      </c>
      <c r="C44" s="35" t="s">
        <v>40</v>
      </c>
      <c r="D44" s="35" t="s">
        <v>44</v>
      </c>
      <c r="E44" s="35" t="s">
        <v>53</v>
      </c>
      <c r="F44" s="35" t="s">
        <v>25</v>
      </c>
      <c r="G44" s="35" t="s">
        <v>25</v>
      </c>
      <c r="H44" s="35" t="s">
        <v>35</v>
      </c>
      <c r="I44" s="55">
        <v>44835</v>
      </c>
      <c r="J44" s="56" t="e">
        <f>EFEITO!$J$44*EFEITO!R0C25</f>
        <v>#NAME?</v>
      </c>
      <c r="K44" s="56" t="e">
        <f>EFEITO!$L$44*EFEITO!R0C26</f>
        <v>#NAME?</v>
      </c>
      <c r="L44" s="56" t="e">
        <f>EFEITO!$N$44*EFEITO!R0C27</f>
        <v>#NAME?</v>
      </c>
      <c r="M44" s="56" t="e">
        <f>$J$44-EFEITO!$K$44*EFEITO!$Y$44</f>
        <v>#NAME?</v>
      </c>
      <c r="N44" s="56" t="e">
        <f ca="1">$K$44-EFEITO!$M$44*EFEITO!$Z$44</f>
        <v>#NAME?</v>
      </c>
      <c r="O44" s="56" t="e">
        <f>$L$44-EFEITO!$O$44*EFEITO!$AA$44</f>
        <v>#NAME?</v>
      </c>
      <c r="P44" s="39"/>
      <c r="Q44" s="39"/>
      <c r="R44" s="39"/>
      <c r="S44" s="39"/>
      <c r="T44" s="39"/>
      <c r="U44" s="39"/>
      <c r="V44" s="39"/>
      <c r="W44" s="39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35" t="s">
        <v>21</v>
      </c>
      <c r="B45" s="35" t="s">
        <v>45</v>
      </c>
      <c r="C45" s="35" t="s">
        <v>40</v>
      </c>
      <c r="D45" s="35" t="s">
        <v>44</v>
      </c>
      <c r="E45" s="35" t="s">
        <v>53</v>
      </c>
      <c r="F45" s="35" t="s">
        <v>25</v>
      </c>
      <c r="G45" s="35" t="s">
        <v>25</v>
      </c>
      <c r="H45" s="35" t="s">
        <v>25</v>
      </c>
      <c r="I45" s="55">
        <v>44805</v>
      </c>
      <c r="J45" s="56" t="e">
        <f>EFEITO!$J$45*EFEITO!R0C25</f>
        <v>#NAME?</v>
      </c>
      <c r="K45" s="56" t="e">
        <f>EFEITO!$L$45*EFEITO!R0C26</f>
        <v>#NAME?</v>
      </c>
      <c r="L45" s="56" t="e">
        <f>EFEITO!$N$45*EFEITO!R0C27</f>
        <v>#NAME?</v>
      </c>
      <c r="M45" s="56" t="e">
        <f ca="1">$J$45-EFEITO!$K$45*EFEITO!$Y$45</f>
        <v>#NAME?</v>
      </c>
      <c r="N45" s="56" t="e">
        <f>$K$45-EFEITO!$M$45*EFEITO!$Z$45</f>
        <v>#NAME?</v>
      </c>
      <c r="O45" s="56" t="e">
        <f>$L$45-EFEITO!$O$45*EFEITO!$AA$45</f>
        <v>#NAME?</v>
      </c>
      <c r="P45" s="39"/>
      <c r="Q45" s="39"/>
      <c r="R45" s="39"/>
      <c r="S45" s="39"/>
      <c r="T45" s="39"/>
      <c r="U45" s="39"/>
      <c r="V45" s="39"/>
      <c r="W45" s="39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35" t="s">
        <v>57</v>
      </c>
      <c r="B46" s="35" t="s">
        <v>45</v>
      </c>
      <c r="C46" s="35" t="s">
        <v>40</v>
      </c>
      <c r="D46" s="35" t="s">
        <v>44</v>
      </c>
      <c r="E46" s="35" t="s">
        <v>53</v>
      </c>
      <c r="F46" s="35" t="s">
        <v>25</v>
      </c>
      <c r="G46" s="35" t="s">
        <v>25</v>
      </c>
      <c r="H46" s="35" t="s">
        <v>25</v>
      </c>
      <c r="I46" s="55">
        <v>44835</v>
      </c>
      <c r="J46" s="56" t="e">
        <f>EFEITO!$J$46*EFEITO!R0C25</f>
        <v>#NAME?</v>
      </c>
      <c r="K46" s="56" t="e">
        <f>EFEITO!$L$46*EFEITO!R0C26</f>
        <v>#NAME?</v>
      </c>
      <c r="L46" s="56" t="e">
        <f>EFEITO!$N$46*EFEITO!R0C27</f>
        <v>#NAME?</v>
      </c>
      <c r="M46" s="56" t="e">
        <f ca="1">$J$46-EFEITO!$K$46*EFEITO!$Y$46</f>
        <v>#NAME?</v>
      </c>
      <c r="N46" s="56" t="e">
        <f>$K$46-EFEITO!$M$46*EFEITO!$Z$46</f>
        <v>#NAME?</v>
      </c>
      <c r="O46" s="56" t="e">
        <f>$L$46-EFEITO!$O$46*EFEITO!$AA$46</f>
        <v>#NAME?</v>
      </c>
      <c r="P46" s="39"/>
      <c r="Q46" s="39"/>
      <c r="R46" s="39"/>
      <c r="S46" s="39"/>
      <c r="T46" s="39"/>
      <c r="U46" s="39"/>
      <c r="V46" s="39"/>
      <c r="W46" s="39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35" t="s">
        <v>21</v>
      </c>
      <c r="B47" s="35" t="s">
        <v>45</v>
      </c>
      <c r="C47" s="35" t="s">
        <v>40</v>
      </c>
      <c r="D47" s="35" t="s">
        <v>44</v>
      </c>
      <c r="E47" s="35" t="s">
        <v>53</v>
      </c>
      <c r="F47" s="35" t="s">
        <v>25</v>
      </c>
      <c r="G47" s="35" t="s">
        <v>25</v>
      </c>
      <c r="H47" s="35" t="s">
        <v>34</v>
      </c>
      <c r="I47" s="55">
        <v>44805</v>
      </c>
      <c r="J47" s="56" t="e">
        <f>EFEITO!$J$47*EFEITO!R0C25</f>
        <v>#NAME?</v>
      </c>
      <c r="K47" s="56" t="e">
        <f>EFEITO!$L$47*EFEITO!R0C26</f>
        <v>#NAME?</v>
      </c>
      <c r="L47" s="56" t="e">
        <f>EFEITO!$N$47*EFEITO!R0C27</f>
        <v>#NAME?</v>
      </c>
      <c r="M47" s="56" t="e">
        <f>$J$47-EFEITO!$K$47*EFEITO!$Y$47</f>
        <v>#NAME?</v>
      </c>
      <c r="N47" s="56" t="e">
        <f ca="1">$K$47-EFEITO!$M$47*EFEITO!$Z$47</f>
        <v>#NAME?</v>
      </c>
      <c r="O47" s="56" t="e">
        <f>$L$47-EFEITO!$O$47*EFEITO!$AA$47</f>
        <v>#NAME?</v>
      </c>
      <c r="P47" s="39"/>
      <c r="Q47" s="39"/>
      <c r="R47" s="39"/>
      <c r="S47" s="39"/>
      <c r="T47" s="39"/>
      <c r="U47" s="39"/>
      <c r="V47" s="39"/>
      <c r="W47" s="39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35" t="s">
        <v>57</v>
      </c>
      <c r="B48" s="35" t="s">
        <v>45</v>
      </c>
      <c r="C48" s="35" t="s">
        <v>40</v>
      </c>
      <c r="D48" s="35" t="s">
        <v>44</v>
      </c>
      <c r="E48" s="35" t="s">
        <v>53</v>
      </c>
      <c r="F48" s="35" t="s">
        <v>25</v>
      </c>
      <c r="G48" s="35" t="s">
        <v>25</v>
      </c>
      <c r="H48" s="35" t="s">
        <v>34</v>
      </c>
      <c r="I48" s="55">
        <v>44835</v>
      </c>
      <c r="J48" s="56" t="e">
        <f>EFEITO!$J$48*EFEITO!R0C25</f>
        <v>#NAME?</v>
      </c>
      <c r="K48" s="56" t="e">
        <f>EFEITO!$L$48*EFEITO!R0C26</f>
        <v>#NAME?</v>
      </c>
      <c r="L48" s="56" t="e">
        <f>EFEITO!$N$48*EFEITO!R0C27</f>
        <v>#NAME?</v>
      </c>
      <c r="M48" s="56" t="e">
        <f>$J$48-EFEITO!$K$48*EFEITO!$Y$48</f>
        <v>#NAME?</v>
      </c>
      <c r="N48" s="56" t="e">
        <f ca="1">$K$48-EFEITO!$M$48*EFEITO!$Z$48</f>
        <v>#NAME?</v>
      </c>
      <c r="O48" s="56" t="e">
        <f>$L$48-EFEITO!$O$48*EFEITO!$AA$48</f>
        <v>#NAME?</v>
      </c>
      <c r="P48" s="39"/>
      <c r="Q48" s="39"/>
      <c r="R48" s="39"/>
      <c r="S48" s="39"/>
      <c r="T48" s="39"/>
      <c r="U48" s="39"/>
      <c r="V48" s="39"/>
      <c r="W48" s="39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35" t="s">
        <v>21</v>
      </c>
      <c r="B49" s="35" t="s">
        <v>45</v>
      </c>
      <c r="C49" s="35" t="s">
        <v>40</v>
      </c>
      <c r="D49" s="35" t="s">
        <v>44</v>
      </c>
      <c r="E49" s="35" t="s">
        <v>56</v>
      </c>
      <c r="F49" s="35" t="s">
        <v>25</v>
      </c>
      <c r="G49" s="35" t="s">
        <v>25</v>
      </c>
      <c r="H49" s="35" t="s">
        <v>35</v>
      </c>
      <c r="I49" s="55">
        <v>44593</v>
      </c>
      <c r="J49" s="56" t="e">
        <f>EFEITO!$J$49*EFEITO!R0C25</f>
        <v>#NAME?</v>
      </c>
      <c r="K49" s="56" t="e">
        <f>EFEITO!$L$49*EFEITO!R0C26</f>
        <v>#NAME?</v>
      </c>
      <c r="L49" s="56" t="e">
        <f>EFEITO!$N$49*EFEITO!R0C27</f>
        <v>#NAME?</v>
      </c>
      <c r="M49" s="56" t="e">
        <f>$J$49-EFEITO!$K$49*EFEITO!$Y$49</f>
        <v>#NAME?</v>
      </c>
      <c r="N49" s="56" t="e">
        <f ca="1">$K$49-EFEITO!$M$49*EFEITO!$Z$49</f>
        <v>#NAME?</v>
      </c>
      <c r="O49" s="56" t="e">
        <f>$L$49-EFEITO!$O$49*EFEITO!$AA$49</f>
        <v>#NAME?</v>
      </c>
      <c r="P49" s="39"/>
      <c r="Q49" s="39"/>
      <c r="R49" s="39"/>
      <c r="S49" s="39"/>
      <c r="T49" s="39"/>
      <c r="U49" s="39"/>
      <c r="V49" s="39"/>
      <c r="W49" s="39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35" t="s">
        <v>21</v>
      </c>
      <c r="B50" s="35" t="s">
        <v>45</v>
      </c>
      <c r="C50" s="35" t="s">
        <v>40</v>
      </c>
      <c r="D50" s="35" t="s">
        <v>44</v>
      </c>
      <c r="E50" s="35" t="s">
        <v>56</v>
      </c>
      <c r="F50" s="35" t="s">
        <v>25</v>
      </c>
      <c r="G50" s="35" t="s">
        <v>25</v>
      </c>
      <c r="H50" s="35" t="s">
        <v>35</v>
      </c>
      <c r="I50" s="55">
        <v>44621</v>
      </c>
      <c r="J50" s="56" t="e">
        <f>EFEITO!$J$50*EFEITO!R0C25</f>
        <v>#NAME?</v>
      </c>
      <c r="K50" s="56" t="e">
        <f>EFEITO!$L$50*EFEITO!R0C26</f>
        <v>#NAME?</v>
      </c>
      <c r="L50" s="56" t="e">
        <f>EFEITO!$N$50*EFEITO!R0C27</f>
        <v>#NAME?</v>
      </c>
      <c r="M50" s="56" t="e">
        <f>$J$50-EFEITO!$K$50*EFEITO!$Y$50</f>
        <v>#NAME?</v>
      </c>
      <c r="N50" s="56" t="e">
        <f ca="1">$K$50-EFEITO!$M$50*EFEITO!$Z$50</f>
        <v>#NAME?</v>
      </c>
      <c r="O50" s="56" t="e">
        <f>$L$50-EFEITO!$O$50*EFEITO!$AA$50</f>
        <v>#NAME?</v>
      </c>
      <c r="P50" s="39"/>
      <c r="Q50" s="39"/>
      <c r="R50" s="39"/>
      <c r="S50" s="39"/>
      <c r="T50" s="39"/>
      <c r="U50" s="39"/>
      <c r="V50" s="39"/>
      <c r="W50" s="39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35" t="s">
        <v>21</v>
      </c>
      <c r="B51" s="35" t="s">
        <v>45</v>
      </c>
      <c r="C51" s="35" t="s">
        <v>40</v>
      </c>
      <c r="D51" s="35" t="s">
        <v>44</v>
      </c>
      <c r="E51" s="35" t="s">
        <v>56</v>
      </c>
      <c r="F51" s="35" t="s">
        <v>25</v>
      </c>
      <c r="G51" s="35" t="s">
        <v>25</v>
      </c>
      <c r="H51" s="35" t="s">
        <v>35</v>
      </c>
      <c r="I51" s="55">
        <v>44652</v>
      </c>
      <c r="J51" s="56" t="e">
        <f>EFEITO!$J$51*EFEITO!R0C25</f>
        <v>#NAME?</v>
      </c>
      <c r="K51" s="56" t="e">
        <f>EFEITO!$L$51*EFEITO!R0C26</f>
        <v>#NAME?</v>
      </c>
      <c r="L51" s="56" t="e">
        <f>EFEITO!$N$51*EFEITO!R0C27</f>
        <v>#NAME?</v>
      </c>
      <c r="M51" s="56" t="e">
        <f>$J$51-EFEITO!$K$51*EFEITO!$Y$51</f>
        <v>#NAME?</v>
      </c>
      <c r="N51" s="56" t="e">
        <f ca="1">$K$51-EFEITO!$M$51*EFEITO!$Z$51</f>
        <v>#NAME?</v>
      </c>
      <c r="O51" s="56" t="e">
        <f>$L$51-EFEITO!$O$51*EFEITO!$AA$51</f>
        <v>#NAME?</v>
      </c>
      <c r="P51" s="39"/>
      <c r="Q51" s="39"/>
      <c r="R51" s="39"/>
      <c r="S51" s="39"/>
      <c r="T51" s="39"/>
      <c r="U51" s="39"/>
      <c r="V51" s="39"/>
      <c r="W51" s="39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35" t="s">
        <v>21</v>
      </c>
      <c r="B52" s="35" t="s">
        <v>45</v>
      </c>
      <c r="C52" s="35" t="s">
        <v>40</v>
      </c>
      <c r="D52" s="35" t="s">
        <v>44</v>
      </c>
      <c r="E52" s="35" t="s">
        <v>56</v>
      </c>
      <c r="F52" s="35" t="s">
        <v>25</v>
      </c>
      <c r="G52" s="35" t="s">
        <v>25</v>
      </c>
      <c r="H52" s="35" t="s">
        <v>35</v>
      </c>
      <c r="I52" s="55">
        <v>44682</v>
      </c>
      <c r="J52" s="56" t="e">
        <f>EFEITO!$J$52*EFEITO!R0C25</f>
        <v>#NAME?</v>
      </c>
      <c r="K52" s="56" t="e">
        <f>EFEITO!$L$52*EFEITO!R0C26</f>
        <v>#NAME?</v>
      </c>
      <c r="L52" s="56" t="e">
        <f>EFEITO!$N$52*EFEITO!R0C27</f>
        <v>#NAME?</v>
      </c>
      <c r="M52" s="56" t="e">
        <f>$J$52-EFEITO!$K$52*EFEITO!$Y$52</f>
        <v>#NAME?</v>
      </c>
      <c r="N52" s="56" t="e">
        <f ca="1">$K$52-EFEITO!$M$52*EFEITO!$Z$52</f>
        <v>#NAME?</v>
      </c>
      <c r="O52" s="56" t="e">
        <f>$L$52-EFEITO!$O$52*EFEITO!$AA$52</f>
        <v>#NAME?</v>
      </c>
      <c r="P52" s="39"/>
      <c r="Q52" s="39"/>
      <c r="R52" s="39"/>
      <c r="S52" s="39"/>
      <c r="T52" s="39"/>
      <c r="U52" s="39"/>
      <c r="V52" s="39"/>
      <c r="W52" s="39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35" t="s">
        <v>21</v>
      </c>
      <c r="B53" s="35" t="s">
        <v>45</v>
      </c>
      <c r="C53" s="35" t="s">
        <v>40</v>
      </c>
      <c r="D53" s="35" t="s">
        <v>44</v>
      </c>
      <c r="E53" s="35" t="s">
        <v>56</v>
      </c>
      <c r="F53" s="35" t="s">
        <v>25</v>
      </c>
      <c r="G53" s="35" t="s">
        <v>25</v>
      </c>
      <c r="H53" s="35" t="s">
        <v>35</v>
      </c>
      <c r="I53" s="55">
        <v>44713</v>
      </c>
      <c r="J53" s="56" t="e">
        <f>EFEITO!$J$53*EFEITO!R0C25</f>
        <v>#NAME?</v>
      </c>
      <c r="K53" s="56" t="e">
        <f>EFEITO!$L$53*EFEITO!R0C26</f>
        <v>#NAME?</v>
      </c>
      <c r="L53" s="56" t="e">
        <f>EFEITO!$N$53*EFEITO!R0C27</f>
        <v>#NAME?</v>
      </c>
      <c r="M53" s="56" t="e">
        <f>$J$53-EFEITO!$K$53*EFEITO!$Y$53</f>
        <v>#NAME?</v>
      </c>
      <c r="N53" s="56" t="e">
        <f ca="1">$K$53-EFEITO!$M$53*EFEITO!$Z$53</f>
        <v>#NAME?</v>
      </c>
      <c r="O53" s="56" t="e">
        <f>$L$53-EFEITO!$O$53*EFEITO!$AA$53</f>
        <v>#NAME?</v>
      </c>
      <c r="P53" s="39"/>
      <c r="Q53" s="39"/>
      <c r="R53" s="39"/>
      <c r="S53" s="39"/>
      <c r="T53" s="39"/>
      <c r="U53" s="39"/>
      <c r="V53" s="39"/>
      <c r="W53" s="39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35" t="s">
        <v>21</v>
      </c>
      <c r="B54" s="35" t="s">
        <v>45</v>
      </c>
      <c r="C54" s="35" t="s">
        <v>40</v>
      </c>
      <c r="D54" s="35" t="s">
        <v>44</v>
      </c>
      <c r="E54" s="35" t="s">
        <v>56</v>
      </c>
      <c r="F54" s="35" t="s">
        <v>25</v>
      </c>
      <c r="G54" s="35" t="s">
        <v>25</v>
      </c>
      <c r="H54" s="35" t="s">
        <v>35</v>
      </c>
      <c r="I54" s="55">
        <v>44743</v>
      </c>
      <c r="J54" s="56" t="e">
        <f>EFEITO!$J$54*EFEITO!R0C25</f>
        <v>#NAME?</v>
      </c>
      <c r="K54" s="56" t="e">
        <f>EFEITO!$L$54*EFEITO!R0C26</f>
        <v>#NAME?</v>
      </c>
      <c r="L54" s="56" t="e">
        <f>EFEITO!$N$54*EFEITO!R0C27</f>
        <v>#NAME?</v>
      </c>
      <c r="M54" s="56" t="e">
        <f>$J$54-EFEITO!$K$54*EFEITO!$Y$54</f>
        <v>#NAME?</v>
      </c>
      <c r="N54" s="56" t="e">
        <f ca="1">$K$54-EFEITO!$M$54*EFEITO!$Z$54</f>
        <v>#NAME?</v>
      </c>
      <c r="O54" s="56" t="e">
        <f>$L$54-EFEITO!$O$54*EFEITO!$AA$54</f>
        <v>#NAME?</v>
      </c>
      <c r="P54" s="39"/>
      <c r="Q54" s="39"/>
      <c r="R54" s="39"/>
      <c r="S54" s="39"/>
      <c r="T54" s="39"/>
      <c r="U54" s="39"/>
      <c r="V54" s="39"/>
      <c r="W54" s="39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35" t="s">
        <v>21</v>
      </c>
      <c r="B55" s="35" t="s">
        <v>45</v>
      </c>
      <c r="C55" s="35" t="s">
        <v>40</v>
      </c>
      <c r="D55" s="35" t="s">
        <v>44</v>
      </c>
      <c r="E55" s="35" t="s">
        <v>56</v>
      </c>
      <c r="F55" s="35" t="s">
        <v>25</v>
      </c>
      <c r="G55" s="35" t="s">
        <v>25</v>
      </c>
      <c r="H55" s="35" t="s">
        <v>35</v>
      </c>
      <c r="I55" s="55">
        <v>44774</v>
      </c>
      <c r="J55" s="56" t="e">
        <f>EFEITO!$J$55*EFEITO!R0C25</f>
        <v>#NAME?</v>
      </c>
      <c r="K55" s="56" t="e">
        <f>EFEITO!$L$55*EFEITO!R0C26</f>
        <v>#NAME?</v>
      </c>
      <c r="L55" s="56" t="e">
        <f>EFEITO!$N$55*EFEITO!R0C27</f>
        <v>#NAME?</v>
      </c>
      <c r="M55" s="56" t="e">
        <f>$J$55-EFEITO!$K$55*EFEITO!$Y$55</f>
        <v>#NAME?</v>
      </c>
      <c r="N55" s="56" t="e">
        <f ca="1">$K$55-EFEITO!$M$55*EFEITO!$Z$55</f>
        <v>#NAME?</v>
      </c>
      <c r="O55" s="56" t="e">
        <f>$L$55-EFEITO!$O$55*EFEITO!$AA$55</f>
        <v>#NAME?</v>
      </c>
      <c r="P55" s="39"/>
      <c r="Q55" s="39"/>
      <c r="R55" s="39"/>
      <c r="S55" s="39"/>
      <c r="T55" s="39"/>
      <c r="U55" s="39"/>
      <c r="V55" s="39"/>
      <c r="W55" s="39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35" t="s">
        <v>21</v>
      </c>
      <c r="B56" s="35" t="s">
        <v>45</v>
      </c>
      <c r="C56" s="35" t="s">
        <v>40</v>
      </c>
      <c r="D56" s="35" t="s">
        <v>44</v>
      </c>
      <c r="E56" s="35" t="s">
        <v>56</v>
      </c>
      <c r="F56" s="35" t="s">
        <v>25</v>
      </c>
      <c r="G56" s="35" t="s">
        <v>25</v>
      </c>
      <c r="H56" s="35" t="s">
        <v>35</v>
      </c>
      <c r="I56" s="55">
        <v>44805</v>
      </c>
      <c r="J56" s="56" t="e">
        <f>EFEITO!$J$56*EFEITO!R0C25</f>
        <v>#NAME?</v>
      </c>
      <c r="K56" s="56" t="e">
        <f>EFEITO!$L$56*EFEITO!R0C26</f>
        <v>#NAME?</v>
      </c>
      <c r="L56" s="56" t="e">
        <f>EFEITO!$N$56*EFEITO!R0C27</f>
        <v>#NAME?</v>
      </c>
      <c r="M56" s="56" t="e">
        <f>$J$56-EFEITO!$K$56*EFEITO!$Y$56</f>
        <v>#NAME?</v>
      </c>
      <c r="N56" s="56" t="e">
        <f ca="1">$K$56-EFEITO!$M$56*EFEITO!$Z$56</f>
        <v>#NAME?</v>
      </c>
      <c r="O56" s="56" t="e">
        <f>$L$56-EFEITO!$O$56*EFEITO!$AA$56</f>
        <v>#NAME?</v>
      </c>
      <c r="P56" s="39"/>
      <c r="Q56" s="39"/>
      <c r="R56" s="39"/>
      <c r="S56" s="39"/>
      <c r="T56" s="39"/>
      <c r="U56" s="39"/>
      <c r="V56" s="39"/>
      <c r="W56" s="39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35" t="s">
        <v>57</v>
      </c>
      <c r="B57" s="35" t="s">
        <v>45</v>
      </c>
      <c r="C57" s="35" t="s">
        <v>40</v>
      </c>
      <c r="D57" s="35" t="s">
        <v>44</v>
      </c>
      <c r="E57" s="35" t="s">
        <v>56</v>
      </c>
      <c r="F57" s="35" t="s">
        <v>25</v>
      </c>
      <c r="G57" s="35" t="s">
        <v>25</v>
      </c>
      <c r="H57" s="35" t="s">
        <v>35</v>
      </c>
      <c r="I57" s="55">
        <v>44835</v>
      </c>
      <c r="J57" s="56" t="e">
        <f>EFEITO!$J$57*EFEITO!R0C25</f>
        <v>#NAME?</v>
      </c>
      <c r="K57" s="56" t="e">
        <f>EFEITO!$L$57*EFEITO!R0C26</f>
        <v>#NAME?</v>
      </c>
      <c r="L57" s="56" t="e">
        <f>EFEITO!$N$57*EFEITO!R0C27</f>
        <v>#NAME?</v>
      </c>
      <c r="M57" s="56" t="e">
        <f>$J$57-EFEITO!$K$57*EFEITO!$Y$57</f>
        <v>#NAME?</v>
      </c>
      <c r="N57" s="56" t="e">
        <f ca="1">$K$57-EFEITO!$M$57*EFEITO!$Z$57</f>
        <v>#NAME?</v>
      </c>
      <c r="O57" s="56" t="e">
        <f>$L$57-EFEITO!$O$57*EFEITO!$AA$57</f>
        <v>#NAME?</v>
      </c>
      <c r="P57" s="39"/>
      <c r="Q57" s="39"/>
      <c r="R57" s="39"/>
      <c r="S57" s="39"/>
      <c r="T57" s="39"/>
      <c r="U57" s="39"/>
      <c r="V57" s="39"/>
      <c r="W57" s="3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35" t="s">
        <v>21</v>
      </c>
      <c r="B58" s="35" t="s">
        <v>45</v>
      </c>
      <c r="C58" s="35" t="s">
        <v>40</v>
      </c>
      <c r="D58" s="35" t="s">
        <v>44</v>
      </c>
      <c r="E58" s="35" t="s">
        <v>56</v>
      </c>
      <c r="F58" s="35" t="s">
        <v>25</v>
      </c>
      <c r="G58" s="35" t="s">
        <v>25</v>
      </c>
      <c r="H58" s="35" t="s">
        <v>25</v>
      </c>
      <c r="I58" s="55">
        <v>44593</v>
      </c>
      <c r="J58" s="56" t="e">
        <f>EFEITO!$J$58*EFEITO!R0C25</f>
        <v>#NAME?</v>
      </c>
      <c r="K58" s="56" t="e">
        <f>EFEITO!$L$58*EFEITO!R0C26</f>
        <v>#NAME?</v>
      </c>
      <c r="L58" s="56" t="e">
        <f>EFEITO!$N$58*EFEITO!R0C27</f>
        <v>#NAME?</v>
      </c>
      <c r="M58" s="56" t="e">
        <f ca="1">$J$58-EFEITO!$K$58*EFEITO!$Y$58</f>
        <v>#NAME?</v>
      </c>
      <c r="N58" s="56" t="e">
        <f>$K$58-EFEITO!$M$58*EFEITO!$Z$58</f>
        <v>#NAME?</v>
      </c>
      <c r="O58" s="56" t="e">
        <f>$L$58-EFEITO!$O$58*EFEITO!$AA$58</f>
        <v>#NAME?</v>
      </c>
      <c r="P58" s="39"/>
      <c r="Q58" s="39"/>
      <c r="R58" s="39"/>
      <c r="S58" s="39"/>
      <c r="T58" s="39"/>
      <c r="U58" s="39"/>
      <c r="V58" s="39"/>
      <c r="W58" s="39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35" t="s">
        <v>21</v>
      </c>
      <c r="B59" s="35" t="s">
        <v>45</v>
      </c>
      <c r="C59" s="35" t="s">
        <v>40</v>
      </c>
      <c r="D59" s="35" t="s">
        <v>44</v>
      </c>
      <c r="E59" s="35" t="s">
        <v>56</v>
      </c>
      <c r="F59" s="35" t="s">
        <v>25</v>
      </c>
      <c r="G59" s="35" t="s">
        <v>25</v>
      </c>
      <c r="H59" s="35" t="s">
        <v>25</v>
      </c>
      <c r="I59" s="55">
        <v>44621</v>
      </c>
      <c r="J59" s="56" t="e">
        <f>EFEITO!$J$59*EFEITO!R0C25</f>
        <v>#NAME?</v>
      </c>
      <c r="K59" s="56" t="e">
        <f>EFEITO!$L$59*EFEITO!R0C26</f>
        <v>#NAME?</v>
      </c>
      <c r="L59" s="56" t="e">
        <f>EFEITO!$N$59*EFEITO!R0C27</f>
        <v>#NAME?</v>
      </c>
      <c r="M59" s="56" t="e">
        <f ca="1">$J$59-EFEITO!$K$59*EFEITO!$Y$59</f>
        <v>#NAME?</v>
      </c>
      <c r="N59" s="56" t="e">
        <f>$K$59-EFEITO!$M$59*EFEITO!$Z$59</f>
        <v>#NAME?</v>
      </c>
      <c r="O59" s="56" t="e">
        <f>$L$59-EFEITO!$O$59*EFEITO!$AA$59</f>
        <v>#NAME?</v>
      </c>
      <c r="P59" s="39"/>
      <c r="Q59" s="39"/>
      <c r="R59" s="39"/>
      <c r="S59" s="39"/>
      <c r="T59" s="39"/>
      <c r="U59" s="39"/>
      <c r="V59" s="39"/>
      <c r="W59" s="39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35" t="s">
        <v>21</v>
      </c>
      <c r="B60" s="35" t="s">
        <v>45</v>
      </c>
      <c r="C60" s="35" t="s">
        <v>40</v>
      </c>
      <c r="D60" s="35" t="s">
        <v>44</v>
      </c>
      <c r="E60" s="35" t="s">
        <v>56</v>
      </c>
      <c r="F60" s="35" t="s">
        <v>25</v>
      </c>
      <c r="G60" s="35" t="s">
        <v>25</v>
      </c>
      <c r="H60" s="35" t="s">
        <v>25</v>
      </c>
      <c r="I60" s="55">
        <v>44652</v>
      </c>
      <c r="J60" s="56" t="e">
        <f>EFEITO!$J$60*EFEITO!R0C25</f>
        <v>#NAME?</v>
      </c>
      <c r="K60" s="56" t="e">
        <f>EFEITO!$L$60*EFEITO!R0C26</f>
        <v>#NAME?</v>
      </c>
      <c r="L60" s="56" t="e">
        <f>EFEITO!$N$60*EFEITO!R0C27</f>
        <v>#NAME?</v>
      </c>
      <c r="M60" s="56" t="e">
        <f ca="1">$J$60-EFEITO!$K$60*EFEITO!$Y$60</f>
        <v>#NAME?</v>
      </c>
      <c r="N60" s="56" t="e">
        <f>$K$60-EFEITO!$M$60*EFEITO!$Z$60</f>
        <v>#NAME?</v>
      </c>
      <c r="O60" s="56" t="e">
        <f>$L$60-EFEITO!$O$60*EFEITO!$AA$60</f>
        <v>#NAME?</v>
      </c>
      <c r="P60" s="39"/>
      <c r="Q60" s="39"/>
      <c r="R60" s="39"/>
      <c r="S60" s="39"/>
      <c r="T60" s="39"/>
      <c r="U60" s="39"/>
      <c r="V60" s="39"/>
      <c r="W60" s="39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35" t="s">
        <v>21</v>
      </c>
      <c r="B61" s="35" t="s">
        <v>45</v>
      </c>
      <c r="C61" s="35" t="s">
        <v>40</v>
      </c>
      <c r="D61" s="35" t="s">
        <v>44</v>
      </c>
      <c r="E61" s="35" t="s">
        <v>56</v>
      </c>
      <c r="F61" s="35" t="s">
        <v>25</v>
      </c>
      <c r="G61" s="35" t="s">
        <v>25</v>
      </c>
      <c r="H61" s="35" t="s">
        <v>25</v>
      </c>
      <c r="I61" s="55">
        <v>44682</v>
      </c>
      <c r="J61" s="56" t="e">
        <f>EFEITO!$J$61*EFEITO!R0C25</f>
        <v>#NAME?</v>
      </c>
      <c r="K61" s="56" t="e">
        <f>EFEITO!$L$61*EFEITO!R0C26</f>
        <v>#NAME?</v>
      </c>
      <c r="L61" s="56" t="e">
        <f>EFEITO!$N$61*EFEITO!R0C27</f>
        <v>#NAME?</v>
      </c>
      <c r="M61" s="56" t="e">
        <f ca="1">$J$61-EFEITO!$K$61*EFEITO!$Y$61</f>
        <v>#NAME?</v>
      </c>
      <c r="N61" s="56" t="e">
        <f>$K$61-EFEITO!$M$61*EFEITO!$Z$61</f>
        <v>#NAME?</v>
      </c>
      <c r="O61" s="56" t="e">
        <f>$L$61-EFEITO!$O$61*EFEITO!$AA$61</f>
        <v>#NAME?</v>
      </c>
      <c r="P61" s="39"/>
      <c r="Q61" s="39"/>
      <c r="R61" s="39"/>
      <c r="S61" s="39"/>
      <c r="T61" s="39"/>
      <c r="U61" s="39"/>
      <c r="V61" s="39"/>
      <c r="W61" s="39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35" t="s">
        <v>21</v>
      </c>
      <c r="B62" s="35" t="s">
        <v>45</v>
      </c>
      <c r="C62" s="35" t="s">
        <v>40</v>
      </c>
      <c r="D62" s="35" t="s">
        <v>44</v>
      </c>
      <c r="E62" s="35" t="s">
        <v>56</v>
      </c>
      <c r="F62" s="35" t="s">
        <v>25</v>
      </c>
      <c r="G62" s="35" t="s">
        <v>25</v>
      </c>
      <c r="H62" s="35" t="s">
        <v>25</v>
      </c>
      <c r="I62" s="55">
        <v>44713</v>
      </c>
      <c r="J62" s="56" t="e">
        <f>EFEITO!$J$62*EFEITO!R0C25</f>
        <v>#NAME?</v>
      </c>
      <c r="K62" s="56" t="e">
        <f>EFEITO!$L$62*EFEITO!R0C26</f>
        <v>#NAME?</v>
      </c>
      <c r="L62" s="56" t="e">
        <f>EFEITO!$N$62*EFEITO!R0C27</f>
        <v>#NAME?</v>
      </c>
      <c r="M62" s="56" t="e">
        <f ca="1">$J$62-EFEITO!$K$62*EFEITO!$Y$62</f>
        <v>#NAME?</v>
      </c>
      <c r="N62" s="56" t="e">
        <f>$K$62-EFEITO!$M$62*EFEITO!$Z$62</f>
        <v>#NAME?</v>
      </c>
      <c r="O62" s="56" t="e">
        <f>$L$62-EFEITO!$O$62*EFEITO!$AA$62</f>
        <v>#NAME?</v>
      </c>
      <c r="P62" s="39"/>
      <c r="Q62" s="39"/>
      <c r="R62" s="39"/>
      <c r="S62" s="39"/>
      <c r="T62" s="39"/>
      <c r="U62" s="39"/>
      <c r="V62" s="39"/>
      <c r="W62" s="39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35" t="s">
        <v>21</v>
      </c>
      <c r="B63" s="35" t="s">
        <v>45</v>
      </c>
      <c r="C63" s="35" t="s">
        <v>40</v>
      </c>
      <c r="D63" s="35" t="s">
        <v>44</v>
      </c>
      <c r="E63" s="35" t="s">
        <v>56</v>
      </c>
      <c r="F63" s="35" t="s">
        <v>25</v>
      </c>
      <c r="G63" s="35" t="s">
        <v>25</v>
      </c>
      <c r="H63" s="35" t="s">
        <v>25</v>
      </c>
      <c r="I63" s="55">
        <v>44743</v>
      </c>
      <c r="J63" s="56" t="e">
        <f>EFEITO!$J$63*EFEITO!R0C25</f>
        <v>#NAME?</v>
      </c>
      <c r="K63" s="56" t="e">
        <f>EFEITO!$L$63*EFEITO!R0C26</f>
        <v>#NAME?</v>
      </c>
      <c r="L63" s="56" t="e">
        <f>EFEITO!$N$63*EFEITO!R0C27</f>
        <v>#NAME?</v>
      </c>
      <c r="M63" s="56" t="e">
        <f ca="1">$J$63-EFEITO!$K$63*EFEITO!$Y$63</f>
        <v>#NAME?</v>
      </c>
      <c r="N63" s="56" t="e">
        <f>$K$63-EFEITO!$M$63*EFEITO!$Z$63</f>
        <v>#NAME?</v>
      </c>
      <c r="O63" s="56" t="e">
        <f>$L$63-EFEITO!$O$63*EFEITO!$AA$63</f>
        <v>#NAME?</v>
      </c>
      <c r="P63" s="39"/>
      <c r="Q63" s="39"/>
      <c r="R63" s="39"/>
      <c r="S63" s="39"/>
      <c r="T63" s="39"/>
      <c r="U63" s="39"/>
      <c r="V63" s="39"/>
      <c r="W63" s="39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35" t="s">
        <v>21</v>
      </c>
      <c r="B64" s="35" t="s">
        <v>45</v>
      </c>
      <c r="C64" s="35" t="s">
        <v>40</v>
      </c>
      <c r="D64" s="35" t="s">
        <v>44</v>
      </c>
      <c r="E64" s="35" t="s">
        <v>56</v>
      </c>
      <c r="F64" s="35" t="s">
        <v>25</v>
      </c>
      <c r="G64" s="35" t="s">
        <v>25</v>
      </c>
      <c r="H64" s="35" t="s">
        <v>25</v>
      </c>
      <c r="I64" s="55">
        <v>44774</v>
      </c>
      <c r="J64" s="56" t="e">
        <f>EFEITO!$J$64*EFEITO!R0C25</f>
        <v>#NAME?</v>
      </c>
      <c r="K64" s="56" t="e">
        <f>EFEITO!$L$64*EFEITO!R0C26</f>
        <v>#NAME?</v>
      </c>
      <c r="L64" s="56" t="e">
        <f>EFEITO!$N$64*EFEITO!R0C27</f>
        <v>#NAME?</v>
      </c>
      <c r="M64" s="56" t="e">
        <f ca="1">$J$64-EFEITO!$K$64*EFEITO!$Y$64</f>
        <v>#NAME?</v>
      </c>
      <c r="N64" s="56" t="e">
        <f>$K$64-EFEITO!$M$64*EFEITO!$Z$64</f>
        <v>#NAME?</v>
      </c>
      <c r="O64" s="56" t="e">
        <f>$L$64-EFEITO!$O$64*EFEITO!$AA$64</f>
        <v>#NAME?</v>
      </c>
      <c r="P64" s="39"/>
      <c r="Q64" s="39"/>
      <c r="R64" s="39"/>
      <c r="S64" s="39"/>
      <c r="T64" s="39"/>
      <c r="U64" s="39"/>
      <c r="V64" s="39"/>
      <c r="W64" s="39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35" t="s">
        <v>21</v>
      </c>
      <c r="B65" s="35" t="s">
        <v>45</v>
      </c>
      <c r="C65" s="35" t="s">
        <v>40</v>
      </c>
      <c r="D65" s="35" t="s">
        <v>44</v>
      </c>
      <c r="E65" s="35" t="s">
        <v>56</v>
      </c>
      <c r="F65" s="35" t="s">
        <v>25</v>
      </c>
      <c r="G65" s="35" t="s">
        <v>25</v>
      </c>
      <c r="H65" s="35" t="s">
        <v>25</v>
      </c>
      <c r="I65" s="55">
        <v>44805</v>
      </c>
      <c r="J65" s="56" t="e">
        <f>EFEITO!$J$65*EFEITO!R0C25</f>
        <v>#NAME?</v>
      </c>
      <c r="K65" s="56" t="e">
        <f>EFEITO!$L$65*EFEITO!R0C26</f>
        <v>#NAME?</v>
      </c>
      <c r="L65" s="56" t="e">
        <f>EFEITO!$N$65*EFEITO!R0C27</f>
        <v>#NAME?</v>
      </c>
      <c r="M65" s="56" t="e">
        <f ca="1">$J$65-EFEITO!$K$65*EFEITO!$Y$65</f>
        <v>#NAME?</v>
      </c>
      <c r="N65" s="56" t="e">
        <f>$K$65-EFEITO!$M$65*EFEITO!$Z$65</f>
        <v>#NAME?</v>
      </c>
      <c r="O65" s="56" t="e">
        <f>$L$65-EFEITO!$O$65*EFEITO!$AA$65</f>
        <v>#NAME?</v>
      </c>
      <c r="P65" s="39"/>
      <c r="Q65" s="39"/>
      <c r="R65" s="39"/>
      <c r="S65" s="39"/>
      <c r="T65" s="39"/>
      <c r="U65" s="39"/>
      <c r="V65" s="39"/>
      <c r="W65" s="39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35" t="s">
        <v>57</v>
      </c>
      <c r="B66" s="35" t="s">
        <v>45</v>
      </c>
      <c r="C66" s="35" t="s">
        <v>40</v>
      </c>
      <c r="D66" s="35" t="s">
        <v>44</v>
      </c>
      <c r="E66" s="35" t="s">
        <v>56</v>
      </c>
      <c r="F66" s="35" t="s">
        <v>25</v>
      </c>
      <c r="G66" s="35" t="s">
        <v>25</v>
      </c>
      <c r="H66" s="35" t="s">
        <v>25</v>
      </c>
      <c r="I66" s="55">
        <v>44835</v>
      </c>
      <c r="J66" s="56" t="e">
        <f>EFEITO!$J$66*EFEITO!R0C25</f>
        <v>#NAME?</v>
      </c>
      <c r="K66" s="56" t="e">
        <f>EFEITO!$L$66*EFEITO!R0C26</f>
        <v>#NAME?</v>
      </c>
      <c r="L66" s="56" t="e">
        <f>EFEITO!$N$66*EFEITO!R0C27</f>
        <v>#NAME?</v>
      </c>
      <c r="M66" s="56" t="e">
        <f ca="1">$J$66-EFEITO!$K$66*EFEITO!$Y$66</f>
        <v>#NAME?</v>
      </c>
      <c r="N66" s="56" t="e">
        <f>$K$66-EFEITO!$M$66*EFEITO!$Z$66</f>
        <v>#NAME?</v>
      </c>
      <c r="O66" s="56" t="e">
        <f>$L$66-EFEITO!$O$66*EFEITO!$AA$66</f>
        <v>#NAME?</v>
      </c>
      <c r="P66" s="39"/>
      <c r="Q66" s="39"/>
      <c r="R66" s="39"/>
      <c r="S66" s="39"/>
      <c r="T66" s="39"/>
      <c r="U66" s="39"/>
      <c r="V66" s="39"/>
      <c r="W66" s="39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35" t="s">
        <v>21</v>
      </c>
      <c r="B67" s="35" t="s">
        <v>45</v>
      </c>
      <c r="C67" s="35" t="s">
        <v>40</v>
      </c>
      <c r="D67" s="35" t="s">
        <v>44</v>
      </c>
      <c r="E67" s="35" t="s">
        <v>56</v>
      </c>
      <c r="F67" s="35" t="s">
        <v>25</v>
      </c>
      <c r="G67" s="35" t="s">
        <v>25</v>
      </c>
      <c r="H67" s="35" t="s">
        <v>34</v>
      </c>
      <c r="I67" s="55">
        <v>44593</v>
      </c>
      <c r="J67" s="56" t="e">
        <f>EFEITO!$J$67*EFEITO!R0C25</f>
        <v>#NAME?</v>
      </c>
      <c r="K67" s="56" t="e">
        <f>EFEITO!$L$67*EFEITO!R0C26</f>
        <v>#NAME?</v>
      </c>
      <c r="L67" s="56" t="e">
        <f>EFEITO!$N$67*EFEITO!R0C27</f>
        <v>#NAME?</v>
      </c>
      <c r="M67" s="56" t="e">
        <f>$J$67-EFEITO!$K$67*EFEITO!$Y$67</f>
        <v>#NAME?</v>
      </c>
      <c r="N67" s="56" t="e">
        <f ca="1">$K$67-EFEITO!$M$67*EFEITO!$Z$67</f>
        <v>#NAME?</v>
      </c>
      <c r="O67" s="56" t="e">
        <f>$L$67-EFEITO!$O$67*EFEITO!$AA$67</f>
        <v>#NAME?</v>
      </c>
      <c r="P67" s="39"/>
      <c r="Q67" s="39"/>
      <c r="R67" s="39"/>
      <c r="S67" s="39"/>
      <c r="T67" s="39"/>
      <c r="U67" s="39"/>
      <c r="V67" s="39"/>
      <c r="W67" s="39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35" t="s">
        <v>21</v>
      </c>
      <c r="B68" s="35" t="s">
        <v>45</v>
      </c>
      <c r="C68" s="35" t="s">
        <v>40</v>
      </c>
      <c r="D68" s="35" t="s">
        <v>44</v>
      </c>
      <c r="E68" s="35" t="s">
        <v>56</v>
      </c>
      <c r="F68" s="35" t="s">
        <v>25</v>
      </c>
      <c r="G68" s="35" t="s">
        <v>25</v>
      </c>
      <c r="H68" s="35" t="s">
        <v>34</v>
      </c>
      <c r="I68" s="55">
        <v>44621</v>
      </c>
      <c r="J68" s="56" t="e">
        <f>EFEITO!$J$68*EFEITO!R0C25</f>
        <v>#NAME?</v>
      </c>
      <c r="K68" s="56" t="e">
        <f>EFEITO!$L$68*EFEITO!R0C26</f>
        <v>#NAME?</v>
      </c>
      <c r="L68" s="56" t="e">
        <f>EFEITO!$N$68*EFEITO!R0C27</f>
        <v>#NAME?</v>
      </c>
      <c r="M68" s="56" t="e">
        <f>$J$68-EFEITO!$K$68*EFEITO!$Y$68</f>
        <v>#NAME?</v>
      </c>
      <c r="N68" s="56" t="e">
        <f ca="1">$K$68-EFEITO!$M$68*EFEITO!$Z$68</f>
        <v>#NAME?</v>
      </c>
      <c r="O68" s="56" t="e">
        <f>$L$68-EFEITO!$O$68*EFEITO!$AA$68</f>
        <v>#NAME?</v>
      </c>
      <c r="P68" s="39"/>
      <c r="Q68" s="39"/>
      <c r="R68" s="39"/>
      <c r="S68" s="39"/>
      <c r="T68" s="39"/>
      <c r="U68" s="39"/>
      <c r="V68" s="39"/>
      <c r="W68" s="39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35" t="s">
        <v>21</v>
      </c>
      <c r="B69" s="35" t="s">
        <v>45</v>
      </c>
      <c r="C69" s="35" t="s">
        <v>40</v>
      </c>
      <c r="D69" s="35" t="s">
        <v>44</v>
      </c>
      <c r="E69" s="35" t="s">
        <v>56</v>
      </c>
      <c r="F69" s="35" t="s">
        <v>25</v>
      </c>
      <c r="G69" s="35" t="s">
        <v>25</v>
      </c>
      <c r="H69" s="35" t="s">
        <v>34</v>
      </c>
      <c r="I69" s="55">
        <v>44652</v>
      </c>
      <c r="J69" s="56" t="e">
        <f>EFEITO!$J$69*EFEITO!R0C25</f>
        <v>#NAME?</v>
      </c>
      <c r="K69" s="56" t="e">
        <f>EFEITO!$L$69*EFEITO!R0C26</f>
        <v>#NAME?</v>
      </c>
      <c r="L69" s="56" t="e">
        <f>EFEITO!$N$69*EFEITO!R0C27</f>
        <v>#NAME?</v>
      </c>
      <c r="M69" s="56" t="e">
        <f>$J$69-EFEITO!$K$69*EFEITO!$Y$69</f>
        <v>#NAME?</v>
      </c>
      <c r="N69" s="56" t="e">
        <f ca="1">$K$69-EFEITO!$M$69*EFEITO!$Z$69</f>
        <v>#NAME?</v>
      </c>
      <c r="O69" s="56" t="e">
        <f>$L$69-EFEITO!$O$69*EFEITO!$AA$69</f>
        <v>#NAME?</v>
      </c>
      <c r="P69" s="39"/>
      <c r="Q69" s="39"/>
      <c r="R69" s="39"/>
      <c r="S69" s="39"/>
      <c r="T69" s="39"/>
      <c r="U69" s="39"/>
      <c r="V69" s="39"/>
      <c r="W69" s="39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35" t="s">
        <v>21</v>
      </c>
      <c r="B70" s="35" t="s">
        <v>45</v>
      </c>
      <c r="C70" s="35" t="s">
        <v>40</v>
      </c>
      <c r="D70" s="35" t="s">
        <v>44</v>
      </c>
      <c r="E70" s="35" t="s">
        <v>56</v>
      </c>
      <c r="F70" s="35" t="s">
        <v>25</v>
      </c>
      <c r="G70" s="35" t="s">
        <v>25</v>
      </c>
      <c r="H70" s="35" t="s">
        <v>34</v>
      </c>
      <c r="I70" s="55">
        <v>44682</v>
      </c>
      <c r="J70" s="56" t="e">
        <f>EFEITO!$J$70*EFEITO!R0C25</f>
        <v>#NAME?</v>
      </c>
      <c r="K70" s="56" t="e">
        <f>EFEITO!$L$70*EFEITO!R0C26</f>
        <v>#NAME?</v>
      </c>
      <c r="L70" s="56" t="e">
        <f>EFEITO!$N$70*EFEITO!R0C27</f>
        <v>#NAME?</v>
      </c>
      <c r="M70" s="56" t="e">
        <f>$J$70-EFEITO!$K$70*EFEITO!$Y$70</f>
        <v>#NAME?</v>
      </c>
      <c r="N70" s="56" t="e">
        <f ca="1">$K$70-EFEITO!$M$70*EFEITO!$Z$70</f>
        <v>#NAME?</v>
      </c>
      <c r="O70" s="56" t="e">
        <f>$L$70-EFEITO!$O$70*EFEITO!$AA$70</f>
        <v>#NAME?</v>
      </c>
      <c r="P70" s="39"/>
      <c r="Q70" s="39"/>
      <c r="R70" s="39"/>
      <c r="S70" s="39"/>
      <c r="T70" s="39"/>
      <c r="U70" s="39"/>
      <c r="V70" s="39"/>
      <c r="W70" s="39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35" t="s">
        <v>21</v>
      </c>
      <c r="B71" s="35" t="s">
        <v>45</v>
      </c>
      <c r="C71" s="35" t="s">
        <v>40</v>
      </c>
      <c r="D71" s="35" t="s">
        <v>44</v>
      </c>
      <c r="E71" s="35" t="s">
        <v>56</v>
      </c>
      <c r="F71" s="35" t="s">
        <v>25</v>
      </c>
      <c r="G71" s="35" t="s">
        <v>25</v>
      </c>
      <c r="H71" s="35" t="s">
        <v>34</v>
      </c>
      <c r="I71" s="55">
        <v>44713</v>
      </c>
      <c r="J71" s="56" t="e">
        <f>EFEITO!$J$71*EFEITO!R0C25</f>
        <v>#NAME?</v>
      </c>
      <c r="K71" s="56" t="e">
        <f>EFEITO!$L$71*EFEITO!R0C26</f>
        <v>#NAME?</v>
      </c>
      <c r="L71" s="56" t="e">
        <f>EFEITO!$N$71*EFEITO!R0C27</f>
        <v>#NAME?</v>
      </c>
      <c r="M71" s="56" t="e">
        <f>$J$71-EFEITO!$K$71*EFEITO!$Y$71</f>
        <v>#NAME?</v>
      </c>
      <c r="N71" s="56" t="e">
        <f ca="1">$K$71-EFEITO!$M$71*EFEITO!$Z$71</f>
        <v>#NAME?</v>
      </c>
      <c r="O71" s="56" t="e">
        <f>$L$71-EFEITO!$O$71*EFEITO!$AA$71</f>
        <v>#NAME?</v>
      </c>
      <c r="P71" s="39"/>
      <c r="Q71" s="39"/>
      <c r="R71" s="39"/>
      <c r="S71" s="39"/>
      <c r="T71" s="39"/>
      <c r="U71" s="39"/>
      <c r="V71" s="39"/>
      <c r="W71" s="39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35" t="s">
        <v>21</v>
      </c>
      <c r="B72" s="35" t="s">
        <v>45</v>
      </c>
      <c r="C72" s="35" t="s">
        <v>40</v>
      </c>
      <c r="D72" s="35" t="s">
        <v>44</v>
      </c>
      <c r="E72" s="35" t="s">
        <v>56</v>
      </c>
      <c r="F72" s="35" t="s">
        <v>25</v>
      </c>
      <c r="G72" s="35" t="s">
        <v>25</v>
      </c>
      <c r="H72" s="35" t="s">
        <v>34</v>
      </c>
      <c r="I72" s="55">
        <v>44743</v>
      </c>
      <c r="J72" s="56" t="e">
        <f>EFEITO!$J$72*EFEITO!R0C25</f>
        <v>#NAME?</v>
      </c>
      <c r="K72" s="56" t="e">
        <f>EFEITO!$L$72*EFEITO!R0C26</f>
        <v>#NAME?</v>
      </c>
      <c r="L72" s="56" t="e">
        <f>EFEITO!$N$72*EFEITO!R0C27</f>
        <v>#NAME?</v>
      </c>
      <c r="M72" s="56" t="e">
        <f>$J$72-EFEITO!$K$72*EFEITO!$Y$72</f>
        <v>#NAME?</v>
      </c>
      <c r="N72" s="56" t="e">
        <f ca="1">$K$72-EFEITO!$M$72*EFEITO!$Z$72</f>
        <v>#NAME?</v>
      </c>
      <c r="O72" s="56" t="e">
        <f>$L$72-EFEITO!$O$72*EFEITO!$AA$72</f>
        <v>#NAME?</v>
      </c>
      <c r="P72" s="39"/>
      <c r="Q72" s="39"/>
      <c r="R72" s="39"/>
      <c r="S72" s="39"/>
      <c r="T72" s="39"/>
      <c r="U72" s="39"/>
      <c r="V72" s="39"/>
      <c r="W72" s="39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35" t="s">
        <v>21</v>
      </c>
      <c r="B73" s="35" t="s">
        <v>45</v>
      </c>
      <c r="C73" s="35" t="s">
        <v>40</v>
      </c>
      <c r="D73" s="35" t="s">
        <v>44</v>
      </c>
      <c r="E73" s="35" t="s">
        <v>56</v>
      </c>
      <c r="F73" s="35" t="s">
        <v>25</v>
      </c>
      <c r="G73" s="35" t="s">
        <v>25</v>
      </c>
      <c r="H73" s="35" t="s">
        <v>34</v>
      </c>
      <c r="I73" s="55">
        <v>44774</v>
      </c>
      <c r="J73" s="56" t="e">
        <f>EFEITO!$J$73*EFEITO!R0C25</f>
        <v>#NAME?</v>
      </c>
      <c r="K73" s="56" t="e">
        <f>EFEITO!$L$73*EFEITO!R0C26</f>
        <v>#NAME?</v>
      </c>
      <c r="L73" s="56" t="e">
        <f>EFEITO!$N$73*EFEITO!R0C27</f>
        <v>#NAME?</v>
      </c>
      <c r="M73" s="56" t="e">
        <f>$J$73-EFEITO!$K$73*EFEITO!$Y$73</f>
        <v>#NAME?</v>
      </c>
      <c r="N73" s="56" t="e">
        <f ca="1">$K$73-EFEITO!$M$73*EFEITO!$Z$73</f>
        <v>#NAME?</v>
      </c>
      <c r="O73" s="56" t="e">
        <f>$L$73-EFEITO!$O$73*EFEITO!$AA$73</f>
        <v>#NAME?</v>
      </c>
      <c r="P73" s="39"/>
      <c r="Q73" s="39"/>
      <c r="R73" s="39"/>
      <c r="S73" s="39"/>
      <c r="T73" s="39"/>
      <c r="U73" s="39"/>
      <c r="V73" s="39"/>
      <c r="W73" s="39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35" t="s">
        <v>21</v>
      </c>
      <c r="B74" s="35" t="s">
        <v>45</v>
      </c>
      <c r="C74" s="35" t="s">
        <v>40</v>
      </c>
      <c r="D74" s="35" t="s">
        <v>44</v>
      </c>
      <c r="E74" s="35" t="s">
        <v>56</v>
      </c>
      <c r="F74" s="35" t="s">
        <v>25</v>
      </c>
      <c r="G74" s="35" t="s">
        <v>25</v>
      </c>
      <c r="H74" s="35" t="s">
        <v>34</v>
      </c>
      <c r="I74" s="55">
        <v>44805</v>
      </c>
      <c r="J74" s="56" t="e">
        <f>EFEITO!$J$74*EFEITO!R0C25</f>
        <v>#NAME?</v>
      </c>
      <c r="K74" s="56" t="e">
        <f>EFEITO!$L$74*EFEITO!R0C26</f>
        <v>#NAME?</v>
      </c>
      <c r="L74" s="56" t="e">
        <f>EFEITO!$N$74*EFEITO!R0C27</f>
        <v>#NAME?</v>
      </c>
      <c r="M74" s="56" t="e">
        <f>$J$74-EFEITO!$K$74*EFEITO!$Y$74</f>
        <v>#NAME?</v>
      </c>
      <c r="N74" s="56" t="e">
        <f ca="1">$K$74-EFEITO!$M$74*EFEITO!$Z$74</f>
        <v>#NAME?</v>
      </c>
      <c r="O74" s="56" t="e">
        <f>$L$74-EFEITO!$O$74*EFEITO!$AA$74</f>
        <v>#NAME?</v>
      </c>
      <c r="P74" s="39"/>
      <c r="Q74" s="39"/>
      <c r="R74" s="39"/>
      <c r="S74" s="39"/>
      <c r="T74" s="39"/>
      <c r="U74" s="39"/>
      <c r="V74" s="39"/>
      <c r="W74" s="39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35" t="s">
        <v>57</v>
      </c>
      <c r="B75" s="35" t="s">
        <v>45</v>
      </c>
      <c r="C75" s="35" t="s">
        <v>40</v>
      </c>
      <c r="D75" s="35" t="s">
        <v>44</v>
      </c>
      <c r="E75" s="35" t="s">
        <v>56</v>
      </c>
      <c r="F75" s="35" t="s">
        <v>25</v>
      </c>
      <c r="G75" s="35" t="s">
        <v>25</v>
      </c>
      <c r="H75" s="35" t="s">
        <v>34</v>
      </c>
      <c r="I75" s="55">
        <v>44835</v>
      </c>
      <c r="J75" s="56" t="e">
        <f>EFEITO!$J$75*EFEITO!R0C25</f>
        <v>#NAME?</v>
      </c>
      <c r="K75" s="56" t="e">
        <f>EFEITO!$L$75*EFEITO!R0C26</f>
        <v>#NAME?</v>
      </c>
      <c r="L75" s="56" t="e">
        <f>EFEITO!$N$75*EFEITO!R0C27</f>
        <v>#NAME?</v>
      </c>
      <c r="M75" s="56" t="e">
        <f>$J$75-EFEITO!$K$75*EFEITO!$Y$75</f>
        <v>#NAME?</v>
      </c>
      <c r="N75" s="56" t="e">
        <f ca="1">$K$75-EFEITO!$M$75*EFEITO!$Z$75</f>
        <v>#NAME?</v>
      </c>
      <c r="O75" s="56" t="e">
        <f>$L$75-EFEITO!$O$75*EFEITO!$AA$75</f>
        <v>#NAME?</v>
      </c>
      <c r="P75" s="39"/>
      <c r="Q75" s="39"/>
      <c r="R75" s="39"/>
      <c r="S75" s="39"/>
      <c r="T75" s="39"/>
      <c r="U75" s="39"/>
      <c r="V75" s="39"/>
      <c r="W75" s="39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35" t="s">
        <v>28</v>
      </c>
      <c r="B76" s="35" t="s">
        <v>45</v>
      </c>
      <c r="C76" s="35" t="s">
        <v>40</v>
      </c>
      <c r="D76" s="35" t="s">
        <v>44</v>
      </c>
      <c r="E76" s="35" t="s">
        <v>25</v>
      </c>
      <c r="F76" s="35" t="s">
        <v>25</v>
      </c>
      <c r="G76" s="35" t="s">
        <v>25</v>
      </c>
      <c r="H76" s="35" t="s">
        <v>25</v>
      </c>
      <c r="I76" s="55">
        <v>44501</v>
      </c>
      <c r="J76" s="56" t="e">
        <f>EFEITO!$J$76*EFEITO!R0C25</f>
        <v>#NAME?</v>
      </c>
      <c r="K76" s="56" t="e">
        <f>EFEITO!$L$76*EFEITO!R0C26</f>
        <v>#NAME?</v>
      </c>
      <c r="L76" s="56" t="e">
        <f>EFEITO!$N$76*EFEITO!R0C27</f>
        <v>#NAME?</v>
      </c>
      <c r="M76" s="56" t="e">
        <f ca="1">$J$76-EFEITO!$K$76*EFEITO!$Y$76</f>
        <v>#NAME?</v>
      </c>
      <c r="N76" s="56" t="e">
        <f>$K$76-EFEITO!$M$76*EFEITO!$Z$76</f>
        <v>#NAME?</v>
      </c>
      <c r="O76" s="56" t="e">
        <f>$L$76-EFEITO!$O$76*EFEITO!$AA$76</f>
        <v>#NAME?</v>
      </c>
      <c r="P76" s="39"/>
      <c r="Q76" s="39"/>
      <c r="R76" s="39"/>
      <c r="S76" s="39"/>
      <c r="T76" s="39"/>
      <c r="U76" s="39"/>
      <c r="V76" s="39"/>
      <c r="W76" s="39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35" t="s">
        <v>28</v>
      </c>
      <c r="B77" s="35" t="s">
        <v>45</v>
      </c>
      <c r="C77" s="35" t="s">
        <v>40</v>
      </c>
      <c r="D77" s="35" t="s">
        <v>44</v>
      </c>
      <c r="E77" s="35" t="s">
        <v>25</v>
      </c>
      <c r="F77" s="35" t="s">
        <v>25</v>
      </c>
      <c r="G77" s="35" t="s">
        <v>25</v>
      </c>
      <c r="H77" s="35" t="s">
        <v>25</v>
      </c>
      <c r="I77" s="55">
        <v>44531</v>
      </c>
      <c r="J77" s="56" t="e">
        <f>EFEITO!$J$77*EFEITO!R0C25</f>
        <v>#NAME?</v>
      </c>
      <c r="K77" s="56" t="e">
        <f>EFEITO!$L$77*EFEITO!R0C26</f>
        <v>#NAME?</v>
      </c>
      <c r="L77" s="56" t="e">
        <f>EFEITO!$N$77*EFEITO!R0C27</f>
        <v>#NAME?</v>
      </c>
      <c r="M77" s="56" t="e">
        <f ca="1">$J$77-EFEITO!$K$77*EFEITO!$Y$77</f>
        <v>#NAME?</v>
      </c>
      <c r="N77" s="56" t="e">
        <f>$K$77-EFEITO!$M$77*EFEITO!$Z$77</f>
        <v>#NAME?</v>
      </c>
      <c r="O77" s="56" t="e">
        <f>$L$77-EFEITO!$O$77*EFEITO!$AA$77</f>
        <v>#NAME?</v>
      </c>
      <c r="P77" s="39"/>
      <c r="Q77" s="39"/>
      <c r="R77" s="39"/>
      <c r="S77" s="39"/>
      <c r="T77" s="39"/>
      <c r="U77" s="39"/>
      <c r="V77" s="39"/>
      <c r="W77" s="39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35" t="s">
        <v>28</v>
      </c>
      <c r="B78" s="35" t="s">
        <v>45</v>
      </c>
      <c r="C78" s="35" t="s">
        <v>40</v>
      </c>
      <c r="D78" s="35" t="s">
        <v>44</v>
      </c>
      <c r="E78" s="35" t="s">
        <v>25</v>
      </c>
      <c r="F78" s="35" t="s">
        <v>25</v>
      </c>
      <c r="G78" s="35" t="s">
        <v>25</v>
      </c>
      <c r="H78" s="35" t="s">
        <v>25</v>
      </c>
      <c r="I78" s="55">
        <v>44562</v>
      </c>
      <c r="J78" s="56" t="e">
        <f>EFEITO!$J$78*EFEITO!R0C25</f>
        <v>#NAME?</v>
      </c>
      <c r="K78" s="56" t="e">
        <f>EFEITO!$L$78*EFEITO!R0C26</f>
        <v>#NAME?</v>
      </c>
      <c r="L78" s="56" t="e">
        <f>EFEITO!$N$78*EFEITO!R0C27</f>
        <v>#NAME?</v>
      </c>
      <c r="M78" s="56" t="e">
        <f ca="1">$J$78-EFEITO!$K$78*EFEITO!$Y$78</f>
        <v>#NAME?</v>
      </c>
      <c r="N78" s="56" t="e">
        <f>$K$78-EFEITO!$M$78*EFEITO!$Z$78</f>
        <v>#NAME?</v>
      </c>
      <c r="O78" s="56" t="e">
        <f>$L$78-EFEITO!$O$78*EFEITO!$AA$78</f>
        <v>#NAME?</v>
      </c>
      <c r="P78" s="39"/>
      <c r="Q78" s="39"/>
      <c r="R78" s="39"/>
      <c r="S78" s="39"/>
      <c r="T78" s="39"/>
      <c r="U78" s="39"/>
      <c r="V78" s="39"/>
      <c r="W78" s="39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35" t="s">
        <v>28</v>
      </c>
      <c r="B79" s="35" t="s">
        <v>45</v>
      </c>
      <c r="C79" s="35" t="s">
        <v>40</v>
      </c>
      <c r="D79" s="35" t="s">
        <v>44</v>
      </c>
      <c r="E79" s="35" t="s">
        <v>25</v>
      </c>
      <c r="F79" s="35" t="s">
        <v>25</v>
      </c>
      <c r="G79" s="35" t="s">
        <v>25</v>
      </c>
      <c r="H79" s="35" t="s">
        <v>25</v>
      </c>
      <c r="I79" s="55">
        <v>44593</v>
      </c>
      <c r="J79" s="56" t="e">
        <f>EFEITO!$J$79*EFEITO!R0C25</f>
        <v>#NAME?</v>
      </c>
      <c r="K79" s="56" t="e">
        <f>EFEITO!$L$79*EFEITO!R0C26</f>
        <v>#NAME?</v>
      </c>
      <c r="L79" s="56" t="e">
        <f>EFEITO!$N$79*EFEITO!R0C27</f>
        <v>#NAME?</v>
      </c>
      <c r="M79" s="56" t="e">
        <f ca="1">$J$79-EFEITO!$K$79*EFEITO!$Y$79</f>
        <v>#NAME?</v>
      </c>
      <c r="N79" s="56" t="e">
        <f>$K$79-EFEITO!$M$79*EFEITO!$Z$79</f>
        <v>#NAME?</v>
      </c>
      <c r="O79" s="56" t="e">
        <f>$L$79-EFEITO!$O$79*EFEITO!$AA$79</f>
        <v>#NAME?</v>
      </c>
      <c r="P79" s="39"/>
      <c r="Q79" s="39"/>
      <c r="R79" s="39"/>
      <c r="S79" s="39"/>
      <c r="T79" s="39"/>
      <c r="U79" s="39"/>
      <c r="V79" s="39"/>
      <c r="W79" s="39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35" t="s">
        <v>28</v>
      </c>
      <c r="B80" s="35" t="s">
        <v>45</v>
      </c>
      <c r="C80" s="35" t="s">
        <v>40</v>
      </c>
      <c r="D80" s="35" t="s">
        <v>44</v>
      </c>
      <c r="E80" s="35" t="s">
        <v>25</v>
      </c>
      <c r="F80" s="35" t="s">
        <v>25</v>
      </c>
      <c r="G80" s="35" t="s">
        <v>25</v>
      </c>
      <c r="H80" s="35" t="s">
        <v>25</v>
      </c>
      <c r="I80" s="55">
        <v>44621</v>
      </c>
      <c r="J80" s="56" t="e">
        <f>EFEITO!$J$80*EFEITO!R0C25</f>
        <v>#NAME?</v>
      </c>
      <c r="K80" s="56" t="e">
        <f>EFEITO!$L$80*EFEITO!R0C26</f>
        <v>#NAME?</v>
      </c>
      <c r="L80" s="56" t="e">
        <f>EFEITO!$N$80*EFEITO!R0C27</f>
        <v>#NAME?</v>
      </c>
      <c r="M80" s="56" t="e">
        <f ca="1">$J$80-EFEITO!$K$80*EFEITO!$Y$80</f>
        <v>#NAME?</v>
      </c>
      <c r="N80" s="56" t="e">
        <f>$K$80-EFEITO!$M$80*EFEITO!$Z$80</f>
        <v>#NAME?</v>
      </c>
      <c r="O80" s="56" t="e">
        <f>$L$80-EFEITO!$O$80*EFEITO!$AA$80</f>
        <v>#NAME?</v>
      </c>
      <c r="P80" s="39"/>
      <c r="Q80" s="39"/>
      <c r="R80" s="39"/>
      <c r="S80" s="39"/>
      <c r="T80" s="39"/>
      <c r="U80" s="39"/>
      <c r="V80" s="39"/>
      <c r="W80" s="39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35" t="s">
        <v>28</v>
      </c>
      <c r="B81" s="35" t="s">
        <v>45</v>
      </c>
      <c r="C81" s="35" t="s">
        <v>40</v>
      </c>
      <c r="D81" s="35" t="s">
        <v>44</v>
      </c>
      <c r="E81" s="35" t="s">
        <v>25</v>
      </c>
      <c r="F81" s="35" t="s">
        <v>25</v>
      </c>
      <c r="G81" s="35" t="s">
        <v>25</v>
      </c>
      <c r="H81" s="35" t="s">
        <v>25</v>
      </c>
      <c r="I81" s="55">
        <v>44652</v>
      </c>
      <c r="J81" s="56" t="e">
        <f>EFEITO!$J$81*EFEITO!R0C25</f>
        <v>#NAME?</v>
      </c>
      <c r="K81" s="56" t="e">
        <f>EFEITO!$L$81*EFEITO!R0C26</f>
        <v>#NAME?</v>
      </c>
      <c r="L81" s="56" t="e">
        <f>EFEITO!$N$81*EFEITO!R0C27</f>
        <v>#NAME?</v>
      </c>
      <c r="M81" s="56" t="e">
        <f ca="1">$J$81-EFEITO!$K$81*EFEITO!$Y$81</f>
        <v>#NAME?</v>
      </c>
      <c r="N81" s="56" t="e">
        <f>$K$81-EFEITO!$M$81*EFEITO!$Z$81</f>
        <v>#NAME?</v>
      </c>
      <c r="O81" s="56" t="e">
        <f>$L$81-EFEITO!$O$81*EFEITO!$AA$81</f>
        <v>#NAME?</v>
      </c>
      <c r="P81" s="39"/>
      <c r="Q81" s="39"/>
      <c r="R81" s="39"/>
      <c r="S81" s="39"/>
      <c r="T81" s="39"/>
      <c r="U81" s="39"/>
      <c r="V81" s="39"/>
      <c r="W81" s="39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35" t="s">
        <v>28</v>
      </c>
      <c r="B82" s="35" t="s">
        <v>45</v>
      </c>
      <c r="C82" s="35" t="s">
        <v>40</v>
      </c>
      <c r="D82" s="35" t="s">
        <v>44</v>
      </c>
      <c r="E82" s="35" t="s">
        <v>25</v>
      </c>
      <c r="F82" s="35" t="s">
        <v>25</v>
      </c>
      <c r="G82" s="35" t="s">
        <v>25</v>
      </c>
      <c r="H82" s="35" t="s">
        <v>25</v>
      </c>
      <c r="I82" s="55">
        <v>44682</v>
      </c>
      <c r="J82" s="56" t="e">
        <f>EFEITO!$J$82*EFEITO!R0C25</f>
        <v>#NAME?</v>
      </c>
      <c r="K82" s="56" t="e">
        <f>EFEITO!$L$82*EFEITO!R0C26</f>
        <v>#NAME?</v>
      </c>
      <c r="L82" s="56" t="e">
        <f>EFEITO!$N$82*EFEITO!R0C27</f>
        <v>#NAME?</v>
      </c>
      <c r="M82" s="56" t="e">
        <f ca="1">$J$82-EFEITO!$K$82*EFEITO!$Y$82</f>
        <v>#NAME?</v>
      </c>
      <c r="N82" s="56" t="e">
        <f>$K$82-EFEITO!$M$82*EFEITO!$Z$82</f>
        <v>#NAME?</v>
      </c>
      <c r="O82" s="56" t="e">
        <f>$L$82-EFEITO!$O$82*EFEITO!$AA$82</f>
        <v>#NAME?</v>
      </c>
      <c r="P82" s="39"/>
      <c r="Q82" s="39"/>
      <c r="R82" s="39"/>
      <c r="S82" s="39"/>
      <c r="T82" s="39"/>
      <c r="U82" s="39"/>
      <c r="V82" s="39"/>
      <c r="W82" s="39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35" t="s">
        <v>28</v>
      </c>
      <c r="B83" s="35" t="s">
        <v>45</v>
      </c>
      <c r="C83" s="35" t="s">
        <v>40</v>
      </c>
      <c r="D83" s="35" t="s">
        <v>44</v>
      </c>
      <c r="E83" s="35" t="s">
        <v>25</v>
      </c>
      <c r="F83" s="35" t="s">
        <v>25</v>
      </c>
      <c r="G83" s="35" t="s">
        <v>25</v>
      </c>
      <c r="H83" s="35" t="s">
        <v>25</v>
      </c>
      <c r="I83" s="55">
        <v>44713</v>
      </c>
      <c r="J83" s="56" t="e">
        <f>EFEITO!$J$83*EFEITO!R0C25</f>
        <v>#NAME?</v>
      </c>
      <c r="K83" s="56" t="e">
        <f>EFEITO!$L$83*EFEITO!R0C26</f>
        <v>#NAME?</v>
      </c>
      <c r="L83" s="56" t="e">
        <f>EFEITO!$N$83*EFEITO!R0C27</f>
        <v>#NAME?</v>
      </c>
      <c r="M83" s="56" t="e">
        <f ca="1">$J$83-EFEITO!$K$83*EFEITO!$Y$83</f>
        <v>#NAME?</v>
      </c>
      <c r="N83" s="56" t="e">
        <f>$K$83-EFEITO!$M$83*EFEITO!$Z$83</f>
        <v>#NAME?</v>
      </c>
      <c r="O83" s="56" t="e">
        <f>$L$83-EFEITO!$O$83*EFEITO!$AA$83</f>
        <v>#NAME?</v>
      </c>
      <c r="P83" s="39"/>
      <c r="Q83" s="39"/>
      <c r="R83" s="39"/>
      <c r="S83" s="39"/>
      <c r="T83" s="39"/>
      <c r="U83" s="39"/>
      <c r="V83" s="39"/>
      <c r="W83" s="39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35" t="s">
        <v>21</v>
      </c>
      <c r="B84" s="35" t="s">
        <v>39</v>
      </c>
      <c r="C84" s="35" t="s">
        <v>42</v>
      </c>
      <c r="D84" s="35" t="s">
        <v>41</v>
      </c>
      <c r="E84" s="35" t="s">
        <v>25</v>
      </c>
      <c r="F84" s="35" t="s">
        <v>25</v>
      </c>
      <c r="G84" s="35" t="s">
        <v>25</v>
      </c>
      <c r="H84" s="35" t="s">
        <v>35</v>
      </c>
      <c r="I84" s="55">
        <v>44501</v>
      </c>
      <c r="J84" s="56">
        <f ca="1">EFEITO!$J$84*EFEITO!$Y$84</f>
        <v>1559.9617196705865</v>
      </c>
      <c r="K84" s="56">
        <f ca="1">EFEITO!$L$84*EFEITO!$Z$84</f>
        <v>5895.3443599688935</v>
      </c>
      <c r="L84" s="56">
        <f>EFEITO!$N$84*EFEITO!$AA$84</f>
        <v>8997.1661975797851</v>
      </c>
      <c r="M84" s="56">
        <f ca="1">$J$84-EFEITO!$K$84*EFEITO!$Y$84</f>
        <v>0</v>
      </c>
      <c r="N84" s="56">
        <f ca="1">$K$84-EFEITO!$M$84*EFEITO!$Z$84</f>
        <v>0</v>
      </c>
      <c r="O84" s="56">
        <f>$L$84-EFEITO!$O$84*EFEITO!$AA$84</f>
        <v>0</v>
      </c>
      <c r="P84" s="39"/>
      <c r="Q84" s="39"/>
      <c r="R84" s="39"/>
      <c r="S84" s="39"/>
      <c r="T84" s="39"/>
      <c r="U84" s="39"/>
      <c r="V84" s="39"/>
      <c r="W84" s="39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35" t="s">
        <v>21</v>
      </c>
      <c r="B85" s="35" t="s">
        <v>39</v>
      </c>
      <c r="C85" s="35" t="s">
        <v>42</v>
      </c>
      <c r="D85" s="35" t="s">
        <v>41</v>
      </c>
      <c r="E85" s="35" t="s">
        <v>25</v>
      </c>
      <c r="F85" s="35" t="s">
        <v>25</v>
      </c>
      <c r="G85" s="35" t="s">
        <v>25</v>
      </c>
      <c r="H85" s="35" t="s">
        <v>35</v>
      </c>
      <c r="I85" s="55">
        <v>44531</v>
      </c>
      <c r="J85" s="56">
        <f ca="1">EFEITO!$J$85*EFEITO!$Y$85</f>
        <v>1559.9617196705865</v>
      </c>
      <c r="K85" s="56">
        <f ca="1">EFEITO!$L$85*EFEITO!$Z$85</f>
        <v>6060.3020872648394</v>
      </c>
      <c r="L85" s="56">
        <f>EFEITO!$N$85*EFEITO!$AA$85</f>
        <v>9248.9160526237902</v>
      </c>
      <c r="M85" s="56">
        <f ca="1">$J$85-EFEITO!$K$85*EFEITO!$Y$85</f>
        <v>0</v>
      </c>
      <c r="N85" s="56">
        <f ca="1">$K$85-EFEITO!$M$85*EFEITO!$Z$85</f>
        <v>0</v>
      </c>
      <c r="O85" s="56">
        <f>$L$85-EFEITO!$O$85*EFEITO!$AA$85</f>
        <v>0</v>
      </c>
      <c r="P85" s="39"/>
      <c r="Q85" s="39"/>
      <c r="R85" s="39"/>
      <c r="S85" s="39"/>
      <c r="T85" s="39"/>
      <c r="U85" s="39"/>
      <c r="V85" s="39"/>
      <c r="W85" s="39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35" t="s">
        <v>21</v>
      </c>
      <c r="B86" s="35" t="s">
        <v>39</v>
      </c>
      <c r="C86" s="35" t="s">
        <v>42</v>
      </c>
      <c r="D86" s="35" t="s">
        <v>41</v>
      </c>
      <c r="E86" s="35" t="s">
        <v>25</v>
      </c>
      <c r="F86" s="35" t="s">
        <v>25</v>
      </c>
      <c r="G86" s="35" t="s">
        <v>25</v>
      </c>
      <c r="H86" s="35" t="s">
        <v>35</v>
      </c>
      <c r="I86" s="55">
        <v>44562</v>
      </c>
      <c r="J86" s="56">
        <f ca="1">EFEITO!$J$86*EFEITO!$Y$86</f>
        <v>1559.9617196705865</v>
      </c>
      <c r="K86" s="56">
        <f ca="1">EFEITO!$L$86*EFEITO!$Z$86</f>
        <v>6038.589453548323</v>
      </c>
      <c r="L86" s="56">
        <f>EFEITO!$N$86*EFEITO!$AA$86</f>
        <v>9215.7793667566893</v>
      </c>
      <c r="M86" s="56">
        <f ca="1">$J$86-EFEITO!$K$86*EFEITO!$Y$86</f>
        <v>0</v>
      </c>
      <c r="N86" s="56">
        <f ca="1">$K$86-EFEITO!$M$86*EFEITO!$Z$86</f>
        <v>0</v>
      </c>
      <c r="O86" s="56">
        <f>$L$86-EFEITO!$O$86*EFEITO!$AA$86</f>
        <v>0</v>
      </c>
      <c r="P86" s="39"/>
      <c r="Q86" s="39"/>
      <c r="R86" s="39"/>
      <c r="S86" s="39"/>
      <c r="T86" s="39"/>
      <c r="U86" s="39"/>
      <c r="V86" s="39"/>
      <c r="W86" s="39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35" t="s">
        <v>21</v>
      </c>
      <c r="B87" s="35" t="s">
        <v>39</v>
      </c>
      <c r="C87" s="35" t="s">
        <v>42</v>
      </c>
      <c r="D87" s="35" t="s">
        <v>41</v>
      </c>
      <c r="E87" s="35" t="s">
        <v>25</v>
      </c>
      <c r="F87" s="35" t="s">
        <v>25</v>
      </c>
      <c r="G87" s="35" t="s">
        <v>25</v>
      </c>
      <c r="H87" s="35" t="s">
        <v>35</v>
      </c>
      <c r="I87" s="55">
        <v>44593</v>
      </c>
      <c r="J87" s="56">
        <f ca="1">EFEITO!$J$87*EFEITO!$Y$87</f>
        <v>1517.2230424193376</v>
      </c>
      <c r="K87" s="56">
        <f ca="1">EFEITO!$L$87*EFEITO!$Z$87</f>
        <v>5453.5141221938857</v>
      </c>
      <c r="L87" s="56">
        <f>EFEITO!$N$87*EFEITO!$AA$87</f>
        <v>8322.8679992640355</v>
      </c>
      <c r="M87" s="56">
        <f ca="1">$J$87-EFEITO!$K$87*EFEITO!$Y$87</f>
        <v>0</v>
      </c>
      <c r="N87" s="56">
        <f ca="1">$K$87-EFEITO!$M$87*EFEITO!$Z$87</f>
        <v>0</v>
      </c>
      <c r="O87" s="56">
        <f>$L$87-EFEITO!$O$87*EFEITO!$AA$87</f>
        <v>0</v>
      </c>
      <c r="P87" s="39"/>
      <c r="Q87" s="39"/>
      <c r="R87" s="39"/>
      <c r="S87" s="39"/>
      <c r="T87" s="39"/>
      <c r="U87" s="39"/>
      <c r="V87" s="39"/>
      <c r="W87" s="39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35" t="s">
        <v>21</v>
      </c>
      <c r="B88" s="35" t="s">
        <v>39</v>
      </c>
      <c r="C88" s="35" t="s">
        <v>42</v>
      </c>
      <c r="D88" s="35" t="s">
        <v>41</v>
      </c>
      <c r="E88" s="35" t="s">
        <v>25</v>
      </c>
      <c r="F88" s="35" t="s">
        <v>25</v>
      </c>
      <c r="G88" s="35" t="s">
        <v>25</v>
      </c>
      <c r="H88" s="35" t="s">
        <v>35</v>
      </c>
      <c r="I88" s="55">
        <v>44621</v>
      </c>
      <c r="J88" s="56">
        <f ca="1">EFEITO!$J$88*EFEITO!$Y$88</f>
        <v>1559.9617196705865</v>
      </c>
      <c r="K88" s="56">
        <f ca="1">EFEITO!$L$88*EFEITO!$Z$88</f>
        <v>6254.8414564698642</v>
      </c>
      <c r="L88" s="56">
        <f>EFEITO!$N$88*EFEITO!$AA$88</f>
        <v>9545.8118622384081</v>
      </c>
      <c r="M88" s="56">
        <f ca="1">$J$88-EFEITO!$K$88*EFEITO!$Y$88</f>
        <v>0</v>
      </c>
      <c r="N88" s="56">
        <f ca="1">$K$88-EFEITO!$M$88*EFEITO!$Z$88</f>
        <v>0</v>
      </c>
      <c r="O88" s="56">
        <f>$L$88-EFEITO!$O$88*EFEITO!$AA$88</f>
        <v>0</v>
      </c>
      <c r="P88" s="39"/>
      <c r="Q88" s="39"/>
      <c r="R88" s="39"/>
      <c r="S88" s="39"/>
      <c r="T88" s="39"/>
      <c r="U88" s="39"/>
      <c r="V88" s="39"/>
      <c r="W88" s="39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35" t="s">
        <v>21</v>
      </c>
      <c r="B89" s="35" t="s">
        <v>39</v>
      </c>
      <c r="C89" s="35" t="s">
        <v>42</v>
      </c>
      <c r="D89" s="35" t="s">
        <v>41</v>
      </c>
      <c r="E89" s="35" t="s">
        <v>25</v>
      </c>
      <c r="F89" s="35" t="s">
        <v>25</v>
      </c>
      <c r="G89" s="35" t="s">
        <v>25</v>
      </c>
      <c r="H89" s="35" t="s">
        <v>35</v>
      </c>
      <c r="I89" s="55">
        <v>44652</v>
      </c>
      <c r="J89" s="56">
        <f ca="1">EFEITO!$J$89*EFEITO!$Y$89</f>
        <v>1538.5923810449619</v>
      </c>
      <c r="K89" s="56">
        <f ca="1">EFEITO!$L$89*EFEITO!$Z$89</f>
        <v>6130.1031043803496</v>
      </c>
      <c r="L89" s="56">
        <f>EFEITO!$N$89*EFEITO!$AA$89</f>
        <v>9355.4427139012441</v>
      </c>
      <c r="M89" s="56">
        <f ca="1">$J$89-EFEITO!$K$89*EFEITO!$Y$89</f>
        <v>0</v>
      </c>
      <c r="N89" s="56">
        <f ca="1">$K$89-EFEITO!$M$89*EFEITO!$Z$89</f>
        <v>0</v>
      </c>
      <c r="O89" s="56">
        <f>$L$89-EFEITO!$O$89*EFEITO!$AA$89</f>
        <v>0</v>
      </c>
      <c r="P89" s="39"/>
      <c r="Q89" s="39"/>
      <c r="R89" s="39"/>
      <c r="S89" s="39"/>
      <c r="T89" s="39"/>
      <c r="U89" s="39"/>
      <c r="V89" s="39"/>
      <c r="W89" s="39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35" t="s">
        <v>21</v>
      </c>
      <c r="B90" s="35" t="s">
        <v>39</v>
      </c>
      <c r="C90" s="35" t="s">
        <v>42</v>
      </c>
      <c r="D90" s="35" t="s">
        <v>41</v>
      </c>
      <c r="E90" s="35" t="s">
        <v>25</v>
      </c>
      <c r="F90" s="35" t="s">
        <v>25</v>
      </c>
      <c r="G90" s="35" t="s">
        <v>25</v>
      </c>
      <c r="H90" s="35" t="s">
        <v>35</v>
      </c>
      <c r="I90" s="55">
        <v>44682</v>
      </c>
      <c r="J90" s="56">
        <f ca="1">EFEITO!$J$90*EFEITO!$Y$90</f>
        <v>1517.2230424193376</v>
      </c>
      <c r="K90" s="56">
        <f ca="1">EFEITO!$L$90*EFEITO!$Z$90</f>
        <v>5514.8632416210885</v>
      </c>
      <c r="L90" s="56">
        <f>EFEITO!$N$90*EFEITO!$AA$90</f>
        <v>8416.4958163784577</v>
      </c>
      <c r="M90" s="56">
        <f ca="1">$J$90-EFEITO!$K$90*EFEITO!$Y$90</f>
        <v>0</v>
      </c>
      <c r="N90" s="56">
        <f ca="1">$K$90-EFEITO!$M$90*EFEITO!$Z$90</f>
        <v>0</v>
      </c>
      <c r="O90" s="56">
        <f>$L$90-EFEITO!$O$90*EFEITO!$AA$90</f>
        <v>0</v>
      </c>
      <c r="P90" s="39"/>
      <c r="Q90" s="39"/>
      <c r="R90" s="39"/>
      <c r="S90" s="39"/>
      <c r="T90" s="39"/>
      <c r="U90" s="39"/>
      <c r="V90" s="39"/>
      <c r="W90" s="39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35" t="s">
        <v>21</v>
      </c>
      <c r="B91" s="35" t="s">
        <v>39</v>
      </c>
      <c r="C91" s="35" t="s">
        <v>42</v>
      </c>
      <c r="D91" s="35" t="s">
        <v>41</v>
      </c>
      <c r="E91" s="35" t="s">
        <v>25</v>
      </c>
      <c r="F91" s="35" t="s">
        <v>25</v>
      </c>
      <c r="G91" s="35" t="s">
        <v>25</v>
      </c>
      <c r="H91" s="35" t="s">
        <v>35</v>
      </c>
      <c r="I91" s="55">
        <v>44713</v>
      </c>
      <c r="J91" s="56">
        <f ca="1">EFEITO!$J$91*EFEITO!$Y$91</f>
        <v>1474.4843651680885</v>
      </c>
      <c r="K91" s="56">
        <f ca="1">EFEITO!$L$91*EFEITO!$Z$91</f>
        <v>4518.4136486443413</v>
      </c>
      <c r="L91" s="56">
        <f>EFEITO!$N$91*EFEITO!$AA$91</f>
        <v>6895.7665683299474</v>
      </c>
      <c r="M91" s="56">
        <f ca="1">$J$91-EFEITO!$K$91*EFEITO!$Y$91</f>
        <v>0</v>
      </c>
      <c r="N91" s="56">
        <f ca="1">$K$91-EFEITO!$M$91*EFEITO!$Z$91</f>
        <v>0</v>
      </c>
      <c r="O91" s="56">
        <f>$L$91-EFEITO!$O$91*EFEITO!$AA$91</f>
        <v>0</v>
      </c>
      <c r="P91" s="39"/>
      <c r="Q91" s="39"/>
      <c r="R91" s="39"/>
      <c r="S91" s="39"/>
      <c r="T91" s="39"/>
      <c r="U91" s="39"/>
      <c r="V91" s="39"/>
      <c r="W91" s="39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35" t="s">
        <v>21</v>
      </c>
      <c r="B92" s="35" t="s">
        <v>39</v>
      </c>
      <c r="C92" s="35" t="s">
        <v>42</v>
      </c>
      <c r="D92" s="35" t="s">
        <v>41</v>
      </c>
      <c r="E92" s="35" t="s">
        <v>25</v>
      </c>
      <c r="F92" s="35" t="s">
        <v>25</v>
      </c>
      <c r="G92" s="35" t="s">
        <v>25</v>
      </c>
      <c r="H92" s="35" t="s">
        <v>35</v>
      </c>
      <c r="I92" s="55">
        <v>44743</v>
      </c>
      <c r="J92" s="56">
        <f ca="1">EFEITO!$J$92*EFEITO!$Y$92</f>
        <v>1474.4843651680885</v>
      </c>
      <c r="K92" s="56">
        <f ca="1">EFEITO!$L$92*EFEITO!$Z$92</f>
        <v>4934.4510262326148</v>
      </c>
      <c r="L92" s="56">
        <f>EFEITO!$N$92*EFEITO!$AA$92</f>
        <v>7530.7010525619598</v>
      </c>
      <c r="M92" s="56">
        <f ca="1">$J$92-EFEITO!$K$92*EFEITO!$Y$92</f>
        <v>0</v>
      </c>
      <c r="N92" s="56">
        <f ca="1">$K$92-EFEITO!$M$92*EFEITO!$Z$92</f>
        <v>0</v>
      </c>
      <c r="O92" s="56">
        <f>$L$92-EFEITO!$O$92*EFEITO!$AA$92</f>
        <v>0</v>
      </c>
      <c r="P92" s="39"/>
      <c r="Q92" s="39"/>
      <c r="R92" s="39"/>
      <c r="S92" s="39"/>
      <c r="T92" s="39"/>
      <c r="U92" s="39"/>
      <c r="V92" s="39"/>
      <c r="W92" s="39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35" t="s">
        <v>21</v>
      </c>
      <c r="B93" s="35" t="s">
        <v>39</v>
      </c>
      <c r="C93" s="35" t="s">
        <v>42</v>
      </c>
      <c r="D93" s="35" t="s">
        <v>41</v>
      </c>
      <c r="E93" s="35" t="s">
        <v>25</v>
      </c>
      <c r="F93" s="35" t="s">
        <v>25</v>
      </c>
      <c r="G93" s="35" t="s">
        <v>25</v>
      </c>
      <c r="H93" s="35" t="s">
        <v>35</v>
      </c>
      <c r="I93" s="55">
        <v>44774</v>
      </c>
      <c r="J93" s="56">
        <f ca="1">EFEITO!$J$93*EFEITO!$Y$93</f>
        <v>1517.2230424193376</v>
      </c>
      <c r="K93" s="56">
        <f ca="1">EFEITO!$L$93*EFEITO!$Z$93</f>
        <v>5818.5486689044383</v>
      </c>
      <c r="L93" s="56">
        <f>EFEITO!$N$93*EFEITO!$AA$93</f>
        <v>8879.9646307880957</v>
      </c>
      <c r="M93" s="56">
        <f ca="1">$J$93-EFEITO!$K$93*EFEITO!$Y$93</f>
        <v>0</v>
      </c>
      <c r="N93" s="56">
        <f ca="1">$K$93-EFEITO!$M$93*EFEITO!$Z$93</f>
        <v>0</v>
      </c>
      <c r="O93" s="56">
        <f>$L$93-EFEITO!$O$93*EFEITO!$AA$93</f>
        <v>0</v>
      </c>
      <c r="P93" s="39"/>
      <c r="Q93" s="39"/>
      <c r="R93" s="39"/>
      <c r="S93" s="39"/>
      <c r="T93" s="39"/>
      <c r="U93" s="39"/>
      <c r="V93" s="39"/>
      <c r="W93" s="39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35" t="s">
        <v>21</v>
      </c>
      <c r="B94" s="35" t="s">
        <v>39</v>
      </c>
      <c r="C94" s="35" t="s">
        <v>42</v>
      </c>
      <c r="D94" s="35" t="s">
        <v>41</v>
      </c>
      <c r="E94" s="35" t="s">
        <v>25</v>
      </c>
      <c r="F94" s="35" t="s">
        <v>25</v>
      </c>
      <c r="G94" s="35" t="s">
        <v>25</v>
      </c>
      <c r="H94" s="35" t="s">
        <v>35</v>
      </c>
      <c r="I94" s="55">
        <v>44805</v>
      </c>
      <c r="J94" s="56">
        <f ca="1">EFEITO!$J$94*EFEITO!$Y$94</f>
        <v>1517.2230424193376</v>
      </c>
      <c r="K94" s="56">
        <f ca="1">EFEITO!$L$94*EFEITO!$Z$94</f>
        <v>5522.5865274397156</v>
      </c>
      <c r="L94" s="56">
        <f>EFEITO!$N$94*EFEITO!$AA$94</f>
        <v>8428.2826912170913</v>
      </c>
      <c r="M94" s="56">
        <f ca="1">$J$94-EFEITO!$K$94*EFEITO!$Y$94</f>
        <v>0</v>
      </c>
      <c r="N94" s="56">
        <f ca="1">$K$94-EFEITO!$M$94*EFEITO!$Z$94</f>
        <v>0</v>
      </c>
      <c r="O94" s="56">
        <f>$L$94-EFEITO!$O$94*EFEITO!$AA$94</f>
        <v>0</v>
      </c>
      <c r="P94" s="39"/>
      <c r="Q94" s="39"/>
      <c r="R94" s="39"/>
      <c r="S94" s="39"/>
      <c r="T94" s="39"/>
      <c r="U94" s="39"/>
      <c r="V94" s="39"/>
      <c r="W94" s="39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35" t="s">
        <v>57</v>
      </c>
      <c r="B95" s="35" t="s">
        <v>39</v>
      </c>
      <c r="C95" s="35" t="s">
        <v>42</v>
      </c>
      <c r="D95" s="35" t="s">
        <v>41</v>
      </c>
      <c r="E95" s="35" t="s">
        <v>25</v>
      </c>
      <c r="F95" s="35" t="s">
        <v>25</v>
      </c>
      <c r="G95" s="35" t="s">
        <v>25</v>
      </c>
      <c r="H95" s="35" t="s">
        <v>35</v>
      </c>
      <c r="I95" s="55">
        <v>44835</v>
      </c>
      <c r="J95" s="56">
        <f ca="1">EFEITO!$J$95*EFEITO!$Y$95</f>
        <v>1517.2230424193376</v>
      </c>
      <c r="K95" s="56">
        <f ca="1">EFEITO!$L$95*EFEITO!$Z$95</f>
        <v>5522.5865274397156</v>
      </c>
      <c r="L95" s="56">
        <f>EFEITO!$N$95*EFEITO!$AA$95</f>
        <v>8428.2826912170913</v>
      </c>
      <c r="M95" s="56">
        <f ca="1">$J$95-EFEITO!$K$95*EFEITO!$Y$95</f>
        <v>0</v>
      </c>
      <c r="N95" s="56">
        <f ca="1">$K$95-EFEITO!$M$95*EFEITO!$Z$95</f>
        <v>0</v>
      </c>
      <c r="O95" s="56">
        <f>$L$95-EFEITO!$O$95*EFEITO!$AA$95</f>
        <v>0</v>
      </c>
      <c r="P95" s="39"/>
      <c r="Q95" s="39"/>
      <c r="R95" s="39"/>
      <c r="S95" s="39"/>
      <c r="T95" s="39"/>
      <c r="U95" s="39"/>
      <c r="V95" s="39"/>
      <c r="W95" s="39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35" t="s">
        <v>21</v>
      </c>
      <c r="B96" s="35" t="s">
        <v>39</v>
      </c>
      <c r="C96" s="35" t="s">
        <v>42</v>
      </c>
      <c r="D96" s="35" t="s">
        <v>41</v>
      </c>
      <c r="E96" s="35" t="s">
        <v>25</v>
      </c>
      <c r="F96" s="35" t="s">
        <v>25</v>
      </c>
      <c r="G96" s="35" t="s">
        <v>25</v>
      </c>
      <c r="H96" s="35" t="s">
        <v>34</v>
      </c>
      <c r="I96" s="55">
        <v>44501</v>
      </c>
      <c r="J96" s="56">
        <f ca="1">EFEITO!$J$96*EFEITO!$Y$96</f>
        <v>3521.7223149611596</v>
      </c>
      <c r="K96" s="56">
        <f ca="1">EFEITO!$L$96*EFEITO!$Z$96</f>
        <v>543.2530100347052</v>
      </c>
      <c r="L96" s="56">
        <f>EFEITO!$N$96*EFEITO!$AA$96</f>
        <v>1349.3594681733507</v>
      </c>
      <c r="M96" s="56">
        <f ca="1">$J$96-EFEITO!$K$96*EFEITO!$Y$96</f>
        <v>0</v>
      </c>
      <c r="N96" s="56">
        <f ca="1">$K$96-EFEITO!$M$96*EFEITO!$Z$96</f>
        <v>0</v>
      </c>
      <c r="O96" s="56">
        <f>$L$96-EFEITO!$O$96*EFEITO!$AA$96</f>
        <v>0</v>
      </c>
      <c r="P96" s="39"/>
      <c r="Q96" s="39"/>
      <c r="R96" s="39"/>
      <c r="S96" s="39"/>
      <c r="T96" s="39"/>
      <c r="U96" s="39"/>
      <c r="V96" s="39"/>
      <c r="W96" s="39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35" t="s">
        <v>21</v>
      </c>
      <c r="B97" s="35" t="s">
        <v>39</v>
      </c>
      <c r="C97" s="35" t="s">
        <v>42</v>
      </c>
      <c r="D97" s="35" t="s">
        <v>41</v>
      </c>
      <c r="E97" s="35" t="s">
        <v>25</v>
      </c>
      <c r="F97" s="35" t="s">
        <v>25</v>
      </c>
      <c r="G97" s="35" t="s">
        <v>25</v>
      </c>
      <c r="H97" s="35" t="s">
        <v>34</v>
      </c>
      <c r="I97" s="55">
        <v>44531</v>
      </c>
      <c r="J97" s="56">
        <f ca="1">EFEITO!$J$97*EFEITO!$Y$97</f>
        <v>3521.7223149611596</v>
      </c>
      <c r="K97" s="56">
        <f ca="1">EFEITO!$L$97*EFEITO!$Z$97</f>
        <v>619.17436685554242</v>
      </c>
      <c r="L97" s="56">
        <f>EFEITO!$N$97*EFEITO!$AA$97</f>
        <v>1537.9367972823409</v>
      </c>
      <c r="M97" s="56">
        <f ca="1">$J$97-EFEITO!$K$97*EFEITO!$Y$97</f>
        <v>0</v>
      </c>
      <c r="N97" s="56">
        <f ca="1">$K$97-EFEITO!$M$97*EFEITO!$Z$97</f>
        <v>0</v>
      </c>
      <c r="O97" s="56">
        <f>$L$97-EFEITO!$O$97*EFEITO!$AA$97</f>
        <v>0</v>
      </c>
      <c r="P97" s="39"/>
      <c r="Q97" s="39"/>
      <c r="R97" s="39"/>
      <c r="S97" s="39"/>
      <c r="T97" s="39"/>
      <c r="U97" s="39"/>
      <c r="V97" s="39"/>
      <c r="W97" s="39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35" t="s">
        <v>21</v>
      </c>
      <c r="B98" s="35" t="s">
        <v>39</v>
      </c>
      <c r="C98" s="35" t="s">
        <v>42</v>
      </c>
      <c r="D98" s="35" t="s">
        <v>41</v>
      </c>
      <c r="E98" s="35" t="s">
        <v>25</v>
      </c>
      <c r="F98" s="35" t="s">
        <v>25</v>
      </c>
      <c r="G98" s="35" t="s">
        <v>25</v>
      </c>
      <c r="H98" s="35" t="s">
        <v>34</v>
      </c>
      <c r="I98" s="55">
        <v>44562</v>
      </c>
      <c r="J98" s="56">
        <f ca="1">EFEITO!$J$98*EFEITO!$Y$98</f>
        <v>3623.8012226411929</v>
      </c>
      <c r="K98" s="56">
        <f ca="1">EFEITO!$L$98*EFEITO!$Z$98</f>
        <v>575.02048755282908</v>
      </c>
      <c r="L98" s="56">
        <f>EFEITO!$N$98*EFEITO!$AA$98</f>
        <v>1428.265145228552</v>
      </c>
      <c r="M98" s="56">
        <f ca="1">$J$98-EFEITO!$K$98*EFEITO!$Y$98</f>
        <v>0</v>
      </c>
      <c r="N98" s="56">
        <f ca="1">$K$98-EFEITO!$M$98*EFEITO!$Z$98</f>
        <v>0</v>
      </c>
      <c r="O98" s="56">
        <f>$L$98-EFEITO!$O$98*EFEITO!$AA$98</f>
        <v>0</v>
      </c>
      <c r="P98" s="39"/>
      <c r="Q98" s="39"/>
      <c r="R98" s="39"/>
      <c r="S98" s="39"/>
      <c r="T98" s="39"/>
      <c r="U98" s="39"/>
      <c r="V98" s="39"/>
      <c r="W98" s="39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35" t="s">
        <v>21</v>
      </c>
      <c r="B99" s="35" t="s">
        <v>39</v>
      </c>
      <c r="C99" s="35" t="s">
        <v>42</v>
      </c>
      <c r="D99" s="35" t="s">
        <v>41</v>
      </c>
      <c r="E99" s="35" t="s">
        <v>25</v>
      </c>
      <c r="F99" s="35" t="s">
        <v>25</v>
      </c>
      <c r="G99" s="35" t="s">
        <v>25</v>
      </c>
      <c r="H99" s="35" t="s">
        <v>34</v>
      </c>
      <c r="I99" s="55">
        <v>44593</v>
      </c>
      <c r="J99" s="56">
        <f ca="1">EFEITO!$J$99*EFEITO!$Y$99</f>
        <v>3521.7223149611596</v>
      </c>
      <c r="K99" s="56">
        <f ca="1">EFEITO!$L$99*EFEITO!$Z$99</f>
        <v>544.12734427832333</v>
      </c>
      <c r="L99" s="56">
        <f>EFEITO!$N$99*EFEITO!$AA$99</f>
        <v>1351.5311840556039</v>
      </c>
      <c r="M99" s="56">
        <f ca="1">$J$99-EFEITO!$K$99*EFEITO!$Y$99</f>
        <v>0</v>
      </c>
      <c r="N99" s="56">
        <f ca="1">$K$99-EFEITO!$M$99*EFEITO!$Z$99</f>
        <v>0</v>
      </c>
      <c r="O99" s="56">
        <f>$L$99-EFEITO!$O$99*EFEITO!$AA$99</f>
        <v>0</v>
      </c>
      <c r="P99" s="39"/>
      <c r="Q99" s="39"/>
      <c r="R99" s="39"/>
      <c r="S99" s="39"/>
      <c r="T99" s="39"/>
      <c r="U99" s="39"/>
      <c r="V99" s="39"/>
      <c r="W99" s="39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35" t="s">
        <v>21</v>
      </c>
      <c r="B100" s="35" t="s">
        <v>39</v>
      </c>
      <c r="C100" s="35" t="s">
        <v>42</v>
      </c>
      <c r="D100" s="35" t="s">
        <v>41</v>
      </c>
      <c r="E100" s="35" t="s">
        <v>25</v>
      </c>
      <c r="F100" s="35" t="s">
        <v>25</v>
      </c>
      <c r="G100" s="35" t="s">
        <v>25</v>
      </c>
      <c r="H100" s="35" t="s">
        <v>34</v>
      </c>
      <c r="I100" s="55">
        <v>44621</v>
      </c>
      <c r="J100" s="56">
        <f ca="1">EFEITO!$J$100*EFEITO!$Y$100</f>
        <v>3521.7223149611596</v>
      </c>
      <c r="K100" s="56">
        <f ca="1">EFEITO!$L$100*EFEITO!$Z$100</f>
        <v>614.80269563745208</v>
      </c>
      <c r="L100" s="56">
        <f>EFEITO!$N$100*EFEITO!$AA$100</f>
        <v>1527.0782178710747</v>
      </c>
      <c r="M100" s="56">
        <f ca="1">$J$100-EFEITO!$K$100*EFEITO!$Y$100</f>
        <v>0</v>
      </c>
      <c r="N100" s="56">
        <f ca="1">$K$100-EFEITO!$M$100*EFEITO!$Z$100</f>
        <v>0</v>
      </c>
      <c r="O100" s="56">
        <f>$L$100-EFEITO!$O$100*EFEITO!$AA$100</f>
        <v>0</v>
      </c>
      <c r="P100" s="39"/>
      <c r="Q100" s="39"/>
      <c r="R100" s="39"/>
      <c r="S100" s="39"/>
      <c r="T100" s="39"/>
      <c r="U100" s="39"/>
      <c r="V100" s="39"/>
      <c r="W100" s="39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35" t="s">
        <v>21</v>
      </c>
      <c r="B101" s="35" t="s">
        <v>39</v>
      </c>
      <c r="C101" s="35" t="s">
        <v>42</v>
      </c>
      <c r="D101" s="35" t="s">
        <v>41</v>
      </c>
      <c r="E101" s="35" t="s">
        <v>25</v>
      </c>
      <c r="F101" s="35" t="s">
        <v>25</v>
      </c>
      <c r="G101" s="35" t="s">
        <v>25</v>
      </c>
      <c r="H101" s="35" t="s">
        <v>34</v>
      </c>
      <c r="I101" s="55">
        <v>44652</v>
      </c>
      <c r="J101" s="56">
        <f ca="1">EFEITO!$J$101*EFEITO!$Y$101</f>
        <v>3521.7223149611596</v>
      </c>
      <c r="K101" s="56">
        <f ca="1">EFEITO!$L$101*EFEITO!$Z$101</f>
        <v>544.85595614800502</v>
      </c>
      <c r="L101" s="56">
        <f>EFEITO!$N$101*EFEITO!$AA$101</f>
        <v>1353.3409472908149</v>
      </c>
      <c r="M101" s="56">
        <f ca="1">$J$101-EFEITO!$K$101*EFEITO!$Y$101</f>
        <v>0</v>
      </c>
      <c r="N101" s="56">
        <f ca="1">$K$101-EFEITO!$M$101*EFEITO!$Z$101</f>
        <v>0</v>
      </c>
      <c r="O101" s="56">
        <f>$L$101-EFEITO!$O$101*EFEITO!$AA$101</f>
        <v>0</v>
      </c>
      <c r="P101" s="39"/>
      <c r="Q101" s="39"/>
      <c r="R101" s="39"/>
      <c r="S101" s="39"/>
      <c r="T101" s="39"/>
      <c r="U101" s="39"/>
      <c r="V101" s="39"/>
      <c r="W101" s="39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35" t="s">
        <v>21</v>
      </c>
      <c r="B102" s="35" t="s">
        <v>39</v>
      </c>
      <c r="C102" s="35" t="s">
        <v>42</v>
      </c>
      <c r="D102" s="35" t="s">
        <v>41</v>
      </c>
      <c r="E102" s="35" t="s">
        <v>25</v>
      </c>
      <c r="F102" s="35" t="s">
        <v>25</v>
      </c>
      <c r="G102" s="35" t="s">
        <v>25</v>
      </c>
      <c r="H102" s="35" t="s">
        <v>34</v>
      </c>
      <c r="I102" s="55">
        <v>44682</v>
      </c>
      <c r="J102" s="56">
        <f ca="1">EFEITO!$J$102*EFEITO!$Y$102</f>
        <v>3521.7223149611596</v>
      </c>
      <c r="K102" s="56">
        <f ca="1">EFEITO!$L$102*EFEITO!$Z$102</f>
        <v>554.6193552017404</v>
      </c>
      <c r="L102" s="56">
        <f>EFEITO!$N$102*EFEITO!$AA$102</f>
        <v>1377.5917746426428</v>
      </c>
      <c r="M102" s="56">
        <f ca="1">$J$102-EFEITO!$K$102*EFEITO!$Y$102</f>
        <v>0</v>
      </c>
      <c r="N102" s="56">
        <f ca="1">$K$102-EFEITO!$M$102*EFEITO!$Z$102</f>
        <v>0</v>
      </c>
      <c r="O102" s="56">
        <f>$L$102-EFEITO!$O$102*EFEITO!$AA$102</f>
        <v>0</v>
      </c>
      <c r="P102" s="39"/>
      <c r="Q102" s="39"/>
      <c r="R102" s="39"/>
      <c r="S102" s="39"/>
      <c r="T102" s="39"/>
      <c r="U102" s="39"/>
      <c r="V102" s="39"/>
      <c r="W102" s="39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35" t="s">
        <v>21</v>
      </c>
      <c r="B103" s="35" t="s">
        <v>39</v>
      </c>
      <c r="C103" s="35" t="s">
        <v>42</v>
      </c>
      <c r="D103" s="35" t="s">
        <v>41</v>
      </c>
      <c r="E103" s="35" t="s">
        <v>25</v>
      </c>
      <c r="F103" s="35" t="s">
        <v>25</v>
      </c>
      <c r="G103" s="35" t="s">
        <v>25</v>
      </c>
      <c r="H103" s="35" t="s">
        <v>34</v>
      </c>
      <c r="I103" s="55">
        <v>44713</v>
      </c>
      <c r="J103" s="56">
        <f ca="1">EFEITO!$J$103*EFEITO!$Y$103</f>
        <v>3521.7223149611596</v>
      </c>
      <c r="K103" s="56">
        <f ca="1">EFEITO!$L$103*EFEITO!$Z$103</f>
        <v>441.39307065319798</v>
      </c>
      <c r="L103" s="56">
        <f>EFEITO!$N$103*EFEITO!$AA$103</f>
        <v>1096.3545678908474</v>
      </c>
      <c r="M103" s="56">
        <f ca="1">$J$103-EFEITO!$K$103*EFEITO!$Y$103</f>
        <v>0</v>
      </c>
      <c r="N103" s="56">
        <f ca="1">$K$103-EFEITO!$M$103*EFEITO!$Z$103</f>
        <v>0</v>
      </c>
      <c r="O103" s="56">
        <f>$L$103-EFEITO!$O$103*EFEITO!$AA$103</f>
        <v>0</v>
      </c>
      <c r="P103" s="39"/>
      <c r="Q103" s="39"/>
      <c r="R103" s="39"/>
      <c r="S103" s="39"/>
      <c r="T103" s="39"/>
      <c r="U103" s="39"/>
      <c r="V103" s="39"/>
      <c r="W103" s="39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35" t="s">
        <v>21</v>
      </c>
      <c r="B104" s="35" t="s">
        <v>39</v>
      </c>
      <c r="C104" s="35" t="s">
        <v>42</v>
      </c>
      <c r="D104" s="35" t="s">
        <v>41</v>
      </c>
      <c r="E104" s="35" t="s">
        <v>25</v>
      </c>
      <c r="F104" s="35" t="s">
        <v>25</v>
      </c>
      <c r="G104" s="35" t="s">
        <v>25</v>
      </c>
      <c r="H104" s="35" t="s">
        <v>34</v>
      </c>
      <c r="I104" s="55">
        <v>44743</v>
      </c>
      <c r="J104" s="56">
        <f ca="1">EFEITO!$J$104*EFEITO!$Y$104</f>
        <v>3521.7223149611596</v>
      </c>
      <c r="K104" s="56">
        <f ca="1">EFEITO!$L$104*EFEITO!$Z$104</f>
        <v>473.74343766706721</v>
      </c>
      <c r="L104" s="56">
        <f>EFEITO!$N$104*EFEITO!$AA$104</f>
        <v>1176.7080555342175</v>
      </c>
      <c r="M104" s="56">
        <f ca="1">$J$104-EFEITO!$K$104*EFEITO!$Y$104</f>
        <v>0</v>
      </c>
      <c r="N104" s="56">
        <f ca="1">$K$104-EFEITO!$M$104*EFEITO!$Z$104</f>
        <v>0</v>
      </c>
      <c r="O104" s="56">
        <f>$L$104-EFEITO!$O$104*EFEITO!$AA$104</f>
        <v>0</v>
      </c>
      <c r="P104" s="39"/>
      <c r="Q104" s="39"/>
      <c r="R104" s="39"/>
      <c r="S104" s="39"/>
      <c r="T104" s="39"/>
      <c r="U104" s="39"/>
      <c r="V104" s="39"/>
      <c r="W104" s="39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35" t="s">
        <v>21</v>
      </c>
      <c r="B105" s="35" t="s">
        <v>39</v>
      </c>
      <c r="C105" s="35" t="s">
        <v>42</v>
      </c>
      <c r="D105" s="35" t="s">
        <v>41</v>
      </c>
      <c r="E105" s="35" t="s">
        <v>25</v>
      </c>
      <c r="F105" s="35" t="s">
        <v>25</v>
      </c>
      <c r="G105" s="35" t="s">
        <v>25</v>
      </c>
      <c r="H105" s="35" t="s">
        <v>34</v>
      </c>
      <c r="I105" s="55">
        <v>44774</v>
      </c>
      <c r="J105" s="56">
        <f ca="1">EFEITO!$J$105*EFEITO!$Y$105</f>
        <v>3521.7223149611596</v>
      </c>
      <c r="K105" s="56">
        <f ca="1">EFEITO!$L$105*EFEITO!$Z$105</f>
        <v>607.37085456669831</v>
      </c>
      <c r="L105" s="56">
        <f>EFEITO!$N$105*EFEITO!$AA$105</f>
        <v>1508.618632871922</v>
      </c>
      <c r="M105" s="56">
        <f ca="1">$J$105-EFEITO!$K$105*EFEITO!$Y$105</f>
        <v>0</v>
      </c>
      <c r="N105" s="56">
        <f ca="1">$K$105-EFEITO!$M$105*EFEITO!$Z$105</f>
        <v>0</v>
      </c>
      <c r="O105" s="56">
        <f>$L$105-EFEITO!$O$105*EFEITO!$AA$105</f>
        <v>0</v>
      </c>
      <c r="P105" s="39"/>
      <c r="Q105" s="39"/>
      <c r="R105" s="39"/>
      <c r="S105" s="39"/>
      <c r="T105" s="39"/>
      <c r="U105" s="39"/>
      <c r="V105" s="39"/>
      <c r="W105" s="39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35" t="s">
        <v>21</v>
      </c>
      <c r="B106" s="35" t="s">
        <v>39</v>
      </c>
      <c r="C106" s="35" t="s">
        <v>42</v>
      </c>
      <c r="D106" s="35" t="s">
        <v>41</v>
      </c>
      <c r="E106" s="35" t="s">
        <v>25</v>
      </c>
      <c r="F106" s="35" t="s">
        <v>25</v>
      </c>
      <c r="G106" s="35" t="s">
        <v>25</v>
      </c>
      <c r="H106" s="35" t="s">
        <v>34</v>
      </c>
      <c r="I106" s="55">
        <v>44805</v>
      </c>
      <c r="J106" s="56">
        <f ca="1">EFEITO!$J$106*EFEITO!$Y$106</f>
        <v>3521.7223149611596</v>
      </c>
      <c r="K106" s="56">
        <f ca="1">EFEITO!$L$106*EFEITO!$Z$106</f>
        <v>534.80111234639696</v>
      </c>
      <c r="L106" s="56">
        <f>EFEITO!$N$106*EFEITO!$AA$106</f>
        <v>1328.3662146449026</v>
      </c>
      <c r="M106" s="56">
        <f ca="1">$J$106-EFEITO!$K$106*EFEITO!$Y$106</f>
        <v>0</v>
      </c>
      <c r="N106" s="56">
        <f ca="1">$K$106-EFEITO!$M$106*EFEITO!$Z$106</f>
        <v>0</v>
      </c>
      <c r="O106" s="56">
        <f>$L$106-EFEITO!$O$106*EFEITO!$AA$106</f>
        <v>0</v>
      </c>
      <c r="P106" s="39"/>
      <c r="Q106" s="39"/>
      <c r="R106" s="39"/>
      <c r="S106" s="39"/>
      <c r="T106" s="39"/>
      <c r="U106" s="39"/>
      <c r="V106" s="39"/>
      <c r="W106" s="39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35" t="s">
        <v>57</v>
      </c>
      <c r="B107" s="35" t="s">
        <v>39</v>
      </c>
      <c r="C107" s="35" t="s">
        <v>42</v>
      </c>
      <c r="D107" s="35" t="s">
        <v>41</v>
      </c>
      <c r="E107" s="35" t="s">
        <v>25</v>
      </c>
      <c r="F107" s="35" t="s">
        <v>25</v>
      </c>
      <c r="G107" s="35" t="s">
        <v>25</v>
      </c>
      <c r="H107" s="35" t="s">
        <v>34</v>
      </c>
      <c r="I107" s="55">
        <v>44835</v>
      </c>
      <c r="J107" s="56">
        <f ca="1">EFEITO!$J$107*EFEITO!$Y$107</f>
        <v>3521.7223149611596</v>
      </c>
      <c r="K107" s="56">
        <f ca="1">EFEITO!$L$107*EFEITO!$Z$107</f>
        <v>534.80111234639696</v>
      </c>
      <c r="L107" s="56">
        <f>EFEITO!$N$107*EFEITO!$AA$107</f>
        <v>1328.3662146449026</v>
      </c>
      <c r="M107" s="56">
        <f ca="1">$J$107-EFEITO!$K$107*EFEITO!$Y$107</f>
        <v>0</v>
      </c>
      <c r="N107" s="56">
        <f ca="1">$K$107-EFEITO!$M$107*EFEITO!$Z$107</f>
        <v>0</v>
      </c>
      <c r="O107" s="56">
        <f>$L$107-EFEITO!$O$107*EFEITO!$AA$107</f>
        <v>0</v>
      </c>
      <c r="P107" s="39"/>
      <c r="Q107" s="39"/>
      <c r="R107" s="39"/>
      <c r="S107" s="39"/>
      <c r="T107" s="39"/>
      <c r="U107" s="39"/>
      <c r="V107" s="39"/>
      <c r="W107" s="39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35" t="s">
        <v>21</v>
      </c>
      <c r="B108" s="35" t="s">
        <v>39</v>
      </c>
      <c r="C108" s="35" t="s">
        <v>42</v>
      </c>
      <c r="D108" s="35" t="s">
        <v>50</v>
      </c>
      <c r="E108" s="35" t="s">
        <v>51</v>
      </c>
      <c r="F108" s="35" t="s">
        <v>25</v>
      </c>
      <c r="G108" s="35" t="s">
        <v>25</v>
      </c>
      <c r="H108" s="35" t="s">
        <v>35</v>
      </c>
      <c r="I108" s="55">
        <v>44501</v>
      </c>
      <c r="J108" s="56">
        <f ca="1">EFEITO!$J$108*EFEITO!$Y$95</f>
        <v>10791.516005940359</v>
      </c>
      <c r="K108" s="56">
        <f ca="1">EFEITO!$L$108*EFEITO!$Z$95</f>
        <v>32432.700155143284</v>
      </c>
      <c r="L108" s="56">
        <f>EFEITO!$N$108*EFEITO!$AA$95</f>
        <v>49497.090536986965</v>
      </c>
      <c r="M108" s="56">
        <f ca="1">$J$108-EFEITO!$K$108*EFEITO!$Y$108</f>
        <v>323.74548017821144</v>
      </c>
      <c r="N108" s="56">
        <f ca="1">$K$108-EFEITO!$M$108*EFEITO!$Z$108</f>
        <v>972.98100465430252</v>
      </c>
      <c r="O108" s="56">
        <f>$L$108-EFEITO!$O$108*EFEITO!$AA$108</f>
        <v>1484.9127161096112</v>
      </c>
      <c r="P108" s="39"/>
      <c r="Q108" s="39"/>
      <c r="R108" s="39"/>
      <c r="S108" s="39"/>
      <c r="T108" s="39"/>
      <c r="U108" s="39"/>
      <c r="V108" s="39"/>
      <c r="W108" s="39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35" t="s">
        <v>21</v>
      </c>
      <c r="B109" s="35" t="s">
        <v>39</v>
      </c>
      <c r="C109" s="35" t="s">
        <v>42</v>
      </c>
      <c r="D109" s="35" t="s">
        <v>50</v>
      </c>
      <c r="E109" s="35" t="s">
        <v>51</v>
      </c>
      <c r="F109" s="35" t="s">
        <v>25</v>
      </c>
      <c r="G109" s="35" t="s">
        <v>25</v>
      </c>
      <c r="H109" s="35" t="s">
        <v>35</v>
      </c>
      <c r="I109" s="55">
        <v>44531</v>
      </c>
      <c r="J109" s="56">
        <f ca="1">EFEITO!$J$109*EFEITO!$Y$95</f>
        <v>10770.146667314733</v>
      </c>
      <c r="K109" s="56">
        <f ca="1">EFEITO!$L$109*EFEITO!$Z$95</f>
        <v>32162.822318613169</v>
      </c>
      <c r="L109" s="56">
        <f>EFEITO!$N$109*EFEITO!$AA$95</f>
        <v>49085.217099229456</v>
      </c>
      <c r="M109" s="56">
        <f ca="1">$J$109-EFEITO!$K$109*EFEITO!$Y$109</f>
        <v>323.10440001944153</v>
      </c>
      <c r="N109" s="56">
        <f ca="1">$K$109-EFEITO!$M$109*EFEITO!$Z$109</f>
        <v>964.88466955839976</v>
      </c>
      <c r="O109" s="56">
        <f>$L$109-EFEITO!$O$109*EFEITO!$AA$109</f>
        <v>1472.5565129768875</v>
      </c>
      <c r="P109" s="39"/>
      <c r="Q109" s="39"/>
      <c r="R109" s="39"/>
      <c r="S109" s="39"/>
      <c r="T109" s="39"/>
      <c r="U109" s="39"/>
      <c r="V109" s="39"/>
      <c r="W109" s="39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35" t="s">
        <v>21</v>
      </c>
      <c r="B110" s="35" t="s">
        <v>39</v>
      </c>
      <c r="C110" s="35" t="s">
        <v>42</v>
      </c>
      <c r="D110" s="35" t="s">
        <v>50</v>
      </c>
      <c r="E110" s="35" t="s">
        <v>51</v>
      </c>
      <c r="F110" s="35" t="s">
        <v>25</v>
      </c>
      <c r="G110" s="35" t="s">
        <v>25</v>
      </c>
      <c r="H110" s="35" t="s">
        <v>35</v>
      </c>
      <c r="I110" s="55">
        <v>44562</v>
      </c>
      <c r="J110" s="56">
        <f ca="1">EFEITO!$J$110*EFEITO!$Y$95</f>
        <v>10791.516005940359</v>
      </c>
      <c r="K110" s="56">
        <f ca="1">EFEITO!$L$110*EFEITO!$Z$95</f>
        <v>32740.611531270788</v>
      </c>
      <c r="L110" s="56">
        <f>EFEITO!$N$110*EFEITO!$AA$95</f>
        <v>49967.008773478112</v>
      </c>
      <c r="M110" s="56">
        <f ca="1">$J$110-EFEITO!$K$110*EFEITO!$Y$110</f>
        <v>323.74548017821144</v>
      </c>
      <c r="N110" s="56">
        <f ca="1">$K$110-EFEITO!$M$110*EFEITO!$Z$110</f>
        <v>982.21834593812673</v>
      </c>
      <c r="O110" s="56">
        <f>$L$110-EFEITO!$O$110*EFEITO!$AA$110</f>
        <v>1499.0102632043418</v>
      </c>
      <c r="P110" s="39"/>
      <c r="Q110" s="39"/>
      <c r="R110" s="39"/>
      <c r="S110" s="39"/>
      <c r="T110" s="39"/>
      <c r="U110" s="39"/>
      <c r="V110" s="39"/>
      <c r="W110" s="39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35" t="s">
        <v>21</v>
      </c>
      <c r="B111" s="35" t="s">
        <v>39</v>
      </c>
      <c r="C111" s="35" t="s">
        <v>42</v>
      </c>
      <c r="D111" s="35" t="s">
        <v>50</v>
      </c>
      <c r="E111" s="35" t="s">
        <v>51</v>
      </c>
      <c r="F111" s="35" t="s">
        <v>25</v>
      </c>
      <c r="G111" s="35" t="s">
        <v>25</v>
      </c>
      <c r="H111" s="35" t="s">
        <v>35</v>
      </c>
      <c r="I111" s="55">
        <v>44593</v>
      </c>
      <c r="J111" s="56">
        <f ca="1">EFEITO!$J$111*EFEITO!$Y$95</f>
        <v>10706.038651437861</v>
      </c>
      <c r="K111" s="56">
        <f ca="1">EFEITO!$L$111*EFEITO!$Z$95</f>
        <v>27714.646854206145</v>
      </c>
      <c r="L111" s="56">
        <f>EFEITO!$N$111*EFEITO!$AA$95</f>
        <v>42296.644373771596</v>
      </c>
      <c r="M111" s="56">
        <f ca="1">$J$111-EFEITO!$K$111*EFEITO!$Y$111</f>
        <v>321.18115954313544</v>
      </c>
      <c r="N111" s="56">
        <f ca="1">$K$111-EFEITO!$M$111*EFEITO!$Z$111</f>
        <v>831.43940562618809</v>
      </c>
      <c r="O111" s="56">
        <f>$L$111-EFEITO!$O$111*EFEITO!$AA$111</f>
        <v>1268.8993312131424</v>
      </c>
      <c r="P111" s="39"/>
      <c r="Q111" s="39"/>
      <c r="R111" s="39"/>
      <c r="S111" s="39"/>
      <c r="T111" s="39"/>
      <c r="U111" s="39"/>
      <c r="V111" s="39"/>
      <c r="W111" s="39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35" t="s">
        <v>21</v>
      </c>
      <c r="B112" s="35" t="s">
        <v>39</v>
      </c>
      <c r="C112" s="35" t="s">
        <v>42</v>
      </c>
      <c r="D112" s="35" t="s">
        <v>50</v>
      </c>
      <c r="E112" s="35" t="s">
        <v>51</v>
      </c>
      <c r="F112" s="35" t="s">
        <v>25</v>
      </c>
      <c r="G112" s="35" t="s">
        <v>25</v>
      </c>
      <c r="H112" s="35" t="s">
        <v>35</v>
      </c>
      <c r="I112" s="55">
        <v>44621</v>
      </c>
      <c r="J112" s="56">
        <f ca="1">EFEITO!$J$112*EFEITO!$Y$95</f>
        <v>10706.038651437861</v>
      </c>
      <c r="K112" s="56">
        <f ca="1">EFEITO!$L$112*EFEITO!$Z$95</f>
        <v>31407.251809753201</v>
      </c>
      <c r="L112" s="56">
        <f>EFEITO!$N$112*EFEITO!$AA$95</f>
        <v>47932.104909827358</v>
      </c>
      <c r="M112" s="56">
        <f ca="1">$J$112-EFEITO!$K$112*EFEITO!$Y$112</f>
        <v>321.18115954313544</v>
      </c>
      <c r="N112" s="56">
        <f ca="1">$K$112-EFEITO!$M$112*EFEITO!$Z$112</f>
        <v>942.21755429259792</v>
      </c>
      <c r="O112" s="56">
        <f>$L$112-EFEITO!$O$112*EFEITO!$AA$112</f>
        <v>1437.963147294824</v>
      </c>
      <c r="P112" s="39"/>
      <c r="Q112" s="39"/>
      <c r="R112" s="39"/>
      <c r="S112" s="39"/>
      <c r="T112" s="39"/>
      <c r="U112" s="39"/>
      <c r="V112" s="39"/>
      <c r="W112" s="39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35" t="s">
        <v>21</v>
      </c>
      <c r="B113" s="35" t="s">
        <v>39</v>
      </c>
      <c r="C113" s="35" t="s">
        <v>42</v>
      </c>
      <c r="D113" s="35" t="s">
        <v>50</v>
      </c>
      <c r="E113" s="35" t="s">
        <v>51</v>
      </c>
      <c r="F113" s="35" t="s">
        <v>25</v>
      </c>
      <c r="G113" s="35" t="s">
        <v>25</v>
      </c>
      <c r="H113" s="35" t="s">
        <v>35</v>
      </c>
      <c r="I113" s="55">
        <v>44652</v>
      </c>
      <c r="J113" s="56">
        <f ca="1">EFEITO!$J$113*EFEITO!$Y$95</f>
        <v>10727.407990063484</v>
      </c>
      <c r="K113" s="56">
        <f ca="1">EFEITO!$L$113*EFEITO!$Z$95</f>
        <v>32706.366773395748</v>
      </c>
      <c r="L113" s="56">
        <f>EFEITO!$N$113*EFEITO!$AA$95</f>
        <v>49914.746215231353</v>
      </c>
      <c r="M113" s="56">
        <f ca="1">$J$113-EFEITO!$K$113*EFEITO!$Y$113</f>
        <v>321.82223970190353</v>
      </c>
      <c r="N113" s="56">
        <f ca="1">$K$113-EFEITO!$M$113*EFEITO!$Z$113</f>
        <v>981.19100320187499</v>
      </c>
      <c r="O113" s="56">
        <f>$L$113-EFEITO!$O$113*EFEITO!$AA$113</f>
        <v>1497.4423864569471</v>
      </c>
      <c r="P113" s="39"/>
      <c r="Q113" s="39"/>
      <c r="R113" s="39"/>
      <c r="S113" s="39"/>
      <c r="T113" s="39"/>
      <c r="U113" s="39"/>
      <c r="V113" s="39"/>
      <c r="W113" s="39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35" t="s">
        <v>21</v>
      </c>
      <c r="B114" s="35" t="s">
        <v>39</v>
      </c>
      <c r="C114" s="35" t="s">
        <v>42</v>
      </c>
      <c r="D114" s="35" t="s">
        <v>50</v>
      </c>
      <c r="E114" s="35" t="s">
        <v>51</v>
      </c>
      <c r="F114" s="35" t="s">
        <v>25</v>
      </c>
      <c r="G114" s="35" t="s">
        <v>25</v>
      </c>
      <c r="H114" s="35" t="s">
        <v>35</v>
      </c>
      <c r="I114" s="55">
        <v>44682</v>
      </c>
      <c r="J114" s="56">
        <f ca="1">EFEITO!$J$114*EFEITO!$Y$95</f>
        <v>10706.038651437861</v>
      </c>
      <c r="K114" s="56">
        <f ca="1">EFEITO!$L$114*EFEITO!$Z$95</f>
        <v>33525.472237291957</v>
      </c>
      <c r="L114" s="56">
        <f>EFEITO!$N$114*EFEITO!$AA$95</f>
        <v>51164.822129721062</v>
      </c>
      <c r="M114" s="56">
        <f ca="1">$J$114-EFEITO!$K$114*EFEITO!$Y$114</f>
        <v>321.18115954313544</v>
      </c>
      <c r="N114" s="56">
        <f ca="1">$K$114-EFEITO!$M$114*EFEITO!$Z$114</f>
        <v>1005.764167118763</v>
      </c>
      <c r="O114" s="56">
        <f>$L$114-EFEITO!$O$114*EFEITO!$AA$114</f>
        <v>1534.9446638916343</v>
      </c>
      <c r="P114" s="39"/>
      <c r="Q114" s="39"/>
      <c r="R114" s="39"/>
      <c r="S114" s="39"/>
      <c r="T114" s="39"/>
      <c r="U114" s="39"/>
      <c r="V114" s="39"/>
      <c r="W114" s="39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35" t="s">
        <v>21</v>
      </c>
      <c r="B115" s="35" t="s">
        <v>39</v>
      </c>
      <c r="C115" s="35" t="s">
        <v>42</v>
      </c>
      <c r="D115" s="35" t="s">
        <v>50</v>
      </c>
      <c r="E115" s="35" t="s">
        <v>51</v>
      </c>
      <c r="F115" s="35" t="s">
        <v>25</v>
      </c>
      <c r="G115" s="35" t="s">
        <v>25</v>
      </c>
      <c r="H115" s="35" t="s">
        <v>35</v>
      </c>
      <c r="I115" s="55">
        <v>44713</v>
      </c>
      <c r="J115" s="56">
        <f ca="1">EFEITO!$J$115*EFEITO!$Y$95</f>
        <v>10706.038651437861</v>
      </c>
      <c r="K115" s="56">
        <f ca="1">EFEITO!$L$115*EFEITO!$Z$95</f>
        <v>31648.42233861786</v>
      </c>
      <c r="L115" s="56">
        <f>EFEITO!$N$115*EFEITO!$AA$95</f>
        <v>48300.166756203529</v>
      </c>
      <c r="M115" s="56">
        <f ca="1">$J$115-EFEITO!$K$115*EFEITO!$Y$115</f>
        <v>321.18115954313544</v>
      </c>
      <c r="N115" s="56">
        <f ca="1">$K$115-EFEITO!$M$115*EFEITO!$Z$115</f>
        <v>949.45267015854188</v>
      </c>
      <c r="O115" s="56">
        <f>$L$115-EFEITO!$O$115*EFEITO!$AA$115</f>
        <v>1449.0050026861063</v>
      </c>
      <c r="P115" s="39"/>
      <c r="Q115" s="39"/>
      <c r="R115" s="39"/>
      <c r="S115" s="39"/>
      <c r="T115" s="39"/>
      <c r="U115" s="39"/>
      <c r="V115" s="39"/>
      <c r="W115" s="39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35" t="s">
        <v>21</v>
      </c>
      <c r="B116" s="35" t="s">
        <v>39</v>
      </c>
      <c r="C116" s="35" t="s">
        <v>42</v>
      </c>
      <c r="D116" s="35" t="s">
        <v>50</v>
      </c>
      <c r="E116" s="35" t="s">
        <v>51</v>
      </c>
      <c r="F116" s="35" t="s">
        <v>25</v>
      </c>
      <c r="G116" s="35" t="s">
        <v>25</v>
      </c>
      <c r="H116" s="35" t="s">
        <v>35</v>
      </c>
      <c r="I116" s="55">
        <v>44743</v>
      </c>
      <c r="J116" s="56">
        <f ca="1">EFEITO!$J$116*EFEITO!$Y$95</f>
        <v>10684.669312812237</v>
      </c>
      <c r="K116" s="56">
        <f ca="1">EFEITO!$L$116*EFEITO!$Z$95</f>
        <v>33169.326755391521</v>
      </c>
      <c r="L116" s="56">
        <f>EFEITO!$N$116*EFEITO!$AA$95</f>
        <v>50621.291523954678</v>
      </c>
      <c r="M116" s="56">
        <f ca="1">$J$116-EFEITO!$K$116*EFEITO!$Y$116</f>
        <v>320.54007938436735</v>
      </c>
      <c r="N116" s="56">
        <f ca="1">$K$116-EFEITO!$M$116*EFEITO!$Z$116</f>
        <v>995.07980266174491</v>
      </c>
      <c r="O116" s="56">
        <f>$L$116-EFEITO!$O$116*EFEITO!$AA$116</f>
        <v>1518.6387457186429</v>
      </c>
      <c r="P116" s="39"/>
      <c r="Q116" s="39"/>
      <c r="R116" s="39"/>
      <c r="S116" s="39"/>
      <c r="T116" s="39"/>
      <c r="U116" s="39"/>
      <c r="V116" s="39"/>
      <c r="W116" s="39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35" t="s">
        <v>21</v>
      </c>
      <c r="B117" s="35" t="s">
        <v>39</v>
      </c>
      <c r="C117" s="35" t="s">
        <v>42</v>
      </c>
      <c r="D117" s="35" t="s">
        <v>50</v>
      </c>
      <c r="E117" s="35" t="s">
        <v>51</v>
      </c>
      <c r="F117" s="35" t="s">
        <v>25</v>
      </c>
      <c r="G117" s="35" t="s">
        <v>25</v>
      </c>
      <c r="H117" s="35" t="s">
        <v>35</v>
      </c>
      <c r="I117" s="55">
        <v>44774</v>
      </c>
      <c r="J117" s="56">
        <f ca="1">EFEITO!$J$117*EFEITO!$Y$95</f>
        <v>10684.669312812237</v>
      </c>
      <c r="K117" s="56">
        <f ca="1">EFEITO!$L$117*EFEITO!$Z$95</f>
        <v>35322.229107927131</v>
      </c>
      <c r="L117" s="56">
        <f>EFEITO!$N$117*EFEITO!$AA$95</f>
        <v>53906.938483689788</v>
      </c>
      <c r="M117" s="56">
        <f ca="1">$J$117-EFEITO!$K$117*EFEITO!$Y$117</f>
        <v>320.54007938436735</v>
      </c>
      <c r="N117" s="56">
        <f ca="1">$K$117-EFEITO!$M$117*EFEITO!$Z$117</f>
        <v>1059.6668732378166</v>
      </c>
      <c r="O117" s="56">
        <f>$L$117-EFEITO!$O$117*EFEITO!$AA$117</f>
        <v>1617.2081545106921</v>
      </c>
      <c r="P117" s="39"/>
      <c r="Q117" s="39"/>
      <c r="R117" s="39"/>
      <c r="S117" s="39"/>
      <c r="T117" s="39"/>
      <c r="U117" s="39"/>
      <c r="V117" s="39"/>
      <c r="W117" s="39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35" t="s">
        <v>21</v>
      </c>
      <c r="B118" s="35" t="s">
        <v>39</v>
      </c>
      <c r="C118" s="35" t="s">
        <v>42</v>
      </c>
      <c r="D118" s="35" t="s">
        <v>50</v>
      </c>
      <c r="E118" s="35" t="s">
        <v>51</v>
      </c>
      <c r="F118" s="35" t="s">
        <v>25</v>
      </c>
      <c r="G118" s="35" t="s">
        <v>25</v>
      </c>
      <c r="H118" s="35" t="s">
        <v>35</v>
      </c>
      <c r="I118" s="55">
        <v>44805</v>
      </c>
      <c r="J118" s="56">
        <f ca="1">EFEITO!$J$118*EFEITO!$Y$95</f>
        <v>10684.669312812237</v>
      </c>
      <c r="K118" s="56">
        <f ca="1">EFEITO!$L$118*EFEITO!$Z$95</f>
        <v>36334.125272541125</v>
      </c>
      <c r="L118" s="56">
        <f>EFEITO!$N$118*EFEITO!$AA$95</f>
        <v>55451.241481415564</v>
      </c>
      <c r="M118" s="56">
        <f ca="1">$J$118-EFEITO!$K$118*EFEITO!$Y$118</f>
        <v>320.54007938436735</v>
      </c>
      <c r="N118" s="56">
        <f ca="1">$K$118-EFEITO!$M$118*EFEITO!$Z$118</f>
        <v>1090.023758176234</v>
      </c>
      <c r="O118" s="56">
        <f>$L$118-EFEITO!$O$118*EFEITO!$AA$118</f>
        <v>1663.5372444424647</v>
      </c>
      <c r="P118" s="39"/>
      <c r="Q118" s="39"/>
      <c r="R118" s="39"/>
      <c r="S118" s="39"/>
      <c r="T118" s="39"/>
      <c r="U118" s="39"/>
      <c r="V118" s="39"/>
      <c r="W118" s="39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35" t="s">
        <v>57</v>
      </c>
      <c r="B119" s="35" t="s">
        <v>39</v>
      </c>
      <c r="C119" s="35" t="s">
        <v>42</v>
      </c>
      <c r="D119" s="35" t="s">
        <v>50</v>
      </c>
      <c r="E119" s="35" t="s">
        <v>51</v>
      </c>
      <c r="F119" s="35" t="s">
        <v>25</v>
      </c>
      <c r="G119" s="35" t="s">
        <v>25</v>
      </c>
      <c r="H119" s="35" t="s">
        <v>35</v>
      </c>
      <c r="I119" s="55">
        <v>44835</v>
      </c>
      <c r="J119" s="56">
        <f ca="1">EFEITO!$J$119*EFEITO!$Y$95</f>
        <v>10684.669312812237</v>
      </c>
      <c r="K119" s="56">
        <f ca="1">EFEITO!$L$119*EFEITO!$Z$95</f>
        <v>36334.125272541125</v>
      </c>
      <c r="L119" s="56">
        <f>EFEITO!$N$119*EFEITO!$AA$95</f>
        <v>55451.241481415564</v>
      </c>
      <c r="M119" s="56">
        <f ca="1">$J$119-EFEITO!$K$119*EFEITO!$Y$119</f>
        <v>320.54007938436735</v>
      </c>
      <c r="N119" s="56">
        <f ca="1">$K$119-EFEITO!$M$119*EFEITO!$Z$119</f>
        <v>1090.023758176234</v>
      </c>
      <c r="O119" s="56">
        <f>$L$119-EFEITO!$O$119*EFEITO!$AA$119</f>
        <v>1663.5372444424647</v>
      </c>
      <c r="P119" s="39"/>
      <c r="Q119" s="39"/>
      <c r="R119" s="39"/>
      <c r="S119" s="39"/>
      <c r="T119" s="39"/>
      <c r="U119" s="39"/>
      <c r="V119" s="39"/>
      <c r="W119" s="39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35" t="s">
        <v>21</v>
      </c>
      <c r="B120" s="35" t="s">
        <v>39</v>
      </c>
      <c r="C120" s="35" t="s">
        <v>42</v>
      </c>
      <c r="D120" s="35" t="s">
        <v>50</v>
      </c>
      <c r="E120" s="35" t="s">
        <v>51</v>
      </c>
      <c r="F120" s="35" t="s">
        <v>25</v>
      </c>
      <c r="G120" s="35" t="s">
        <v>25</v>
      </c>
      <c r="H120" s="35" t="s">
        <v>34</v>
      </c>
      <c r="I120" s="55">
        <v>44501</v>
      </c>
      <c r="J120" s="56">
        <f ca="1">EFEITO!$J$120*EFEITO!$Y$107</f>
        <v>25723.884735368469</v>
      </c>
      <c r="K120" s="56">
        <f ca="1">EFEITO!$L$120*EFEITO!$Z$107</f>
        <v>3891.8074407180452</v>
      </c>
      <c r="L120" s="56">
        <f>EFEITO!$N$120*EFEITO!$AA$107</f>
        <v>9666.6693445562432</v>
      </c>
      <c r="M120" s="56">
        <f ca="1">$J$120-EFEITO!$K$120*EFEITO!$Y$120</f>
        <v>771.7165420610545</v>
      </c>
      <c r="N120" s="56">
        <f ca="1">$K$120-EFEITO!$M$120*EFEITO!$Z$120</f>
        <v>116.75422322154191</v>
      </c>
      <c r="O120" s="56">
        <f>$L$120-EFEITO!$O$120*EFEITO!$AA$120</f>
        <v>290.00008033668746</v>
      </c>
      <c r="P120" s="39"/>
      <c r="Q120" s="39"/>
      <c r="R120" s="39"/>
      <c r="S120" s="39"/>
      <c r="T120" s="39"/>
      <c r="U120" s="39"/>
      <c r="V120" s="39"/>
      <c r="W120" s="39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35" t="s">
        <v>21</v>
      </c>
      <c r="B121" s="35" t="s">
        <v>39</v>
      </c>
      <c r="C121" s="35" t="s">
        <v>42</v>
      </c>
      <c r="D121" s="35" t="s">
        <v>50</v>
      </c>
      <c r="E121" s="35" t="s">
        <v>51</v>
      </c>
      <c r="F121" s="35" t="s">
        <v>25</v>
      </c>
      <c r="G121" s="35" t="s">
        <v>25</v>
      </c>
      <c r="H121" s="35" t="s">
        <v>34</v>
      </c>
      <c r="I121" s="55">
        <v>44531</v>
      </c>
      <c r="J121" s="56">
        <f ca="1">EFEITO!$J$121*EFEITO!$Y$107</f>
        <v>25672.845281528451</v>
      </c>
      <c r="K121" s="56">
        <f ca="1">EFEITO!$L$121*EFEITO!$Z$107</f>
        <v>4480.9629985427</v>
      </c>
      <c r="L121" s="56">
        <f>EFEITO!$N$121*EFEITO!$AA$107</f>
        <v>11130.04389654789</v>
      </c>
      <c r="M121" s="56">
        <f ca="1">$J$121-EFEITO!$K$121*EFEITO!$Y$121</f>
        <v>770.18535844585131</v>
      </c>
      <c r="N121" s="56">
        <f ca="1">$K$121-EFEITO!$M$121*EFEITO!$Z$121</f>
        <v>134.42888995628164</v>
      </c>
      <c r="O121" s="56">
        <f>$L$121-EFEITO!$O$121*EFEITO!$AA$121</f>
        <v>333.90131689643749</v>
      </c>
      <c r="P121" s="39"/>
      <c r="Q121" s="39"/>
      <c r="R121" s="39"/>
      <c r="S121" s="39"/>
      <c r="T121" s="39"/>
      <c r="U121" s="39"/>
      <c r="V121" s="39"/>
      <c r="W121" s="39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35" t="s">
        <v>21</v>
      </c>
      <c r="B122" s="35" t="s">
        <v>39</v>
      </c>
      <c r="C122" s="35" t="s">
        <v>42</v>
      </c>
      <c r="D122" s="35" t="s">
        <v>50</v>
      </c>
      <c r="E122" s="35" t="s">
        <v>51</v>
      </c>
      <c r="F122" s="35" t="s">
        <v>25</v>
      </c>
      <c r="G122" s="35" t="s">
        <v>25</v>
      </c>
      <c r="H122" s="35" t="s">
        <v>34</v>
      </c>
      <c r="I122" s="55">
        <v>44562</v>
      </c>
      <c r="J122" s="56">
        <f ca="1">EFEITO!$J$122*EFEITO!$Y$107</f>
        <v>25672.845281528451</v>
      </c>
      <c r="K122" s="56">
        <f ca="1">EFEITO!$L$122*EFEITO!$Z$107</f>
        <v>4058.6595588751634</v>
      </c>
      <c r="L122" s="56">
        <f>EFEITO!$N$122*EFEITO!$AA$107</f>
        <v>10081.105125419572</v>
      </c>
      <c r="M122" s="56">
        <f ca="1">$J$122-EFEITO!$K$122*EFEITO!$Y$122</f>
        <v>770.18535844585131</v>
      </c>
      <c r="N122" s="56">
        <f ca="1">$K$122-EFEITO!$M$122*EFEITO!$Z$122</f>
        <v>121.75978676625527</v>
      </c>
      <c r="O122" s="56">
        <f>$L$122-EFEITO!$O$122*EFEITO!$AA$122</f>
        <v>302.43315376258761</v>
      </c>
      <c r="P122" s="39"/>
      <c r="Q122" s="39"/>
      <c r="R122" s="39"/>
      <c r="S122" s="39"/>
      <c r="T122" s="39"/>
      <c r="U122" s="39"/>
      <c r="V122" s="39"/>
      <c r="W122" s="39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35" t="s">
        <v>21</v>
      </c>
      <c r="B123" s="35" t="s">
        <v>39</v>
      </c>
      <c r="C123" s="35" t="s">
        <v>42</v>
      </c>
      <c r="D123" s="35" t="s">
        <v>50</v>
      </c>
      <c r="E123" s="35" t="s">
        <v>51</v>
      </c>
      <c r="F123" s="35" t="s">
        <v>25</v>
      </c>
      <c r="G123" s="35" t="s">
        <v>25</v>
      </c>
      <c r="H123" s="35" t="s">
        <v>34</v>
      </c>
      <c r="I123" s="55">
        <v>44593</v>
      </c>
      <c r="J123" s="56">
        <f ca="1">EFEITO!$J$123*EFEITO!$Y$107</f>
        <v>25315.569104648333</v>
      </c>
      <c r="K123" s="56">
        <f ca="1">EFEITO!$L$123*EFEITO!$Z$107</f>
        <v>3769.10920186364</v>
      </c>
      <c r="L123" s="56">
        <f>EFEITO!$N$123*EFEITO!$AA$107</f>
        <v>9361.9052157467031</v>
      </c>
      <c r="M123" s="56">
        <f ca="1">$J$123-EFEITO!$K$123*EFEITO!$Y$123</f>
        <v>759.46707313944717</v>
      </c>
      <c r="N123" s="56">
        <f ca="1">$K$123-EFEITO!$M$123*EFEITO!$Z$123</f>
        <v>113.0732760559099</v>
      </c>
      <c r="O123" s="56">
        <f>$L$123-EFEITO!$O$123*EFEITO!$AA$123</f>
        <v>280.85715647240067</v>
      </c>
      <c r="P123" s="39"/>
      <c r="Q123" s="39"/>
      <c r="R123" s="39"/>
      <c r="S123" s="39"/>
      <c r="T123" s="39"/>
      <c r="U123" s="39"/>
      <c r="V123" s="39"/>
      <c r="W123" s="39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35" t="s">
        <v>21</v>
      </c>
      <c r="B124" s="35" t="s">
        <v>39</v>
      </c>
      <c r="C124" s="35" t="s">
        <v>42</v>
      </c>
      <c r="D124" s="35" t="s">
        <v>50</v>
      </c>
      <c r="E124" s="35" t="s">
        <v>51</v>
      </c>
      <c r="F124" s="35" t="s">
        <v>25</v>
      </c>
      <c r="G124" s="35" t="s">
        <v>25</v>
      </c>
      <c r="H124" s="35" t="s">
        <v>34</v>
      </c>
      <c r="I124" s="55">
        <v>44621</v>
      </c>
      <c r="J124" s="56">
        <f ca="1">EFEITO!$J$124*EFEITO!$Y$107</f>
        <v>25315.569104648333</v>
      </c>
      <c r="K124" s="56">
        <f ca="1">EFEITO!$L$124*EFEITO!$Z$107</f>
        <v>4091.8842601326505</v>
      </c>
      <c r="L124" s="56">
        <f>EFEITO!$N$124*EFEITO!$AA$107</f>
        <v>10163.630328945193</v>
      </c>
      <c r="M124" s="56">
        <f ca="1">$J$124-EFEITO!$K$124*EFEITO!$Y$124</f>
        <v>759.46707313944717</v>
      </c>
      <c r="N124" s="56">
        <f ca="1">$K$124-EFEITO!$M$124*EFEITO!$Z$124</f>
        <v>122.75652780398013</v>
      </c>
      <c r="O124" s="56">
        <f>$L$124-EFEITO!$O$124*EFEITO!$AA$124</f>
        <v>304.9089098683562</v>
      </c>
      <c r="P124" s="39"/>
      <c r="Q124" s="39"/>
      <c r="R124" s="39"/>
      <c r="S124" s="39"/>
      <c r="T124" s="39"/>
      <c r="U124" s="39"/>
      <c r="V124" s="39"/>
      <c r="W124" s="39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35" t="s">
        <v>21</v>
      </c>
      <c r="B125" s="35" t="s">
        <v>39</v>
      </c>
      <c r="C125" s="35" t="s">
        <v>42</v>
      </c>
      <c r="D125" s="35" t="s">
        <v>50</v>
      </c>
      <c r="E125" s="35" t="s">
        <v>51</v>
      </c>
      <c r="F125" s="35" t="s">
        <v>25</v>
      </c>
      <c r="G125" s="35" t="s">
        <v>25</v>
      </c>
      <c r="H125" s="35" t="s">
        <v>34</v>
      </c>
      <c r="I125" s="55">
        <v>44652</v>
      </c>
      <c r="J125" s="56">
        <f ca="1">EFEITO!$J$125*EFEITO!$Y$107</f>
        <v>25315.569104648333</v>
      </c>
      <c r="K125" s="56">
        <f ca="1">EFEITO!$L$125*EFEITO!$Z$107</f>
        <v>3602.2570837065214</v>
      </c>
      <c r="L125" s="56">
        <f>EFEITO!$N$125*EFEITO!$AA$107</f>
        <v>8947.4694348833764</v>
      </c>
      <c r="M125" s="56">
        <f ca="1">$J$125-EFEITO!$K$125*EFEITO!$Y$125</f>
        <v>759.46707313944717</v>
      </c>
      <c r="N125" s="56">
        <f ca="1">$K$125-EFEITO!$M$125*EFEITO!$Z$125</f>
        <v>108.06771251119608</v>
      </c>
      <c r="O125" s="56">
        <f>$L$125-EFEITO!$O$125*EFEITO!$AA$125</f>
        <v>268.42408304650235</v>
      </c>
      <c r="P125" s="39"/>
      <c r="Q125" s="39"/>
      <c r="R125" s="39"/>
      <c r="S125" s="39"/>
      <c r="T125" s="39"/>
      <c r="U125" s="39"/>
      <c r="V125" s="39"/>
      <c r="W125" s="39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35" t="s">
        <v>21</v>
      </c>
      <c r="B126" s="35" t="s">
        <v>39</v>
      </c>
      <c r="C126" s="35" t="s">
        <v>42</v>
      </c>
      <c r="D126" s="35" t="s">
        <v>50</v>
      </c>
      <c r="E126" s="35" t="s">
        <v>51</v>
      </c>
      <c r="F126" s="35" t="s">
        <v>25</v>
      </c>
      <c r="G126" s="35" t="s">
        <v>25</v>
      </c>
      <c r="H126" s="35" t="s">
        <v>34</v>
      </c>
      <c r="I126" s="55">
        <v>44682</v>
      </c>
      <c r="J126" s="56">
        <f ca="1">EFEITO!$J$126*EFEITO!$Y$107</f>
        <v>25264.529650808319</v>
      </c>
      <c r="K126" s="56">
        <f ca="1">EFEITO!$L$126*EFEITO!$Z$107</f>
        <v>4082.8494729485974</v>
      </c>
      <c r="L126" s="56">
        <f>EFEITO!$N$126*EFEITO!$AA$107</f>
        <v>10141.189264828578</v>
      </c>
      <c r="M126" s="56">
        <f ca="1">$J$126-EFEITO!$K$126*EFEITO!$Y$126</f>
        <v>757.93588952425125</v>
      </c>
      <c r="N126" s="56">
        <f ca="1">$K$126-EFEITO!$M$126*EFEITO!$Z$126</f>
        <v>122.48548418845849</v>
      </c>
      <c r="O126" s="56">
        <f>$L$126-EFEITO!$O$126*EFEITO!$AA$126</f>
        <v>304.23567794485643</v>
      </c>
      <c r="P126" s="39"/>
      <c r="Q126" s="39"/>
      <c r="R126" s="39"/>
      <c r="S126" s="39"/>
      <c r="T126" s="39"/>
      <c r="U126" s="39"/>
      <c r="V126" s="39"/>
      <c r="W126" s="39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35" t="s">
        <v>21</v>
      </c>
      <c r="B127" s="35" t="s">
        <v>39</v>
      </c>
      <c r="C127" s="35" t="s">
        <v>42</v>
      </c>
      <c r="D127" s="35" t="s">
        <v>50</v>
      </c>
      <c r="E127" s="35" t="s">
        <v>51</v>
      </c>
      <c r="F127" s="35" t="s">
        <v>25</v>
      </c>
      <c r="G127" s="35" t="s">
        <v>25</v>
      </c>
      <c r="H127" s="35" t="s">
        <v>34</v>
      </c>
      <c r="I127" s="55">
        <v>44713</v>
      </c>
      <c r="J127" s="56">
        <f ca="1">EFEITO!$J$127*EFEITO!$Y$107</f>
        <v>25264.529650808319</v>
      </c>
      <c r="K127" s="56">
        <f ca="1">EFEITO!$L$127*EFEITO!$Z$107</f>
        <v>3882.1897640382458</v>
      </c>
      <c r="L127" s="56">
        <f>EFEITO!$N$127*EFEITO!$AA$107</f>
        <v>9642.7804698514574</v>
      </c>
      <c r="M127" s="56">
        <f ca="1">$J$127-EFEITO!$K$127*EFEITO!$Y$127</f>
        <v>757.93588952425125</v>
      </c>
      <c r="N127" s="56">
        <f ca="1">$K$127-EFEITO!$M$127*EFEITO!$Z$127</f>
        <v>116.46569292114782</v>
      </c>
      <c r="O127" s="56">
        <f>$L$127-EFEITO!$O$127*EFEITO!$AA$127</f>
        <v>289.28341409554378</v>
      </c>
      <c r="P127" s="39"/>
      <c r="Q127" s="39"/>
      <c r="R127" s="39"/>
      <c r="S127" s="39"/>
      <c r="T127" s="39"/>
      <c r="U127" s="39"/>
      <c r="V127" s="39"/>
      <c r="W127" s="39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35" t="s">
        <v>21</v>
      </c>
      <c r="B128" s="35" t="s">
        <v>39</v>
      </c>
      <c r="C128" s="35" t="s">
        <v>42</v>
      </c>
      <c r="D128" s="35" t="s">
        <v>50</v>
      </c>
      <c r="E128" s="35" t="s">
        <v>51</v>
      </c>
      <c r="F128" s="35" t="s">
        <v>25</v>
      </c>
      <c r="G128" s="35" t="s">
        <v>25</v>
      </c>
      <c r="H128" s="35" t="s">
        <v>34</v>
      </c>
      <c r="I128" s="55">
        <v>44743</v>
      </c>
      <c r="J128" s="56">
        <f ca="1">EFEITO!$J$128*EFEITO!$Y$107</f>
        <v>25264.529650808319</v>
      </c>
      <c r="K128" s="56">
        <f ca="1">EFEITO!$L$128*EFEITO!$Z$107</f>
        <v>3869.6576398797201</v>
      </c>
      <c r="L128" s="56">
        <f>EFEITO!$N$128*EFEITO!$AA$107</f>
        <v>9611.6525422058276</v>
      </c>
      <c r="M128" s="56">
        <f ca="1">$J$128-EFEITO!$K$128*EFEITO!$Y$128</f>
        <v>757.93588952425125</v>
      </c>
      <c r="N128" s="56">
        <f ca="1">$K$128-EFEITO!$M$128*EFEITO!$Z$128</f>
        <v>116.089729196392</v>
      </c>
      <c r="O128" s="56">
        <f>$L$128-EFEITO!$O$128*EFEITO!$AA$128</f>
        <v>288.34957626617506</v>
      </c>
      <c r="P128" s="39"/>
      <c r="Q128" s="39"/>
      <c r="R128" s="39"/>
      <c r="S128" s="39"/>
      <c r="T128" s="39"/>
      <c r="U128" s="39"/>
      <c r="V128" s="39"/>
      <c r="W128" s="39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35" t="s">
        <v>21</v>
      </c>
      <c r="B129" s="35" t="s">
        <v>39</v>
      </c>
      <c r="C129" s="35" t="s">
        <v>42</v>
      </c>
      <c r="D129" s="35" t="s">
        <v>50</v>
      </c>
      <c r="E129" s="35" t="s">
        <v>51</v>
      </c>
      <c r="F129" s="35" t="s">
        <v>25</v>
      </c>
      <c r="G129" s="35" t="s">
        <v>25</v>
      </c>
      <c r="H129" s="35" t="s">
        <v>34</v>
      </c>
      <c r="I129" s="55">
        <v>44774</v>
      </c>
      <c r="J129" s="56">
        <f ca="1">EFEITO!$J$129*EFEITO!$Y$107</f>
        <v>25264.529650808319</v>
      </c>
      <c r="K129" s="56">
        <f ca="1">EFEITO!$L$129*EFEITO!$Z$107</f>
        <v>4222.3057848056824</v>
      </c>
      <c r="L129" s="56">
        <f>EFEITO!$N$129*EFEITO!$AA$107</f>
        <v>10487.57794804797</v>
      </c>
      <c r="M129" s="56">
        <f ca="1">$J$129-EFEITO!$K$129*EFEITO!$Y$129</f>
        <v>757.93588952425125</v>
      </c>
      <c r="N129" s="56">
        <f ca="1">$K$129-EFEITO!$M$129*EFEITO!$Z$129</f>
        <v>126.66917354417092</v>
      </c>
      <c r="O129" s="56">
        <f>$L$129-EFEITO!$O$129*EFEITO!$AA$129</f>
        <v>314.62733844143804</v>
      </c>
      <c r="P129" s="39"/>
      <c r="Q129" s="39"/>
      <c r="R129" s="39"/>
      <c r="S129" s="39"/>
      <c r="T129" s="39"/>
      <c r="U129" s="39"/>
      <c r="V129" s="39"/>
      <c r="W129" s="39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35" t="s">
        <v>21</v>
      </c>
      <c r="B130" s="35" t="s">
        <v>39</v>
      </c>
      <c r="C130" s="35" t="s">
        <v>42</v>
      </c>
      <c r="D130" s="35" t="s">
        <v>50</v>
      </c>
      <c r="E130" s="35" t="s">
        <v>51</v>
      </c>
      <c r="F130" s="35" t="s">
        <v>25</v>
      </c>
      <c r="G130" s="35" t="s">
        <v>25</v>
      </c>
      <c r="H130" s="35" t="s">
        <v>34</v>
      </c>
      <c r="I130" s="55">
        <v>44805</v>
      </c>
      <c r="J130" s="56">
        <f ca="1">EFEITO!$J$130*EFEITO!$Y$107</f>
        <v>25264.529650808319</v>
      </c>
      <c r="K130" s="56">
        <f ca="1">EFEITO!$L$130*EFEITO!$Z$107</f>
        <v>3835.8500491264876</v>
      </c>
      <c r="L130" s="56">
        <f>EFEITO!$N$130*EFEITO!$AA$107</f>
        <v>9527.679528092036</v>
      </c>
      <c r="M130" s="56">
        <f ca="1">$J$130-EFEITO!$K$130*EFEITO!$Y$130</f>
        <v>757.93588952425125</v>
      </c>
      <c r="N130" s="56">
        <f ca="1">$K$130-EFEITO!$M$130*EFEITO!$Z$130</f>
        <v>115.07550147379516</v>
      </c>
      <c r="O130" s="56">
        <f>$L$130-EFEITO!$O$130*EFEITO!$AA$130</f>
        <v>285.83038584276255</v>
      </c>
      <c r="P130" s="39"/>
      <c r="Q130" s="39"/>
      <c r="R130" s="39"/>
      <c r="S130" s="39"/>
      <c r="T130" s="39"/>
      <c r="U130" s="39"/>
      <c r="V130" s="39"/>
      <c r="W130" s="39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35" t="s">
        <v>57</v>
      </c>
      <c r="B131" s="35" t="s">
        <v>39</v>
      </c>
      <c r="C131" s="35" t="s">
        <v>42</v>
      </c>
      <c r="D131" s="35" t="s">
        <v>50</v>
      </c>
      <c r="E131" s="35" t="s">
        <v>51</v>
      </c>
      <c r="F131" s="35" t="s">
        <v>25</v>
      </c>
      <c r="G131" s="35" t="s">
        <v>25</v>
      </c>
      <c r="H131" s="35" t="s">
        <v>34</v>
      </c>
      <c r="I131" s="55">
        <v>44835</v>
      </c>
      <c r="J131" s="56">
        <f ca="1">EFEITO!$J$131*EFEITO!$Y$107</f>
        <v>25264.529650808319</v>
      </c>
      <c r="K131" s="56">
        <f ca="1">EFEITO!$L$131*EFEITO!$Z$107</f>
        <v>3835.8500491264876</v>
      </c>
      <c r="L131" s="56">
        <f>EFEITO!$N$131*EFEITO!$AA$107</f>
        <v>9527.679528092036</v>
      </c>
      <c r="M131" s="56">
        <f ca="1">$J$131-EFEITO!$K$131*EFEITO!$Y$131</f>
        <v>757.93588952425125</v>
      </c>
      <c r="N131" s="56">
        <f ca="1">$K$131-EFEITO!$M$131*EFEITO!$Z$131</f>
        <v>115.07550147379516</v>
      </c>
      <c r="O131" s="56">
        <f>$L$131-EFEITO!$O$131*EFEITO!$AA$131</f>
        <v>285.83038584276255</v>
      </c>
      <c r="P131" s="39"/>
      <c r="Q131" s="39"/>
      <c r="R131" s="39"/>
      <c r="S131" s="39"/>
      <c r="T131" s="39"/>
      <c r="U131" s="39"/>
      <c r="V131" s="39"/>
      <c r="W131" s="39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35" t="s">
        <v>21</v>
      </c>
      <c r="B132" s="35" t="s">
        <v>39</v>
      </c>
      <c r="C132" s="35" t="s">
        <v>40</v>
      </c>
      <c r="D132" s="35" t="s">
        <v>41</v>
      </c>
      <c r="E132" s="35" t="s">
        <v>25</v>
      </c>
      <c r="F132" s="35" t="s">
        <v>25</v>
      </c>
      <c r="G132" s="35" t="s">
        <v>25</v>
      </c>
      <c r="H132" s="35" t="s">
        <v>35</v>
      </c>
      <c r="I132" s="55">
        <v>44501</v>
      </c>
      <c r="J132" s="56">
        <f>EFEITO!$J$132*EFEITO!$Y$132</f>
        <v>0</v>
      </c>
      <c r="K132" s="56">
        <f ca="1">EFEITO!$L$132*EFEITO!$Z$132</f>
        <v>36475.038808137579</v>
      </c>
      <c r="L132" s="56">
        <f>EFEITO!$N$132*EFEITO!$AA$132</f>
        <v>55666.296348754397</v>
      </c>
      <c r="M132" s="56">
        <f>$J$132-EFEITO!$K$132*EFEITO!$Y$132</f>
        <v>0</v>
      </c>
      <c r="N132" s="56">
        <f ca="1">$K$132-EFEITO!$M$132*EFEITO!$Z$132</f>
        <v>0</v>
      </c>
      <c r="O132" s="56">
        <f>$L$132-EFEITO!$O$132*EFEITO!$AA$132</f>
        <v>0</v>
      </c>
      <c r="P132" s="39"/>
      <c r="Q132" s="39"/>
      <c r="R132" s="39"/>
      <c r="S132" s="39"/>
      <c r="T132" s="39"/>
      <c r="U132" s="39"/>
      <c r="V132" s="39"/>
      <c r="W132" s="39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35" t="s">
        <v>28</v>
      </c>
      <c r="B133" s="35" t="s">
        <v>39</v>
      </c>
      <c r="C133" s="35" t="s">
        <v>40</v>
      </c>
      <c r="D133" s="35" t="s">
        <v>41</v>
      </c>
      <c r="E133" s="35" t="s">
        <v>25</v>
      </c>
      <c r="F133" s="35" t="s">
        <v>25</v>
      </c>
      <c r="G133" s="35" t="s">
        <v>25</v>
      </c>
      <c r="H133" s="35" t="s">
        <v>35</v>
      </c>
      <c r="I133" s="55">
        <v>44501</v>
      </c>
      <c r="J133" s="56">
        <f>EFEITO!$J$133*EFEITO!$Y$133</f>
        <v>0</v>
      </c>
      <c r="K133" s="56">
        <f ca="1">EFEITO!$L$133*EFEITO!$Z$133</f>
        <v>5333.5846084442719</v>
      </c>
      <c r="L133" s="56">
        <f>EFEITO!$N$133*EFEITO!$AA$133</f>
        <v>8139.837848467907</v>
      </c>
      <c r="M133" s="56">
        <f>$J$133-EFEITO!$K$133*EFEITO!$Y$133</f>
        <v>0</v>
      </c>
      <c r="N133" s="56">
        <f ca="1">$K$133-EFEITO!$M$133*EFEITO!$Z$133</f>
        <v>0</v>
      </c>
      <c r="O133" s="56">
        <f>$L$133-EFEITO!$O$133*EFEITO!$AA$133</f>
        <v>0</v>
      </c>
      <c r="P133" s="39"/>
      <c r="Q133" s="39"/>
      <c r="R133" s="39"/>
      <c r="S133" s="39"/>
      <c r="T133" s="39"/>
      <c r="U133" s="39"/>
      <c r="V133" s="39"/>
      <c r="W133" s="39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35" t="s">
        <v>21</v>
      </c>
      <c r="B134" s="35" t="s">
        <v>39</v>
      </c>
      <c r="C134" s="35" t="s">
        <v>40</v>
      </c>
      <c r="D134" s="35" t="s">
        <v>41</v>
      </c>
      <c r="E134" s="35" t="s">
        <v>25</v>
      </c>
      <c r="F134" s="35" t="s">
        <v>25</v>
      </c>
      <c r="G134" s="35" t="s">
        <v>25</v>
      </c>
      <c r="H134" s="35" t="s">
        <v>35</v>
      </c>
      <c r="I134" s="55">
        <v>44531</v>
      </c>
      <c r="J134" s="56">
        <f>EFEITO!$J$134*EFEITO!$Y$134</f>
        <v>0</v>
      </c>
      <c r="K134" s="56">
        <f ca="1">EFEITO!$L$134*EFEITO!$Z$134</f>
        <v>36261.409807946889</v>
      </c>
      <c r="L134" s="56">
        <f>EFEITO!$N$134*EFEITO!$AA$134</f>
        <v>55340.266942840513</v>
      </c>
      <c r="M134" s="56">
        <f>$J$134-EFEITO!$K$134*EFEITO!$Y$134</f>
        <v>0</v>
      </c>
      <c r="N134" s="56">
        <f ca="1">$K$134-EFEITO!$M$134*EFEITO!$Z$134</f>
        <v>0</v>
      </c>
      <c r="O134" s="56">
        <f>$L$134-EFEITO!$O$134*EFEITO!$AA$134</f>
        <v>0</v>
      </c>
      <c r="P134" s="39"/>
      <c r="Q134" s="39"/>
      <c r="R134" s="39"/>
      <c r="S134" s="39"/>
      <c r="T134" s="39"/>
      <c r="U134" s="39"/>
      <c r="V134" s="39"/>
      <c r="W134" s="39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35" t="s">
        <v>28</v>
      </c>
      <c r="B135" s="35" t="s">
        <v>39</v>
      </c>
      <c r="C135" s="35" t="s">
        <v>40</v>
      </c>
      <c r="D135" s="35" t="s">
        <v>41</v>
      </c>
      <c r="E135" s="35" t="s">
        <v>25</v>
      </c>
      <c r="F135" s="35" t="s">
        <v>25</v>
      </c>
      <c r="G135" s="35" t="s">
        <v>25</v>
      </c>
      <c r="H135" s="35" t="s">
        <v>35</v>
      </c>
      <c r="I135" s="55">
        <v>44531</v>
      </c>
      <c r="J135" s="56">
        <f>EFEITO!$J$135*EFEITO!$Y$135</f>
        <v>0</v>
      </c>
      <c r="K135" s="56">
        <f ca="1">EFEITO!$L$135*EFEITO!$Z$135</f>
        <v>6132.2889399893947</v>
      </c>
      <c r="L135" s="56">
        <f>EFEITO!$N$135*EFEITO!$AA$135</f>
        <v>9358.7786218744423</v>
      </c>
      <c r="M135" s="56">
        <f>$J$135-EFEITO!$K$135*EFEITO!$Y$135</f>
        <v>0</v>
      </c>
      <c r="N135" s="56">
        <f ca="1">$K$135-EFEITO!$M$135*EFEITO!$Z$135</f>
        <v>0</v>
      </c>
      <c r="O135" s="56">
        <f>$L$135-EFEITO!$O$135*EFEITO!$AA$135</f>
        <v>0</v>
      </c>
      <c r="P135" s="39"/>
      <c r="Q135" s="39"/>
      <c r="R135" s="39"/>
      <c r="S135" s="39"/>
      <c r="T135" s="39"/>
      <c r="U135" s="39"/>
      <c r="V135" s="39"/>
      <c r="W135" s="39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35" t="s">
        <v>21</v>
      </c>
      <c r="B136" s="35" t="s">
        <v>39</v>
      </c>
      <c r="C136" s="35" t="s">
        <v>40</v>
      </c>
      <c r="D136" s="35" t="s">
        <v>41</v>
      </c>
      <c r="E136" s="35" t="s">
        <v>25</v>
      </c>
      <c r="F136" s="35" t="s">
        <v>25</v>
      </c>
      <c r="G136" s="35" t="s">
        <v>25</v>
      </c>
      <c r="H136" s="35" t="s">
        <v>35</v>
      </c>
      <c r="I136" s="55">
        <v>44562</v>
      </c>
      <c r="J136" s="56">
        <f>EFEITO!$J$136*EFEITO!$Y$136</f>
        <v>0</v>
      </c>
      <c r="K136" s="56">
        <f ca="1">EFEITO!$L$136*EFEITO!$Z$136</f>
        <v>37970.587531846315</v>
      </c>
      <c r="L136" s="56">
        <f>EFEITO!$N$136*EFEITO!$AA$136</f>
        <v>57948.724584016432</v>
      </c>
      <c r="M136" s="56">
        <f>$J$136-EFEITO!$K$136*EFEITO!$Y$136</f>
        <v>0</v>
      </c>
      <c r="N136" s="56">
        <f ca="1">$K$136-EFEITO!$M$136*EFEITO!$Z$136</f>
        <v>0</v>
      </c>
      <c r="O136" s="56">
        <f>$L$136-EFEITO!$O$136*EFEITO!$AA$136</f>
        <v>0</v>
      </c>
      <c r="P136" s="39"/>
      <c r="Q136" s="39"/>
      <c r="R136" s="39"/>
      <c r="S136" s="39"/>
      <c r="T136" s="39"/>
      <c r="U136" s="39"/>
      <c r="V136" s="39"/>
      <c r="W136" s="39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35" t="s">
        <v>28</v>
      </c>
      <c r="B137" s="35" t="s">
        <v>39</v>
      </c>
      <c r="C137" s="35" t="s">
        <v>40</v>
      </c>
      <c r="D137" s="35" t="s">
        <v>41</v>
      </c>
      <c r="E137" s="35" t="s">
        <v>25</v>
      </c>
      <c r="F137" s="35" t="s">
        <v>25</v>
      </c>
      <c r="G137" s="35" t="s">
        <v>25</v>
      </c>
      <c r="H137" s="35" t="s">
        <v>35</v>
      </c>
      <c r="I137" s="55">
        <v>44562</v>
      </c>
      <c r="J137" s="56">
        <f>EFEITO!$J$137*EFEITO!$Y$137</f>
        <v>0</v>
      </c>
      <c r="K137" s="56">
        <f ca="1">EFEITO!$L$137*EFEITO!$Z$137</f>
        <v>5515.883298238643</v>
      </c>
      <c r="L137" s="56">
        <f>EFEITO!$N$137*EFEITO!$AA$137</f>
        <v>8418.0525734326166</v>
      </c>
      <c r="M137" s="56">
        <f>$J$137-EFEITO!$K$137*EFEITO!$Y$137</f>
        <v>0</v>
      </c>
      <c r="N137" s="56">
        <f ca="1">$K$137-EFEITO!$M$137*EFEITO!$Z$137</f>
        <v>0</v>
      </c>
      <c r="O137" s="56">
        <f>$L$137-EFEITO!$O$137*EFEITO!$AA$137</f>
        <v>0</v>
      </c>
      <c r="P137" s="39"/>
      <c r="Q137" s="39"/>
      <c r="R137" s="39"/>
      <c r="S137" s="39"/>
      <c r="T137" s="39"/>
      <c r="U137" s="39"/>
      <c r="V137" s="39"/>
      <c r="W137" s="39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35" t="s">
        <v>21</v>
      </c>
      <c r="B138" s="35" t="s">
        <v>39</v>
      </c>
      <c r="C138" s="35" t="s">
        <v>40</v>
      </c>
      <c r="D138" s="35" t="s">
        <v>41</v>
      </c>
      <c r="E138" s="35" t="s">
        <v>25</v>
      </c>
      <c r="F138" s="35" t="s">
        <v>25</v>
      </c>
      <c r="G138" s="35" t="s">
        <v>25</v>
      </c>
      <c r="H138" s="35" t="s">
        <v>35</v>
      </c>
      <c r="I138" s="55">
        <v>44593</v>
      </c>
      <c r="J138" s="56">
        <f>EFEITO!$J$138*EFEITO!$Y$138</f>
        <v>0</v>
      </c>
      <c r="K138" s="56">
        <f ca="1">EFEITO!$L$138*EFEITO!$Z$138</f>
        <v>36147.017744406861</v>
      </c>
      <c r="L138" s="56">
        <f>EFEITO!$N$138*EFEITO!$AA$138</f>
        <v>55165.687758909822</v>
      </c>
      <c r="M138" s="56">
        <f>$J$138-EFEITO!$K$138*EFEITO!$Y$138</f>
        <v>0</v>
      </c>
      <c r="N138" s="56">
        <f ca="1">$K$138-EFEITO!$M$138*EFEITO!$Z$138</f>
        <v>0</v>
      </c>
      <c r="O138" s="56">
        <f>$L$138-EFEITO!$O$138*EFEITO!$AA$138</f>
        <v>0</v>
      </c>
      <c r="P138" s="39"/>
      <c r="Q138" s="39"/>
      <c r="R138" s="39"/>
      <c r="S138" s="39"/>
      <c r="T138" s="39"/>
      <c r="U138" s="39"/>
      <c r="V138" s="39"/>
      <c r="W138" s="39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35" t="s">
        <v>28</v>
      </c>
      <c r="B139" s="35" t="s">
        <v>39</v>
      </c>
      <c r="C139" s="35" t="s">
        <v>40</v>
      </c>
      <c r="D139" s="35" t="s">
        <v>41</v>
      </c>
      <c r="E139" s="35" t="s">
        <v>25</v>
      </c>
      <c r="F139" s="35" t="s">
        <v>25</v>
      </c>
      <c r="G139" s="35" t="s">
        <v>25</v>
      </c>
      <c r="H139" s="35" t="s">
        <v>35</v>
      </c>
      <c r="I139" s="55">
        <v>44593</v>
      </c>
      <c r="J139" s="56">
        <f>EFEITO!$J$139*EFEITO!$Y$139</f>
        <v>0</v>
      </c>
      <c r="K139" s="56">
        <f ca="1">EFEITO!$L$139*EFEITO!$Z$139</f>
        <v>4333.929123240925</v>
      </c>
      <c r="L139" s="56">
        <f>EFEITO!$N$139*EFEITO!$AA$139</f>
        <v>6614.2159353920397</v>
      </c>
      <c r="M139" s="56">
        <f>$J$139-EFEITO!$K$139*EFEITO!$Y$139</f>
        <v>0</v>
      </c>
      <c r="N139" s="56">
        <f ca="1">$K$139-EFEITO!$M$139*EFEITO!$Z$139</f>
        <v>0</v>
      </c>
      <c r="O139" s="56">
        <f>$L$139-EFEITO!$O$139*EFEITO!$AA$139</f>
        <v>0</v>
      </c>
      <c r="P139" s="39"/>
      <c r="Q139" s="39"/>
      <c r="R139" s="39"/>
      <c r="S139" s="39"/>
      <c r="T139" s="39"/>
      <c r="U139" s="39"/>
      <c r="V139" s="39"/>
      <c r="W139" s="39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35" t="s">
        <v>21</v>
      </c>
      <c r="B140" s="35" t="s">
        <v>39</v>
      </c>
      <c r="C140" s="35" t="s">
        <v>40</v>
      </c>
      <c r="D140" s="35" t="s">
        <v>41</v>
      </c>
      <c r="E140" s="35" t="s">
        <v>25</v>
      </c>
      <c r="F140" s="35" t="s">
        <v>25</v>
      </c>
      <c r="G140" s="35" t="s">
        <v>25</v>
      </c>
      <c r="H140" s="35" t="s">
        <v>35</v>
      </c>
      <c r="I140" s="55">
        <v>44621</v>
      </c>
      <c r="J140" s="56">
        <f>EFEITO!$J$140*EFEITO!$Y$140</f>
        <v>0</v>
      </c>
      <c r="K140" s="56">
        <f ca="1">EFEITO!$L$140*EFEITO!$Z$140</f>
        <v>43789.573367872566</v>
      </c>
      <c r="L140" s="56">
        <f>EFEITO!$N$140*EFEITO!$AA$140</f>
        <v>66829.356396399176</v>
      </c>
      <c r="M140" s="56">
        <f>$J$140-EFEITO!$K$140*EFEITO!$Y$140</f>
        <v>0</v>
      </c>
      <c r="N140" s="56">
        <f ca="1">$K$140-EFEITO!$M$140*EFEITO!$Z$140</f>
        <v>0</v>
      </c>
      <c r="O140" s="56">
        <f>$L$140-EFEITO!$O$140*EFEITO!$AA$140</f>
        <v>0</v>
      </c>
      <c r="P140" s="39"/>
      <c r="Q140" s="39"/>
      <c r="R140" s="39"/>
      <c r="S140" s="39"/>
      <c r="T140" s="39"/>
      <c r="U140" s="39"/>
      <c r="V140" s="39"/>
      <c r="W140" s="39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35" t="s">
        <v>28</v>
      </c>
      <c r="B141" s="35" t="s">
        <v>39</v>
      </c>
      <c r="C141" s="35" t="s">
        <v>40</v>
      </c>
      <c r="D141" s="35" t="s">
        <v>41</v>
      </c>
      <c r="E141" s="35" t="s">
        <v>25</v>
      </c>
      <c r="F141" s="35" t="s">
        <v>25</v>
      </c>
      <c r="G141" s="35" t="s">
        <v>25</v>
      </c>
      <c r="H141" s="35" t="s">
        <v>35</v>
      </c>
      <c r="I141" s="55">
        <v>44621</v>
      </c>
      <c r="J141" s="56">
        <f>EFEITO!$J$141*EFEITO!$Y$141</f>
        <v>0</v>
      </c>
      <c r="K141" s="56">
        <f ca="1">EFEITO!$L$141*EFEITO!$Z$141</f>
        <v>5859.059488858743</v>
      </c>
      <c r="L141" s="56">
        <f>EFEITO!$N$141*EFEITO!$AA$141</f>
        <v>8941.7901252246975</v>
      </c>
      <c r="M141" s="56">
        <f>$J$141-EFEITO!$K$141*EFEITO!$Y$141</f>
        <v>0</v>
      </c>
      <c r="N141" s="56">
        <f ca="1">$K$141-EFEITO!$M$141*EFEITO!$Z$141</f>
        <v>0</v>
      </c>
      <c r="O141" s="56">
        <f>$L$141-EFEITO!$O$141*EFEITO!$AA$141</f>
        <v>0</v>
      </c>
      <c r="P141" s="39"/>
      <c r="Q141" s="39"/>
      <c r="R141" s="39"/>
      <c r="S141" s="39"/>
      <c r="T141" s="39"/>
      <c r="U141" s="39"/>
      <c r="V141" s="39"/>
      <c r="W141" s="39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35" t="s">
        <v>21</v>
      </c>
      <c r="B142" s="35" t="s">
        <v>39</v>
      </c>
      <c r="C142" s="35" t="s">
        <v>40</v>
      </c>
      <c r="D142" s="35" t="s">
        <v>41</v>
      </c>
      <c r="E142" s="35" t="s">
        <v>25</v>
      </c>
      <c r="F142" s="35" t="s">
        <v>25</v>
      </c>
      <c r="G142" s="35" t="s">
        <v>25</v>
      </c>
      <c r="H142" s="35" t="s">
        <v>35</v>
      </c>
      <c r="I142" s="55">
        <v>44652</v>
      </c>
      <c r="J142" s="56">
        <f>EFEITO!$J$142*EFEITO!$Y$142</f>
        <v>0</v>
      </c>
      <c r="K142" s="56">
        <f ca="1">EFEITO!$L$142*EFEITO!$Z$142</f>
        <v>41993.982276228882</v>
      </c>
      <c r="L142" s="56">
        <f>EFEITO!$N$142*EFEITO!$AA$142</f>
        <v>64089.019193349486</v>
      </c>
      <c r="M142" s="56">
        <f>$J$142-EFEITO!$K$142*EFEITO!$Y$142</f>
        <v>0</v>
      </c>
      <c r="N142" s="56">
        <f ca="1">$K$142-EFEITO!$M$142*EFEITO!$Z$142</f>
        <v>0</v>
      </c>
      <c r="O142" s="56">
        <f>$L$142-EFEITO!$O$142*EFEITO!$AA$142</f>
        <v>0</v>
      </c>
      <c r="P142" s="39"/>
      <c r="Q142" s="39"/>
      <c r="R142" s="39"/>
      <c r="S142" s="39"/>
      <c r="T142" s="39"/>
      <c r="U142" s="39"/>
      <c r="V142" s="39"/>
      <c r="W142" s="39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35" t="s">
        <v>28</v>
      </c>
      <c r="B143" s="35" t="s">
        <v>39</v>
      </c>
      <c r="C143" s="35" t="s">
        <v>40</v>
      </c>
      <c r="D143" s="35" t="s">
        <v>41</v>
      </c>
      <c r="E143" s="35" t="s">
        <v>25</v>
      </c>
      <c r="F143" s="35" t="s">
        <v>25</v>
      </c>
      <c r="G143" s="35" t="s">
        <v>25</v>
      </c>
      <c r="H143" s="35" t="s">
        <v>35</v>
      </c>
      <c r="I143" s="55">
        <v>44652</v>
      </c>
      <c r="J143" s="56">
        <f>EFEITO!$J$143*EFEITO!$Y$143</f>
        <v>0</v>
      </c>
      <c r="K143" s="56">
        <f ca="1">EFEITO!$L$143*EFEITO!$Z$143</f>
        <v>4767.0160185797513</v>
      </c>
      <c r="L143" s="56">
        <f>EFEITO!$N$143*EFEITO!$AA$143</f>
        <v>7275.170501814996</v>
      </c>
      <c r="M143" s="56">
        <f>$J$143-EFEITO!$K$143*EFEITO!$Y$143</f>
        <v>0</v>
      </c>
      <c r="N143" s="56">
        <f ca="1">$K$143-EFEITO!$M$143*EFEITO!$Z$143</f>
        <v>0</v>
      </c>
      <c r="O143" s="56">
        <f>$L$143-EFEITO!$O$143*EFEITO!$AA$143</f>
        <v>0</v>
      </c>
      <c r="P143" s="39"/>
      <c r="Q143" s="39"/>
      <c r="R143" s="39"/>
      <c r="S143" s="39"/>
      <c r="T143" s="39"/>
      <c r="U143" s="39"/>
      <c r="V143" s="39"/>
      <c r="W143" s="39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35" t="s">
        <v>21</v>
      </c>
      <c r="B144" s="35" t="s">
        <v>39</v>
      </c>
      <c r="C144" s="35" t="s">
        <v>40</v>
      </c>
      <c r="D144" s="35" t="s">
        <v>41</v>
      </c>
      <c r="E144" s="35" t="s">
        <v>25</v>
      </c>
      <c r="F144" s="35" t="s">
        <v>25</v>
      </c>
      <c r="G144" s="35" t="s">
        <v>25</v>
      </c>
      <c r="H144" s="35" t="s">
        <v>35</v>
      </c>
      <c r="I144" s="55">
        <v>44682</v>
      </c>
      <c r="J144" s="56">
        <f>EFEITO!$J$144*EFEITO!$Y$144</f>
        <v>0</v>
      </c>
      <c r="K144" s="56">
        <f ca="1">EFEITO!$L$144*EFEITO!$Z$144</f>
        <v>37633.094513809738</v>
      </c>
      <c r="L144" s="56">
        <f>EFEITO!$N$144*EFEITO!$AA$144</f>
        <v>57433.660392954676</v>
      </c>
      <c r="M144" s="56">
        <f>$J$144-EFEITO!$K$144*EFEITO!$Y$144</f>
        <v>0</v>
      </c>
      <c r="N144" s="56">
        <f ca="1">$K$144-EFEITO!$M$144*EFEITO!$Z$144</f>
        <v>0</v>
      </c>
      <c r="O144" s="56">
        <f>$L$144-EFEITO!$O$144*EFEITO!$AA$144</f>
        <v>0</v>
      </c>
      <c r="P144" s="39"/>
      <c r="Q144" s="39"/>
      <c r="R144" s="39"/>
      <c r="S144" s="39"/>
      <c r="T144" s="39"/>
      <c r="U144" s="39"/>
      <c r="V144" s="39"/>
      <c r="W144" s="39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35" t="s">
        <v>28</v>
      </c>
      <c r="B145" s="35" t="s">
        <v>39</v>
      </c>
      <c r="C145" s="35" t="s">
        <v>40</v>
      </c>
      <c r="D145" s="35" t="s">
        <v>41</v>
      </c>
      <c r="E145" s="35" t="s">
        <v>25</v>
      </c>
      <c r="F145" s="35" t="s">
        <v>25</v>
      </c>
      <c r="G145" s="35" t="s">
        <v>25</v>
      </c>
      <c r="H145" s="35" t="s">
        <v>35</v>
      </c>
      <c r="I145" s="55">
        <v>44682</v>
      </c>
      <c r="J145" s="56">
        <f>EFEITO!$J$145*EFEITO!$Y$145</f>
        <v>0</v>
      </c>
      <c r="K145" s="56">
        <f ca="1">EFEITO!$L$145*EFEITO!$Z$145</f>
        <v>4916.8186189863163</v>
      </c>
      <c r="L145" s="56">
        <f>EFEITO!$N$145*EFEITO!$AA$145</f>
        <v>7503.7913949114954</v>
      </c>
      <c r="M145" s="56">
        <f>$J$145-EFEITO!$K$145*EFEITO!$Y$145</f>
        <v>0</v>
      </c>
      <c r="N145" s="56">
        <f ca="1">$K$145-EFEITO!$M$145*EFEITO!$Z$145</f>
        <v>0</v>
      </c>
      <c r="O145" s="56">
        <f>$L$145-EFEITO!$O$145*EFEITO!$AA$145</f>
        <v>0</v>
      </c>
      <c r="P145" s="39"/>
      <c r="Q145" s="39"/>
      <c r="R145" s="39"/>
      <c r="S145" s="39"/>
      <c r="T145" s="39"/>
      <c r="U145" s="39"/>
      <c r="V145" s="39"/>
      <c r="W145" s="39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35" t="s">
        <v>21</v>
      </c>
      <c r="B146" s="35" t="s">
        <v>39</v>
      </c>
      <c r="C146" s="35" t="s">
        <v>40</v>
      </c>
      <c r="D146" s="35" t="s">
        <v>41</v>
      </c>
      <c r="E146" s="35" t="s">
        <v>25</v>
      </c>
      <c r="F146" s="35" t="s">
        <v>25</v>
      </c>
      <c r="G146" s="35" t="s">
        <v>25</v>
      </c>
      <c r="H146" s="35" t="s">
        <v>35</v>
      </c>
      <c r="I146" s="55">
        <v>44713</v>
      </c>
      <c r="J146" s="56">
        <f>EFEITO!$J$146*EFEITO!$Y$146</f>
        <v>0</v>
      </c>
      <c r="K146" s="56">
        <f ca="1">EFEITO!$L$146*EFEITO!$Z$146</f>
        <v>35076.83263021832</v>
      </c>
      <c r="L146" s="56">
        <f>EFEITO!$N$146*EFEITO!$AA$146</f>
        <v>53532.427215232099</v>
      </c>
      <c r="M146" s="56">
        <f>$J$146-EFEITO!$K$146*EFEITO!$Y$146</f>
        <v>0</v>
      </c>
      <c r="N146" s="56">
        <f ca="1">$K$146-EFEITO!$M$146*EFEITO!$Z$146</f>
        <v>0</v>
      </c>
      <c r="O146" s="56">
        <f>$L$146-EFEITO!$O$146*EFEITO!$AA$146</f>
        <v>0</v>
      </c>
      <c r="P146" s="39"/>
      <c r="Q146" s="39"/>
      <c r="R146" s="39"/>
      <c r="S146" s="39"/>
      <c r="T146" s="39"/>
      <c r="U146" s="39"/>
      <c r="V146" s="39"/>
      <c r="W146" s="39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35" t="s">
        <v>28</v>
      </c>
      <c r="B147" s="35" t="s">
        <v>39</v>
      </c>
      <c r="C147" s="35" t="s">
        <v>40</v>
      </c>
      <c r="D147" s="35" t="s">
        <v>41</v>
      </c>
      <c r="E147" s="35" t="s">
        <v>25</v>
      </c>
      <c r="F147" s="35" t="s">
        <v>25</v>
      </c>
      <c r="G147" s="35" t="s">
        <v>25</v>
      </c>
      <c r="H147" s="35" t="s">
        <v>35</v>
      </c>
      <c r="I147" s="55">
        <v>44713</v>
      </c>
      <c r="J147" s="56">
        <f>EFEITO!$J$147*EFEITO!$Y$147</f>
        <v>0</v>
      </c>
      <c r="K147" s="56">
        <f ca="1">EFEITO!$L$147*EFEITO!$Z$147</f>
        <v>5011.6838844188796</v>
      </c>
      <c r="L147" s="56">
        <f>EFEITO!$N$147*EFEITO!$AA$147</f>
        <v>7648.5698009482885</v>
      </c>
      <c r="M147" s="56">
        <f>$J$147-EFEITO!$K$147*EFEITO!$Y$147</f>
        <v>0</v>
      </c>
      <c r="N147" s="56">
        <f ca="1">$K$147-EFEITO!$M$147*EFEITO!$Z$147</f>
        <v>0</v>
      </c>
      <c r="O147" s="56">
        <f>$L$147-EFEITO!$O$147*EFEITO!$AA$147</f>
        <v>0</v>
      </c>
      <c r="P147" s="39"/>
      <c r="Q147" s="39"/>
      <c r="R147" s="39"/>
      <c r="S147" s="39"/>
      <c r="T147" s="39"/>
      <c r="U147" s="39"/>
      <c r="V147" s="39"/>
      <c r="W147" s="39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35" t="s">
        <v>21</v>
      </c>
      <c r="B148" s="35" t="s">
        <v>39</v>
      </c>
      <c r="C148" s="35" t="s">
        <v>40</v>
      </c>
      <c r="D148" s="35" t="s">
        <v>41</v>
      </c>
      <c r="E148" s="35" t="s">
        <v>25</v>
      </c>
      <c r="F148" s="35" t="s">
        <v>25</v>
      </c>
      <c r="G148" s="35" t="s">
        <v>25</v>
      </c>
      <c r="H148" s="35" t="s">
        <v>35</v>
      </c>
      <c r="I148" s="55">
        <v>44743</v>
      </c>
      <c r="J148" s="56">
        <f>EFEITO!$J$148*EFEITO!$Y$148</f>
        <v>0</v>
      </c>
      <c r="K148" s="56">
        <f ca="1">EFEITO!$L$148*EFEITO!$Z$148</f>
        <v>29195.040451025507</v>
      </c>
      <c r="L148" s="56">
        <f>EFEITO!$N$148*EFEITO!$AA$148</f>
        <v>44555.94364708614</v>
      </c>
      <c r="M148" s="56">
        <f>$J$148-EFEITO!$K$148*EFEITO!$Y$148</f>
        <v>0</v>
      </c>
      <c r="N148" s="56">
        <f ca="1">$K$148-EFEITO!$M$148*EFEITO!$Z$148</f>
        <v>0</v>
      </c>
      <c r="O148" s="56">
        <f>$L$148-EFEITO!$O$148*EFEITO!$AA$148</f>
        <v>0</v>
      </c>
      <c r="P148" s="39"/>
      <c r="Q148" s="39"/>
      <c r="R148" s="39"/>
      <c r="S148" s="39"/>
      <c r="T148" s="39"/>
      <c r="U148" s="39"/>
      <c r="V148" s="39"/>
      <c r="W148" s="39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35" t="s">
        <v>28</v>
      </c>
      <c r="B149" s="35" t="s">
        <v>39</v>
      </c>
      <c r="C149" s="35" t="s">
        <v>40</v>
      </c>
      <c r="D149" s="35" t="s">
        <v>41</v>
      </c>
      <c r="E149" s="35" t="s">
        <v>25</v>
      </c>
      <c r="F149" s="35" t="s">
        <v>25</v>
      </c>
      <c r="G149" s="35" t="s">
        <v>25</v>
      </c>
      <c r="H149" s="35" t="s">
        <v>35</v>
      </c>
      <c r="I149" s="55">
        <v>44743</v>
      </c>
      <c r="J149" s="56">
        <f>EFEITO!$J$149*EFEITO!$Y$149</f>
        <v>0</v>
      </c>
      <c r="K149" s="56">
        <f ca="1">EFEITO!$L$149*EFEITO!$Z$149</f>
        <v>4951.5005439831675</v>
      </c>
      <c r="L149" s="56">
        <f>EFEITO!$N$149*EFEITO!$AA$149</f>
        <v>7556.7211347529037</v>
      </c>
      <c r="M149" s="56">
        <f>$J$149-EFEITO!$K$149*EFEITO!$Y$149</f>
        <v>0</v>
      </c>
      <c r="N149" s="56">
        <f ca="1">$K$149-EFEITO!$M$149*EFEITO!$Z$149</f>
        <v>0</v>
      </c>
      <c r="O149" s="56">
        <f>$L$149-EFEITO!$O$149*EFEITO!$AA$149</f>
        <v>0</v>
      </c>
      <c r="P149" s="39"/>
      <c r="Q149" s="39"/>
      <c r="R149" s="39"/>
      <c r="S149" s="39"/>
      <c r="T149" s="39"/>
      <c r="U149" s="39"/>
      <c r="V149" s="39"/>
      <c r="W149" s="39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35" t="s">
        <v>21</v>
      </c>
      <c r="B150" s="35" t="s">
        <v>39</v>
      </c>
      <c r="C150" s="35" t="s">
        <v>40</v>
      </c>
      <c r="D150" s="35" t="s">
        <v>41</v>
      </c>
      <c r="E150" s="35" t="s">
        <v>25</v>
      </c>
      <c r="F150" s="35" t="s">
        <v>25</v>
      </c>
      <c r="G150" s="35" t="s">
        <v>25</v>
      </c>
      <c r="H150" s="35" t="s">
        <v>35</v>
      </c>
      <c r="I150" s="55">
        <v>44774</v>
      </c>
      <c r="J150" s="56">
        <f>EFEITO!$J$150*EFEITO!$Y$150</f>
        <v>0</v>
      </c>
      <c r="K150" s="56">
        <f ca="1">EFEITO!$L$150*EFEITO!$Z$150</f>
        <v>34823.567144316949</v>
      </c>
      <c r="L150" s="56">
        <f>EFEITO!$N$150*EFEITO!$AA$150</f>
        <v>53145.906678070896</v>
      </c>
      <c r="M150" s="56">
        <f>$J$150-EFEITO!$K$150*EFEITO!$Y$150</f>
        <v>0</v>
      </c>
      <c r="N150" s="56">
        <f ca="1">$K$150-EFEITO!$M$150*EFEITO!$Z$150</f>
        <v>0</v>
      </c>
      <c r="O150" s="56">
        <f>$L$150-EFEITO!$O$150*EFEITO!$AA$150</f>
        <v>0</v>
      </c>
      <c r="P150" s="39"/>
      <c r="Q150" s="39"/>
      <c r="R150" s="39"/>
      <c r="S150" s="39"/>
      <c r="T150" s="39"/>
      <c r="U150" s="39"/>
      <c r="V150" s="39"/>
      <c r="W150" s="39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35" t="s">
        <v>28</v>
      </c>
      <c r="B151" s="35" t="s">
        <v>39</v>
      </c>
      <c r="C151" s="35" t="s">
        <v>40</v>
      </c>
      <c r="D151" s="35" t="s">
        <v>41</v>
      </c>
      <c r="E151" s="35" t="s">
        <v>25</v>
      </c>
      <c r="F151" s="35" t="s">
        <v>25</v>
      </c>
      <c r="G151" s="35" t="s">
        <v>25</v>
      </c>
      <c r="H151" s="35" t="s">
        <v>35</v>
      </c>
      <c r="I151" s="55">
        <v>44774</v>
      </c>
      <c r="J151" s="56">
        <f>EFEITO!$J$151*EFEITO!$Y$151</f>
        <v>0</v>
      </c>
      <c r="K151" s="56">
        <f ca="1">EFEITO!$L$151*EFEITO!$Z$151</f>
        <v>4356.3703688271225</v>
      </c>
      <c r="L151" s="56">
        <f>EFEITO!$N$151*EFEITO!$AA$151</f>
        <v>6648.4645905835387</v>
      </c>
      <c r="M151" s="56">
        <f>$J$151-EFEITO!$K$151*EFEITO!$Y$151</f>
        <v>0</v>
      </c>
      <c r="N151" s="56">
        <f ca="1">$K$151-EFEITO!$M$151*EFEITO!$Z$151</f>
        <v>0</v>
      </c>
      <c r="O151" s="56">
        <f>$L$151-EFEITO!$O$151*EFEITO!$AA$151</f>
        <v>0</v>
      </c>
      <c r="P151" s="39"/>
      <c r="Q151" s="39"/>
      <c r="R151" s="39"/>
      <c r="S151" s="39"/>
      <c r="T151" s="39"/>
      <c r="U151" s="39"/>
      <c r="V151" s="39"/>
      <c r="W151" s="39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35" t="s">
        <v>21</v>
      </c>
      <c r="B152" s="35" t="s">
        <v>39</v>
      </c>
      <c r="C152" s="35" t="s">
        <v>40</v>
      </c>
      <c r="D152" s="35" t="s">
        <v>41</v>
      </c>
      <c r="E152" s="35" t="s">
        <v>25</v>
      </c>
      <c r="F152" s="35" t="s">
        <v>25</v>
      </c>
      <c r="G152" s="35" t="s">
        <v>25</v>
      </c>
      <c r="H152" s="35" t="s">
        <v>35</v>
      </c>
      <c r="I152" s="55">
        <v>44805</v>
      </c>
      <c r="J152" s="56">
        <f>EFEITO!$J$152*EFEITO!$Y$152</f>
        <v>0</v>
      </c>
      <c r="K152" s="56">
        <f ca="1">EFEITO!$L$152*EFEITO!$Z$152</f>
        <v>38804.556677884037</v>
      </c>
      <c r="L152" s="56">
        <f>EFEITO!$N$152*EFEITO!$AA$152</f>
        <v>59221.484672723898</v>
      </c>
      <c r="M152" s="56">
        <f>$J$152-EFEITO!$K$152*EFEITO!$Y$152</f>
        <v>0</v>
      </c>
      <c r="N152" s="56">
        <f ca="1">$K$152-EFEITO!$M$152*EFEITO!$Z$152</f>
        <v>0</v>
      </c>
      <c r="O152" s="56">
        <f>$L$152-EFEITO!$O$152*EFEITO!$AA$152</f>
        <v>0</v>
      </c>
      <c r="P152" s="39"/>
      <c r="Q152" s="39"/>
      <c r="R152" s="39"/>
      <c r="S152" s="39"/>
      <c r="T152" s="39"/>
      <c r="U152" s="39"/>
      <c r="V152" s="39"/>
      <c r="W152" s="39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35" t="s">
        <v>28</v>
      </c>
      <c r="B153" s="35" t="s">
        <v>39</v>
      </c>
      <c r="C153" s="35" t="s">
        <v>40</v>
      </c>
      <c r="D153" s="35" t="s">
        <v>41</v>
      </c>
      <c r="E153" s="35" t="s">
        <v>25</v>
      </c>
      <c r="F153" s="35" t="s">
        <v>25</v>
      </c>
      <c r="G153" s="35" t="s">
        <v>25</v>
      </c>
      <c r="H153" s="35" t="s">
        <v>35</v>
      </c>
      <c r="I153" s="55">
        <v>44805</v>
      </c>
      <c r="J153" s="56">
        <f>EFEITO!$J$153*EFEITO!$Y$153</f>
        <v>0</v>
      </c>
      <c r="K153" s="56">
        <f ca="1">EFEITO!$L$153*EFEITO!$Z$153</f>
        <v>5245.276849838845</v>
      </c>
      <c r="L153" s="56">
        <f>EFEITO!$N$153*EFEITO!$AA$153</f>
        <v>8005.0671663507092</v>
      </c>
      <c r="M153" s="56">
        <f>$J$153-EFEITO!$K$153*EFEITO!$Y$153</f>
        <v>0</v>
      </c>
      <c r="N153" s="56">
        <f ca="1">$K$153-EFEITO!$M$153*EFEITO!$Z$153</f>
        <v>0</v>
      </c>
      <c r="O153" s="56">
        <f>$L$153-EFEITO!$O$153*EFEITO!$AA$153</f>
        <v>0</v>
      </c>
      <c r="P153" s="39"/>
      <c r="Q153" s="39"/>
      <c r="R153" s="39"/>
      <c r="S153" s="39"/>
      <c r="T153" s="39"/>
      <c r="U153" s="39"/>
      <c r="V153" s="39"/>
      <c r="W153" s="39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35" t="s">
        <v>57</v>
      </c>
      <c r="B154" s="35" t="s">
        <v>39</v>
      </c>
      <c r="C154" s="35" t="s">
        <v>40</v>
      </c>
      <c r="D154" s="35" t="s">
        <v>41</v>
      </c>
      <c r="E154" s="35" t="s">
        <v>25</v>
      </c>
      <c r="F154" s="35" t="s">
        <v>25</v>
      </c>
      <c r="G154" s="35" t="s">
        <v>25</v>
      </c>
      <c r="H154" s="35" t="s">
        <v>35</v>
      </c>
      <c r="I154" s="55">
        <v>44835</v>
      </c>
      <c r="J154" s="56">
        <f>EFEITO!$J$154*EFEITO!$Y$154</f>
        <v>0</v>
      </c>
      <c r="K154" s="56">
        <f ca="1">EFEITO!$L$154*EFEITO!$Z$154</f>
        <v>38804.556677884037</v>
      </c>
      <c r="L154" s="56">
        <f>EFEITO!$N$154*EFEITO!$AA$154</f>
        <v>59221.484672723898</v>
      </c>
      <c r="M154" s="56">
        <f>$J$154-EFEITO!$K$154*EFEITO!$Y$154</f>
        <v>0</v>
      </c>
      <c r="N154" s="56">
        <f ca="1">$K$154-EFEITO!$M$154*EFEITO!$Z$154</f>
        <v>0</v>
      </c>
      <c r="O154" s="56">
        <f>$L$154-EFEITO!$O$154*EFEITO!$AA$154</f>
        <v>0</v>
      </c>
      <c r="P154" s="39"/>
      <c r="Q154" s="39"/>
      <c r="R154" s="39"/>
      <c r="S154" s="39"/>
      <c r="T154" s="39"/>
      <c r="U154" s="39"/>
      <c r="V154" s="39"/>
      <c r="W154" s="39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35" t="s">
        <v>57</v>
      </c>
      <c r="B155" s="35" t="s">
        <v>39</v>
      </c>
      <c r="C155" s="35" t="s">
        <v>40</v>
      </c>
      <c r="D155" s="35" t="s">
        <v>41</v>
      </c>
      <c r="E155" s="35" t="s">
        <v>25</v>
      </c>
      <c r="F155" s="35" t="s">
        <v>25</v>
      </c>
      <c r="G155" s="35" t="s">
        <v>25</v>
      </c>
      <c r="H155" s="35" t="s">
        <v>35</v>
      </c>
      <c r="I155" s="55">
        <v>44835</v>
      </c>
      <c r="J155" s="56">
        <f>EFEITO!$J$155*EFEITO!$Y$155</f>
        <v>0</v>
      </c>
      <c r="K155" s="56">
        <f ca="1">EFEITO!$L$155*EFEITO!$Z$155</f>
        <v>5245.276849838845</v>
      </c>
      <c r="L155" s="56">
        <f>EFEITO!$N$155*EFEITO!$AA$155</f>
        <v>8005.0671663507092</v>
      </c>
      <c r="M155" s="56">
        <f>$J$155-EFEITO!$K$155*EFEITO!$Y$155</f>
        <v>0</v>
      </c>
      <c r="N155" s="56">
        <f ca="1">$K$155-EFEITO!$M$155*EFEITO!$Z$155</f>
        <v>0</v>
      </c>
      <c r="O155" s="56">
        <f>$L$155-EFEITO!$O$155*EFEITO!$AA$155</f>
        <v>0</v>
      </c>
      <c r="P155" s="39"/>
      <c r="Q155" s="39"/>
      <c r="R155" s="39"/>
      <c r="S155" s="39"/>
      <c r="T155" s="39"/>
      <c r="U155" s="39"/>
      <c r="V155" s="39"/>
      <c r="W155" s="39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35" t="s">
        <v>21</v>
      </c>
      <c r="B156" s="35" t="s">
        <v>39</v>
      </c>
      <c r="C156" s="35" t="s">
        <v>40</v>
      </c>
      <c r="D156" s="35" t="s">
        <v>41</v>
      </c>
      <c r="E156" s="35" t="s">
        <v>25</v>
      </c>
      <c r="F156" s="35" t="s">
        <v>25</v>
      </c>
      <c r="G156" s="35" t="s">
        <v>25</v>
      </c>
      <c r="H156" s="35" t="s">
        <v>25</v>
      </c>
      <c r="I156" s="55">
        <v>44501</v>
      </c>
      <c r="J156" s="56">
        <f ca="1">EFEITO!$J$156*EFEITO!$Y$156</f>
        <v>32524.133388200447</v>
      </c>
      <c r="K156" s="56">
        <f>EFEITO!$L$156*EFEITO!$Z$156</f>
        <v>0</v>
      </c>
      <c r="L156" s="56">
        <f>EFEITO!$N$156*EFEITO!$AA$156</f>
        <v>0</v>
      </c>
      <c r="M156" s="56">
        <f ca="1">$J$156-EFEITO!$K$156*EFEITO!$Y$156</f>
        <v>0</v>
      </c>
      <c r="N156" s="56">
        <f>$K$156-EFEITO!$M$156*EFEITO!$Z$156</f>
        <v>0</v>
      </c>
      <c r="O156" s="56">
        <f>$L$156-EFEITO!$O$156*EFEITO!$AA$156</f>
        <v>0</v>
      </c>
      <c r="P156" s="39"/>
      <c r="Q156" s="39"/>
      <c r="R156" s="39"/>
      <c r="S156" s="39"/>
      <c r="T156" s="39"/>
      <c r="U156" s="39"/>
      <c r="V156" s="39"/>
      <c r="W156" s="39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35" t="s">
        <v>28</v>
      </c>
      <c r="B157" s="35" t="s">
        <v>39</v>
      </c>
      <c r="C157" s="35" t="s">
        <v>40</v>
      </c>
      <c r="D157" s="35" t="s">
        <v>41</v>
      </c>
      <c r="E157" s="35" t="s">
        <v>25</v>
      </c>
      <c r="F157" s="35" t="s">
        <v>25</v>
      </c>
      <c r="G157" s="35" t="s">
        <v>25</v>
      </c>
      <c r="H157" s="35" t="s">
        <v>25</v>
      </c>
      <c r="I157" s="55">
        <v>44501</v>
      </c>
      <c r="J157" s="56">
        <f ca="1">EFEITO!$J$157*EFEITO!$Y$157</f>
        <v>10834.254683191608</v>
      </c>
      <c r="K157" s="56">
        <f>EFEITO!$L$157*EFEITO!$Z$157</f>
        <v>0</v>
      </c>
      <c r="L157" s="56">
        <f>EFEITO!$N$157*EFEITO!$AA$157</f>
        <v>0</v>
      </c>
      <c r="M157" s="56">
        <f ca="1">$J$157-EFEITO!$K$157*EFEITO!$Y$157</f>
        <v>0</v>
      </c>
      <c r="N157" s="56">
        <f>$K$157-EFEITO!$M$157*EFEITO!$Z$157</f>
        <v>0</v>
      </c>
      <c r="O157" s="56">
        <f>$L$157-EFEITO!$O$157*EFEITO!$AA$157</f>
        <v>0</v>
      </c>
      <c r="P157" s="39"/>
      <c r="Q157" s="39"/>
      <c r="R157" s="39"/>
      <c r="S157" s="39"/>
      <c r="T157" s="39"/>
      <c r="U157" s="39"/>
      <c r="V157" s="39"/>
      <c r="W157" s="39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35" t="s">
        <v>21</v>
      </c>
      <c r="B158" s="35" t="s">
        <v>39</v>
      </c>
      <c r="C158" s="35" t="s">
        <v>40</v>
      </c>
      <c r="D158" s="35" t="s">
        <v>41</v>
      </c>
      <c r="E158" s="35" t="s">
        <v>25</v>
      </c>
      <c r="F158" s="35" t="s">
        <v>25</v>
      </c>
      <c r="G158" s="35" t="s">
        <v>25</v>
      </c>
      <c r="H158" s="35" t="s">
        <v>25</v>
      </c>
      <c r="I158" s="55">
        <v>44531</v>
      </c>
      <c r="J158" s="56">
        <f ca="1">EFEITO!$J$158*EFEITO!$Y$158</f>
        <v>32481.394710949196</v>
      </c>
      <c r="K158" s="56">
        <f>EFEITO!$L$158*EFEITO!$Z$158</f>
        <v>0</v>
      </c>
      <c r="L158" s="56">
        <f>EFEITO!$N$158*EFEITO!$AA$158</f>
        <v>0</v>
      </c>
      <c r="M158" s="56">
        <f ca="1">$J$158-EFEITO!$K$158*EFEITO!$Y$158</f>
        <v>0</v>
      </c>
      <c r="N158" s="56">
        <f>$K$158-EFEITO!$M$158*EFEITO!$Z$158</f>
        <v>0</v>
      </c>
      <c r="O158" s="56">
        <f>$L$158-EFEITO!$O$158*EFEITO!$AA$158</f>
        <v>0</v>
      </c>
      <c r="P158" s="39"/>
      <c r="Q158" s="39"/>
      <c r="R158" s="39"/>
      <c r="S158" s="39"/>
      <c r="T158" s="39"/>
      <c r="U158" s="39"/>
      <c r="V158" s="39"/>
      <c r="W158" s="39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35" t="s">
        <v>28</v>
      </c>
      <c r="B159" s="35" t="s">
        <v>39</v>
      </c>
      <c r="C159" s="35" t="s">
        <v>40</v>
      </c>
      <c r="D159" s="35" t="s">
        <v>41</v>
      </c>
      <c r="E159" s="35" t="s">
        <v>25</v>
      </c>
      <c r="F159" s="35" t="s">
        <v>25</v>
      </c>
      <c r="G159" s="35" t="s">
        <v>25</v>
      </c>
      <c r="H159" s="35" t="s">
        <v>25</v>
      </c>
      <c r="I159" s="55">
        <v>44531</v>
      </c>
      <c r="J159" s="56">
        <f ca="1">EFEITO!$J$159*EFEITO!$Y$159</f>
        <v>10834.254683191608</v>
      </c>
      <c r="K159" s="56">
        <f>EFEITO!$L$159*EFEITO!$Z$159</f>
        <v>0</v>
      </c>
      <c r="L159" s="56">
        <f>EFEITO!$N$159*EFEITO!$AA$159</f>
        <v>0</v>
      </c>
      <c r="M159" s="56">
        <f ca="1">$J$159-EFEITO!$K$159*EFEITO!$Y$159</f>
        <v>0</v>
      </c>
      <c r="N159" s="56">
        <f>$K$159-EFEITO!$M$159*EFEITO!$Z$159</f>
        <v>0</v>
      </c>
      <c r="O159" s="56">
        <f>$L$159-EFEITO!$O$159*EFEITO!$AA$159</f>
        <v>0</v>
      </c>
      <c r="P159" s="39"/>
      <c r="Q159" s="39"/>
      <c r="R159" s="39"/>
      <c r="S159" s="39"/>
      <c r="T159" s="39"/>
      <c r="U159" s="39"/>
      <c r="V159" s="39"/>
      <c r="W159" s="39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35" t="s">
        <v>21</v>
      </c>
      <c r="B160" s="35" t="s">
        <v>39</v>
      </c>
      <c r="C160" s="35" t="s">
        <v>40</v>
      </c>
      <c r="D160" s="35" t="s">
        <v>41</v>
      </c>
      <c r="E160" s="35" t="s">
        <v>25</v>
      </c>
      <c r="F160" s="35" t="s">
        <v>25</v>
      </c>
      <c r="G160" s="35" t="s">
        <v>25</v>
      </c>
      <c r="H160" s="35" t="s">
        <v>25</v>
      </c>
      <c r="I160" s="55">
        <v>44562</v>
      </c>
      <c r="J160" s="56">
        <f ca="1">EFEITO!$J$160*EFEITO!$Y$160</f>
        <v>42375.398494613328</v>
      </c>
      <c r="K160" s="56">
        <f>EFEITO!$L$160*EFEITO!$Z$160</f>
        <v>0</v>
      </c>
      <c r="L160" s="56">
        <f>EFEITO!$N$160*EFEITO!$AA$160</f>
        <v>0</v>
      </c>
      <c r="M160" s="56">
        <f ca="1">$J$160-EFEITO!$K$160*EFEITO!$Y$160</f>
        <v>0</v>
      </c>
      <c r="N160" s="56">
        <f>$K$160-EFEITO!$M$160*EFEITO!$Z$160</f>
        <v>0</v>
      </c>
      <c r="O160" s="56">
        <f>$L$160-EFEITO!$O$160*EFEITO!$AA$160</f>
        <v>0</v>
      </c>
      <c r="P160" s="39"/>
      <c r="Q160" s="39"/>
      <c r="R160" s="39"/>
      <c r="S160" s="39"/>
      <c r="T160" s="39"/>
      <c r="U160" s="39"/>
      <c r="V160" s="39"/>
      <c r="W160" s="39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35" t="s">
        <v>28</v>
      </c>
      <c r="B161" s="35" t="s">
        <v>39</v>
      </c>
      <c r="C161" s="35" t="s">
        <v>40</v>
      </c>
      <c r="D161" s="35" t="s">
        <v>41</v>
      </c>
      <c r="E161" s="35" t="s">
        <v>25</v>
      </c>
      <c r="F161" s="35" t="s">
        <v>25</v>
      </c>
      <c r="G161" s="35" t="s">
        <v>25</v>
      </c>
      <c r="H161" s="35" t="s">
        <v>25</v>
      </c>
      <c r="I161" s="55">
        <v>44562</v>
      </c>
      <c r="J161" s="56">
        <f ca="1">EFEITO!$J$161*EFEITO!$Y$161</f>
        <v>10834.254683191608</v>
      </c>
      <c r="K161" s="56">
        <f>EFEITO!$L$161*EFEITO!$Z$161</f>
        <v>0</v>
      </c>
      <c r="L161" s="56">
        <f>EFEITO!$N$161*EFEITO!$AA$161</f>
        <v>0</v>
      </c>
      <c r="M161" s="56">
        <f ca="1">$J$161-EFEITO!$K$161*EFEITO!$Y$161</f>
        <v>0</v>
      </c>
      <c r="N161" s="56">
        <f>$K$161-EFEITO!$M$161*EFEITO!$Z$161</f>
        <v>0</v>
      </c>
      <c r="O161" s="56">
        <f>$L$161-EFEITO!$O$161*EFEITO!$AA$161</f>
        <v>0</v>
      </c>
      <c r="P161" s="39"/>
      <c r="Q161" s="39"/>
      <c r="R161" s="39"/>
      <c r="S161" s="39"/>
      <c r="T161" s="39"/>
      <c r="U161" s="39"/>
      <c r="V161" s="39"/>
      <c r="W161" s="39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35" t="s">
        <v>21</v>
      </c>
      <c r="B162" s="35" t="s">
        <v>39</v>
      </c>
      <c r="C162" s="35" t="s">
        <v>40</v>
      </c>
      <c r="D162" s="35" t="s">
        <v>41</v>
      </c>
      <c r="E162" s="35" t="s">
        <v>25</v>
      </c>
      <c r="F162" s="35" t="s">
        <v>25</v>
      </c>
      <c r="G162" s="35" t="s">
        <v>25</v>
      </c>
      <c r="H162" s="35" t="s">
        <v>25</v>
      </c>
      <c r="I162" s="55">
        <v>44593</v>
      </c>
      <c r="J162" s="56">
        <f ca="1">EFEITO!$J$162*EFEITO!$Y$162</f>
        <v>36349.245002187228</v>
      </c>
      <c r="K162" s="56">
        <f>EFEITO!$L$162*EFEITO!$Z$162</f>
        <v>0</v>
      </c>
      <c r="L162" s="56">
        <f>EFEITO!$N$162*EFEITO!$AA$162</f>
        <v>0</v>
      </c>
      <c r="M162" s="56">
        <f ca="1">$J$162-EFEITO!$K$162*EFEITO!$Y$162</f>
        <v>0</v>
      </c>
      <c r="N162" s="56">
        <f>$K$162-EFEITO!$M$162*EFEITO!$Z$162</f>
        <v>0</v>
      </c>
      <c r="O162" s="56">
        <f>$L$162-EFEITO!$O$162*EFEITO!$AA$162</f>
        <v>0</v>
      </c>
      <c r="P162" s="39"/>
      <c r="Q162" s="39"/>
      <c r="R162" s="39"/>
      <c r="S162" s="39"/>
      <c r="T162" s="39"/>
      <c r="U162" s="39"/>
      <c r="V162" s="39"/>
      <c r="W162" s="39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35" t="s">
        <v>28</v>
      </c>
      <c r="B163" s="35" t="s">
        <v>39</v>
      </c>
      <c r="C163" s="35" t="s">
        <v>40</v>
      </c>
      <c r="D163" s="35" t="s">
        <v>41</v>
      </c>
      <c r="E163" s="35" t="s">
        <v>25</v>
      </c>
      <c r="F163" s="35" t="s">
        <v>25</v>
      </c>
      <c r="G163" s="35" t="s">
        <v>25</v>
      </c>
      <c r="H163" s="35" t="s">
        <v>25</v>
      </c>
      <c r="I163" s="55">
        <v>44593</v>
      </c>
      <c r="J163" s="56">
        <f ca="1">EFEITO!$J$163*EFEITO!$Y$163</f>
        <v>10834.254683191608</v>
      </c>
      <c r="K163" s="56">
        <f>EFEITO!$L$163*EFEITO!$Z$163</f>
        <v>0</v>
      </c>
      <c r="L163" s="56">
        <f>EFEITO!$N$163*EFEITO!$AA$163</f>
        <v>0</v>
      </c>
      <c r="M163" s="56">
        <f ca="1">$J$163-EFEITO!$K$163*EFEITO!$Y$163</f>
        <v>0</v>
      </c>
      <c r="N163" s="56">
        <f>$K$163-EFEITO!$M$163*EFEITO!$Z$163</f>
        <v>0</v>
      </c>
      <c r="O163" s="56">
        <f>$L$163-EFEITO!$O$163*EFEITO!$AA$163</f>
        <v>0</v>
      </c>
      <c r="P163" s="39"/>
      <c r="Q163" s="39"/>
      <c r="R163" s="39"/>
      <c r="S163" s="39"/>
      <c r="T163" s="39"/>
      <c r="U163" s="39"/>
      <c r="V163" s="39"/>
      <c r="W163" s="39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35" t="s">
        <v>21</v>
      </c>
      <c r="B164" s="35" t="s">
        <v>39</v>
      </c>
      <c r="C164" s="35" t="s">
        <v>40</v>
      </c>
      <c r="D164" s="35" t="s">
        <v>41</v>
      </c>
      <c r="E164" s="35" t="s">
        <v>25</v>
      </c>
      <c r="F164" s="35" t="s">
        <v>25</v>
      </c>
      <c r="G164" s="35" t="s">
        <v>25</v>
      </c>
      <c r="H164" s="35" t="s">
        <v>25</v>
      </c>
      <c r="I164" s="55">
        <v>44621</v>
      </c>
      <c r="J164" s="56">
        <f ca="1">EFEITO!$J$164*EFEITO!$Y$164</f>
        <v>36434.722356689723</v>
      </c>
      <c r="K164" s="56">
        <f>EFEITO!$L$164*EFEITO!$Z$164</f>
        <v>0</v>
      </c>
      <c r="L164" s="56">
        <f>EFEITO!$N$164*EFEITO!$AA$164</f>
        <v>0</v>
      </c>
      <c r="M164" s="56">
        <f ca="1">$J$164-EFEITO!$K$164*EFEITO!$Y$164</f>
        <v>0</v>
      </c>
      <c r="N164" s="56">
        <f>$K$164-EFEITO!$M$164*EFEITO!$Z$164</f>
        <v>0</v>
      </c>
      <c r="O164" s="56">
        <f>$L$164-EFEITO!$O$164*EFEITO!$AA$164</f>
        <v>0</v>
      </c>
      <c r="P164" s="39"/>
      <c r="Q164" s="39"/>
      <c r="R164" s="39"/>
      <c r="S164" s="39"/>
      <c r="T164" s="39"/>
      <c r="U164" s="39"/>
      <c r="V164" s="39"/>
      <c r="W164" s="39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35" t="s">
        <v>28</v>
      </c>
      <c r="B165" s="35" t="s">
        <v>39</v>
      </c>
      <c r="C165" s="35" t="s">
        <v>40</v>
      </c>
      <c r="D165" s="35" t="s">
        <v>41</v>
      </c>
      <c r="E165" s="35" t="s">
        <v>25</v>
      </c>
      <c r="F165" s="35" t="s">
        <v>25</v>
      </c>
      <c r="G165" s="35" t="s">
        <v>25</v>
      </c>
      <c r="H165" s="35" t="s">
        <v>25</v>
      </c>
      <c r="I165" s="55">
        <v>44621</v>
      </c>
      <c r="J165" s="56">
        <f ca="1">EFEITO!$J$165*EFEITO!$Y$165</f>
        <v>10834.254683191608</v>
      </c>
      <c r="K165" s="56">
        <f>EFEITO!$L$165*EFEITO!$Z$165</f>
        <v>0</v>
      </c>
      <c r="L165" s="56">
        <f>EFEITO!$N$165*EFEITO!$AA$165</f>
        <v>0</v>
      </c>
      <c r="M165" s="56">
        <f ca="1">$J$165-EFEITO!$K$165*EFEITO!$Y$165</f>
        <v>0</v>
      </c>
      <c r="N165" s="56">
        <f>$K$165-EFEITO!$M$165*EFEITO!$Z$165</f>
        <v>0</v>
      </c>
      <c r="O165" s="56">
        <f>$L$165-EFEITO!$O$165*EFEITO!$AA$165</f>
        <v>0</v>
      </c>
      <c r="P165" s="39"/>
      <c r="Q165" s="39"/>
      <c r="R165" s="39"/>
      <c r="S165" s="39"/>
      <c r="T165" s="39"/>
      <c r="U165" s="39"/>
      <c r="V165" s="39"/>
      <c r="W165" s="39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35" t="s">
        <v>21</v>
      </c>
      <c r="B166" s="35" t="s">
        <v>39</v>
      </c>
      <c r="C166" s="35" t="s">
        <v>40</v>
      </c>
      <c r="D166" s="35" t="s">
        <v>41</v>
      </c>
      <c r="E166" s="35" t="s">
        <v>25</v>
      </c>
      <c r="F166" s="35" t="s">
        <v>25</v>
      </c>
      <c r="G166" s="35" t="s">
        <v>25</v>
      </c>
      <c r="H166" s="35" t="s">
        <v>25</v>
      </c>
      <c r="I166" s="55">
        <v>44652</v>
      </c>
      <c r="J166" s="56">
        <f ca="1">EFEITO!$J$166*EFEITO!$Y$166</f>
        <v>37396.342594842827</v>
      </c>
      <c r="K166" s="56">
        <f>EFEITO!$L$166*EFEITO!$Z$166</f>
        <v>0</v>
      </c>
      <c r="L166" s="56">
        <f>EFEITO!$N$166*EFEITO!$AA$166</f>
        <v>0</v>
      </c>
      <c r="M166" s="56">
        <f ca="1">$J$166-EFEITO!$K$166*EFEITO!$Y$166</f>
        <v>0</v>
      </c>
      <c r="N166" s="56">
        <f>$K$166-EFEITO!$M$166*EFEITO!$Z$166</f>
        <v>0</v>
      </c>
      <c r="O166" s="56">
        <f>$L$166-EFEITO!$O$166*EFEITO!$AA$166</f>
        <v>0</v>
      </c>
      <c r="P166" s="39"/>
      <c r="Q166" s="39"/>
      <c r="R166" s="39"/>
      <c r="S166" s="39"/>
      <c r="T166" s="39"/>
      <c r="U166" s="39"/>
      <c r="V166" s="39"/>
      <c r="W166" s="39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35" t="s">
        <v>28</v>
      </c>
      <c r="B167" s="35" t="s">
        <v>39</v>
      </c>
      <c r="C167" s="35" t="s">
        <v>40</v>
      </c>
      <c r="D167" s="35" t="s">
        <v>41</v>
      </c>
      <c r="E167" s="35" t="s">
        <v>25</v>
      </c>
      <c r="F167" s="35" t="s">
        <v>25</v>
      </c>
      <c r="G167" s="35" t="s">
        <v>25</v>
      </c>
      <c r="H167" s="35" t="s">
        <v>25</v>
      </c>
      <c r="I167" s="55">
        <v>44652</v>
      </c>
      <c r="J167" s="56">
        <f ca="1">EFEITO!$J$167*EFEITO!$Y$167</f>
        <v>11154.794762575975</v>
      </c>
      <c r="K167" s="56">
        <f>EFEITO!$L$167*EFEITO!$Z$167</f>
        <v>0</v>
      </c>
      <c r="L167" s="56">
        <f>EFEITO!$N$167*EFEITO!$AA$167</f>
        <v>0</v>
      </c>
      <c r="M167" s="56">
        <f ca="1">$J$167-EFEITO!$K$167*EFEITO!$Y$167</f>
        <v>0</v>
      </c>
      <c r="N167" s="56">
        <f>$K$167-EFEITO!$M$167*EFEITO!$Z$167</f>
        <v>0</v>
      </c>
      <c r="O167" s="56">
        <f>$L$167-EFEITO!$O$167*EFEITO!$AA$167</f>
        <v>0</v>
      </c>
      <c r="P167" s="39"/>
      <c r="Q167" s="39"/>
      <c r="R167" s="39"/>
      <c r="S167" s="39"/>
      <c r="T167" s="39"/>
      <c r="U167" s="39"/>
      <c r="V167" s="39"/>
      <c r="W167" s="39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35" t="s">
        <v>21</v>
      </c>
      <c r="B168" s="35" t="s">
        <v>39</v>
      </c>
      <c r="C168" s="35" t="s">
        <v>40</v>
      </c>
      <c r="D168" s="35" t="s">
        <v>41</v>
      </c>
      <c r="E168" s="35" t="s">
        <v>25</v>
      </c>
      <c r="F168" s="35" t="s">
        <v>25</v>
      </c>
      <c r="G168" s="35" t="s">
        <v>25</v>
      </c>
      <c r="H168" s="35" t="s">
        <v>25</v>
      </c>
      <c r="I168" s="55">
        <v>44682</v>
      </c>
      <c r="J168" s="56">
        <f ca="1">EFEITO!$J$168*EFEITO!$Y$168</f>
        <v>38870.826960010912</v>
      </c>
      <c r="K168" s="56">
        <f>EFEITO!$L$168*EFEITO!$Z$168</f>
        <v>0</v>
      </c>
      <c r="L168" s="56">
        <f>EFEITO!$N$168*EFEITO!$AA$168</f>
        <v>0</v>
      </c>
      <c r="M168" s="56">
        <f ca="1">$J$168-EFEITO!$K$168*EFEITO!$Y$168</f>
        <v>0</v>
      </c>
      <c r="N168" s="56">
        <f>$K$168-EFEITO!$M$168*EFEITO!$Z$168</f>
        <v>0</v>
      </c>
      <c r="O168" s="56">
        <f>$L$168-EFEITO!$O$168*EFEITO!$AA$168</f>
        <v>0</v>
      </c>
      <c r="P168" s="39"/>
      <c r="Q168" s="39"/>
      <c r="R168" s="39"/>
      <c r="S168" s="39"/>
      <c r="T168" s="39"/>
      <c r="U168" s="39"/>
      <c r="V168" s="39"/>
      <c r="W168" s="39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35" t="s">
        <v>28</v>
      </c>
      <c r="B169" s="35" t="s">
        <v>39</v>
      </c>
      <c r="C169" s="35" t="s">
        <v>40</v>
      </c>
      <c r="D169" s="35" t="s">
        <v>41</v>
      </c>
      <c r="E169" s="35" t="s">
        <v>25</v>
      </c>
      <c r="F169" s="35" t="s">
        <v>25</v>
      </c>
      <c r="G169" s="35" t="s">
        <v>25</v>
      </c>
      <c r="H169" s="35" t="s">
        <v>25</v>
      </c>
      <c r="I169" s="55">
        <v>44682</v>
      </c>
      <c r="J169" s="56">
        <f ca="1">EFEITO!$J$169*EFEITO!$Y$169</f>
        <v>10834.254683191608</v>
      </c>
      <c r="K169" s="56">
        <f>EFEITO!$L$169*EFEITO!$Z$169</f>
        <v>0</v>
      </c>
      <c r="L169" s="56">
        <f>EFEITO!$N$169*EFEITO!$AA$169</f>
        <v>0</v>
      </c>
      <c r="M169" s="56">
        <f ca="1">$J$169-EFEITO!$K$169*EFEITO!$Y$169</f>
        <v>0</v>
      </c>
      <c r="N169" s="56">
        <f>$K$169-EFEITO!$M$169*EFEITO!$Z$169</f>
        <v>0</v>
      </c>
      <c r="O169" s="56">
        <f>$L$169-EFEITO!$O$169*EFEITO!$AA$169</f>
        <v>0</v>
      </c>
      <c r="P169" s="39"/>
      <c r="Q169" s="39"/>
      <c r="R169" s="39"/>
      <c r="S169" s="39"/>
      <c r="T169" s="39"/>
      <c r="U169" s="39"/>
      <c r="V169" s="39"/>
      <c r="W169" s="39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35" t="s">
        <v>21</v>
      </c>
      <c r="B170" s="35" t="s">
        <v>39</v>
      </c>
      <c r="C170" s="35" t="s">
        <v>40</v>
      </c>
      <c r="D170" s="35" t="s">
        <v>41</v>
      </c>
      <c r="E170" s="35" t="s">
        <v>25</v>
      </c>
      <c r="F170" s="35" t="s">
        <v>25</v>
      </c>
      <c r="G170" s="35" t="s">
        <v>25</v>
      </c>
      <c r="H170" s="35" t="s">
        <v>25</v>
      </c>
      <c r="I170" s="55">
        <v>44713</v>
      </c>
      <c r="J170" s="56">
        <f ca="1">EFEITO!$J$170*EFEITO!$Y$170</f>
        <v>38699.872251005916</v>
      </c>
      <c r="K170" s="56">
        <f>EFEITO!$L$170*EFEITO!$Z$170</f>
        <v>0</v>
      </c>
      <c r="L170" s="56">
        <f>EFEITO!$N$170*EFEITO!$AA$170</f>
        <v>0</v>
      </c>
      <c r="M170" s="56">
        <f ca="1">$J$170-EFEITO!$K$170*EFEITO!$Y$170</f>
        <v>0</v>
      </c>
      <c r="N170" s="56">
        <f>$K$170-EFEITO!$M$170*EFEITO!$Z$170</f>
        <v>0</v>
      </c>
      <c r="O170" s="56">
        <f>$L$170-EFEITO!$O$170*EFEITO!$AA$170</f>
        <v>0</v>
      </c>
      <c r="P170" s="39"/>
      <c r="Q170" s="39"/>
      <c r="R170" s="39"/>
      <c r="S170" s="39"/>
      <c r="T170" s="39"/>
      <c r="U170" s="39"/>
      <c r="V170" s="39"/>
      <c r="W170" s="39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35" t="s">
        <v>28</v>
      </c>
      <c r="B171" s="35" t="s">
        <v>39</v>
      </c>
      <c r="C171" s="35" t="s">
        <v>40</v>
      </c>
      <c r="D171" s="35" t="s">
        <v>41</v>
      </c>
      <c r="E171" s="35" t="s">
        <v>25</v>
      </c>
      <c r="F171" s="35" t="s">
        <v>25</v>
      </c>
      <c r="G171" s="35" t="s">
        <v>25</v>
      </c>
      <c r="H171" s="35" t="s">
        <v>25</v>
      </c>
      <c r="I171" s="55">
        <v>44713</v>
      </c>
      <c r="J171" s="56">
        <f ca="1">EFEITO!$J$171*EFEITO!$Y$171</f>
        <v>10834.254683191608</v>
      </c>
      <c r="K171" s="56">
        <f>EFEITO!$L$171*EFEITO!$Z$171</f>
        <v>0</v>
      </c>
      <c r="L171" s="56">
        <f>EFEITO!$N$171*EFEITO!$AA$171</f>
        <v>0</v>
      </c>
      <c r="M171" s="56">
        <f ca="1">$J$171-EFEITO!$K$171*EFEITO!$Y$171</f>
        <v>0</v>
      </c>
      <c r="N171" s="56">
        <f>$K$171-EFEITO!$M$171*EFEITO!$Z$171</f>
        <v>0</v>
      </c>
      <c r="O171" s="56">
        <f>$L$171-EFEITO!$O$171*EFEITO!$AA$171</f>
        <v>0</v>
      </c>
      <c r="P171" s="39"/>
      <c r="Q171" s="39"/>
      <c r="R171" s="39"/>
      <c r="S171" s="39"/>
      <c r="T171" s="39"/>
      <c r="U171" s="39"/>
      <c r="V171" s="39"/>
      <c r="W171" s="39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35" t="s">
        <v>21</v>
      </c>
      <c r="B172" s="35" t="s">
        <v>39</v>
      </c>
      <c r="C172" s="35" t="s">
        <v>40</v>
      </c>
      <c r="D172" s="35" t="s">
        <v>41</v>
      </c>
      <c r="E172" s="35" t="s">
        <v>25</v>
      </c>
      <c r="F172" s="35" t="s">
        <v>25</v>
      </c>
      <c r="G172" s="35" t="s">
        <v>25</v>
      </c>
      <c r="H172" s="35" t="s">
        <v>25</v>
      </c>
      <c r="I172" s="55">
        <v>44743</v>
      </c>
      <c r="J172" s="56">
        <f ca="1">EFEITO!$J$172*EFEITO!$Y$172</f>
        <v>35195.300716403508</v>
      </c>
      <c r="K172" s="56">
        <f>EFEITO!$L$172*EFEITO!$Z$172</f>
        <v>0</v>
      </c>
      <c r="L172" s="56">
        <f>EFEITO!$N$172*EFEITO!$AA$172</f>
        <v>0</v>
      </c>
      <c r="M172" s="56">
        <f ca="1">$J$172-EFEITO!$K$172*EFEITO!$Y$172</f>
        <v>0</v>
      </c>
      <c r="N172" s="56">
        <f>$K$172-EFEITO!$M$172*EFEITO!$Z$172</f>
        <v>0</v>
      </c>
      <c r="O172" s="56">
        <f>$L$172-EFEITO!$O$172*EFEITO!$AA$172</f>
        <v>0</v>
      </c>
      <c r="P172" s="39"/>
      <c r="Q172" s="39"/>
      <c r="R172" s="39"/>
      <c r="S172" s="39"/>
      <c r="T172" s="39"/>
      <c r="U172" s="39"/>
      <c r="V172" s="39"/>
      <c r="W172" s="39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35" t="s">
        <v>28</v>
      </c>
      <c r="B173" s="35" t="s">
        <v>39</v>
      </c>
      <c r="C173" s="35" t="s">
        <v>40</v>
      </c>
      <c r="D173" s="35" t="s">
        <v>41</v>
      </c>
      <c r="E173" s="35" t="s">
        <v>25</v>
      </c>
      <c r="F173" s="35" t="s">
        <v>25</v>
      </c>
      <c r="G173" s="35" t="s">
        <v>25</v>
      </c>
      <c r="H173" s="35" t="s">
        <v>25</v>
      </c>
      <c r="I173" s="55">
        <v>44743</v>
      </c>
      <c r="J173" s="56">
        <f ca="1">EFEITO!$J$173*EFEITO!$Y$173</f>
        <v>10834.254683191608</v>
      </c>
      <c r="K173" s="56">
        <f>EFEITO!$L$173*EFEITO!$Z$173</f>
        <v>0</v>
      </c>
      <c r="L173" s="56">
        <f>EFEITO!$N$173*EFEITO!$AA$173</f>
        <v>0</v>
      </c>
      <c r="M173" s="56">
        <f ca="1">$J$173-EFEITO!$K$173*EFEITO!$Y$173</f>
        <v>0</v>
      </c>
      <c r="N173" s="56">
        <f>$K$173-EFEITO!$M$173*EFEITO!$Z$173</f>
        <v>0</v>
      </c>
      <c r="O173" s="56">
        <f>$L$173-EFEITO!$O$173*EFEITO!$AA$173</f>
        <v>0</v>
      </c>
      <c r="P173" s="39"/>
      <c r="Q173" s="39"/>
      <c r="R173" s="39"/>
      <c r="S173" s="39"/>
      <c r="T173" s="39"/>
      <c r="U173" s="39"/>
      <c r="V173" s="39"/>
      <c r="W173" s="39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35" t="s">
        <v>21</v>
      </c>
      <c r="B174" s="35" t="s">
        <v>39</v>
      </c>
      <c r="C174" s="35" t="s">
        <v>40</v>
      </c>
      <c r="D174" s="35" t="s">
        <v>41</v>
      </c>
      <c r="E174" s="35" t="s">
        <v>25</v>
      </c>
      <c r="F174" s="35" t="s">
        <v>25</v>
      </c>
      <c r="G174" s="35" t="s">
        <v>25</v>
      </c>
      <c r="H174" s="35" t="s">
        <v>25</v>
      </c>
      <c r="I174" s="55">
        <v>44774</v>
      </c>
      <c r="J174" s="56">
        <f ca="1">EFEITO!$J$174*EFEITO!$Y$174</f>
        <v>35579.948811664748</v>
      </c>
      <c r="K174" s="56">
        <f>EFEITO!$L$174*EFEITO!$Z$174</f>
        <v>0</v>
      </c>
      <c r="L174" s="56">
        <f>EFEITO!$N$174*EFEITO!$AA$174</f>
        <v>0</v>
      </c>
      <c r="M174" s="56">
        <f ca="1">$J$174-EFEITO!$K$174*EFEITO!$Y$174</f>
        <v>0</v>
      </c>
      <c r="N174" s="56">
        <f>$K$174-EFEITO!$M$174*EFEITO!$Z$174</f>
        <v>0</v>
      </c>
      <c r="O174" s="56">
        <f>$L$174-EFEITO!$O$174*EFEITO!$AA$174</f>
        <v>0</v>
      </c>
      <c r="P174" s="39"/>
      <c r="Q174" s="39"/>
      <c r="R174" s="39"/>
      <c r="S174" s="39"/>
      <c r="T174" s="39"/>
      <c r="U174" s="39"/>
      <c r="V174" s="39"/>
      <c r="W174" s="39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35" t="s">
        <v>28</v>
      </c>
      <c r="B175" s="35" t="s">
        <v>39</v>
      </c>
      <c r="C175" s="35" t="s">
        <v>40</v>
      </c>
      <c r="D175" s="35" t="s">
        <v>41</v>
      </c>
      <c r="E175" s="35" t="s">
        <v>25</v>
      </c>
      <c r="F175" s="35" t="s">
        <v>25</v>
      </c>
      <c r="G175" s="35" t="s">
        <v>25</v>
      </c>
      <c r="H175" s="35" t="s">
        <v>25</v>
      </c>
      <c r="I175" s="55">
        <v>44774</v>
      </c>
      <c r="J175" s="56">
        <f ca="1">EFEITO!$J$175*EFEITO!$Y$175</f>
        <v>10834.254683191608</v>
      </c>
      <c r="K175" s="56">
        <f>EFEITO!$L$175*EFEITO!$Z$175</f>
        <v>0</v>
      </c>
      <c r="L175" s="56">
        <f>EFEITO!$N$175*EFEITO!$AA$175</f>
        <v>0</v>
      </c>
      <c r="M175" s="56">
        <f ca="1">$J$175-EFEITO!$K$175*EFEITO!$Y$175</f>
        <v>0</v>
      </c>
      <c r="N175" s="56">
        <f>$K$175-EFEITO!$M$175*EFEITO!$Z$175</f>
        <v>0</v>
      </c>
      <c r="O175" s="56">
        <f>$L$175-EFEITO!$O$175*EFEITO!$AA$175</f>
        <v>0</v>
      </c>
      <c r="P175" s="39"/>
      <c r="Q175" s="39"/>
      <c r="R175" s="39"/>
      <c r="S175" s="39"/>
      <c r="T175" s="39"/>
      <c r="U175" s="39"/>
      <c r="V175" s="39"/>
      <c r="W175" s="39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35" t="s">
        <v>21</v>
      </c>
      <c r="B176" s="35" t="s">
        <v>39</v>
      </c>
      <c r="C176" s="35" t="s">
        <v>40</v>
      </c>
      <c r="D176" s="35" t="s">
        <v>41</v>
      </c>
      <c r="E176" s="35" t="s">
        <v>25</v>
      </c>
      <c r="F176" s="35" t="s">
        <v>25</v>
      </c>
      <c r="G176" s="35" t="s">
        <v>25</v>
      </c>
      <c r="H176" s="35" t="s">
        <v>25</v>
      </c>
      <c r="I176" s="55">
        <v>44805</v>
      </c>
      <c r="J176" s="56">
        <f ca="1">EFEITO!$J$176*EFEITO!$Y$176</f>
        <v>36498.830372566597</v>
      </c>
      <c r="K176" s="56">
        <f>EFEITO!$L$176*EFEITO!$Z$176</f>
        <v>0</v>
      </c>
      <c r="L176" s="56">
        <f>EFEITO!$N$176*EFEITO!$AA$176</f>
        <v>0</v>
      </c>
      <c r="M176" s="56">
        <f ca="1">$J$176-EFEITO!$K$176*EFEITO!$Y$176</f>
        <v>0</v>
      </c>
      <c r="N176" s="56">
        <f>$K$176-EFEITO!$M$176*EFEITO!$Z$176</f>
        <v>0</v>
      </c>
      <c r="O176" s="56">
        <f>$L$176-EFEITO!$O$176*EFEITO!$AA$176</f>
        <v>0</v>
      </c>
      <c r="P176" s="39"/>
      <c r="Q176" s="39"/>
      <c r="R176" s="39"/>
      <c r="S176" s="39"/>
      <c r="T176" s="39"/>
      <c r="U176" s="39"/>
      <c r="V176" s="39"/>
      <c r="W176" s="39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35" t="s">
        <v>28</v>
      </c>
      <c r="B177" s="35" t="s">
        <v>39</v>
      </c>
      <c r="C177" s="35" t="s">
        <v>40</v>
      </c>
      <c r="D177" s="35" t="s">
        <v>41</v>
      </c>
      <c r="E177" s="35" t="s">
        <v>25</v>
      </c>
      <c r="F177" s="35" t="s">
        <v>25</v>
      </c>
      <c r="G177" s="35" t="s">
        <v>25</v>
      </c>
      <c r="H177" s="35" t="s">
        <v>25</v>
      </c>
      <c r="I177" s="55">
        <v>44805</v>
      </c>
      <c r="J177" s="56">
        <f ca="1">EFEITO!$J$177*EFEITO!$Y$177</f>
        <v>10834.254683191608</v>
      </c>
      <c r="K177" s="56">
        <f>EFEITO!$L$177*EFEITO!$Z$177</f>
        <v>0</v>
      </c>
      <c r="L177" s="56">
        <f>EFEITO!$N$177*EFEITO!$AA$177</f>
        <v>0</v>
      </c>
      <c r="M177" s="56">
        <f ca="1">$J$177-EFEITO!$K$177*EFEITO!$Y$177</f>
        <v>0</v>
      </c>
      <c r="N177" s="56">
        <f>$K$177-EFEITO!$M$177*EFEITO!$Z$177</f>
        <v>0</v>
      </c>
      <c r="O177" s="56">
        <f>$L$177-EFEITO!$O$177*EFEITO!$AA$177</f>
        <v>0</v>
      </c>
      <c r="P177" s="39"/>
      <c r="Q177" s="39"/>
      <c r="R177" s="39"/>
      <c r="S177" s="39"/>
      <c r="T177" s="39"/>
      <c r="U177" s="39"/>
      <c r="V177" s="39"/>
      <c r="W177" s="39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35" t="s">
        <v>57</v>
      </c>
      <c r="B178" s="35" t="s">
        <v>39</v>
      </c>
      <c r="C178" s="35" t="s">
        <v>40</v>
      </c>
      <c r="D178" s="35" t="s">
        <v>41</v>
      </c>
      <c r="E178" s="35" t="s">
        <v>25</v>
      </c>
      <c r="F178" s="35" t="s">
        <v>25</v>
      </c>
      <c r="G178" s="35" t="s">
        <v>25</v>
      </c>
      <c r="H178" s="35" t="s">
        <v>25</v>
      </c>
      <c r="I178" s="55">
        <v>44835</v>
      </c>
      <c r="J178" s="56">
        <f ca="1">EFEITO!$J$178*EFEITO!$Y$178</f>
        <v>36498.830372566597</v>
      </c>
      <c r="K178" s="56">
        <f>EFEITO!$L$178*EFEITO!$Z$178</f>
        <v>0</v>
      </c>
      <c r="L178" s="56">
        <f>EFEITO!$N$178*EFEITO!$AA$178</f>
        <v>0</v>
      </c>
      <c r="M178" s="56">
        <f ca="1">$J$178-EFEITO!$K$178*EFEITO!$Y$178</f>
        <v>0</v>
      </c>
      <c r="N178" s="56">
        <f>$K$178-EFEITO!$M$178*EFEITO!$Z$178</f>
        <v>0</v>
      </c>
      <c r="O178" s="56">
        <f>$L$178-EFEITO!$O$178*EFEITO!$AA$178</f>
        <v>0</v>
      </c>
      <c r="P178" s="39"/>
      <c r="Q178" s="39"/>
      <c r="R178" s="39"/>
      <c r="S178" s="39"/>
      <c r="T178" s="39"/>
      <c r="U178" s="39"/>
      <c r="V178" s="39"/>
      <c r="W178" s="39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35" t="s">
        <v>57</v>
      </c>
      <c r="B179" s="35" t="s">
        <v>39</v>
      </c>
      <c r="C179" s="35" t="s">
        <v>40</v>
      </c>
      <c r="D179" s="35" t="s">
        <v>41</v>
      </c>
      <c r="E179" s="35" t="s">
        <v>25</v>
      </c>
      <c r="F179" s="35" t="s">
        <v>25</v>
      </c>
      <c r="G179" s="35" t="s">
        <v>25</v>
      </c>
      <c r="H179" s="35" t="s">
        <v>25</v>
      </c>
      <c r="I179" s="55">
        <v>44835</v>
      </c>
      <c r="J179" s="56">
        <f ca="1">EFEITO!$J$179*EFEITO!$Y$179</f>
        <v>10834.254683191608</v>
      </c>
      <c r="K179" s="56">
        <f>EFEITO!$L$179*EFEITO!$Z$179</f>
        <v>0</v>
      </c>
      <c r="L179" s="56">
        <f>EFEITO!$N$179*EFEITO!$AA$179</f>
        <v>0</v>
      </c>
      <c r="M179" s="56">
        <f ca="1">$J$179-EFEITO!$K$179*EFEITO!$Y$179</f>
        <v>0</v>
      </c>
      <c r="N179" s="56">
        <f>$K$179-EFEITO!$M$179*EFEITO!$Z$179</f>
        <v>0</v>
      </c>
      <c r="O179" s="56">
        <f>$L$179-EFEITO!$O$179*EFEITO!$AA$179</f>
        <v>0</v>
      </c>
      <c r="P179" s="39"/>
      <c r="Q179" s="39"/>
      <c r="R179" s="39"/>
      <c r="S179" s="39"/>
      <c r="T179" s="39"/>
      <c r="U179" s="39"/>
      <c r="V179" s="39"/>
      <c r="W179" s="39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35" t="s">
        <v>21</v>
      </c>
      <c r="B180" s="35" t="s">
        <v>39</v>
      </c>
      <c r="C180" s="35" t="s">
        <v>40</v>
      </c>
      <c r="D180" s="35" t="s">
        <v>41</v>
      </c>
      <c r="E180" s="35" t="s">
        <v>25</v>
      </c>
      <c r="F180" s="35" t="s">
        <v>25</v>
      </c>
      <c r="G180" s="35" t="s">
        <v>25</v>
      </c>
      <c r="H180" s="35" t="s">
        <v>34</v>
      </c>
      <c r="I180" s="55">
        <v>44501</v>
      </c>
      <c r="J180" s="56">
        <f>EFEITO!$J$180*EFEITO!$Y$180</f>
        <v>0</v>
      </c>
      <c r="K180" s="56">
        <f ca="1">EFEITO!$L$180*EFEITO!$Z$180</f>
        <v>36288.957705356435</v>
      </c>
      <c r="L180" s="56">
        <f>EFEITO!$N$180*EFEITO!$AA$180</f>
        <v>9480.2637313295072</v>
      </c>
      <c r="M180" s="56">
        <f>$J$180-EFEITO!$K$180*EFEITO!$Y$180</f>
        <v>0</v>
      </c>
      <c r="N180" s="56">
        <f ca="1">$K$180-EFEITO!$M$180*EFEITO!$Z$180</f>
        <v>0</v>
      </c>
      <c r="O180" s="56">
        <f>$L$180-EFEITO!$O$180*EFEITO!$AA$180</f>
        <v>0</v>
      </c>
      <c r="P180" s="39"/>
      <c r="Q180" s="39"/>
      <c r="R180" s="39"/>
      <c r="S180" s="39"/>
      <c r="T180" s="39"/>
      <c r="U180" s="39"/>
      <c r="V180" s="39"/>
      <c r="W180" s="39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35" t="s">
        <v>28</v>
      </c>
      <c r="B181" s="35" t="s">
        <v>39</v>
      </c>
      <c r="C181" s="35" t="s">
        <v>40</v>
      </c>
      <c r="D181" s="35" t="s">
        <v>41</v>
      </c>
      <c r="E181" s="35" t="s">
        <v>25</v>
      </c>
      <c r="F181" s="35" t="s">
        <v>25</v>
      </c>
      <c r="G181" s="35" t="s">
        <v>25</v>
      </c>
      <c r="H181" s="35" t="s">
        <v>34</v>
      </c>
      <c r="I181" s="55">
        <v>44501</v>
      </c>
      <c r="J181" s="56">
        <f>EFEITO!$J$181*EFEITO!$Y$181</f>
        <v>0</v>
      </c>
      <c r="K181" s="56">
        <f ca="1">EFEITO!$L$181*EFEITO!$Z$181</f>
        <v>10855.375061906982</v>
      </c>
      <c r="L181" s="56">
        <f>EFEITO!$N$181*EFEITO!$AA$181</f>
        <v>2835.8989895756981</v>
      </c>
      <c r="M181" s="56">
        <f>$J$181-EFEITO!$K$181*EFEITO!$Y$181</f>
        <v>0</v>
      </c>
      <c r="N181" s="56">
        <f ca="1">$K$181-EFEITO!$M$181*EFEITO!$Z$181</f>
        <v>0</v>
      </c>
      <c r="O181" s="56">
        <f>$L$181-EFEITO!$O$181*EFEITO!$AA$181</f>
        <v>0</v>
      </c>
      <c r="P181" s="39"/>
      <c r="Q181" s="39"/>
      <c r="R181" s="39"/>
      <c r="S181" s="39"/>
      <c r="T181" s="39"/>
      <c r="U181" s="39"/>
      <c r="V181" s="39"/>
      <c r="W181" s="39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35" t="s">
        <v>21</v>
      </c>
      <c r="B182" s="35" t="s">
        <v>39</v>
      </c>
      <c r="C182" s="35" t="s">
        <v>40</v>
      </c>
      <c r="D182" s="35" t="s">
        <v>41</v>
      </c>
      <c r="E182" s="35" t="s">
        <v>25</v>
      </c>
      <c r="F182" s="35" t="s">
        <v>25</v>
      </c>
      <c r="G182" s="35" t="s">
        <v>25</v>
      </c>
      <c r="H182" s="35" t="s">
        <v>34</v>
      </c>
      <c r="I182" s="55">
        <v>44531</v>
      </c>
      <c r="J182" s="56">
        <f>EFEITO!$J$182*EFEITO!$Y$182</f>
        <v>0</v>
      </c>
      <c r="K182" s="56">
        <f ca="1">EFEITO!$L$182*EFEITO!$Z$182</f>
        <v>35671.025698003461</v>
      </c>
      <c r="L182" s="56">
        <f>EFEITO!$N$182*EFEITO!$AA$182</f>
        <v>9318.8328507486804</v>
      </c>
      <c r="M182" s="56">
        <f>$J$182-EFEITO!$K$182*EFEITO!$Y$182</f>
        <v>0</v>
      </c>
      <c r="N182" s="56">
        <f ca="1">$K$182-EFEITO!$M$182*EFEITO!$Z$182</f>
        <v>0</v>
      </c>
      <c r="O182" s="56">
        <f>$L$182-EFEITO!$O$182*EFEITO!$AA$182</f>
        <v>0</v>
      </c>
      <c r="P182" s="39"/>
      <c r="Q182" s="39"/>
      <c r="R182" s="39"/>
      <c r="S182" s="39"/>
      <c r="T182" s="39"/>
      <c r="U182" s="39"/>
      <c r="V182" s="39"/>
      <c r="W182" s="39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35" t="s">
        <v>28</v>
      </c>
      <c r="B183" s="35" t="s">
        <v>39</v>
      </c>
      <c r="C183" s="35" t="s">
        <v>40</v>
      </c>
      <c r="D183" s="35" t="s">
        <v>41</v>
      </c>
      <c r="E183" s="35" t="s">
        <v>25</v>
      </c>
      <c r="F183" s="35" t="s">
        <v>25</v>
      </c>
      <c r="G183" s="35" t="s">
        <v>25</v>
      </c>
      <c r="H183" s="35" t="s">
        <v>34</v>
      </c>
      <c r="I183" s="55">
        <v>44531</v>
      </c>
      <c r="J183" s="56">
        <f>EFEITO!$J$183*EFEITO!$Y$183</f>
        <v>0</v>
      </c>
      <c r="K183" s="56">
        <f ca="1">EFEITO!$L$183*EFEITO!$Z$183</f>
        <v>9712.3393980814217</v>
      </c>
      <c r="L183" s="56">
        <f>EFEITO!$N$183*EFEITO!$AA$183</f>
        <v>2537.2880557658764</v>
      </c>
      <c r="M183" s="56">
        <f>$J$183-EFEITO!$K$183*EFEITO!$Y$183</f>
        <v>0</v>
      </c>
      <c r="N183" s="56">
        <f ca="1">$K$183-EFEITO!$M$183*EFEITO!$Z$183</f>
        <v>0</v>
      </c>
      <c r="O183" s="56">
        <f>$L$183-EFEITO!$O$183*EFEITO!$AA$183</f>
        <v>0</v>
      </c>
      <c r="P183" s="39"/>
      <c r="Q183" s="39"/>
      <c r="R183" s="39"/>
      <c r="S183" s="39"/>
      <c r="T183" s="39"/>
      <c r="U183" s="39"/>
      <c r="V183" s="39"/>
      <c r="W183" s="39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35" t="s">
        <v>21</v>
      </c>
      <c r="B184" s="35" t="s">
        <v>39</v>
      </c>
      <c r="C184" s="35" t="s">
        <v>40</v>
      </c>
      <c r="D184" s="35" t="s">
        <v>41</v>
      </c>
      <c r="E184" s="35" t="s">
        <v>25</v>
      </c>
      <c r="F184" s="35" t="s">
        <v>25</v>
      </c>
      <c r="G184" s="35" t="s">
        <v>25</v>
      </c>
      <c r="H184" s="35" t="s">
        <v>34</v>
      </c>
      <c r="I184" s="55">
        <v>44562</v>
      </c>
      <c r="J184" s="56">
        <f>EFEITO!$J$184*EFEITO!$Y$184</f>
        <v>0</v>
      </c>
      <c r="K184" s="56">
        <f ca="1">EFEITO!$L$184*EFEITO!$Z$184</f>
        <v>30104.095640729407</v>
      </c>
      <c r="L184" s="56">
        <f>EFEITO!$N$184*EFEITO!$AA$184</f>
        <v>7864.5071149330915</v>
      </c>
      <c r="M184" s="56">
        <f>$J$184-EFEITO!$K$184*EFEITO!$Y$184</f>
        <v>0</v>
      </c>
      <c r="N184" s="56">
        <f ca="1">$K$184-EFEITO!$M$184*EFEITO!$Z$184</f>
        <v>0</v>
      </c>
      <c r="O184" s="56">
        <f>$L$184-EFEITO!$O$184*EFEITO!$AA$184</f>
        <v>0</v>
      </c>
      <c r="P184" s="39"/>
      <c r="Q184" s="39"/>
      <c r="R184" s="39"/>
      <c r="S184" s="39"/>
      <c r="T184" s="39"/>
      <c r="U184" s="39"/>
      <c r="V184" s="39"/>
      <c r="W184" s="39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35" t="s">
        <v>28</v>
      </c>
      <c r="B185" s="35" t="s">
        <v>39</v>
      </c>
      <c r="C185" s="35" t="s">
        <v>40</v>
      </c>
      <c r="D185" s="35" t="s">
        <v>41</v>
      </c>
      <c r="E185" s="35" t="s">
        <v>25</v>
      </c>
      <c r="F185" s="35" t="s">
        <v>25</v>
      </c>
      <c r="G185" s="35" t="s">
        <v>25</v>
      </c>
      <c r="H185" s="35" t="s">
        <v>34</v>
      </c>
      <c r="I185" s="55">
        <v>44562</v>
      </c>
      <c r="J185" s="56">
        <f>EFEITO!$J$185*EFEITO!$Y$185</f>
        <v>0</v>
      </c>
      <c r="K185" s="56">
        <f ca="1">EFEITO!$L$185*EFEITO!$Z$185</f>
        <v>10443.88222292978</v>
      </c>
      <c r="L185" s="56">
        <f>EFEITO!$N$185*EFEITO!$AA$185</f>
        <v>2728.3990534041623</v>
      </c>
      <c r="M185" s="56">
        <f>$J$185-EFEITO!$K$185*EFEITO!$Y$185</f>
        <v>0</v>
      </c>
      <c r="N185" s="56">
        <f ca="1">$K$185-EFEITO!$M$185*EFEITO!$Z$185</f>
        <v>0</v>
      </c>
      <c r="O185" s="56">
        <f>$L$185-EFEITO!$O$185*EFEITO!$AA$185</f>
        <v>0</v>
      </c>
      <c r="P185" s="39"/>
      <c r="Q185" s="39"/>
      <c r="R185" s="39"/>
      <c r="S185" s="39"/>
      <c r="T185" s="39"/>
      <c r="U185" s="39"/>
      <c r="V185" s="39"/>
      <c r="W185" s="39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35" t="s">
        <v>21</v>
      </c>
      <c r="B186" s="35" t="s">
        <v>39</v>
      </c>
      <c r="C186" s="35" t="s">
        <v>40</v>
      </c>
      <c r="D186" s="35" t="s">
        <v>41</v>
      </c>
      <c r="E186" s="35" t="s">
        <v>25</v>
      </c>
      <c r="F186" s="35" t="s">
        <v>25</v>
      </c>
      <c r="G186" s="35" t="s">
        <v>25</v>
      </c>
      <c r="H186" s="35" t="s">
        <v>34</v>
      </c>
      <c r="I186" s="55">
        <v>44593</v>
      </c>
      <c r="J186" s="56">
        <f>EFEITO!$J$186*EFEITO!$Y$186</f>
        <v>0</v>
      </c>
      <c r="K186" s="56">
        <f ca="1">EFEITO!$L$186*EFEITO!$Z$186</f>
        <v>36167.033901215036</v>
      </c>
      <c r="L186" s="56">
        <f>EFEITO!$N$186*EFEITO!$AA$186</f>
        <v>9448.4118983897915</v>
      </c>
      <c r="M186" s="56">
        <f>$J$186-EFEITO!$K$186*EFEITO!$Y$186</f>
        <v>0</v>
      </c>
      <c r="N186" s="56">
        <f ca="1">$K$186-EFEITO!$M$186*EFEITO!$Z$186</f>
        <v>0</v>
      </c>
      <c r="O186" s="56">
        <f>$L$186-EFEITO!$O$186*EFEITO!$AA$186</f>
        <v>0</v>
      </c>
      <c r="P186" s="39"/>
      <c r="Q186" s="39"/>
      <c r="R186" s="39"/>
      <c r="S186" s="39"/>
      <c r="T186" s="39"/>
      <c r="U186" s="39"/>
      <c r="V186" s="39"/>
      <c r="W186" s="39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35" t="s">
        <v>28</v>
      </c>
      <c r="B187" s="35" t="s">
        <v>39</v>
      </c>
      <c r="C187" s="35" t="s">
        <v>40</v>
      </c>
      <c r="D187" s="35" t="s">
        <v>41</v>
      </c>
      <c r="E187" s="35" t="s">
        <v>25</v>
      </c>
      <c r="F187" s="35" t="s">
        <v>25</v>
      </c>
      <c r="G187" s="35" t="s">
        <v>25</v>
      </c>
      <c r="H187" s="35" t="s">
        <v>34</v>
      </c>
      <c r="I187" s="55">
        <v>44593</v>
      </c>
      <c r="J187" s="56">
        <f>EFEITO!$J$187*EFEITO!$Y$187</f>
        <v>0</v>
      </c>
      <c r="K187" s="56">
        <f ca="1">EFEITO!$L$187*EFEITO!$Z$187</f>
        <v>9419.9993676969461</v>
      </c>
      <c r="L187" s="56">
        <f>EFEITO!$N$187*EFEITO!$AA$187</f>
        <v>2460.9160472399708</v>
      </c>
      <c r="M187" s="56">
        <f>$J$187-EFEITO!$K$187*EFEITO!$Y$187</f>
        <v>0</v>
      </c>
      <c r="N187" s="56">
        <f ca="1">$K$187-EFEITO!$M$187*EFEITO!$Z$187</f>
        <v>0</v>
      </c>
      <c r="O187" s="56">
        <f>$L$187-EFEITO!$O$187*EFEITO!$AA$187</f>
        <v>0</v>
      </c>
      <c r="P187" s="39"/>
      <c r="Q187" s="39"/>
      <c r="R187" s="39"/>
      <c r="S187" s="39"/>
      <c r="T187" s="39"/>
      <c r="U187" s="39"/>
      <c r="V187" s="39"/>
      <c r="W187" s="39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35" t="s">
        <v>21</v>
      </c>
      <c r="B188" s="35" t="s">
        <v>39</v>
      </c>
      <c r="C188" s="35" t="s">
        <v>40</v>
      </c>
      <c r="D188" s="35" t="s">
        <v>41</v>
      </c>
      <c r="E188" s="35" t="s">
        <v>25</v>
      </c>
      <c r="F188" s="35" t="s">
        <v>25</v>
      </c>
      <c r="G188" s="35" t="s">
        <v>25</v>
      </c>
      <c r="H188" s="35" t="s">
        <v>34</v>
      </c>
      <c r="I188" s="55">
        <v>44621</v>
      </c>
      <c r="J188" s="56">
        <f>EFEITO!$J$188*EFEITO!$Y$188</f>
        <v>0</v>
      </c>
      <c r="K188" s="56">
        <f ca="1">EFEITO!$L$188*EFEITO!$Z$188</f>
        <v>48513.204568305417</v>
      </c>
      <c r="L188" s="56">
        <f>EFEITO!$N$188*EFEITO!$AA$188</f>
        <v>12673.771936182906</v>
      </c>
      <c r="M188" s="56">
        <f>$J$188-EFEITO!$K$188*EFEITO!$Y$188</f>
        <v>0</v>
      </c>
      <c r="N188" s="56">
        <f ca="1">$K$188-EFEITO!$M$188*EFEITO!$Z$188</f>
        <v>0</v>
      </c>
      <c r="O188" s="56">
        <f>$L$188-EFEITO!$O$188*EFEITO!$AA$188</f>
        <v>0</v>
      </c>
      <c r="P188" s="39"/>
      <c r="Q188" s="39"/>
      <c r="R188" s="39"/>
      <c r="S188" s="39"/>
      <c r="T188" s="39"/>
      <c r="U188" s="39"/>
      <c r="V188" s="39"/>
      <c r="W188" s="39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35" t="s">
        <v>28</v>
      </c>
      <c r="B189" s="35" t="s">
        <v>39</v>
      </c>
      <c r="C189" s="35" t="s">
        <v>40</v>
      </c>
      <c r="D189" s="35" t="s">
        <v>41</v>
      </c>
      <c r="E189" s="35" t="s">
        <v>25</v>
      </c>
      <c r="F189" s="35" t="s">
        <v>25</v>
      </c>
      <c r="G189" s="35" t="s">
        <v>25</v>
      </c>
      <c r="H189" s="35" t="s">
        <v>34</v>
      </c>
      <c r="I189" s="55">
        <v>44621</v>
      </c>
      <c r="J189" s="56">
        <f>EFEITO!$J$189*EFEITO!$Y$189</f>
        <v>0</v>
      </c>
      <c r="K189" s="56">
        <f ca="1">EFEITO!$L$189*EFEITO!$Z$189</f>
        <v>14276.169066737657</v>
      </c>
      <c r="L189" s="56">
        <f>EFEITO!$N$189*EFEITO!$AA$189</f>
        <v>3729.560075122909</v>
      </c>
      <c r="M189" s="56">
        <f>$J$189-EFEITO!$K$189*EFEITO!$Y$189</f>
        <v>0</v>
      </c>
      <c r="N189" s="56">
        <f ca="1">$K$189-EFEITO!$M$189*EFEITO!$Z$189</f>
        <v>0</v>
      </c>
      <c r="O189" s="56">
        <f>$L$189-EFEITO!$O$189*EFEITO!$AA$189</f>
        <v>0</v>
      </c>
      <c r="P189" s="39"/>
      <c r="Q189" s="39"/>
      <c r="R189" s="39"/>
      <c r="S189" s="39"/>
      <c r="T189" s="39"/>
      <c r="U189" s="39"/>
      <c r="V189" s="39"/>
      <c r="W189" s="39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35" t="s">
        <v>21</v>
      </c>
      <c r="B190" s="35" t="s">
        <v>39</v>
      </c>
      <c r="C190" s="35" t="s">
        <v>40</v>
      </c>
      <c r="D190" s="35" t="s">
        <v>41</v>
      </c>
      <c r="E190" s="35" t="s">
        <v>25</v>
      </c>
      <c r="F190" s="35" t="s">
        <v>25</v>
      </c>
      <c r="G190" s="35" t="s">
        <v>25</v>
      </c>
      <c r="H190" s="35" t="s">
        <v>34</v>
      </c>
      <c r="I190" s="55">
        <v>44652</v>
      </c>
      <c r="J190" s="56">
        <f>EFEITO!$J$190*EFEITO!$Y$190</f>
        <v>0</v>
      </c>
      <c r="K190" s="56">
        <f ca="1">EFEITO!$L$190*EFEITO!$Z$190</f>
        <v>42937.961524385355</v>
      </c>
      <c r="L190" s="56">
        <f>EFEITO!$N$190*EFEITO!$AA$190</f>
        <v>11217.274484485062</v>
      </c>
      <c r="M190" s="56">
        <f>$J$190-EFEITO!$K$190*EFEITO!$Y$190</f>
        <v>0</v>
      </c>
      <c r="N190" s="56">
        <f ca="1">$K$190-EFEITO!$M$190*EFEITO!$Z$190</f>
        <v>0</v>
      </c>
      <c r="O190" s="56">
        <f>$L$190-EFEITO!$O$190*EFEITO!$AA$190</f>
        <v>0</v>
      </c>
      <c r="P190" s="39"/>
      <c r="Q190" s="39"/>
      <c r="R190" s="39"/>
      <c r="S190" s="39"/>
      <c r="T190" s="39"/>
      <c r="U190" s="39"/>
      <c r="V190" s="39"/>
      <c r="W190" s="39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35" t="s">
        <v>28</v>
      </c>
      <c r="B191" s="35" t="s">
        <v>39</v>
      </c>
      <c r="C191" s="35" t="s">
        <v>40</v>
      </c>
      <c r="D191" s="35" t="s">
        <v>41</v>
      </c>
      <c r="E191" s="35" t="s">
        <v>25</v>
      </c>
      <c r="F191" s="35" t="s">
        <v>25</v>
      </c>
      <c r="G191" s="35" t="s">
        <v>25</v>
      </c>
      <c r="H191" s="35" t="s">
        <v>34</v>
      </c>
      <c r="I191" s="55">
        <v>44652</v>
      </c>
      <c r="J191" s="56">
        <f>EFEITO!$J$191*EFEITO!$Y$191</f>
        <v>0</v>
      </c>
      <c r="K191" s="56">
        <f ca="1">EFEITO!$L$191*EFEITO!$Z$191</f>
        <v>11877.872419365482</v>
      </c>
      <c r="L191" s="56">
        <f>EFEITO!$N$191*EFEITO!$AA$191</f>
        <v>3103.0200430928476</v>
      </c>
      <c r="M191" s="56">
        <f>$J$191-EFEITO!$K$191*EFEITO!$Y$191</f>
        <v>0</v>
      </c>
      <c r="N191" s="56">
        <f ca="1">$K$191-EFEITO!$M$191*EFEITO!$Z$191</f>
        <v>0</v>
      </c>
      <c r="O191" s="56">
        <f>$L$191-EFEITO!$O$191*EFEITO!$AA$191</f>
        <v>0</v>
      </c>
      <c r="P191" s="39"/>
      <c r="Q191" s="39"/>
      <c r="R191" s="39"/>
      <c r="S191" s="39"/>
      <c r="T191" s="39"/>
      <c r="U191" s="39"/>
      <c r="V191" s="39"/>
      <c r="W191" s="39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35" t="s">
        <v>21</v>
      </c>
      <c r="B192" s="35" t="s">
        <v>39</v>
      </c>
      <c r="C192" s="35" t="s">
        <v>40</v>
      </c>
      <c r="D192" s="35" t="s">
        <v>41</v>
      </c>
      <c r="E192" s="35" t="s">
        <v>25</v>
      </c>
      <c r="F192" s="35" t="s">
        <v>25</v>
      </c>
      <c r="G192" s="35" t="s">
        <v>25</v>
      </c>
      <c r="H192" s="35" t="s">
        <v>34</v>
      </c>
      <c r="I192" s="55">
        <v>44682</v>
      </c>
      <c r="J192" s="56">
        <f>EFEITO!$J$192*EFEITO!$Y$192</f>
        <v>0</v>
      </c>
      <c r="K192" s="56">
        <f ca="1">EFEITO!$L$192*EFEITO!$Z$192</f>
        <v>39968.839793987565</v>
      </c>
      <c r="L192" s="56">
        <f>EFEITO!$N$192*EFEITO!$AA$192</f>
        <v>10441.60996187361</v>
      </c>
      <c r="M192" s="56">
        <f>$J$192-EFEITO!$K$192*EFEITO!$Y$192</f>
        <v>0</v>
      </c>
      <c r="N192" s="56">
        <f ca="1">$K$192-EFEITO!$M$192*EFEITO!$Z$192</f>
        <v>0</v>
      </c>
      <c r="O192" s="56">
        <f>$L$192-EFEITO!$O$192*EFEITO!$AA$192</f>
        <v>0</v>
      </c>
      <c r="P192" s="39"/>
      <c r="Q192" s="39"/>
      <c r="R192" s="39"/>
      <c r="S192" s="39"/>
      <c r="T192" s="39"/>
      <c r="U192" s="39"/>
      <c r="V192" s="39"/>
      <c r="W192" s="39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35" t="s">
        <v>28</v>
      </c>
      <c r="B193" s="35" t="s">
        <v>39</v>
      </c>
      <c r="C193" s="35" t="s">
        <v>40</v>
      </c>
      <c r="D193" s="35" t="s">
        <v>41</v>
      </c>
      <c r="E193" s="35" t="s">
        <v>25</v>
      </c>
      <c r="F193" s="35" t="s">
        <v>25</v>
      </c>
      <c r="G193" s="35" t="s">
        <v>25</v>
      </c>
      <c r="H193" s="35" t="s">
        <v>34</v>
      </c>
      <c r="I193" s="55">
        <v>44682</v>
      </c>
      <c r="J193" s="56">
        <f>EFEITO!$J$193*EFEITO!$Y$193</f>
        <v>0</v>
      </c>
      <c r="K193" s="56">
        <f ca="1">EFEITO!$L$193*EFEITO!$Z$193</f>
        <v>12946.091203377004</v>
      </c>
      <c r="L193" s="56">
        <f>EFEITO!$N$193*EFEITO!$AA$193</f>
        <v>3382.0855339623895</v>
      </c>
      <c r="M193" s="56">
        <f>$J$193-EFEITO!$K$193*EFEITO!$Y$193</f>
        <v>0</v>
      </c>
      <c r="N193" s="56">
        <f ca="1">$K$193-EFEITO!$M$193*EFEITO!$Z$193</f>
        <v>0</v>
      </c>
      <c r="O193" s="56">
        <f>$L$193-EFEITO!$O$193*EFEITO!$AA$193</f>
        <v>0</v>
      </c>
      <c r="P193" s="39"/>
      <c r="Q193" s="39"/>
      <c r="R193" s="39"/>
      <c r="S193" s="39"/>
      <c r="T193" s="39"/>
      <c r="U193" s="39"/>
      <c r="V193" s="39"/>
      <c r="W193" s="39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35" t="s">
        <v>21</v>
      </c>
      <c r="B194" s="35" t="s">
        <v>39</v>
      </c>
      <c r="C194" s="35" t="s">
        <v>40</v>
      </c>
      <c r="D194" s="35" t="s">
        <v>41</v>
      </c>
      <c r="E194" s="35" t="s">
        <v>25</v>
      </c>
      <c r="F194" s="35" t="s">
        <v>25</v>
      </c>
      <c r="G194" s="35" t="s">
        <v>25</v>
      </c>
      <c r="H194" s="35" t="s">
        <v>34</v>
      </c>
      <c r="I194" s="55">
        <v>44713</v>
      </c>
      <c r="J194" s="56">
        <f>EFEITO!$J$194*EFEITO!$Y$194</f>
        <v>0</v>
      </c>
      <c r="K194" s="56">
        <f ca="1">EFEITO!$L$194*EFEITO!$Z$194</f>
        <v>36092.217021401004</v>
      </c>
      <c r="L194" s="56">
        <f>EFEITO!$N$194*EFEITO!$AA$194</f>
        <v>9428.8664554495135</v>
      </c>
      <c r="M194" s="56">
        <f>$J$194-EFEITO!$K$194*EFEITO!$Y$194</f>
        <v>0</v>
      </c>
      <c r="N194" s="56">
        <f ca="1">$K$194-EFEITO!$M$194*EFEITO!$Z$194</f>
        <v>0</v>
      </c>
      <c r="O194" s="56">
        <f>$L$194-EFEITO!$O$194*EFEITO!$AA$194</f>
        <v>0</v>
      </c>
      <c r="P194" s="39"/>
      <c r="Q194" s="39"/>
      <c r="R194" s="39"/>
      <c r="S194" s="39"/>
      <c r="T194" s="39"/>
      <c r="U194" s="39"/>
      <c r="V194" s="39"/>
      <c r="W194" s="39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35" t="s">
        <v>28</v>
      </c>
      <c r="B195" s="35" t="s">
        <v>39</v>
      </c>
      <c r="C195" s="35" t="s">
        <v>40</v>
      </c>
      <c r="D195" s="35" t="s">
        <v>41</v>
      </c>
      <c r="E195" s="35" t="s">
        <v>25</v>
      </c>
      <c r="F195" s="35" t="s">
        <v>25</v>
      </c>
      <c r="G195" s="35" t="s">
        <v>25</v>
      </c>
      <c r="H195" s="35" t="s">
        <v>34</v>
      </c>
      <c r="I195" s="55">
        <v>44713</v>
      </c>
      <c r="J195" s="56">
        <f>EFEITO!$J$195*EFEITO!$Y$195</f>
        <v>0</v>
      </c>
      <c r="K195" s="56">
        <f ca="1">EFEITO!$L$195*EFEITO!$Z$195</f>
        <v>17448.958969962543</v>
      </c>
      <c r="L195" s="56">
        <f>EFEITO!$N$195*EFEITO!$AA$195</f>
        <v>4558.4316368495647</v>
      </c>
      <c r="M195" s="56">
        <f>$J$195-EFEITO!$K$195*EFEITO!$Y$195</f>
        <v>0</v>
      </c>
      <c r="N195" s="56">
        <f ca="1">$K$195-EFEITO!$M$195*EFEITO!$Z$195</f>
        <v>0</v>
      </c>
      <c r="O195" s="56">
        <f>$L$195-EFEITO!$O$195*EFEITO!$AA$195</f>
        <v>0</v>
      </c>
      <c r="P195" s="39"/>
      <c r="Q195" s="39"/>
      <c r="R195" s="39"/>
      <c r="S195" s="39"/>
      <c r="T195" s="39"/>
      <c r="U195" s="39"/>
      <c r="V195" s="39"/>
      <c r="W195" s="39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35" t="s">
        <v>21</v>
      </c>
      <c r="B196" s="35" t="s">
        <v>39</v>
      </c>
      <c r="C196" s="35" t="s">
        <v>40</v>
      </c>
      <c r="D196" s="35" t="s">
        <v>41</v>
      </c>
      <c r="E196" s="35" t="s">
        <v>25</v>
      </c>
      <c r="F196" s="35" t="s">
        <v>25</v>
      </c>
      <c r="G196" s="35" t="s">
        <v>25</v>
      </c>
      <c r="H196" s="35" t="s">
        <v>34</v>
      </c>
      <c r="I196" s="55">
        <v>44743</v>
      </c>
      <c r="J196" s="56">
        <f>EFEITO!$J$196*EFEITO!$Y$196</f>
        <v>0</v>
      </c>
      <c r="K196" s="56">
        <f ca="1">EFEITO!$L$196*EFEITO!$Z$196</f>
        <v>23256.96563997072</v>
      </c>
      <c r="L196" s="56">
        <f>EFEITO!$N$196*EFEITO!$AA$196</f>
        <v>6075.7371332505008</v>
      </c>
      <c r="M196" s="56">
        <f>$J$196-EFEITO!$K$196*EFEITO!$Y$196</f>
        <v>0</v>
      </c>
      <c r="N196" s="56">
        <f ca="1">$K$196-EFEITO!$M$196*EFEITO!$Z$196</f>
        <v>0</v>
      </c>
      <c r="O196" s="56">
        <f>$L$196-EFEITO!$O$196*EFEITO!$AA$196</f>
        <v>0</v>
      </c>
      <c r="P196" s="39"/>
      <c r="Q196" s="39"/>
      <c r="R196" s="39"/>
      <c r="S196" s="39"/>
      <c r="T196" s="39"/>
      <c r="U196" s="39"/>
      <c r="V196" s="39"/>
      <c r="W196" s="39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35" t="s">
        <v>28</v>
      </c>
      <c r="B197" s="35" t="s">
        <v>39</v>
      </c>
      <c r="C197" s="35" t="s">
        <v>40</v>
      </c>
      <c r="D197" s="35" t="s">
        <v>41</v>
      </c>
      <c r="E197" s="35" t="s">
        <v>25</v>
      </c>
      <c r="F197" s="35" t="s">
        <v>25</v>
      </c>
      <c r="G197" s="35" t="s">
        <v>25</v>
      </c>
      <c r="H197" s="35" t="s">
        <v>34</v>
      </c>
      <c r="I197" s="55">
        <v>44743</v>
      </c>
      <c r="J197" s="56">
        <f>EFEITO!$J$197*EFEITO!$Y$197</f>
        <v>0</v>
      </c>
      <c r="K197" s="56">
        <f ca="1">EFEITO!$L$197*EFEITO!$Z$197</f>
        <v>15266.799975386475</v>
      </c>
      <c r="L197" s="56">
        <f>EFEITO!$N$197*EFEITO!$AA$197</f>
        <v>3988.3562177580875</v>
      </c>
      <c r="M197" s="56">
        <f>$J$197-EFEITO!$K$197*EFEITO!$Y$197</f>
        <v>0</v>
      </c>
      <c r="N197" s="56">
        <f ca="1">$K$197-EFEITO!$M$197*EFEITO!$Z$197</f>
        <v>0</v>
      </c>
      <c r="O197" s="56">
        <f>$L$197-EFEITO!$O$197*EFEITO!$AA$197</f>
        <v>0</v>
      </c>
      <c r="P197" s="39"/>
      <c r="Q197" s="39"/>
      <c r="R197" s="39"/>
      <c r="S197" s="39"/>
      <c r="T197" s="39"/>
      <c r="U197" s="39"/>
      <c r="V197" s="39"/>
      <c r="W197" s="39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35" t="s">
        <v>21</v>
      </c>
      <c r="B198" s="35" t="s">
        <v>39</v>
      </c>
      <c r="C198" s="35" t="s">
        <v>40</v>
      </c>
      <c r="D198" s="35" t="s">
        <v>41</v>
      </c>
      <c r="E198" s="35" t="s">
        <v>25</v>
      </c>
      <c r="F198" s="35" t="s">
        <v>25</v>
      </c>
      <c r="G198" s="35" t="s">
        <v>25</v>
      </c>
      <c r="H198" s="35" t="s">
        <v>34</v>
      </c>
      <c r="I198" s="55">
        <v>44774</v>
      </c>
      <c r="J198" s="56">
        <f>EFEITO!$J$198*EFEITO!$Y$198</f>
        <v>0</v>
      </c>
      <c r="K198" s="56">
        <f ca="1">EFEITO!$L$198*EFEITO!$Z$198</f>
        <v>35026.769232938146</v>
      </c>
      <c r="L198" s="56">
        <f>EFEITO!$N$198*EFEITO!$AA$198</f>
        <v>9150.5248698740543</v>
      </c>
      <c r="M198" s="56">
        <f>$J$198-EFEITO!$K$198*EFEITO!$Y$198</f>
        <v>0</v>
      </c>
      <c r="N198" s="56">
        <f ca="1">$K$198-EFEITO!$M$198*EFEITO!$Z$198</f>
        <v>0</v>
      </c>
      <c r="O198" s="56">
        <f>$L$198-EFEITO!$O$198*EFEITO!$AA$198</f>
        <v>0</v>
      </c>
      <c r="P198" s="39"/>
      <c r="Q198" s="39"/>
      <c r="R198" s="39"/>
      <c r="S198" s="39"/>
      <c r="T198" s="39"/>
      <c r="U198" s="39"/>
      <c r="V198" s="39"/>
      <c r="W198" s="39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35" t="s">
        <v>28</v>
      </c>
      <c r="B199" s="35" t="s">
        <v>39</v>
      </c>
      <c r="C199" s="35" t="s">
        <v>40</v>
      </c>
      <c r="D199" s="35" t="s">
        <v>41</v>
      </c>
      <c r="E199" s="35" t="s">
        <v>25</v>
      </c>
      <c r="F199" s="35" t="s">
        <v>25</v>
      </c>
      <c r="G199" s="35" t="s">
        <v>25</v>
      </c>
      <c r="H199" s="35" t="s">
        <v>34</v>
      </c>
      <c r="I199" s="55">
        <v>44774</v>
      </c>
      <c r="J199" s="56">
        <f>EFEITO!$J$199*EFEITO!$Y$199</f>
        <v>0</v>
      </c>
      <c r="K199" s="56">
        <f ca="1">EFEITO!$L$199*EFEITO!$Z$199</f>
        <v>16213.094955256603</v>
      </c>
      <c r="L199" s="56">
        <f>EFEITO!$N$199*EFEITO!$AA$199</f>
        <v>4235.5698756879156</v>
      </c>
      <c r="M199" s="56">
        <f>$J$199-EFEITO!$K$199*EFEITO!$Y$199</f>
        <v>0</v>
      </c>
      <c r="N199" s="56">
        <f ca="1">$K$199-EFEITO!$M$199*EFEITO!$Z$199</f>
        <v>0</v>
      </c>
      <c r="O199" s="56">
        <f>$L$199-EFEITO!$O$199*EFEITO!$AA$199</f>
        <v>0</v>
      </c>
      <c r="P199" s="39"/>
      <c r="Q199" s="39"/>
      <c r="R199" s="39"/>
      <c r="S199" s="39"/>
      <c r="T199" s="39"/>
      <c r="U199" s="39"/>
      <c r="V199" s="39"/>
      <c r="W199" s="39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35" t="s">
        <v>21</v>
      </c>
      <c r="B200" s="35" t="s">
        <v>39</v>
      </c>
      <c r="C200" s="35" t="s">
        <v>40</v>
      </c>
      <c r="D200" s="35" t="s">
        <v>41</v>
      </c>
      <c r="E200" s="35" t="s">
        <v>25</v>
      </c>
      <c r="F200" s="35" t="s">
        <v>25</v>
      </c>
      <c r="G200" s="35" t="s">
        <v>25</v>
      </c>
      <c r="H200" s="35" t="s">
        <v>34</v>
      </c>
      <c r="I200" s="55">
        <v>44805</v>
      </c>
      <c r="J200" s="56">
        <f>EFEITO!$J$200*EFEITO!$Y$200</f>
        <v>0</v>
      </c>
      <c r="K200" s="56">
        <f ca="1">EFEITO!$L$200*EFEITO!$Z$200</f>
        <v>40930.375249375371</v>
      </c>
      <c r="L200" s="56">
        <f>EFEITO!$N$200*EFEITO!$AA$200</f>
        <v>10692.805098920902</v>
      </c>
      <c r="M200" s="56">
        <f>$J$200-EFEITO!$K$200*EFEITO!$Y$200</f>
        <v>0</v>
      </c>
      <c r="N200" s="56">
        <f ca="1">$K$200-EFEITO!$M$200*EFEITO!$Z$200</f>
        <v>0</v>
      </c>
      <c r="O200" s="56">
        <f>$L$200-EFEITO!$O$200*EFEITO!$AA$200</f>
        <v>0</v>
      </c>
      <c r="P200" s="39"/>
      <c r="Q200" s="39"/>
      <c r="R200" s="39"/>
      <c r="S200" s="39"/>
      <c r="T200" s="39"/>
      <c r="U200" s="39"/>
      <c r="V200" s="39"/>
      <c r="W200" s="39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35" t="s">
        <v>28</v>
      </c>
      <c r="B201" s="35" t="s">
        <v>39</v>
      </c>
      <c r="C201" s="35" t="s">
        <v>40</v>
      </c>
      <c r="D201" s="35" t="s">
        <v>41</v>
      </c>
      <c r="E201" s="35" t="s">
        <v>25</v>
      </c>
      <c r="F201" s="35" t="s">
        <v>25</v>
      </c>
      <c r="G201" s="35" t="s">
        <v>25</v>
      </c>
      <c r="H201" s="35" t="s">
        <v>34</v>
      </c>
      <c r="I201" s="55">
        <v>44805</v>
      </c>
      <c r="J201" s="56">
        <f>EFEITO!$J$201*EFEITO!$Y$201</f>
        <v>0</v>
      </c>
      <c r="K201" s="56">
        <f ca="1">EFEITO!$L$201*EFEITO!$Z$201</f>
        <v>11246.085434269175</v>
      </c>
      <c r="L201" s="56">
        <f>EFEITO!$N$201*EFEITO!$AA$201</f>
        <v>2937.969636041601</v>
      </c>
      <c r="M201" s="56">
        <f>$J$201-EFEITO!$K$201*EFEITO!$Y$201</f>
        <v>0</v>
      </c>
      <c r="N201" s="56">
        <f ca="1">$K$201-EFEITO!$M$201*EFEITO!$Z$201</f>
        <v>0</v>
      </c>
      <c r="O201" s="56">
        <f>$L$201-EFEITO!$O$201*EFEITO!$AA$201</f>
        <v>0</v>
      </c>
      <c r="P201" s="39"/>
      <c r="Q201" s="39"/>
      <c r="R201" s="39"/>
      <c r="S201" s="39"/>
      <c r="T201" s="39"/>
      <c r="U201" s="39"/>
      <c r="V201" s="39"/>
      <c r="W201" s="39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35" t="s">
        <v>57</v>
      </c>
      <c r="B202" s="35" t="s">
        <v>39</v>
      </c>
      <c r="C202" s="35" t="s">
        <v>40</v>
      </c>
      <c r="D202" s="35" t="s">
        <v>41</v>
      </c>
      <c r="E202" s="35" t="s">
        <v>25</v>
      </c>
      <c r="F202" s="35" t="s">
        <v>25</v>
      </c>
      <c r="G202" s="35" t="s">
        <v>25</v>
      </c>
      <c r="H202" s="35" t="s">
        <v>34</v>
      </c>
      <c r="I202" s="55">
        <v>44835</v>
      </c>
      <c r="J202" s="56">
        <f>EFEITO!$J$202*EFEITO!$Y$202</f>
        <v>0</v>
      </c>
      <c r="K202" s="56">
        <f ca="1">EFEITO!$L$202*EFEITO!$Z$202</f>
        <v>40930.375249375371</v>
      </c>
      <c r="L202" s="56">
        <f>EFEITO!$N$202*EFEITO!$AA$202</f>
        <v>10692.805098920902</v>
      </c>
      <c r="M202" s="56">
        <f>$J$202-EFEITO!$K$202*EFEITO!$Y$202</f>
        <v>0</v>
      </c>
      <c r="N202" s="56">
        <f ca="1">$K$202-EFEITO!$M$202*EFEITO!$Z$202</f>
        <v>0</v>
      </c>
      <c r="O202" s="56">
        <f>$L$202-EFEITO!$O$202*EFEITO!$AA$202</f>
        <v>0</v>
      </c>
      <c r="P202" s="39"/>
      <c r="Q202" s="39"/>
      <c r="R202" s="39"/>
      <c r="S202" s="39"/>
      <c r="T202" s="39"/>
      <c r="U202" s="39"/>
      <c r="V202" s="39"/>
      <c r="W202" s="39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35" t="s">
        <v>57</v>
      </c>
      <c r="B203" s="35" t="s">
        <v>39</v>
      </c>
      <c r="C203" s="35" t="s">
        <v>40</v>
      </c>
      <c r="D203" s="35" t="s">
        <v>41</v>
      </c>
      <c r="E203" s="35" t="s">
        <v>25</v>
      </c>
      <c r="F203" s="35" t="s">
        <v>25</v>
      </c>
      <c r="G203" s="35" t="s">
        <v>25</v>
      </c>
      <c r="H203" s="35" t="s">
        <v>34</v>
      </c>
      <c r="I203" s="55">
        <v>44835</v>
      </c>
      <c r="J203" s="56">
        <f>EFEITO!$J$203*EFEITO!$Y$203</f>
        <v>0</v>
      </c>
      <c r="K203" s="56">
        <f ca="1">EFEITO!$L$203*EFEITO!$Z$203</f>
        <v>11246.085434269175</v>
      </c>
      <c r="L203" s="56">
        <f>EFEITO!$N$203*EFEITO!$AA$203</f>
        <v>2937.969636041601</v>
      </c>
      <c r="M203" s="56">
        <f>$J$203-EFEITO!$K$203*EFEITO!$Y$203</f>
        <v>0</v>
      </c>
      <c r="N203" s="56">
        <f ca="1">$K$203-EFEITO!$M$203*EFEITO!$Z$203</f>
        <v>0</v>
      </c>
      <c r="O203" s="56">
        <f>$L$203-EFEITO!$O$203*EFEITO!$AA$203</f>
        <v>0</v>
      </c>
      <c r="P203" s="39"/>
      <c r="Q203" s="39"/>
      <c r="R203" s="39"/>
      <c r="S203" s="39"/>
      <c r="T203" s="39"/>
      <c r="U203" s="39"/>
      <c r="V203" s="39"/>
      <c r="W203" s="39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35" t="s">
        <v>21</v>
      </c>
      <c r="B204" s="35" t="s">
        <v>39</v>
      </c>
      <c r="C204" s="35" t="s">
        <v>40</v>
      </c>
      <c r="D204" s="35" t="s">
        <v>38</v>
      </c>
      <c r="E204" s="35" t="s">
        <v>25</v>
      </c>
      <c r="F204" s="35" t="s">
        <v>58</v>
      </c>
      <c r="G204" s="35" t="s">
        <v>25</v>
      </c>
      <c r="H204" s="35" t="s">
        <v>35</v>
      </c>
      <c r="I204" s="55">
        <v>44501</v>
      </c>
      <c r="J204" s="56">
        <f>EFEITO!$J$204*EFEITO!$Y$204</f>
        <v>0</v>
      </c>
      <c r="K204" s="56">
        <f ca="1">EFEITO!$L$204*EFEITO!$Z$204</f>
        <v>83828.39855299746</v>
      </c>
      <c r="L204" s="56">
        <f>EFEITO!$N$204*EFEITO!$AA$204</f>
        <v>0</v>
      </c>
      <c r="M204" s="56">
        <f>$J$204-EFEITO!$K$204*EFEITO!$Y$204</f>
        <v>0</v>
      </c>
      <c r="N204" s="56">
        <f ca="1">$K$204-EFEITO!$M$204*EFEITO!$Z$204</f>
        <v>0</v>
      </c>
      <c r="O204" s="56">
        <f>$L$204-EFEITO!$O$204*EFEITO!$AA$204</f>
        <v>0</v>
      </c>
      <c r="P204" s="39"/>
      <c r="Q204" s="39"/>
      <c r="R204" s="39"/>
      <c r="S204" s="39"/>
      <c r="T204" s="39"/>
      <c r="U204" s="39"/>
      <c r="V204" s="39"/>
      <c r="W204" s="39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35" t="s">
        <v>21</v>
      </c>
      <c r="B205" s="35" t="s">
        <v>39</v>
      </c>
      <c r="C205" s="35" t="s">
        <v>40</v>
      </c>
      <c r="D205" s="35" t="s">
        <v>38</v>
      </c>
      <c r="E205" s="35" t="s">
        <v>25</v>
      </c>
      <c r="F205" s="35" t="s">
        <v>58</v>
      </c>
      <c r="G205" s="35" t="s">
        <v>25</v>
      </c>
      <c r="H205" s="35" t="s">
        <v>35</v>
      </c>
      <c r="I205" s="55">
        <v>44531</v>
      </c>
      <c r="J205" s="56">
        <f>EFEITO!$J$205*EFEITO!$Y$205</f>
        <v>0</v>
      </c>
      <c r="K205" s="56">
        <f ca="1">EFEITO!$L$205*EFEITO!$Z$205</f>
        <v>86919.752993683156</v>
      </c>
      <c r="L205" s="56">
        <f>EFEITO!$N$205*EFEITO!$AA$205</f>
        <v>0</v>
      </c>
      <c r="M205" s="56">
        <f>$J$205-EFEITO!$K$205*EFEITO!$Y$205</f>
        <v>0</v>
      </c>
      <c r="N205" s="56">
        <f ca="1">$K$205-EFEITO!$M$205*EFEITO!$Z$205</f>
        <v>0</v>
      </c>
      <c r="O205" s="56">
        <f>$L$205-EFEITO!$O$205*EFEITO!$AA$205</f>
        <v>0</v>
      </c>
      <c r="P205" s="39"/>
      <c r="Q205" s="39"/>
      <c r="R205" s="39"/>
      <c r="S205" s="39"/>
      <c r="T205" s="39"/>
      <c r="U205" s="39"/>
      <c r="V205" s="39"/>
      <c r="W205" s="39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35" t="s">
        <v>21</v>
      </c>
      <c r="B206" s="35" t="s">
        <v>39</v>
      </c>
      <c r="C206" s="35" t="s">
        <v>40</v>
      </c>
      <c r="D206" s="35" t="s">
        <v>38</v>
      </c>
      <c r="E206" s="35" t="s">
        <v>25</v>
      </c>
      <c r="F206" s="35" t="s">
        <v>58</v>
      </c>
      <c r="G206" s="35" t="s">
        <v>25</v>
      </c>
      <c r="H206" s="35" t="s">
        <v>35</v>
      </c>
      <c r="I206" s="55">
        <v>44562</v>
      </c>
      <c r="J206" s="56">
        <f>EFEITO!$J$206*EFEITO!$Y$206</f>
        <v>0</v>
      </c>
      <c r="K206" s="56">
        <f ca="1">EFEITO!$L$206*EFEITO!$Z$206</f>
        <v>88131.580255337831</v>
      </c>
      <c r="L206" s="56">
        <f>EFEITO!$N$206*EFEITO!$AA$206</f>
        <v>0</v>
      </c>
      <c r="M206" s="56">
        <f>$J$206-EFEITO!$K$206*EFEITO!$Y$206</f>
        <v>0</v>
      </c>
      <c r="N206" s="56">
        <f ca="1">$K$206-EFEITO!$M$206*EFEITO!$Z$206</f>
        <v>0</v>
      </c>
      <c r="O206" s="56">
        <f>$L$206-EFEITO!$O$206*EFEITO!$AA$206</f>
        <v>0</v>
      </c>
      <c r="P206" s="39"/>
      <c r="Q206" s="39"/>
      <c r="R206" s="39"/>
      <c r="S206" s="39"/>
      <c r="T206" s="39"/>
      <c r="U206" s="39"/>
      <c r="V206" s="39"/>
      <c r="W206" s="39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35" t="s">
        <v>21</v>
      </c>
      <c r="B207" s="35" t="s">
        <v>39</v>
      </c>
      <c r="C207" s="35" t="s">
        <v>40</v>
      </c>
      <c r="D207" s="35" t="s">
        <v>38</v>
      </c>
      <c r="E207" s="35" t="s">
        <v>25</v>
      </c>
      <c r="F207" s="35" t="s">
        <v>58</v>
      </c>
      <c r="G207" s="35" t="s">
        <v>25</v>
      </c>
      <c r="H207" s="35" t="s">
        <v>35</v>
      </c>
      <c r="I207" s="55">
        <v>44593</v>
      </c>
      <c r="J207" s="56">
        <f>EFEITO!$J$207*EFEITO!$Y$207</f>
        <v>0</v>
      </c>
      <c r="K207" s="56">
        <f ca="1">EFEITO!$L$207*EFEITO!$Z$207</f>
        <v>88248.01243211297</v>
      </c>
      <c r="L207" s="56">
        <f>EFEITO!$N$207*EFEITO!$AA$207</f>
        <v>0</v>
      </c>
      <c r="M207" s="56">
        <f>$J$207-EFEITO!$K$207*EFEITO!$Y$207</f>
        <v>0</v>
      </c>
      <c r="N207" s="56">
        <f ca="1">$K$207-EFEITO!$M$207*EFEITO!$Z$207</f>
        <v>0</v>
      </c>
      <c r="O207" s="56">
        <f>$L$207-EFEITO!$O$207*EFEITO!$AA$207</f>
        <v>0</v>
      </c>
      <c r="P207" s="39"/>
      <c r="Q207" s="39"/>
      <c r="R207" s="39"/>
      <c r="S207" s="39"/>
      <c r="T207" s="39"/>
      <c r="U207" s="39"/>
      <c r="V207" s="39"/>
      <c r="W207" s="39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35" t="s">
        <v>21</v>
      </c>
      <c r="B208" s="35" t="s">
        <v>39</v>
      </c>
      <c r="C208" s="35" t="s">
        <v>40</v>
      </c>
      <c r="D208" s="35" t="s">
        <v>38</v>
      </c>
      <c r="E208" s="35" t="s">
        <v>25</v>
      </c>
      <c r="F208" s="35" t="s">
        <v>58</v>
      </c>
      <c r="G208" s="35" t="s">
        <v>25</v>
      </c>
      <c r="H208" s="35" t="s">
        <v>35</v>
      </c>
      <c r="I208" s="55">
        <v>44621</v>
      </c>
      <c r="J208" s="56">
        <f>EFEITO!$J$208*EFEITO!$Y$208</f>
        <v>0</v>
      </c>
      <c r="K208" s="56">
        <f ca="1">EFEITO!$L$208*EFEITO!$Z$208</f>
        <v>92695.896451772118</v>
      </c>
      <c r="L208" s="56">
        <f>EFEITO!$N$208*EFEITO!$AA$208</f>
        <v>0</v>
      </c>
      <c r="M208" s="56">
        <f>$J$208-EFEITO!$K$208*EFEITO!$Y$208</f>
        <v>0</v>
      </c>
      <c r="N208" s="56">
        <f ca="1">$K$208-EFEITO!$M$208*EFEITO!$Z$208</f>
        <v>0</v>
      </c>
      <c r="O208" s="56">
        <f>$L$208-EFEITO!$O$208*EFEITO!$AA$208</f>
        <v>0</v>
      </c>
      <c r="P208" s="39"/>
      <c r="Q208" s="39"/>
      <c r="R208" s="39"/>
      <c r="S208" s="39"/>
      <c r="T208" s="39"/>
      <c r="U208" s="39"/>
      <c r="V208" s="39"/>
      <c r="W208" s="39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35" t="s">
        <v>21</v>
      </c>
      <c r="B209" s="35" t="s">
        <v>39</v>
      </c>
      <c r="C209" s="35" t="s">
        <v>40</v>
      </c>
      <c r="D209" s="35" t="s">
        <v>38</v>
      </c>
      <c r="E209" s="35" t="s">
        <v>25</v>
      </c>
      <c r="F209" s="35" t="s">
        <v>58</v>
      </c>
      <c r="G209" s="35" t="s">
        <v>25</v>
      </c>
      <c r="H209" s="35" t="s">
        <v>35</v>
      </c>
      <c r="I209" s="55">
        <v>44652</v>
      </c>
      <c r="J209" s="56">
        <f>EFEITO!$J$209*EFEITO!$Y$209</f>
        <v>0</v>
      </c>
      <c r="K209" s="56">
        <f ca="1">EFEITO!$L$209*EFEITO!$Z$209</f>
        <v>95042.463839269127</v>
      </c>
      <c r="L209" s="56">
        <f>EFEITO!$N$209*EFEITO!$AA$209</f>
        <v>0</v>
      </c>
      <c r="M209" s="56">
        <f>$J$209-EFEITO!$K$209*EFEITO!$Y$209</f>
        <v>0</v>
      </c>
      <c r="N209" s="56">
        <f ca="1">$K$209-EFEITO!$M$209*EFEITO!$Z$209</f>
        <v>0</v>
      </c>
      <c r="O209" s="56">
        <f>$L$209-EFEITO!$O$209*EFEITO!$AA$209</f>
        <v>0</v>
      </c>
      <c r="P209" s="39"/>
      <c r="Q209" s="39"/>
      <c r="R209" s="39"/>
      <c r="S209" s="39"/>
      <c r="T209" s="39"/>
      <c r="U209" s="39"/>
      <c r="V209" s="39"/>
      <c r="W209" s="39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35" t="s">
        <v>21</v>
      </c>
      <c r="B210" s="35" t="s">
        <v>39</v>
      </c>
      <c r="C210" s="35" t="s">
        <v>40</v>
      </c>
      <c r="D210" s="35" t="s">
        <v>38</v>
      </c>
      <c r="E210" s="35" t="s">
        <v>25</v>
      </c>
      <c r="F210" s="35" t="s">
        <v>58</v>
      </c>
      <c r="G210" s="35" t="s">
        <v>25</v>
      </c>
      <c r="H210" s="35" t="s">
        <v>35</v>
      </c>
      <c r="I210" s="55">
        <v>44682</v>
      </c>
      <c r="J210" s="56">
        <f>EFEITO!$J$210*EFEITO!$Y$210</f>
        <v>0</v>
      </c>
      <c r="K210" s="56">
        <f ca="1">EFEITO!$L$210*EFEITO!$Z$210</f>
        <v>94708.322435833077</v>
      </c>
      <c r="L210" s="56">
        <f>EFEITO!$N$210*EFEITO!$AA$210</f>
        <v>0</v>
      </c>
      <c r="M210" s="56">
        <f>$J$210-EFEITO!$K$210*EFEITO!$Y$210</f>
        <v>0</v>
      </c>
      <c r="N210" s="56">
        <f ca="1">$K$210-EFEITO!$M$210*EFEITO!$Z$210</f>
        <v>0</v>
      </c>
      <c r="O210" s="56">
        <f>$L$210-EFEITO!$O$210*EFEITO!$AA$210</f>
        <v>0</v>
      </c>
      <c r="P210" s="39"/>
      <c r="Q210" s="39"/>
      <c r="R210" s="39"/>
      <c r="S210" s="39"/>
      <c r="T210" s="39"/>
      <c r="U210" s="39"/>
      <c r="V210" s="39"/>
      <c r="W210" s="39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35" t="s">
        <v>21</v>
      </c>
      <c r="B211" s="35" t="s">
        <v>39</v>
      </c>
      <c r="C211" s="35" t="s">
        <v>40</v>
      </c>
      <c r="D211" s="35" t="s">
        <v>38</v>
      </c>
      <c r="E211" s="35" t="s">
        <v>25</v>
      </c>
      <c r="F211" s="35" t="s">
        <v>58</v>
      </c>
      <c r="G211" s="35" t="s">
        <v>25</v>
      </c>
      <c r="H211" s="35" t="s">
        <v>35</v>
      </c>
      <c r="I211" s="55">
        <v>44713</v>
      </c>
      <c r="J211" s="56">
        <f>EFEITO!$J$211*EFEITO!$Y$211</f>
        <v>0</v>
      </c>
      <c r="K211" s="56">
        <f ca="1">EFEITO!$L$211*EFEITO!$Z$211</f>
        <v>83821.549601422463</v>
      </c>
      <c r="L211" s="56">
        <f>EFEITO!$N$211*EFEITO!$AA$211</f>
        <v>0</v>
      </c>
      <c r="M211" s="56">
        <f>$J$211-EFEITO!$K$211*EFEITO!$Y$211</f>
        <v>0</v>
      </c>
      <c r="N211" s="56">
        <f ca="1">$K$211-EFEITO!$M$211*EFEITO!$Z$211</f>
        <v>0</v>
      </c>
      <c r="O211" s="56">
        <f>$L$211-EFEITO!$O$211*EFEITO!$AA$211</f>
        <v>0</v>
      </c>
      <c r="P211" s="39"/>
      <c r="Q211" s="39"/>
      <c r="R211" s="39"/>
      <c r="S211" s="39"/>
      <c r="T211" s="39"/>
      <c r="U211" s="39"/>
      <c r="V211" s="39"/>
      <c r="W211" s="39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35" t="s">
        <v>21</v>
      </c>
      <c r="B212" s="35" t="s">
        <v>39</v>
      </c>
      <c r="C212" s="35" t="s">
        <v>40</v>
      </c>
      <c r="D212" s="35" t="s">
        <v>38</v>
      </c>
      <c r="E212" s="35" t="s">
        <v>25</v>
      </c>
      <c r="F212" s="35" t="s">
        <v>58</v>
      </c>
      <c r="G212" s="35" t="s">
        <v>25</v>
      </c>
      <c r="H212" s="35" t="s">
        <v>35</v>
      </c>
      <c r="I212" s="55">
        <v>44743</v>
      </c>
      <c r="J212" s="56">
        <f>EFEITO!$J$212*EFEITO!$Y$212</f>
        <v>0</v>
      </c>
      <c r="K212" s="56">
        <f ca="1">EFEITO!$L$212*EFEITO!$Z$212</f>
        <v>109034.28901751543</v>
      </c>
      <c r="L212" s="56">
        <f>EFEITO!$N$212*EFEITO!$AA$212</f>
        <v>0</v>
      </c>
      <c r="M212" s="56">
        <f>$J$212-EFEITO!$K$212*EFEITO!$Y$212</f>
        <v>0</v>
      </c>
      <c r="N212" s="56">
        <f ca="1">$K$212-EFEITO!$M$212*EFEITO!$Z$212</f>
        <v>0</v>
      </c>
      <c r="O212" s="56">
        <f>$L$212-EFEITO!$O$212*EFEITO!$AA$212</f>
        <v>0</v>
      </c>
      <c r="P212" s="39"/>
      <c r="Q212" s="39"/>
      <c r="R212" s="39"/>
      <c r="S212" s="39"/>
      <c r="T212" s="39"/>
      <c r="U212" s="39"/>
      <c r="V212" s="39"/>
      <c r="W212" s="39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35" t="s">
        <v>21</v>
      </c>
      <c r="B213" s="35" t="s">
        <v>39</v>
      </c>
      <c r="C213" s="35" t="s">
        <v>40</v>
      </c>
      <c r="D213" s="35" t="s">
        <v>38</v>
      </c>
      <c r="E213" s="35" t="s">
        <v>25</v>
      </c>
      <c r="F213" s="35" t="s">
        <v>58</v>
      </c>
      <c r="G213" s="35" t="s">
        <v>25</v>
      </c>
      <c r="H213" s="35" t="s">
        <v>35</v>
      </c>
      <c r="I213" s="55">
        <v>44774</v>
      </c>
      <c r="J213" s="56">
        <f>EFEITO!$J$213*EFEITO!$Y$213</f>
        <v>0</v>
      </c>
      <c r="K213" s="56">
        <f ca="1">EFEITO!$L$213*EFEITO!$Z$213</f>
        <v>102899.23135242125</v>
      </c>
      <c r="L213" s="56">
        <f>EFEITO!$N$213*EFEITO!$AA$213</f>
        <v>0</v>
      </c>
      <c r="M213" s="56">
        <f>$J$213-EFEITO!$K$213*EFEITO!$Y$213</f>
        <v>0</v>
      </c>
      <c r="N213" s="56">
        <f ca="1">$K$213-EFEITO!$M$213*EFEITO!$Z$213</f>
        <v>0</v>
      </c>
      <c r="O213" s="56">
        <f>$L$213-EFEITO!$O$213*EFEITO!$AA$213</f>
        <v>0</v>
      </c>
      <c r="P213" s="39"/>
      <c r="Q213" s="39"/>
      <c r="R213" s="39"/>
      <c r="S213" s="39"/>
      <c r="T213" s="39"/>
      <c r="U213" s="39"/>
      <c r="V213" s="39"/>
      <c r="W213" s="39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35" t="s">
        <v>21</v>
      </c>
      <c r="B214" s="35" t="s">
        <v>39</v>
      </c>
      <c r="C214" s="35" t="s">
        <v>40</v>
      </c>
      <c r="D214" s="35" t="s">
        <v>38</v>
      </c>
      <c r="E214" s="35" t="s">
        <v>25</v>
      </c>
      <c r="F214" s="35" t="s">
        <v>58</v>
      </c>
      <c r="G214" s="35" t="s">
        <v>25</v>
      </c>
      <c r="H214" s="35" t="s">
        <v>35</v>
      </c>
      <c r="I214" s="55">
        <v>44805</v>
      </c>
      <c r="J214" s="56">
        <f>EFEITO!$J$214*EFEITO!$Y$214</f>
        <v>0</v>
      </c>
      <c r="K214" s="56">
        <f ca="1">EFEITO!$L$214*EFEITO!$Z$214</f>
        <v>93505.092794240656</v>
      </c>
      <c r="L214" s="56">
        <f>EFEITO!$N$214*EFEITO!$AA$214</f>
        <v>0</v>
      </c>
      <c r="M214" s="56">
        <f>$J$214-EFEITO!$K$214*EFEITO!$Y$214</f>
        <v>0</v>
      </c>
      <c r="N214" s="56">
        <f ca="1">$K$214-EFEITO!$M$214*EFEITO!$Z$214</f>
        <v>0</v>
      </c>
      <c r="O214" s="56">
        <f>$L$214-EFEITO!$O$214*EFEITO!$AA$214</f>
        <v>0</v>
      </c>
      <c r="P214" s="39"/>
      <c r="Q214" s="39"/>
      <c r="R214" s="39"/>
      <c r="S214" s="39"/>
      <c r="T214" s="39"/>
      <c r="U214" s="39"/>
      <c r="V214" s="39"/>
      <c r="W214" s="39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35" t="s">
        <v>57</v>
      </c>
      <c r="B215" s="35" t="s">
        <v>39</v>
      </c>
      <c r="C215" s="35" t="s">
        <v>40</v>
      </c>
      <c r="D215" s="35" t="s">
        <v>38</v>
      </c>
      <c r="E215" s="35" t="s">
        <v>25</v>
      </c>
      <c r="F215" s="35" t="s">
        <v>58</v>
      </c>
      <c r="G215" s="35" t="s">
        <v>25</v>
      </c>
      <c r="H215" s="35" t="s">
        <v>35</v>
      </c>
      <c r="I215" s="55">
        <v>44835</v>
      </c>
      <c r="J215" s="56">
        <f>EFEITO!$J$215*EFEITO!$Y$215</f>
        <v>0</v>
      </c>
      <c r="K215" s="56">
        <f ca="1">EFEITO!$L$215*EFEITO!$Z$215</f>
        <v>93505.092794240656</v>
      </c>
      <c r="L215" s="56">
        <f>EFEITO!$N$215*EFEITO!$AA$215</f>
        <v>0</v>
      </c>
      <c r="M215" s="56">
        <f>$J$215-EFEITO!$K$215*EFEITO!$Y$215</f>
        <v>0</v>
      </c>
      <c r="N215" s="56">
        <f ca="1">$K$215-EFEITO!$M$215*EFEITO!$Z$215</f>
        <v>0</v>
      </c>
      <c r="O215" s="56">
        <f>$L$215-EFEITO!$O$215*EFEITO!$AA$215</f>
        <v>0</v>
      </c>
      <c r="P215" s="39"/>
      <c r="Q215" s="39"/>
      <c r="R215" s="39"/>
      <c r="S215" s="39"/>
      <c r="T215" s="39"/>
      <c r="U215" s="39"/>
      <c r="V215" s="39"/>
      <c r="W215" s="39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35" t="s">
        <v>21</v>
      </c>
      <c r="B216" s="35" t="s">
        <v>39</v>
      </c>
      <c r="C216" s="35" t="s">
        <v>40</v>
      </c>
      <c r="D216" s="35" t="s">
        <v>38</v>
      </c>
      <c r="E216" s="35" t="s">
        <v>25</v>
      </c>
      <c r="F216" s="35" t="s">
        <v>58</v>
      </c>
      <c r="G216" s="35" t="s">
        <v>25</v>
      </c>
      <c r="H216" s="35" t="s">
        <v>25</v>
      </c>
      <c r="I216" s="55">
        <v>44501</v>
      </c>
      <c r="J216" s="56">
        <f ca="1">EFEITO!$J$216*EFEITO!$Y$216</f>
        <v>44875.611113811392</v>
      </c>
      <c r="K216" s="56">
        <f>EFEITO!$L$216*EFEITO!$Z$216</f>
        <v>0</v>
      </c>
      <c r="L216" s="56">
        <f>EFEITO!$N$216*EFEITO!$AA$216</f>
        <v>0</v>
      </c>
      <c r="M216" s="56">
        <f ca="1">$J$216-EFEITO!$K$216*EFEITO!$Y$216</f>
        <v>22437.805556905696</v>
      </c>
      <c r="N216" s="56">
        <f>$K$216-EFEITO!$M$216*EFEITO!$Z$216</f>
        <v>0</v>
      </c>
      <c r="O216" s="56">
        <f>$L$216-EFEITO!$O$216*EFEITO!$AA$216</f>
        <v>0</v>
      </c>
      <c r="P216" s="39"/>
      <c r="Q216" s="39"/>
      <c r="R216" s="39"/>
      <c r="S216" s="39"/>
      <c r="T216" s="39"/>
      <c r="U216" s="39"/>
      <c r="V216" s="39"/>
      <c r="W216" s="39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35" t="s">
        <v>21</v>
      </c>
      <c r="B217" s="35" t="s">
        <v>39</v>
      </c>
      <c r="C217" s="35" t="s">
        <v>40</v>
      </c>
      <c r="D217" s="35" t="s">
        <v>38</v>
      </c>
      <c r="E217" s="35" t="s">
        <v>25</v>
      </c>
      <c r="F217" s="35" t="s">
        <v>58</v>
      </c>
      <c r="G217" s="35" t="s">
        <v>25</v>
      </c>
      <c r="H217" s="35" t="s">
        <v>25</v>
      </c>
      <c r="I217" s="55">
        <v>44531</v>
      </c>
      <c r="J217" s="56">
        <f ca="1">EFEITO!$J$217*EFEITO!$Y$217</f>
        <v>44875.611113811392</v>
      </c>
      <c r="K217" s="56">
        <f>EFEITO!$L$217*EFEITO!$Z$217</f>
        <v>0</v>
      </c>
      <c r="L217" s="56">
        <f>EFEITO!$N$217*EFEITO!$AA$217</f>
        <v>0</v>
      </c>
      <c r="M217" s="56">
        <f ca="1">$J$217-EFEITO!$K$217*EFEITO!$Y$217</f>
        <v>22437.805556905696</v>
      </c>
      <c r="N217" s="56">
        <f>$K$217-EFEITO!$M$217*EFEITO!$Z$217</f>
        <v>0</v>
      </c>
      <c r="O217" s="56">
        <f>$L$217-EFEITO!$O$217*EFEITO!$AA$217</f>
        <v>0</v>
      </c>
      <c r="P217" s="39"/>
      <c r="Q217" s="39"/>
      <c r="R217" s="39"/>
      <c r="S217" s="39"/>
      <c r="T217" s="39"/>
      <c r="U217" s="39"/>
      <c r="V217" s="39"/>
      <c r="W217" s="39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35" t="s">
        <v>21</v>
      </c>
      <c r="B218" s="35" t="s">
        <v>39</v>
      </c>
      <c r="C218" s="35" t="s">
        <v>40</v>
      </c>
      <c r="D218" s="35" t="s">
        <v>38</v>
      </c>
      <c r="E218" s="35" t="s">
        <v>25</v>
      </c>
      <c r="F218" s="35" t="s">
        <v>58</v>
      </c>
      <c r="G218" s="35" t="s">
        <v>25</v>
      </c>
      <c r="H218" s="35" t="s">
        <v>25</v>
      </c>
      <c r="I218" s="55">
        <v>44562</v>
      </c>
      <c r="J218" s="56">
        <f ca="1">EFEITO!$J$218*EFEITO!$Y$218</f>
        <v>44875.611113811392</v>
      </c>
      <c r="K218" s="56">
        <f>EFEITO!$L$218*EFEITO!$Z$218</f>
        <v>0</v>
      </c>
      <c r="L218" s="56">
        <f>EFEITO!$N$218*EFEITO!$AA$218</f>
        <v>0</v>
      </c>
      <c r="M218" s="56">
        <f ca="1">$J$218-EFEITO!$K$218*EFEITO!$Y$218</f>
        <v>22437.805556905696</v>
      </c>
      <c r="N218" s="56">
        <f>$K$218-EFEITO!$M$218*EFEITO!$Z$218</f>
        <v>0</v>
      </c>
      <c r="O218" s="56">
        <f>$L$218-EFEITO!$O$218*EFEITO!$AA$218</f>
        <v>0</v>
      </c>
      <c r="P218" s="39"/>
      <c r="Q218" s="39"/>
      <c r="R218" s="39"/>
      <c r="S218" s="39"/>
      <c r="T218" s="39"/>
      <c r="U218" s="39"/>
      <c r="V218" s="39"/>
      <c r="W218" s="39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35" t="s">
        <v>21</v>
      </c>
      <c r="B219" s="35" t="s">
        <v>39</v>
      </c>
      <c r="C219" s="35" t="s">
        <v>40</v>
      </c>
      <c r="D219" s="35" t="s">
        <v>38</v>
      </c>
      <c r="E219" s="35" t="s">
        <v>25</v>
      </c>
      <c r="F219" s="35" t="s">
        <v>58</v>
      </c>
      <c r="G219" s="35" t="s">
        <v>25</v>
      </c>
      <c r="H219" s="35" t="s">
        <v>25</v>
      </c>
      <c r="I219" s="55">
        <v>44593</v>
      </c>
      <c r="J219" s="56">
        <f ca="1">EFEITO!$J$219*EFEITO!$Y$219</f>
        <v>44875.611113811392</v>
      </c>
      <c r="K219" s="56">
        <f>EFEITO!$L$219*EFEITO!$Z$219</f>
        <v>0</v>
      </c>
      <c r="L219" s="56">
        <f>EFEITO!$N$219*EFEITO!$AA$219</f>
        <v>0</v>
      </c>
      <c r="M219" s="56">
        <f ca="1">$J$219-EFEITO!$K$219*EFEITO!$Y$219</f>
        <v>22437.805556905696</v>
      </c>
      <c r="N219" s="56">
        <f>$K$219-EFEITO!$M$219*EFEITO!$Z$219</f>
        <v>0</v>
      </c>
      <c r="O219" s="56">
        <f>$L$219-EFEITO!$O$219*EFEITO!$AA$219</f>
        <v>0</v>
      </c>
      <c r="P219" s="39"/>
      <c r="Q219" s="39"/>
      <c r="R219" s="39"/>
      <c r="S219" s="39"/>
      <c r="T219" s="39"/>
      <c r="U219" s="39"/>
      <c r="V219" s="39"/>
      <c r="W219" s="39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35" t="s">
        <v>21</v>
      </c>
      <c r="B220" s="35" t="s">
        <v>39</v>
      </c>
      <c r="C220" s="35" t="s">
        <v>40</v>
      </c>
      <c r="D220" s="35" t="s">
        <v>38</v>
      </c>
      <c r="E220" s="35" t="s">
        <v>25</v>
      </c>
      <c r="F220" s="35" t="s">
        <v>58</v>
      </c>
      <c r="G220" s="35" t="s">
        <v>25</v>
      </c>
      <c r="H220" s="35" t="s">
        <v>25</v>
      </c>
      <c r="I220" s="55">
        <v>44621</v>
      </c>
      <c r="J220" s="56">
        <f ca="1">EFEITO!$J$220*EFEITO!$Y$220</f>
        <v>44875.611113811392</v>
      </c>
      <c r="K220" s="56">
        <f>EFEITO!$L$220*EFEITO!$Z$220</f>
        <v>0</v>
      </c>
      <c r="L220" s="56">
        <f>EFEITO!$N$220*EFEITO!$AA$220</f>
        <v>0</v>
      </c>
      <c r="M220" s="56">
        <f ca="1">$J$220-EFEITO!$K$220*EFEITO!$Y$220</f>
        <v>22437.805556905696</v>
      </c>
      <c r="N220" s="56">
        <f>$K$220-EFEITO!$M$220*EFEITO!$Z$220</f>
        <v>0</v>
      </c>
      <c r="O220" s="56">
        <f>$L$220-EFEITO!$O$220*EFEITO!$AA$220</f>
        <v>0</v>
      </c>
      <c r="P220" s="39"/>
      <c r="Q220" s="39"/>
      <c r="R220" s="39"/>
      <c r="S220" s="39"/>
      <c r="T220" s="39"/>
      <c r="U220" s="39"/>
      <c r="V220" s="39"/>
      <c r="W220" s="39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35" t="s">
        <v>21</v>
      </c>
      <c r="B221" s="35" t="s">
        <v>39</v>
      </c>
      <c r="C221" s="35" t="s">
        <v>40</v>
      </c>
      <c r="D221" s="35" t="s">
        <v>38</v>
      </c>
      <c r="E221" s="35" t="s">
        <v>25</v>
      </c>
      <c r="F221" s="35" t="s">
        <v>58</v>
      </c>
      <c r="G221" s="35" t="s">
        <v>25</v>
      </c>
      <c r="H221" s="35" t="s">
        <v>25</v>
      </c>
      <c r="I221" s="55">
        <v>44652</v>
      </c>
      <c r="J221" s="56">
        <f ca="1">EFEITO!$J$221*EFEITO!$Y$221</f>
        <v>44875.611113811392</v>
      </c>
      <c r="K221" s="56">
        <f>EFEITO!$L$221*EFEITO!$Z$221</f>
        <v>0</v>
      </c>
      <c r="L221" s="56">
        <f>EFEITO!$N$221*EFEITO!$AA$221</f>
        <v>0</v>
      </c>
      <c r="M221" s="56">
        <f ca="1">$J$221-EFEITO!$K$221*EFEITO!$Y$221</f>
        <v>22437.805556905696</v>
      </c>
      <c r="N221" s="56">
        <f>$K$221-EFEITO!$M$221*EFEITO!$Z$221</f>
        <v>0</v>
      </c>
      <c r="O221" s="56">
        <f>$L$221-EFEITO!$O$221*EFEITO!$AA$221</f>
        <v>0</v>
      </c>
      <c r="P221" s="39"/>
      <c r="Q221" s="39"/>
      <c r="R221" s="39"/>
      <c r="S221" s="39"/>
      <c r="T221" s="39"/>
      <c r="U221" s="39"/>
      <c r="V221" s="39"/>
      <c r="W221" s="39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35" t="s">
        <v>21</v>
      </c>
      <c r="B222" s="35" t="s">
        <v>39</v>
      </c>
      <c r="C222" s="35" t="s">
        <v>40</v>
      </c>
      <c r="D222" s="35" t="s">
        <v>38</v>
      </c>
      <c r="E222" s="35" t="s">
        <v>25</v>
      </c>
      <c r="F222" s="35" t="s">
        <v>58</v>
      </c>
      <c r="G222" s="35" t="s">
        <v>25</v>
      </c>
      <c r="H222" s="35" t="s">
        <v>25</v>
      </c>
      <c r="I222" s="55">
        <v>44682</v>
      </c>
      <c r="J222" s="56">
        <f ca="1">EFEITO!$J$222*EFEITO!$Y$222</f>
        <v>44875.611113811392</v>
      </c>
      <c r="K222" s="56">
        <f>EFEITO!$L$222*EFEITO!$Z$222</f>
        <v>0</v>
      </c>
      <c r="L222" s="56">
        <f>EFEITO!$N$222*EFEITO!$AA$222</f>
        <v>0</v>
      </c>
      <c r="M222" s="56">
        <f ca="1">$J$222-EFEITO!$K$222*EFEITO!$Y$222</f>
        <v>22437.805556905696</v>
      </c>
      <c r="N222" s="56">
        <f>$K$222-EFEITO!$M$222*EFEITO!$Z$222</f>
        <v>0</v>
      </c>
      <c r="O222" s="56">
        <f>$L$222-EFEITO!$O$222*EFEITO!$AA$222</f>
        <v>0</v>
      </c>
      <c r="P222" s="39"/>
      <c r="Q222" s="39"/>
      <c r="R222" s="39"/>
      <c r="S222" s="39"/>
      <c r="T222" s="39"/>
      <c r="U222" s="39"/>
      <c r="V222" s="39"/>
      <c r="W222" s="39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35" t="s">
        <v>21</v>
      </c>
      <c r="B223" s="35" t="s">
        <v>39</v>
      </c>
      <c r="C223" s="35" t="s">
        <v>40</v>
      </c>
      <c r="D223" s="35" t="s">
        <v>38</v>
      </c>
      <c r="E223" s="35" t="s">
        <v>25</v>
      </c>
      <c r="F223" s="35" t="s">
        <v>58</v>
      </c>
      <c r="G223" s="35" t="s">
        <v>25</v>
      </c>
      <c r="H223" s="35" t="s">
        <v>25</v>
      </c>
      <c r="I223" s="55">
        <v>44713</v>
      </c>
      <c r="J223" s="56">
        <f ca="1">EFEITO!$J$223*EFEITO!$Y$223</f>
        <v>44875.611113811392</v>
      </c>
      <c r="K223" s="56">
        <f>EFEITO!$L$223*EFEITO!$Z$223</f>
        <v>0</v>
      </c>
      <c r="L223" s="56">
        <f>EFEITO!$N$223*EFEITO!$AA$223</f>
        <v>0</v>
      </c>
      <c r="M223" s="56">
        <f ca="1">$J$223-EFEITO!$K$223*EFEITO!$Y$223</f>
        <v>22437.805556905696</v>
      </c>
      <c r="N223" s="56">
        <f>$K$223-EFEITO!$M$223*EFEITO!$Z$223</f>
        <v>0</v>
      </c>
      <c r="O223" s="56">
        <f>$L$223-EFEITO!$O$223*EFEITO!$AA$223</f>
        <v>0</v>
      </c>
      <c r="P223" s="39"/>
      <c r="Q223" s="39"/>
      <c r="R223" s="39"/>
      <c r="S223" s="39"/>
      <c r="T223" s="39"/>
      <c r="U223" s="39"/>
      <c r="V223" s="39"/>
      <c r="W223" s="39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35" t="s">
        <v>21</v>
      </c>
      <c r="B224" s="35" t="s">
        <v>39</v>
      </c>
      <c r="C224" s="35" t="s">
        <v>40</v>
      </c>
      <c r="D224" s="35" t="s">
        <v>38</v>
      </c>
      <c r="E224" s="35" t="s">
        <v>25</v>
      </c>
      <c r="F224" s="35" t="s">
        <v>58</v>
      </c>
      <c r="G224" s="35" t="s">
        <v>25</v>
      </c>
      <c r="H224" s="35" t="s">
        <v>25</v>
      </c>
      <c r="I224" s="55">
        <v>44743</v>
      </c>
      <c r="J224" s="56">
        <f ca="1">EFEITO!$J$224*EFEITO!$Y$224</f>
        <v>44875.611113811392</v>
      </c>
      <c r="K224" s="56">
        <f>EFEITO!$L$224*EFEITO!$Z$224</f>
        <v>0</v>
      </c>
      <c r="L224" s="56">
        <f>EFEITO!$N$224*EFEITO!$AA$224</f>
        <v>0</v>
      </c>
      <c r="M224" s="56">
        <f ca="1">$J$224-EFEITO!$K$224*EFEITO!$Y$224</f>
        <v>22437.805556905696</v>
      </c>
      <c r="N224" s="56">
        <f>$K$224-EFEITO!$M$224*EFEITO!$Z$224</f>
        <v>0</v>
      </c>
      <c r="O224" s="56">
        <f>$L$224-EFEITO!$O$224*EFEITO!$AA$224</f>
        <v>0</v>
      </c>
      <c r="P224" s="39"/>
      <c r="Q224" s="39"/>
      <c r="R224" s="39"/>
      <c r="S224" s="39"/>
      <c r="T224" s="39"/>
      <c r="U224" s="39"/>
      <c r="V224" s="39"/>
      <c r="W224" s="39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35" t="s">
        <v>21</v>
      </c>
      <c r="B225" s="35" t="s">
        <v>39</v>
      </c>
      <c r="C225" s="35" t="s">
        <v>40</v>
      </c>
      <c r="D225" s="35" t="s">
        <v>38</v>
      </c>
      <c r="E225" s="35" t="s">
        <v>25</v>
      </c>
      <c r="F225" s="35" t="s">
        <v>58</v>
      </c>
      <c r="G225" s="35" t="s">
        <v>25</v>
      </c>
      <c r="H225" s="35" t="s">
        <v>25</v>
      </c>
      <c r="I225" s="55">
        <v>44774</v>
      </c>
      <c r="J225" s="56">
        <f ca="1">EFEITO!$J$225*EFEITO!$Y$225</f>
        <v>44875.611113811392</v>
      </c>
      <c r="K225" s="56">
        <f>EFEITO!$L$225*EFEITO!$Z$225</f>
        <v>0</v>
      </c>
      <c r="L225" s="56">
        <f>EFEITO!$N$225*EFEITO!$AA$225</f>
        <v>0</v>
      </c>
      <c r="M225" s="56">
        <f ca="1">$J$225-EFEITO!$K$225*EFEITO!$Y$225</f>
        <v>22437.805556905696</v>
      </c>
      <c r="N225" s="56">
        <f>$K$225-EFEITO!$M$225*EFEITO!$Z$225</f>
        <v>0</v>
      </c>
      <c r="O225" s="56">
        <f>$L$225-EFEITO!$O$225*EFEITO!$AA$225</f>
        <v>0</v>
      </c>
      <c r="P225" s="39"/>
      <c r="Q225" s="39"/>
      <c r="R225" s="39"/>
      <c r="S225" s="39"/>
      <c r="T225" s="39"/>
      <c r="U225" s="39"/>
      <c r="V225" s="39"/>
      <c r="W225" s="39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35" t="s">
        <v>21</v>
      </c>
      <c r="B226" s="35" t="s">
        <v>39</v>
      </c>
      <c r="C226" s="35" t="s">
        <v>40</v>
      </c>
      <c r="D226" s="35" t="s">
        <v>38</v>
      </c>
      <c r="E226" s="35" t="s">
        <v>25</v>
      </c>
      <c r="F226" s="35" t="s">
        <v>58</v>
      </c>
      <c r="G226" s="35" t="s">
        <v>25</v>
      </c>
      <c r="H226" s="35" t="s">
        <v>25</v>
      </c>
      <c r="I226" s="55">
        <v>44805</v>
      </c>
      <c r="J226" s="56">
        <f ca="1">EFEITO!$J$226*EFEITO!$Y$226</f>
        <v>44875.611113811392</v>
      </c>
      <c r="K226" s="56">
        <f>EFEITO!$L$226*EFEITO!$Z$226</f>
        <v>0</v>
      </c>
      <c r="L226" s="56">
        <f>EFEITO!$N$226*EFEITO!$AA$226</f>
        <v>0</v>
      </c>
      <c r="M226" s="56">
        <f ca="1">$J$226-EFEITO!$K$226*EFEITO!$Y$226</f>
        <v>22437.805556905696</v>
      </c>
      <c r="N226" s="56">
        <f>$K$226-EFEITO!$M$226*EFEITO!$Z$226</f>
        <v>0</v>
      </c>
      <c r="O226" s="56">
        <f>$L$226-EFEITO!$O$226*EFEITO!$AA$226</f>
        <v>0</v>
      </c>
      <c r="P226" s="39"/>
      <c r="Q226" s="39"/>
      <c r="R226" s="39"/>
      <c r="S226" s="39"/>
      <c r="T226" s="39"/>
      <c r="U226" s="39"/>
      <c r="V226" s="39"/>
      <c r="W226" s="39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35" t="s">
        <v>57</v>
      </c>
      <c r="B227" s="35" t="s">
        <v>39</v>
      </c>
      <c r="C227" s="35" t="s">
        <v>40</v>
      </c>
      <c r="D227" s="35" t="s">
        <v>38</v>
      </c>
      <c r="E227" s="35" t="s">
        <v>25</v>
      </c>
      <c r="F227" s="35" t="s">
        <v>58</v>
      </c>
      <c r="G227" s="35" t="s">
        <v>25</v>
      </c>
      <c r="H227" s="35" t="s">
        <v>25</v>
      </c>
      <c r="I227" s="55">
        <v>44835</v>
      </c>
      <c r="J227" s="56">
        <f ca="1">EFEITO!$J$227*EFEITO!$Y$227</f>
        <v>44875.611113811392</v>
      </c>
      <c r="K227" s="56">
        <f>EFEITO!$L$227*EFEITO!$Z$227</f>
        <v>0</v>
      </c>
      <c r="L227" s="56">
        <f>EFEITO!$N$227*EFEITO!$AA$227</f>
        <v>0</v>
      </c>
      <c r="M227" s="56">
        <f ca="1">$J$227-EFEITO!$K$227*EFEITO!$Y$227</f>
        <v>22437.805556905696</v>
      </c>
      <c r="N227" s="56">
        <f>$K$227-EFEITO!$M$227*EFEITO!$Z$227</f>
        <v>0</v>
      </c>
      <c r="O227" s="56">
        <f>$L$227-EFEITO!$O$227*EFEITO!$AA$227</f>
        <v>0</v>
      </c>
      <c r="P227" s="39"/>
      <c r="Q227" s="39"/>
      <c r="R227" s="39"/>
      <c r="S227" s="39"/>
      <c r="T227" s="39"/>
      <c r="U227" s="39"/>
      <c r="V227" s="39"/>
      <c r="W227" s="39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35" t="s">
        <v>21</v>
      </c>
      <c r="B228" s="35" t="s">
        <v>39</v>
      </c>
      <c r="C228" s="35" t="s">
        <v>40</v>
      </c>
      <c r="D228" s="35" t="s">
        <v>38</v>
      </c>
      <c r="E228" s="35" t="s">
        <v>25</v>
      </c>
      <c r="F228" s="35" t="s">
        <v>58</v>
      </c>
      <c r="G228" s="35" t="s">
        <v>25</v>
      </c>
      <c r="H228" s="35" t="s">
        <v>34</v>
      </c>
      <c r="I228" s="55">
        <v>44501</v>
      </c>
      <c r="J228" s="56">
        <f>EFEITO!$J$228*EFEITO!$Y$228</f>
        <v>0</v>
      </c>
      <c r="K228" s="56">
        <f ca="1">EFEITO!$L$228*EFEITO!$Z$228</f>
        <v>28882.086603766806</v>
      </c>
      <c r="L228" s="56">
        <f>EFEITO!$N$228*EFEITO!$AA$228</f>
        <v>0</v>
      </c>
      <c r="M228" s="56">
        <f>$J$228-EFEITO!$K$228*EFEITO!$Y$228</f>
        <v>0</v>
      </c>
      <c r="N228" s="56">
        <f ca="1">$K$228-EFEITO!$M$228*EFEITO!$Z$228</f>
        <v>13537.168581709075</v>
      </c>
      <c r="O228" s="56">
        <f>$L$228-EFEITO!$O$228*EFEITO!$AA$228</f>
        <v>0</v>
      </c>
      <c r="P228" s="39"/>
      <c r="Q228" s="39"/>
      <c r="R228" s="39"/>
      <c r="S228" s="39"/>
      <c r="T228" s="39"/>
      <c r="U228" s="39"/>
      <c r="V228" s="39"/>
      <c r="W228" s="39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35" t="s">
        <v>21</v>
      </c>
      <c r="B229" s="35" t="s">
        <v>39</v>
      </c>
      <c r="C229" s="35" t="s">
        <v>40</v>
      </c>
      <c r="D229" s="35" t="s">
        <v>38</v>
      </c>
      <c r="E229" s="35" t="s">
        <v>25</v>
      </c>
      <c r="F229" s="35" t="s">
        <v>58</v>
      </c>
      <c r="G229" s="35" t="s">
        <v>25</v>
      </c>
      <c r="H229" s="35" t="s">
        <v>34</v>
      </c>
      <c r="I229" s="55">
        <v>44531</v>
      </c>
      <c r="J229" s="56">
        <f>EFEITO!$J$229*EFEITO!$Y$229</f>
        <v>0</v>
      </c>
      <c r="K229" s="56">
        <f ca="1">EFEITO!$L$229*EFEITO!$Z$229</f>
        <v>33509.649170042409</v>
      </c>
      <c r="L229" s="56">
        <f>EFEITO!$N$229*EFEITO!$AA$229</f>
        <v>0</v>
      </c>
      <c r="M229" s="56">
        <f>$J$229-EFEITO!$K$229*EFEITO!$Y$229</f>
        <v>0</v>
      </c>
      <c r="N229" s="56">
        <f ca="1">$K$229-EFEITO!$M$229*EFEITO!$Z$229</f>
        <v>15564.016309412811</v>
      </c>
      <c r="O229" s="56">
        <f>$L$229-EFEITO!$O$229*EFEITO!$AA$229</f>
        <v>0</v>
      </c>
      <c r="P229" s="39"/>
      <c r="Q229" s="39"/>
      <c r="R229" s="39"/>
      <c r="S229" s="39"/>
      <c r="T229" s="39"/>
      <c r="U229" s="39"/>
      <c r="V229" s="39"/>
      <c r="W229" s="39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35" t="s">
        <v>21</v>
      </c>
      <c r="B230" s="35" t="s">
        <v>39</v>
      </c>
      <c r="C230" s="35" t="s">
        <v>40</v>
      </c>
      <c r="D230" s="35" t="s">
        <v>38</v>
      </c>
      <c r="E230" s="35" t="s">
        <v>25</v>
      </c>
      <c r="F230" s="35" t="s">
        <v>58</v>
      </c>
      <c r="G230" s="35" t="s">
        <v>25</v>
      </c>
      <c r="H230" s="35" t="s">
        <v>34</v>
      </c>
      <c r="I230" s="55">
        <v>44562</v>
      </c>
      <c r="J230" s="56">
        <f>EFEITO!$J$230*EFEITO!$Y$230</f>
        <v>0</v>
      </c>
      <c r="K230" s="56">
        <f ca="1">EFEITO!$L$230*EFEITO!$Z$230</f>
        <v>36998.33256581545</v>
      </c>
      <c r="L230" s="56">
        <f>EFEITO!$N$230*EFEITO!$AA$230</f>
        <v>0</v>
      </c>
      <c r="M230" s="56">
        <f>$J$230-EFEITO!$K$230*EFEITO!$Y$230</f>
        <v>0</v>
      </c>
      <c r="N230" s="56">
        <f ca="1">$K$230-EFEITO!$M$230*EFEITO!$Z$230</f>
        <v>17184.383177315791</v>
      </c>
      <c r="O230" s="56">
        <f>$L$230-EFEITO!$O$230*EFEITO!$AA$230</f>
        <v>0</v>
      </c>
      <c r="P230" s="39"/>
      <c r="Q230" s="39"/>
      <c r="R230" s="39"/>
      <c r="S230" s="39"/>
      <c r="T230" s="39"/>
      <c r="U230" s="39"/>
      <c r="V230" s="39"/>
      <c r="W230" s="39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35" t="s">
        <v>21</v>
      </c>
      <c r="B231" s="35" t="s">
        <v>39</v>
      </c>
      <c r="C231" s="35" t="s">
        <v>40</v>
      </c>
      <c r="D231" s="35" t="s">
        <v>38</v>
      </c>
      <c r="E231" s="35" t="s">
        <v>25</v>
      </c>
      <c r="F231" s="35" t="s">
        <v>58</v>
      </c>
      <c r="G231" s="35" t="s">
        <v>25</v>
      </c>
      <c r="H231" s="35" t="s">
        <v>34</v>
      </c>
      <c r="I231" s="55">
        <v>44593</v>
      </c>
      <c r="J231" s="56">
        <f>EFEITO!$J$231*EFEITO!$Y$231</f>
        <v>0</v>
      </c>
      <c r="K231" s="56">
        <f ca="1">EFEITO!$L$231*EFEITO!$Z$231</f>
        <v>32435.888394933547</v>
      </c>
      <c r="L231" s="56">
        <f>EFEITO!$N$231*EFEITO!$AA$231</f>
        <v>0</v>
      </c>
      <c r="M231" s="56">
        <f>$J$231-EFEITO!$K$231*EFEITO!$Y$231</f>
        <v>0</v>
      </c>
      <c r="N231" s="56">
        <f ca="1">$K$231-EFEITO!$M$231*EFEITO!$Z$231</f>
        <v>15065.293385415665</v>
      </c>
      <c r="O231" s="56">
        <f>$L$231-EFEITO!$O$231*EFEITO!$AA$231</f>
        <v>0</v>
      </c>
      <c r="P231" s="39"/>
      <c r="Q231" s="39"/>
      <c r="R231" s="39"/>
      <c r="S231" s="39"/>
      <c r="T231" s="39"/>
      <c r="U231" s="39"/>
      <c r="V231" s="39"/>
      <c r="W231" s="39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35" t="s">
        <v>21</v>
      </c>
      <c r="B232" s="35" t="s">
        <v>39</v>
      </c>
      <c r="C232" s="35" t="s">
        <v>40</v>
      </c>
      <c r="D232" s="35" t="s">
        <v>38</v>
      </c>
      <c r="E232" s="35" t="s">
        <v>25</v>
      </c>
      <c r="F232" s="35" t="s">
        <v>58</v>
      </c>
      <c r="G232" s="35" t="s">
        <v>25</v>
      </c>
      <c r="H232" s="35" t="s">
        <v>34</v>
      </c>
      <c r="I232" s="55">
        <v>44621</v>
      </c>
      <c r="J232" s="56">
        <f>EFEITO!$J$232*EFEITO!$Y$232</f>
        <v>0</v>
      </c>
      <c r="K232" s="56">
        <f ca="1">EFEITO!$L$232*EFEITO!$Z$232</f>
        <v>31446.642984059061</v>
      </c>
      <c r="L232" s="56">
        <f>EFEITO!$N$232*EFEITO!$AA$232</f>
        <v>0</v>
      </c>
      <c r="M232" s="56">
        <f>$J$232-EFEITO!$K$232*EFEITO!$Y$232</f>
        <v>0</v>
      </c>
      <c r="N232" s="56">
        <f ca="1">$K$232-EFEITO!$M$232*EFEITO!$Z$232</f>
        <v>14605.824781887972</v>
      </c>
      <c r="O232" s="56">
        <f>$L$232-EFEITO!$O$232*EFEITO!$AA$232</f>
        <v>0</v>
      </c>
      <c r="P232" s="39"/>
      <c r="Q232" s="39"/>
      <c r="R232" s="39"/>
      <c r="S232" s="39"/>
      <c r="T232" s="39"/>
      <c r="U232" s="39"/>
      <c r="V232" s="39"/>
      <c r="W232" s="39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35" t="s">
        <v>21</v>
      </c>
      <c r="B233" s="35" t="s">
        <v>39</v>
      </c>
      <c r="C233" s="35" t="s">
        <v>40</v>
      </c>
      <c r="D233" s="35" t="s">
        <v>38</v>
      </c>
      <c r="E233" s="35" t="s">
        <v>25</v>
      </c>
      <c r="F233" s="35" t="s">
        <v>58</v>
      </c>
      <c r="G233" s="35" t="s">
        <v>25</v>
      </c>
      <c r="H233" s="35" t="s">
        <v>34</v>
      </c>
      <c r="I233" s="55">
        <v>44652</v>
      </c>
      <c r="J233" s="56">
        <f>EFEITO!$J$233*EFEITO!$Y$233</f>
        <v>0</v>
      </c>
      <c r="K233" s="56">
        <f ca="1">EFEITO!$L$233*EFEITO!$Z$233</f>
        <v>31830.425867549584</v>
      </c>
      <c r="L233" s="56">
        <f>EFEITO!$N$233*EFEITO!$AA$233</f>
        <v>0</v>
      </c>
      <c r="M233" s="56">
        <f>$J$233-EFEITO!$K$233*EFEITO!$Y$233</f>
        <v>0</v>
      </c>
      <c r="N233" s="56">
        <f ca="1">$K$233-EFEITO!$M$233*EFEITO!$Z$233</f>
        <v>14784.078007626307</v>
      </c>
      <c r="O233" s="56">
        <f>$L$233-EFEITO!$O$233*EFEITO!$AA$233</f>
        <v>0</v>
      </c>
      <c r="P233" s="39"/>
      <c r="Q233" s="39"/>
      <c r="R233" s="39"/>
      <c r="S233" s="39"/>
      <c r="T233" s="39"/>
      <c r="U233" s="39"/>
      <c r="V233" s="39"/>
      <c r="W233" s="39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35" t="s">
        <v>21</v>
      </c>
      <c r="B234" s="35" t="s">
        <v>39</v>
      </c>
      <c r="C234" s="35" t="s">
        <v>40</v>
      </c>
      <c r="D234" s="35" t="s">
        <v>38</v>
      </c>
      <c r="E234" s="35" t="s">
        <v>25</v>
      </c>
      <c r="F234" s="35" t="s">
        <v>58</v>
      </c>
      <c r="G234" s="35" t="s">
        <v>25</v>
      </c>
      <c r="H234" s="35" t="s">
        <v>34</v>
      </c>
      <c r="I234" s="55">
        <v>44682</v>
      </c>
      <c r="J234" s="56">
        <f>EFEITO!$J$234*EFEITO!$Y$234</f>
        <v>0</v>
      </c>
      <c r="K234" s="56">
        <f ca="1">EFEITO!$L$234*EFEITO!$Z$234</f>
        <v>31389.837575311365</v>
      </c>
      <c r="L234" s="56">
        <f>EFEITO!$N$234*EFEITO!$AA$234</f>
        <v>0</v>
      </c>
      <c r="M234" s="56">
        <f>$J$234-EFEITO!$K$234*EFEITO!$Y$234</f>
        <v>0</v>
      </c>
      <c r="N234" s="56">
        <f ca="1">$K$234-EFEITO!$M$234*EFEITO!$Z$234</f>
        <v>14579.440730424896</v>
      </c>
      <c r="O234" s="56">
        <f>$L$234-EFEITO!$O$234*EFEITO!$AA$234</f>
        <v>0</v>
      </c>
      <c r="P234" s="39"/>
      <c r="Q234" s="39"/>
      <c r="R234" s="39"/>
      <c r="S234" s="39"/>
      <c r="T234" s="39"/>
      <c r="U234" s="39"/>
      <c r="V234" s="39"/>
      <c r="W234" s="39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35" t="s">
        <v>21</v>
      </c>
      <c r="B235" s="35" t="s">
        <v>39</v>
      </c>
      <c r="C235" s="35" t="s">
        <v>40</v>
      </c>
      <c r="D235" s="35" t="s">
        <v>38</v>
      </c>
      <c r="E235" s="35" t="s">
        <v>25</v>
      </c>
      <c r="F235" s="35" t="s">
        <v>58</v>
      </c>
      <c r="G235" s="35" t="s">
        <v>25</v>
      </c>
      <c r="H235" s="35" t="s">
        <v>34</v>
      </c>
      <c r="I235" s="55">
        <v>44713</v>
      </c>
      <c r="J235" s="56">
        <f>EFEITO!$J$235*EFEITO!$Y$235</f>
        <v>0</v>
      </c>
      <c r="K235" s="56">
        <f ca="1">EFEITO!$L$235*EFEITO!$Z$235</f>
        <v>26584.931293921014</v>
      </c>
      <c r="L235" s="56">
        <f>EFEITO!$N$235*EFEITO!$AA$235</f>
        <v>0</v>
      </c>
      <c r="M235" s="56">
        <f>$J$235-EFEITO!$K$235*EFEITO!$Y$235</f>
        <v>0</v>
      </c>
      <c r="N235" s="56">
        <f ca="1">$K$235-EFEITO!$M$235*EFEITO!$Z$235</f>
        <v>12347.736084718967</v>
      </c>
      <c r="O235" s="56">
        <f>$L$235-EFEITO!$O$235*EFEITO!$AA$235</f>
        <v>0</v>
      </c>
      <c r="P235" s="39"/>
      <c r="Q235" s="39"/>
      <c r="R235" s="39"/>
      <c r="S235" s="39"/>
      <c r="T235" s="39"/>
      <c r="U235" s="39"/>
      <c r="V235" s="39"/>
      <c r="W235" s="39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35" t="s">
        <v>21</v>
      </c>
      <c r="B236" s="35" t="s">
        <v>39</v>
      </c>
      <c r="C236" s="35" t="s">
        <v>40</v>
      </c>
      <c r="D236" s="35" t="s">
        <v>38</v>
      </c>
      <c r="E236" s="35" t="s">
        <v>25</v>
      </c>
      <c r="F236" s="35" t="s">
        <v>58</v>
      </c>
      <c r="G236" s="35" t="s">
        <v>25</v>
      </c>
      <c r="H236" s="35" t="s">
        <v>34</v>
      </c>
      <c r="I236" s="55">
        <v>44743</v>
      </c>
      <c r="J236" s="56">
        <f>EFEITO!$J$236*EFEITO!$Y$236</f>
        <v>0</v>
      </c>
      <c r="K236" s="56">
        <f ca="1">EFEITO!$L$236*EFEITO!$Z$236</f>
        <v>39780.412096678141</v>
      </c>
      <c r="L236" s="56">
        <f>EFEITO!$N$236*EFEITO!$AA$236</f>
        <v>0</v>
      </c>
      <c r="M236" s="56">
        <f>$J$236-EFEITO!$K$236*EFEITO!$Y$236</f>
        <v>0</v>
      </c>
      <c r="N236" s="56">
        <f ca="1">$K$236-EFEITO!$M$236*EFEITO!$Z$236</f>
        <v>18476.558185556129</v>
      </c>
      <c r="O236" s="56">
        <f>$L$236-EFEITO!$O$236*EFEITO!$AA$236</f>
        <v>0</v>
      </c>
      <c r="P236" s="39"/>
      <c r="Q236" s="39"/>
      <c r="R236" s="39"/>
      <c r="S236" s="39"/>
      <c r="T236" s="39"/>
      <c r="U236" s="39"/>
      <c r="V236" s="39"/>
      <c r="W236" s="39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35" t="s">
        <v>21</v>
      </c>
      <c r="B237" s="35" t="s">
        <v>39</v>
      </c>
      <c r="C237" s="35" t="s">
        <v>40</v>
      </c>
      <c r="D237" s="35" t="s">
        <v>38</v>
      </c>
      <c r="E237" s="35" t="s">
        <v>25</v>
      </c>
      <c r="F237" s="35" t="s">
        <v>58</v>
      </c>
      <c r="G237" s="35" t="s">
        <v>25</v>
      </c>
      <c r="H237" s="35" t="s">
        <v>34</v>
      </c>
      <c r="I237" s="55">
        <v>44774</v>
      </c>
      <c r="J237" s="56">
        <f>EFEITO!$J$237*EFEITO!$Y$237</f>
        <v>0</v>
      </c>
      <c r="K237" s="56">
        <f ca="1">EFEITO!$L$237*EFEITO!$Z$237</f>
        <v>43681.973829202718</v>
      </c>
      <c r="L237" s="56">
        <f>EFEITO!$N$237*EFEITO!$AA$237</f>
        <v>0</v>
      </c>
      <c r="M237" s="56">
        <f>$J$237-EFEITO!$K$237*EFEITO!$Y$237</f>
        <v>0</v>
      </c>
      <c r="N237" s="56">
        <f ca="1">$K$237-EFEITO!$M$237*EFEITO!$Z$237</f>
        <v>20288.692061654139</v>
      </c>
      <c r="O237" s="56">
        <f>$L$237-EFEITO!$O$237*EFEITO!$AA$237</f>
        <v>0</v>
      </c>
      <c r="P237" s="39"/>
      <c r="Q237" s="39"/>
      <c r="R237" s="39"/>
      <c r="S237" s="39"/>
      <c r="T237" s="39"/>
      <c r="U237" s="39"/>
      <c r="V237" s="39"/>
      <c r="W237" s="39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35" t="s">
        <v>21</v>
      </c>
      <c r="B238" s="35" t="s">
        <v>39</v>
      </c>
      <c r="C238" s="35" t="s">
        <v>40</v>
      </c>
      <c r="D238" s="35" t="s">
        <v>38</v>
      </c>
      <c r="E238" s="35" t="s">
        <v>25</v>
      </c>
      <c r="F238" s="35" t="s">
        <v>58</v>
      </c>
      <c r="G238" s="35" t="s">
        <v>25</v>
      </c>
      <c r="H238" s="35" t="s">
        <v>34</v>
      </c>
      <c r="I238" s="55">
        <v>44805</v>
      </c>
      <c r="J238" s="56">
        <f>EFEITO!$J$238*EFEITO!$Y$238</f>
        <v>0</v>
      </c>
      <c r="K238" s="56">
        <f ca="1">EFEITO!$L$238*EFEITO!$Z$238</f>
        <v>40356.779170801092</v>
      </c>
      <c r="L238" s="56">
        <f>EFEITO!$N$238*EFEITO!$AA$238</f>
        <v>0</v>
      </c>
      <c r="M238" s="56">
        <f>$J$238-EFEITO!$K$238*EFEITO!$Y$238</f>
        <v>0</v>
      </c>
      <c r="N238" s="56">
        <f ca="1">$K$238-EFEITO!$M$238*EFEITO!$Z$238</f>
        <v>18744.259780888791</v>
      </c>
      <c r="O238" s="56">
        <f>$L$238-EFEITO!$O$238*EFEITO!$AA$238</f>
        <v>0</v>
      </c>
      <c r="P238" s="39"/>
      <c r="Q238" s="39"/>
      <c r="R238" s="39"/>
      <c r="S238" s="39"/>
      <c r="T238" s="39"/>
      <c r="U238" s="39"/>
      <c r="V238" s="39"/>
      <c r="W238" s="39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35" t="s">
        <v>57</v>
      </c>
      <c r="B239" s="35" t="s">
        <v>39</v>
      </c>
      <c r="C239" s="35" t="s">
        <v>40</v>
      </c>
      <c r="D239" s="35" t="s">
        <v>38</v>
      </c>
      <c r="E239" s="35" t="s">
        <v>25</v>
      </c>
      <c r="F239" s="35" t="s">
        <v>58</v>
      </c>
      <c r="G239" s="35" t="s">
        <v>25</v>
      </c>
      <c r="H239" s="35" t="s">
        <v>34</v>
      </c>
      <c r="I239" s="55">
        <v>44835</v>
      </c>
      <c r="J239" s="56">
        <f>EFEITO!$J$239*EFEITO!$Y$239</f>
        <v>0</v>
      </c>
      <c r="K239" s="56">
        <f ca="1">EFEITO!$L$239*EFEITO!$Z$239</f>
        <v>40356.779170801092</v>
      </c>
      <c r="L239" s="56">
        <f>EFEITO!$N$239*EFEITO!$AA$239</f>
        <v>0</v>
      </c>
      <c r="M239" s="56">
        <f>$J$239-EFEITO!$K$239*EFEITO!$Y$239</f>
        <v>0</v>
      </c>
      <c r="N239" s="56">
        <f ca="1">$K$239-EFEITO!$M$239*EFEITO!$Z$239</f>
        <v>18744.259780888791</v>
      </c>
      <c r="O239" s="56">
        <f>$L$239-EFEITO!$O$239*EFEITO!$AA$239</f>
        <v>0</v>
      </c>
      <c r="P239" s="39"/>
      <c r="Q239" s="39"/>
      <c r="R239" s="39"/>
      <c r="S239" s="39"/>
      <c r="T239" s="39"/>
      <c r="U239" s="39"/>
      <c r="V239" s="39"/>
      <c r="W239" s="39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35" t="s">
        <v>21</v>
      </c>
      <c r="B240" s="35" t="s">
        <v>39</v>
      </c>
      <c r="C240" s="35" t="s">
        <v>40</v>
      </c>
      <c r="D240" s="35" t="s">
        <v>38</v>
      </c>
      <c r="E240" s="35" t="s">
        <v>25</v>
      </c>
      <c r="F240" s="35" t="s">
        <v>25</v>
      </c>
      <c r="G240" s="35" t="s">
        <v>25</v>
      </c>
      <c r="H240" s="35" t="s">
        <v>35</v>
      </c>
      <c r="I240" s="55">
        <v>44501</v>
      </c>
      <c r="J240" s="56">
        <f>EFEITO!$J$240*EFEITO!$Y$240</f>
        <v>0</v>
      </c>
      <c r="K240" s="56">
        <f ca="1">EFEITO!$L$240*EFEITO!$Z$240</f>
        <v>123839.2450423266</v>
      </c>
      <c r="L240" s="56">
        <f>EFEITO!$N$240*EFEITO!$AA$240</f>
        <v>188996.97819085495</v>
      </c>
      <c r="M240" s="56">
        <f>$J$240-EFEITO!$K$240*EFEITO!$Y$240</f>
        <v>0</v>
      </c>
      <c r="N240" s="56">
        <f ca="1">$K$240-EFEITO!$M$240*EFEITO!$Z$240</f>
        <v>0</v>
      </c>
      <c r="O240" s="56">
        <f>$L$240-EFEITO!$O$240*EFEITO!$AA$240</f>
        <v>0</v>
      </c>
      <c r="P240" s="39"/>
      <c r="Q240" s="39"/>
      <c r="R240" s="39"/>
      <c r="S240" s="39"/>
      <c r="T240" s="39"/>
      <c r="U240" s="39"/>
      <c r="V240" s="39"/>
      <c r="W240" s="39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35" t="s">
        <v>28</v>
      </c>
      <c r="B241" s="35" t="s">
        <v>39</v>
      </c>
      <c r="C241" s="35" t="s">
        <v>40</v>
      </c>
      <c r="D241" s="35" t="s">
        <v>38</v>
      </c>
      <c r="E241" s="35" t="s">
        <v>25</v>
      </c>
      <c r="F241" s="35" t="s">
        <v>25</v>
      </c>
      <c r="G241" s="35" t="s">
        <v>25</v>
      </c>
      <c r="H241" s="35" t="s">
        <v>35</v>
      </c>
      <c r="I241" s="55">
        <v>44501</v>
      </c>
      <c r="J241" s="56">
        <f>EFEITO!$J$241*EFEITO!$Y$241</f>
        <v>0</v>
      </c>
      <c r="K241" s="56">
        <f ca="1">EFEITO!$L$241*EFEITO!$Z$241</f>
        <v>145.72237393634796</v>
      </c>
      <c r="L241" s="56">
        <f>EFEITO!$N$241*EFEITO!$AA$241</f>
        <v>222.39386487986414</v>
      </c>
      <c r="M241" s="56">
        <f>$J$241-EFEITO!$K$241*EFEITO!$Y$241</f>
        <v>0</v>
      </c>
      <c r="N241" s="56">
        <f ca="1">$K$241-EFEITO!$M$241*EFEITO!$Z$241</f>
        <v>0</v>
      </c>
      <c r="O241" s="56">
        <f>$L$241-EFEITO!$O$241*EFEITO!$AA$241</f>
        <v>0</v>
      </c>
      <c r="P241" s="39"/>
      <c r="Q241" s="39"/>
      <c r="R241" s="39"/>
      <c r="S241" s="39"/>
      <c r="T241" s="39"/>
      <c r="U241" s="39"/>
      <c r="V241" s="39"/>
      <c r="W241" s="39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35" t="s">
        <v>21</v>
      </c>
      <c r="B242" s="35" t="s">
        <v>39</v>
      </c>
      <c r="C242" s="35" t="s">
        <v>40</v>
      </c>
      <c r="D242" s="35" t="s">
        <v>38</v>
      </c>
      <c r="E242" s="35" t="s">
        <v>25</v>
      </c>
      <c r="F242" s="35" t="s">
        <v>25</v>
      </c>
      <c r="G242" s="35" t="s">
        <v>25</v>
      </c>
      <c r="H242" s="35" t="s">
        <v>35</v>
      </c>
      <c r="I242" s="55">
        <v>44531</v>
      </c>
      <c r="J242" s="56">
        <f>EFEITO!$J$242*EFEITO!$Y$242</f>
        <v>0</v>
      </c>
      <c r="K242" s="56">
        <f ca="1">EFEITO!$L$242*EFEITO!$Z$242</f>
        <v>109461.98418501863</v>
      </c>
      <c r="L242" s="56">
        <f>EFEITO!$N$242*EFEITO!$AA$242</f>
        <v>167055.15469407779</v>
      </c>
      <c r="M242" s="56">
        <f>$J$242-EFEITO!$K$242*EFEITO!$Y$242</f>
        <v>0</v>
      </c>
      <c r="N242" s="56">
        <f ca="1">$K$242-EFEITO!$M$242*EFEITO!$Z$242</f>
        <v>0</v>
      </c>
      <c r="O242" s="56">
        <f>$L$242-EFEITO!$O$242*EFEITO!$AA$242</f>
        <v>0</v>
      </c>
      <c r="P242" s="39"/>
      <c r="Q242" s="39"/>
      <c r="R242" s="39"/>
      <c r="S242" s="39"/>
      <c r="T242" s="39"/>
      <c r="U242" s="39"/>
      <c r="V242" s="39"/>
      <c r="W242" s="39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35" t="s">
        <v>28</v>
      </c>
      <c r="B243" s="35" t="s">
        <v>39</v>
      </c>
      <c r="C243" s="35" t="s">
        <v>40</v>
      </c>
      <c r="D243" s="35" t="s">
        <v>38</v>
      </c>
      <c r="E243" s="35" t="s">
        <v>25</v>
      </c>
      <c r="F243" s="35" t="s">
        <v>25</v>
      </c>
      <c r="G243" s="35" t="s">
        <v>25</v>
      </c>
      <c r="H243" s="35" t="s">
        <v>35</v>
      </c>
      <c r="I243" s="55">
        <v>44531</v>
      </c>
      <c r="J243" s="56">
        <f>EFEITO!$J$243*EFEITO!$Y$243</f>
        <v>0</v>
      </c>
      <c r="K243" s="56">
        <f ca="1">EFEITO!$L$243*EFEITO!$Z$243</f>
        <v>175.30401584542662</v>
      </c>
      <c r="L243" s="56">
        <f>EFEITO!$N$243*EFEITO!$AA$243</f>
        <v>267.53981945047656</v>
      </c>
      <c r="M243" s="56">
        <f>$J$243-EFEITO!$K$243*EFEITO!$Y$243</f>
        <v>0</v>
      </c>
      <c r="N243" s="56">
        <f ca="1">$K$243-EFEITO!$M$243*EFEITO!$Z$243</f>
        <v>0</v>
      </c>
      <c r="O243" s="56">
        <f>$L$243-EFEITO!$O$243*EFEITO!$AA$243</f>
        <v>0</v>
      </c>
      <c r="P243" s="39"/>
      <c r="Q243" s="39"/>
      <c r="R243" s="39"/>
      <c r="S243" s="39"/>
      <c r="T243" s="39"/>
      <c r="U243" s="39"/>
      <c r="V243" s="39"/>
      <c r="W243" s="39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35" t="s">
        <v>21</v>
      </c>
      <c r="B244" s="35" t="s">
        <v>39</v>
      </c>
      <c r="C244" s="35" t="s">
        <v>40</v>
      </c>
      <c r="D244" s="35" t="s">
        <v>38</v>
      </c>
      <c r="E244" s="35" t="s">
        <v>25</v>
      </c>
      <c r="F244" s="35" t="s">
        <v>25</v>
      </c>
      <c r="G244" s="35" t="s">
        <v>25</v>
      </c>
      <c r="H244" s="35" t="s">
        <v>35</v>
      </c>
      <c r="I244" s="55">
        <v>44562</v>
      </c>
      <c r="J244" s="56">
        <f>EFEITO!$J$244*EFEITO!$Y$244</f>
        <v>0</v>
      </c>
      <c r="K244" s="56">
        <f ca="1">EFEITO!$L$244*EFEITO!$Z$244</f>
        <v>106247.64006073067</v>
      </c>
      <c r="L244" s="56">
        <f>EFEITO!$N$244*EFEITO!$AA$244</f>
        <v>162149.59082255774</v>
      </c>
      <c r="M244" s="56">
        <f>$J$244-EFEITO!$K$244*EFEITO!$Y$244</f>
        <v>0</v>
      </c>
      <c r="N244" s="56">
        <f ca="1">$K$244-EFEITO!$M$244*EFEITO!$Z$244</f>
        <v>0</v>
      </c>
      <c r="O244" s="56">
        <f>$L$244-EFEITO!$O$244*EFEITO!$AA$244</f>
        <v>0</v>
      </c>
      <c r="P244" s="39"/>
      <c r="Q244" s="39"/>
      <c r="R244" s="39"/>
      <c r="S244" s="39"/>
      <c r="T244" s="39"/>
      <c r="U244" s="39"/>
      <c r="V244" s="39"/>
      <c r="W244" s="39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35" t="s">
        <v>28</v>
      </c>
      <c r="B245" s="35" t="s">
        <v>39</v>
      </c>
      <c r="C245" s="35" t="s">
        <v>40</v>
      </c>
      <c r="D245" s="35" t="s">
        <v>38</v>
      </c>
      <c r="E245" s="35" t="s">
        <v>25</v>
      </c>
      <c r="F245" s="35" t="s">
        <v>25</v>
      </c>
      <c r="G245" s="35" t="s">
        <v>25</v>
      </c>
      <c r="H245" s="35" t="s">
        <v>35</v>
      </c>
      <c r="I245" s="55">
        <v>44562</v>
      </c>
      <c r="J245" s="56">
        <f>EFEITO!$J$245*EFEITO!$Y$245</f>
        <v>0</v>
      </c>
      <c r="K245" s="56">
        <f ca="1">EFEITO!$L$245*EFEITO!$Z$245</f>
        <v>157.38016385125582</v>
      </c>
      <c r="L245" s="56">
        <f>EFEITO!$N$245*EFEITO!$AA$245</f>
        <v>240.18537407025329</v>
      </c>
      <c r="M245" s="56">
        <f>$J$245-EFEITO!$K$245*EFEITO!$Y$245</f>
        <v>0</v>
      </c>
      <c r="N245" s="56">
        <f ca="1">$K$245-EFEITO!$M$245*EFEITO!$Z$245</f>
        <v>0</v>
      </c>
      <c r="O245" s="56">
        <f>$L$245-EFEITO!$O$245*EFEITO!$AA$245</f>
        <v>0</v>
      </c>
      <c r="P245" s="39"/>
      <c r="Q245" s="39"/>
      <c r="R245" s="39"/>
      <c r="S245" s="39"/>
      <c r="T245" s="39"/>
      <c r="U245" s="39"/>
      <c r="V245" s="39"/>
      <c r="W245" s="39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35" t="s">
        <v>21</v>
      </c>
      <c r="B246" s="35" t="s">
        <v>39</v>
      </c>
      <c r="C246" s="35" t="s">
        <v>40</v>
      </c>
      <c r="D246" s="35" t="s">
        <v>38</v>
      </c>
      <c r="E246" s="35" t="s">
        <v>25</v>
      </c>
      <c r="F246" s="35" t="s">
        <v>25</v>
      </c>
      <c r="G246" s="35" t="s">
        <v>25</v>
      </c>
      <c r="H246" s="35" t="s">
        <v>35</v>
      </c>
      <c r="I246" s="55">
        <v>44593</v>
      </c>
      <c r="J246" s="56">
        <f>EFEITO!$J$246*EFEITO!$Y$246</f>
        <v>0</v>
      </c>
      <c r="K246" s="56">
        <f ca="1">EFEITO!$L$246*EFEITO!$Z$246</f>
        <v>109111.23043095383</v>
      </c>
      <c r="L246" s="56">
        <f>EFEITO!$N$246*EFEITO!$AA$246</f>
        <v>166519.85266131195</v>
      </c>
      <c r="M246" s="56">
        <f>$J$246-EFEITO!$K$246*EFEITO!$Y$246</f>
        <v>0</v>
      </c>
      <c r="N246" s="56">
        <f ca="1">$K$246-EFEITO!$M$246*EFEITO!$Z$246</f>
        <v>0</v>
      </c>
      <c r="O246" s="56">
        <f>$L$246-EFEITO!$O$246*EFEITO!$AA$246</f>
        <v>0</v>
      </c>
      <c r="P246" s="39"/>
      <c r="Q246" s="39"/>
      <c r="R246" s="39"/>
      <c r="S246" s="39"/>
      <c r="T246" s="39"/>
      <c r="U246" s="39"/>
      <c r="V246" s="39"/>
      <c r="W246" s="39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35" t="s">
        <v>28</v>
      </c>
      <c r="B247" s="35" t="s">
        <v>39</v>
      </c>
      <c r="C247" s="35" t="s">
        <v>40</v>
      </c>
      <c r="D247" s="35" t="s">
        <v>38</v>
      </c>
      <c r="E247" s="35" t="s">
        <v>25</v>
      </c>
      <c r="F247" s="35" t="s">
        <v>25</v>
      </c>
      <c r="G247" s="35" t="s">
        <v>25</v>
      </c>
      <c r="H247" s="35" t="s">
        <v>35</v>
      </c>
      <c r="I247" s="55">
        <v>44593</v>
      </c>
      <c r="J247" s="56">
        <f>EFEITO!$J$247*EFEITO!$Y$247</f>
        <v>0</v>
      </c>
      <c r="K247" s="56">
        <f ca="1">EFEITO!$L$247*EFEITO!$Z$247</f>
        <v>230.96996268911153</v>
      </c>
      <c r="L247" s="56">
        <f>EFEITO!$N$247*EFEITO!$AA$247</f>
        <v>352.49427583458464</v>
      </c>
      <c r="M247" s="56">
        <f>$J$247-EFEITO!$K$247*EFEITO!$Y$247</f>
        <v>0</v>
      </c>
      <c r="N247" s="56">
        <f ca="1">$K$247-EFEITO!$M$247*EFEITO!$Z$247</f>
        <v>0</v>
      </c>
      <c r="O247" s="56">
        <f>$L$247-EFEITO!$O$247*EFEITO!$AA$247</f>
        <v>0</v>
      </c>
      <c r="P247" s="39"/>
      <c r="Q247" s="39"/>
      <c r="R247" s="39"/>
      <c r="S247" s="39"/>
      <c r="T247" s="39"/>
      <c r="U247" s="39"/>
      <c r="V247" s="39"/>
      <c r="W247" s="39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35" t="s">
        <v>21</v>
      </c>
      <c r="B248" s="35" t="s">
        <v>39</v>
      </c>
      <c r="C248" s="35" t="s">
        <v>40</v>
      </c>
      <c r="D248" s="35" t="s">
        <v>38</v>
      </c>
      <c r="E248" s="35" t="s">
        <v>25</v>
      </c>
      <c r="F248" s="35" t="s">
        <v>25</v>
      </c>
      <c r="G248" s="35" t="s">
        <v>25</v>
      </c>
      <c r="H248" s="35" t="s">
        <v>35</v>
      </c>
      <c r="I248" s="55">
        <v>44621</v>
      </c>
      <c r="J248" s="56">
        <f>EFEITO!$J$248*EFEITO!$Y$248</f>
        <v>0</v>
      </c>
      <c r="K248" s="56">
        <f ca="1">EFEITO!$L$248*EFEITO!$Z$248</f>
        <v>128142.42674466695</v>
      </c>
      <c r="L248" s="56">
        <f>EFEITO!$N$248*EFEITO!$AA$248</f>
        <v>195564.26902075735</v>
      </c>
      <c r="M248" s="56">
        <f>$J$248-EFEITO!$K$248*EFEITO!$Y$248</f>
        <v>0</v>
      </c>
      <c r="N248" s="56">
        <f ca="1">$K$248-EFEITO!$M$248*EFEITO!$Z$248</f>
        <v>0</v>
      </c>
      <c r="O248" s="56">
        <f>$L$248-EFEITO!$O$248*EFEITO!$AA$248</f>
        <v>0</v>
      </c>
      <c r="P248" s="39"/>
      <c r="Q248" s="39"/>
      <c r="R248" s="39"/>
      <c r="S248" s="39"/>
      <c r="T248" s="39"/>
      <c r="U248" s="39"/>
      <c r="V248" s="39"/>
      <c r="W248" s="39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35" t="s">
        <v>28</v>
      </c>
      <c r="B249" s="35" t="s">
        <v>39</v>
      </c>
      <c r="C249" s="35" t="s">
        <v>40</v>
      </c>
      <c r="D249" s="35" t="s">
        <v>38</v>
      </c>
      <c r="E249" s="35" t="s">
        <v>25</v>
      </c>
      <c r="F249" s="35" t="s">
        <v>25</v>
      </c>
      <c r="G249" s="35" t="s">
        <v>25</v>
      </c>
      <c r="H249" s="35" t="s">
        <v>35</v>
      </c>
      <c r="I249" s="55">
        <v>44621</v>
      </c>
      <c r="J249" s="56">
        <f>EFEITO!$J$249*EFEITO!$Y$249</f>
        <v>0</v>
      </c>
      <c r="K249" s="56">
        <f ca="1">EFEITO!$L$249*EFEITO!$Z$249</f>
        <v>227.18118096676648</v>
      </c>
      <c r="L249" s="56">
        <f>EFEITO!$N$249*EFEITO!$AA$249</f>
        <v>346.71203534770819</v>
      </c>
      <c r="M249" s="56">
        <f>$J$249-EFEITO!$K$249*EFEITO!$Y$249</f>
        <v>0</v>
      </c>
      <c r="N249" s="56">
        <f ca="1">$K$249-EFEITO!$M$249*EFEITO!$Z$249</f>
        <v>0</v>
      </c>
      <c r="O249" s="56">
        <f>$L$249-EFEITO!$O$249*EFEITO!$AA$249</f>
        <v>0</v>
      </c>
      <c r="P249" s="39"/>
      <c r="Q249" s="39"/>
      <c r="R249" s="39"/>
      <c r="S249" s="39"/>
      <c r="T249" s="39"/>
      <c r="U249" s="39"/>
      <c r="V249" s="39"/>
      <c r="W249" s="39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35" t="s">
        <v>21</v>
      </c>
      <c r="B250" s="35" t="s">
        <v>39</v>
      </c>
      <c r="C250" s="35" t="s">
        <v>40</v>
      </c>
      <c r="D250" s="35" t="s">
        <v>38</v>
      </c>
      <c r="E250" s="35" t="s">
        <v>25</v>
      </c>
      <c r="F250" s="35" t="s">
        <v>25</v>
      </c>
      <c r="G250" s="35" t="s">
        <v>25</v>
      </c>
      <c r="H250" s="35" t="s">
        <v>35</v>
      </c>
      <c r="I250" s="55">
        <v>44652</v>
      </c>
      <c r="J250" s="56">
        <f>EFEITO!$J$250*EFEITO!$Y$250</f>
        <v>0</v>
      </c>
      <c r="K250" s="56">
        <f ca="1">EFEITO!$L$250*EFEITO!$Z$250</f>
        <v>113109.26948227148</v>
      </c>
      <c r="L250" s="56">
        <f>EFEITO!$N$250*EFEITO!$AA$250</f>
        <v>172621.45073815589</v>
      </c>
      <c r="M250" s="56">
        <f>$J$250-EFEITO!$K$250*EFEITO!$Y$250</f>
        <v>0</v>
      </c>
      <c r="N250" s="56">
        <f ca="1">$K$250-EFEITO!$M$250*EFEITO!$Z$250</f>
        <v>0</v>
      </c>
      <c r="O250" s="56">
        <f>$L$250-EFEITO!$O$250*EFEITO!$AA$250</f>
        <v>0</v>
      </c>
      <c r="P250" s="39"/>
      <c r="Q250" s="39"/>
      <c r="R250" s="39"/>
      <c r="S250" s="39"/>
      <c r="T250" s="39"/>
      <c r="U250" s="39"/>
      <c r="V250" s="39"/>
      <c r="W250" s="39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35" t="s">
        <v>28</v>
      </c>
      <c r="B251" s="35" t="s">
        <v>39</v>
      </c>
      <c r="C251" s="35" t="s">
        <v>40</v>
      </c>
      <c r="D251" s="35" t="s">
        <v>38</v>
      </c>
      <c r="E251" s="35" t="s">
        <v>25</v>
      </c>
      <c r="F251" s="35" t="s">
        <v>25</v>
      </c>
      <c r="G251" s="35" t="s">
        <v>25</v>
      </c>
      <c r="H251" s="35" t="s">
        <v>35</v>
      </c>
      <c r="I251" s="55">
        <v>44652</v>
      </c>
      <c r="J251" s="56">
        <f>EFEITO!$J$251*EFEITO!$Y$251</f>
        <v>0</v>
      </c>
      <c r="K251" s="56">
        <f ca="1">EFEITO!$L$251*EFEITO!$Z$251</f>
        <v>179.52996468958068</v>
      </c>
      <c r="L251" s="56">
        <f>EFEITO!$N$251*EFEITO!$AA$251</f>
        <v>273.9892415319926</v>
      </c>
      <c r="M251" s="56">
        <f>$J$251-EFEITO!$K$251*EFEITO!$Y$251</f>
        <v>0</v>
      </c>
      <c r="N251" s="56">
        <f ca="1">$K$251-EFEITO!$M$251*EFEITO!$Z$251</f>
        <v>0</v>
      </c>
      <c r="O251" s="56">
        <f>$L$251-EFEITO!$O$251*EFEITO!$AA$251</f>
        <v>0</v>
      </c>
      <c r="P251" s="39"/>
      <c r="Q251" s="39"/>
      <c r="R251" s="39"/>
      <c r="S251" s="39"/>
      <c r="T251" s="39"/>
      <c r="U251" s="39"/>
      <c r="V251" s="39"/>
      <c r="W251" s="39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35" t="s">
        <v>21</v>
      </c>
      <c r="B252" s="35" t="s">
        <v>39</v>
      </c>
      <c r="C252" s="35" t="s">
        <v>40</v>
      </c>
      <c r="D252" s="35" t="s">
        <v>38</v>
      </c>
      <c r="E252" s="35" t="s">
        <v>25</v>
      </c>
      <c r="F252" s="35" t="s">
        <v>25</v>
      </c>
      <c r="G252" s="35" t="s">
        <v>25</v>
      </c>
      <c r="H252" s="35" t="s">
        <v>35</v>
      </c>
      <c r="I252" s="55">
        <v>44682</v>
      </c>
      <c r="J252" s="56">
        <f>EFEITO!$J$252*EFEITO!$Y$252</f>
        <v>0</v>
      </c>
      <c r="K252" s="56">
        <f ca="1">EFEITO!$L$252*EFEITO!$Z$252</f>
        <v>98081.941114833462</v>
      </c>
      <c r="L252" s="56">
        <f>EFEITO!$N$252*EFEITO!$AA$252</f>
        <v>149687.52821014967</v>
      </c>
      <c r="M252" s="56">
        <f>$J$252-EFEITO!$K$252*EFEITO!$Y$252</f>
        <v>0</v>
      </c>
      <c r="N252" s="56">
        <f ca="1">$K$252-EFEITO!$M$252*EFEITO!$Z$252</f>
        <v>0</v>
      </c>
      <c r="O252" s="56">
        <f>$L$252-EFEITO!$O$252*EFEITO!$AA$252</f>
        <v>0</v>
      </c>
      <c r="P252" s="39"/>
      <c r="Q252" s="39"/>
      <c r="R252" s="39"/>
      <c r="S252" s="39"/>
      <c r="T252" s="39"/>
      <c r="U252" s="39"/>
      <c r="V252" s="39"/>
      <c r="W252" s="39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35" t="s">
        <v>28</v>
      </c>
      <c r="B253" s="35" t="s">
        <v>39</v>
      </c>
      <c r="C253" s="35" t="s">
        <v>40</v>
      </c>
      <c r="D253" s="35" t="s">
        <v>38</v>
      </c>
      <c r="E253" s="35" t="s">
        <v>25</v>
      </c>
      <c r="F253" s="35" t="s">
        <v>25</v>
      </c>
      <c r="G253" s="35" t="s">
        <v>25</v>
      </c>
      <c r="H253" s="35" t="s">
        <v>35</v>
      </c>
      <c r="I253" s="55">
        <v>44682</v>
      </c>
      <c r="J253" s="56">
        <f>EFEITO!$J$253*EFEITO!$Y$253</f>
        <v>0</v>
      </c>
      <c r="K253" s="56">
        <f ca="1">EFEITO!$L$253*EFEITO!$Z$253</f>
        <v>158.2544980948739</v>
      </c>
      <c r="L253" s="56">
        <f>EFEITO!$N$253*EFEITO!$AA$253</f>
        <v>241.51973725953246</v>
      </c>
      <c r="M253" s="56">
        <f>$J$253-EFEITO!$K$253*EFEITO!$Y$253</f>
        <v>0</v>
      </c>
      <c r="N253" s="56">
        <f ca="1">$K$253-EFEITO!$M$253*EFEITO!$Z$253</f>
        <v>0</v>
      </c>
      <c r="O253" s="56">
        <f>$L$253-EFEITO!$O$253*EFEITO!$AA$253</f>
        <v>0</v>
      </c>
      <c r="P253" s="39"/>
      <c r="Q253" s="39"/>
      <c r="R253" s="39"/>
      <c r="S253" s="39"/>
      <c r="T253" s="39"/>
      <c r="U253" s="39"/>
      <c r="V253" s="39"/>
      <c r="W253" s="39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35" t="s">
        <v>21</v>
      </c>
      <c r="B254" s="35" t="s">
        <v>39</v>
      </c>
      <c r="C254" s="35" t="s">
        <v>40</v>
      </c>
      <c r="D254" s="35" t="s">
        <v>38</v>
      </c>
      <c r="E254" s="35" t="s">
        <v>25</v>
      </c>
      <c r="F254" s="35" t="s">
        <v>25</v>
      </c>
      <c r="G254" s="35" t="s">
        <v>25</v>
      </c>
      <c r="H254" s="35" t="s">
        <v>35</v>
      </c>
      <c r="I254" s="55">
        <v>44713</v>
      </c>
      <c r="J254" s="56">
        <f>EFEITO!$J$254*EFEITO!$Y$254</f>
        <v>0</v>
      </c>
      <c r="K254" s="56">
        <f ca="1">EFEITO!$L$254*EFEITO!$Z$254</f>
        <v>93262.027874514824</v>
      </c>
      <c r="L254" s="56">
        <f>EFEITO!$N$254*EFEITO!$AA$254</f>
        <v>142331.6287353833</v>
      </c>
      <c r="M254" s="56">
        <f>$J$254-EFEITO!$K$254*EFEITO!$Y$254</f>
        <v>0</v>
      </c>
      <c r="N254" s="56">
        <f ca="1">$K$254-EFEITO!$M$254*EFEITO!$Z$254</f>
        <v>0</v>
      </c>
      <c r="O254" s="56">
        <f>$L$254-EFEITO!$O$254*EFEITO!$AA$254</f>
        <v>0</v>
      </c>
      <c r="P254" s="39"/>
      <c r="Q254" s="39"/>
      <c r="R254" s="39"/>
      <c r="S254" s="39"/>
      <c r="T254" s="39"/>
      <c r="U254" s="39"/>
      <c r="V254" s="39"/>
      <c r="W254" s="39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35" t="s">
        <v>28</v>
      </c>
      <c r="B255" s="35" t="s">
        <v>39</v>
      </c>
      <c r="C255" s="35" t="s">
        <v>40</v>
      </c>
      <c r="D255" s="35" t="s">
        <v>38</v>
      </c>
      <c r="E255" s="35" t="s">
        <v>25</v>
      </c>
      <c r="F255" s="35" t="s">
        <v>25</v>
      </c>
      <c r="G255" s="35" t="s">
        <v>25</v>
      </c>
      <c r="H255" s="35" t="s">
        <v>35</v>
      </c>
      <c r="I255" s="55">
        <v>44713</v>
      </c>
      <c r="J255" s="56">
        <f>EFEITO!$J$255*EFEITO!$Y$255</f>
        <v>0</v>
      </c>
      <c r="K255" s="56">
        <f ca="1">EFEITO!$L$255*EFEITO!$Z$255</f>
        <v>172.82673548850869</v>
      </c>
      <c r="L255" s="56">
        <f>EFEITO!$N$255*EFEITO!$AA$255</f>
        <v>263.75912374751886</v>
      </c>
      <c r="M255" s="56">
        <f>$J$255-EFEITO!$K$255*EFEITO!$Y$255</f>
        <v>0</v>
      </c>
      <c r="N255" s="56">
        <f ca="1">$K$255-EFEITO!$M$255*EFEITO!$Z$255</f>
        <v>0</v>
      </c>
      <c r="O255" s="56">
        <f>$L$255-EFEITO!$O$255*EFEITO!$AA$255</f>
        <v>0</v>
      </c>
      <c r="P255" s="39"/>
      <c r="Q255" s="39"/>
      <c r="R255" s="39"/>
      <c r="S255" s="39"/>
      <c r="T255" s="39"/>
      <c r="U255" s="39"/>
      <c r="V255" s="39"/>
      <c r="W255" s="39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35" t="s">
        <v>21</v>
      </c>
      <c r="B256" s="35" t="s">
        <v>39</v>
      </c>
      <c r="C256" s="35" t="s">
        <v>40</v>
      </c>
      <c r="D256" s="35" t="s">
        <v>38</v>
      </c>
      <c r="E256" s="35" t="s">
        <v>25</v>
      </c>
      <c r="F256" s="35" t="s">
        <v>25</v>
      </c>
      <c r="G256" s="35" t="s">
        <v>25</v>
      </c>
      <c r="H256" s="35" t="s">
        <v>35</v>
      </c>
      <c r="I256" s="55">
        <v>44743</v>
      </c>
      <c r="J256" s="56">
        <f>EFEITO!$J$256*EFEITO!$Y$256</f>
        <v>0</v>
      </c>
      <c r="K256" s="56">
        <f ca="1">EFEITO!$L$256*EFEITO!$Z$256</f>
        <v>92573.343935291647</v>
      </c>
      <c r="L256" s="56">
        <f>EFEITO!$N$256*EFEITO!$AA$256</f>
        <v>141280.59532996107</v>
      </c>
      <c r="M256" s="56">
        <f>$J$256-EFEITO!$K$256*EFEITO!$Y$256</f>
        <v>0</v>
      </c>
      <c r="N256" s="56">
        <f ca="1">$K$256-EFEITO!$M$256*EFEITO!$Z$256</f>
        <v>0</v>
      </c>
      <c r="O256" s="56">
        <f>$L$256-EFEITO!$O$256*EFEITO!$AA$256</f>
        <v>0</v>
      </c>
      <c r="P256" s="39"/>
      <c r="Q256" s="39"/>
      <c r="R256" s="39"/>
      <c r="S256" s="39"/>
      <c r="T256" s="39"/>
      <c r="U256" s="39"/>
      <c r="V256" s="39"/>
      <c r="W256" s="39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35" t="s">
        <v>28</v>
      </c>
      <c r="B257" s="35" t="s">
        <v>39</v>
      </c>
      <c r="C257" s="35" t="s">
        <v>40</v>
      </c>
      <c r="D257" s="35" t="s">
        <v>38</v>
      </c>
      <c r="E257" s="35" t="s">
        <v>25</v>
      </c>
      <c r="F257" s="35" t="s">
        <v>25</v>
      </c>
      <c r="G257" s="35" t="s">
        <v>25</v>
      </c>
      <c r="H257" s="35" t="s">
        <v>35</v>
      </c>
      <c r="I257" s="55">
        <v>44743</v>
      </c>
      <c r="J257" s="56">
        <f>EFEITO!$J$257*EFEITO!$Y$257</f>
        <v>0</v>
      </c>
      <c r="K257" s="56">
        <f ca="1">EFEITO!$L$257*EFEITO!$Z$257</f>
        <v>130.56724704696776</v>
      </c>
      <c r="L257" s="56">
        <f>EFEITO!$N$257*EFEITO!$AA$257</f>
        <v>199.26490293235827</v>
      </c>
      <c r="M257" s="56">
        <f>$J$257-EFEITO!$K$257*EFEITO!$Y$257</f>
        <v>0</v>
      </c>
      <c r="N257" s="56">
        <f ca="1">$K$257-EFEITO!$M$257*EFEITO!$Z$257</f>
        <v>0</v>
      </c>
      <c r="O257" s="56">
        <f>$L$257-EFEITO!$O$257*EFEITO!$AA$257</f>
        <v>0</v>
      </c>
      <c r="P257" s="39"/>
      <c r="Q257" s="39"/>
      <c r="R257" s="39"/>
      <c r="S257" s="39"/>
      <c r="T257" s="39"/>
      <c r="U257" s="39"/>
      <c r="V257" s="39"/>
      <c r="W257" s="39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35" t="s">
        <v>21</v>
      </c>
      <c r="B258" s="35" t="s">
        <v>39</v>
      </c>
      <c r="C258" s="35" t="s">
        <v>40</v>
      </c>
      <c r="D258" s="35" t="s">
        <v>38</v>
      </c>
      <c r="E258" s="35" t="s">
        <v>25</v>
      </c>
      <c r="F258" s="35" t="s">
        <v>25</v>
      </c>
      <c r="G258" s="35" t="s">
        <v>25</v>
      </c>
      <c r="H258" s="35" t="s">
        <v>35</v>
      </c>
      <c r="I258" s="55">
        <v>44774</v>
      </c>
      <c r="J258" s="56">
        <f>EFEITO!$J$258*EFEITO!$Y$258</f>
        <v>0</v>
      </c>
      <c r="K258" s="56">
        <f ca="1">EFEITO!$L$258*EFEITO!$Z$258</f>
        <v>109148.24391393366</v>
      </c>
      <c r="L258" s="56">
        <f>EFEITO!$N$258*EFEITO!$AA$258</f>
        <v>166576.34070299144</v>
      </c>
      <c r="M258" s="56">
        <f>$J$258-EFEITO!$K$258*EFEITO!$Y$258</f>
        <v>0</v>
      </c>
      <c r="N258" s="56">
        <f ca="1">$K$258-EFEITO!$M$258*EFEITO!$Z$258</f>
        <v>0</v>
      </c>
      <c r="O258" s="56">
        <f>$L$258-EFEITO!$O$258*EFEITO!$AA$258</f>
        <v>0</v>
      </c>
      <c r="P258" s="39"/>
      <c r="Q258" s="39"/>
      <c r="R258" s="39"/>
      <c r="S258" s="39"/>
      <c r="T258" s="39"/>
      <c r="U258" s="39"/>
      <c r="V258" s="39"/>
      <c r="W258" s="39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35" t="s">
        <v>28</v>
      </c>
      <c r="B259" s="35" t="s">
        <v>39</v>
      </c>
      <c r="C259" s="35" t="s">
        <v>40</v>
      </c>
      <c r="D259" s="35" t="s">
        <v>38</v>
      </c>
      <c r="E259" s="35" t="s">
        <v>25</v>
      </c>
      <c r="F259" s="35" t="s">
        <v>25</v>
      </c>
      <c r="G259" s="35" t="s">
        <v>25</v>
      </c>
      <c r="H259" s="35" t="s">
        <v>35</v>
      </c>
      <c r="I259" s="55">
        <v>44774</v>
      </c>
      <c r="J259" s="56">
        <f>EFEITO!$J$259*EFEITO!$Y$259</f>
        <v>0</v>
      </c>
      <c r="K259" s="56">
        <f ca="1">EFEITO!$L$259*EFEITO!$Z$259</f>
        <v>179.38424231564434</v>
      </c>
      <c r="L259" s="56">
        <f>EFEITO!$N$259*EFEITO!$AA$259</f>
        <v>273.76684766711276</v>
      </c>
      <c r="M259" s="56">
        <f>$J$259-EFEITO!$K$259*EFEITO!$Y$259</f>
        <v>0</v>
      </c>
      <c r="N259" s="56">
        <f ca="1">$K$259-EFEITO!$M$259*EFEITO!$Z$259</f>
        <v>0</v>
      </c>
      <c r="O259" s="56">
        <f>$L$259-EFEITO!$O$259*EFEITO!$AA$259</f>
        <v>0</v>
      </c>
      <c r="P259" s="39"/>
      <c r="Q259" s="39"/>
      <c r="R259" s="39"/>
      <c r="S259" s="39"/>
      <c r="T259" s="39"/>
      <c r="U259" s="39"/>
      <c r="V259" s="39"/>
      <c r="W259" s="39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35" t="s">
        <v>21</v>
      </c>
      <c r="B260" s="35" t="s">
        <v>39</v>
      </c>
      <c r="C260" s="35" t="s">
        <v>40</v>
      </c>
      <c r="D260" s="35" t="s">
        <v>38</v>
      </c>
      <c r="E260" s="35" t="s">
        <v>25</v>
      </c>
      <c r="F260" s="35" t="s">
        <v>25</v>
      </c>
      <c r="G260" s="35" t="s">
        <v>25</v>
      </c>
      <c r="H260" s="35" t="s">
        <v>35</v>
      </c>
      <c r="I260" s="55">
        <v>44805</v>
      </c>
      <c r="J260" s="56">
        <f>EFEITO!$J$260*EFEITO!$Y$260</f>
        <v>0</v>
      </c>
      <c r="K260" s="56">
        <f ca="1">EFEITO!$L$260*EFEITO!$Z$260</f>
        <v>106597.51948055183</v>
      </c>
      <c r="L260" s="56">
        <f>EFEITO!$N$260*EFEITO!$AA$260</f>
        <v>162683.5584921343</v>
      </c>
      <c r="M260" s="56">
        <f>$J$260-EFEITO!$K$260*EFEITO!$Y$260</f>
        <v>0</v>
      </c>
      <c r="N260" s="56">
        <f ca="1">$K$260-EFEITO!$M$260*EFEITO!$Z$260</f>
        <v>0</v>
      </c>
      <c r="O260" s="56">
        <f>$L$260-EFEITO!$O$260*EFEITO!$AA$260</f>
        <v>0</v>
      </c>
      <c r="P260" s="39"/>
      <c r="Q260" s="39"/>
      <c r="R260" s="39"/>
      <c r="S260" s="39"/>
      <c r="T260" s="39"/>
      <c r="U260" s="39"/>
      <c r="V260" s="39"/>
      <c r="W260" s="39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35" t="s">
        <v>28</v>
      </c>
      <c r="B261" s="35" t="s">
        <v>39</v>
      </c>
      <c r="C261" s="35" t="s">
        <v>40</v>
      </c>
      <c r="D261" s="35" t="s">
        <v>38</v>
      </c>
      <c r="E261" s="35" t="s">
        <v>25</v>
      </c>
      <c r="F261" s="35" t="s">
        <v>25</v>
      </c>
      <c r="G261" s="35" t="s">
        <v>25</v>
      </c>
      <c r="H261" s="35" t="s">
        <v>35</v>
      </c>
      <c r="I261" s="55">
        <v>44805</v>
      </c>
      <c r="J261" s="56">
        <f>EFEITO!$J$261*EFEITO!$Y$261</f>
        <v>0</v>
      </c>
      <c r="K261" s="56">
        <f ca="1">EFEITO!$L$261*EFEITO!$Z$261</f>
        <v>176.7612395847901</v>
      </c>
      <c r="L261" s="56">
        <f>EFEITO!$N$261*EFEITO!$AA$261</f>
        <v>269.76375809927521</v>
      </c>
      <c r="M261" s="56">
        <f>$J$261-EFEITO!$K$261*EFEITO!$Y$261</f>
        <v>0</v>
      </c>
      <c r="N261" s="56">
        <f ca="1">$K$261-EFEITO!$M$261*EFEITO!$Z$261</f>
        <v>0</v>
      </c>
      <c r="O261" s="56">
        <f>$L$261-EFEITO!$O$261*EFEITO!$AA$261</f>
        <v>0</v>
      </c>
      <c r="P261" s="39"/>
      <c r="Q261" s="39"/>
      <c r="R261" s="39"/>
      <c r="S261" s="39"/>
      <c r="T261" s="39"/>
      <c r="U261" s="39"/>
      <c r="V261" s="39"/>
      <c r="W261" s="39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35" t="s">
        <v>57</v>
      </c>
      <c r="B262" s="35" t="s">
        <v>39</v>
      </c>
      <c r="C262" s="35" t="s">
        <v>40</v>
      </c>
      <c r="D262" s="35" t="s">
        <v>38</v>
      </c>
      <c r="E262" s="35" t="s">
        <v>25</v>
      </c>
      <c r="F262" s="35" t="s">
        <v>25</v>
      </c>
      <c r="G262" s="35" t="s">
        <v>25</v>
      </c>
      <c r="H262" s="35" t="s">
        <v>35</v>
      </c>
      <c r="I262" s="55">
        <v>44835</v>
      </c>
      <c r="J262" s="56">
        <f>EFEITO!$J$262*EFEITO!$Y$262</f>
        <v>0</v>
      </c>
      <c r="K262" s="56">
        <f ca="1">EFEITO!$L$262*EFEITO!$Z$262</f>
        <v>106597.51948055183</v>
      </c>
      <c r="L262" s="56">
        <f>EFEITO!$N$262*EFEITO!$AA$262</f>
        <v>162683.5584921343</v>
      </c>
      <c r="M262" s="56">
        <f>$J$262-EFEITO!$K$262*EFEITO!$Y$262</f>
        <v>0</v>
      </c>
      <c r="N262" s="56">
        <f ca="1">$K$262-EFEITO!$M$262*EFEITO!$Z$262</f>
        <v>0</v>
      </c>
      <c r="O262" s="56">
        <f>$L$262-EFEITO!$O$262*EFEITO!$AA$262</f>
        <v>0</v>
      </c>
      <c r="P262" s="39"/>
      <c r="Q262" s="39"/>
      <c r="R262" s="39"/>
      <c r="S262" s="39"/>
      <c r="T262" s="39"/>
      <c r="U262" s="39"/>
      <c r="V262" s="39"/>
      <c r="W262" s="39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35" t="s">
        <v>57</v>
      </c>
      <c r="B263" s="35" t="s">
        <v>39</v>
      </c>
      <c r="C263" s="35" t="s">
        <v>40</v>
      </c>
      <c r="D263" s="35" t="s">
        <v>38</v>
      </c>
      <c r="E263" s="35" t="s">
        <v>25</v>
      </c>
      <c r="F263" s="35" t="s">
        <v>25</v>
      </c>
      <c r="G263" s="35" t="s">
        <v>25</v>
      </c>
      <c r="H263" s="35" t="s">
        <v>35</v>
      </c>
      <c r="I263" s="55">
        <v>44835</v>
      </c>
      <c r="J263" s="56">
        <f>EFEITO!$J$263*EFEITO!$Y$263</f>
        <v>0</v>
      </c>
      <c r="K263" s="56">
        <f ca="1">EFEITO!$L$263*EFEITO!$Z$263</f>
        <v>176.7612395847901</v>
      </c>
      <c r="L263" s="56">
        <f>EFEITO!$N$263*EFEITO!$AA$263</f>
        <v>269.76375809927521</v>
      </c>
      <c r="M263" s="56">
        <f>$J$263-EFEITO!$K$263*EFEITO!$Y$263</f>
        <v>0</v>
      </c>
      <c r="N263" s="56">
        <f ca="1">$K$263-EFEITO!$M$263*EFEITO!$Z$263</f>
        <v>0</v>
      </c>
      <c r="O263" s="56">
        <f>$L$263-EFEITO!$O$263*EFEITO!$AA$263</f>
        <v>0</v>
      </c>
      <c r="P263" s="39"/>
      <c r="Q263" s="39"/>
      <c r="R263" s="39"/>
      <c r="S263" s="39"/>
      <c r="T263" s="39"/>
      <c r="U263" s="39"/>
      <c r="V263" s="39"/>
      <c r="W263" s="39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35" t="s">
        <v>21</v>
      </c>
      <c r="B264" s="35" t="s">
        <v>39</v>
      </c>
      <c r="C264" s="35" t="s">
        <v>40</v>
      </c>
      <c r="D264" s="35" t="s">
        <v>38</v>
      </c>
      <c r="E264" s="35" t="s">
        <v>25</v>
      </c>
      <c r="F264" s="35" t="s">
        <v>25</v>
      </c>
      <c r="G264" s="35" t="s">
        <v>25</v>
      </c>
      <c r="H264" s="35" t="s">
        <v>25</v>
      </c>
      <c r="I264" s="55">
        <v>44501</v>
      </c>
      <c r="J264" s="56">
        <f ca="1">EFEITO!$J$264*EFEITO!$Y$264</f>
        <v>85220.922438990397</v>
      </c>
      <c r="K264" s="56">
        <f>EFEITO!$L$264*EFEITO!$Z$264</f>
        <v>0</v>
      </c>
      <c r="L264" s="56">
        <f>EFEITO!$N$264*EFEITO!$AA$264</f>
        <v>0</v>
      </c>
      <c r="M264" s="56">
        <f ca="1">$J$264-EFEITO!$K$264*EFEITO!$Y$264</f>
        <v>0</v>
      </c>
      <c r="N264" s="56">
        <f>$K$264-EFEITO!$M$264*EFEITO!$Z$264</f>
        <v>0</v>
      </c>
      <c r="O264" s="56">
        <f>$L$264-EFEITO!$O$264*EFEITO!$AA$264</f>
        <v>0</v>
      </c>
      <c r="P264" s="39"/>
      <c r="Q264" s="39"/>
      <c r="R264" s="39"/>
      <c r="S264" s="39"/>
      <c r="T264" s="39"/>
      <c r="U264" s="39"/>
      <c r="V264" s="39"/>
      <c r="W264" s="39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35" t="s">
        <v>28</v>
      </c>
      <c r="B265" s="35" t="s">
        <v>39</v>
      </c>
      <c r="C265" s="35" t="s">
        <v>40</v>
      </c>
      <c r="D265" s="35" t="s">
        <v>38</v>
      </c>
      <c r="E265" s="35" t="s">
        <v>25</v>
      </c>
      <c r="F265" s="35" t="s">
        <v>25</v>
      </c>
      <c r="G265" s="35" t="s">
        <v>25</v>
      </c>
      <c r="H265" s="35" t="s">
        <v>25</v>
      </c>
      <c r="I265" s="55">
        <v>44501</v>
      </c>
      <c r="J265" s="56">
        <f ca="1">EFEITO!$J$265*EFEITO!$Y$265</f>
        <v>4466.1917727555146</v>
      </c>
      <c r="K265" s="56">
        <f>EFEITO!$L$265*EFEITO!$Z$265</f>
        <v>0</v>
      </c>
      <c r="L265" s="56">
        <f>EFEITO!$N$265*EFEITO!$AA$265</f>
        <v>0</v>
      </c>
      <c r="M265" s="56">
        <f ca="1">$J$265-EFEITO!$K$265*EFEITO!$Y$265</f>
        <v>0</v>
      </c>
      <c r="N265" s="56">
        <f>$K$265-EFEITO!$M$265*EFEITO!$Z$265</f>
        <v>0</v>
      </c>
      <c r="O265" s="56">
        <f>$L$265-EFEITO!$O$265*EFEITO!$AA$265</f>
        <v>0</v>
      </c>
      <c r="P265" s="39"/>
      <c r="Q265" s="39"/>
      <c r="R265" s="39"/>
      <c r="S265" s="39"/>
      <c r="T265" s="39"/>
      <c r="U265" s="39"/>
      <c r="V265" s="39"/>
      <c r="W265" s="39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35" t="s">
        <v>21</v>
      </c>
      <c r="B266" s="35" t="s">
        <v>39</v>
      </c>
      <c r="C266" s="35" t="s">
        <v>40</v>
      </c>
      <c r="D266" s="35" t="s">
        <v>38</v>
      </c>
      <c r="E266" s="35" t="s">
        <v>25</v>
      </c>
      <c r="F266" s="35" t="s">
        <v>25</v>
      </c>
      <c r="G266" s="35" t="s">
        <v>25</v>
      </c>
      <c r="H266" s="35" t="s">
        <v>25</v>
      </c>
      <c r="I266" s="55">
        <v>44531</v>
      </c>
      <c r="J266" s="56">
        <f ca="1">EFEITO!$J$266*EFEITO!$Y$266</f>
        <v>78211.779369785567</v>
      </c>
      <c r="K266" s="56">
        <f>EFEITO!$L$266*EFEITO!$Z$266</f>
        <v>0</v>
      </c>
      <c r="L266" s="56">
        <f>EFEITO!$N$266*EFEITO!$AA$266</f>
        <v>0</v>
      </c>
      <c r="M266" s="56">
        <f ca="1">$J$266-EFEITO!$K$266*EFEITO!$Y$266</f>
        <v>0</v>
      </c>
      <c r="N266" s="56">
        <f>$K$266-EFEITO!$M$266*EFEITO!$Z$266</f>
        <v>0</v>
      </c>
      <c r="O266" s="56">
        <f>$L$266-EFEITO!$O$266*EFEITO!$AA$266</f>
        <v>0</v>
      </c>
      <c r="P266" s="39"/>
      <c r="Q266" s="39"/>
      <c r="R266" s="39"/>
      <c r="S266" s="39"/>
      <c r="T266" s="39"/>
      <c r="U266" s="39"/>
      <c r="V266" s="39"/>
      <c r="W266" s="39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35" t="s">
        <v>28</v>
      </c>
      <c r="B267" s="35" t="s">
        <v>39</v>
      </c>
      <c r="C267" s="35" t="s">
        <v>40</v>
      </c>
      <c r="D267" s="35" t="s">
        <v>38</v>
      </c>
      <c r="E267" s="35" t="s">
        <v>25</v>
      </c>
      <c r="F267" s="35" t="s">
        <v>25</v>
      </c>
      <c r="G267" s="35" t="s">
        <v>25</v>
      </c>
      <c r="H267" s="35" t="s">
        <v>25</v>
      </c>
      <c r="I267" s="55">
        <v>44531</v>
      </c>
      <c r="J267" s="56">
        <f ca="1">EFEITO!$J$267*EFEITO!$Y$267</f>
        <v>4466.1917727555146</v>
      </c>
      <c r="K267" s="56">
        <f>EFEITO!$L$267*EFEITO!$Z$267</f>
        <v>0</v>
      </c>
      <c r="L267" s="56">
        <f>EFEITO!$N$267*EFEITO!$AA$267</f>
        <v>0</v>
      </c>
      <c r="M267" s="56">
        <f ca="1">$J$267-EFEITO!$K$267*EFEITO!$Y$267</f>
        <v>0</v>
      </c>
      <c r="N267" s="56">
        <f>$K$267-EFEITO!$M$267*EFEITO!$Z$267</f>
        <v>0</v>
      </c>
      <c r="O267" s="56">
        <f>$L$267-EFEITO!$O$267*EFEITO!$AA$267</f>
        <v>0</v>
      </c>
      <c r="P267" s="39"/>
      <c r="Q267" s="39"/>
      <c r="R267" s="39"/>
      <c r="S267" s="39"/>
      <c r="T267" s="39"/>
      <c r="U267" s="39"/>
      <c r="V267" s="39"/>
      <c r="W267" s="39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35" t="s">
        <v>21</v>
      </c>
      <c r="B268" s="35" t="s">
        <v>39</v>
      </c>
      <c r="C268" s="35" t="s">
        <v>40</v>
      </c>
      <c r="D268" s="35" t="s">
        <v>38</v>
      </c>
      <c r="E268" s="35" t="s">
        <v>25</v>
      </c>
      <c r="F268" s="35" t="s">
        <v>25</v>
      </c>
      <c r="G268" s="35" t="s">
        <v>25</v>
      </c>
      <c r="H268" s="35" t="s">
        <v>25</v>
      </c>
      <c r="I268" s="55">
        <v>44562</v>
      </c>
      <c r="J268" s="56">
        <f ca="1">EFEITO!$J$268*EFEITO!$Y$268</f>
        <v>75091.855930444392</v>
      </c>
      <c r="K268" s="56">
        <f>EFEITO!$L$268*EFEITO!$Z$268</f>
        <v>0</v>
      </c>
      <c r="L268" s="56">
        <f>EFEITO!$N$268*EFEITO!$AA$268</f>
        <v>0</v>
      </c>
      <c r="M268" s="56">
        <f ca="1">$J$268-EFEITO!$K$268*EFEITO!$Y$268</f>
        <v>0</v>
      </c>
      <c r="N268" s="56">
        <f>$K$268-EFEITO!$M$268*EFEITO!$Z$268</f>
        <v>0</v>
      </c>
      <c r="O268" s="56">
        <f>$L$268-EFEITO!$O$268*EFEITO!$AA$268</f>
        <v>0</v>
      </c>
      <c r="P268" s="39"/>
      <c r="Q268" s="39"/>
      <c r="R268" s="39"/>
      <c r="S268" s="39"/>
      <c r="T268" s="39"/>
      <c r="U268" s="39"/>
      <c r="V268" s="39"/>
      <c r="W268" s="39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35" t="s">
        <v>28</v>
      </c>
      <c r="B269" s="35" t="s">
        <v>39</v>
      </c>
      <c r="C269" s="35" t="s">
        <v>40</v>
      </c>
      <c r="D269" s="35" t="s">
        <v>38</v>
      </c>
      <c r="E269" s="35" t="s">
        <v>25</v>
      </c>
      <c r="F269" s="35" t="s">
        <v>25</v>
      </c>
      <c r="G269" s="35" t="s">
        <v>25</v>
      </c>
      <c r="H269" s="35" t="s">
        <v>25</v>
      </c>
      <c r="I269" s="55">
        <v>44562</v>
      </c>
      <c r="J269" s="56">
        <f ca="1">EFEITO!$J$269*EFEITO!$Y$269</f>
        <v>4466.1917727555146</v>
      </c>
      <c r="K269" s="56">
        <f>EFEITO!$L$269*EFEITO!$Z$269</f>
        <v>0</v>
      </c>
      <c r="L269" s="56">
        <f>EFEITO!$N$269*EFEITO!$AA$269</f>
        <v>0</v>
      </c>
      <c r="M269" s="56">
        <f ca="1">$J$269-EFEITO!$K$269*EFEITO!$Y$269</f>
        <v>0</v>
      </c>
      <c r="N269" s="56">
        <f>$K$269-EFEITO!$M$269*EFEITO!$Z$269</f>
        <v>0</v>
      </c>
      <c r="O269" s="56">
        <f>$L$269-EFEITO!$O$269*EFEITO!$AA$269</f>
        <v>0</v>
      </c>
      <c r="P269" s="39"/>
      <c r="Q269" s="39"/>
      <c r="R269" s="39"/>
      <c r="S269" s="39"/>
      <c r="T269" s="39"/>
      <c r="U269" s="39"/>
      <c r="V269" s="39"/>
      <c r="W269" s="39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35" t="s">
        <v>21</v>
      </c>
      <c r="B270" s="35" t="s">
        <v>39</v>
      </c>
      <c r="C270" s="35" t="s">
        <v>40</v>
      </c>
      <c r="D270" s="35" t="s">
        <v>38</v>
      </c>
      <c r="E270" s="35" t="s">
        <v>25</v>
      </c>
      <c r="F270" s="35" t="s">
        <v>25</v>
      </c>
      <c r="G270" s="35" t="s">
        <v>25</v>
      </c>
      <c r="H270" s="35" t="s">
        <v>25</v>
      </c>
      <c r="I270" s="55">
        <v>44593</v>
      </c>
      <c r="J270" s="56">
        <f ca="1">EFEITO!$J$270*EFEITO!$Y$270</f>
        <v>75818.413443715632</v>
      </c>
      <c r="K270" s="56">
        <f>EFEITO!$L$270*EFEITO!$Z$270</f>
        <v>0</v>
      </c>
      <c r="L270" s="56">
        <f>EFEITO!$N$270*EFEITO!$AA$270</f>
        <v>0</v>
      </c>
      <c r="M270" s="56">
        <f ca="1">$J$270-EFEITO!$K$270*EFEITO!$Y$270</f>
        <v>0</v>
      </c>
      <c r="N270" s="56">
        <f>$K$270-EFEITO!$M$270*EFEITO!$Z$270</f>
        <v>0</v>
      </c>
      <c r="O270" s="56">
        <f>$L$270-EFEITO!$O$270*EFEITO!$AA$270</f>
        <v>0</v>
      </c>
      <c r="P270" s="39"/>
      <c r="Q270" s="39"/>
      <c r="R270" s="39"/>
      <c r="S270" s="39"/>
      <c r="T270" s="39"/>
      <c r="U270" s="39"/>
      <c r="V270" s="39"/>
      <c r="W270" s="39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35" t="s">
        <v>28</v>
      </c>
      <c r="B271" s="35" t="s">
        <v>39</v>
      </c>
      <c r="C271" s="35" t="s">
        <v>40</v>
      </c>
      <c r="D271" s="35" t="s">
        <v>38</v>
      </c>
      <c r="E271" s="35" t="s">
        <v>25</v>
      </c>
      <c r="F271" s="35" t="s">
        <v>25</v>
      </c>
      <c r="G271" s="35" t="s">
        <v>25</v>
      </c>
      <c r="H271" s="35" t="s">
        <v>25</v>
      </c>
      <c r="I271" s="55">
        <v>44593</v>
      </c>
      <c r="J271" s="56">
        <f ca="1">EFEITO!$J$271*EFEITO!$Y$271</f>
        <v>4466.1917727555146</v>
      </c>
      <c r="K271" s="56">
        <f>EFEITO!$L$271*EFEITO!$Z$271</f>
        <v>0</v>
      </c>
      <c r="L271" s="56">
        <f>EFEITO!$N$271*EFEITO!$AA$271</f>
        <v>0</v>
      </c>
      <c r="M271" s="56">
        <f ca="1">$J$271-EFEITO!$K$271*EFEITO!$Y$271</f>
        <v>0</v>
      </c>
      <c r="N271" s="56">
        <f>$K$271-EFEITO!$M$271*EFEITO!$Z$271</f>
        <v>0</v>
      </c>
      <c r="O271" s="56">
        <f>$L$271-EFEITO!$O$271*EFEITO!$AA$271</f>
        <v>0</v>
      </c>
      <c r="P271" s="39"/>
      <c r="Q271" s="39"/>
      <c r="R271" s="39"/>
      <c r="S271" s="39"/>
      <c r="T271" s="39"/>
      <c r="U271" s="39"/>
      <c r="V271" s="39"/>
      <c r="W271" s="39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35" t="s">
        <v>21</v>
      </c>
      <c r="B272" s="35" t="s">
        <v>39</v>
      </c>
      <c r="C272" s="35" t="s">
        <v>40</v>
      </c>
      <c r="D272" s="35" t="s">
        <v>38</v>
      </c>
      <c r="E272" s="35" t="s">
        <v>25</v>
      </c>
      <c r="F272" s="35" t="s">
        <v>25</v>
      </c>
      <c r="G272" s="35" t="s">
        <v>25</v>
      </c>
      <c r="H272" s="35" t="s">
        <v>25</v>
      </c>
      <c r="I272" s="55">
        <v>44621</v>
      </c>
      <c r="J272" s="56">
        <f ca="1">EFEITO!$J$272*EFEITO!$Y$272</f>
        <v>81759.089581639229</v>
      </c>
      <c r="K272" s="56">
        <f>EFEITO!$L$272*EFEITO!$Z$272</f>
        <v>0</v>
      </c>
      <c r="L272" s="56">
        <f>EFEITO!$N$272*EFEITO!$AA$272</f>
        <v>0</v>
      </c>
      <c r="M272" s="56">
        <f ca="1">$J$272-EFEITO!$K$272*EFEITO!$Y$272</f>
        <v>0</v>
      </c>
      <c r="N272" s="56">
        <f>$K$272-EFEITO!$M$272*EFEITO!$Z$272</f>
        <v>0</v>
      </c>
      <c r="O272" s="56">
        <f>$L$272-EFEITO!$O$272*EFEITO!$AA$272</f>
        <v>0</v>
      </c>
      <c r="P272" s="39"/>
      <c r="Q272" s="39"/>
      <c r="R272" s="39"/>
      <c r="S272" s="39"/>
      <c r="T272" s="39"/>
      <c r="U272" s="39"/>
      <c r="V272" s="39"/>
      <c r="W272" s="39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35" t="s">
        <v>28</v>
      </c>
      <c r="B273" s="35" t="s">
        <v>39</v>
      </c>
      <c r="C273" s="35" t="s">
        <v>40</v>
      </c>
      <c r="D273" s="35" t="s">
        <v>38</v>
      </c>
      <c r="E273" s="35" t="s">
        <v>25</v>
      </c>
      <c r="F273" s="35" t="s">
        <v>25</v>
      </c>
      <c r="G273" s="35" t="s">
        <v>25</v>
      </c>
      <c r="H273" s="35" t="s">
        <v>25</v>
      </c>
      <c r="I273" s="55">
        <v>44621</v>
      </c>
      <c r="J273" s="56">
        <f ca="1">EFEITO!$J$273*EFEITO!$Y$273</f>
        <v>4466.1917727555146</v>
      </c>
      <c r="K273" s="56">
        <f>EFEITO!$L$273*EFEITO!$Z$273</f>
        <v>0</v>
      </c>
      <c r="L273" s="56">
        <f>EFEITO!$N$273*EFEITO!$AA$273</f>
        <v>0</v>
      </c>
      <c r="M273" s="56">
        <f ca="1">$J$273-EFEITO!$K$273*EFEITO!$Y$273</f>
        <v>0</v>
      </c>
      <c r="N273" s="56">
        <f>$K$273-EFEITO!$M$273*EFEITO!$Z$273</f>
        <v>0</v>
      </c>
      <c r="O273" s="56">
        <f>$L$273-EFEITO!$O$273*EFEITO!$AA$273</f>
        <v>0</v>
      </c>
      <c r="P273" s="39"/>
      <c r="Q273" s="39"/>
      <c r="R273" s="39"/>
      <c r="S273" s="39"/>
      <c r="T273" s="39"/>
      <c r="U273" s="39"/>
      <c r="V273" s="39"/>
      <c r="W273" s="39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35" t="s">
        <v>21</v>
      </c>
      <c r="B274" s="35" t="s">
        <v>39</v>
      </c>
      <c r="C274" s="35" t="s">
        <v>40</v>
      </c>
      <c r="D274" s="35" t="s">
        <v>38</v>
      </c>
      <c r="E274" s="35" t="s">
        <v>25</v>
      </c>
      <c r="F274" s="35" t="s">
        <v>25</v>
      </c>
      <c r="G274" s="35" t="s">
        <v>25</v>
      </c>
      <c r="H274" s="35" t="s">
        <v>25</v>
      </c>
      <c r="I274" s="55">
        <v>44652</v>
      </c>
      <c r="J274" s="56">
        <f ca="1">EFEITO!$J$274*EFEITO!$Y$274</f>
        <v>89046.034052977178</v>
      </c>
      <c r="K274" s="56">
        <f>EFEITO!$L$274*EFEITO!$Z$274</f>
        <v>0</v>
      </c>
      <c r="L274" s="56">
        <f>EFEITO!$N$274*EFEITO!$AA$274</f>
        <v>0</v>
      </c>
      <c r="M274" s="56">
        <f ca="1">$J$274-EFEITO!$K$274*EFEITO!$Y$274</f>
        <v>0</v>
      </c>
      <c r="N274" s="56">
        <f>$K$274-EFEITO!$M$274*EFEITO!$Z$274</f>
        <v>0</v>
      </c>
      <c r="O274" s="56">
        <f>$L$274-EFEITO!$O$274*EFEITO!$AA$274</f>
        <v>0</v>
      </c>
      <c r="P274" s="39"/>
      <c r="Q274" s="39"/>
      <c r="R274" s="39"/>
      <c r="S274" s="39"/>
      <c r="T274" s="39"/>
      <c r="U274" s="39"/>
      <c r="V274" s="39"/>
      <c r="W274" s="39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35" t="s">
        <v>28</v>
      </c>
      <c r="B275" s="35" t="s">
        <v>39</v>
      </c>
      <c r="C275" s="35" t="s">
        <v>40</v>
      </c>
      <c r="D275" s="35" t="s">
        <v>38</v>
      </c>
      <c r="E275" s="35" t="s">
        <v>25</v>
      </c>
      <c r="F275" s="35" t="s">
        <v>25</v>
      </c>
      <c r="G275" s="35" t="s">
        <v>25</v>
      </c>
      <c r="H275" s="35" t="s">
        <v>25</v>
      </c>
      <c r="I275" s="55">
        <v>44652</v>
      </c>
      <c r="J275" s="56">
        <f ca="1">EFEITO!$J$275*EFEITO!$Y$275</f>
        <v>4466.1917727555146</v>
      </c>
      <c r="K275" s="56">
        <f>EFEITO!$L$275*EFEITO!$Z$275</f>
        <v>0</v>
      </c>
      <c r="L275" s="56">
        <f>EFEITO!$N$275*EFEITO!$AA$275</f>
        <v>0</v>
      </c>
      <c r="M275" s="56">
        <f ca="1">$J$275-EFEITO!$K$275*EFEITO!$Y$275</f>
        <v>0</v>
      </c>
      <c r="N275" s="56">
        <f>$K$275-EFEITO!$M$275*EFEITO!$Z$275</f>
        <v>0</v>
      </c>
      <c r="O275" s="56">
        <f>$L$275-EFEITO!$O$275*EFEITO!$AA$275</f>
        <v>0</v>
      </c>
      <c r="P275" s="39"/>
      <c r="Q275" s="39"/>
      <c r="R275" s="39"/>
      <c r="S275" s="39"/>
      <c r="T275" s="39"/>
      <c r="U275" s="39"/>
      <c r="V275" s="39"/>
      <c r="W275" s="39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35" t="s">
        <v>21</v>
      </c>
      <c r="B276" s="35" t="s">
        <v>39</v>
      </c>
      <c r="C276" s="35" t="s">
        <v>40</v>
      </c>
      <c r="D276" s="35" t="s">
        <v>38</v>
      </c>
      <c r="E276" s="35" t="s">
        <v>25</v>
      </c>
      <c r="F276" s="35" t="s">
        <v>25</v>
      </c>
      <c r="G276" s="35" t="s">
        <v>25</v>
      </c>
      <c r="H276" s="35" t="s">
        <v>25</v>
      </c>
      <c r="I276" s="55">
        <v>44682</v>
      </c>
      <c r="J276" s="56">
        <f ca="1">EFEITO!$J$276*EFEITO!$Y$276</f>
        <v>89623.006195869035</v>
      </c>
      <c r="K276" s="56">
        <f>EFEITO!$L$276*EFEITO!$Z$276</f>
        <v>0</v>
      </c>
      <c r="L276" s="56">
        <f>EFEITO!$N$276*EFEITO!$AA$276</f>
        <v>0</v>
      </c>
      <c r="M276" s="56">
        <f ca="1">$J$276-EFEITO!$K$276*EFEITO!$Y$276</f>
        <v>0</v>
      </c>
      <c r="N276" s="56">
        <f>$K$276-EFEITO!$M$276*EFEITO!$Z$276</f>
        <v>0</v>
      </c>
      <c r="O276" s="56">
        <f>$L$276-EFEITO!$O$276*EFEITO!$AA$276</f>
        <v>0</v>
      </c>
      <c r="P276" s="39"/>
      <c r="Q276" s="39"/>
      <c r="R276" s="39"/>
      <c r="S276" s="39"/>
      <c r="T276" s="39"/>
      <c r="U276" s="39"/>
      <c r="V276" s="39"/>
      <c r="W276" s="39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35" t="s">
        <v>28</v>
      </c>
      <c r="B277" s="35" t="s">
        <v>39</v>
      </c>
      <c r="C277" s="35" t="s">
        <v>40</v>
      </c>
      <c r="D277" s="35" t="s">
        <v>38</v>
      </c>
      <c r="E277" s="35" t="s">
        <v>25</v>
      </c>
      <c r="F277" s="35" t="s">
        <v>25</v>
      </c>
      <c r="G277" s="35" t="s">
        <v>25</v>
      </c>
      <c r="H277" s="35" t="s">
        <v>25</v>
      </c>
      <c r="I277" s="55">
        <v>44682</v>
      </c>
      <c r="J277" s="56">
        <f ca="1">EFEITO!$J$277*EFEITO!$Y$277</f>
        <v>4466.1917727555146</v>
      </c>
      <c r="K277" s="56">
        <f>EFEITO!$L$277*EFEITO!$Z$277</f>
        <v>0</v>
      </c>
      <c r="L277" s="56">
        <f>EFEITO!$N$277*EFEITO!$AA$277</f>
        <v>0</v>
      </c>
      <c r="M277" s="56">
        <f ca="1">$J$277-EFEITO!$K$277*EFEITO!$Y$277</f>
        <v>0</v>
      </c>
      <c r="N277" s="56">
        <f>$K$277-EFEITO!$M$277*EFEITO!$Z$277</f>
        <v>0</v>
      </c>
      <c r="O277" s="56">
        <f>$L$277-EFEITO!$O$277*EFEITO!$AA$277</f>
        <v>0</v>
      </c>
      <c r="P277" s="39"/>
      <c r="Q277" s="39"/>
      <c r="R277" s="39"/>
      <c r="S277" s="39"/>
      <c r="T277" s="39"/>
      <c r="U277" s="39"/>
      <c r="V277" s="39"/>
      <c r="W277" s="39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35" t="s">
        <v>21</v>
      </c>
      <c r="B278" s="35" t="s">
        <v>39</v>
      </c>
      <c r="C278" s="35" t="s">
        <v>40</v>
      </c>
      <c r="D278" s="35" t="s">
        <v>38</v>
      </c>
      <c r="E278" s="35" t="s">
        <v>25</v>
      </c>
      <c r="F278" s="35" t="s">
        <v>25</v>
      </c>
      <c r="G278" s="35" t="s">
        <v>25</v>
      </c>
      <c r="H278" s="35" t="s">
        <v>25</v>
      </c>
      <c r="I278" s="55">
        <v>44713</v>
      </c>
      <c r="J278" s="56">
        <f ca="1">EFEITO!$J$278*EFEITO!$Y$278</f>
        <v>91973.63344468773</v>
      </c>
      <c r="K278" s="56">
        <f>EFEITO!$L$278*EFEITO!$Z$278</f>
        <v>0</v>
      </c>
      <c r="L278" s="56">
        <f>EFEITO!$N$278*EFEITO!$AA$278</f>
        <v>0</v>
      </c>
      <c r="M278" s="56">
        <f ca="1">$J$278-EFEITO!$K$278*EFEITO!$Y$278</f>
        <v>0</v>
      </c>
      <c r="N278" s="56">
        <f>$K$278-EFEITO!$M$278*EFEITO!$Z$278</f>
        <v>0</v>
      </c>
      <c r="O278" s="56">
        <f>$L$278-EFEITO!$O$278*EFEITO!$AA$278</f>
        <v>0</v>
      </c>
      <c r="P278" s="39"/>
      <c r="Q278" s="39"/>
      <c r="R278" s="39"/>
      <c r="S278" s="39"/>
      <c r="T278" s="39"/>
      <c r="U278" s="39"/>
      <c r="V278" s="39"/>
      <c r="W278" s="39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35" t="s">
        <v>28</v>
      </c>
      <c r="B279" s="35" t="s">
        <v>39</v>
      </c>
      <c r="C279" s="35" t="s">
        <v>40</v>
      </c>
      <c r="D279" s="35" t="s">
        <v>38</v>
      </c>
      <c r="E279" s="35" t="s">
        <v>25</v>
      </c>
      <c r="F279" s="35" t="s">
        <v>25</v>
      </c>
      <c r="G279" s="35" t="s">
        <v>25</v>
      </c>
      <c r="H279" s="35" t="s">
        <v>25</v>
      </c>
      <c r="I279" s="55">
        <v>44713</v>
      </c>
      <c r="J279" s="56">
        <f ca="1">EFEITO!$J$279*EFEITO!$Y$279</f>
        <v>4466.1917727555146</v>
      </c>
      <c r="K279" s="56">
        <f>EFEITO!$L$279*EFEITO!$Z$279</f>
        <v>0</v>
      </c>
      <c r="L279" s="56">
        <f>EFEITO!$N$279*EFEITO!$AA$279</f>
        <v>0</v>
      </c>
      <c r="M279" s="56">
        <f ca="1">$J$279-EFEITO!$K$279*EFEITO!$Y$279</f>
        <v>0</v>
      </c>
      <c r="N279" s="56">
        <f>$K$279-EFEITO!$M$279*EFEITO!$Z$279</f>
        <v>0</v>
      </c>
      <c r="O279" s="56">
        <f>$L$279-EFEITO!$O$279*EFEITO!$AA$279</f>
        <v>0</v>
      </c>
      <c r="P279" s="39"/>
      <c r="Q279" s="39"/>
      <c r="R279" s="39"/>
      <c r="S279" s="39"/>
      <c r="T279" s="39"/>
      <c r="U279" s="39"/>
      <c r="V279" s="39"/>
      <c r="W279" s="39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35" t="s">
        <v>21</v>
      </c>
      <c r="B280" s="35" t="s">
        <v>39</v>
      </c>
      <c r="C280" s="35" t="s">
        <v>40</v>
      </c>
      <c r="D280" s="35" t="s">
        <v>38</v>
      </c>
      <c r="E280" s="35" t="s">
        <v>25</v>
      </c>
      <c r="F280" s="35" t="s">
        <v>25</v>
      </c>
      <c r="G280" s="35" t="s">
        <v>25</v>
      </c>
      <c r="H280" s="35" t="s">
        <v>25</v>
      </c>
      <c r="I280" s="55">
        <v>44743</v>
      </c>
      <c r="J280" s="56">
        <f ca="1">EFEITO!$J$280*EFEITO!$Y$280</f>
        <v>65625.238919292751</v>
      </c>
      <c r="K280" s="56">
        <f>EFEITO!$L$280*EFEITO!$Z$280</f>
        <v>0</v>
      </c>
      <c r="L280" s="56">
        <f>EFEITO!$N$280*EFEITO!$AA$280</f>
        <v>0</v>
      </c>
      <c r="M280" s="56">
        <f ca="1">$J$280-EFEITO!$K$280*EFEITO!$Y$280</f>
        <v>0</v>
      </c>
      <c r="N280" s="56">
        <f>$K$280-EFEITO!$M$280*EFEITO!$Z$280</f>
        <v>0</v>
      </c>
      <c r="O280" s="56">
        <f>$L$280-EFEITO!$O$280*EFEITO!$AA$280</f>
        <v>0</v>
      </c>
      <c r="P280" s="39"/>
      <c r="Q280" s="39"/>
      <c r="R280" s="39"/>
      <c r="S280" s="39"/>
      <c r="T280" s="39"/>
      <c r="U280" s="39"/>
      <c r="V280" s="39"/>
      <c r="W280" s="39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35" t="s">
        <v>28</v>
      </c>
      <c r="B281" s="35" t="s">
        <v>39</v>
      </c>
      <c r="C281" s="35" t="s">
        <v>40</v>
      </c>
      <c r="D281" s="35" t="s">
        <v>38</v>
      </c>
      <c r="E281" s="35" t="s">
        <v>25</v>
      </c>
      <c r="F281" s="35" t="s">
        <v>25</v>
      </c>
      <c r="G281" s="35" t="s">
        <v>25</v>
      </c>
      <c r="H281" s="35" t="s">
        <v>25</v>
      </c>
      <c r="I281" s="55">
        <v>44743</v>
      </c>
      <c r="J281" s="56">
        <f ca="1">EFEITO!$J$281*EFEITO!$Y$281</f>
        <v>4466.1917727555146</v>
      </c>
      <c r="K281" s="56">
        <f>EFEITO!$L$281*EFEITO!$Z$281</f>
        <v>0</v>
      </c>
      <c r="L281" s="56">
        <f>EFEITO!$N$281*EFEITO!$AA$281</f>
        <v>0</v>
      </c>
      <c r="M281" s="56">
        <f ca="1">$J$281-EFEITO!$K$281*EFEITO!$Y$281</f>
        <v>0</v>
      </c>
      <c r="N281" s="56">
        <f>$K$281-EFEITO!$M$281*EFEITO!$Z$281</f>
        <v>0</v>
      </c>
      <c r="O281" s="56">
        <f>$L$281-EFEITO!$O$281*EFEITO!$AA$281</f>
        <v>0</v>
      </c>
      <c r="P281" s="39"/>
      <c r="Q281" s="39"/>
      <c r="R281" s="39"/>
      <c r="S281" s="39"/>
      <c r="T281" s="39"/>
      <c r="U281" s="39"/>
      <c r="V281" s="39"/>
      <c r="W281" s="39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35" t="s">
        <v>21</v>
      </c>
      <c r="B282" s="35" t="s">
        <v>39</v>
      </c>
      <c r="C282" s="35" t="s">
        <v>40</v>
      </c>
      <c r="D282" s="35" t="s">
        <v>38</v>
      </c>
      <c r="E282" s="35" t="s">
        <v>25</v>
      </c>
      <c r="F282" s="35" t="s">
        <v>25</v>
      </c>
      <c r="G282" s="35" t="s">
        <v>25</v>
      </c>
      <c r="H282" s="35" t="s">
        <v>25</v>
      </c>
      <c r="I282" s="55">
        <v>44774</v>
      </c>
      <c r="J282" s="56">
        <f ca="1">EFEITO!$J$282*EFEITO!$Y$282</f>
        <v>92486.497571702712</v>
      </c>
      <c r="K282" s="56">
        <f>EFEITO!$L$282*EFEITO!$Z$282</f>
        <v>0</v>
      </c>
      <c r="L282" s="56">
        <f>EFEITO!$N$282*EFEITO!$AA$282</f>
        <v>0</v>
      </c>
      <c r="M282" s="56">
        <f ca="1">$J$282-EFEITO!$K$282*EFEITO!$Y$282</f>
        <v>0</v>
      </c>
      <c r="N282" s="56">
        <f>$K$282-EFEITO!$M$282*EFEITO!$Z$282</f>
        <v>0</v>
      </c>
      <c r="O282" s="56">
        <f>$L$282-EFEITO!$O$282*EFEITO!$AA$282</f>
        <v>0</v>
      </c>
      <c r="P282" s="39"/>
      <c r="Q282" s="39"/>
      <c r="R282" s="39"/>
      <c r="S282" s="39"/>
      <c r="T282" s="39"/>
      <c r="U282" s="39"/>
      <c r="V282" s="39"/>
      <c r="W282" s="39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35" t="s">
        <v>28</v>
      </c>
      <c r="B283" s="35" t="s">
        <v>39</v>
      </c>
      <c r="C283" s="35" t="s">
        <v>40</v>
      </c>
      <c r="D283" s="35" t="s">
        <v>38</v>
      </c>
      <c r="E283" s="35" t="s">
        <v>25</v>
      </c>
      <c r="F283" s="35" t="s">
        <v>25</v>
      </c>
      <c r="G283" s="35" t="s">
        <v>25</v>
      </c>
      <c r="H283" s="35" t="s">
        <v>25</v>
      </c>
      <c r="I283" s="55">
        <v>44774</v>
      </c>
      <c r="J283" s="56">
        <f ca="1">EFEITO!$J$283*EFEITO!$Y$283</f>
        <v>4466.1917727555146</v>
      </c>
      <c r="K283" s="56">
        <f>EFEITO!$L$283*EFEITO!$Z$283</f>
        <v>0</v>
      </c>
      <c r="L283" s="56">
        <f>EFEITO!$N$283*EFEITO!$AA$283</f>
        <v>0</v>
      </c>
      <c r="M283" s="56">
        <f ca="1">$J$283-EFEITO!$K$283*EFEITO!$Y$283</f>
        <v>0</v>
      </c>
      <c r="N283" s="56">
        <f>$K$283-EFEITO!$M$283*EFEITO!$Z$283</f>
        <v>0</v>
      </c>
      <c r="O283" s="56">
        <f>$L$283-EFEITO!$O$283*EFEITO!$AA$283</f>
        <v>0</v>
      </c>
      <c r="P283" s="39"/>
      <c r="Q283" s="39"/>
      <c r="R283" s="39"/>
      <c r="S283" s="39"/>
      <c r="T283" s="39"/>
      <c r="U283" s="39"/>
      <c r="V283" s="39"/>
      <c r="W283" s="39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35" t="s">
        <v>21</v>
      </c>
      <c r="B284" s="35" t="s">
        <v>39</v>
      </c>
      <c r="C284" s="35" t="s">
        <v>40</v>
      </c>
      <c r="D284" s="35" t="s">
        <v>38</v>
      </c>
      <c r="E284" s="35" t="s">
        <v>25</v>
      </c>
      <c r="F284" s="35" t="s">
        <v>25</v>
      </c>
      <c r="G284" s="35" t="s">
        <v>25</v>
      </c>
      <c r="H284" s="35" t="s">
        <v>25</v>
      </c>
      <c r="I284" s="55">
        <v>44805</v>
      </c>
      <c r="J284" s="56">
        <f ca="1">EFEITO!$J$284*EFEITO!$Y$284</f>
        <v>97230.490746591342</v>
      </c>
      <c r="K284" s="56">
        <f>EFEITO!$L$284*EFEITO!$Z$284</f>
        <v>0</v>
      </c>
      <c r="L284" s="56">
        <f>EFEITO!$N$284*EFEITO!$AA$284</f>
        <v>0</v>
      </c>
      <c r="M284" s="56">
        <f ca="1">$J$284-EFEITO!$K$284*EFEITO!$Y$284</f>
        <v>0</v>
      </c>
      <c r="N284" s="56">
        <f>$K$284-EFEITO!$M$284*EFEITO!$Z$284</f>
        <v>0</v>
      </c>
      <c r="O284" s="56">
        <f>$L$284-EFEITO!$O$284*EFEITO!$AA$284</f>
        <v>0</v>
      </c>
      <c r="P284" s="39"/>
      <c r="Q284" s="39"/>
      <c r="R284" s="39"/>
      <c r="S284" s="39"/>
      <c r="T284" s="39"/>
      <c r="U284" s="39"/>
      <c r="V284" s="39"/>
      <c r="W284" s="39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35" t="s">
        <v>28</v>
      </c>
      <c r="B285" s="35" t="s">
        <v>39</v>
      </c>
      <c r="C285" s="35" t="s">
        <v>40</v>
      </c>
      <c r="D285" s="35" t="s">
        <v>38</v>
      </c>
      <c r="E285" s="35" t="s">
        <v>25</v>
      </c>
      <c r="F285" s="35" t="s">
        <v>25</v>
      </c>
      <c r="G285" s="35" t="s">
        <v>25</v>
      </c>
      <c r="H285" s="35" t="s">
        <v>25</v>
      </c>
      <c r="I285" s="55">
        <v>44805</v>
      </c>
      <c r="J285" s="56">
        <f ca="1">EFEITO!$J$285*EFEITO!$Y$285</f>
        <v>4466.1917727555146</v>
      </c>
      <c r="K285" s="56">
        <f>EFEITO!$L$285*EFEITO!$Z$285</f>
        <v>0</v>
      </c>
      <c r="L285" s="56">
        <f>EFEITO!$N$285*EFEITO!$AA$285</f>
        <v>0</v>
      </c>
      <c r="M285" s="56">
        <f ca="1">$J$285-EFEITO!$K$285*EFEITO!$Y$285</f>
        <v>0</v>
      </c>
      <c r="N285" s="56">
        <f>$K$285-EFEITO!$M$285*EFEITO!$Z$285</f>
        <v>0</v>
      </c>
      <c r="O285" s="56">
        <f>$L$285-EFEITO!$O$285*EFEITO!$AA$285</f>
        <v>0</v>
      </c>
      <c r="P285" s="39"/>
      <c r="Q285" s="39"/>
      <c r="R285" s="39"/>
      <c r="S285" s="39"/>
      <c r="T285" s="39"/>
      <c r="U285" s="39"/>
      <c r="V285" s="39"/>
      <c r="W285" s="39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35" t="s">
        <v>57</v>
      </c>
      <c r="B286" s="35" t="s">
        <v>39</v>
      </c>
      <c r="C286" s="35" t="s">
        <v>40</v>
      </c>
      <c r="D286" s="35" t="s">
        <v>38</v>
      </c>
      <c r="E286" s="35" t="s">
        <v>25</v>
      </c>
      <c r="F286" s="35" t="s">
        <v>25</v>
      </c>
      <c r="G286" s="35" t="s">
        <v>25</v>
      </c>
      <c r="H286" s="35" t="s">
        <v>25</v>
      </c>
      <c r="I286" s="55">
        <v>44835</v>
      </c>
      <c r="J286" s="56">
        <f ca="1">EFEITO!$J$286*EFEITO!$Y$286</f>
        <v>97230.490746591342</v>
      </c>
      <c r="K286" s="56">
        <f>EFEITO!$L$286*EFEITO!$Z$286</f>
        <v>0</v>
      </c>
      <c r="L286" s="56">
        <f>EFEITO!$N$286*EFEITO!$AA$286</f>
        <v>0</v>
      </c>
      <c r="M286" s="56">
        <f ca="1">$J$286-EFEITO!$K$286*EFEITO!$Y$286</f>
        <v>0</v>
      </c>
      <c r="N286" s="56">
        <f>$K$286-EFEITO!$M$286*EFEITO!$Z$286</f>
        <v>0</v>
      </c>
      <c r="O286" s="56">
        <f>$L$286-EFEITO!$O$286*EFEITO!$AA$286</f>
        <v>0</v>
      </c>
      <c r="P286" s="39"/>
      <c r="Q286" s="39"/>
      <c r="R286" s="39"/>
      <c r="S286" s="39"/>
      <c r="T286" s="39"/>
      <c r="U286" s="39"/>
      <c r="V286" s="39"/>
      <c r="W286" s="39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35" t="s">
        <v>57</v>
      </c>
      <c r="B287" s="35" t="s">
        <v>39</v>
      </c>
      <c r="C287" s="35" t="s">
        <v>40</v>
      </c>
      <c r="D287" s="35" t="s">
        <v>38</v>
      </c>
      <c r="E287" s="35" t="s">
        <v>25</v>
      </c>
      <c r="F287" s="35" t="s">
        <v>25</v>
      </c>
      <c r="G287" s="35" t="s">
        <v>25</v>
      </c>
      <c r="H287" s="35" t="s">
        <v>25</v>
      </c>
      <c r="I287" s="55">
        <v>44835</v>
      </c>
      <c r="J287" s="56">
        <f ca="1">EFEITO!$J$287*EFEITO!$Y$287</f>
        <v>4466.1917727555146</v>
      </c>
      <c r="K287" s="56">
        <f>EFEITO!$L$287*EFEITO!$Z$287</f>
        <v>0</v>
      </c>
      <c r="L287" s="56">
        <f>EFEITO!$N$287*EFEITO!$AA$287</f>
        <v>0</v>
      </c>
      <c r="M287" s="56">
        <f ca="1">$J$287-EFEITO!$K$287*EFEITO!$Y$287</f>
        <v>0</v>
      </c>
      <c r="N287" s="56">
        <f>$K$287-EFEITO!$M$287*EFEITO!$Z$287</f>
        <v>0</v>
      </c>
      <c r="O287" s="56">
        <f>$L$287-EFEITO!$O$287*EFEITO!$AA$287</f>
        <v>0</v>
      </c>
      <c r="P287" s="39"/>
      <c r="Q287" s="39"/>
      <c r="R287" s="39"/>
      <c r="S287" s="39"/>
      <c r="T287" s="39"/>
      <c r="U287" s="39"/>
      <c r="V287" s="39"/>
      <c r="W287" s="39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35" t="s">
        <v>21</v>
      </c>
      <c r="B288" s="35" t="s">
        <v>39</v>
      </c>
      <c r="C288" s="35" t="s">
        <v>40</v>
      </c>
      <c r="D288" s="35" t="s">
        <v>38</v>
      </c>
      <c r="E288" s="35" t="s">
        <v>25</v>
      </c>
      <c r="F288" s="35" t="s">
        <v>25</v>
      </c>
      <c r="G288" s="35" t="s">
        <v>25</v>
      </c>
      <c r="H288" s="35" t="s">
        <v>34</v>
      </c>
      <c r="I288" s="55">
        <v>44501</v>
      </c>
      <c r="J288" s="56">
        <f>EFEITO!$J$288*EFEITO!$Y$288</f>
        <v>0</v>
      </c>
      <c r="K288" s="56">
        <f ca="1">EFEITO!$L$288*EFEITO!$Z$288</f>
        <v>44741.879626568239</v>
      </c>
      <c r="L288" s="56">
        <f>EFEITO!$N$288*EFEITO!$AA$288</f>
        <v>11688.536830934016</v>
      </c>
      <c r="M288" s="56">
        <f>$J$288-EFEITO!$K$288*EFEITO!$Y$288</f>
        <v>0</v>
      </c>
      <c r="N288" s="56">
        <f ca="1">$K$288-EFEITO!$M$288*EFEITO!$Z$288</f>
        <v>0</v>
      </c>
      <c r="O288" s="56">
        <f>$L$288-EFEITO!$O$288*EFEITO!$AA$288</f>
        <v>0</v>
      </c>
      <c r="P288" s="39"/>
      <c r="Q288" s="39"/>
      <c r="R288" s="39"/>
      <c r="S288" s="39"/>
      <c r="T288" s="39"/>
      <c r="U288" s="39"/>
      <c r="V288" s="39"/>
      <c r="W288" s="39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35" t="s">
        <v>28</v>
      </c>
      <c r="B289" s="35" t="s">
        <v>39</v>
      </c>
      <c r="C289" s="35" t="s">
        <v>40</v>
      </c>
      <c r="D289" s="35" t="s">
        <v>38</v>
      </c>
      <c r="E289" s="35" t="s">
        <v>25</v>
      </c>
      <c r="F289" s="35" t="s">
        <v>25</v>
      </c>
      <c r="G289" s="35" t="s">
        <v>25</v>
      </c>
      <c r="H289" s="35" t="s">
        <v>34</v>
      </c>
      <c r="I289" s="55">
        <v>44501</v>
      </c>
      <c r="J289" s="56">
        <f>EFEITO!$J$289*EFEITO!$Y$289</f>
        <v>0</v>
      </c>
      <c r="K289" s="56">
        <f ca="1">EFEITO!$L$289*EFEITO!$Z$289</f>
        <v>31.866448809682268</v>
      </c>
      <c r="L289" s="56">
        <f>EFEITO!$N$289*EFEITO!$AA$289</f>
        <v>8.3249108819707782</v>
      </c>
      <c r="M289" s="56">
        <f>$J$289-EFEITO!$K$289*EFEITO!$Y$289</f>
        <v>0</v>
      </c>
      <c r="N289" s="56">
        <f ca="1">$K$289-EFEITO!$M$289*EFEITO!$Z$289</f>
        <v>0</v>
      </c>
      <c r="O289" s="56">
        <f>$L$289-EFEITO!$O$289*EFEITO!$AA$289</f>
        <v>0</v>
      </c>
      <c r="P289" s="39"/>
      <c r="Q289" s="39"/>
      <c r="R289" s="39"/>
      <c r="S289" s="39"/>
      <c r="T289" s="39"/>
      <c r="U289" s="39"/>
      <c r="V289" s="39"/>
      <c r="W289" s="39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35" t="s">
        <v>21</v>
      </c>
      <c r="B290" s="35" t="s">
        <v>39</v>
      </c>
      <c r="C290" s="35" t="s">
        <v>40</v>
      </c>
      <c r="D290" s="35" t="s">
        <v>38</v>
      </c>
      <c r="E290" s="35" t="s">
        <v>25</v>
      </c>
      <c r="F290" s="35" t="s">
        <v>25</v>
      </c>
      <c r="G290" s="35" t="s">
        <v>25</v>
      </c>
      <c r="H290" s="35" t="s">
        <v>34</v>
      </c>
      <c r="I290" s="55">
        <v>44531</v>
      </c>
      <c r="J290" s="56">
        <f>EFEITO!$J$290*EFEITO!$Y$290</f>
        <v>0</v>
      </c>
      <c r="K290" s="56">
        <f ca="1">EFEITO!$L$290*EFEITO!$Z$290</f>
        <v>39109.831173900486</v>
      </c>
      <c r="L290" s="56">
        <f>EFEITO!$N$290*EFEITO!$AA$290</f>
        <v>10217.199320707441</v>
      </c>
      <c r="M290" s="56">
        <f>$J$290-EFEITO!$K$290*EFEITO!$Y$290</f>
        <v>0</v>
      </c>
      <c r="N290" s="56">
        <f ca="1">$K$290-EFEITO!$M$290*EFEITO!$Z$290</f>
        <v>0</v>
      </c>
      <c r="O290" s="56">
        <f>$L$290-EFEITO!$O$290*EFEITO!$AA$290</f>
        <v>0</v>
      </c>
      <c r="P290" s="39"/>
      <c r="Q290" s="39"/>
      <c r="R290" s="39"/>
      <c r="S290" s="39"/>
      <c r="T290" s="39"/>
      <c r="U290" s="39"/>
      <c r="V290" s="39"/>
      <c r="W290" s="39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35" t="s">
        <v>28</v>
      </c>
      <c r="B291" s="35" t="s">
        <v>39</v>
      </c>
      <c r="C291" s="35" t="s">
        <v>40</v>
      </c>
      <c r="D291" s="35" t="s">
        <v>38</v>
      </c>
      <c r="E291" s="35" t="s">
        <v>25</v>
      </c>
      <c r="F291" s="35" t="s">
        <v>25</v>
      </c>
      <c r="G291" s="35" t="s">
        <v>25</v>
      </c>
      <c r="H291" s="35" t="s">
        <v>34</v>
      </c>
      <c r="I291" s="55">
        <v>44531</v>
      </c>
      <c r="J291" s="56">
        <f>EFEITO!$J$291*EFEITO!$Y$291</f>
        <v>0</v>
      </c>
      <c r="K291" s="56">
        <f ca="1">EFEITO!$L$291*EFEITO!$Z$291</f>
        <v>34.637444358350294</v>
      </c>
      <c r="L291" s="56">
        <f>EFEITO!$N$291*EFEITO!$AA$291</f>
        <v>9.0488161760551957</v>
      </c>
      <c r="M291" s="56">
        <f>$J$291-EFEITO!$K$291*EFEITO!$Y$291</f>
        <v>0</v>
      </c>
      <c r="N291" s="56">
        <f ca="1">$K$291-EFEITO!$M$291*EFEITO!$Z$291</f>
        <v>0</v>
      </c>
      <c r="O291" s="56">
        <f>$L$291-EFEITO!$O$291*EFEITO!$AA$291</f>
        <v>0</v>
      </c>
      <c r="P291" s="39"/>
      <c r="Q291" s="39"/>
      <c r="R291" s="39"/>
      <c r="S291" s="39"/>
      <c r="T291" s="39"/>
      <c r="U291" s="39"/>
      <c r="V291" s="39"/>
      <c r="W291" s="39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35" t="s">
        <v>21</v>
      </c>
      <c r="B292" s="35" t="s">
        <v>39</v>
      </c>
      <c r="C292" s="35" t="s">
        <v>40</v>
      </c>
      <c r="D292" s="35" t="s">
        <v>38</v>
      </c>
      <c r="E292" s="35" t="s">
        <v>25</v>
      </c>
      <c r="F292" s="35" t="s">
        <v>25</v>
      </c>
      <c r="G292" s="35" t="s">
        <v>25</v>
      </c>
      <c r="H292" s="35" t="s">
        <v>34</v>
      </c>
      <c r="I292" s="55">
        <v>44562</v>
      </c>
      <c r="J292" s="56">
        <f>EFEITO!$J$292*EFEITO!$Y$292</f>
        <v>0</v>
      </c>
      <c r="K292" s="56">
        <f ca="1">EFEITO!$L$292*EFEITO!$Z$292</f>
        <v>34656.841327190967</v>
      </c>
      <c r="L292" s="56">
        <f>EFEITO!$N$292*EFEITO!$AA$292</f>
        <v>9053.8835131137857</v>
      </c>
      <c r="M292" s="56">
        <f>$J$292-EFEITO!$K$292*EFEITO!$Y$292</f>
        <v>0</v>
      </c>
      <c r="N292" s="56">
        <f ca="1">$K$292-EFEITO!$M$292*EFEITO!$Z$292</f>
        <v>0</v>
      </c>
      <c r="O292" s="56">
        <f>$L$292-EFEITO!$O$292*EFEITO!$AA$292</f>
        <v>0</v>
      </c>
      <c r="P292" s="39"/>
      <c r="Q292" s="39"/>
      <c r="R292" s="39"/>
      <c r="S292" s="39"/>
      <c r="T292" s="39"/>
      <c r="U292" s="39"/>
      <c r="V292" s="39"/>
      <c r="W292" s="39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35" t="s">
        <v>28</v>
      </c>
      <c r="B293" s="35" t="s">
        <v>39</v>
      </c>
      <c r="C293" s="35" t="s">
        <v>40</v>
      </c>
      <c r="D293" s="35" t="s">
        <v>38</v>
      </c>
      <c r="E293" s="35" t="s">
        <v>25</v>
      </c>
      <c r="F293" s="35" t="s">
        <v>25</v>
      </c>
      <c r="G293" s="35" t="s">
        <v>25</v>
      </c>
      <c r="H293" s="35" t="s">
        <v>34</v>
      </c>
      <c r="I293" s="55">
        <v>44562</v>
      </c>
      <c r="J293" s="56">
        <f>EFEITO!$J$293*EFEITO!$Y$293</f>
        <v>0</v>
      </c>
      <c r="K293" s="56">
        <f ca="1">EFEITO!$L$293*EFEITO!$Z$293</f>
        <v>42.950431004354364</v>
      </c>
      <c r="L293" s="56">
        <f>EFEITO!$N$293*EFEITO!$AA$293</f>
        <v>11.220532058308441</v>
      </c>
      <c r="M293" s="56">
        <f>$J$293-EFEITO!$K$293*EFEITO!$Y$293</f>
        <v>0</v>
      </c>
      <c r="N293" s="56">
        <f ca="1">$K$293-EFEITO!$M$293*EFEITO!$Z$293</f>
        <v>0</v>
      </c>
      <c r="O293" s="56">
        <f>$L$293-EFEITO!$O$293*EFEITO!$AA$293</f>
        <v>0</v>
      </c>
      <c r="P293" s="39"/>
      <c r="Q293" s="39"/>
      <c r="R293" s="39"/>
      <c r="S293" s="39"/>
      <c r="T293" s="39"/>
      <c r="U293" s="39"/>
      <c r="V293" s="39"/>
      <c r="W293" s="39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35" t="s">
        <v>21</v>
      </c>
      <c r="B294" s="35" t="s">
        <v>39</v>
      </c>
      <c r="C294" s="35" t="s">
        <v>40</v>
      </c>
      <c r="D294" s="35" t="s">
        <v>38</v>
      </c>
      <c r="E294" s="35" t="s">
        <v>25</v>
      </c>
      <c r="F294" s="35" t="s">
        <v>25</v>
      </c>
      <c r="G294" s="35" t="s">
        <v>25</v>
      </c>
      <c r="H294" s="35" t="s">
        <v>34</v>
      </c>
      <c r="I294" s="55">
        <v>44593</v>
      </c>
      <c r="J294" s="56">
        <f>EFEITO!$J$294*EFEITO!$Y$294</f>
        <v>0</v>
      </c>
      <c r="K294" s="56">
        <f ca="1">EFEITO!$L$294*EFEITO!$Z$294</f>
        <v>32690.819985411003</v>
      </c>
      <c r="L294" s="56">
        <f>EFEITO!$N$294*EFEITO!$AA$294</f>
        <v>8540.2727069608918</v>
      </c>
      <c r="M294" s="56">
        <f>$J$294-EFEITO!$K$294*EFEITO!$Y$294</f>
        <v>0</v>
      </c>
      <c r="N294" s="56">
        <f ca="1">$K$294-EFEITO!$M$294*EFEITO!$Z$294</f>
        <v>0</v>
      </c>
      <c r="O294" s="56">
        <f>$L$294-EFEITO!$O$294*EFEITO!$AA$294</f>
        <v>0</v>
      </c>
      <c r="P294" s="39"/>
      <c r="Q294" s="39"/>
      <c r="R294" s="39"/>
      <c r="S294" s="39"/>
      <c r="T294" s="39"/>
      <c r="U294" s="39"/>
      <c r="V294" s="39"/>
      <c r="W294" s="39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35" t="s">
        <v>28</v>
      </c>
      <c r="B295" s="35" t="s">
        <v>39</v>
      </c>
      <c r="C295" s="35" t="s">
        <v>40</v>
      </c>
      <c r="D295" s="35" t="s">
        <v>38</v>
      </c>
      <c r="E295" s="35" t="s">
        <v>25</v>
      </c>
      <c r="F295" s="35" t="s">
        <v>25</v>
      </c>
      <c r="G295" s="35" t="s">
        <v>25</v>
      </c>
      <c r="H295" s="35" t="s">
        <v>34</v>
      </c>
      <c r="I295" s="55">
        <v>44593</v>
      </c>
      <c r="J295" s="56">
        <f>EFEITO!$J$295*EFEITO!$Y$295</f>
        <v>0</v>
      </c>
      <c r="K295" s="56">
        <f ca="1">EFEITO!$L$295*EFEITO!$Z$295</f>
        <v>26.32445771234622</v>
      </c>
      <c r="L295" s="56">
        <f>EFEITO!$N$295*EFEITO!$AA$295</f>
        <v>6.8771002938019477</v>
      </c>
      <c r="M295" s="56">
        <f>$J$295-EFEITO!$K$295*EFEITO!$Y$295</f>
        <v>0</v>
      </c>
      <c r="N295" s="56">
        <f ca="1">$K$295-EFEITO!$M$295*EFEITO!$Z$295</f>
        <v>0</v>
      </c>
      <c r="O295" s="56">
        <f>$L$295-EFEITO!$O$295*EFEITO!$AA$295</f>
        <v>0</v>
      </c>
      <c r="P295" s="39"/>
      <c r="Q295" s="39"/>
      <c r="R295" s="39"/>
      <c r="S295" s="39"/>
      <c r="T295" s="39"/>
      <c r="U295" s="39"/>
      <c r="V295" s="39"/>
      <c r="W295" s="39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35" t="s">
        <v>21</v>
      </c>
      <c r="B296" s="35" t="s">
        <v>39</v>
      </c>
      <c r="C296" s="35" t="s">
        <v>40</v>
      </c>
      <c r="D296" s="35" t="s">
        <v>38</v>
      </c>
      <c r="E296" s="35" t="s">
        <v>25</v>
      </c>
      <c r="F296" s="35" t="s">
        <v>25</v>
      </c>
      <c r="G296" s="35" t="s">
        <v>25</v>
      </c>
      <c r="H296" s="35" t="s">
        <v>34</v>
      </c>
      <c r="I296" s="55">
        <v>44621</v>
      </c>
      <c r="J296" s="56">
        <f>EFEITO!$J$296*EFEITO!$Y$296</f>
        <v>0</v>
      </c>
      <c r="K296" s="56">
        <f ca="1">EFEITO!$L$296*EFEITO!$Z$296</f>
        <v>37411.210902566978</v>
      </c>
      <c r="L296" s="56">
        <f>EFEITO!$N$296*EFEITO!$AA$296</f>
        <v>9773.4453754336937</v>
      </c>
      <c r="M296" s="56">
        <f>$J$296-EFEITO!$K$296*EFEITO!$Y$296</f>
        <v>0</v>
      </c>
      <c r="N296" s="56">
        <f ca="1">$K$296-EFEITO!$M$296*EFEITO!$Z$296</f>
        <v>0</v>
      </c>
      <c r="O296" s="56">
        <f>$L$296-EFEITO!$O$296*EFEITO!$AA$296</f>
        <v>0</v>
      </c>
      <c r="P296" s="39"/>
      <c r="Q296" s="39"/>
      <c r="R296" s="39"/>
      <c r="S296" s="39"/>
      <c r="T296" s="39"/>
      <c r="U296" s="39"/>
      <c r="V296" s="39"/>
      <c r="W296" s="39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35" t="s">
        <v>28</v>
      </c>
      <c r="B297" s="35" t="s">
        <v>39</v>
      </c>
      <c r="C297" s="35" t="s">
        <v>40</v>
      </c>
      <c r="D297" s="35" t="s">
        <v>38</v>
      </c>
      <c r="E297" s="35" t="s">
        <v>25</v>
      </c>
      <c r="F297" s="35" t="s">
        <v>25</v>
      </c>
      <c r="G297" s="35" t="s">
        <v>25</v>
      </c>
      <c r="H297" s="35" t="s">
        <v>34</v>
      </c>
      <c r="I297" s="55">
        <v>44621</v>
      </c>
      <c r="J297" s="56">
        <f>EFEITO!$J$297*EFEITO!$Y$297</f>
        <v>0</v>
      </c>
      <c r="K297" s="56">
        <f ca="1">EFEITO!$L$297*EFEITO!$Z$297</f>
        <v>31.866448809682268</v>
      </c>
      <c r="L297" s="56">
        <f>EFEITO!$N$297*EFEITO!$AA$297</f>
        <v>8.3249108819707782</v>
      </c>
      <c r="M297" s="56">
        <f>$J$297-EFEITO!$K$297*EFEITO!$Y$297</f>
        <v>0</v>
      </c>
      <c r="N297" s="56">
        <f ca="1">$K$297-EFEITO!$M$297*EFEITO!$Z$297</f>
        <v>0</v>
      </c>
      <c r="O297" s="56">
        <f>$L$297-EFEITO!$O$297*EFEITO!$AA$297</f>
        <v>0</v>
      </c>
      <c r="P297" s="39"/>
      <c r="Q297" s="39"/>
      <c r="R297" s="39"/>
      <c r="S297" s="39"/>
      <c r="T297" s="39"/>
      <c r="U297" s="39"/>
      <c r="V297" s="39"/>
      <c r="W297" s="39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35" t="s">
        <v>21</v>
      </c>
      <c r="B298" s="35" t="s">
        <v>39</v>
      </c>
      <c r="C298" s="35" t="s">
        <v>40</v>
      </c>
      <c r="D298" s="35" t="s">
        <v>38</v>
      </c>
      <c r="E298" s="35" t="s">
        <v>25</v>
      </c>
      <c r="F298" s="35" t="s">
        <v>25</v>
      </c>
      <c r="G298" s="35" t="s">
        <v>25</v>
      </c>
      <c r="H298" s="35" t="s">
        <v>34</v>
      </c>
      <c r="I298" s="55">
        <v>44652</v>
      </c>
      <c r="J298" s="56">
        <f>EFEITO!$J$298*EFEITO!$Y$298</f>
        <v>0</v>
      </c>
      <c r="K298" s="56">
        <f ca="1">EFEITO!$L$298*EFEITO!$Z$298</f>
        <v>25073.353222122609</v>
      </c>
      <c r="L298" s="56">
        <f>EFEITO!$N$298*EFEITO!$AA$298</f>
        <v>6550.2570535228351</v>
      </c>
      <c r="M298" s="56">
        <f>$J$298-EFEITO!$K$298*EFEITO!$Y$298</f>
        <v>0</v>
      </c>
      <c r="N298" s="56">
        <f ca="1">$K$298-EFEITO!$M$298*EFEITO!$Z$298</f>
        <v>0</v>
      </c>
      <c r="O298" s="56">
        <f>$L$298-EFEITO!$O$298*EFEITO!$AA$298</f>
        <v>0</v>
      </c>
      <c r="P298" s="39"/>
      <c r="Q298" s="39"/>
      <c r="R298" s="39"/>
      <c r="S298" s="39"/>
      <c r="T298" s="39"/>
      <c r="U298" s="39"/>
      <c r="V298" s="39"/>
      <c r="W298" s="39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35" t="s">
        <v>28</v>
      </c>
      <c r="B299" s="35" t="s">
        <v>39</v>
      </c>
      <c r="C299" s="35" t="s">
        <v>40</v>
      </c>
      <c r="D299" s="35" t="s">
        <v>38</v>
      </c>
      <c r="E299" s="35" t="s">
        <v>25</v>
      </c>
      <c r="F299" s="35" t="s">
        <v>25</v>
      </c>
      <c r="G299" s="35" t="s">
        <v>25</v>
      </c>
      <c r="H299" s="35" t="s">
        <v>34</v>
      </c>
      <c r="I299" s="55">
        <v>44652</v>
      </c>
      <c r="J299" s="56">
        <f>EFEITO!$J$299*EFEITO!$Y$299</f>
        <v>0</v>
      </c>
      <c r="K299" s="56">
        <f ca="1">EFEITO!$L$299*EFEITO!$Z$299</f>
        <v>33.251946584016281</v>
      </c>
      <c r="L299" s="56">
        <f>EFEITO!$N$299*EFEITO!$AA$299</f>
        <v>8.686863529012987</v>
      </c>
      <c r="M299" s="56">
        <f>$J$299-EFEITO!$K$299*EFEITO!$Y$299</f>
        <v>0</v>
      </c>
      <c r="N299" s="56">
        <f ca="1">$K$299-EFEITO!$M$299*EFEITO!$Z$299</f>
        <v>0</v>
      </c>
      <c r="O299" s="56">
        <f>$L$299-EFEITO!$O$299*EFEITO!$AA$299</f>
        <v>0</v>
      </c>
      <c r="P299" s="39"/>
      <c r="Q299" s="39"/>
      <c r="R299" s="39"/>
      <c r="S299" s="39"/>
      <c r="T299" s="39"/>
      <c r="U299" s="39"/>
      <c r="V299" s="39"/>
      <c r="W299" s="39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35" t="s">
        <v>21</v>
      </c>
      <c r="B300" s="35" t="s">
        <v>39</v>
      </c>
      <c r="C300" s="35" t="s">
        <v>40</v>
      </c>
      <c r="D300" s="35" t="s">
        <v>38</v>
      </c>
      <c r="E300" s="35" t="s">
        <v>25</v>
      </c>
      <c r="F300" s="35" t="s">
        <v>25</v>
      </c>
      <c r="G300" s="35" t="s">
        <v>25</v>
      </c>
      <c r="H300" s="35" t="s">
        <v>34</v>
      </c>
      <c r="I300" s="55">
        <v>44682</v>
      </c>
      <c r="J300" s="56">
        <f>EFEITO!$J$300*EFEITO!$Y$300</f>
        <v>0</v>
      </c>
      <c r="K300" s="56">
        <f ca="1">EFEITO!$L$300*EFEITO!$Z$300</f>
        <v>19639.430951184615</v>
      </c>
      <c r="L300" s="56">
        <f>EFEITO!$N$300*EFEITO!$AA$300</f>
        <v>5130.6787718232954</v>
      </c>
      <c r="M300" s="56">
        <f>$J$300-EFEITO!$K$300*EFEITO!$Y$300</f>
        <v>0</v>
      </c>
      <c r="N300" s="56">
        <f ca="1">$K$300-EFEITO!$M$300*EFEITO!$Z$300</f>
        <v>0</v>
      </c>
      <c r="O300" s="56">
        <f>$L$300-EFEITO!$O$300*EFEITO!$AA$300</f>
        <v>0</v>
      </c>
      <c r="P300" s="39"/>
      <c r="Q300" s="39"/>
      <c r="R300" s="39"/>
      <c r="S300" s="39"/>
      <c r="T300" s="39"/>
      <c r="U300" s="39"/>
      <c r="V300" s="39"/>
      <c r="W300" s="39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35" t="s">
        <v>28</v>
      </c>
      <c r="B301" s="35" t="s">
        <v>39</v>
      </c>
      <c r="C301" s="35" t="s">
        <v>40</v>
      </c>
      <c r="D301" s="35" t="s">
        <v>38</v>
      </c>
      <c r="E301" s="35" t="s">
        <v>25</v>
      </c>
      <c r="F301" s="35" t="s">
        <v>25</v>
      </c>
      <c r="G301" s="35" t="s">
        <v>25</v>
      </c>
      <c r="H301" s="35" t="s">
        <v>34</v>
      </c>
      <c r="I301" s="55">
        <v>44682</v>
      </c>
      <c r="J301" s="56">
        <f>EFEITO!$J$301*EFEITO!$Y$301</f>
        <v>0</v>
      </c>
      <c r="K301" s="56">
        <f ca="1">EFEITO!$L$301*EFEITO!$Z$301</f>
        <v>40.179435455686338</v>
      </c>
      <c r="L301" s="56">
        <f>EFEITO!$N$301*EFEITO!$AA$301</f>
        <v>10.496626764224027</v>
      </c>
      <c r="M301" s="56">
        <f>$J$301-EFEITO!$K$301*EFEITO!$Y$301</f>
        <v>0</v>
      </c>
      <c r="N301" s="56">
        <f ca="1">$K$301-EFEITO!$M$301*EFEITO!$Z$301</f>
        <v>0</v>
      </c>
      <c r="O301" s="56">
        <f>$L$301-EFEITO!$O$301*EFEITO!$AA$301</f>
        <v>0</v>
      </c>
      <c r="P301" s="39"/>
      <c r="Q301" s="39"/>
      <c r="R301" s="39"/>
      <c r="S301" s="39"/>
      <c r="T301" s="39"/>
      <c r="U301" s="39"/>
      <c r="V301" s="39"/>
      <c r="W301" s="39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35" t="s">
        <v>21</v>
      </c>
      <c r="B302" s="35" t="s">
        <v>39</v>
      </c>
      <c r="C302" s="35" t="s">
        <v>40</v>
      </c>
      <c r="D302" s="35" t="s">
        <v>38</v>
      </c>
      <c r="E302" s="35" t="s">
        <v>25</v>
      </c>
      <c r="F302" s="35" t="s">
        <v>25</v>
      </c>
      <c r="G302" s="35" t="s">
        <v>25</v>
      </c>
      <c r="H302" s="35" t="s">
        <v>34</v>
      </c>
      <c r="I302" s="55">
        <v>44713</v>
      </c>
      <c r="J302" s="56">
        <f>EFEITO!$J$302*EFEITO!$Y$302</f>
        <v>0</v>
      </c>
      <c r="K302" s="56">
        <f ca="1">EFEITO!$L$302*EFEITO!$Z$302</f>
        <v>14955.062976161322</v>
      </c>
      <c r="L302" s="56">
        <f>EFEITO!$N$302*EFEITO!$AA$302</f>
        <v>3906.9168721735909</v>
      </c>
      <c r="M302" s="56">
        <f>$J$302-EFEITO!$K$302*EFEITO!$Y$302</f>
        <v>0</v>
      </c>
      <c r="N302" s="56">
        <f ca="1">$K$302-EFEITO!$M$302*EFEITO!$Z$302</f>
        <v>0</v>
      </c>
      <c r="O302" s="56">
        <f>$L$302-EFEITO!$O$302*EFEITO!$AA$302</f>
        <v>0</v>
      </c>
      <c r="P302" s="39"/>
      <c r="Q302" s="39"/>
      <c r="R302" s="39"/>
      <c r="S302" s="39"/>
      <c r="T302" s="39"/>
      <c r="U302" s="39"/>
      <c r="V302" s="39"/>
      <c r="W302" s="39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35" t="s">
        <v>28</v>
      </c>
      <c r="B303" s="35" t="s">
        <v>39</v>
      </c>
      <c r="C303" s="35" t="s">
        <v>40</v>
      </c>
      <c r="D303" s="35" t="s">
        <v>38</v>
      </c>
      <c r="E303" s="35" t="s">
        <v>25</v>
      </c>
      <c r="F303" s="35" t="s">
        <v>25</v>
      </c>
      <c r="G303" s="35" t="s">
        <v>25</v>
      </c>
      <c r="H303" s="35" t="s">
        <v>34</v>
      </c>
      <c r="I303" s="55">
        <v>44713</v>
      </c>
      <c r="J303" s="56">
        <f>EFEITO!$J$303*EFEITO!$Y$303</f>
        <v>0</v>
      </c>
      <c r="K303" s="56">
        <f ca="1">EFEITO!$L$303*EFEITO!$Z$303</f>
        <v>38.793937681352325</v>
      </c>
      <c r="L303" s="56">
        <f>EFEITO!$N$303*EFEITO!$AA$303</f>
        <v>10.134674117181818</v>
      </c>
      <c r="M303" s="56">
        <f>$J$303-EFEITO!$K$303*EFEITO!$Y$303</f>
        <v>0</v>
      </c>
      <c r="N303" s="56">
        <f ca="1">$K$303-EFEITO!$M$303*EFEITO!$Z$303</f>
        <v>0</v>
      </c>
      <c r="O303" s="56">
        <f>$L$303-EFEITO!$O$303*EFEITO!$AA$303</f>
        <v>0</v>
      </c>
      <c r="P303" s="39"/>
      <c r="Q303" s="39"/>
      <c r="R303" s="39"/>
      <c r="S303" s="39"/>
      <c r="T303" s="39"/>
      <c r="U303" s="39"/>
      <c r="V303" s="39"/>
      <c r="W303" s="39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35" t="s">
        <v>21</v>
      </c>
      <c r="B304" s="35" t="s">
        <v>39</v>
      </c>
      <c r="C304" s="35" t="s">
        <v>40</v>
      </c>
      <c r="D304" s="35" t="s">
        <v>38</v>
      </c>
      <c r="E304" s="35" t="s">
        <v>25</v>
      </c>
      <c r="F304" s="35" t="s">
        <v>25</v>
      </c>
      <c r="G304" s="35" t="s">
        <v>25</v>
      </c>
      <c r="H304" s="35" t="s">
        <v>34</v>
      </c>
      <c r="I304" s="55">
        <v>44743</v>
      </c>
      <c r="J304" s="56">
        <f>EFEITO!$J$304*EFEITO!$Y$304</f>
        <v>0</v>
      </c>
      <c r="K304" s="56">
        <f ca="1">EFEITO!$L$304*EFEITO!$Z$304</f>
        <v>14460.440270724079</v>
      </c>
      <c r="L304" s="56">
        <f>EFEITO!$N$304*EFEITO!$AA$304</f>
        <v>3777.6997771795222</v>
      </c>
      <c r="M304" s="56">
        <f>$J$304-EFEITO!$K$304*EFEITO!$Y$304</f>
        <v>0</v>
      </c>
      <c r="N304" s="56">
        <f ca="1">$K$304-EFEITO!$M$304*EFEITO!$Z$304</f>
        <v>0</v>
      </c>
      <c r="O304" s="56">
        <f>$L$304-EFEITO!$O$304*EFEITO!$AA$304</f>
        <v>0</v>
      </c>
      <c r="P304" s="39"/>
      <c r="Q304" s="39"/>
      <c r="R304" s="39"/>
      <c r="S304" s="39"/>
      <c r="T304" s="39"/>
      <c r="U304" s="39"/>
      <c r="V304" s="39"/>
      <c r="W304" s="39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35" t="s">
        <v>28</v>
      </c>
      <c r="B305" s="35" t="s">
        <v>39</v>
      </c>
      <c r="C305" s="35" t="s">
        <v>40</v>
      </c>
      <c r="D305" s="35" t="s">
        <v>38</v>
      </c>
      <c r="E305" s="35" t="s">
        <v>25</v>
      </c>
      <c r="F305" s="35" t="s">
        <v>25</v>
      </c>
      <c r="G305" s="35" t="s">
        <v>25</v>
      </c>
      <c r="H305" s="35" t="s">
        <v>34</v>
      </c>
      <c r="I305" s="55">
        <v>44743</v>
      </c>
      <c r="J305" s="56">
        <f>EFEITO!$J$305*EFEITO!$Y$305</f>
        <v>0</v>
      </c>
      <c r="K305" s="56">
        <f ca="1">EFEITO!$L$305*EFEITO!$Z$305</f>
        <v>41.564933230020351</v>
      </c>
      <c r="L305" s="56">
        <f>EFEITO!$N$305*EFEITO!$AA$305</f>
        <v>10.858579411266232</v>
      </c>
      <c r="M305" s="56">
        <f>$J$305-EFEITO!$K$305*EFEITO!$Y$305</f>
        <v>0</v>
      </c>
      <c r="N305" s="56">
        <f ca="1">$K$305-EFEITO!$M$305*EFEITO!$Z$305</f>
        <v>0</v>
      </c>
      <c r="O305" s="56">
        <f>$L$305-EFEITO!$O$305*EFEITO!$AA$305</f>
        <v>0</v>
      </c>
      <c r="P305" s="39"/>
      <c r="Q305" s="39"/>
      <c r="R305" s="39"/>
      <c r="S305" s="39"/>
      <c r="T305" s="39"/>
      <c r="U305" s="39"/>
      <c r="V305" s="39"/>
      <c r="W305" s="39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35" t="s">
        <v>21</v>
      </c>
      <c r="B306" s="35" t="s">
        <v>39</v>
      </c>
      <c r="C306" s="35" t="s">
        <v>40</v>
      </c>
      <c r="D306" s="35" t="s">
        <v>38</v>
      </c>
      <c r="E306" s="35" t="s">
        <v>25</v>
      </c>
      <c r="F306" s="35" t="s">
        <v>25</v>
      </c>
      <c r="G306" s="35" t="s">
        <v>25</v>
      </c>
      <c r="H306" s="35" t="s">
        <v>34</v>
      </c>
      <c r="I306" s="55">
        <v>44774</v>
      </c>
      <c r="J306" s="56">
        <f>EFEITO!$J$306*EFEITO!$Y$306</f>
        <v>0</v>
      </c>
      <c r="K306" s="56">
        <f ca="1">EFEITO!$L$306*EFEITO!$Z$306</f>
        <v>21674.727181681279</v>
      </c>
      <c r="L306" s="56">
        <f>EFEITO!$N$306*EFEITO!$AA$306</f>
        <v>5662.3872103282984</v>
      </c>
      <c r="M306" s="56">
        <f>$J$306-EFEITO!$K$306*EFEITO!$Y$306</f>
        <v>0</v>
      </c>
      <c r="N306" s="56">
        <f ca="1">$K$306-EFEITO!$M$306*EFEITO!$Z$306</f>
        <v>0</v>
      </c>
      <c r="O306" s="56">
        <f>$L$306-EFEITO!$O$306*EFEITO!$AA$306</f>
        <v>0</v>
      </c>
      <c r="P306" s="39"/>
      <c r="Q306" s="39"/>
      <c r="R306" s="39"/>
      <c r="S306" s="39"/>
      <c r="T306" s="39"/>
      <c r="U306" s="39"/>
      <c r="V306" s="39"/>
      <c r="W306" s="39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35" t="s">
        <v>28</v>
      </c>
      <c r="B307" s="35" t="s">
        <v>39</v>
      </c>
      <c r="C307" s="35" t="s">
        <v>40</v>
      </c>
      <c r="D307" s="35" t="s">
        <v>38</v>
      </c>
      <c r="E307" s="35" t="s">
        <v>25</v>
      </c>
      <c r="F307" s="35" t="s">
        <v>25</v>
      </c>
      <c r="G307" s="35" t="s">
        <v>25</v>
      </c>
      <c r="H307" s="35" t="s">
        <v>34</v>
      </c>
      <c r="I307" s="55">
        <v>44774</v>
      </c>
      <c r="J307" s="56">
        <f>EFEITO!$J$307*EFEITO!$Y$307</f>
        <v>0</v>
      </c>
      <c r="K307" s="56">
        <f ca="1">EFEITO!$L$307*EFEITO!$Z$307</f>
        <v>48.492422101690408</v>
      </c>
      <c r="L307" s="56">
        <f>EFEITO!$N$307*EFEITO!$AA$307</f>
        <v>12.668342646477274</v>
      </c>
      <c r="M307" s="56">
        <f>$J$307-EFEITO!$K$307*EFEITO!$Y$307</f>
        <v>0</v>
      </c>
      <c r="N307" s="56">
        <f ca="1">$K$307-EFEITO!$M$307*EFEITO!$Z$307</f>
        <v>0</v>
      </c>
      <c r="O307" s="56">
        <f>$L$307-EFEITO!$O$307*EFEITO!$AA$307</f>
        <v>0</v>
      </c>
      <c r="P307" s="39"/>
      <c r="Q307" s="39"/>
      <c r="R307" s="39"/>
      <c r="S307" s="39"/>
      <c r="T307" s="39"/>
      <c r="U307" s="39"/>
      <c r="V307" s="39"/>
      <c r="W307" s="39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35" t="s">
        <v>21</v>
      </c>
      <c r="B308" s="35" t="s">
        <v>39</v>
      </c>
      <c r="C308" s="35" t="s">
        <v>40</v>
      </c>
      <c r="D308" s="35" t="s">
        <v>38</v>
      </c>
      <c r="E308" s="35" t="s">
        <v>25</v>
      </c>
      <c r="F308" s="35" t="s">
        <v>25</v>
      </c>
      <c r="G308" s="35" t="s">
        <v>25</v>
      </c>
      <c r="H308" s="35" t="s">
        <v>34</v>
      </c>
      <c r="I308" s="55">
        <v>44805</v>
      </c>
      <c r="J308" s="56">
        <f>EFEITO!$J$308*EFEITO!$Y$308</f>
        <v>0</v>
      </c>
      <c r="K308" s="56">
        <f ca="1">EFEITO!$L$308*EFEITO!$Z$308</f>
        <v>21692.738652747619</v>
      </c>
      <c r="L308" s="56">
        <f>EFEITO!$N$308*EFEITO!$AA$308</f>
        <v>5667.0925947398473</v>
      </c>
      <c r="M308" s="56">
        <f>$J$308-EFEITO!$K$308*EFEITO!$Y$308</f>
        <v>0</v>
      </c>
      <c r="N308" s="56">
        <f ca="1">$K$308-EFEITO!$M$308*EFEITO!$Z$308</f>
        <v>0</v>
      </c>
      <c r="O308" s="56">
        <f>$L$308-EFEITO!$O$308*EFEITO!$AA$308</f>
        <v>0</v>
      </c>
      <c r="P308" s="39"/>
      <c r="Q308" s="39"/>
      <c r="R308" s="39"/>
      <c r="S308" s="39"/>
      <c r="T308" s="39"/>
      <c r="U308" s="39"/>
      <c r="V308" s="39"/>
      <c r="W308" s="39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35" t="s">
        <v>28</v>
      </c>
      <c r="B309" s="35" t="s">
        <v>39</v>
      </c>
      <c r="C309" s="35" t="s">
        <v>40</v>
      </c>
      <c r="D309" s="35" t="s">
        <v>38</v>
      </c>
      <c r="E309" s="35" t="s">
        <v>25</v>
      </c>
      <c r="F309" s="35" t="s">
        <v>25</v>
      </c>
      <c r="G309" s="35" t="s">
        <v>25</v>
      </c>
      <c r="H309" s="35" t="s">
        <v>34</v>
      </c>
      <c r="I309" s="55">
        <v>44805</v>
      </c>
      <c r="J309" s="56">
        <f>EFEITO!$J$309*EFEITO!$Y$309</f>
        <v>0</v>
      </c>
      <c r="K309" s="56">
        <f ca="1">EFEITO!$L$309*EFEITO!$Z$309</f>
        <v>49.877919876024414</v>
      </c>
      <c r="L309" s="56">
        <f>EFEITO!$N$309*EFEITO!$AA$309</f>
        <v>13.03029529351948</v>
      </c>
      <c r="M309" s="56">
        <f>$J$309-EFEITO!$K$309*EFEITO!$Y$309</f>
        <v>0</v>
      </c>
      <c r="N309" s="56">
        <f ca="1">$K$309-EFEITO!$M$309*EFEITO!$Z$309</f>
        <v>0</v>
      </c>
      <c r="O309" s="56">
        <f>$L$309-EFEITO!$O$309*EFEITO!$AA$309</f>
        <v>0</v>
      </c>
      <c r="P309" s="39"/>
      <c r="Q309" s="39"/>
      <c r="R309" s="39"/>
      <c r="S309" s="39"/>
      <c r="T309" s="39"/>
      <c r="U309" s="39"/>
      <c r="V309" s="39"/>
      <c r="W309" s="39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35" t="s">
        <v>57</v>
      </c>
      <c r="B310" s="35" t="s">
        <v>39</v>
      </c>
      <c r="C310" s="35" t="s">
        <v>40</v>
      </c>
      <c r="D310" s="35" t="s">
        <v>38</v>
      </c>
      <c r="E310" s="35" t="s">
        <v>25</v>
      </c>
      <c r="F310" s="35" t="s">
        <v>25</v>
      </c>
      <c r="G310" s="35" t="s">
        <v>25</v>
      </c>
      <c r="H310" s="35" t="s">
        <v>34</v>
      </c>
      <c r="I310" s="55">
        <v>44835</v>
      </c>
      <c r="J310" s="56">
        <f>EFEITO!$J$310*EFEITO!$Y$310</f>
        <v>0</v>
      </c>
      <c r="K310" s="56">
        <f ca="1">EFEITO!$L$310*EFEITO!$Z$310</f>
        <v>21692.738652747619</v>
      </c>
      <c r="L310" s="56">
        <f>EFEITO!$N$310*EFEITO!$AA$310</f>
        <v>5667.0925947398473</v>
      </c>
      <c r="M310" s="56">
        <f>$J$310-EFEITO!$K$310*EFEITO!$Y$310</f>
        <v>0</v>
      </c>
      <c r="N310" s="56">
        <f ca="1">$K$310-EFEITO!$M$310*EFEITO!$Z$310</f>
        <v>0</v>
      </c>
      <c r="O310" s="56">
        <f>$L$310-EFEITO!$O$310*EFEITO!$AA$310</f>
        <v>0</v>
      </c>
      <c r="P310" s="39"/>
      <c r="Q310" s="39"/>
      <c r="R310" s="39"/>
      <c r="S310" s="39"/>
      <c r="T310" s="39"/>
      <c r="U310" s="39"/>
      <c r="V310" s="39"/>
      <c r="W310" s="39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35" t="s">
        <v>57</v>
      </c>
      <c r="B311" s="35" t="s">
        <v>39</v>
      </c>
      <c r="C311" s="35" t="s">
        <v>40</v>
      </c>
      <c r="D311" s="35" t="s">
        <v>38</v>
      </c>
      <c r="E311" s="35" t="s">
        <v>25</v>
      </c>
      <c r="F311" s="35" t="s">
        <v>25</v>
      </c>
      <c r="G311" s="35" t="s">
        <v>25</v>
      </c>
      <c r="H311" s="35" t="s">
        <v>34</v>
      </c>
      <c r="I311" s="55">
        <v>44835</v>
      </c>
      <c r="J311" s="56">
        <f>EFEITO!$J$311*EFEITO!$Y$311</f>
        <v>0</v>
      </c>
      <c r="K311" s="56">
        <f ca="1">EFEITO!$L$311*EFEITO!$Z$311</f>
        <v>49.877919876024414</v>
      </c>
      <c r="L311" s="56">
        <f>EFEITO!$N$311*EFEITO!$AA$311</f>
        <v>13.03029529351948</v>
      </c>
      <c r="M311" s="56">
        <f>$J$311-EFEITO!$K$311*EFEITO!$Y$311</f>
        <v>0</v>
      </c>
      <c r="N311" s="56">
        <f ca="1">$K$311-EFEITO!$M$311*EFEITO!$Z$311</f>
        <v>0</v>
      </c>
      <c r="O311" s="56">
        <f>$L$311-EFEITO!$O$311*EFEITO!$AA$311</f>
        <v>0</v>
      </c>
      <c r="P311" s="39"/>
      <c r="Q311" s="39"/>
      <c r="R311" s="39"/>
      <c r="S311" s="39"/>
      <c r="T311" s="39"/>
      <c r="U311" s="39"/>
      <c r="V311" s="39"/>
      <c r="W311" s="39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35" t="s">
        <v>21</v>
      </c>
      <c r="B312" s="35" t="s">
        <v>39</v>
      </c>
      <c r="C312" s="35" t="s">
        <v>40</v>
      </c>
      <c r="D312" s="35" t="s">
        <v>46</v>
      </c>
      <c r="E312" s="35" t="s">
        <v>25</v>
      </c>
      <c r="F312" s="35" t="s">
        <v>25</v>
      </c>
      <c r="G312" s="35" t="s">
        <v>25</v>
      </c>
      <c r="H312" s="35" t="s">
        <v>35</v>
      </c>
      <c r="I312" s="55">
        <v>44501</v>
      </c>
      <c r="J312" s="56">
        <f>EFEITO!$J$312*EFEITO!$Y$312</f>
        <v>0</v>
      </c>
      <c r="K312" s="56">
        <f ca="1">EFEITO!$L$312*EFEITO!$Z$312</f>
        <v>6491.0574246206834</v>
      </c>
      <c r="L312" s="56">
        <f>EFEITO!$N$312*EFEITO!$AA$312</f>
        <v>9906.3123172086671</v>
      </c>
      <c r="M312" s="56">
        <f>$J$312-EFEITO!$K$312*EFEITO!$Y$312</f>
        <v>0</v>
      </c>
      <c r="N312" s="56">
        <f ca="1">$K$312-EFEITO!$M$312*EFEITO!$Z$312</f>
        <v>0</v>
      </c>
      <c r="O312" s="56">
        <f>$L$312-EFEITO!$O$312*EFEITO!$AA$312</f>
        <v>0</v>
      </c>
      <c r="P312" s="39"/>
      <c r="Q312" s="39"/>
      <c r="R312" s="39"/>
      <c r="S312" s="39"/>
      <c r="T312" s="39"/>
      <c r="U312" s="39"/>
      <c r="V312" s="39"/>
      <c r="W312" s="39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35" t="s">
        <v>28</v>
      </c>
      <c r="B313" s="35" t="s">
        <v>39</v>
      </c>
      <c r="C313" s="35" t="s">
        <v>40</v>
      </c>
      <c r="D313" s="35" t="s">
        <v>46</v>
      </c>
      <c r="E313" s="35" t="s">
        <v>25</v>
      </c>
      <c r="F313" s="35" t="s">
        <v>25</v>
      </c>
      <c r="G313" s="35" t="s">
        <v>25</v>
      </c>
      <c r="H313" s="35" t="s">
        <v>35</v>
      </c>
      <c r="I313" s="55">
        <v>44501</v>
      </c>
      <c r="J313" s="56">
        <f>EFEITO!$J$313*EFEITO!$Y$313</f>
        <v>0</v>
      </c>
      <c r="K313" s="56">
        <f ca="1">EFEITO!$L$313*EFEITO!$Z$313</f>
        <v>2004.2655311205299</v>
      </c>
      <c r="L313" s="56">
        <f>EFEITO!$N$313*EFEITO!$AA$313</f>
        <v>3058.8052175576513</v>
      </c>
      <c r="M313" s="56">
        <f>$J$313-EFEITO!$K$313*EFEITO!$Y$313</f>
        <v>0</v>
      </c>
      <c r="N313" s="56">
        <f ca="1">$K$313-EFEITO!$M$313*EFEITO!$Z$313</f>
        <v>0</v>
      </c>
      <c r="O313" s="56">
        <f>$L$313-EFEITO!$O$313*EFEITO!$AA$313</f>
        <v>0</v>
      </c>
      <c r="P313" s="39"/>
      <c r="Q313" s="39"/>
      <c r="R313" s="39"/>
      <c r="S313" s="39"/>
      <c r="T313" s="39"/>
      <c r="U313" s="39"/>
      <c r="V313" s="39"/>
      <c r="W313" s="39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35" t="s">
        <v>21</v>
      </c>
      <c r="B314" s="35" t="s">
        <v>39</v>
      </c>
      <c r="C314" s="35" t="s">
        <v>40</v>
      </c>
      <c r="D314" s="35" t="s">
        <v>46</v>
      </c>
      <c r="E314" s="35" t="s">
        <v>25</v>
      </c>
      <c r="F314" s="35" t="s">
        <v>25</v>
      </c>
      <c r="G314" s="35" t="s">
        <v>25</v>
      </c>
      <c r="H314" s="35" t="s">
        <v>35</v>
      </c>
      <c r="I314" s="55">
        <v>44531</v>
      </c>
      <c r="J314" s="56">
        <f>EFEITO!$J$314*EFEITO!$Y$314</f>
        <v>0</v>
      </c>
      <c r="K314" s="56">
        <f ca="1">EFEITO!$L$314*EFEITO!$Z$314</f>
        <v>5567.3232962381735</v>
      </c>
      <c r="L314" s="56">
        <f>EFEITO!$N$314*EFEITO!$AA$314</f>
        <v>8496.5576077352089</v>
      </c>
      <c r="M314" s="56">
        <f>$J$314-EFEITO!$K$314*EFEITO!$Y$314</f>
        <v>0</v>
      </c>
      <c r="N314" s="56">
        <f ca="1">$K$314-EFEITO!$M$314*EFEITO!$Z$314</f>
        <v>0</v>
      </c>
      <c r="O314" s="56">
        <f>$L$314-EFEITO!$O$314*EFEITO!$AA$314</f>
        <v>0</v>
      </c>
      <c r="P314" s="39"/>
      <c r="Q314" s="39"/>
      <c r="R314" s="39"/>
      <c r="S314" s="39"/>
      <c r="T314" s="39"/>
      <c r="U314" s="39"/>
      <c r="V314" s="39"/>
      <c r="W314" s="39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35" t="s">
        <v>28</v>
      </c>
      <c r="B315" s="35" t="s">
        <v>39</v>
      </c>
      <c r="C315" s="35" t="s">
        <v>40</v>
      </c>
      <c r="D315" s="35" t="s">
        <v>46</v>
      </c>
      <c r="E315" s="35" t="s">
        <v>25</v>
      </c>
      <c r="F315" s="35" t="s">
        <v>25</v>
      </c>
      <c r="G315" s="35" t="s">
        <v>25</v>
      </c>
      <c r="H315" s="35" t="s">
        <v>35</v>
      </c>
      <c r="I315" s="55">
        <v>44531</v>
      </c>
      <c r="J315" s="56">
        <f>EFEITO!$J$315*EFEITO!$Y$315</f>
        <v>0</v>
      </c>
      <c r="K315" s="56">
        <f ca="1">EFEITO!$L$315*EFEITO!$Z$315</f>
        <v>1630.3419195998611</v>
      </c>
      <c r="L315" s="56">
        <f>EFEITO!$N$315*EFEITO!$AA$315</f>
        <v>2488.14256027592</v>
      </c>
      <c r="M315" s="56">
        <f>$J$315-EFEITO!$K$315*EFEITO!$Y$315</f>
        <v>0</v>
      </c>
      <c r="N315" s="56">
        <f ca="1">$K$315-EFEITO!$M$315*EFEITO!$Z$315</f>
        <v>0</v>
      </c>
      <c r="O315" s="56">
        <f>$L$315-EFEITO!$O$315*EFEITO!$AA$315</f>
        <v>0</v>
      </c>
      <c r="P315" s="39"/>
      <c r="Q315" s="39"/>
      <c r="R315" s="39"/>
      <c r="S315" s="39"/>
      <c r="T315" s="39"/>
      <c r="U315" s="39"/>
      <c r="V315" s="39"/>
      <c r="W315" s="39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35" t="s">
        <v>21</v>
      </c>
      <c r="B316" s="35" t="s">
        <v>39</v>
      </c>
      <c r="C316" s="35" t="s">
        <v>40</v>
      </c>
      <c r="D316" s="35" t="s">
        <v>46</v>
      </c>
      <c r="E316" s="35" t="s">
        <v>25</v>
      </c>
      <c r="F316" s="35" t="s">
        <v>25</v>
      </c>
      <c r="G316" s="35" t="s">
        <v>25</v>
      </c>
      <c r="H316" s="35" t="s">
        <v>35</v>
      </c>
      <c r="I316" s="55">
        <v>44562</v>
      </c>
      <c r="J316" s="56">
        <f>EFEITO!$J$316*EFEITO!$Y$316</f>
        <v>0</v>
      </c>
      <c r="K316" s="56">
        <f ca="1">EFEITO!$L$316*EFEITO!$Z$316</f>
        <v>4963.0126115241392</v>
      </c>
      <c r="L316" s="56">
        <f>EFEITO!$N$316*EFEITO!$AA$316</f>
        <v>7574.290250078413</v>
      </c>
      <c r="M316" s="56">
        <f>$J$316-EFEITO!$K$316*EFEITO!$Y$316</f>
        <v>0</v>
      </c>
      <c r="N316" s="56">
        <f ca="1">$K$316-EFEITO!$M$316*EFEITO!$Z$316</f>
        <v>0</v>
      </c>
      <c r="O316" s="56">
        <f>$L$316-EFEITO!$O$316*EFEITO!$AA$316</f>
        <v>0</v>
      </c>
      <c r="P316" s="39"/>
      <c r="Q316" s="39"/>
      <c r="R316" s="39"/>
      <c r="S316" s="39"/>
      <c r="T316" s="39"/>
      <c r="U316" s="39"/>
      <c r="V316" s="39"/>
      <c r="W316" s="39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35" t="s">
        <v>28</v>
      </c>
      <c r="B317" s="35" t="s">
        <v>39</v>
      </c>
      <c r="C317" s="35" t="s">
        <v>40</v>
      </c>
      <c r="D317" s="35" t="s">
        <v>46</v>
      </c>
      <c r="E317" s="35" t="s">
        <v>25</v>
      </c>
      <c r="F317" s="35" t="s">
        <v>25</v>
      </c>
      <c r="G317" s="35" t="s">
        <v>25</v>
      </c>
      <c r="H317" s="35" t="s">
        <v>35</v>
      </c>
      <c r="I317" s="55">
        <v>44562</v>
      </c>
      <c r="J317" s="56">
        <f>EFEITO!$J$317*EFEITO!$Y$317</f>
        <v>0</v>
      </c>
      <c r="K317" s="56">
        <f ca="1">EFEITO!$L$317*EFEITO!$Z$317</f>
        <v>1761.0548890207654</v>
      </c>
      <c r="L317" s="56">
        <f>EFEITO!$N$317*EFEITO!$AA$317</f>
        <v>2687.6298570731583</v>
      </c>
      <c r="M317" s="56">
        <f>$J$317-EFEITO!$K$317*EFEITO!$Y$317</f>
        <v>0</v>
      </c>
      <c r="N317" s="56">
        <f ca="1">$K$317-EFEITO!$M$317*EFEITO!$Z$317</f>
        <v>0</v>
      </c>
      <c r="O317" s="56">
        <f>$L$317-EFEITO!$O$317*EFEITO!$AA$317</f>
        <v>0</v>
      </c>
      <c r="P317" s="39"/>
      <c r="Q317" s="39"/>
      <c r="R317" s="39"/>
      <c r="S317" s="39"/>
      <c r="T317" s="39"/>
      <c r="U317" s="39"/>
      <c r="V317" s="39"/>
      <c r="W317" s="39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35" t="s">
        <v>21</v>
      </c>
      <c r="B318" s="35" t="s">
        <v>39</v>
      </c>
      <c r="C318" s="35" t="s">
        <v>40</v>
      </c>
      <c r="D318" s="35" t="s">
        <v>46</v>
      </c>
      <c r="E318" s="35" t="s">
        <v>25</v>
      </c>
      <c r="F318" s="35" t="s">
        <v>25</v>
      </c>
      <c r="G318" s="35" t="s">
        <v>25</v>
      </c>
      <c r="H318" s="35" t="s">
        <v>35</v>
      </c>
      <c r="I318" s="55">
        <v>44593</v>
      </c>
      <c r="J318" s="56">
        <f>EFEITO!$J$318*EFEITO!$Y$318</f>
        <v>0</v>
      </c>
      <c r="K318" s="56">
        <f ca="1">EFEITO!$L$318*EFEITO!$Z$318</f>
        <v>5546.7764415131487</v>
      </c>
      <c r="L318" s="56">
        <f>EFEITO!$N$318*EFEITO!$AA$318</f>
        <v>8465.2000727871491</v>
      </c>
      <c r="M318" s="56">
        <f>$J$318-EFEITO!$K$318*EFEITO!$Y$318</f>
        <v>0</v>
      </c>
      <c r="N318" s="56">
        <f ca="1">$K$318-EFEITO!$M$318*EFEITO!$Z$318</f>
        <v>0</v>
      </c>
      <c r="O318" s="56">
        <f>$L$318-EFEITO!$O$318*EFEITO!$AA$318</f>
        <v>0</v>
      </c>
      <c r="P318" s="39"/>
      <c r="Q318" s="39"/>
      <c r="R318" s="39"/>
      <c r="S318" s="39"/>
      <c r="T318" s="39"/>
      <c r="U318" s="39"/>
      <c r="V318" s="39"/>
      <c r="W318" s="39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35" t="s">
        <v>28</v>
      </c>
      <c r="B319" s="35" t="s">
        <v>39</v>
      </c>
      <c r="C319" s="35" t="s">
        <v>40</v>
      </c>
      <c r="D319" s="35" t="s">
        <v>46</v>
      </c>
      <c r="E319" s="35" t="s">
        <v>25</v>
      </c>
      <c r="F319" s="35" t="s">
        <v>25</v>
      </c>
      <c r="G319" s="35" t="s">
        <v>25</v>
      </c>
      <c r="H319" s="35" t="s">
        <v>35</v>
      </c>
      <c r="I319" s="55">
        <v>44593</v>
      </c>
      <c r="J319" s="56">
        <f>EFEITO!$J$319*EFEITO!$Y$319</f>
        <v>0</v>
      </c>
      <c r="K319" s="56">
        <f ca="1">EFEITO!$L$319*EFEITO!$Z$319</f>
        <v>2351.3762258369106</v>
      </c>
      <c r="L319" s="56">
        <f>EFEITO!$N$319*EFEITO!$AA$319</f>
        <v>3588.5474037014874</v>
      </c>
      <c r="M319" s="56">
        <f>$J$319-EFEITO!$K$319*EFEITO!$Y$319</f>
        <v>0</v>
      </c>
      <c r="N319" s="56">
        <f ca="1">$K$319-EFEITO!$M$319*EFEITO!$Z$319</f>
        <v>0</v>
      </c>
      <c r="O319" s="56">
        <f>$L$319-EFEITO!$O$319*EFEITO!$AA$319</f>
        <v>0</v>
      </c>
      <c r="P319" s="39"/>
      <c r="Q319" s="39"/>
      <c r="R319" s="39"/>
      <c r="S319" s="39"/>
      <c r="T319" s="39"/>
      <c r="U319" s="39"/>
      <c r="V319" s="39"/>
      <c r="W319" s="39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35" t="s">
        <v>21</v>
      </c>
      <c r="B320" s="35" t="s">
        <v>39</v>
      </c>
      <c r="C320" s="35" t="s">
        <v>40</v>
      </c>
      <c r="D320" s="35" t="s">
        <v>46</v>
      </c>
      <c r="E320" s="35" t="s">
        <v>25</v>
      </c>
      <c r="F320" s="35" t="s">
        <v>25</v>
      </c>
      <c r="G320" s="35" t="s">
        <v>25</v>
      </c>
      <c r="H320" s="35" t="s">
        <v>35</v>
      </c>
      <c r="I320" s="55">
        <v>44621</v>
      </c>
      <c r="J320" s="56">
        <f>EFEITO!$J$320*EFEITO!$Y$320</f>
        <v>0</v>
      </c>
      <c r="K320" s="56">
        <f ca="1">EFEITO!$L$320*EFEITO!$Z$320</f>
        <v>7158.0287301273484</v>
      </c>
      <c r="L320" s="56">
        <f>EFEITO!$N$320*EFEITO!$AA$320</f>
        <v>10924.209036763807</v>
      </c>
      <c r="M320" s="56">
        <f>$J$320-EFEITO!$K$320*EFEITO!$Y$320</f>
        <v>0</v>
      </c>
      <c r="N320" s="56">
        <f ca="1">$K$320-EFEITO!$M$320*EFEITO!$Z$320</f>
        <v>0</v>
      </c>
      <c r="O320" s="56">
        <f>$L$320-EFEITO!$O$320*EFEITO!$AA$320</f>
        <v>0</v>
      </c>
      <c r="P320" s="39"/>
      <c r="Q320" s="39"/>
      <c r="R320" s="39"/>
      <c r="S320" s="39"/>
      <c r="T320" s="39"/>
      <c r="U320" s="39"/>
      <c r="V320" s="39"/>
      <c r="W320" s="39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35" t="s">
        <v>28</v>
      </c>
      <c r="B321" s="35" t="s">
        <v>39</v>
      </c>
      <c r="C321" s="35" t="s">
        <v>40</v>
      </c>
      <c r="D321" s="35" t="s">
        <v>46</v>
      </c>
      <c r="E321" s="35" t="s">
        <v>25</v>
      </c>
      <c r="F321" s="35" t="s">
        <v>25</v>
      </c>
      <c r="G321" s="35" t="s">
        <v>25</v>
      </c>
      <c r="H321" s="35" t="s">
        <v>35</v>
      </c>
      <c r="I321" s="55">
        <v>44621</v>
      </c>
      <c r="J321" s="56">
        <f>EFEITO!$J$321*EFEITO!$Y$321</f>
        <v>0</v>
      </c>
      <c r="K321" s="56">
        <f ca="1">EFEITO!$L$321*EFEITO!$Z$321</f>
        <v>5510.6372927769353</v>
      </c>
      <c r="L321" s="56">
        <f>EFEITO!$N$321*EFEITO!$AA$321</f>
        <v>8410.0463942969436</v>
      </c>
      <c r="M321" s="56">
        <f>$J$321-EFEITO!$K$321*EFEITO!$Y$321</f>
        <v>0</v>
      </c>
      <c r="N321" s="56">
        <f ca="1">$K$321-EFEITO!$M$321*EFEITO!$Z$321</f>
        <v>0</v>
      </c>
      <c r="O321" s="56">
        <f>$L$321-EFEITO!$O$321*EFEITO!$AA$321</f>
        <v>0</v>
      </c>
      <c r="P321" s="39"/>
      <c r="Q321" s="39"/>
      <c r="R321" s="39"/>
      <c r="S321" s="39"/>
      <c r="T321" s="39"/>
      <c r="U321" s="39"/>
      <c r="V321" s="39"/>
      <c r="W321" s="39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35" t="s">
        <v>21</v>
      </c>
      <c r="B322" s="35" t="s">
        <v>39</v>
      </c>
      <c r="C322" s="35" t="s">
        <v>40</v>
      </c>
      <c r="D322" s="35" t="s">
        <v>46</v>
      </c>
      <c r="E322" s="35" t="s">
        <v>25</v>
      </c>
      <c r="F322" s="35" t="s">
        <v>25</v>
      </c>
      <c r="G322" s="35" t="s">
        <v>25</v>
      </c>
      <c r="H322" s="35" t="s">
        <v>35</v>
      </c>
      <c r="I322" s="55">
        <v>44652</v>
      </c>
      <c r="J322" s="56">
        <f>EFEITO!$J$322*EFEITO!$Y$322</f>
        <v>0</v>
      </c>
      <c r="K322" s="56">
        <f ca="1">EFEITO!$L$322*EFEITO!$Z$322</f>
        <v>7284.2243059562261</v>
      </c>
      <c r="L322" s="56">
        <f>EFEITO!$N$322*EFEITO!$AA$322</f>
        <v>11116.802123749769</v>
      </c>
      <c r="M322" s="56">
        <f>$J$322-EFEITO!$K$322*EFEITO!$Y$322</f>
        <v>0</v>
      </c>
      <c r="N322" s="56">
        <f ca="1">$K$322-EFEITO!$M$322*EFEITO!$Z$322</f>
        <v>0</v>
      </c>
      <c r="O322" s="56">
        <f>$L$322-EFEITO!$O$322*EFEITO!$AA$322</f>
        <v>0</v>
      </c>
      <c r="P322" s="39"/>
      <c r="Q322" s="39"/>
      <c r="R322" s="39"/>
      <c r="S322" s="39"/>
      <c r="T322" s="39"/>
      <c r="U322" s="39"/>
      <c r="V322" s="39"/>
      <c r="W322" s="39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35" t="s">
        <v>28</v>
      </c>
      <c r="B323" s="35" t="s">
        <v>39</v>
      </c>
      <c r="C323" s="35" t="s">
        <v>40</v>
      </c>
      <c r="D323" s="35" t="s">
        <v>46</v>
      </c>
      <c r="E323" s="35" t="s">
        <v>25</v>
      </c>
      <c r="F323" s="35" t="s">
        <v>25</v>
      </c>
      <c r="G323" s="35" t="s">
        <v>25</v>
      </c>
      <c r="H323" s="35" t="s">
        <v>35</v>
      </c>
      <c r="I323" s="55">
        <v>44652</v>
      </c>
      <c r="J323" s="56">
        <f>EFEITO!$J$323*EFEITO!$Y$323</f>
        <v>0</v>
      </c>
      <c r="K323" s="56">
        <f ca="1">EFEITO!$L$323*EFEITO!$Z$323</f>
        <v>5835.1610195331814</v>
      </c>
      <c r="L323" s="56">
        <f>EFEITO!$N$323*EFEITO!$AA$323</f>
        <v>8905.3175313844004</v>
      </c>
      <c r="M323" s="56">
        <f>$J$323-EFEITO!$K$323*EFEITO!$Y$323</f>
        <v>0</v>
      </c>
      <c r="N323" s="56">
        <f ca="1">$K$323-EFEITO!$M$323*EFEITO!$Z$323</f>
        <v>0</v>
      </c>
      <c r="O323" s="56">
        <f>$L$323-EFEITO!$O$323*EFEITO!$AA$323</f>
        <v>0</v>
      </c>
      <c r="P323" s="39"/>
      <c r="Q323" s="39"/>
      <c r="R323" s="39"/>
      <c r="S323" s="39"/>
      <c r="T323" s="39"/>
      <c r="U323" s="39"/>
      <c r="V323" s="39"/>
      <c r="W323" s="39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35" t="s">
        <v>21</v>
      </c>
      <c r="B324" s="35" t="s">
        <v>39</v>
      </c>
      <c r="C324" s="35" t="s">
        <v>40</v>
      </c>
      <c r="D324" s="35" t="s">
        <v>46</v>
      </c>
      <c r="E324" s="35" t="s">
        <v>25</v>
      </c>
      <c r="F324" s="35" t="s">
        <v>25</v>
      </c>
      <c r="G324" s="35" t="s">
        <v>25</v>
      </c>
      <c r="H324" s="35" t="s">
        <v>35</v>
      </c>
      <c r="I324" s="55">
        <v>44682</v>
      </c>
      <c r="J324" s="56">
        <f>EFEITO!$J$324*EFEITO!$Y$324</f>
        <v>0</v>
      </c>
      <c r="K324" s="56">
        <f ca="1">EFEITO!$L$324*EFEITO!$Z$324</f>
        <v>6879.5532735349871</v>
      </c>
      <c r="L324" s="56">
        <f>EFEITO!$N$324*EFEITO!$AA$324</f>
        <v>10499.214360978387</v>
      </c>
      <c r="M324" s="56">
        <f>$J$324-EFEITO!$K$324*EFEITO!$Y$324</f>
        <v>0</v>
      </c>
      <c r="N324" s="56">
        <f ca="1">$K$324-EFEITO!$M$324*EFEITO!$Z$324</f>
        <v>0</v>
      </c>
      <c r="O324" s="56">
        <f>$L$324-EFEITO!$O$324*EFEITO!$AA$324</f>
        <v>0</v>
      </c>
      <c r="P324" s="39"/>
      <c r="Q324" s="39"/>
      <c r="R324" s="39"/>
      <c r="S324" s="39"/>
      <c r="T324" s="39"/>
      <c r="U324" s="39"/>
      <c r="V324" s="39"/>
      <c r="W324" s="39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35" t="s">
        <v>28</v>
      </c>
      <c r="B325" s="35" t="s">
        <v>39</v>
      </c>
      <c r="C325" s="35" t="s">
        <v>40</v>
      </c>
      <c r="D325" s="35" t="s">
        <v>46</v>
      </c>
      <c r="E325" s="35" t="s">
        <v>25</v>
      </c>
      <c r="F325" s="35" t="s">
        <v>25</v>
      </c>
      <c r="G325" s="35" t="s">
        <v>25</v>
      </c>
      <c r="H325" s="35" t="s">
        <v>35</v>
      </c>
      <c r="I325" s="55">
        <v>44682</v>
      </c>
      <c r="J325" s="56">
        <f>EFEITO!$J$325*EFEITO!$Y$325</f>
        <v>0</v>
      </c>
      <c r="K325" s="56">
        <f ca="1">EFEITO!$L$325*EFEITO!$Z$325</f>
        <v>5821.4631163831646</v>
      </c>
      <c r="L325" s="56">
        <f>EFEITO!$N$325*EFEITO!$AA$325</f>
        <v>8884.412508085692</v>
      </c>
      <c r="M325" s="56">
        <f>$J$325-EFEITO!$K$325*EFEITO!$Y$325</f>
        <v>0</v>
      </c>
      <c r="N325" s="56">
        <f ca="1">$K$325-EFEITO!$M$325*EFEITO!$Z$325</f>
        <v>0</v>
      </c>
      <c r="O325" s="56">
        <f>$L$325-EFEITO!$O$325*EFEITO!$AA$325</f>
        <v>0</v>
      </c>
      <c r="P325" s="39"/>
      <c r="Q325" s="39"/>
      <c r="R325" s="39"/>
      <c r="S325" s="39"/>
      <c r="T325" s="39"/>
      <c r="U325" s="39"/>
      <c r="V325" s="39"/>
      <c r="W325" s="39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35" t="s">
        <v>21</v>
      </c>
      <c r="B326" s="35" t="s">
        <v>39</v>
      </c>
      <c r="C326" s="35" t="s">
        <v>40</v>
      </c>
      <c r="D326" s="35" t="s">
        <v>46</v>
      </c>
      <c r="E326" s="35" t="s">
        <v>25</v>
      </c>
      <c r="F326" s="35" t="s">
        <v>25</v>
      </c>
      <c r="G326" s="35" t="s">
        <v>25</v>
      </c>
      <c r="H326" s="35" t="s">
        <v>35</v>
      </c>
      <c r="I326" s="55">
        <v>44713</v>
      </c>
      <c r="J326" s="56">
        <f>EFEITO!$J$326*EFEITO!$Y$326</f>
        <v>0</v>
      </c>
      <c r="K326" s="56">
        <f ca="1">EFEITO!$L$326*EFEITO!$Z$326</f>
        <v>5859.9338231023612</v>
      </c>
      <c r="L326" s="56">
        <f>EFEITO!$N$326*EFEITO!$AA$326</f>
        <v>8943.124488413976</v>
      </c>
      <c r="M326" s="56">
        <f>$J$326-EFEITO!$K$326*EFEITO!$Y$326</f>
        <v>0</v>
      </c>
      <c r="N326" s="56">
        <f ca="1">$K$326-EFEITO!$M$326*EFEITO!$Z$326</f>
        <v>0</v>
      </c>
      <c r="O326" s="56">
        <f>$L$326-EFEITO!$O$326*EFEITO!$AA$326</f>
        <v>0</v>
      </c>
      <c r="P326" s="39"/>
      <c r="Q326" s="39"/>
      <c r="R326" s="39"/>
      <c r="S326" s="39"/>
      <c r="T326" s="39"/>
      <c r="U326" s="39"/>
      <c r="V326" s="39"/>
      <c r="W326" s="39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35" t="s">
        <v>28</v>
      </c>
      <c r="B327" s="35" t="s">
        <v>39</v>
      </c>
      <c r="C327" s="35" t="s">
        <v>40</v>
      </c>
      <c r="D327" s="35" t="s">
        <v>46</v>
      </c>
      <c r="E327" s="35" t="s">
        <v>25</v>
      </c>
      <c r="F327" s="35" t="s">
        <v>25</v>
      </c>
      <c r="G327" s="35" t="s">
        <v>25</v>
      </c>
      <c r="H327" s="35" t="s">
        <v>35</v>
      </c>
      <c r="I327" s="55">
        <v>44713</v>
      </c>
      <c r="J327" s="56">
        <f>EFEITO!$J$327*EFEITO!$Y$327</f>
        <v>0</v>
      </c>
      <c r="K327" s="56">
        <f ca="1">EFEITO!$L$327*EFEITO!$Z$327</f>
        <v>4809.2755070212916</v>
      </c>
      <c r="L327" s="56">
        <f>EFEITO!$N$327*EFEITO!$AA$327</f>
        <v>7339.6647226301566</v>
      </c>
      <c r="M327" s="56">
        <f>$J$327-EFEITO!$K$327*EFEITO!$Y$327</f>
        <v>0</v>
      </c>
      <c r="N327" s="56">
        <f ca="1">$K$327-EFEITO!$M$327*EFEITO!$Z$327</f>
        <v>0</v>
      </c>
      <c r="O327" s="56">
        <f>$L$327-EFEITO!$O$327*EFEITO!$AA$327</f>
        <v>0</v>
      </c>
      <c r="P327" s="39"/>
      <c r="Q327" s="39"/>
      <c r="R327" s="39"/>
      <c r="S327" s="39"/>
      <c r="T327" s="39"/>
      <c r="U327" s="39"/>
      <c r="V327" s="39"/>
      <c r="W327" s="39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35" t="s">
        <v>21</v>
      </c>
      <c r="B328" s="35" t="s">
        <v>39</v>
      </c>
      <c r="C328" s="35" t="s">
        <v>40</v>
      </c>
      <c r="D328" s="35" t="s">
        <v>46</v>
      </c>
      <c r="E328" s="35" t="s">
        <v>25</v>
      </c>
      <c r="F328" s="35" t="s">
        <v>25</v>
      </c>
      <c r="G328" s="35" t="s">
        <v>25</v>
      </c>
      <c r="H328" s="35" t="s">
        <v>35</v>
      </c>
      <c r="I328" s="55">
        <v>44743</v>
      </c>
      <c r="J328" s="56">
        <f>EFEITO!$J$328*EFEITO!$Y$328</f>
        <v>0</v>
      </c>
      <c r="K328" s="56">
        <f ca="1">EFEITO!$L$328*EFEITO!$Z$328</f>
        <v>4304.6389260797187</v>
      </c>
      <c r="L328" s="56">
        <f>EFEITO!$N$328*EFEITO!$AA$328</f>
        <v>6569.5147685511865</v>
      </c>
      <c r="M328" s="56">
        <f>$J$328-EFEITO!$K$328*EFEITO!$Y$328</f>
        <v>0</v>
      </c>
      <c r="N328" s="56">
        <f ca="1">$K$328-EFEITO!$M$328*EFEITO!$Z$328</f>
        <v>0</v>
      </c>
      <c r="O328" s="56">
        <f>$L$328-EFEITO!$O$328*EFEITO!$AA$328</f>
        <v>0</v>
      </c>
      <c r="P328" s="39"/>
      <c r="Q328" s="39"/>
      <c r="R328" s="39"/>
      <c r="S328" s="39"/>
      <c r="T328" s="39"/>
      <c r="U328" s="39"/>
      <c r="V328" s="39"/>
      <c r="W328" s="39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35" t="s">
        <v>28</v>
      </c>
      <c r="B329" s="35" t="s">
        <v>39</v>
      </c>
      <c r="C329" s="35" t="s">
        <v>40</v>
      </c>
      <c r="D329" s="35" t="s">
        <v>46</v>
      </c>
      <c r="E329" s="35" t="s">
        <v>25</v>
      </c>
      <c r="F329" s="35" t="s">
        <v>25</v>
      </c>
      <c r="G329" s="35" t="s">
        <v>25</v>
      </c>
      <c r="H329" s="35" t="s">
        <v>35</v>
      </c>
      <c r="I329" s="55">
        <v>44743</v>
      </c>
      <c r="J329" s="56">
        <f>EFEITO!$J$329*EFEITO!$Y$329</f>
        <v>0</v>
      </c>
      <c r="K329" s="56">
        <f ca="1">EFEITO!$L$329*EFEITO!$Z$329</f>
        <v>3087.274214215468</v>
      </c>
      <c r="L329" s="56">
        <f>EFEITO!$N$329*EFEITO!$AA$329</f>
        <v>4711.6364213448014</v>
      </c>
      <c r="M329" s="56">
        <f>$J$329-EFEITO!$K$329*EFEITO!$Y$329</f>
        <v>0</v>
      </c>
      <c r="N329" s="56">
        <f ca="1">$K$329-EFEITO!$M$329*EFEITO!$Z$329</f>
        <v>0</v>
      </c>
      <c r="O329" s="56">
        <f>$L$329-EFEITO!$O$329*EFEITO!$AA$329</f>
        <v>0</v>
      </c>
      <c r="P329" s="39"/>
      <c r="Q329" s="39"/>
      <c r="R329" s="39"/>
      <c r="S329" s="39"/>
      <c r="T329" s="39"/>
      <c r="U329" s="39"/>
      <c r="V329" s="39"/>
      <c r="W329" s="39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35" t="s">
        <v>21</v>
      </c>
      <c r="B330" s="35" t="s">
        <v>39</v>
      </c>
      <c r="C330" s="35" t="s">
        <v>40</v>
      </c>
      <c r="D330" s="35" t="s">
        <v>46</v>
      </c>
      <c r="E330" s="35" t="s">
        <v>25</v>
      </c>
      <c r="F330" s="35" t="s">
        <v>25</v>
      </c>
      <c r="G330" s="35" t="s">
        <v>25</v>
      </c>
      <c r="H330" s="35" t="s">
        <v>35</v>
      </c>
      <c r="I330" s="55">
        <v>44774</v>
      </c>
      <c r="J330" s="56">
        <f>EFEITO!$J$330*EFEITO!$Y$330</f>
        <v>0</v>
      </c>
      <c r="K330" s="56">
        <f ca="1">EFEITO!$L$330*EFEITO!$Z$330</f>
        <v>8018.0821810996749</v>
      </c>
      <c r="L330" s="56">
        <f>EFEITO!$N$330*EFEITO!$AA$330</f>
        <v>12236.777627284766</v>
      </c>
      <c r="M330" s="56">
        <f>$J$330-EFEITO!$K$330*EFEITO!$Y$330</f>
        <v>0</v>
      </c>
      <c r="N330" s="56">
        <f ca="1">$K$330-EFEITO!$M$330*EFEITO!$Z$330</f>
        <v>0</v>
      </c>
      <c r="O330" s="56">
        <f>$L$330-EFEITO!$O$330*EFEITO!$AA$330</f>
        <v>0</v>
      </c>
      <c r="P330" s="39"/>
      <c r="Q330" s="39"/>
      <c r="R330" s="39"/>
      <c r="S330" s="39"/>
      <c r="T330" s="39"/>
      <c r="U330" s="39"/>
      <c r="V330" s="39"/>
      <c r="W330" s="39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35" t="s">
        <v>28</v>
      </c>
      <c r="B331" s="35" t="s">
        <v>39</v>
      </c>
      <c r="C331" s="35" t="s">
        <v>40</v>
      </c>
      <c r="D331" s="35" t="s">
        <v>46</v>
      </c>
      <c r="E331" s="35" t="s">
        <v>25</v>
      </c>
      <c r="F331" s="35" t="s">
        <v>25</v>
      </c>
      <c r="G331" s="35" t="s">
        <v>25</v>
      </c>
      <c r="H331" s="35" t="s">
        <v>35</v>
      </c>
      <c r="I331" s="55">
        <v>44774</v>
      </c>
      <c r="J331" s="56">
        <f>EFEITO!$J$331*EFEITO!$Y$331</f>
        <v>0</v>
      </c>
      <c r="K331" s="56">
        <f ca="1">EFEITO!$L$331*EFEITO!$Z$331</f>
        <v>5091.1025782141887</v>
      </c>
      <c r="L331" s="56">
        <f>EFEITO!$N$331*EFEITO!$AA$331</f>
        <v>7769.7744573078126</v>
      </c>
      <c r="M331" s="56">
        <f>$J$331-EFEITO!$K$331*EFEITO!$Y$331</f>
        <v>0</v>
      </c>
      <c r="N331" s="56">
        <f ca="1">$K$331-EFEITO!$M$331*EFEITO!$Z$331</f>
        <v>0</v>
      </c>
      <c r="O331" s="56">
        <f>$L$331-EFEITO!$O$331*EFEITO!$AA$331</f>
        <v>0</v>
      </c>
      <c r="P331" s="39"/>
      <c r="Q331" s="39"/>
      <c r="R331" s="39"/>
      <c r="S331" s="39"/>
      <c r="T331" s="39"/>
      <c r="U331" s="39"/>
      <c r="V331" s="39"/>
      <c r="W331" s="39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35" t="s">
        <v>21</v>
      </c>
      <c r="B332" s="35" t="s">
        <v>39</v>
      </c>
      <c r="C332" s="35" t="s">
        <v>40</v>
      </c>
      <c r="D332" s="35" t="s">
        <v>46</v>
      </c>
      <c r="E332" s="35" t="s">
        <v>25</v>
      </c>
      <c r="F332" s="35" t="s">
        <v>25</v>
      </c>
      <c r="G332" s="35" t="s">
        <v>25</v>
      </c>
      <c r="H332" s="35" t="s">
        <v>35</v>
      </c>
      <c r="I332" s="55">
        <v>44805</v>
      </c>
      <c r="J332" s="56">
        <f>EFEITO!$J$332*EFEITO!$Y$332</f>
        <v>0</v>
      </c>
      <c r="K332" s="56">
        <f ca="1">EFEITO!$L$332*EFEITO!$Z$332</f>
        <v>9658.9161116229516</v>
      </c>
      <c r="L332" s="56">
        <f>EFEITO!$N$332*EFEITO!$AA$332</f>
        <v>14740.932545832035</v>
      </c>
      <c r="M332" s="56">
        <f>$J$332-EFEITO!$K$332*EFEITO!$Y$332</f>
        <v>0</v>
      </c>
      <c r="N332" s="56">
        <f ca="1">$K$332-EFEITO!$M$332*EFEITO!$Z$332</f>
        <v>0</v>
      </c>
      <c r="O332" s="56">
        <f>$L$332-EFEITO!$O$332*EFEITO!$AA$332</f>
        <v>0</v>
      </c>
      <c r="P332" s="39"/>
      <c r="Q332" s="39"/>
      <c r="R332" s="39"/>
      <c r="S332" s="39"/>
      <c r="T332" s="39"/>
      <c r="U332" s="39"/>
      <c r="V332" s="39"/>
      <c r="W332" s="39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35" t="s">
        <v>28</v>
      </c>
      <c r="B333" s="35" t="s">
        <v>39</v>
      </c>
      <c r="C333" s="35" t="s">
        <v>40</v>
      </c>
      <c r="D333" s="35" t="s">
        <v>46</v>
      </c>
      <c r="E333" s="35" t="s">
        <v>25</v>
      </c>
      <c r="F333" s="35" t="s">
        <v>25</v>
      </c>
      <c r="G333" s="35" t="s">
        <v>25</v>
      </c>
      <c r="H333" s="35" t="s">
        <v>35</v>
      </c>
      <c r="I333" s="55">
        <v>44805</v>
      </c>
      <c r="J333" s="56">
        <f>EFEITO!$J$333*EFEITO!$Y$333</f>
        <v>0</v>
      </c>
      <c r="K333" s="56">
        <f ca="1">EFEITO!$L$333*EFEITO!$Z$333</f>
        <v>7339.8902527999107</v>
      </c>
      <c r="L333" s="56">
        <f>EFEITO!$N$333*EFEITO!$AA$333</f>
        <v>11201.756580133877</v>
      </c>
      <c r="M333" s="56">
        <f>$J$333-EFEITO!$K$333*EFEITO!$Y$333</f>
        <v>0</v>
      </c>
      <c r="N333" s="56">
        <f ca="1">$K$333-EFEITO!$M$333*EFEITO!$Z$333</f>
        <v>0</v>
      </c>
      <c r="O333" s="56">
        <f>$L$333-EFEITO!$O$333*EFEITO!$AA$333</f>
        <v>0</v>
      </c>
      <c r="P333" s="39"/>
      <c r="Q333" s="39"/>
      <c r="R333" s="39"/>
      <c r="S333" s="39"/>
      <c r="T333" s="39"/>
      <c r="U333" s="39"/>
      <c r="V333" s="39"/>
      <c r="W333" s="39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35" t="s">
        <v>57</v>
      </c>
      <c r="B334" s="35" t="s">
        <v>39</v>
      </c>
      <c r="C334" s="35" t="s">
        <v>40</v>
      </c>
      <c r="D334" s="35" t="s">
        <v>46</v>
      </c>
      <c r="E334" s="35" t="s">
        <v>25</v>
      </c>
      <c r="F334" s="35" t="s">
        <v>25</v>
      </c>
      <c r="G334" s="35" t="s">
        <v>25</v>
      </c>
      <c r="H334" s="35" t="s">
        <v>35</v>
      </c>
      <c r="I334" s="55">
        <v>44835</v>
      </c>
      <c r="J334" s="56">
        <f>EFEITO!$J$334*EFEITO!$Y$334</f>
        <v>0</v>
      </c>
      <c r="K334" s="56">
        <f ca="1">EFEITO!$L$334*EFEITO!$Z$334</f>
        <v>9658.9161116229516</v>
      </c>
      <c r="L334" s="56">
        <f>EFEITO!$N$334*EFEITO!$AA$334</f>
        <v>14740.932545832035</v>
      </c>
      <c r="M334" s="56">
        <f>$J$334-EFEITO!$K$334*EFEITO!$Y$334</f>
        <v>0</v>
      </c>
      <c r="N334" s="56">
        <f ca="1">$K$334-EFEITO!$M$334*EFEITO!$Z$334</f>
        <v>0</v>
      </c>
      <c r="O334" s="56">
        <f>$L$334-EFEITO!$O$334*EFEITO!$AA$334</f>
        <v>0</v>
      </c>
      <c r="P334" s="39"/>
      <c r="Q334" s="39"/>
      <c r="R334" s="39"/>
      <c r="S334" s="39"/>
      <c r="T334" s="39"/>
      <c r="U334" s="39"/>
      <c r="V334" s="39"/>
      <c r="W334" s="39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35" t="s">
        <v>57</v>
      </c>
      <c r="B335" s="35" t="s">
        <v>39</v>
      </c>
      <c r="C335" s="35" t="s">
        <v>40</v>
      </c>
      <c r="D335" s="35" t="s">
        <v>46</v>
      </c>
      <c r="E335" s="35" t="s">
        <v>25</v>
      </c>
      <c r="F335" s="35" t="s">
        <v>25</v>
      </c>
      <c r="G335" s="35" t="s">
        <v>25</v>
      </c>
      <c r="H335" s="35" t="s">
        <v>35</v>
      </c>
      <c r="I335" s="55">
        <v>44835</v>
      </c>
      <c r="J335" s="56">
        <f>EFEITO!$J$335*EFEITO!$Y$335</f>
        <v>0</v>
      </c>
      <c r="K335" s="56">
        <f ca="1">EFEITO!$L$335*EFEITO!$Z$335</f>
        <v>7339.8902527999107</v>
      </c>
      <c r="L335" s="56">
        <f>EFEITO!$N$335*EFEITO!$AA$335</f>
        <v>11201.756580133877</v>
      </c>
      <c r="M335" s="56">
        <f>$J$335-EFEITO!$K$335*EFEITO!$Y$335</f>
        <v>0</v>
      </c>
      <c r="N335" s="56">
        <f ca="1">$K$335-EFEITO!$M$335*EFEITO!$Z$335</f>
        <v>0</v>
      </c>
      <c r="O335" s="56">
        <f>$L$335-EFEITO!$O$335*EFEITO!$AA$335</f>
        <v>0</v>
      </c>
      <c r="P335" s="39"/>
      <c r="Q335" s="39"/>
      <c r="R335" s="39"/>
      <c r="S335" s="39"/>
      <c r="T335" s="39"/>
      <c r="U335" s="39"/>
      <c r="V335" s="39"/>
      <c r="W335" s="39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35" t="s">
        <v>21</v>
      </c>
      <c r="B336" s="35" t="s">
        <v>39</v>
      </c>
      <c r="C336" s="35" t="s">
        <v>40</v>
      </c>
      <c r="D336" s="35" t="s">
        <v>46</v>
      </c>
      <c r="E336" s="35" t="s">
        <v>25</v>
      </c>
      <c r="F336" s="35" t="s">
        <v>25</v>
      </c>
      <c r="G336" s="35" t="s">
        <v>25</v>
      </c>
      <c r="H336" s="35" t="s">
        <v>25</v>
      </c>
      <c r="I336" s="55">
        <v>44501</v>
      </c>
      <c r="J336" s="56">
        <f ca="1">EFEITO!$J$336*EFEITO!$Y$336</f>
        <v>8440.8887571216674</v>
      </c>
      <c r="K336" s="56">
        <f>EFEITO!$L$336*EFEITO!$Z$336</f>
        <v>0</v>
      </c>
      <c r="L336" s="56">
        <f>EFEITO!$N$336*EFEITO!$AA$336</f>
        <v>0</v>
      </c>
      <c r="M336" s="56">
        <f ca="1">$J$336-EFEITO!$K$336*EFEITO!$Y$336</f>
        <v>0</v>
      </c>
      <c r="N336" s="56">
        <f>$K$336-EFEITO!$M$336*EFEITO!$Z$336</f>
        <v>0</v>
      </c>
      <c r="O336" s="56">
        <f>$L$336-EFEITO!$O$336*EFEITO!$AA$336</f>
        <v>0</v>
      </c>
      <c r="P336" s="39"/>
      <c r="Q336" s="39"/>
      <c r="R336" s="39"/>
      <c r="S336" s="39"/>
      <c r="T336" s="39"/>
      <c r="U336" s="39"/>
      <c r="V336" s="39"/>
      <c r="W336" s="39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35" t="s">
        <v>28</v>
      </c>
      <c r="B337" s="35" t="s">
        <v>39</v>
      </c>
      <c r="C337" s="35" t="s">
        <v>40</v>
      </c>
      <c r="D337" s="35" t="s">
        <v>46</v>
      </c>
      <c r="E337" s="35" t="s">
        <v>25</v>
      </c>
      <c r="F337" s="35" t="s">
        <v>25</v>
      </c>
      <c r="G337" s="35" t="s">
        <v>25</v>
      </c>
      <c r="H337" s="35" t="s">
        <v>25</v>
      </c>
      <c r="I337" s="55">
        <v>44501</v>
      </c>
      <c r="J337" s="56">
        <f ca="1">EFEITO!$J$337*EFEITO!$Y$337</f>
        <v>6838.1883601998306</v>
      </c>
      <c r="K337" s="56">
        <f>EFEITO!$L$337*EFEITO!$Z$337</f>
        <v>0</v>
      </c>
      <c r="L337" s="56">
        <f>EFEITO!$N$337*EFEITO!$AA$337</f>
        <v>0</v>
      </c>
      <c r="M337" s="56">
        <f ca="1">$J$337-EFEITO!$K$337*EFEITO!$Y$337</f>
        <v>0</v>
      </c>
      <c r="N337" s="56">
        <f>$K$337-EFEITO!$M$337*EFEITO!$Z$337</f>
        <v>0</v>
      </c>
      <c r="O337" s="56">
        <f>$L$337-EFEITO!$O$337*EFEITO!$AA$337</f>
        <v>0</v>
      </c>
      <c r="P337" s="39"/>
      <c r="Q337" s="39"/>
      <c r="R337" s="39"/>
      <c r="S337" s="39"/>
      <c r="T337" s="39"/>
      <c r="U337" s="39"/>
      <c r="V337" s="39"/>
      <c r="W337" s="39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35" t="s">
        <v>21</v>
      </c>
      <c r="B338" s="35" t="s">
        <v>39</v>
      </c>
      <c r="C338" s="35" t="s">
        <v>40</v>
      </c>
      <c r="D338" s="35" t="s">
        <v>46</v>
      </c>
      <c r="E338" s="35" t="s">
        <v>25</v>
      </c>
      <c r="F338" s="35" t="s">
        <v>25</v>
      </c>
      <c r="G338" s="35" t="s">
        <v>25</v>
      </c>
      <c r="H338" s="35" t="s">
        <v>25</v>
      </c>
      <c r="I338" s="55">
        <v>44531</v>
      </c>
      <c r="J338" s="56">
        <f ca="1">EFEITO!$J$338*EFEITO!$Y$338</f>
        <v>8376.7807412447928</v>
      </c>
      <c r="K338" s="56">
        <f>EFEITO!$L$338*EFEITO!$Z$338</f>
        <v>0</v>
      </c>
      <c r="L338" s="56">
        <f>EFEITO!$N$338*EFEITO!$AA$338</f>
        <v>0</v>
      </c>
      <c r="M338" s="56">
        <f ca="1">$J$338-EFEITO!$K$338*EFEITO!$Y$338</f>
        <v>0</v>
      </c>
      <c r="N338" s="56">
        <f>$K$338-EFEITO!$M$338*EFEITO!$Z$338</f>
        <v>0</v>
      </c>
      <c r="O338" s="56">
        <f>$L$338-EFEITO!$O$338*EFEITO!$AA$338</f>
        <v>0</v>
      </c>
      <c r="P338" s="39"/>
      <c r="Q338" s="39"/>
      <c r="R338" s="39"/>
      <c r="S338" s="39"/>
      <c r="T338" s="39"/>
      <c r="U338" s="39"/>
      <c r="V338" s="39"/>
      <c r="W338" s="39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35" t="s">
        <v>28</v>
      </c>
      <c r="B339" s="35" t="s">
        <v>39</v>
      </c>
      <c r="C339" s="35" t="s">
        <v>40</v>
      </c>
      <c r="D339" s="35" t="s">
        <v>46</v>
      </c>
      <c r="E339" s="35" t="s">
        <v>25</v>
      </c>
      <c r="F339" s="35" t="s">
        <v>25</v>
      </c>
      <c r="G339" s="35" t="s">
        <v>25</v>
      </c>
      <c r="H339" s="35" t="s">
        <v>25</v>
      </c>
      <c r="I339" s="55">
        <v>44531</v>
      </c>
      <c r="J339" s="56">
        <f ca="1">EFEITO!$J$339*EFEITO!$Y$339</f>
        <v>6838.1883601998306</v>
      </c>
      <c r="K339" s="56">
        <f>EFEITO!$L$339*EFEITO!$Z$339</f>
        <v>0</v>
      </c>
      <c r="L339" s="56">
        <f>EFEITO!$N$339*EFEITO!$AA$339</f>
        <v>0</v>
      </c>
      <c r="M339" s="56">
        <f ca="1">$J$339-EFEITO!$K$339*EFEITO!$Y$339</f>
        <v>0</v>
      </c>
      <c r="N339" s="56">
        <f>$K$339-EFEITO!$M$339*EFEITO!$Z$339</f>
        <v>0</v>
      </c>
      <c r="O339" s="56">
        <f>$L$339-EFEITO!$O$339*EFEITO!$AA$339</f>
        <v>0</v>
      </c>
      <c r="P339" s="39"/>
      <c r="Q339" s="39"/>
      <c r="R339" s="39"/>
      <c r="S339" s="39"/>
      <c r="T339" s="39"/>
      <c r="U339" s="39"/>
      <c r="V339" s="39"/>
      <c r="W339" s="39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35" t="s">
        <v>21</v>
      </c>
      <c r="B340" s="35" t="s">
        <v>39</v>
      </c>
      <c r="C340" s="35" t="s">
        <v>40</v>
      </c>
      <c r="D340" s="35" t="s">
        <v>46</v>
      </c>
      <c r="E340" s="35" t="s">
        <v>25</v>
      </c>
      <c r="F340" s="35" t="s">
        <v>25</v>
      </c>
      <c r="G340" s="35" t="s">
        <v>25</v>
      </c>
      <c r="H340" s="35" t="s">
        <v>25</v>
      </c>
      <c r="I340" s="55">
        <v>44562</v>
      </c>
      <c r="J340" s="56">
        <f ca="1">EFEITO!$J$340*EFEITO!$Y$340</f>
        <v>8355.4114026191692</v>
      </c>
      <c r="K340" s="56">
        <f>EFEITO!$L$340*EFEITO!$Z$340</f>
        <v>0</v>
      </c>
      <c r="L340" s="56">
        <f>EFEITO!$N$340*EFEITO!$AA$340</f>
        <v>0</v>
      </c>
      <c r="M340" s="56">
        <f ca="1">$J$340-EFEITO!$K$340*EFEITO!$Y$340</f>
        <v>0</v>
      </c>
      <c r="N340" s="56">
        <f>$K$340-EFEITO!$M$340*EFEITO!$Z$340</f>
        <v>0</v>
      </c>
      <c r="O340" s="56">
        <f>$L$340-EFEITO!$O$340*EFEITO!$AA$340</f>
        <v>0</v>
      </c>
      <c r="P340" s="39"/>
      <c r="Q340" s="39"/>
      <c r="R340" s="39"/>
      <c r="S340" s="39"/>
      <c r="T340" s="39"/>
      <c r="U340" s="39"/>
      <c r="V340" s="39"/>
      <c r="W340" s="39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35" t="s">
        <v>28</v>
      </c>
      <c r="B341" s="35" t="s">
        <v>39</v>
      </c>
      <c r="C341" s="35" t="s">
        <v>40</v>
      </c>
      <c r="D341" s="35" t="s">
        <v>46</v>
      </c>
      <c r="E341" s="35" t="s">
        <v>25</v>
      </c>
      <c r="F341" s="35" t="s">
        <v>25</v>
      </c>
      <c r="G341" s="35" t="s">
        <v>25</v>
      </c>
      <c r="H341" s="35" t="s">
        <v>25</v>
      </c>
      <c r="I341" s="55">
        <v>44562</v>
      </c>
      <c r="J341" s="56">
        <f ca="1">EFEITO!$J$341*EFEITO!$Y$341</f>
        <v>6838.1883601998306</v>
      </c>
      <c r="K341" s="56">
        <f>EFEITO!$L$341*EFEITO!$Z$341</f>
        <v>0</v>
      </c>
      <c r="L341" s="56">
        <f>EFEITO!$N$341*EFEITO!$AA$341</f>
        <v>0</v>
      </c>
      <c r="M341" s="56">
        <f ca="1">$J$341-EFEITO!$K$341*EFEITO!$Y$341</f>
        <v>0</v>
      </c>
      <c r="N341" s="56">
        <f>$K$341-EFEITO!$M$341*EFEITO!$Z$341</f>
        <v>0</v>
      </c>
      <c r="O341" s="56">
        <f>$L$341-EFEITO!$O$341*EFEITO!$AA$341</f>
        <v>0</v>
      </c>
      <c r="P341" s="39"/>
      <c r="Q341" s="39"/>
      <c r="R341" s="39"/>
      <c r="S341" s="39"/>
      <c r="T341" s="39"/>
      <c r="U341" s="39"/>
      <c r="V341" s="39"/>
      <c r="W341" s="39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35" t="s">
        <v>21</v>
      </c>
      <c r="B342" s="35" t="s">
        <v>39</v>
      </c>
      <c r="C342" s="35" t="s">
        <v>40</v>
      </c>
      <c r="D342" s="35" t="s">
        <v>46</v>
      </c>
      <c r="E342" s="35" t="s">
        <v>25</v>
      </c>
      <c r="F342" s="35" t="s">
        <v>25</v>
      </c>
      <c r="G342" s="35" t="s">
        <v>25</v>
      </c>
      <c r="H342" s="35" t="s">
        <v>25</v>
      </c>
      <c r="I342" s="55">
        <v>44593</v>
      </c>
      <c r="J342" s="56">
        <f ca="1">EFEITO!$J$342*EFEITO!$Y$342</f>
        <v>8334.0420639935437</v>
      </c>
      <c r="K342" s="56">
        <f>EFEITO!$L$342*EFEITO!$Z$342</f>
        <v>0</v>
      </c>
      <c r="L342" s="56">
        <f>EFEITO!$N$342*EFEITO!$AA$342</f>
        <v>0</v>
      </c>
      <c r="M342" s="56">
        <f ca="1">$J$342-EFEITO!$K$342*EFEITO!$Y$342</f>
        <v>0</v>
      </c>
      <c r="N342" s="56">
        <f>$K$342-EFEITO!$M$342*EFEITO!$Z$342</f>
        <v>0</v>
      </c>
      <c r="O342" s="56">
        <f>$L$342-EFEITO!$O$342*EFEITO!$AA$342</f>
        <v>0</v>
      </c>
      <c r="P342" s="39"/>
      <c r="Q342" s="39"/>
      <c r="R342" s="39"/>
      <c r="S342" s="39"/>
      <c r="T342" s="39"/>
      <c r="U342" s="39"/>
      <c r="V342" s="39"/>
      <c r="W342" s="39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35" t="s">
        <v>28</v>
      </c>
      <c r="B343" s="35" t="s">
        <v>39</v>
      </c>
      <c r="C343" s="35" t="s">
        <v>40</v>
      </c>
      <c r="D343" s="35" t="s">
        <v>46</v>
      </c>
      <c r="E343" s="35" t="s">
        <v>25</v>
      </c>
      <c r="F343" s="35" t="s">
        <v>25</v>
      </c>
      <c r="G343" s="35" t="s">
        <v>25</v>
      </c>
      <c r="H343" s="35" t="s">
        <v>25</v>
      </c>
      <c r="I343" s="55">
        <v>44593</v>
      </c>
      <c r="J343" s="56">
        <f ca="1">EFEITO!$J$343*EFEITO!$Y$343</f>
        <v>6838.1883601998306</v>
      </c>
      <c r="K343" s="56">
        <f>EFEITO!$L$343*EFEITO!$Z$343</f>
        <v>0</v>
      </c>
      <c r="L343" s="56">
        <f>EFEITO!$N$343*EFEITO!$AA$343</f>
        <v>0</v>
      </c>
      <c r="M343" s="56">
        <f ca="1">$J$343-EFEITO!$K$343*EFEITO!$Y$343</f>
        <v>0</v>
      </c>
      <c r="N343" s="56">
        <f>$K$343-EFEITO!$M$343*EFEITO!$Z$343</f>
        <v>0</v>
      </c>
      <c r="O343" s="56">
        <f>$L$343-EFEITO!$O$343*EFEITO!$AA$343</f>
        <v>0</v>
      </c>
      <c r="P343" s="39"/>
      <c r="Q343" s="39"/>
      <c r="R343" s="39"/>
      <c r="S343" s="39"/>
      <c r="T343" s="39"/>
      <c r="U343" s="39"/>
      <c r="V343" s="39"/>
      <c r="W343" s="39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35" t="s">
        <v>21</v>
      </c>
      <c r="B344" s="35" t="s">
        <v>39</v>
      </c>
      <c r="C344" s="35" t="s">
        <v>40</v>
      </c>
      <c r="D344" s="35" t="s">
        <v>46</v>
      </c>
      <c r="E344" s="35" t="s">
        <v>25</v>
      </c>
      <c r="F344" s="35" t="s">
        <v>25</v>
      </c>
      <c r="G344" s="35" t="s">
        <v>25</v>
      </c>
      <c r="H344" s="35" t="s">
        <v>25</v>
      </c>
      <c r="I344" s="55">
        <v>44621</v>
      </c>
      <c r="J344" s="56">
        <f ca="1">EFEITO!$J$344*EFEITO!$Y$344</f>
        <v>8376.7807412447928</v>
      </c>
      <c r="K344" s="56">
        <f>EFEITO!$L$344*EFEITO!$Z$344</f>
        <v>0</v>
      </c>
      <c r="L344" s="56">
        <f>EFEITO!$N$344*EFEITO!$AA$344</f>
        <v>0</v>
      </c>
      <c r="M344" s="56">
        <f ca="1">$J$344-EFEITO!$K$344*EFEITO!$Y$344</f>
        <v>0</v>
      </c>
      <c r="N344" s="56">
        <f>$K$344-EFEITO!$M$344*EFEITO!$Z$344</f>
        <v>0</v>
      </c>
      <c r="O344" s="56">
        <f>$L$344-EFEITO!$O$344*EFEITO!$AA$344</f>
        <v>0</v>
      </c>
      <c r="P344" s="39"/>
      <c r="Q344" s="39"/>
      <c r="R344" s="39"/>
      <c r="S344" s="39"/>
      <c r="T344" s="39"/>
      <c r="U344" s="39"/>
      <c r="V344" s="39"/>
      <c r="W344" s="39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35" t="s">
        <v>28</v>
      </c>
      <c r="B345" s="35" t="s">
        <v>39</v>
      </c>
      <c r="C345" s="35" t="s">
        <v>40</v>
      </c>
      <c r="D345" s="35" t="s">
        <v>46</v>
      </c>
      <c r="E345" s="35" t="s">
        <v>25</v>
      </c>
      <c r="F345" s="35" t="s">
        <v>25</v>
      </c>
      <c r="G345" s="35" t="s">
        <v>25</v>
      </c>
      <c r="H345" s="35" t="s">
        <v>25</v>
      </c>
      <c r="I345" s="55">
        <v>44621</v>
      </c>
      <c r="J345" s="56">
        <f ca="1">EFEITO!$J$345*EFEITO!$Y$345</f>
        <v>6838.1883601998306</v>
      </c>
      <c r="K345" s="56">
        <f>EFEITO!$L$345*EFEITO!$Z$345</f>
        <v>0</v>
      </c>
      <c r="L345" s="56">
        <f>EFEITO!$N$345*EFEITO!$AA$345</f>
        <v>0</v>
      </c>
      <c r="M345" s="56">
        <f ca="1">$J$345-EFEITO!$K$345*EFEITO!$Y$345</f>
        <v>0</v>
      </c>
      <c r="N345" s="56">
        <f>$K$345-EFEITO!$M$345*EFEITO!$Z$345</f>
        <v>0</v>
      </c>
      <c r="O345" s="56">
        <f>$L$345-EFEITO!$O$345*EFEITO!$AA$345</f>
        <v>0</v>
      </c>
      <c r="P345" s="39"/>
      <c r="Q345" s="39"/>
      <c r="R345" s="39"/>
      <c r="S345" s="39"/>
      <c r="T345" s="39"/>
      <c r="U345" s="39"/>
      <c r="V345" s="39"/>
      <c r="W345" s="39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35" t="s">
        <v>21</v>
      </c>
      <c r="B346" s="35" t="s">
        <v>39</v>
      </c>
      <c r="C346" s="35" t="s">
        <v>40</v>
      </c>
      <c r="D346" s="35" t="s">
        <v>46</v>
      </c>
      <c r="E346" s="35" t="s">
        <v>25</v>
      </c>
      <c r="F346" s="35" t="s">
        <v>25</v>
      </c>
      <c r="G346" s="35" t="s">
        <v>25</v>
      </c>
      <c r="H346" s="35" t="s">
        <v>25</v>
      </c>
      <c r="I346" s="55">
        <v>44652</v>
      </c>
      <c r="J346" s="56">
        <f ca="1">EFEITO!$J$346*EFEITO!$Y$346</f>
        <v>8868.2755296341566</v>
      </c>
      <c r="K346" s="56">
        <f>EFEITO!$L$346*EFEITO!$Z$346</f>
        <v>0</v>
      </c>
      <c r="L346" s="56">
        <f>EFEITO!$N$346*EFEITO!$AA$346</f>
        <v>0</v>
      </c>
      <c r="M346" s="56">
        <f ca="1">$J$346-EFEITO!$K$346*EFEITO!$Y$346</f>
        <v>0</v>
      </c>
      <c r="N346" s="56">
        <f>$K$346-EFEITO!$M$346*EFEITO!$Z$346</f>
        <v>0</v>
      </c>
      <c r="O346" s="56">
        <f>$L$346-EFEITO!$O$346*EFEITO!$AA$346</f>
        <v>0</v>
      </c>
      <c r="P346" s="39"/>
      <c r="Q346" s="39"/>
      <c r="R346" s="39"/>
      <c r="S346" s="39"/>
      <c r="T346" s="39"/>
      <c r="U346" s="39"/>
      <c r="V346" s="39"/>
      <c r="W346" s="39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35" t="s">
        <v>28</v>
      </c>
      <c r="B347" s="35" t="s">
        <v>39</v>
      </c>
      <c r="C347" s="35" t="s">
        <v>40</v>
      </c>
      <c r="D347" s="35" t="s">
        <v>46</v>
      </c>
      <c r="E347" s="35" t="s">
        <v>25</v>
      </c>
      <c r="F347" s="35" t="s">
        <v>25</v>
      </c>
      <c r="G347" s="35" t="s">
        <v>25</v>
      </c>
      <c r="H347" s="35" t="s">
        <v>25</v>
      </c>
      <c r="I347" s="55">
        <v>44652</v>
      </c>
      <c r="J347" s="56">
        <f ca="1">EFEITO!$J$347*EFEITO!$Y$347</f>
        <v>6838.1883601998306</v>
      </c>
      <c r="K347" s="56">
        <f>EFEITO!$L$347*EFEITO!$Z$347</f>
        <v>0</v>
      </c>
      <c r="L347" s="56">
        <f>EFEITO!$N$347*EFEITO!$AA$347</f>
        <v>0</v>
      </c>
      <c r="M347" s="56">
        <f ca="1">$J$347-EFEITO!$K$347*EFEITO!$Y$347</f>
        <v>0</v>
      </c>
      <c r="N347" s="56">
        <f>$K$347-EFEITO!$M$347*EFEITO!$Z$347</f>
        <v>0</v>
      </c>
      <c r="O347" s="56">
        <f>$L$347-EFEITO!$O$347*EFEITO!$AA$347</f>
        <v>0</v>
      </c>
      <c r="P347" s="39"/>
      <c r="Q347" s="39"/>
      <c r="R347" s="39"/>
      <c r="S347" s="39"/>
      <c r="T347" s="39"/>
      <c r="U347" s="39"/>
      <c r="V347" s="39"/>
      <c r="W347" s="39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35" t="s">
        <v>21</v>
      </c>
      <c r="B348" s="35" t="s">
        <v>39</v>
      </c>
      <c r="C348" s="35" t="s">
        <v>40</v>
      </c>
      <c r="D348" s="35" t="s">
        <v>46</v>
      </c>
      <c r="E348" s="35" t="s">
        <v>25</v>
      </c>
      <c r="F348" s="35" t="s">
        <v>25</v>
      </c>
      <c r="G348" s="35" t="s">
        <v>25</v>
      </c>
      <c r="H348" s="35" t="s">
        <v>25</v>
      </c>
      <c r="I348" s="55">
        <v>44682</v>
      </c>
      <c r="J348" s="56">
        <f ca="1">EFEITO!$J$348*EFEITO!$Y$348</f>
        <v>9744.4184132847586</v>
      </c>
      <c r="K348" s="56">
        <f>EFEITO!$L$348*EFEITO!$Z$348</f>
        <v>0</v>
      </c>
      <c r="L348" s="56">
        <f>EFEITO!$N$348*EFEITO!$AA$348</f>
        <v>0</v>
      </c>
      <c r="M348" s="56">
        <f ca="1">$J$348-EFEITO!$K$348*EFEITO!$Y$348</f>
        <v>0</v>
      </c>
      <c r="N348" s="56">
        <f>$K$348-EFEITO!$M$348*EFEITO!$Z$348</f>
        <v>0</v>
      </c>
      <c r="O348" s="56">
        <f>$L$348-EFEITO!$O$348*EFEITO!$AA$348</f>
        <v>0</v>
      </c>
      <c r="P348" s="39"/>
      <c r="Q348" s="39"/>
      <c r="R348" s="39"/>
      <c r="S348" s="39"/>
      <c r="T348" s="39"/>
      <c r="U348" s="39"/>
      <c r="V348" s="39"/>
      <c r="W348" s="39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35" t="s">
        <v>28</v>
      </c>
      <c r="B349" s="35" t="s">
        <v>39</v>
      </c>
      <c r="C349" s="35" t="s">
        <v>40</v>
      </c>
      <c r="D349" s="35" t="s">
        <v>46</v>
      </c>
      <c r="E349" s="35" t="s">
        <v>25</v>
      </c>
      <c r="F349" s="35" t="s">
        <v>25</v>
      </c>
      <c r="G349" s="35" t="s">
        <v>25</v>
      </c>
      <c r="H349" s="35" t="s">
        <v>25</v>
      </c>
      <c r="I349" s="55">
        <v>44682</v>
      </c>
      <c r="J349" s="56">
        <f ca="1">EFEITO!$J$349*EFEITO!$Y$349</f>
        <v>6838.1883601998306</v>
      </c>
      <c r="K349" s="56">
        <f>EFEITO!$L$349*EFEITO!$Z$349</f>
        <v>0</v>
      </c>
      <c r="L349" s="56">
        <f>EFEITO!$N$349*EFEITO!$AA$349</f>
        <v>0</v>
      </c>
      <c r="M349" s="56">
        <f ca="1">$J$349-EFEITO!$K$349*EFEITO!$Y$349</f>
        <v>0</v>
      </c>
      <c r="N349" s="56">
        <f>$K$349-EFEITO!$M$349*EFEITO!$Z$349</f>
        <v>0</v>
      </c>
      <c r="O349" s="56">
        <f>$L$349-EFEITO!$O$349*EFEITO!$AA$349</f>
        <v>0</v>
      </c>
      <c r="P349" s="39"/>
      <c r="Q349" s="39"/>
      <c r="R349" s="39"/>
      <c r="S349" s="39"/>
      <c r="T349" s="39"/>
      <c r="U349" s="39"/>
      <c r="V349" s="39"/>
      <c r="W349" s="39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35" t="s">
        <v>21</v>
      </c>
      <c r="B350" s="35" t="s">
        <v>39</v>
      </c>
      <c r="C350" s="35" t="s">
        <v>40</v>
      </c>
      <c r="D350" s="35" t="s">
        <v>46</v>
      </c>
      <c r="E350" s="35" t="s">
        <v>25</v>
      </c>
      <c r="F350" s="35" t="s">
        <v>25</v>
      </c>
      <c r="G350" s="35" t="s">
        <v>25</v>
      </c>
      <c r="H350" s="35" t="s">
        <v>25</v>
      </c>
      <c r="I350" s="55">
        <v>44713</v>
      </c>
      <c r="J350" s="56">
        <f ca="1">EFEITO!$J$350*EFEITO!$Y$350</f>
        <v>9423.878333900393</v>
      </c>
      <c r="K350" s="56">
        <f>EFEITO!$L$350*EFEITO!$Z$350</f>
        <v>0</v>
      </c>
      <c r="L350" s="56">
        <f>EFEITO!$N$350*EFEITO!$AA$350</f>
        <v>0</v>
      </c>
      <c r="M350" s="56">
        <f ca="1">$J$350-EFEITO!$K$350*EFEITO!$Y$350</f>
        <v>0</v>
      </c>
      <c r="N350" s="56">
        <f>$K$350-EFEITO!$M$350*EFEITO!$Z$350</f>
        <v>0</v>
      </c>
      <c r="O350" s="56">
        <f>$L$350-EFEITO!$O$350*EFEITO!$AA$350</f>
        <v>0</v>
      </c>
      <c r="P350" s="39"/>
      <c r="Q350" s="39"/>
      <c r="R350" s="39"/>
      <c r="S350" s="39"/>
      <c r="T350" s="39"/>
      <c r="U350" s="39"/>
      <c r="V350" s="39"/>
      <c r="W350" s="39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35" t="s">
        <v>28</v>
      </c>
      <c r="B351" s="35" t="s">
        <v>39</v>
      </c>
      <c r="C351" s="35" t="s">
        <v>40</v>
      </c>
      <c r="D351" s="35" t="s">
        <v>46</v>
      </c>
      <c r="E351" s="35" t="s">
        <v>25</v>
      </c>
      <c r="F351" s="35" t="s">
        <v>25</v>
      </c>
      <c r="G351" s="35" t="s">
        <v>25</v>
      </c>
      <c r="H351" s="35" t="s">
        <v>25</v>
      </c>
      <c r="I351" s="55">
        <v>44713</v>
      </c>
      <c r="J351" s="56">
        <f ca="1">EFEITO!$J$351*EFEITO!$Y$351</f>
        <v>6838.1883601998306</v>
      </c>
      <c r="K351" s="56">
        <f>EFEITO!$L$351*EFEITO!$Z$351</f>
        <v>0</v>
      </c>
      <c r="L351" s="56">
        <f>EFEITO!$N$351*EFEITO!$AA$351</f>
        <v>0</v>
      </c>
      <c r="M351" s="56">
        <f ca="1">$J$351-EFEITO!$K$351*EFEITO!$Y$351</f>
        <v>0</v>
      </c>
      <c r="N351" s="56">
        <f>$K$351-EFEITO!$M$351*EFEITO!$Z$351</f>
        <v>0</v>
      </c>
      <c r="O351" s="56">
        <f>$L$351-EFEITO!$O$351*EFEITO!$AA$351</f>
        <v>0</v>
      </c>
      <c r="P351" s="39"/>
      <c r="Q351" s="39"/>
      <c r="R351" s="39"/>
      <c r="S351" s="39"/>
      <c r="T351" s="39"/>
      <c r="U351" s="39"/>
      <c r="V351" s="39"/>
      <c r="W351" s="39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35" t="s">
        <v>21</v>
      </c>
      <c r="B352" s="35" t="s">
        <v>39</v>
      </c>
      <c r="C352" s="35" t="s">
        <v>40</v>
      </c>
      <c r="D352" s="35" t="s">
        <v>46</v>
      </c>
      <c r="E352" s="35" t="s">
        <v>25</v>
      </c>
      <c r="F352" s="35" t="s">
        <v>25</v>
      </c>
      <c r="G352" s="35" t="s">
        <v>25</v>
      </c>
      <c r="H352" s="35" t="s">
        <v>25</v>
      </c>
      <c r="I352" s="55">
        <v>44743</v>
      </c>
      <c r="J352" s="56">
        <f ca="1">EFEITO!$J$352*EFEITO!$Y$352</f>
        <v>11795.874921344708</v>
      </c>
      <c r="K352" s="56">
        <f>EFEITO!$L$352*EFEITO!$Z$352</f>
        <v>0</v>
      </c>
      <c r="L352" s="56">
        <f>EFEITO!$N$352*EFEITO!$AA$352</f>
        <v>0</v>
      </c>
      <c r="M352" s="56">
        <f ca="1">$J$352-EFEITO!$K$352*EFEITO!$Y$352</f>
        <v>0</v>
      </c>
      <c r="N352" s="56">
        <f>$K$352-EFEITO!$M$352*EFEITO!$Z$352</f>
        <v>0</v>
      </c>
      <c r="O352" s="56">
        <f>$L$352-EFEITO!$O$352*EFEITO!$AA$352</f>
        <v>0</v>
      </c>
      <c r="P352" s="39"/>
      <c r="Q352" s="39"/>
      <c r="R352" s="39"/>
      <c r="S352" s="39"/>
      <c r="T352" s="39"/>
      <c r="U352" s="39"/>
      <c r="V352" s="39"/>
      <c r="W352" s="39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35" t="s">
        <v>28</v>
      </c>
      <c r="B353" s="35" t="s">
        <v>39</v>
      </c>
      <c r="C353" s="35" t="s">
        <v>40</v>
      </c>
      <c r="D353" s="35" t="s">
        <v>46</v>
      </c>
      <c r="E353" s="35" t="s">
        <v>25</v>
      </c>
      <c r="F353" s="35" t="s">
        <v>25</v>
      </c>
      <c r="G353" s="35" t="s">
        <v>25</v>
      </c>
      <c r="H353" s="35" t="s">
        <v>25</v>
      </c>
      <c r="I353" s="55">
        <v>44743</v>
      </c>
      <c r="J353" s="56">
        <f ca="1">EFEITO!$J$353*EFEITO!$Y$353</f>
        <v>6838.1883601998306</v>
      </c>
      <c r="K353" s="56">
        <f>EFEITO!$L$353*EFEITO!$Z$353</f>
        <v>0</v>
      </c>
      <c r="L353" s="56">
        <f>EFEITO!$N$353*EFEITO!$AA$353</f>
        <v>0</v>
      </c>
      <c r="M353" s="56">
        <f ca="1">$J$353-EFEITO!$K$353*EFEITO!$Y$353</f>
        <v>0</v>
      </c>
      <c r="N353" s="56">
        <f>$K$353-EFEITO!$M$353*EFEITO!$Z$353</f>
        <v>0</v>
      </c>
      <c r="O353" s="56">
        <f>$L$353-EFEITO!$O$353*EFEITO!$AA$353</f>
        <v>0</v>
      </c>
      <c r="P353" s="39"/>
      <c r="Q353" s="39"/>
      <c r="R353" s="39"/>
      <c r="S353" s="39"/>
      <c r="T353" s="39"/>
      <c r="U353" s="39"/>
      <c r="V353" s="39"/>
      <c r="W353" s="39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35" t="s">
        <v>21</v>
      </c>
      <c r="B354" s="35" t="s">
        <v>39</v>
      </c>
      <c r="C354" s="35" t="s">
        <v>40</v>
      </c>
      <c r="D354" s="35" t="s">
        <v>46</v>
      </c>
      <c r="E354" s="35" t="s">
        <v>25</v>
      </c>
      <c r="F354" s="35" t="s">
        <v>25</v>
      </c>
      <c r="G354" s="35" t="s">
        <v>25</v>
      </c>
      <c r="H354" s="35" t="s">
        <v>25</v>
      </c>
      <c r="I354" s="55">
        <v>44774</v>
      </c>
      <c r="J354" s="56">
        <f ca="1">EFEITO!$J$354*EFEITO!$Y$354</f>
        <v>12458.324418739066</v>
      </c>
      <c r="K354" s="56">
        <f>EFEITO!$L$354*EFEITO!$Z$354</f>
        <v>0</v>
      </c>
      <c r="L354" s="56">
        <f>EFEITO!$N$354*EFEITO!$AA$354</f>
        <v>0</v>
      </c>
      <c r="M354" s="56">
        <f ca="1">$J$354-EFEITO!$K$354*EFEITO!$Y$354</f>
        <v>0</v>
      </c>
      <c r="N354" s="56">
        <f>$K$354-EFEITO!$M$354*EFEITO!$Z$354</f>
        <v>0</v>
      </c>
      <c r="O354" s="56">
        <f>$L$354-EFEITO!$O$354*EFEITO!$AA$354</f>
        <v>0</v>
      </c>
      <c r="P354" s="39"/>
      <c r="Q354" s="39"/>
      <c r="R354" s="39"/>
      <c r="S354" s="39"/>
      <c r="T354" s="39"/>
      <c r="U354" s="39"/>
      <c r="V354" s="39"/>
      <c r="W354" s="39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35" t="s">
        <v>28</v>
      </c>
      <c r="B355" s="35" t="s">
        <v>39</v>
      </c>
      <c r="C355" s="35" t="s">
        <v>40</v>
      </c>
      <c r="D355" s="35" t="s">
        <v>46</v>
      </c>
      <c r="E355" s="35" t="s">
        <v>25</v>
      </c>
      <c r="F355" s="35" t="s">
        <v>25</v>
      </c>
      <c r="G355" s="35" t="s">
        <v>25</v>
      </c>
      <c r="H355" s="35" t="s">
        <v>25</v>
      </c>
      <c r="I355" s="55">
        <v>44774</v>
      </c>
      <c r="J355" s="56">
        <f ca="1">EFEITO!$J$355*EFEITO!$Y$355</f>
        <v>6838.1883601998306</v>
      </c>
      <c r="K355" s="56">
        <f>EFEITO!$L$355*EFEITO!$Z$355</f>
        <v>0</v>
      </c>
      <c r="L355" s="56">
        <f>EFEITO!$N$355*EFEITO!$AA$355</f>
        <v>0</v>
      </c>
      <c r="M355" s="56">
        <f ca="1">$J$355-EFEITO!$K$355*EFEITO!$Y$355</f>
        <v>0</v>
      </c>
      <c r="N355" s="56">
        <f>$K$355-EFEITO!$M$355*EFEITO!$Z$355</f>
        <v>0</v>
      </c>
      <c r="O355" s="56">
        <f>$L$355-EFEITO!$O$355*EFEITO!$AA$355</f>
        <v>0</v>
      </c>
      <c r="P355" s="39"/>
      <c r="Q355" s="39"/>
      <c r="R355" s="39"/>
      <c r="S355" s="39"/>
      <c r="T355" s="39"/>
      <c r="U355" s="39"/>
      <c r="V355" s="39"/>
      <c r="W355" s="39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35" t="s">
        <v>21</v>
      </c>
      <c r="B356" s="35" t="s">
        <v>39</v>
      </c>
      <c r="C356" s="35" t="s">
        <v>40</v>
      </c>
      <c r="D356" s="35" t="s">
        <v>46</v>
      </c>
      <c r="E356" s="35" t="s">
        <v>25</v>
      </c>
      <c r="F356" s="35" t="s">
        <v>25</v>
      </c>
      <c r="G356" s="35" t="s">
        <v>25</v>
      </c>
      <c r="H356" s="35" t="s">
        <v>25</v>
      </c>
      <c r="I356" s="55">
        <v>44805</v>
      </c>
      <c r="J356" s="56">
        <f ca="1">EFEITO!$J$356*EFEITO!$Y$356</f>
        <v>13099.404577507801</v>
      </c>
      <c r="K356" s="56">
        <f>EFEITO!$L$356*EFEITO!$Z$356</f>
        <v>0</v>
      </c>
      <c r="L356" s="56">
        <f>EFEITO!$N$356*EFEITO!$AA$356</f>
        <v>0</v>
      </c>
      <c r="M356" s="56">
        <f ca="1">$J$356-EFEITO!$K$356*EFEITO!$Y$356</f>
        <v>0</v>
      </c>
      <c r="N356" s="56">
        <f>$K$356-EFEITO!$M$356*EFEITO!$Z$356</f>
        <v>0</v>
      </c>
      <c r="O356" s="56">
        <f>$L$356-EFEITO!$O$356*EFEITO!$AA$356</f>
        <v>0</v>
      </c>
      <c r="P356" s="39"/>
      <c r="Q356" s="39"/>
      <c r="R356" s="39"/>
      <c r="S356" s="39"/>
      <c r="T356" s="39"/>
      <c r="U356" s="39"/>
      <c r="V356" s="39"/>
      <c r="W356" s="39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35" t="s">
        <v>28</v>
      </c>
      <c r="B357" s="35" t="s">
        <v>39</v>
      </c>
      <c r="C357" s="35" t="s">
        <v>40</v>
      </c>
      <c r="D357" s="35" t="s">
        <v>46</v>
      </c>
      <c r="E357" s="35" t="s">
        <v>25</v>
      </c>
      <c r="F357" s="35" t="s">
        <v>25</v>
      </c>
      <c r="G357" s="35" t="s">
        <v>25</v>
      </c>
      <c r="H357" s="35" t="s">
        <v>25</v>
      </c>
      <c r="I357" s="55">
        <v>44805</v>
      </c>
      <c r="J357" s="56">
        <f ca="1">EFEITO!$J$357*EFEITO!$Y$357</f>
        <v>6838.1883601998306</v>
      </c>
      <c r="K357" s="56">
        <f>EFEITO!$L$357*EFEITO!$Z$357</f>
        <v>0</v>
      </c>
      <c r="L357" s="56">
        <f>EFEITO!$N$357*EFEITO!$AA$357</f>
        <v>0</v>
      </c>
      <c r="M357" s="56">
        <f ca="1">$J$357-EFEITO!$K$357*EFEITO!$Y$357</f>
        <v>0</v>
      </c>
      <c r="N357" s="56">
        <f>$K$357-EFEITO!$M$357*EFEITO!$Z$357</f>
        <v>0</v>
      </c>
      <c r="O357" s="56">
        <f>$L$357-EFEITO!$O$357*EFEITO!$AA$357</f>
        <v>0</v>
      </c>
      <c r="P357" s="39"/>
      <c r="Q357" s="39"/>
      <c r="R357" s="39"/>
      <c r="S357" s="39"/>
      <c r="T357" s="39"/>
      <c r="U357" s="39"/>
      <c r="V357" s="39"/>
      <c r="W357" s="39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35" t="s">
        <v>57</v>
      </c>
      <c r="B358" s="35" t="s">
        <v>39</v>
      </c>
      <c r="C358" s="35" t="s">
        <v>40</v>
      </c>
      <c r="D358" s="35" t="s">
        <v>46</v>
      </c>
      <c r="E358" s="35" t="s">
        <v>25</v>
      </c>
      <c r="F358" s="35" t="s">
        <v>25</v>
      </c>
      <c r="G358" s="35" t="s">
        <v>25</v>
      </c>
      <c r="H358" s="35" t="s">
        <v>25</v>
      </c>
      <c r="I358" s="55">
        <v>44835</v>
      </c>
      <c r="J358" s="56">
        <f ca="1">EFEITO!$J$358*EFEITO!$Y$358</f>
        <v>13099.404577507801</v>
      </c>
      <c r="K358" s="56">
        <f>EFEITO!$L$358*EFEITO!$Z$358</f>
        <v>0</v>
      </c>
      <c r="L358" s="56">
        <f>EFEITO!$N$358*EFEITO!$AA$358</f>
        <v>0</v>
      </c>
      <c r="M358" s="56">
        <f ca="1">$J$358-EFEITO!$K$358*EFEITO!$Y$358</f>
        <v>0</v>
      </c>
      <c r="N358" s="56">
        <f>$K$358-EFEITO!$M$358*EFEITO!$Z$358</f>
        <v>0</v>
      </c>
      <c r="O358" s="56">
        <f>$L$358-EFEITO!$O$358*EFEITO!$AA$358</f>
        <v>0</v>
      </c>
      <c r="P358" s="39"/>
      <c r="Q358" s="39"/>
      <c r="R358" s="39"/>
      <c r="S358" s="39"/>
      <c r="T358" s="39"/>
      <c r="U358" s="39"/>
      <c r="V358" s="39"/>
      <c r="W358" s="39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35" t="s">
        <v>57</v>
      </c>
      <c r="B359" s="35" t="s">
        <v>39</v>
      </c>
      <c r="C359" s="35" t="s">
        <v>40</v>
      </c>
      <c r="D359" s="35" t="s">
        <v>46</v>
      </c>
      <c r="E359" s="35" t="s">
        <v>25</v>
      </c>
      <c r="F359" s="35" t="s">
        <v>25</v>
      </c>
      <c r="G359" s="35" t="s">
        <v>25</v>
      </c>
      <c r="H359" s="35" t="s">
        <v>25</v>
      </c>
      <c r="I359" s="55">
        <v>44835</v>
      </c>
      <c r="J359" s="56">
        <f ca="1">EFEITO!$J$359*EFEITO!$Y$359</f>
        <v>6838.1883601998306</v>
      </c>
      <c r="K359" s="56">
        <f>EFEITO!$L$359*EFEITO!$Z$359</f>
        <v>0</v>
      </c>
      <c r="L359" s="56">
        <f>EFEITO!$N$359*EFEITO!$AA$359</f>
        <v>0</v>
      </c>
      <c r="M359" s="56">
        <f ca="1">$J$359-EFEITO!$K$359*EFEITO!$Y$359</f>
        <v>0</v>
      </c>
      <c r="N359" s="56">
        <f>$K$359-EFEITO!$M$359*EFEITO!$Z$359</f>
        <v>0</v>
      </c>
      <c r="O359" s="56">
        <f>$L$359-EFEITO!$O$359*EFEITO!$AA$359</f>
        <v>0</v>
      </c>
      <c r="P359" s="39"/>
      <c r="Q359" s="39"/>
      <c r="R359" s="39"/>
      <c r="S359" s="39"/>
      <c r="T359" s="39"/>
      <c r="U359" s="39"/>
      <c r="V359" s="39"/>
      <c r="W359" s="39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35" t="s">
        <v>21</v>
      </c>
      <c r="B360" s="35" t="s">
        <v>39</v>
      </c>
      <c r="C360" s="35" t="s">
        <v>40</v>
      </c>
      <c r="D360" s="35" t="s">
        <v>46</v>
      </c>
      <c r="E360" s="35" t="s">
        <v>25</v>
      </c>
      <c r="F360" s="35" t="s">
        <v>25</v>
      </c>
      <c r="G360" s="35" t="s">
        <v>25</v>
      </c>
      <c r="H360" s="35" t="s">
        <v>34</v>
      </c>
      <c r="I360" s="55">
        <v>44501</v>
      </c>
      <c r="J360" s="56">
        <f>EFEITO!$J$360*EFEITO!$Y$360</f>
        <v>0</v>
      </c>
      <c r="K360" s="56">
        <f ca="1">EFEITO!$L$360*EFEITO!$Z$360</f>
        <v>4919.9025966600757</v>
      </c>
      <c r="L360" s="56">
        <f>EFEITO!$N$360*EFEITO!$AA$360</f>
        <v>1285.2938496468798</v>
      </c>
      <c r="M360" s="56">
        <f>$J$360-EFEITO!$K$360*EFEITO!$Y$360</f>
        <v>0</v>
      </c>
      <c r="N360" s="56">
        <f ca="1">$K$360-EFEITO!$M$360*EFEITO!$Z$360</f>
        <v>0</v>
      </c>
      <c r="O360" s="56">
        <f>$L$360-EFEITO!$O$360*EFEITO!$AA$360</f>
        <v>0</v>
      </c>
      <c r="P360" s="39"/>
      <c r="Q360" s="39"/>
      <c r="R360" s="39"/>
      <c r="S360" s="39"/>
      <c r="T360" s="39"/>
      <c r="U360" s="39"/>
      <c r="V360" s="39"/>
      <c r="W360" s="39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35" t="s">
        <v>28</v>
      </c>
      <c r="B361" s="35" t="s">
        <v>39</v>
      </c>
      <c r="C361" s="35" t="s">
        <v>40</v>
      </c>
      <c r="D361" s="35" t="s">
        <v>46</v>
      </c>
      <c r="E361" s="35" t="s">
        <v>25</v>
      </c>
      <c r="F361" s="35" t="s">
        <v>25</v>
      </c>
      <c r="G361" s="35" t="s">
        <v>25</v>
      </c>
      <c r="H361" s="35" t="s">
        <v>34</v>
      </c>
      <c r="I361" s="55">
        <v>44501</v>
      </c>
      <c r="J361" s="56">
        <f>EFEITO!$J$361*EFEITO!$Y$361</f>
        <v>0</v>
      </c>
      <c r="K361" s="56">
        <f ca="1">EFEITO!$L$361*EFEITO!$Z$361</f>
        <v>4296.4285982097699</v>
      </c>
      <c r="L361" s="56">
        <f>EFEITO!$N$361*EFEITO!$AA$361</f>
        <v>1122.4151584778863</v>
      </c>
      <c r="M361" s="56">
        <f>$J$361-EFEITO!$K$361*EFEITO!$Y$361</f>
        <v>0</v>
      </c>
      <c r="N361" s="56">
        <f ca="1">$K$361-EFEITO!$M$361*EFEITO!$Z$361</f>
        <v>0</v>
      </c>
      <c r="O361" s="56">
        <f>$L$361-EFEITO!$O$361*EFEITO!$AA$361</f>
        <v>0</v>
      </c>
      <c r="P361" s="39"/>
      <c r="Q361" s="39"/>
      <c r="R361" s="39"/>
      <c r="S361" s="39"/>
      <c r="T361" s="39"/>
      <c r="U361" s="39"/>
      <c r="V361" s="39"/>
      <c r="W361" s="39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35" t="s">
        <v>21</v>
      </c>
      <c r="B362" s="35" t="s">
        <v>39</v>
      </c>
      <c r="C362" s="35" t="s">
        <v>40</v>
      </c>
      <c r="D362" s="35" t="s">
        <v>46</v>
      </c>
      <c r="E362" s="35" t="s">
        <v>25</v>
      </c>
      <c r="F362" s="35" t="s">
        <v>25</v>
      </c>
      <c r="G362" s="35" t="s">
        <v>25</v>
      </c>
      <c r="H362" s="35" t="s">
        <v>34</v>
      </c>
      <c r="I362" s="55">
        <v>44531</v>
      </c>
      <c r="J362" s="56">
        <f>EFEITO!$J$362*EFEITO!$Y$362</f>
        <v>0</v>
      </c>
      <c r="K362" s="56">
        <f ca="1">EFEITO!$L$362*EFEITO!$Z$362</f>
        <v>5880.052554273545</v>
      </c>
      <c r="L362" s="56">
        <f>EFEITO!$N$362*EFEITO!$AA$362</f>
        <v>1536.1270340471297</v>
      </c>
      <c r="M362" s="56">
        <f>$J$362-EFEITO!$K$362*EFEITO!$Y$362</f>
        <v>0</v>
      </c>
      <c r="N362" s="56">
        <f ca="1">$K$362-EFEITO!$M$362*EFEITO!$Z$362</f>
        <v>0</v>
      </c>
      <c r="O362" s="56">
        <f>$L$362-EFEITO!$O$362*EFEITO!$AA$362</f>
        <v>0</v>
      </c>
      <c r="P362" s="39"/>
      <c r="Q362" s="39"/>
      <c r="R362" s="39"/>
      <c r="S362" s="39"/>
      <c r="T362" s="39"/>
      <c r="U362" s="39"/>
      <c r="V362" s="39"/>
      <c r="W362" s="39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35" t="s">
        <v>28</v>
      </c>
      <c r="B363" s="35" t="s">
        <v>39</v>
      </c>
      <c r="C363" s="35" t="s">
        <v>40</v>
      </c>
      <c r="D363" s="35" t="s">
        <v>46</v>
      </c>
      <c r="E363" s="35" t="s">
        <v>25</v>
      </c>
      <c r="F363" s="35" t="s">
        <v>25</v>
      </c>
      <c r="G363" s="35" t="s">
        <v>25</v>
      </c>
      <c r="H363" s="35" t="s">
        <v>34</v>
      </c>
      <c r="I363" s="55">
        <v>44531</v>
      </c>
      <c r="J363" s="56">
        <f>EFEITO!$J$363*EFEITO!$Y$363</f>
        <v>0</v>
      </c>
      <c r="K363" s="56">
        <f ca="1">EFEITO!$L$363*EFEITO!$Z$363</f>
        <v>4365.7034869264708</v>
      </c>
      <c r="L363" s="56">
        <f>EFEITO!$N$363*EFEITO!$AA$363</f>
        <v>1140.5127908299967</v>
      </c>
      <c r="M363" s="56">
        <f>$J$363-EFEITO!$K$363*EFEITO!$Y$363</f>
        <v>0</v>
      </c>
      <c r="N363" s="56">
        <f ca="1">$K$363-EFEITO!$M$363*EFEITO!$Z$363</f>
        <v>0</v>
      </c>
      <c r="O363" s="56">
        <f>$L$363-EFEITO!$O$363*EFEITO!$AA$363</f>
        <v>0</v>
      </c>
      <c r="P363" s="39"/>
      <c r="Q363" s="39"/>
      <c r="R363" s="39"/>
      <c r="S363" s="39"/>
      <c r="T363" s="39"/>
      <c r="U363" s="39"/>
      <c r="V363" s="39"/>
      <c r="W363" s="39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35" t="s">
        <v>21</v>
      </c>
      <c r="B364" s="35" t="s">
        <v>39</v>
      </c>
      <c r="C364" s="35" t="s">
        <v>40</v>
      </c>
      <c r="D364" s="35" t="s">
        <v>46</v>
      </c>
      <c r="E364" s="35" t="s">
        <v>25</v>
      </c>
      <c r="F364" s="35" t="s">
        <v>25</v>
      </c>
      <c r="G364" s="35" t="s">
        <v>25</v>
      </c>
      <c r="H364" s="35" t="s">
        <v>34</v>
      </c>
      <c r="I364" s="55">
        <v>44562</v>
      </c>
      <c r="J364" s="56">
        <f>EFEITO!$J$364*EFEITO!$Y$364</f>
        <v>0</v>
      </c>
      <c r="K364" s="56">
        <f ca="1">EFEITO!$L$364*EFEITO!$Z$364</f>
        <v>4051.1954921526499</v>
      </c>
      <c r="L364" s="56">
        <f>EFEITO!$N$364*EFEITO!$AA$364</f>
        <v>1058.3495399514156</v>
      </c>
      <c r="M364" s="56">
        <f>$J$364-EFEITO!$K$364*EFEITO!$Y$364</f>
        <v>0</v>
      </c>
      <c r="N364" s="56">
        <f ca="1">$K$364-EFEITO!$M$364*EFEITO!$Z$364</f>
        <v>0</v>
      </c>
      <c r="O364" s="56">
        <f>$L$364-EFEITO!$O$364*EFEITO!$AA$364</f>
        <v>0</v>
      </c>
      <c r="P364" s="39"/>
      <c r="Q364" s="39"/>
      <c r="R364" s="39"/>
      <c r="S364" s="39"/>
      <c r="T364" s="39"/>
      <c r="U364" s="39"/>
      <c r="V364" s="39"/>
      <c r="W364" s="39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35" t="s">
        <v>28</v>
      </c>
      <c r="B365" s="35" t="s">
        <v>39</v>
      </c>
      <c r="C365" s="35" t="s">
        <v>40</v>
      </c>
      <c r="D365" s="35" t="s">
        <v>46</v>
      </c>
      <c r="E365" s="35" t="s">
        <v>25</v>
      </c>
      <c r="F365" s="35" t="s">
        <v>25</v>
      </c>
      <c r="G365" s="35" t="s">
        <v>25</v>
      </c>
      <c r="H365" s="35" t="s">
        <v>34</v>
      </c>
      <c r="I365" s="55">
        <v>44562</v>
      </c>
      <c r="J365" s="56">
        <f>EFEITO!$J$365*EFEITO!$Y$365</f>
        <v>0</v>
      </c>
      <c r="K365" s="56">
        <f ca="1">EFEITO!$L$365*EFEITO!$Z$365</f>
        <v>3645.2446442727842</v>
      </c>
      <c r="L365" s="56">
        <f>EFEITO!$N$365*EFEITO!$AA$365</f>
        <v>952.29741436804863</v>
      </c>
      <c r="M365" s="56">
        <f>$J$365-EFEITO!$K$365*EFEITO!$Y$365</f>
        <v>0</v>
      </c>
      <c r="N365" s="56">
        <f ca="1">$K$365-EFEITO!$M$365*EFEITO!$Z$365</f>
        <v>0</v>
      </c>
      <c r="O365" s="56">
        <f>$L$365-EFEITO!$O$365*EFEITO!$AA$365</f>
        <v>0</v>
      </c>
      <c r="P365" s="39"/>
      <c r="Q365" s="39"/>
      <c r="R365" s="39"/>
      <c r="S365" s="39"/>
      <c r="T365" s="39"/>
      <c r="U365" s="39"/>
      <c r="V365" s="39"/>
      <c r="W365" s="39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35" t="s">
        <v>21</v>
      </c>
      <c r="B366" s="35" t="s">
        <v>39</v>
      </c>
      <c r="C366" s="35" t="s">
        <v>40</v>
      </c>
      <c r="D366" s="35" t="s">
        <v>46</v>
      </c>
      <c r="E366" s="35" t="s">
        <v>25</v>
      </c>
      <c r="F366" s="35" t="s">
        <v>25</v>
      </c>
      <c r="G366" s="35" t="s">
        <v>25</v>
      </c>
      <c r="H366" s="35" t="s">
        <v>34</v>
      </c>
      <c r="I366" s="55">
        <v>44593</v>
      </c>
      <c r="J366" s="56">
        <f>EFEITO!$J$366*EFEITO!$Y$366</f>
        <v>0</v>
      </c>
      <c r="K366" s="56">
        <f ca="1">EFEITO!$L$366*EFEITO!$Z$366</f>
        <v>4579.0701441739084</v>
      </c>
      <c r="L366" s="56">
        <f>EFEITO!$N$366*EFEITO!$AA$366</f>
        <v>1196.2534984744968</v>
      </c>
      <c r="M366" s="56">
        <f>$J$366-EFEITO!$K$366*EFEITO!$Y$366</f>
        <v>0</v>
      </c>
      <c r="N366" s="56">
        <f ca="1">$K$366-EFEITO!$M$366*EFEITO!$Z$366</f>
        <v>0</v>
      </c>
      <c r="O366" s="56">
        <f>$L$366-EFEITO!$O$366*EFEITO!$AA$366</f>
        <v>0</v>
      </c>
      <c r="P366" s="39"/>
      <c r="Q366" s="39"/>
      <c r="R366" s="39"/>
      <c r="S366" s="39"/>
      <c r="T366" s="39"/>
      <c r="U366" s="39"/>
      <c r="V366" s="39"/>
      <c r="W366" s="39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35" t="s">
        <v>28</v>
      </c>
      <c r="B367" s="35" t="s">
        <v>39</v>
      </c>
      <c r="C367" s="35" t="s">
        <v>40</v>
      </c>
      <c r="D367" s="35" t="s">
        <v>46</v>
      </c>
      <c r="E367" s="35" t="s">
        <v>25</v>
      </c>
      <c r="F367" s="35" t="s">
        <v>25</v>
      </c>
      <c r="G367" s="35" t="s">
        <v>25</v>
      </c>
      <c r="H367" s="35" t="s">
        <v>34</v>
      </c>
      <c r="I367" s="55">
        <v>44593</v>
      </c>
      <c r="J367" s="56">
        <f>EFEITO!$J$367*EFEITO!$Y$367</f>
        <v>0</v>
      </c>
      <c r="K367" s="56">
        <f ca="1">EFEITO!$L$367*EFEITO!$Z$367</f>
        <v>4037.3405144093099</v>
      </c>
      <c r="L367" s="56">
        <f>EFEITO!$N$367*EFEITO!$AA$367</f>
        <v>1054.7300134809936</v>
      </c>
      <c r="M367" s="56">
        <f>$J$367-EFEITO!$K$367*EFEITO!$Y$367</f>
        <v>0</v>
      </c>
      <c r="N367" s="56">
        <f ca="1">$K$367-EFEITO!$M$367*EFEITO!$Z$367</f>
        <v>0</v>
      </c>
      <c r="O367" s="56">
        <f>$L$367-EFEITO!$O$367*EFEITO!$AA$367</f>
        <v>0</v>
      </c>
      <c r="P367" s="39"/>
      <c r="Q367" s="39"/>
      <c r="R367" s="39"/>
      <c r="S367" s="39"/>
      <c r="T367" s="39"/>
      <c r="U367" s="39"/>
      <c r="V367" s="39"/>
      <c r="W367" s="39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35" t="s">
        <v>21</v>
      </c>
      <c r="B368" s="35" t="s">
        <v>39</v>
      </c>
      <c r="C368" s="35" t="s">
        <v>40</v>
      </c>
      <c r="D368" s="35" t="s">
        <v>46</v>
      </c>
      <c r="E368" s="35" t="s">
        <v>25</v>
      </c>
      <c r="F368" s="35" t="s">
        <v>25</v>
      </c>
      <c r="G368" s="35" t="s">
        <v>25</v>
      </c>
      <c r="H368" s="35" t="s">
        <v>34</v>
      </c>
      <c r="I368" s="55">
        <v>44621</v>
      </c>
      <c r="J368" s="56">
        <f>EFEITO!$J$368*EFEITO!$Y$368</f>
        <v>0</v>
      </c>
      <c r="K368" s="56">
        <f ca="1">EFEITO!$L$368*EFEITO!$Z$368</f>
        <v>5131.8837561331793</v>
      </c>
      <c r="L368" s="56">
        <f>EFEITO!$N$368*EFEITO!$AA$368</f>
        <v>1340.6726046443378</v>
      </c>
      <c r="M368" s="56">
        <f>$J$368-EFEITO!$K$368*EFEITO!$Y$368</f>
        <v>0</v>
      </c>
      <c r="N368" s="56">
        <f ca="1">$K$368-EFEITO!$M$368*EFEITO!$Z$368</f>
        <v>0</v>
      </c>
      <c r="O368" s="56">
        <f>$L$368-EFEITO!$O$368*EFEITO!$AA$368</f>
        <v>0</v>
      </c>
      <c r="P368" s="39"/>
      <c r="Q368" s="39"/>
      <c r="R368" s="39"/>
      <c r="S368" s="39"/>
      <c r="T368" s="39"/>
      <c r="U368" s="39"/>
      <c r="V368" s="39"/>
      <c r="W368" s="39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35" t="s">
        <v>28</v>
      </c>
      <c r="B369" s="35" t="s">
        <v>39</v>
      </c>
      <c r="C369" s="35" t="s">
        <v>40</v>
      </c>
      <c r="D369" s="35" t="s">
        <v>46</v>
      </c>
      <c r="E369" s="35" t="s">
        <v>25</v>
      </c>
      <c r="F369" s="35" t="s">
        <v>25</v>
      </c>
      <c r="G369" s="35" t="s">
        <v>25</v>
      </c>
      <c r="H369" s="35" t="s">
        <v>34</v>
      </c>
      <c r="I369" s="55">
        <v>44621</v>
      </c>
      <c r="J369" s="56">
        <f>EFEITO!$J$369*EFEITO!$Y$369</f>
        <v>0</v>
      </c>
      <c r="K369" s="56">
        <f ca="1">EFEITO!$L$369*EFEITO!$Z$369</f>
        <v>9537.766678515336</v>
      </c>
      <c r="L369" s="56">
        <f>EFEITO!$N$369*EFEITO!$AA$369</f>
        <v>2491.6820222385586</v>
      </c>
      <c r="M369" s="56">
        <f>$J$369-EFEITO!$K$369*EFEITO!$Y$369</f>
        <v>0</v>
      </c>
      <c r="N369" s="56">
        <f ca="1">$K$369-EFEITO!$M$369*EFEITO!$Z$369</f>
        <v>0</v>
      </c>
      <c r="O369" s="56">
        <f>$L$369-EFEITO!$O$369*EFEITO!$AA$369</f>
        <v>0</v>
      </c>
      <c r="P369" s="39"/>
      <c r="Q369" s="39"/>
      <c r="R369" s="39"/>
      <c r="S369" s="39"/>
      <c r="T369" s="39"/>
      <c r="U369" s="39"/>
      <c r="V369" s="39"/>
      <c r="W369" s="39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35" t="s">
        <v>21</v>
      </c>
      <c r="B370" s="35" t="s">
        <v>39</v>
      </c>
      <c r="C370" s="35" t="s">
        <v>40</v>
      </c>
      <c r="D370" s="35" t="s">
        <v>46</v>
      </c>
      <c r="E370" s="35" t="s">
        <v>25</v>
      </c>
      <c r="F370" s="35" t="s">
        <v>25</v>
      </c>
      <c r="G370" s="35" t="s">
        <v>25</v>
      </c>
      <c r="H370" s="35" t="s">
        <v>34</v>
      </c>
      <c r="I370" s="55">
        <v>44652</v>
      </c>
      <c r="J370" s="56">
        <f>EFEITO!$J$370*EFEITO!$Y$370</f>
        <v>0</v>
      </c>
      <c r="K370" s="56">
        <f ca="1">EFEITO!$L$370*EFEITO!$Z$370</f>
        <v>4777.196325903672</v>
      </c>
      <c r="L370" s="56">
        <f>EFEITO!$N$370*EFEITO!$AA$370</f>
        <v>1248.0127270015325</v>
      </c>
      <c r="M370" s="56">
        <f>$J$370-EFEITO!$K$370*EFEITO!$Y$370</f>
        <v>0</v>
      </c>
      <c r="N370" s="56">
        <f ca="1">$K$370-EFEITO!$M$370*EFEITO!$Z$370</f>
        <v>0</v>
      </c>
      <c r="O370" s="56">
        <f>$L$370-EFEITO!$O$370*EFEITO!$AA$370</f>
        <v>0</v>
      </c>
      <c r="P370" s="39"/>
      <c r="Q370" s="39"/>
      <c r="R370" s="39"/>
      <c r="S370" s="39"/>
      <c r="T370" s="39"/>
      <c r="U370" s="39"/>
      <c r="V370" s="39"/>
      <c r="W370" s="39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35" t="s">
        <v>28</v>
      </c>
      <c r="B371" s="35" t="s">
        <v>39</v>
      </c>
      <c r="C371" s="35" t="s">
        <v>40</v>
      </c>
      <c r="D371" s="35" t="s">
        <v>46</v>
      </c>
      <c r="E371" s="35" t="s">
        <v>25</v>
      </c>
      <c r="F371" s="35" t="s">
        <v>25</v>
      </c>
      <c r="G371" s="35" t="s">
        <v>25</v>
      </c>
      <c r="H371" s="35" t="s">
        <v>34</v>
      </c>
      <c r="I371" s="55">
        <v>44652</v>
      </c>
      <c r="J371" s="56">
        <f>EFEITO!$J$371*EFEITO!$Y$371</f>
        <v>0</v>
      </c>
      <c r="K371" s="56">
        <f ca="1">EFEITO!$L$371*EFEITO!$Z$371</f>
        <v>9414.4573765996083</v>
      </c>
      <c r="L371" s="56">
        <f>EFEITO!$N$371*EFEITO!$AA$371</f>
        <v>2459.4682366518018</v>
      </c>
      <c r="M371" s="56">
        <f>$J$371-EFEITO!$K$371*EFEITO!$Y$371</f>
        <v>0</v>
      </c>
      <c r="N371" s="56">
        <f ca="1">$K$371-EFEITO!$M$371*EFEITO!$Z$371</f>
        <v>0</v>
      </c>
      <c r="O371" s="56">
        <f>$L$371-EFEITO!$O$371*EFEITO!$AA$371</f>
        <v>0</v>
      </c>
      <c r="P371" s="39"/>
      <c r="Q371" s="39"/>
      <c r="R371" s="39"/>
      <c r="S371" s="39"/>
      <c r="T371" s="39"/>
      <c r="U371" s="39"/>
      <c r="V371" s="39"/>
      <c r="W371" s="39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35" t="s">
        <v>21</v>
      </c>
      <c r="B372" s="35" t="s">
        <v>39</v>
      </c>
      <c r="C372" s="35" t="s">
        <v>40</v>
      </c>
      <c r="D372" s="35" t="s">
        <v>46</v>
      </c>
      <c r="E372" s="35" t="s">
        <v>25</v>
      </c>
      <c r="F372" s="35" t="s">
        <v>25</v>
      </c>
      <c r="G372" s="35" t="s">
        <v>25</v>
      </c>
      <c r="H372" s="35" t="s">
        <v>34</v>
      </c>
      <c r="I372" s="55">
        <v>44682</v>
      </c>
      <c r="J372" s="56">
        <f>EFEITO!$J$372*EFEITO!$Y$372</f>
        <v>0</v>
      </c>
      <c r="K372" s="56">
        <f ca="1">EFEITO!$L$372*EFEITO!$Z$372</f>
        <v>4741.173383770988</v>
      </c>
      <c r="L372" s="56">
        <f>EFEITO!$N$372*EFEITO!$AA$372</f>
        <v>1238.6019581784351</v>
      </c>
      <c r="M372" s="56">
        <f>$J$372-EFEITO!$K$372*EFEITO!$Y$372</f>
        <v>0</v>
      </c>
      <c r="N372" s="56">
        <f ca="1">$K$372-EFEITO!$M$372*EFEITO!$Z$372</f>
        <v>0</v>
      </c>
      <c r="O372" s="56">
        <f>$L$372-EFEITO!$O$372*EFEITO!$AA$372</f>
        <v>0</v>
      </c>
      <c r="P372" s="39"/>
      <c r="Q372" s="39"/>
      <c r="R372" s="39"/>
      <c r="S372" s="39"/>
      <c r="T372" s="39"/>
      <c r="U372" s="39"/>
      <c r="V372" s="39"/>
      <c r="W372" s="39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35" t="s">
        <v>28</v>
      </c>
      <c r="B373" s="35" t="s">
        <v>39</v>
      </c>
      <c r="C373" s="35" t="s">
        <v>40</v>
      </c>
      <c r="D373" s="35" t="s">
        <v>46</v>
      </c>
      <c r="E373" s="35" t="s">
        <v>25</v>
      </c>
      <c r="F373" s="35" t="s">
        <v>25</v>
      </c>
      <c r="G373" s="35" t="s">
        <v>25</v>
      </c>
      <c r="H373" s="35" t="s">
        <v>34</v>
      </c>
      <c r="I373" s="55">
        <v>44682</v>
      </c>
      <c r="J373" s="56">
        <f>EFEITO!$J$373*EFEITO!$Y$373</f>
        <v>0</v>
      </c>
      <c r="K373" s="56">
        <f ca="1">EFEITO!$L$373*EFEITO!$Z$373</f>
        <v>10032.389383952577</v>
      </c>
      <c r="L373" s="56">
        <f>EFEITO!$N$373*EFEITO!$AA$373</f>
        <v>2620.8991172326264</v>
      </c>
      <c r="M373" s="56">
        <f>$J$373-EFEITO!$K$373*EFEITO!$Y$373</f>
        <v>0</v>
      </c>
      <c r="N373" s="56">
        <f ca="1">$K$373-EFEITO!$M$373*EFEITO!$Z$373</f>
        <v>0</v>
      </c>
      <c r="O373" s="56">
        <f>$L$373-EFEITO!$O$373*EFEITO!$AA$373</f>
        <v>0</v>
      </c>
      <c r="P373" s="39"/>
      <c r="Q373" s="39"/>
      <c r="R373" s="39"/>
      <c r="S373" s="39"/>
      <c r="T373" s="39"/>
      <c r="U373" s="39"/>
      <c r="V373" s="39"/>
      <c r="W373" s="39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35" t="s">
        <v>21</v>
      </c>
      <c r="B374" s="35" t="s">
        <v>39</v>
      </c>
      <c r="C374" s="35" t="s">
        <v>40</v>
      </c>
      <c r="D374" s="35" t="s">
        <v>46</v>
      </c>
      <c r="E374" s="35" t="s">
        <v>25</v>
      </c>
      <c r="F374" s="35" t="s">
        <v>25</v>
      </c>
      <c r="G374" s="35" t="s">
        <v>25</v>
      </c>
      <c r="H374" s="35" t="s">
        <v>34</v>
      </c>
      <c r="I374" s="55">
        <v>44713</v>
      </c>
      <c r="J374" s="56">
        <f>EFEITO!$J$374*EFEITO!$Y$374</f>
        <v>0</v>
      </c>
      <c r="K374" s="56">
        <f ca="1">EFEITO!$L$374*EFEITO!$Z$374</f>
        <v>4579.0701441739084</v>
      </c>
      <c r="L374" s="56">
        <f>EFEITO!$N$374*EFEITO!$AA$374</f>
        <v>1196.2534984744968</v>
      </c>
      <c r="M374" s="56">
        <f>$J$374-EFEITO!$K$374*EFEITO!$Y$374</f>
        <v>0</v>
      </c>
      <c r="N374" s="56">
        <f ca="1">$K$374-EFEITO!$M$374*EFEITO!$Z$374</f>
        <v>0</v>
      </c>
      <c r="O374" s="56">
        <f>$L$374-EFEITO!$O$374*EFEITO!$AA$374</f>
        <v>0</v>
      </c>
      <c r="P374" s="39"/>
      <c r="Q374" s="39"/>
      <c r="R374" s="39"/>
      <c r="S374" s="39"/>
      <c r="T374" s="39"/>
      <c r="U374" s="39"/>
      <c r="V374" s="39"/>
      <c r="W374" s="39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35" t="s">
        <v>28</v>
      </c>
      <c r="B375" s="35" t="s">
        <v>39</v>
      </c>
      <c r="C375" s="35" t="s">
        <v>40</v>
      </c>
      <c r="D375" s="35" t="s">
        <v>46</v>
      </c>
      <c r="E375" s="35" t="s">
        <v>25</v>
      </c>
      <c r="F375" s="35" t="s">
        <v>25</v>
      </c>
      <c r="G375" s="35" t="s">
        <v>25</v>
      </c>
      <c r="H375" s="35" t="s">
        <v>34</v>
      </c>
      <c r="I375" s="55">
        <v>44713</v>
      </c>
      <c r="J375" s="56">
        <f>EFEITO!$J$375*EFEITO!$Y$375</f>
        <v>0</v>
      </c>
      <c r="K375" s="56">
        <f ca="1">EFEITO!$L$375*EFEITO!$Z$375</f>
        <v>8509.7273299594999</v>
      </c>
      <c r="L375" s="56">
        <f>EFEITO!$N$375*EFEITO!$AA$375</f>
        <v>2223.1131581332402</v>
      </c>
      <c r="M375" s="56">
        <f>$J$375-EFEITO!$K$375*EFEITO!$Y$375</f>
        <v>0</v>
      </c>
      <c r="N375" s="56">
        <f ca="1">$K$375-EFEITO!$M$375*EFEITO!$Z$375</f>
        <v>0</v>
      </c>
      <c r="O375" s="56">
        <f>$L$375-EFEITO!$O$375*EFEITO!$AA$375</f>
        <v>0</v>
      </c>
      <c r="P375" s="39"/>
      <c r="Q375" s="39"/>
      <c r="R375" s="39"/>
      <c r="S375" s="39"/>
      <c r="T375" s="39"/>
      <c r="U375" s="39"/>
      <c r="V375" s="39"/>
      <c r="W375" s="39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35" t="s">
        <v>21</v>
      </c>
      <c r="B376" s="35" t="s">
        <v>39</v>
      </c>
      <c r="C376" s="35" t="s">
        <v>40</v>
      </c>
      <c r="D376" s="35" t="s">
        <v>46</v>
      </c>
      <c r="E376" s="35" t="s">
        <v>25</v>
      </c>
      <c r="F376" s="35" t="s">
        <v>25</v>
      </c>
      <c r="G376" s="35" t="s">
        <v>25</v>
      </c>
      <c r="H376" s="35" t="s">
        <v>34</v>
      </c>
      <c r="I376" s="55">
        <v>44743</v>
      </c>
      <c r="J376" s="56">
        <f>EFEITO!$J$376*EFEITO!$Y$376</f>
        <v>0</v>
      </c>
      <c r="K376" s="56">
        <f ca="1">EFEITO!$L$376*EFEITO!$Z$376</f>
        <v>3635.5461598524466</v>
      </c>
      <c r="L376" s="56">
        <f>EFEITO!$N$376*EFEITO!$AA$376</f>
        <v>949.76374583875327</v>
      </c>
      <c r="M376" s="56">
        <f>$J$376-EFEITO!$K$376*EFEITO!$Y$376</f>
        <v>0</v>
      </c>
      <c r="N376" s="56">
        <f ca="1">$K$376-EFEITO!$M$376*EFEITO!$Z$376</f>
        <v>0</v>
      </c>
      <c r="O376" s="56">
        <f>$L$376-EFEITO!$O$376*EFEITO!$AA$376</f>
        <v>0</v>
      </c>
      <c r="P376" s="39"/>
      <c r="Q376" s="39"/>
      <c r="R376" s="39"/>
      <c r="S376" s="39"/>
      <c r="T376" s="39"/>
      <c r="U376" s="39"/>
      <c r="V376" s="39"/>
      <c r="W376" s="39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35" t="s">
        <v>28</v>
      </c>
      <c r="B377" s="35" t="s">
        <v>39</v>
      </c>
      <c r="C377" s="35" t="s">
        <v>40</v>
      </c>
      <c r="D377" s="35" t="s">
        <v>46</v>
      </c>
      <c r="E377" s="35" t="s">
        <v>25</v>
      </c>
      <c r="F377" s="35" t="s">
        <v>25</v>
      </c>
      <c r="G377" s="35" t="s">
        <v>25</v>
      </c>
      <c r="H377" s="35" t="s">
        <v>34</v>
      </c>
      <c r="I377" s="55">
        <v>44743</v>
      </c>
      <c r="J377" s="56">
        <f>EFEITO!$J$377*EFEITO!$Y$377</f>
        <v>0</v>
      </c>
      <c r="K377" s="56">
        <f ca="1">EFEITO!$L$377*EFEITO!$Z$377</f>
        <v>5536.4491062387106</v>
      </c>
      <c r="L377" s="56">
        <f>EFEITO!$N$377*EFEITO!$AA$377</f>
        <v>1446.3627775806624</v>
      </c>
      <c r="M377" s="56">
        <f>$J$377-EFEITO!$K$377*EFEITO!$Y$377</f>
        <v>0</v>
      </c>
      <c r="N377" s="56">
        <f ca="1">$K$377-EFEITO!$M$377*EFEITO!$Z$377</f>
        <v>0</v>
      </c>
      <c r="O377" s="56">
        <f>$L$377-EFEITO!$O$377*EFEITO!$AA$377</f>
        <v>0</v>
      </c>
      <c r="P377" s="39"/>
      <c r="Q377" s="39"/>
      <c r="R377" s="39"/>
      <c r="S377" s="39"/>
      <c r="T377" s="39"/>
      <c r="U377" s="39"/>
      <c r="V377" s="39"/>
      <c r="W377" s="39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35" t="s">
        <v>21</v>
      </c>
      <c r="B378" s="35" t="s">
        <v>39</v>
      </c>
      <c r="C378" s="35" t="s">
        <v>40</v>
      </c>
      <c r="D378" s="35" t="s">
        <v>46</v>
      </c>
      <c r="E378" s="35" t="s">
        <v>25</v>
      </c>
      <c r="F378" s="35" t="s">
        <v>25</v>
      </c>
      <c r="G378" s="35" t="s">
        <v>25</v>
      </c>
      <c r="H378" s="35" t="s">
        <v>34</v>
      </c>
      <c r="I378" s="55">
        <v>44774</v>
      </c>
      <c r="J378" s="56">
        <f>EFEITO!$J$378*EFEITO!$Y$378</f>
        <v>0</v>
      </c>
      <c r="K378" s="56">
        <f ca="1">EFEITO!$L$378*EFEITO!$Z$378</f>
        <v>5643.1324348624303</v>
      </c>
      <c r="L378" s="56">
        <f>EFEITO!$N$378*EFEITO!$AA$378</f>
        <v>1474.2331314029125</v>
      </c>
      <c r="M378" s="56">
        <f>$J$378-EFEITO!$K$378*EFEITO!$Y$378</f>
        <v>0</v>
      </c>
      <c r="N378" s="56">
        <f ca="1">$K$378-EFEITO!$M$378*EFEITO!$Z$378</f>
        <v>0</v>
      </c>
      <c r="O378" s="56">
        <f>$L$378-EFEITO!$O$378*EFEITO!$AA$378</f>
        <v>0</v>
      </c>
      <c r="P378" s="39"/>
      <c r="Q378" s="39"/>
      <c r="R378" s="39"/>
      <c r="S378" s="39"/>
      <c r="T378" s="39"/>
      <c r="U378" s="39"/>
      <c r="V378" s="39"/>
      <c r="W378" s="39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35" t="s">
        <v>28</v>
      </c>
      <c r="B379" s="35" t="s">
        <v>39</v>
      </c>
      <c r="C379" s="35" t="s">
        <v>40</v>
      </c>
      <c r="D379" s="35" t="s">
        <v>46</v>
      </c>
      <c r="E379" s="35" t="s">
        <v>25</v>
      </c>
      <c r="F379" s="35" t="s">
        <v>25</v>
      </c>
      <c r="G379" s="35" t="s">
        <v>25</v>
      </c>
      <c r="H379" s="35" t="s">
        <v>34</v>
      </c>
      <c r="I379" s="55">
        <v>44774</v>
      </c>
      <c r="J379" s="56">
        <f>EFEITO!$J$379*EFEITO!$Y$379</f>
        <v>0</v>
      </c>
      <c r="K379" s="56">
        <f ca="1">EFEITO!$L$379*EFEITO!$Z$379</f>
        <v>9553.00715403301</v>
      </c>
      <c r="L379" s="56">
        <f>EFEITO!$N$379*EFEITO!$AA$379</f>
        <v>2495.6635013560226</v>
      </c>
      <c r="M379" s="56">
        <f>$J$379-EFEITO!$K$379*EFEITO!$Y$379</f>
        <v>0</v>
      </c>
      <c r="N379" s="56">
        <f ca="1">$K$379-EFEITO!$M$379*EFEITO!$Z$379</f>
        <v>0</v>
      </c>
      <c r="O379" s="56">
        <f>$L$379-EFEITO!$O$379*EFEITO!$AA$379</f>
        <v>0</v>
      </c>
      <c r="P379" s="39"/>
      <c r="Q379" s="39"/>
      <c r="R379" s="39"/>
      <c r="S379" s="39"/>
      <c r="T379" s="39"/>
      <c r="U379" s="39"/>
      <c r="V379" s="39"/>
      <c r="W379" s="39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35" t="s">
        <v>21</v>
      </c>
      <c r="B380" s="35" t="s">
        <v>39</v>
      </c>
      <c r="C380" s="35" t="s">
        <v>40</v>
      </c>
      <c r="D380" s="35" t="s">
        <v>46</v>
      </c>
      <c r="E380" s="35" t="s">
        <v>25</v>
      </c>
      <c r="F380" s="35" t="s">
        <v>25</v>
      </c>
      <c r="G380" s="35" t="s">
        <v>25</v>
      </c>
      <c r="H380" s="35" t="s">
        <v>34</v>
      </c>
      <c r="I380" s="55">
        <v>44805</v>
      </c>
      <c r="J380" s="56">
        <f>EFEITO!$J$380*EFEITO!$Y$380</f>
        <v>0</v>
      </c>
      <c r="K380" s="56">
        <f ca="1">EFEITO!$L$380*EFEITO!$Z$380</f>
        <v>5557.2315728537205</v>
      </c>
      <c r="L380" s="56">
        <f>EFEITO!$N$380*EFEITO!$AA$380</f>
        <v>1451.7920672862954</v>
      </c>
      <c r="M380" s="56">
        <f>$J$380-EFEITO!$K$380*EFEITO!$Y$380</f>
        <v>0</v>
      </c>
      <c r="N380" s="56">
        <f ca="1">$K$380-EFEITO!$M$380*EFEITO!$Z$380</f>
        <v>0</v>
      </c>
      <c r="O380" s="56">
        <f>$L$380-EFEITO!$O$380*EFEITO!$AA$380</f>
        <v>0</v>
      </c>
      <c r="P380" s="39"/>
      <c r="Q380" s="39"/>
      <c r="R380" s="39"/>
      <c r="S380" s="39"/>
      <c r="T380" s="39"/>
      <c r="U380" s="39"/>
      <c r="V380" s="39"/>
      <c r="W380" s="39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35" t="s">
        <v>28</v>
      </c>
      <c r="B381" s="35" t="s">
        <v>39</v>
      </c>
      <c r="C381" s="35" t="s">
        <v>40</v>
      </c>
      <c r="D381" s="35" t="s">
        <v>46</v>
      </c>
      <c r="E381" s="35" t="s">
        <v>25</v>
      </c>
      <c r="F381" s="35" t="s">
        <v>25</v>
      </c>
      <c r="G381" s="35" t="s">
        <v>25</v>
      </c>
      <c r="H381" s="35" t="s">
        <v>34</v>
      </c>
      <c r="I381" s="55">
        <v>44805</v>
      </c>
      <c r="J381" s="56">
        <f>EFEITO!$J$381*EFEITO!$Y$381</f>
        <v>0</v>
      </c>
      <c r="K381" s="56">
        <f ca="1">EFEITO!$L$381*EFEITO!$Z$381</f>
        <v>11657.578273246374</v>
      </c>
      <c r="L381" s="56">
        <f>EFEITO!$N$381*EFEITO!$AA$381</f>
        <v>3045.4695722131364</v>
      </c>
      <c r="M381" s="56">
        <f>$J$381-EFEITO!$K$381*EFEITO!$Y$381</f>
        <v>0</v>
      </c>
      <c r="N381" s="56">
        <f ca="1">$K$381-EFEITO!$M$381*EFEITO!$Z$381</f>
        <v>0</v>
      </c>
      <c r="O381" s="56">
        <f>$L$381-EFEITO!$O$381*EFEITO!$AA$381</f>
        <v>0</v>
      </c>
      <c r="P381" s="39"/>
      <c r="Q381" s="39"/>
      <c r="R381" s="39"/>
      <c r="S381" s="39"/>
      <c r="T381" s="39"/>
      <c r="U381" s="39"/>
      <c r="V381" s="39"/>
      <c r="W381" s="39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35" t="s">
        <v>57</v>
      </c>
      <c r="B382" s="35" t="s">
        <v>39</v>
      </c>
      <c r="C382" s="35" t="s">
        <v>40</v>
      </c>
      <c r="D382" s="35" t="s">
        <v>46</v>
      </c>
      <c r="E382" s="35" t="s">
        <v>25</v>
      </c>
      <c r="F382" s="35" t="s">
        <v>25</v>
      </c>
      <c r="G382" s="35" t="s">
        <v>25</v>
      </c>
      <c r="H382" s="35" t="s">
        <v>34</v>
      </c>
      <c r="I382" s="55">
        <v>44835</v>
      </c>
      <c r="J382" s="56">
        <f>EFEITO!$J$382*EFEITO!$Y$382</f>
        <v>0</v>
      </c>
      <c r="K382" s="56">
        <f ca="1">EFEITO!$L$382*EFEITO!$Z$382</f>
        <v>5557.2315728537205</v>
      </c>
      <c r="L382" s="56">
        <f>EFEITO!$N$382*EFEITO!$AA$382</f>
        <v>1451.7920672862954</v>
      </c>
      <c r="M382" s="56">
        <f>$J$382-EFEITO!$K$382*EFEITO!$Y$382</f>
        <v>0</v>
      </c>
      <c r="N382" s="56">
        <f ca="1">$K$382-EFEITO!$M$382*EFEITO!$Z$382</f>
        <v>0</v>
      </c>
      <c r="O382" s="56">
        <f>$L$382-EFEITO!$O$382*EFEITO!$AA$382</f>
        <v>0</v>
      </c>
      <c r="P382" s="39"/>
      <c r="Q382" s="39"/>
      <c r="R382" s="39"/>
      <c r="S382" s="39"/>
      <c r="T382" s="39"/>
      <c r="U382" s="39"/>
      <c r="V382" s="39"/>
      <c r="W382" s="39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35" t="s">
        <v>57</v>
      </c>
      <c r="B383" s="35" t="s">
        <v>39</v>
      </c>
      <c r="C383" s="35" t="s">
        <v>40</v>
      </c>
      <c r="D383" s="35" t="s">
        <v>46</v>
      </c>
      <c r="E383" s="35" t="s">
        <v>25</v>
      </c>
      <c r="F383" s="35" t="s">
        <v>25</v>
      </c>
      <c r="G383" s="35" t="s">
        <v>25</v>
      </c>
      <c r="H383" s="35" t="s">
        <v>34</v>
      </c>
      <c r="I383" s="55">
        <v>44835</v>
      </c>
      <c r="J383" s="56">
        <f>EFEITO!$J$383*EFEITO!$Y$383</f>
        <v>0</v>
      </c>
      <c r="K383" s="56">
        <f ca="1">EFEITO!$L$383*EFEITO!$Z$383</f>
        <v>11657.578273246374</v>
      </c>
      <c r="L383" s="56">
        <f>EFEITO!$N$383*EFEITO!$AA$383</f>
        <v>3045.4695722131364</v>
      </c>
      <c r="M383" s="56">
        <f>$J$383-EFEITO!$K$383*EFEITO!$Y$383</f>
        <v>0</v>
      </c>
      <c r="N383" s="56">
        <f ca="1">$K$383-EFEITO!$M$383*EFEITO!$Z$383</f>
        <v>0</v>
      </c>
      <c r="O383" s="56">
        <f>$L$383-EFEITO!$O$383*EFEITO!$AA$383</f>
        <v>0</v>
      </c>
      <c r="P383" s="39"/>
      <c r="Q383" s="39"/>
      <c r="R383" s="39"/>
      <c r="S383" s="39"/>
      <c r="T383" s="39"/>
      <c r="U383" s="39"/>
      <c r="V383" s="39"/>
      <c r="W383" s="39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35" t="s">
        <v>21</v>
      </c>
      <c r="B384" s="35" t="s">
        <v>39</v>
      </c>
      <c r="C384" s="35" t="s">
        <v>40</v>
      </c>
      <c r="D384" s="35" t="s">
        <v>44</v>
      </c>
      <c r="E384" s="35" t="s">
        <v>53</v>
      </c>
      <c r="F384" s="35" t="s">
        <v>55</v>
      </c>
      <c r="G384" s="35" t="s">
        <v>25</v>
      </c>
      <c r="H384" s="35" t="s">
        <v>35</v>
      </c>
      <c r="I384" s="55">
        <v>44501</v>
      </c>
      <c r="J384" s="56">
        <f>EFEITO!$J$384*EFEITO!$Y$335</f>
        <v>0</v>
      </c>
      <c r="K384" s="56">
        <f ca="1">EFEITO!$L$384*EFEITO!$Z$335</f>
        <v>1547.2801664561428</v>
      </c>
      <c r="L384" s="56">
        <f>EFEITO!$N$384*EFEITO!$AA$335</f>
        <v>2361.3780572943974</v>
      </c>
      <c r="M384" s="56">
        <f>$J$384-EFEITO!$K$384*EFEITO!$Y$384</f>
        <v>0</v>
      </c>
      <c r="N384" s="56">
        <f ca="1">$K$384-EFEITO!$M$384*EFEITO!$Z$384</f>
        <v>1237.8241331649142</v>
      </c>
      <c r="O384" s="56">
        <f>$L$384-EFEITO!$O$384*EFEITO!$AA$384</f>
        <v>1889.102445835518</v>
      </c>
      <c r="P384" s="39"/>
      <c r="Q384" s="39"/>
      <c r="R384" s="39"/>
      <c r="S384" s="39"/>
      <c r="T384" s="39"/>
      <c r="U384" s="39"/>
      <c r="V384" s="39"/>
      <c r="W384" s="39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35" t="s">
        <v>21</v>
      </c>
      <c r="B385" s="35" t="s">
        <v>39</v>
      </c>
      <c r="C385" s="35" t="s">
        <v>40</v>
      </c>
      <c r="D385" s="35" t="s">
        <v>44</v>
      </c>
      <c r="E385" s="35" t="s">
        <v>53</v>
      </c>
      <c r="F385" s="35" t="s">
        <v>55</v>
      </c>
      <c r="G385" s="35" t="s">
        <v>25</v>
      </c>
      <c r="H385" s="35" t="s">
        <v>35</v>
      </c>
      <c r="I385" s="55">
        <v>44531</v>
      </c>
      <c r="J385" s="56">
        <f>EFEITO!$J$385*EFEITO!$Y$335</f>
        <v>0</v>
      </c>
      <c r="K385" s="56">
        <f ca="1">EFEITO!$L$385*EFEITO!$Z$335</f>
        <v>265.50616531202598</v>
      </c>
      <c r="L385" s="56">
        <f>EFEITO!$N$385*EFEITO!$AA$335</f>
        <v>405.20162181111249</v>
      </c>
      <c r="M385" s="56">
        <f>$J$385-EFEITO!$K$385*EFEITO!$Y$385</f>
        <v>0</v>
      </c>
      <c r="N385" s="56">
        <f ca="1">$K$385-EFEITO!$M$385*EFEITO!$Z$385</f>
        <v>212.4049322496208</v>
      </c>
      <c r="O385" s="56">
        <f>$L$385-EFEITO!$O$385*EFEITO!$AA$385</f>
        <v>324.16129744888997</v>
      </c>
      <c r="P385" s="39"/>
      <c r="Q385" s="39"/>
      <c r="R385" s="39"/>
      <c r="S385" s="39"/>
      <c r="T385" s="39"/>
      <c r="U385" s="39"/>
      <c r="V385" s="39"/>
      <c r="W385" s="39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35" t="s">
        <v>21</v>
      </c>
      <c r="B386" s="35" t="s">
        <v>39</v>
      </c>
      <c r="C386" s="35" t="s">
        <v>40</v>
      </c>
      <c r="D386" s="35" t="s">
        <v>44</v>
      </c>
      <c r="E386" s="35" t="s">
        <v>53</v>
      </c>
      <c r="F386" s="35" t="s">
        <v>55</v>
      </c>
      <c r="G386" s="35" t="s">
        <v>25</v>
      </c>
      <c r="H386" s="35" t="s">
        <v>35</v>
      </c>
      <c r="I386" s="55">
        <v>44562</v>
      </c>
      <c r="J386" s="56">
        <f>EFEITO!$J$386*EFEITO!$Y$335</f>
        <v>0</v>
      </c>
      <c r="K386" s="56">
        <f ca="1">EFEITO!$L$386*EFEITO!$Z$335</f>
        <v>1475.1475913576503</v>
      </c>
      <c r="L386" s="56">
        <f>EFEITO!$N$386*EFEITO!$AA$335</f>
        <v>2251.2930941788645</v>
      </c>
      <c r="M386" s="56">
        <f>$J$386-EFEITO!$K$386*EFEITO!$Y$386</f>
        <v>0</v>
      </c>
      <c r="N386" s="56">
        <f ca="1">$K$386-EFEITO!$M$386*EFEITO!$Z$386</f>
        <v>1180.1180730861201</v>
      </c>
      <c r="O386" s="56">
        <f>$L$386-EFEITO!$O$386*EFEITO!$AA$386</f>
        <v>1801.0344753430916</v>
      </c>
      <c r="P386" s="39"/>
      <c r="Q386" s="39"/>
      <c r="R386" s="39"/>
      <c r="S386" s="39"/>
      <c r="T386" s="39"/>
      <c r="U386" s="39"/>
      <c r="V386" s="39"/>
      <c r="W386" s="39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35" t="s">
        <v>21</v>
      </c>
      <c r="B387" s="35" t="s">
        <v>39</v>
      </c>
      <c r="C387" s="35" t="s">
        <v>40</v>
      </c>
      <c r="D387" s="35" t="s">
        <v>44</v>
      </c>
      <c r="E387" s="35" t="s">
        <v>53</v>
      </c>
      <c r="F387" s="35" t="s">
        <v>55</v>
      </c>
      <c r="G387" s="35" t="s">
        <v>25</v>
      </c>
      <c r="H387" s="35" t="s">
        <v>35</v>
      </c>
      <c r="I387" s="55">
        <v>44593</v>
      </c>
      <c r="J387" s="56">
        <f>EFEITO!$J$387*EFEITO!$Y$335</f>
        <v>0</v>
      </c>
      <c r="K387" s="56">
        <f ca="1">EFEITO!$L$387*EFEITO!$Z$335</f>
        <v>313.30310396314809</v>
      </c>
      <c r="L387" s="56">
        <f>EFEITO!$N$387*EFEITO!$AA$335</f>
        <v>478.14680949170787</v>
      </c>
      <c r="M387" s="56">
        <f>$J$387-EFEITO!$K$387*EFEITO!$Y$387</f>
        <v>0</v>
      </c>
      <c r="N387" s="56">
        <f ca="1">$K$387-EFEITO!$M$387*EFEITO!$Z$387</f>
        <v>250.64248317051846</v>
      </c>
      <c r="O387" s="56">
        <f>$L$387-EFEITO!$O$387*EFEITO!$AA$387</f>
        <v>382.51744759336628</v>
      </c>
      <c r="P387" s="39"/>
      <c r="Q387" s="39"/>
      <c r="R387" s="39"/>
      <c r="S387" s="39"/>
      <c r="T387" s="39"/>
      <c r="U387" s="39"/>
      <c r="V387" s="39"/>
      <c r="W387" s="39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35" t="s">
        <v>21</v>
      </c>
      <c r="B388" s="35" t="s">
        <v>39</v>
      </c>
      <c r="C388" s="35" t="s">
        <v>40</v>
      </c>
      <c r="D388" s="35" t="s">
        <v>44</v>
      </c>
      <c r="E388" s="35" t="s">
        <v>53</v>
      </c>
      <c r="F388" s="35" t="s">
        <v>55</v>
      </c>
      <c r="G388" s="35" t="s">
        <v>25</v>
      </c>
      <c r="H388" s="35" t="s">
        <v>35</v>
      </c>
      <c r="I388" s="55">
        <v>44621</v>
      </c>
      <c r="J388" s="56">
        <f>EFEITO!$J$388*EFEITO!$Y$335</f>
        <v>0</v>
      </c>
      <c r="K388" s="56">
        <f ca="1">EFEITO!$L$388*EFEITO!$Z$335</f>
        <v>4524.9711554714768</v>
      </c>
      <c r="L388" s="56">
        <f>EFEITO!$N$388*EFEITO!$AA$335</f>
        <v>6905.7742922495408</v>
      </c>
      <c r="M388" s="56">
        <f>$J$388-EFEITO!$K$388*EFEITO!$Y$388</f>
        <v>0</v>
      </c>
      <c r="N388" s="56">
        <f ca="1">$K$388-EFEITO!$M$388*EFEITO!$Z$388</f>
        <v>3619.9769243771816</v>
      </c>
      <c r="O388" s="56">
        <f>$L$388-EFEITO!$O$388*EFEITO!$AA$388</f>
        <v>5524.619433799633</v>
      </c>
      <c r="P388" s="39"/>
      <c r="Q388" s="39"/>
      <c r="R388" s="39"/>
      <c r="S388" s="39"/>
      <c r="T388" s="39"/>
      <c r="U388" s="39"/>
      <c r="V388" s="39"/>
      <c r="W388" s="39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35" t="s">
        <v>21</v>
      </c>
      <c r="B389" s="35" t="s">
        <v>39</v>
      </c>
      <c r="C389" s="35" t="s">
        <v>40</v>
      </c>
      <c r="D389" s="35" t="s">
        <v>44</v>
      </c>
      <c r="E389" s="35" t="s">
        <v>53</v>
      </c>
      <c r="F389" s="35" t="s">
        <v>55</v>
      </c>
      <c r="G389" s="35" t="s">
        <v>25</v>
      </c>
      <c r="H389" s="35" t="s">
        <v>35</v>
      </c>
      <c r="I389" s="55">
        <v>44652</v>
      </c>
      <c r="J389" s="56">
        <f>EFEITO!$J$389*EFEITO!$Y$335</f>
        <v>0</v>
      </c>
      <c r="K389" s="56">
        <f ca="1">EFEITO!$L$389*EFEITO!$Z$335</f>
        <v>21565.599841214073</v>
      </c>
      <c r="L389" s="56">
        <f>EFEITO!$N$389*EFEITO!$AA$335</f>
        <v>32912.290457435978</v>
      </c>
      <c r="M389" s="56">
        <f>$J$389-EFEITO!$K$389*EFEITO!$Y$389</f>
        <v>0</v>
      </c>
      <c r="N389" s="56">
        <f ca="1">$K$389-EFEITO!$M$389*EFEITO!$Z$389</f>
        <v>17252.479872971257</v>
      </c>
      <c r="O389" s="56">
        <f>$L$389-EFEITO!$O$389*EFEITO!$AA$389</f>
        <v>26329.832365948783</v>
      </c>
      <c r="P389" s="39"/>
      <c r="Q389" s="39"/>
      <c r="R389" s="39"/>
      <c r="S389" s="39"/>
      <c r="T389" s="39"/>
      <c r="U389" s="39"/>
      <c r="V389" s="39"/>
      <c r="W389" s="39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35" t="s">
        <v>21</v>
      </c>
      <c r="B390" s="35" t="s">
        <v>39</v>
      </c>
      <c r="C390" s="35" t="s">
        <v>40</v>
      </c>
      <c r="D390" s="35" t="s">
        <v>44</v>
      </c>
      <c r="E390" s="35" t="s">
        <v>53</v>
      </c>
      <c r="F390" s="35" t="s">
        <v>55</v>
      </c>
      <c r="G390" s="35" t="s">
        <v>25</v>
      </c>
      <c r="H390" s="35" t="s">
        <v>35</v>
      </c>
      <c r="I390" s="55">
        <v>44682</v>
      </c>
      <c r="J390" s="56">
        <f>EFEITO!$J$390*EFEITO!$Y$335</f>
        <v>0</v>
      </c>
      <c r="K390" s="56">
        <f ca="1">EFEITO!$L$390*EFEITO!$Z$335</f>
        <v>26489.996023645079</v>
      </c>
      <c r="L390" s="56">
        <f>EFEITO!$N$390*EFEITO!$AA$335</f>
        <v>40427.646333321223</v>
      </c>
      <c r="M390" s="56">
        <f>$J$390-EFEITO!$K$390*EFEITO!$Y$390</f>
        <v>0</v>
      </c>
      <c r="N390" s="56">
        <f ca="1">$K$390-EFEITO!$M$390*EFEITO!$Z$390</f>
        <v>21191.996818916065</v>
      </c>
      <c r="O390" s="56">
        <f>$L$390-EFEITO!$O$390*EFEITO!$AA$390</f>
        <v>32342.117066656978</v>
      </c>
      <c r="P390" s="39"/>
      <c r="Q390" s="39"/>
      <c r="R390" s="39"/>
      <c r="S390" s="39"/>
      <c r="T390" s="39"/>
      <c r="U390" s="39"/>
      <c r="V390" s="39"/>
      <c r="W390" s="39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35" t="s">
        <v>21</v>
      </c>
      <c r="B391" s="35" t="s">
        <v>39</v>
      </c>
      <c r="C391" s="35" t="s">
        <v>40</v>
      </c>
      <c r="D391" s="35" t="s">
        <v>44</v>
      </c>
      <c r="E391" s="35" t="s">
        <v>53</v>
      </c>
      <c r="F391" s="35" t="s">
        <v>55</v>
      </c>
      <c r="G391" s="35" t="s">
        <v>25</v>
      </c>
      <c r="H391" s="35" t="s">
        <v>35</v>
      </c>
      <c r="I391" s="55">
        <v>44713</v>
      </c>
      <c r="J391" s="56">
        <f>EFEITO!$J$391*EFEITO!$Y$335</f>
        <v>0</v>
      </c>
      <c r="K391" s="56">
        <f ca="1">EFEITO!$L$391*EFEITO!$Z$335</f>
        <v>19176.772965275522</v>
      </c>
      <c r="L391" s="56">
        <f>EFEITO!$N$391*EFEITO!$AA$335</f>
        <v>29266.587830460365</v>
      </c>
      <c r="M391" s="56">
        <f>$J$391-EFEITO!$K$391*EFEITO!$Y$391</f>
        <v>0</v>
      </c>
      <c r="N391" s="56">
        <f ca="1">$K$391-EFEITO!$M$391*EFEITO!$Z$391</f>
        <v>15341.418372220418</v>
      </c>
      <c r="O391" s="56">
        <f>$L$391-EFEITO!$O$391*EFEITO!$AA$391</f>
        <v>23413.270264368293</v>
      </c>
      <c r="P391" s="39"/>
      <c r="Q391" s="39"/>
      <c r="R391" s="39"/>
      <c r="S391" s="39"/>
      <c r="T391" s="39"/>
      <c r="U391" s="39"/>
      <c r="V391" s="39"/>
      <c r="W391" s="39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35" t="s">
        <v>21</v>
      </c>
      <c r="B392" s="35" t="s">
        <v>39</v>
      </c>
      <c r="C392" s="35" t="s">
        <v>40</v>
      </c>
      <c r="D392" s="35" t="s">
        <v>44</v>
      </c>
      <c r="E392" s="35" t="s">
        <v>53</v>
      </c>
      <c r="F392" s="35" t="s">
        <v>55</v>
      </c>
      <c r="G392" s="35" t="s">
        <v>25</v>
      </c>
      <c r="H392" s="35" t="s">
        <v>35</v>
      </c>
      <c r="I392" s="55">
        <v>44743</v>
      </c>
      <c r="J392" s="56">
        <f>EFEITO!$J$392*EFEITO!$Y$335</f>
        <v>0</v>
      </c>
      <c r="K392" s="56">
        <f ca="1">EFEITO!$L$392*EFEITO!$Z$335</f>
        <v>21380.678148688847</v>
      </c>
      <c r="L392" s="56">
        <f>EFEITO!$N$392*EFEITO!$AA$335</f>
        <v>32630.072642903429</v>
      </c>
      <c r="M392" s="56">
        <f>$J$392-EFEITO!$K$392*EFEITO!$Y$392</f>
        <v>0</v>
      </c>
      <c r="N392" s="56">
        <f ca="1">$K$392-EFEITO!$M$392*EFEITO!$Z$392</f>
        <v>17104.542518951079</v>
      </c>
      <c r="O392" s="56">
        <f>$L$392-EFEITO!$O$392*EFEITO!$AA$392</f>
        <v>26104.058114322743</v>
      </c>
      <c r="P392" s="39"/>
      <c r="Q392" s="39"/>
      <c r="R392" s="39"/>
      <c r="S392" s="39"/>
      <c r="T392" s="39"/>
      <c r="U392" s="39"/>
      <c r="V392" s="39"/>
      <c r="W392" s="39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35" t="s">
        <v>21</v>
      </c>
      <c r="B393" s="35" t="s">
        <v>39</v>
      </c>
      <c r="C393" s="35" t="s">
        <v>40</v>
      </c>
      <c r="D393" s="35" t="s">
        <v>44</v>
      </c>
      <c r="E393" s="35" t="s">
        <v>53</v>
      </c>
      <c r="F393" s="35" t="s">
        <v>55</v>
      </c>
      <c r="G393" s="35" t="s">
        <v>25</v>
      </c>
      <c r="H393" s="35" t="s">
        <v>35</v>
      </c>
      <c r="I393" s="55">
        <v>44774</v>
      </c>
      <c r="J393" s="56">
        <f>EFEITO!$J$393*EFEITO!$Y$335</f>
        <v>0</v>
      </c>
      <c r="K393" s="56">
        <f ca="1">EFEITO!$L$393*EFEITO!$Z$335</f>
        <v>21526.983412120939</v>
      </c>
      <c r="L393" s="56">
        <f>EFEITO!$N$393*EFEITO!$AA$335</f>
        <v>32853.356083242812</v>
      </c>
      <c r="M393" s="56">
        <f>$J$393-EFEITO!$K$393*EFEITO!$Y$393</f>
        <v>0</v>
      </c>
      <c r="N393" s="56">
        <f ca="1">$K$393-EFEITO!$M$393*EFEITO!$Z$393</f>
        <v>17221.586729696752</v>
      </c>
      <c r="O393" s="56">
        <f>$L$393-EFEITO!$O$393*EFEITO!$AA$393</f>
        <v>26282.684866594249</v>
      </c>
      <c r="P393" s="39"/>
      <c r="Q393" s="39"/>
      <c r="R393" s="39"/>
      <c r="S393" s="39"/>
      <c r="T393" s="39"/>
      <c r="U393" s="39"/>
      <c r="V393" s="39"/>
      <c r="W393" s="39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35" t="s">
        <v>21</v>
      </c>
      <c r="B394" s="35" t="s">
        <v>39</v>
      </c>
      <c r="C394" s="35" t="s">
        <v>40</v>
      </c>
      <c r="D394" s="35" t="s">
        <v>44</v>
      </c>
      <c r="E394" s="35" t="s">
        <v>53</v>
      </c>
      <c r="F394" s="35" t="s">
        <v>55</v>
      </c>
      <c r="G394" s="35" t="s">
        <v>25</v>
      </c>
      <c r="H394" s="35" t="s">
        <v>35</v>
      </c>
      <c r="I394" s="55">
        <v>44805</v>
      </c>
      <c r="J394" s="56">
        <f>EFEITO!$J$394*EFEITO!$Y$335</f>
        <v>0</v>
      </c>
      <c r="K394" s="56">
        <f ca="1">EFEITO!$L$394*EFEITO!$Z$335</f>
        <v>19241.327976929322</v>
      </c>
      <c r="L394" s="56">
        <f>EFEITO!$N$394*EFEITO!$AA$335</f>
        <v>29365.10831260214</v>
      </c>
      <c r="M394" s="56">
        <f>$J$394-EFEITO!$K$394*EFEITO!$Y$394</f>
        <v>0</v>
      </c>
      <c r="N394" s="56">
        <f ca="1">$K$394-EFEITO!$M$394*EFEITO!$Z$394</f>
        <v>15393.062381543457</v>
      </c>
      <c r="O394" s="56">
        <f>$L$394-EFEITO!$O$394*EFEITO!$AA$394</f>
        <v>23492.086650081714</v>
      </c>
      <c r="P394" s="39"/>
      <c r="Q394" s="39"/>
      <c r="R394" s="39"/>
      <c r="S394" s="39"/>
      <c r="T394" s="39"/>
      <c r="U394" s="39"/>
      <c r="V394" s="39"/>
      <c r="W394" s="39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35" t="s">
        <v>57</v>
      </c>
      <c r="B395" s="35" t="s">
        <v>39</v>
      </c>
      <c r="C395" s="35" t="s">
        <v>40</v>
      </c>
      <c r="D395" s="35" t="s">
        <v>44</v>
      </c>
      <c r="E395" s="35" t="s">
        <v>53</v>
      </c>
      <c r="F395" s="35" t="s">
        <v>55</v>
      </c>
      <c r="G395" s="35" t="s">
        <v>25</v>
      </c>
      <c r="H395" s="35" t="s">
        <v>35</v>
      </c>
      <c r="I395" s="55">
        <v>44835</v>
      </c>
      <c r="J395" s="56">
        <f>EFEITO!$J$395*EFEITO!$Y$335</f>
        <v>0</v>
      </c>
      <c r="K395" s="56">
        <f ca="1">EFEITO!$L$395*EFEITO!$Z$335</f>
        <v>19241.327976929322</v>
      </c>
      <c r="L395" s="56">
        <f>EFEITO!$N$395*EFEITO!$AA$335</f>
        <v>29365.10831260214</v>
      </c>
      <c r="M395" s="56">
        <f>$J$395-EFEITO!$K$395*EFEITO!$Y$395</f>
        <v>0</v>
      </c>
      <c r="N395" s="56">
        <f ca="1">$K$395-EFEITO!$M$395*EFEITO!$Z$395</f>
        <v>15393.062381543457</v>
      </c>
      <c r="O395" s="56">
        <f>$L$395-EFEITO!$O$395*EFEITO!$AA$395</f>
        <v>23492.086650081714</v>
      </c>
      <c r="P395" s="39"/>
      <c r="Q395" s="39"/>
      <c r="R395" s="39"/>
      <c r="S395" s="39"/>
      <c r="T395" s="39"/>
      <c r="U395" s="39"/>
      <c r="V395" s="39"/>
      <c r="W395" s="39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35" t="s">
        <v>21</v>
      </c>
      <c r="B396" s="35" t="s">
        <v>39</v>
      </c>
      <c r="C396" s="35" t="s">
        <v>40</v>
      </c>
      <c r="D396" s="35" t="s">
        <v>44</v>
      </c>
      <c r="E396" s="35" t="s">
        <v>53</v>
      </c>
      <c r="F396" s="35" t="s">
        <v>25</v>
      </c>
      <c r="G396" s="35" t="s">
        <v>25</v>
      </c>
      <c r="H396" s="35" t="s">
        <v>35</v>
      </c>
      <c r="I396" s="55">
        <v>44501</v>
      </c>
      <c r="J396" s="56">
        <f>EFEITO!$J$396*EFEITO!$Y$335</f>
        <v>0</v>
      </c>
      <c r="K396" s="56">
        <f ca="1">EFEITO!$L$396*EFEITO!$Z$335</f>
        <v>584.05527473688267</v>
      </c>
      <c r="L396" s="56">
        <f>EFEITO!$N$396*EFEITO!$AA$335</f>
        <v>891.35461043849546</v>
      </c>
      <c r="M396" s="56">
        <f>$J$396-EFEITO!$K$396*EFEITO!$Y$396</f>
        <v>0</v>
      </c>
      <c r="N396" s="56">
        <f ca="1">$K$396-EFEITO!$M$396*EFEITO!$Z$396</f>
        <v>11.681105494737722</v>
      </c>
      <c r="O396" s="56">
        <f>$L$396-EFEITO!$O$396*EFEITO!$AA$396</f>
        <v>17.827092208769841</v>
      </c>
      <c r="P396" s="39"/>
      <c r="Q396" s="39"/>
      <c r="R396" s="39"/>
      <c r="S396" s="39"/>
      <c r="T396" s="39"/>
      <c r="U396" s="39"/>
      <c r="V396" s="39"/>
      <c r="W396" s="39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35" t="s">
        <v>21</v>
      </c>
      <c r="B397" s="35" t="s">
        <v>39</v>
      </c>
      <c r="C397" s="35" t="s">
        <v>40</v>
      </c>
      <c r="D397" s="35" t="s">
        <v>44</v>
      </c>
      <c r="E397" s="35" t="s">
        <v>53</v>
      </c>
      <c r="F397" s="35" t="s">
        <v>25</v>
      </c>
      <c r="G397" s="35" t="s">
        <v>25</v>
      </c>
      <c r="H397" s="35" t="s">
        <v>35</v>
      </c>
      <c r="I397" s="55">
        <v>44531</v>
      </c>
      <c r="J397" s="56">
        <f>EFEITO!$J$397*EFEITO!$Y$335</f>
        <v>0</v>
      </c>
      <c r="K397" s="56">
        <f ca="1">EFEITO!$L$397*EFEITO!$Z$335</f>
        <v>516.00292610860811</v>
      </c>
      <c r="L397" s="56">
        <f>EFEITO!$N$397*EFEITO!$AA$335</f>
        <v>787.49667553959887</v>
      </c>
      <c r="M397" s="56">
        <f>$J$397-EFEITO!$K$397*EFEITO!$Y$397</f>
        <v>0</v>
      </c>
      <c r="N397" s="56">
        <f ca="1">$K$397-EFEITO!$M$397*EFEITO!$Z$397</f>
        <v>10.320058522172189</v>
      </c>
      <c r="O397" s="56">
        <f>$L$397-EFEITO!$O$397*EFEITO!$AA$397</f>
        <v>15.749933510791948</v>
      </c>
      <c r="P397" s="39"/>
      <c r="Q397" s="39"/>
      <c r="R397" s="39"/>
      <c r="S397" s="39"/>
      <c r="T397" s="39"/>
      <c r="U397" s="39"/>
      <c r="V397" s="39"/>
      <c r="W397" s="39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35" t="s">
        <v>21</v>
      </c>
      <c r="B398" s="35" t="s">
        <v>39</v>
      </c>
      <c r="C398" s="35" t="s">
        <v>40</v>
      </c>
      <c r="D398" s="35" t="s">
        <v>44</v>
      </c>
      <c r="E398" s="35" t="s">
        <v>53</v>
      </c>
      <c r="F398" s="35" t="s">
        <v>25</v>
      </c>
      <c r="G398" s="35" t="s">
        <v>25</v>
      </c>
      <c r="H398" s="35" t="s">
        <v>35</v>
      </c>
      <c r="I398" s="55">
        <v>44562</v>
      </c>
      <c r="J398" s="56">
        <f>EFEITO!$J$398*EFEITO!$Y$335</f>
        <v>0</v>
      </c>
      <c r="K398" s="56">
        <f ca="1">EFEITO!$L$398*EFEITO!$Z$335</f>
        <v>800.01583291055033</v>
      </c>
      <c r="L398" s="56">
        <f>EFEITO!$N$398*EFEITO!$AA$335</f>
        <v>1220.9423181904542</v>
      </c>
      <c r="M398" s="56">
        <f>$J$398-EFEITO!$K$398*EFEITO!$Y$398</f>
        <v>0</v>
      </c>
      <c r="N398" s="56">
        <f ca="1">$K$398-EFEITO!$M$398*EFEITO!$Z$398</f>
        <v>16.000316658211091</v>
      </c>
      <c r="O398" s="56">
        <f>$L$398-EFEITO!$O$398*EFEITO!$AA$398</f>
        <v>24.418846363809052</v>
      </c>
      <c r="P398" s="39"/>
      <c r="Q398" s="39"/>
      <c r="R398" s="39"/>
      <c r="S398" s="39"/>
      <c r="T398" s="39"/>
      <c r="U398" s="39"/>
      <c r="V398" s="39"/>
      <c r="W398" s="39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35" t="s">
        <v>21</v>
      </c>
      <c r="B399" s="35" t="s">
        <v>39</v>
      </c>
      <c r="C399" s="35" t="s">
        <v>40</v>
      </c>
      <c r="D399" s="35" t="s">
        <v>44</v>
      </c>
      <c r="E399" s="35" t="s">
        <v>53</v>
      </c>
      <c r="F399" s="35" t="s">
        <v>25</v>
      </c>
      <c r="G399" s="35" t="s">
        <v>25</v>
      </c>
      <c r="H399" s="35" t="s">
        <v>35</v>
      </c>
      <c r="I399" s="55">
        <v>44593</v>
      </c>
      <c r="J399" s="56">
        <f>EFEITO!$J$399*EFEITO!$Y$335</f>
        <v>0</v>
      </c>
      <c r="K399" s="56">
        <f ca="1">EFEITO!$L$399*EFEITO!$Z$335</f>
        <v>382.81267633078608</v>
      </c>
      <c r="L399" s="56">
        <f>EFEITO!$N$399*EFEITO!$AA$335</f>
        <v>584.22868303940299</v>
      </c>
      <c r="M399" s="56">
        <f>$J$399-EFEITO!$K$399*EFEITO!$Y$399</f>
        <v>0</v>
      </c>
      <c r="N399" s="56">
        <f ca="1">$K$399-EFEITO!$M$399*EFEITO!$Z$399</f>
        <v>7.6562535266157283</v>
      </c>
      <c r="O399" s="56">
        <f>$L$399-EFEITO!$O$399*EFEITO!$AA$399</f>
        <v>11.684573660788033</v>
      </c>
      <c r="P399" s="39"/>
      <c r="Q399" s="39"/>
      <c r="R399" s="39"/>
      <c r="S399" s="39"/>
      <c r="T399" s="39"/>
      <c r="U399" s="39"/>
      <c r="V399" s="39"/>
      <c r="W399" s="39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35" t="s">
        <v>21</v>
      </c>
      <c r="B400" s="35" t="s">
        <v>39</v>
      </c>
      <c r="C400" s="35" t="s">
        <v>40</v>
      </c>
      <c r="D400" s="35" t="s">
        <v>44</v>
      </c>
      <c r="E400" s="35" t="s">
        <v>53</v>
      </c>
      <c r="F400" s="35" t="s">
        <v>25</v>
      </c>
      <c r="G400" s="35" t="s">
        <v>25</v>
      </c>
      <c r="H400" s="35" t="s">
        <v>35</v>
      </c>
      <c r="I400" s="55">
        <v>44621</v>
      </c>
      <c r="J400" s="56">
        <f>EFEITO!$J$400*EFEITO!$Y$335</f>
        <v>0</v>
      </c>
      <c r="K400" s="56">
        <f ca="1">EFEITO!$L$400*EFEITO!$Z$335</f>
        <v>1228.4396122834132</v>
      </c>
      <c r="L400" s="56">
        <f>EFEITO!$N$400*EFEITO!$AA$335</f>
        <v>1874.7802809372547</v>
      </c>
      <c r="M400" s="56">
        <f>$J$400-EFEITO!$K$400*EFEITO!$Y$400</f>
        <v>0</v>
      </c>
      <c r="N400" s="56">
        <f ca="1">$K$400-EFEITO!$M$400*EFEITO!$Z$400</f>
        <v>24.568792245668192</v>
      </c>
      <c r="O400" s="56">
        <f>$L$400-EFEITO!$O$400*EFEITO!$AA$400</f>
        <v>37.495605618745003</v>
      </c>
      <c r="P400" s="39"/>
      <c r="Q400" s="39"/>
      <c r="R400" s="39"/>
      <c r="S400" s="39"/>
      <c r="T400" s="39"/>
      <c r="U400" s="39"/>
      <c r="V400" s="39"/>
      <c r="W400" s="39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35" t="s">
        <v>21</v>
      </c>
      <c r="B401" s="35" t="s">
        <v>39</v>
      </c>
      <c r="C401" s="35" t="s">
        <v>40</v>
      </c>
      <c r="D401" s="35" t="s">
        <v>44</v>
      </c>
      <c r="E401" s="35" t="s">
        <v>53</v>
      </c>
      <c r="F401" s="35" t="s">
        <v>25</v>
      </c>
      <c r="G401" s="35" t="s">
        <v>25</v>
      </c>
      <c r="H401" s="35" t="s">
        <v>35</v>
      </c>
      <c r="I401" s="55">
        <v>44652</v>
      </c>
      <c r="J401" s="56">
        <f>EFEITO!$J$401*EFEITO!$Y$335</f>
        <v>0</v>
      </c>
      <c r="K401" s="56">
        <f ca="1">EFEITO!$L$401*EFEITO!$Z$335</f>
        <v>13994.593903351113</v>
      </c>
      <c r="L401" s="56">
        <f>EFEITO!$N$401*EFEITO!$AA$335</f>
        <v>21357.817207602631</v>
      </c>
      <c r="M401" s="56">
        <f>$J$401-EFEITO!$K$401*EFEITO!$Y$401</f>
        <v>0</v>
      </c>
      <c r="N401" s="56">
        <f ca="1">$K$401-EFEITO!$M$401*EFEITO!$Z$401</f>
        <v>279.89187806702284</v>
      </c>
      <c r="O401" s="56">
        <f>$L$401-EFEITO!$O$401*EFEITO!$AA$401</f>
        <v>427.1563441520484</v>
      </c>
      <c r="P401" s="39"/>
      <c r="Q401" s="39"/>
      <c r="R401" s="39"/>
      <c r="S401" s="39"/>
      <c r="T401" s="39"/>
      <c r="U401" s="39"/>
      <c r="V401" s="39"/>
      <c r="W401" s="39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35" t="s">
        <v>21</v>
      </c>
      <c r="B402" s="35" t="s">
        <v>39</v>
      </c>
      <c r="C402" s="35" t="s">
        <v>40</v>
      </c>
      <c r="D402" s="35" t="s">
        <v>44</v>
      </c>
      <c r="E402" s="35" t="s">
        <v>53</v>
      </c>
      <c r="F402" s="35" t="s">
        <v>25</v>
      </c>
      <c r="G402" s="35" t="s">
        <v>25</v>
      </c>
      <c r="H402" s="35" t="s">
        <v>35</v>
      </c>
      <c r="I402" s="55">
        <v>44682</v>
      </c>
      <c r="J402" s="56">
        <f>EFEITO!$J$402*EFEITO!$Y$335</f>
        <v>0</v>
      </c>
      <c r="K402" s="56">
        <f ca="1">EFEITO!$L$402*EFEITO!$Z$335</f>
        <v>16717.707905099647</v>
      </c>
      <c r="L402" s="56">
        <f>EFEITO!$N$402*EFEITO!$AA$335</f>
        <v>25513.691360612655</v>
      </c>
      <c r="M402" s="56">
        <f>$J$402-EFEITO!$K$402*EFEITO!$Y$402</f>
        <v>0</v>
      </c>
      <c r="N402" s="56">
        <f ca="1">$K$402-EFEITO!$M$402*EFEITO!$Z$402</f>
        <v>334.35415810199447</v>
      </c>
      <c r="O402" s="56">
        <f>$L$402-EFEITO!$O$402*EFEITO!$AA$402</f>
        <v>510.27382721225149</v>
      </c>
      <c r="P402" s="39"/>
      <c r="Q402" s="39"/>
      <c r="R402" s="39"/>
      <c r="S402" s="39"/>
      <c r="T402" s="39"/>
      <c r="U402" s="39"/>
      <c r="V402" s="39"/>
      <c r="W402" s="39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35" t="s">
        <v>21</v>
      </c>
      <c r="B403" s="35" t="s">
        <v>39</v>
      </c>
      <c r="C403" s="35" t="s">
        <v>40</v>
      </c>
      <c r="D403" s="35" t="s">
        <v>44</v>
      </c>
      <c r="E403" s="35" t="s">
        <v>53</v>
      </c>
      <c r="F403" s="35" t="s">
        <v>25</v>
      </c>
      <c r="G403" s="35" t="s">
        <v>25</v>
      </c>
      <c r="H403" s="35" t="s">
        <v>35</v>
      </c>
      <c r="I403" s="55">
        <v>44713</v>
      </c>
      <c r="J403" s="56">
        <f>EFEITO!$J$403*EFEITO!$Y$335</f>
        <v>0</v>
      </c>
      <c r="K403" s="56">
        <f ca="1">EFEITO!$L$403*EFEITO!$Z$335</f>
        <v>14470.231731879352</v>
      </c>
      <c r="L403" s="56">
        <f>EFEITO!$N$403*EFEITO!$AA$335</f>
        <v>22083.71078257051</v>
      </c>
      <c r="M403" s="56">
        <f>$J$403-EFEITO!$K$403*EFEITO!$Y$403</f>
        <v>0</v>
      </c>
      <c r="N403" s="56">
        <f ca="1">$K$403-EFEITO!$M$403*EFEITO!$Z$403</f>
        <v>289.40463463758715</v>
      </c>
      <c r="O403" s="56">
        <f>$L$403-EFEITO!$O$403*EFEITO!$AA$403</f>
        <v>441.67421565141194</v>
      </c>
      <c r="P403" s="39"/>
      <c r="Q403" s="39"/>
      <c r="R403" s="39"/>
      <c r="S403" s="39"/>
      <c r="T403" s="39"/>
      <c r="U403" s="39"/>
      <c r="V403" s="39"/>
      <c r="W403" s="39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35" t="s">
        <v>21</v>
      </c>
      <c r="B404" s="35" t="s">
        <v>39</v>
      </c>
      <c r="C404" s="35" t="s">
        <v>40</v>
      </c>
      <c r="D404" s="35" t="s">
        <v>44</v>
      </c>
      <c r="E404" s="35" t="s">
        <v>53</v>
      </c>
      <c r="F404" s="35" t="s">
        <v>25</v>
      </c>
      <c r="G404" s="35" t="s">
        <v>25</v>
      </c>
      <c r="H404" s="35" t="s">
        <v>35</v>
      </c>
      <c r="I404" s="55">
        <v>44743</v>
      </c>
      <c r="J404" s="56">
        <f>EFEITO!$J$404*EFEITO!$Y$335</f>
        <v>0</v>
      </c>
      <c r="K404" s="56">
        <f ca="1">EFEITO!$L$404*EFEITO!$Z$335</f>
        <v>18471.039508301787</v>
      </c>
      <c r="L404" s="56">
        <f>EFEITO!$N$404*EFEITO!$AA$335</f>
        <v>28189.534342847179</v>
      </c>
      <c r="M404" s="56">
        <f>$J$404-EFEITO!$K$404*EFEITO!$Y$404</f>
        <v>0</v>
      </c>
      <c r="N404" s="56">
        <f ca="1">$K$404-EFEITO!$M$404*EFEITO!$Z$404</f>
        <v>369.42079016603748</v>
      </c>
      <c r="O404" s="56">
        <f>$L$404-EFEITO!$O$404*EFEITO!$AA$404</f>
        <v>563.79068685694438</v>
      </c>
      <c r="P404" s="39"/>
      <c r="Q404" s="39"/>
      <c r="R404" s="39"/>
      <c r="S404" s="39"/>
      <c r="T404" s="39"/>
      <c r="U404" s="39"/>
      <c r="V404" s="39"/>
      <c r="W404" s="39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35" t="s">
        <v>21</v>
      </c>
      <c r="B405" s="35" t="s">
        <v>39</v>
      </c>
      <c r="C405" s="35" t="s">
        <v>40</v>
      </c>
      <c r="D405" s="35" t="s">
        <v>44</v>
      </c>
      <c r="E405" s="35" t="s">
        <v>53</v>
      </c>
      <c r="F405" s="35" t="s">
        <v>25</v>
      </c>
      <c r="G405" s="35" t="s">
        <v>25</v>
      </c>
      <c r="H405" s="35" t="s">
        <v>35</v>
      </c>
      <c r="I405" s="55">
        <v>44774</v>
      </c>
      <c r="J405" s="56">
        <f>EFEITO!$J$405*EFEITO!$Y$335</f>
        <v>0</v>
      </c>
      <c r="K405" s="56">
        <f ca="1">EFEITO!$L$405*EFEITO!$Z$335</f>
        <v>15579.470442282834</v>
      </c>
      <c r="L405" s="56">
        <f>EFEITO!$N$405*EFEITO!$AA$335</f>
        <v>23776.572882036035</v>
      </c>
      <c r="M405" s="56">
        <f>$J$405-EFEITO!$K$405*EFEITO!$Y$405</f>
        <v>0</v>
      </c>
      <c r="N405" s="56">
        <f ca="1">$K$405-EFEITO!$M$405*EFEITO!$Z$405</f>
        <v>311.58940884565709</v>
      </c>
      <c r="O405" s="56">
        <f>$L$405-EFEITO!$O$405*EFEITO!$AA$405</f>
        <v>475.53145764071814</v>
      </c>
      <c r="P405" s="39"/>
      <c r="Q405" s="39"/>
      <c r="R405" s="39"/>
      <c r="S405" s="39"/>
      <c r="T405" s="39"/>
      <c r="U405" s="39"/>
      <c r="V405" s="39"/>
      <c r="W405" s="39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35" t="s">
        <v>21</v>
      </c>
      <c r="B406" s="35" t="s">
        <v>39</v>
      </c>
      <c r="C406" s="35" t="s">
        <v>40</v>
      </c>
      <c r="D406" s="35" t="s">
        <v>44</v>
      </c>
      <c r="E406" s="35" t="s">
        <v>53</v>
      </c>
      <c r="F406" s="35" t="s">
        <v>25</v>
      </c>
      <c r="G406" s="35" t="s">
        <v>25</v>
      </c>
      <c r="H406" s="35" t="s">
        <v>35</v>
      </c>
      <c r="I406" s="55">
        <v>44805</v>
      </c>
      <c r="J406" s="56">
        <f>EFEITO!$J$406*EFEITO!$Y$335</f>
        <v>0</v>
      </c>
      <c r="K406" s="56">
        <f ca="1">EFEITO!$L$406*EFEITO!$Z$335</f>
        <v>16929.005347307353</v>
      </c>
      <c r="L406" s="56">
        <f>EFEITO!$N$406*EFEITO!$AA$335</f>
        <v>25836.162464688456</v>
      </c>
      <c r="M406" s="56">
        <f>$J$406-EFEITO!$K$406*EFEITO!$Y$406</f>
        <v>0</v>
      </c>
      <c r="N406" s="56">
        <f ca="1">$K$406-EFEITO!$M$406*EFEITO!$Z$406</f>
        <v>338.58010694614859</v>
      </c>
      <c r="O406" s="56">
        <f>$L$406-EFEITO!$O$406*EFEITO!$AA$406</f>
        <v>516.72324929376555</v>
      </c>
      <c r="P406" s="39"/>
      <c r="Q406" s="39"/>
      <c r="R406" s="39"/>
      <c r="S406" s="39"/>
      <c r="T406" s="39"/>
      <c r="U406" s="39"/>
      <c r="V406" s="39"/>
      <c r="W406" s="39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35" t="s">
        <v>57</v>
      </c>
      <c r="B407" s="35" t="s">
        <v>39</v>
      </c>
      <c r="C407" s="35" t="s">
        <v>40</v>
      </c>
      <c r="D407" s="35" t="s">
        <v>44</v>
      </c>
      <c r="E407" s="35" t="s">
        <v>53</v>
      </c>
      <c r="F407" s="35" t="s">
        <v>25</v>
      </c>
      <c r="G407" s="35" t="s">
        <v>25</v>
      </c>
      <c r="H407" s="35" t="s">
        <v>35</v>
      </c>
      <c r="I407" s="55">
        <v>44835</v>
      </c>
      <c r="J407" s="56">
        <f>EFEITO!$J$407*EFEITO!$Y$335</f>
        <v>0</v>
      </c>
      <c r="K407" s="56">
        <f ca="1">EFEITO!$L$407*EFEITO!$Z$335</f>
        <v>16929.005347307353</v>
      </c>
      <c r="L407" s="56">
        <f>EFEITO!$N$407*EFEITO!$AA$335</f>
        <v>25836.162464688456</v>
      </c>
      <c r="M407" s="56">
        <f>$J$407-EFEITO!$K$407*EFEITO!$Y$407</f>
        <v>0</v>
      </c>
      <c r="N407" s="56">
        <f ca="1">$K$407-EFEITO!$M$407*EFEITO!$Z$407</f>
        <v>338.58010694614859</v>
      </c>
      <c r="O407" s="56">
        <f>$L$407-EFEITO!$O$407*EFEITO!$AA$407</f>
        <v>516.72324929376555</v>
      </c>
      <c r="P407" s="39"/>
      <c r="Q407" s="39"/>
      <c r="R407" s="39"/>
      <c r="S407" s="39"/>
      <c r="T407" s="39"/>
      <c r="U407" s="39"/>
      <c r="V407" s="39"/>
      <c r="W407" s="39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35" t="s">
        <v>21</v>
      </c>
      <c r="B408" s="35" t="s">
        <v>39</v>
      </c>
      <c r="C408" s="35" t="s">
        <v>40</v>
      </c>
      <c r="D408" s="35" t="s">
        <v>44</v>
      </c>
      <c r="E408" s="35" t="s">
        <v>53</v>
      </c>
      <c r="F408" s="35" t="s">
        <v>25</v>
      </c>
      <c r="G408" s="35" t="s">
        <v>25</v>
      </c>
      <c r="H408" s="35" t="s">
        <v>25</v>
      </c>
      <c r="I408" s="55">
        <v>44501</v>
      </c>
      <c r="J408" s="56">
        <f ca="1">EFEITO!$J$408*EFEITO!$Y$359</f>
        <v>10855.624021817232</v>
      </c>
      <c r="K408" s="56">
        <f>EFEITO!$L$408*EFEITO!$Z$359</f>
        <v>0</v>
      </c>
      <c r="L408" s="56">
        <f>EFEITO!$N$408*EFEITO!$AA$359</f>
        <v>0</v>
      </c>
      <c r="M408" s="56">
        <f ca="1">$J$408-EFEITO!$K$408*EFEITO!$Y$408</f>
        <v>217.11248043634623</v>
      </c>
      <c r="N408" s="56">
        <f>$K$408-EFEITO!$M$408*EFEITO!$Z$408</f>
        <v>0</v>
      </c>
      <c r="O408" s="56">
        <f>$L$408-EFEITO!$O$408*EFEITO!$AA$408</f>
        <v>0</v>
      </c>
      <c r="P408" s="39"/>
      <c r="Q408" s="39"/>
      <c r="R408" s="39"/>
      <c r="S408" s="39"/>
      <c r="T408" s="39"/>
      <c r="U408" s="39"/>
      <c r="V408" s="39"/>
      <c r="W408" s="39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35" t="s">
        <v>21</v>
      </c>
      <c r="B409" s="35" t="s">
        <v>39</v>
      </c>
      <c r="C409" s="35" t="s">
        <v>40</v>
      </c>
      <c r="D409" s="35" t="s">
        <v>44</v>
      </c>
      <c r="E409" s="35" t="s">
        <v>53</v>
      </c>
      <c r="F409" s="35" t="s">
        <v>25</v>
      </c>
      <c r="G409" s="35" t="s">
        <v>25</v>
      </c>
      <c r="H409" s="35" t="s">
        <v>25</v>
      </c>
      <c r="I409" s="55">
        <v>44531</v>
      </c>
      <c r="J409" s="56">
        <f ca="1">EFEITO!$J$409*EFEITO!$Y$359</f>
        <v>7201.4671168354471</v>
      </c>
      <c r="K409" s="56">
        <f>EFEITO!$L$409*EFEITO!$Z$359</f>
        <v>0</v>
      </c>
      <c r="L409" s="56">
        <f>EFEITO!$N$409*EFEITO!$AA$359</f>
        <v>0</v>
      </c>
      <c r="M409" s="56">
        <f ca="1">$J$409-EFEITO!$K$409*EFEITO!$Y$409</f>
        <v>144.02934233670931</v>
      </c>
      <c r="N409" s="56">
        <f>$K$409-EFEITO!$M$409*EFEITO!$Z$409</f>
        <v>0</v>
      </c>
      <c r="O409" s="56">
        <f>$L$409-EFEITO!$O$409*EFEITO!$AA$409</f>
        <v>0</v>
      </c>
      <c r="P409" s="39"/>
      <c r="Q409" s="39"/>
      <c r="R409" s="39"/>
      <c r="S409" s="39"/>
      <c r="T409" s="39"/>
      <c r="U409" s="39"/>
      <c r="V409" s="39"/>
      <c r="W409" s="39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35" t="s">
        <v>21</v>
      </c>
      <c r="B410" s="35" t="s">
        <v>39</v>
      </c>
      <c r="C410" s="35" t="s">
        <v>40</v>
      </c>
      <c r="D410" s="35" t="s">
        <v>44</v>
      </c>
      <c r="E410" s="35" t="s">
        <v>53</v>
      </c>
      <c r="F410" s="35" t="s">
        <v>25</v>
      </c>
      <c r="G410" s="35" t="s">
        <v>25</v>
      </c>
      <c r="H410" s="35" t="s">
        <v>25</v>
      </c>
      <c r="I410" s="55">
        <v>44562</v>
      </c>
      <c r="J410" s="56">
        <f ca="1">EFEITO!$J$410*EFEITO!$Y$359</f>
        <v>9402.5089952747676</v>
      </c>
      <c r="K410" s="56">
        <f>EFEITO!$L$410*EFEITO!$Z$359</f>
        <v>0</v>
      </c>
      <c r="L410" s="56">
        <f>EFEITO!$N$410*EFEITO!$AA$359</f>
        <v>0</v>
      </c>
      <c r="M410" s="56">
        <f ca="1">$J$410-EFEITO!$K$410*EFEITO!$Y$410</f>
        <v>188.05017990549641</v>
      </c>
      <c r="N410" s="56">
        <f>$K$410-EFEITO!$M$410*EFEITO!$Z$410</f>
        <v>0</v>
      </c>
      <c r="O410" s="56">
        <f>$L$410-EFEITO!$O$410*EFEITO!$AA$410</f>
        <v>0</v>
      </c>
      <c r="P410" s="39"/>
      <c r="Q410" s="39"/>
      <c r="R410" s="39"/>
      <c r="S410" s="39"/>
      <c r="T410" s="39"/>
      <c r="U410" s="39"/>
      <c r="V410" s="39"/>
      <c r="W410" s="39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35" t="s">
        <v>21</v>
      </c>
      <c r="B411" s="35" t="s">
        <v>39</v>
      </c>
      <c r="C411" s="35" t="s">
        <v>40</v>
      </c>
      <c r="D411" s="35" t="s">
        <v>44</v>
      </c>
      <c r="E411" s="35" t="s">
        <v>53</v>
      </c>
      <c r="F411" s="35" t="s">
        <v>25</v>
      </c>
      <c r="G411" s="35" t="s">
        <v>25</v>
      </c>
      <c r="H411" s="35" t="s">
        <v>25</v>
      </c>
      <c r="I411" s="55">
        <v>44593</v>
      </c>
      <c r="J411" s="56">
        <f ca="1">EFEITO!$J$411*EFEITO!$Y$359</f>
        <v>8248.5647094910455</v>
      </c>
      <c r="K411" s="56">
        <f>EFEITO!$L$411*EFEITO!$Z$359</f>
        <v>0</v>
      </c>
      <c r="L411" s="56">
        <f>EFEITO!$N$411*EFEITO!$AA$359</f>
        <v>0</v>
      </c>
      <c r="M411" s="56">
        <f ca="1">$J$411-EFEITO!$K$411*EFEITO!$Y$411</f>
        <v>164.97129418982058</v>
      </c>
      <c r="N411" s="56">
        <f>$K$411-EFEITO!$M$411*EFEITO!$Z$411</f>
        <v>0</v>
      </c>
      <c r="O411" s="56">
        <f>$L$411-EFEITO!$O$411*EFEITO!$AA$411</f>
        <v>0</v>
      </c>
      <c r="P411" s="39"/>
      <c r="Q411" s="39"/>
      <c r="R411" s="39"/>
      <c r="S411" s="39"/>
      <c r="T411" s="39"/>
      <c r="U411" s="39"/>
      <c r="V411" s="39"/>
      <c r="W411" s="39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35" t="s">
        <v>21</v>
      </c>
      <c r="B412" s="35" t="s">
        <v>39</v>
      </c>
      <c r="C412" s="35" t="s">
        <v>40</v>
      </c>
      <c r="D412" s="35" t="s">
        <v>44</v>
      </c>
      <c r="E412" s="35" t="s">
        <v>53</v>
      </c>
      <c r="F412" s="35" t="s">
        <v>25</v>
      </c>
      <c r="G412" s="35" t="s">
        <v>25</v>
      </c>
      <c r="H412" s="35" t="s">
        <v>25</v>
      </c>
      <c r="I412" s="55">
        <v>44621</v>
      </c>
      <c r="J412" s="56">
        <f ca="1">EFEITO!$J$412*EFEITO!$Y$359</f>
        <v>34276.419155501651</v>
      </c>
      <c r="K412" s="56">
        <f>EFEITO!$L$412*EFEITO!$Z$359</f>
        <v>0</v>
      </c>
      <c r="L412" s="56">
        <f>EFEITO!$N$412*EFEITO!$AA$359</f>
        <v>0</v>
      </c>
      <c r="M412" s="56">
        <f ca="1">$J$412-EFEITO!$K$412*EFEITO!$Y$412</f>
        <v>685.52838311003143</v>
      </c>
      <c r="N412" s="56">
        <f>$K$412-EFEITO!$M$412*EFEITO!$Z$412</f>
        <v>0</v>
      </c>
      <c r="O412" s="56">
        <f>$L$412-EFEITO!$O$412*EFEITO!$AA$412</f>
        <v>0</v>
      </c>
      <c r="P412" s="39"/>
      <c r="Q412" s="39"/>
      <c r="R412" s="39"/>
      <c r="S412" s="39"/>
      <c r="T412" s="39"/>
      <c r="U412" s="39"/>
      <c r="V412" s="39"/>
      <c r="W412" s="39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35" t="s">
        <v>21</v>
      </c>
      <c r="B413" s="35" t="s">
        <v>39</v>
      </c>
      <c r="C413" s="35" t="s">
        <v>40</v>
      </c>
      <c r="D413" s="35" t="s">
        <v>44</v>
      </c>
      <c r="E413" s="35" t="s">
        <v>53</v>
      </c>
      <c r="F413" s="35" t="s">
        <v>25</v>
      </c>
      <c r="G413" s="35" t="s">
        <v>25</v>
      </c>
      <c r="H413" s="35" t="s">
        <v>25</v>
      </c>
      <c r="I413" s="55">
        <v>44652</v>
      </c>
      <c r="J413" s="56">
        <f ca="1">EFEITO!$J$413*EFEITO!$Y$359</f>
        <v>31669.359843175469</v>
      </c>
      <c r="K413" s="56">
        <f>EFEITO!$L$413*EFEITO!$Z$359</f>
        <v>0</v>
      </c>
      <c r="L413" s="56">
        <f>EFEITO!$N$413*EFEITO!$AA$359</f>
        <v>0</v>
      </c>
      <c r="M413" s="56">
        <f ca="1">$J$413-EFEITO!$K$413*EFEITO!$Y$413</f>
        <v>633.38719686351396</v>
      </c>
      <c r="N413" s="56">
        <f>$K$413-EFEITO!$M$413*EFEITO!$Z$413</f>
        <v>0</v>
      </c>
      <c r="O413" s="56">
        <f>$L$413-EFEITO!$O$413*EFEITO!$AA$413</f>
        <v>0</v>
      </c>
      <c r="P413" s="39"/>
      <c r="Q413" s="39"/>
      <c r="R413" s="39"/>
      <c r="S413" s="39"/>
      <c r="T413" s="39"/>
      <c r="U413" s="39"/>
      <c r="V413" s="39"/>
      <c r="W413" s="39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35" t="s">
        <v>21</v>
      </c>
      <c r="B414" s="35" t="s">
        <v>39</v>
      </c>
      <c r="C414" s="35" t="s">
        <v>40</v>
      </c>
      <c r="D414" s="35" t="s">
        <v>44</v>
      </c>
      <c r="E414" s="35" t="s">
        <v>53</v>
      </c>
      <c r="F414" s="35" t="s">
        <v>25</v>
      </c>
      <c r="G414" s="35" t="s">
        <v>25</v>
      </c>
      <c r="H414" s="35" t="s">
        <v>25</v>
      </c>
      <c r="I414" s="55">
        <v>44682</v>
      </c>
      <c r="J414" s="56">
        <f ca="1">EFEITO!$J$414*EFEITO!$Y$359</f>
        <v>31370.189102416723</v>
      </c>
      <c r="K414" s="56">
        <f>EFEITO!$L$414*EFEITO!$Z$359</f>
        <v>0</v>
      </c>
      <c r="L414" s="56">
        <f>EFEITO!$N$414*EFEITO!$AA$359</f>
        <v>0</v>
      </c>
      <c r="M414" s="56">
        <f ca="1">$J$414-EFEITO!$K$414*EFEITO!$Y$414</f>
        <v>627.40378204833542</v>
      </c>
      <c r="N414" s="56">
        <f>$K$414-EFEITO!$M$414*EFEITO!$Z$414</f>
        <v>0</v>
      </c>
      <c r="O414" s="56">
        <f>$L$414-EFEITO!$O$414*EFEITO!$AA$414</f>
        <v>0</v>
      </c>
      <c r="P414" s="39"/>
      <c r="Q414" s="39"/>
      <c r="R414" s="39"/>
      <c r="S414" s="39"/>
      <c r="T414" s="39"/>
      <c r="U414" s="39"/>
      <c r="V414" s="39"/>
      <c r="W414" s="39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35" t="s">
        <v>21</v>
      </c>
      <c r="B415" s="35" t="s">
        <v>39</v>
      </c>
      <c r="C415" s="35" t="s">
        <v>40</v>
      </c>
      <c r="D415" s="35" t="s">
        <v>44</v>
      </c>
      <c r="E415" s="35" t="s">
        <v>53</v>
      </c>
      <c r="F415" s="35" t="s">
        <v>25</v>
      </c>
      <c r="G415" s="35" t="s">
        <v>25</v>
      </c>
      <c r="H415" s="35" t="s">
        <v>25</v>
      </c>
      <c r="I415" s="55">
        <v>44713</v>
      </c>
      <c r="J415" s="56">
        <f ca="1">EFEITO!$J$415*EFEITO!$Y$359</f>
        <v>33699.447012609795</v>
      </c>
      <c r="K415" s="56">
        <f>EFEITO!$L$415*EFEITO!$Z$359</f>
        <v>0</v>
      </c>
      <c r="L415" s="56">
        <f>EFEITO!$N$415*EFEITO!$AA$359</f>
        <v>0</v>
      </c>
      <c r="M415" s="56">
        <f ca="1">$J$415-EFEITO!$K$415*EFEITO!$Y$415</f>
        <v>673.98894025220216</v>
      </c>
      <c r="N415" s="56">
        <f>$K$415-EFEITO!$M$415*EFEITO!$Z$415</f>
        <v>0</v>
      </c>
      <c r="O415" s="56">
        <f>$L$415-EFEITO!$O$415*EFEITO!$AA$415</f>
        <v>0</v>
      </c>
      <c r="P415" s="39"/>
      <c r="Q415" s="39"/>
      <c r="R415" s="39"/>
      <c r="S415" s="39"/>
      <c r="T415" s="39"/>
      <c r="U415" s="39"/>
      <c r="V415" s="39"/>
      <c r="W415" s="39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35" t="s">
        <v>21</v>
      </c>
      <c r="B416" s="35" t="s">
        <v>39</v>
      </c>
      <c r="C416" s="35" t="s">
        <v>40</v>
      </c>
      <c r="D416" s="35" t="s">
        <v>44</v>
      </c>
      <c r="E416" s="35" t="s">
        <v>53</v>
      </c>
      <c r="F416" s="35" t="s">
        <v>25</v>
      </c>
      <c r="G416" s="35" t="s">
        <v>25</v>
      </c>
      <c r="H416" s="35" t="s">
        <v>25</v>
      </c>
      <c r="I416" s="55">
        <v>44743</v>
      </c>
      <c r="J416" s="56">
        <f ca="1">EFEITO!$J$416*EFEITO!$Y$359</f>
        <v>29361.471271608025</v>
      </c>
      <c r="K416" s="56">
        <f>EFEITO!$L$416*EFEITO!$Z$359</f>
        <v>0</v>
      </c>
      <c r="L416" s="56">
        <f>EFEITO!$N$416*EFEITO!$AA$359</f>
        <v>0</v>
      </c>
      <c r="M416" s="56">
        <f ca="1">$J$416-EFEITO!$K$416*EFEITO!$Y$416</f>
        <v>587.22942543216413</v>
      </c>
      <c r="N416" s="56">
        <f>$K$416-EFEITO!$M$416*EFEITO!$Z$416</f>
        <v>0</v>
      </c>
      <c r="O416" s="56">
        <f>$L$416-EFEITO!$O$416*EFEITO!$AA$416</f>
        <v>0</v>
      </c>
      <c r="P416" s="39"/>
      <c r="Q416" s="39"/>
      <c r="R416" s="39"/>
      <c r="S416" s="39"/>
      <c r="T416" s="39"/>
      <c r="U416" s="39"/>
      <c r="V416" s="39"/>
      <c r="W416" s="39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35" t="s">
        <v>21</v>
      </c>
      <c r="B417" s="35" t="s">
        <v>39</v>
      </c>
      <c r="C417" s="35" t="s">
        <v>40</v>
      </c>
      <c r="D417" s="35" t="s">
        <v>44</v>
      </c>
      <c r="E417" s="35" t="s">
        <v>53</v>
      </c>
      <c r="F417" s="35" t="s">
        <v>25</v>
      </c>
      <c r="G417" s="35" t="s">
        <v>25</v>
      </c>
      <c r="H417" s="35" t="s">
        <v>25</v>
      </c>
      <c r="I417" s="55">
        <v>44774</v>
      </c>
      <c r="J417" s="56">
        <f ca="1">EFEITO!$J$417*EFEITO!$Y$359</f>
        <v>38229.746801242181</v>
      </c>
      <c r="K417" s="56">
        <f>EFEITO!$L$417*EFEITO!$Z$359</f>
        <v>0</v>
      </c>
      <c r="L417" s="56">
        <f>EFEITO!$N$417*EFEITO!$AA$359</f>
        <v>0</v>
      </c>
      <c r="M417" s="56">
        <f ca="1">$J$417-EFEITO!$K$417*EFEITO!$Y$417</f>
        <v>764.59493602484872</v>
      </c>
      <c r="N417" s="56">
        <f>$K$417-EFEITO!$M$417*EFEITO!$Z$417</f>
        <v>0</v>
      </c>
      <c r="O417" s="56">
        <f>$L$417-EFEITO!$O$417*EFEITO!$AA$417</f>
        <v>0</v>
      </c>
      <c r="P417" s="39"/>
      <c r="Q417" s="39"/>
      <c r="R417" s="39"/>
      <c r="S417" s="39"/>
      <c r="T417" s="39"/>
      <c r="U417" s="39"/>
      <c r="V417" s="39"/>
      <c r="W417" s="39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35" t="s">
        <v>21</v>
      </c>
      <c r="B418" s="35" t="s">
        <v>39</v>
      </c>
      <c r="C418" s="35" t="s">
        <v>40</v>
      </c>
      <c r="D418" s="35" t="s">
        <v>44</v>
      </c>
      <c r="E418" s="35" t="s">
        <v>53</v>
      </c>
      <c r="F418" s="35" t="s">
        <v>25</v>
      </c>
      <c r="G418" s="35" t="s">
        <v>25</v>
      </c>
      <c r="H418" s="35" t="s">
        <v>25</v>
      </c>
      <c r="I418" s="55">
        <v>44805</v>
      </c>
      <c r="J418" s="56">
        <f ca="1">EFEITO!$J$418*EFEITO!$Y$359</f>
        <v>20706.889128230112</v>
      </c>
      <c r="K418" s="56">
        <f>EFEITO!$L$418*EFEITO!$Z$359</f>
        <v>0</v>
      </c>
      <c r="L418" s="56">
        <f>EFEITO!$N$418*EFEITO!$AA$359</f>
        <v>0</v>
      </c>
      <c r="M418" s="56">
        <f ca="1">$J$418-EFEITO!$K$418*EFEITO!$Y$418</f>
        <v>414.13778256460137</v>
      </c>
      <c r="N418" s="56">
        <f>$K$418-EFEITO!$M$418*EFEITO!$Z$418</f>
        <v>0</v>
      </c>
      <c r="O418" s="56">
        <f>$L$418-EFEITO!$O$418*EFEITO!$AA$418</f>
        <v>0</v>
      </c>
      <c r="P418" s="39"/>
      <c r="Q418" s="39"/>
      <c r="R418" s="39"/>
      <c r="S418" s="39"/>
      <c r="T418" s="39"/>
      <c r="U418" s="39"/>
      <c r="V418" s="39"/>
      <c r="W418" s="39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35" t="s">
        <v>57</v>
      </c>
      <c r="B419" s="35" t="s">
        <v>39</v>
      </c>
      <c r="C419" s="35" t="s">
        <v>40</v>
      </c>
      <c r="D419" s="35" t="s">
        <v>44</v>
      </c>
      <c r="E419" s="35" t="s">
        <v>53</v>
      </c>
      <c r="F419" s="35" t="s">
        <v>25</v>
      </c>
      <c r="G419" s="35" t="s">
        <v>25</v>
      </c>
      <c r="H419" s="35" t="s">
        <v>25</v>
      </c>
      <c r="I419" s="55">
        <v>44835</v>
      </c>
      <c r="J419" s="56">
        <f ca="1">EFEITO!$J$419*EFEITO!$Y$359</f>
        <v>20706.889128230112</v>
      </c>
      <c r="K419" s="56">
        <f>EFEITO!$L$419*EFEITO!$Z$359</f>
        <v>0</v>
      </c>
      <c r="L419" s="56">
        <f>EFEITO!$N$419*EFEITO!$AA$359</f>
        <v>0</v>
      </c>
      <c r="M419" s="56">
        <f ca="1">$J$419-EFEITO!$K$419*EFEITO!$Y$419</f>
        <v>414.13778256460137</v>
      </c>
      <c r="N419" s="56">
        <f>$K$419-EFEITO!$M$419*EFEITO!$Z$419</f>
        <v>0</v>
      </c>
      <c r="O419" s="56">
        <f>$L$419-EFEITO!$O$419*EFEITO!$AA$419</f>
        <v>0</v>
      </c>
      <c r="P419" s="39"/>
      <c r="Q419" s="39"/>
      <c r="R419" s="39"/>
      <c r="S419" s="39"/>
      <c r="T419" s="39"/>
      <c r="U419" s="39"/>
      <c r="V419" s="39"/>
      <c r="W419" s="39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35" t="s">
        <v>21</v>
      </c>
      <c r="B420" s="35" t="s">
        <v>39</v>
      </c>
      <c r="C420" s="35" t="s">
        <v>40</v>
      </c>
      <c r="D420" s="35" t="s">
        <v>44</v>
      </c>
      <c r="E420" s="35" t="s">
        <v>53</v>
      </c>
      <c r="F420" s="35" t="s">
        <v>25</v>
      </c>
      <c r="G420" s="35" t="s">
        <v>25</v>
      </c>
      <c r="H420" s="35" t="s">
        <v>34</v>
      </c>
      <c r="I420" s="55">
        <v>44501</v>
      </c>
      <c r="J420" s="56">
        <f>EFEITO!$J$420*EFEITO!$Y$383</f>
        <v>0</v>
      </c>
      <c r="K420" s="56">
        <f ca="1">EFEITO!$L$420*EFEITO!$Z$383</f>
        <v>673.35191832632961</v>
      </c>
      <c r="L420" s="56">
        <f>EFEITO!$N$420*EFEITO!$AA$383</f>
        <v>175.90898646251298</v>
      </c>
      <c r="M420" s="56">
        <f>$J$420-EFEITO!$K$420*EFEITO!$Y$420</f>
        <v>0</v>
      </c>
      <c r="N420" s="56">
        <f ca="1">$K$420-EFEITO!$M$420*EFEITO!$Z$420</f>
        <v>13.467038366526594</v>
      </c>
      <c r="O420" s="56">
        <f>$L$420-EFEITO!$O$420*EFEITO!$AA$420</f>
        <v>3.5181797292502495</v>
      </c>
      <c r="P420" s="39"/>
      <c r="Q420" s="39"/>
      <c r="R420" s="39"/>
      <c r="S420" s="39"/>
      <c r="T420" s="39"/>
      <c r="U420" s="39"/>
      <c r="V420" s="39"/>
      <c r="W420" s="39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35" t="s">
        <v>21</v>
      </c>
      <c r="B421" s="35" t="s">
        <v>39</v>
      </c>
      <c r="C421" s="35" t="s">
        <v>40</v>
      </c>
      <c r="D421" s="35" t="s">
        <v>44</v>
      </c>
      <c r="E421" s="35" t="s">
        <v>53</v>
      </c>
      <c r="F421" s="35" t="s">
        <v>25</v>
      </c>
      <c r="G421" s="35" t="s">
        <v>25</v>
      </c>
      <c r="H421" s="35" t="s">
        <v>34</v>
      </c>
      <c r="I421" s="55">
        <v>44531</v>
      </c>
      <c r="J421" s="56">
        <f>EFEITO!$J$421*EFEITO!$Y$383</f>
        <v>0</v>
      </c>
      <c r="K421" s="56">
        <f ca="1">EFEITO!$L$421*EFEITO!$Z$383</f>
        <v>719.07334487935202</v>
      </c>
      <c r="L421" s="56">
        <f>EFEITO!$N$421*EFEITO!$AA$383</f>
        <v>187.85342381490585</v>
      </c>
      <c r="M421" s="56">
        <f>$J$421-EFEITO!$K$421*EFEITO!$Y$421</f>
        <v>0</v>
      </c>
      <c r="N421" s="56">
        <f ca="1">$K$421-EFEITO!$M$421*EFEITO!$Z$421</f>
        <v>14.381466897586961</v>
      </c>
      <c r="O421" s="56">
        <f>$L$421-EFEITO!$O$421*EFEITO!$AA$421</f>
        <v>3.7570684762981159</v>
      </c>
      <c r="P421" s="39"/>
      <c r="Q421" s="39"/>
      <c r="R421" s="39"/>
      <c r="S421" s="39"/>
      <c r="T421" s="39"/>
      <c r="U421" s="39"/>
      <c r="V421" s="39"/>
      <c r="W421" s="39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35" t="s">
        <v>21</v>
      </c>
      <c r="B422" s="35" t="s">
        <v>39</v>
      </c>
      <c r="C422" s="35" t="s">
        <v>40</v>
      </c>
      <c r="D422" s="35" t="s">
        <v>44</v>
      </c>
      <c r="E422" s="35" t="s">
        <v>53</v>
      </c>
      <c r="F422" s="35" t="s">
        <v>25</v>
      </c>
      <c r="G422" s="35" t="s">
        <v>25</v>
      </c>
      <c r="H422" s="35" t="s">
        <v>34</v>
      </c>
      <c r="I422" s="55">
        <v>44562</v>
      </c>
      <c r="J422" s="56">
        <f>EFEITO!$J$422*EFEITO!$Y$383</f>
        <v>0</v>
      </c>
      <c r="K422" s="56">
        <f ca="1">EFEITO!$L$422*EFEITO!$Z$383</f>
        <v>462.75625662755994</v>
      </c>
      <c r="L422" s="56">
        <f>EFEITO!$N$422*EFEITO!$AA$383</f>
        <v>120.89218411209741</v>
      </c>
      <c r="M422" s="56">
        <f>$J$422-EFEITO!$K$422*EFEITO!$Y$422</f>
        <v>0</v>
      </c>
      <c r="N422" s="56">
        <f ca="1">$K$422-EFEITO!$M$422*EFEITO!$Z$422</f>
        <v>9.2551251325511998</v>
      </c>
      <c r="O422" s="56">
        <f>$L$422-EFEITO!$O$422*EFEITO!$AA$422</f>
        <v>2.4178436822419513</v>
      </c>
      <c r="P422" s="39"/>
      <c r="Q422" s="39"/>
      <c r="R422" s="39"/>
      <c r="S422" s="39"/>
      <c r="T422" s="39"/>
      <c r="U422" s="39"/>
      <c r="V422" s="39"/>
      <c r="W422" s="39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35" t="s">
        <v>21</v>
      </c>
      <c r="B423" s="35" t="s">
        <v>39</v>
      </c>
      <c r="C423" s="35" t="s">
        <v>40</v>
      </c>
      <c r="D423" s="35" t="s">
        <v>44</v>
      </c>
      <c r="E423" s="35" t="s">
        <v>53</v>
      </c>
      <c r="F423" s="35" t="s">
        <v>25</v>
      </c>
      <c r="G423" s="35" t="s">
        <v>25</v>
      </c>
      <c r="H423" s="35" t="s">
        <v>34</v>
      </c>
      <c r="I423" s="55">
        <v>44593</v>
      </c>
      <c r="J423" s="56">
        <f>EFEITO!$J$423*EFEITO!$Y$383</f>
        <v>0</v>
      </c>
      <c r="K423" s="56">
        <f ca="1">EFEITO!$L$423*EFEITO!$Z$383</f>
        <v>515.40517205225228</v>
      </c>
      <c r="L423" s="56">
        <f>EFEITO!$N$423*EFEITO!$AA$383</f>
        <v>134.64638469970129</v>
      </c>
      <c r="M423" s="56">
        <f>$J$423-EFEITO!$K$423*EFEITO!$Y$423</f>
        <v>0</v>
      </c>
      <c r="N423" s="56">
        <f ca="1">$K$423-EFEITO!$M$423*EFEITO!$Z$423</f>
        <v>10.308103441044977</v>
      </c>
      <c r="O423" s="56">
        <f>$L$423-EFEITO!$O$423*EFEITO!$AA$423</f>
        <v>2.6929276939940223</v>
      </c>
      <c r="P423" s="39"/>
      <c r="Q423" s="39"/>
      <c r="R423" s="39"/>
      <c r="S423" s="39"/>
      <c r="T423" s="39"/>
      <c r="U423" s="39"/>
      <c r="V423" s="39"/>
      <c r="W423" s="39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35" t="s">
        <v>21</v>
      </c>
      <c r="B424" s="35" t="s">
        <v>39</v>
      </c>
      <c r="C424" s="35" t="s">
        <v>40</v>
      </c>
      <c r="D424" s="35" t="s">
        <v>44</v>
      </c>
      <c r="E424" s="35" t="s">
        <v>53</v>
      </c>
      <c r="F424" s="35" t="s">
        <v>25</v>
      </c>
      <c r="G424" s="35" t="s">
        <v>25</v>
      </c>
      <c r="H424" s="35" t="s">
        <v>34</v>
      </c>
      <c r="I424" s="55">
        <v>44621</v>
      </c>
      <c r="J424" s="56">
        <f>EFEITO!$J$424*EFEITO!$Y$383</f>
        <v>0</v>
      </c>
      <c r="K424" s="56">
        <f ca="1">EFEITO!$L$424*EFEITO!$Z$383</f>
        <v>990.63090864881826</v>
      </c>
      <c r="L424" s="56">
        <f>EFEITO!$N$424*EFEITO!$AA$383</f>
        <v>258.79614263517857</v>
      </c>
      <c r="M424" s="56">
        <f>$J$424-EFEITO!$K$424*EFEITO!$Y$424</f>
        <v>0</v>
      </c>
      <c r="N424" s="56">
        <f ca="1">$K$424-EFEITO!$M$424*EFEITO!$Z$424</f>
        <v>19.812618172976272</v>
      </c>
      <c r="O424" s="56">
        <f>$L$424-EFEITO!$O$424*EFEITO!$AA$424</f>
        <v>5.1759228527035646</v>
      </c>
      <c r="P424" s="39"/>
      <c r="Q424" s="39"/>
      <c r="R424" s="39"/>
      <c r="S424" s="39"/>
      <c r="T424" s="39"/>
      <c r="U424" s="39"/>
      <c r="V424" s="39"/>
      <c r="W424" s="39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35" t="s">
        <v>21</v>
      </c>
      <c r="B425" s="35" t="s">
        <v>39</v>
      </c>
      <c r="C425" s="35" t="s">
        <v>40</v>
      </c>
      <c r="D425" s="35" t="s">
        <v>44</v>
      </c>
      <c r="E425" s="35" t="s">
        <v>53</v>
      </c>
      <c r="F425" s="35" t="s">
        <v>25</v>
      </c>
      <c r="G425" s="35" t="s">
        <v>25</v>
      </c>
      <c r="H425" s="35" t="s">
        <v>34</v>
      </c>
      <c r="I425" s="55">
        <v>44652</v>
      </c>
      <c r="J425" s="56">
        <f>EFEITO!$J$425*EFEITO!$Y$383</f>
        <v>0</v>
      </c>
      <c r="K425" s="56">
        <f ca="1">EFEITO!$L$425*EFEITO!$Z$383</f>
        <v>1107.0127216928754</v>
      </c>
      <c r="L425" s="56">
        <f>EFEITO!$N$425*EFEITO!$AA$383</f>
        <v>289.20016498672402</v>
      </c>
      <c r="M425" s="56">
        <f>$J$425-EFEITO!$K$425*EFEITO!$Y$425</f>
        <v>0</v>
      </c>
      <c r="N425" s="56">
        <f ca="1">$K$425-EFEITO!$M$425*EFEITO!$Z$425</f>
        <v>22.140254433857535</v>
      </c>
      <c r="O425" s="56">
        <f>$L$425-EFEITO!$O$425*EFEITO!$AA$425</f>
        <v>5.7840032997344792</v>
      </c>
      <c r="P425" s="39"/>
      <c r="Q425" s="39"/>
      <c r="R425" s="39"/>
      <c r="S425" s="39"/>
      <c r="T425" s="39"/>
      <c r="U425" s="39"/>
      <c r="V425" s="39"/>
      <c r="W425" s="39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35" t="s">
        <v>21</v>
      </c>
      <c r="B426" s="35" t="s">
        <v>39</v>
      </c>
      <c r="C426" s="35" t="s">
        <v>40</v>
      </c>
      <c r="D426" s="35" t="s">
        <v>44</v>
      </c>
      <c r="E426" s="35" t="s">
        <v>53</v>
      </c>
      <c r="F426" s="35" t="s">
        <v>25</v>
      </c>
      <c r="G426" s="35" t="s">
        <v>25</v>
      </c>
      <c r="H426" s="35" t="s">
        <v>34</v>
      </c>
      <c r="I426" s="55">
        <v>44682</v>
      </c>
      <c r="J426" s="56">
        <f>EFEITO!$J$426*EFEITO!$Y$383</f>
        <v>0</v>
      </c>
      <c r="K426" s="56">
        <f ca="1">EFEITO!$L$426*EFEITO!$Z$383</f>
        <v>949.06597541879808</v>
      </c>
      <c r="L426" s="56">
        <f>EFEITO!$N$426*EFEITO!$AA$383</f>
        <v>247.93756322391235</v>
      </c>
      <c r="M426" s="56">
        <f>$J$426-EFEITO!$K$426*EFEITO!$Y$426</f>
        <v>0</v>
      </c>
      <c r="N426" s="56">
        <f ca="1">$K$426-EFEITO!$M$426*EFEITO!$Z$426</f>
        <v>18.981319508375918</v>
      </c>
      <c r="O426" s="56">
        <f>$L$426-EFEITO!$O$426*EFEITO!$AA$426</f>
        <v>4.9587512644782237</v>
      </c>
      <c r="P426" s="39"/>
      <c r="Q426" s="39"/>
      <c r="R426" s="39"/>
      <c r="S426" s="39"/>
      <c r="T426" s="39"/>
      <c r="U426" s="39"/>
      <c r="V426" s="39"/>
      <c r="W426" s="39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35" t="s">
        <v>21</v>
      </c>
      <c r="B427" s="35" t="s">
        <v>39</v>
      </c>
      <c r="C427" s="35" t="s">
        <v>40</v>
      </c>
      <c r="D427" s="35" t="s">
        <v>44</v>
      </c>
      <c r="E427" s="35" t="s">
        <v>53</v>
      </c>
      <c r="F427" s="35" t="s">
        <v>25</v>
      </c>
      <c r="G427" s="35" t="s">
        <v>25</v>
      </c>
      <c r="H427" s="35" t="s">
        <v>34</v>
      </c>
      <c r="I427" s="55">
        <v>44713</v>
      </c>
      <c r="J427" s="56">
        <f>EFEITO!$J$427*EFEITO!$Y$383</f>
        <v>0</v>
      </c>
      <c r="K427" s="56">
        <f ca="1">EFEITO!$L$427*EFEITO!$Z$383</f>
        <v>1747.1126934351885</v>
      </c>
      <c r="L427" s="56">
        <f>EFEITO!$N$427*EFEITO!$AA$383</f>
        <v>456.42228792022399</v>
      </c>
      <c r="M427" s="56">
        <f>$J$427-EFEITO!$K$427*EFEITO!$Y$427</f>
        <v>0</v>
      </c>
      <c r="N427" s="56">
        <f ca="1">$K$427-EFEITO!$M$427*EFEITO!$Z$427</f>
        <v>34.942253868703574</v>
      </c>
      <c r="O427" s="56">
        <f>$L$427-EFEITO!$O$427*EFEITO!$AA$427</f>
        <v>9.1284457584044958</v>
      </c>
      <c r="P427" s="39"/>
      <c r="Q427" s="39"/>
      <c r="R427" s="39"/>
      <c r="S427" s="39"/>
      <c r="T427" s="39"/>
      <c r="U427" s="39"/>
      <c r="V427" s="39"/>
      <c r="W427" s="39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35" t="s">
        <v>21</v>
      </c>
      <c r="B428" s="35" t="s">
        <v>39</v>
      </c>
      <c r="C428" s="35" t="s">
        <v>40</v>
      </c>
      <c r="D428" s="35" t="s">
        <v>44</v>
      </c>
      <c r="E428" s="35" t="s">
        <v>53</v>
      </c>
      <c r="F428" s="35" t="s">
        <v>25</v>
      </c>
      <c r="G428" s="35" t="s">
        <v>25</v>
      </c>
      <c r="H428" s="35" t="s">
        <v>34</v>
      </c>
      <c r="I428" s="55">
        <v>44743</v>
      </c>
      <c r="J428" s="56">
        <f>EFEITO!$J$428*EFEITO!$Y$383</f>
        <v>0</v>
      </c>
      <c r="K428" s="56">
        <f ca="1">EFEITO!$L$428*EFEITO!$Z$383</f>
        <v>1471.3986363427205</v>
      </c>
      <c r="L428" s="56">
        <f>EFEITO!$N$428*EFEITO!$AA$383</f>
        <v>384.39371115882471</v>
      </c>
      <c r="M428" s="56">
        <f>$J$428-EFEITO!$K$428*EFEITO!$Y$428</f>
        <v>0</v>
      </c>
      <c r="N428" s="56">
        <f ca="1">$K$428-EFEITO!$M$428*EFEITO!$Z$428</f>
        <v>29.427972726854478</v>
      </c>
      <c r="O428" s="56">
        <f>$L$428-EFEITO!$O$428*EFEITO!$AA$428</f>
        <v>7.6878742231764932</v>
      </c>
      <c r="P428" s="39"/>
      <c r="Q428" s="39"/>
      <c r="R428" s="39"/>
      <c r="S428" s="39"/>
      <c r="T428" s="39"/>
      <c r="U428" s="39"/>
      <c r="V428" s="39"/>
      <c r="W428" s="39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35" t="s">
        <v>21</v>
      </c>
      <c r="B429" s="35" t="s">
        <v>39</v>
      </c>
      <c r="C429" s="35" t="s">
        <v>40</v>
      </c>
      <c r="D429" s="35" t="s">
        <v>44</v>
      </c>
      <c r="E429" s="35" t="s">
        <v>53</v>
      </c>
      <c r="F429" s="35" t="s">
        <v>25</v>
      </c>
      <c r="G429" s="35" t="s">
        <v>25</v>
      </c>
      <c r="H429" s="35" t="s">
        <v>34</v>
      </c>
      <c r="I429" s="55">
        <v>44774</v>
      </c>
      <c r="J429" s="56">
        <f>EFEITO!$J$429*EFEITO!$Y$383</f>
        <v>0</v>
      </c>
      <c r="K429" s="56">
        <f ca="1">EFEITO!$L$429*EFEITO!$Z$383</f>
        <v>1119.4822016618814</v>
      </c>
      <c r="L429" s="56">
        <f>EFEITO!$N$429*EFEITO!$AA$383</f>
        <v>292.45773881010393</v>
      </c>
      <c r="M429" s="56">
        <f>$J$429-EFEITO!$K$429*EFEITO!$Y$429</f>
        <v>0</v>
      </c>
      <c r="N429" s="56">
        <f ca="1">$K$429-EFEITO!$M$429*EFEITO!$Z$429</f>
        <v>22.389644033237573</v>
      </c>
      <c r="O429" s="56">
        <f>$L$429-EFEITO!$O$429*EFEITO!$AA$429</f>
        <v>5.8491547762021128</v>
      </c>
      <c r="P429" s="39"/>
      <c r="Q429" s="39"/>
      <c r="R429" s="39"/>
      <c r="S429" s="39"/>
      <c r="T429" s="39"/>
      <c r="U429" s="39"/>
      <c r="V429" s="39"/>
      <c r="W429" s="39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35" t="s">
        <v>21</v>
      </c>
      <c r="B430" s="35" t="s">
        <v>39</v>
      </c>
      <c r="C430" s="35" t="s">
        <v>40</v>
      </c>
      <c r="D430" s="35" t="s">
        <v>44</v>
      </c>
      <c r="E430" s="35" t="s">
        <v>53</v>
      </c>
      <c r="F430" s="35" t="s">
        <v>25</v>
      </c>
      <c r="G430" s="35" t="s">
        <v>25</v>
      </c>
      <c r="H430" s="35" t="s">
        <v>34</v>
      </c>
      <c r="I430" s="55">
        <v>44805</v>
      </c>
      <c r="J430" s="56">
        <f>EFEITO!$J$430*EFEITO!$Y$383</f>
        <v>0</v>
      </c>
      <c r="K430" s="56">
        <f ca="1">EFEITO!$L$430*EFEITO!$Z$383</f>
        <v>1004.4858863921584</v>
      </c>
      <c r="L430" s="56">
        <f>EFEITO!$N$430*EFEITO!$AA$383</f>
        <v>262.41566910560061</v>
      </c>
      <c r="M430" s="56">
        <f>$J$430-EFEITO!$K$430*EFEITO!$Y$430</f>
        <v>0</v>
      </c>
      <c r="N430" s="56">
        <f ca="1">$K$430-EFEITO!$M$430*EFEITO!$Z$430</f>
        <v>20.089717727843095</v>
      </c>
      <c r="O430" s="56">
        <f>$L$430-EFEITO!$O$430*EFEITO!$AA$430</f>
        <v>5.2483133821119736</v>
      </c>
      <c r="P430" s="39"/>
      <c r="Q430" s="39"/>
      <c r="R430" s="39"/>
      <c r="S430" s="39"/>
      <c r="T430" s="39"/>
      <c r="U430" s="39"/>
      <c r="V430" s="39"/>
      <c r="W430" s="39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35" t="s">
        <v>57</v>
      </c>
      <c r="B431" s="35" t="s">
        <v>39</v>
      </c>
      <c r="C431" s="35" t="s">
        <v>40</v>
      </c>
      <c r="D431" s="35" t="s">
        <v>44</v>
      </c>
      <c r="E431" s="35" t="s">
        <v>53</v>
      </c>
      <c r="F431" s="35" t="s">
        <v>25</v>
      </c>
      <c r="G431" s="35" t="s">
        <v>25</v>
      </c>
      <c r="H431" s="35" t="s">
        <v>34</v>
      </c>
      <c r="I431" s="55">
        <v>44835</v>
      </c>
      <c r="J431" s="56">
        <f>EFEITO!$J$431*EFEITO!$Y$383</f>
        <v>0</v>
      </c>
      <c r="K431" s="56">
        <f ca="1">EFEITO!$L$431*EFEITO!$Z$383</f>
        <v>1004.4858863921584</v>
      </c>
      <c r="L431" s="56">
        <f>EFEITO!$N$431*EFEITO!$AA$383</f>
        <v>262.41566910560061</v>
      </c>
      <c r="M431" s="56">
        <f>$J$431-EFEITO!$K$431*EFEITO!$Y$431</f>
        <v>0</v>
      </c>
      <c r="N431" s="56">
        <f ca="1">$K$431-EFEITO!$M$431*EFEITO!$Z$431</f>
        <v>20.089717727843095</v>
      </c>
      <c r="O431" s="56">
        <f>$L$431-EFEITO!$O$431*EFEITO!$AA$431</f>
        <v>5.2483133821119736</v>
      </c>
      <c r="P431" s="39"/>
      <c r="Q431" s="39"/>
      <c r="R431" s="39"/>
      <c r="S431" s="39"/>
      <c r="T431" s="39"/>
      <c r="U431" s="39"/>
      <c r="V431" s="39"/>
      <c r="W431" s="39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35" t="s">
        <v>21</v>
      </c>
      <c r="B432" s="35" t="s">
        <v>39</v>
      </c>
      <c r="C432" s="35" t="s">
        <v>40</v>
      </c>
      <c r="D432" s="35" t="s">
        <v>44</v>
      </c>
      <c r="E432" s="35" t="s">
        <v>56</v>
      </c>
      <c r="F432" s="35" t="s">
        <v>25</v>
      </c>
      <c r="G432" s="35" t="s">
        <v>25</v>
      </c>
      <c r="H432" s="35" t="s">
        <v>35</v>
      </c>
      <c r="I432" s="55">
        <v>44501</v>
      </c>
      <c r="J432" s="56">
        <f>EFEITO!$J$432*EFEITO!$Y$335</f>
        <v>0</v>
      </c>
      <c r="K432" s="56">
        <f ca="1">EFEITO!$L$432*EFEITO!$Z$335</f>
        <v>57.997504826666493</v>
      </c>
      <c r="L432" s="56">
        <f>EFEITO!$N$432*EFEITO!$AA$335</f>
        <v>88.512758222185937</v>
      </c>
      <c r="M432" s="56">
        <f>$J$432-EFEITO!$K$432*EFEITO!$Y$432</f>
        <v>0</v>
      </c>
      <c r="N432" s="56">
        <f ca="1">$K$432-EFEITO!$M$432*EFEITO!$Z$432</f>
        <v>1.1599500965333363</v>
      </c>
      <c r="O432" s="56">
        <f>$L$432-EFEITO!$O$432*EFEITO!$AA$432</f>
        <v>1.770255164443725</v>
      </c>
      <c r="P432" s="39"/>
      <c r="Q432" s="39"/>
      <c r="R432" s="39"/>
      <c r="S432" s="39"/>
      <c r="T432" s="39"/>
      <c r="U432" s="39"/>
      <c r="V432" s="39"/>
      <c r="W432" s="39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35" t="s">
        <v>21</v>
      </c>
      <c r="B433" s="35" t="s">
        <v>39</v>
      </c>
      <c r="C433" s="35" t="s">
        <v>40</v>
      </c>
      <c r="D433" s="35" t="s">
        <v>44</v>
      </c>
      <c r="E433" s="35" t="s">
        <v>56</v>
      </c>
      <c r="F433" s="35" t="s">
        <v>25</v>
      </c>
      <c r="G433" s="35" t="s">
        <v>25</v>
      </c>
      <c r="H433" s="35" t="s">
        <v>35</v>
      </c>
      <c r="I433" s="55">
        <v>44531</v>
      </c>
      <c r="J433" s="56">
        <f>EFEITO!$J$433*EFEITO!$Y$335</f>
        <v>0</v>
      </c>
      <c r="K433" s="56">
        <f ca="1">EFEITO!$L$433*EFEITO!$Z$335</f>
        <v>60.911952305393449</v>
      </c>
      <c r="L433" s="56">
        <f>EFEITO!$N$433*EFEITO!$AA$335</f>
        <v>92.96063551978321</v>
      </c>
      <c r="M433" s="56">
        <f>$J$433-EFEITO!$K$433*EFEITO!$Y$433</f>
        <v>0</v>
      </c>
      <c r="N433" s="56">
        <f ca="1">$K$433-EFEITO!$M$433*EFEITO!$Z$433</f>
        <v>1.2182390461078754</v>
      </c>
      <c r="O433" s="56">
        <f>$L$433-EFEITO!$O$433*EFEITO!$AA$433</f>
        <v>1.859212710395667</v>
      </c>
      <c r="P433" s="39"/>
      <c r="Q433" s="39"/>
      <c r="R433" s="39"/>
      <c r="S433" s="39"/>
      <c r="T433" s="39"/>
      <c r="U433" s="39"/>
      <c r="V433" s="39"/>
      <c r="W433" s="39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35" t="s">
        <v>21</v>
      </c>
      <c r="B434" s="35" t="s">
        <v>39</v>
      </c>
      <c r="C434" s="35" t="s">
        <v>40</v>
      </c>
      <c r="D434" s="35" t="s">
        <v>44</v>
      </c>
      <c r="E434" s="35" t="s">
        <v>56</v>
      </c>
      <c r="F434" s="35" t="s">
        <v>25</v>
      </c>
      <c r="G434" s="35" t="s">
        <v>25</v>
      </c>
      <c r="H434" s="35" t="s">
        <v>35</v>
      </c>
      <c r="I434" s="55">
        <v>44562</v>
      </c>
      <c r="J434" s="56">
        <f>EFEITO!$J$434*EFEITO!$Y$335</f>
        <v>0</v>
      </c>
      <c r="K434" s="56">
        <f ca="1">EFEITO!$L$434*EFEITO!$Z$335</f>
        <v>62.514898418693278</v>
      </c>
      <c r="L434" s="56">
        <f>EFEITO!$N$434*EFEITO!$AA$335</f>
        <v>95.406968033461709</v>
      </c>
      <c r="M434" s="56">
        <f>$J$434-EFEITO!$K$434*EFEITO!$Y$434</f>
        <v>0</v>
      </c>
      <c r="N434" s="56">
        <f ca="1">$K$434-EFEITO!$M$434*EFEITO!$Z$434</f>
        <v>1.2502979683738715</v>
      </c>
      <c r="O434" s="56">
        <f>$L$434-EFEITO!$O$434*EFEITO!$AA$434</f>
        <v>1.9081393606692245</v>
      </c>
      <c r="P434" s="39"/>
      <c r="Q434" s="39"/>
      <c r="R434" s="39"/>
      <c r="S434" s="39"/>
      <c r="T434" s="39"/>
      <c r="U434" s="39"/>
      <c r="V434" s="39"/>
      <c r="W434" s="39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35" t="s">
        <v>21</v>
      </c>
      <c r="B435" s="35" t="s">
        <v>39</v>
      </c>
      <c r="C435" s="35" t="s">
        <v>40</v>
      </c>
      <c r="D435" s="35" t="s">
        <v>44</v>
      </c>
      <c r="E435" s="35" t="s">
        <v>56</v>
      </c>
      <c r="F435" s="35" t="s">
        <v>25</v>
      </c>
      <c r="G435" s="35" t="s">
        <v>25</v>
      </c>
      <c r="H435" s="35" t="s">
        <v>25</v>
      </c>
      <c r="I435" s="55">
        <v>44501</v>
      </c>
      <c r="J435" s="56">
        <f ca="1">EFEITO!$J$435*EFEITO!$Y$359</f>
        <v>21.369338625624472</v>
      </c>
      <c r="K435" s="56">
        <f>EFEITO!$L$435*EFEITO!$Z$359</f>
        <v>0</v>
      </c>
      <c r="L435" s="56">
        <f>EFEITO!$N$435*EFEITO!$AA$359</f>
        <v>0</v>
      </c>
      <c r="M435" s="56">
        <f ca="1">$J$435-EFEITO!$K$435*EFEITO!$Y$435</f>
        <v>0.42738677251249158</v>
      </c>
      <c r="N435" s="56">
        <f>$K$435-EFEITO!$M$435*EFEITO!$Z$435</f>
        <v>0</v>
      </c>
      <c r="O435" s="56">
        <f>$L$435-EFEITO!$O$435*EFEITO!$AA$435</f>
        <v>0</v>
      </c>
      <c r="P435" s="39"/>
      <c r="Q435" s="39"/>
      <c r="R435" s="39"/>
      <c r="S435" s="39"/>
      <c r="T435" s="39"/>
      <c r="U435" s="39"/>
      <c r="V435" s="39"/>
      <c r="W435" s="39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35" t="s">
        <v>21</v>
      </c>
      <c r="B436" s="35" t="s">
        <v>39</v>
      </c>
      <c r="C436" s="35" t="s">
        <v>40</v>
      </c>
      <c r="D436" s="35" t="s">
        <v>44</v>
      </c>
      <c r="E436" s="35" t="s">
        <v>56</v>
      </c>
      <c r="F436" s="35" t="s">
        <v>25</v>
      </c>
      <c r="G436" s="35" t="s">
        <v>25</v>
      </c>
      <c r="H436" s="35" t="s">
        <v>25</v>
      </c>
      <c r="I436" s="55">
        <v>44531</v>
      </c>
      <c r="J436" s="56">
        <f ca="1">EFEITO!$J$436*EFEITO!$Y$359</f>
        <v>21.369338625624472</v>
      </c>
      <c r="K436" s="56">
        <f>EFEITO!$L$436*EFEITO!$Z$359</f>
        <v>0</v>
      </c>
      <c r="L436" s="56">
        <f>EFEITO!$N$436*EFEITO!$AA$359</f>
        <v>0</v>
      </c>
      <c r="M436" s="56">
        <f ca="1">$J$436-EFEITO!$K$436*EFEITO!$Y$436</f>
        <v>0.42738677251249158</v>
      </c>
      <c r="N436" s="56">
        <f>$K$436-EFEITO!$M$436*EFEITO!$Z$436</f>
        <v>0</v>
      </c>
      <c r="O436" s="56">
        <f>$L$436-EFEITO!$O$436*EFEITO!$AA$436</f>
        <v>0</v>
      </c>
      <c r="P436" s="39"/>
      <c r="Q436" s="39"/>
      <c r="R436" s="39"/>
      <c r="S436" s="39"/>
      <c r="T436" s="39"/>
      <c r="U436" s="39"/>
      <c r="V436" s="39"/>
      <c r="W436" s="39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35" t="s">
        <v>21</v>
      </c>
      <c r="B437" s="35" t="s">
        <v>39</v>
      </c>
      <c r="C437" s="35" t="s">
        <v>40</v>
      </c>
      <c r="D437" s="35" t="s">
        <v>44</v>
      </c>
      <c r="E437" s="35" t="s">
        <v>56</v>
      </c>
      <c r="F437" s="35" t="s">
        <v>25</v>
      </c>
      <c r="G437" s="35" t="s">
        <v>25</v>
      </c>
      <c r="H437" s="35" t="s">
        <v>25</v>
      </c>
      <c r="I437" s="55">
        <v>44562</v>
      </c>
      <c r="J437" s="56">
        <f ca="1">EFEITO!$J$437*EFEITO!$Y$359</f>
        <v>21.369338625624472</v>
      </c>
      <c r="K437" s="56">
        <f>EFEITO!$L$437*EFEITO!$Z$359</f>
        <v>0</v>
      </c>
      <c r="L437" s="56">
        <f>EFEITO!$N$437*EFEITO!$AA$359</f>
        <v>0</v>
      </c>
      <c r="M437" s="56">
        <f ca="1">$J$437-EFEITO!$K$437*EFEITO!$Y$437</f>
        <v>0.42738677251249158</v>
      </c>
      <c r="N437" s="56">
        <f>$K$437-EFEITO!$M$437*EFEITO!$Z$437</f>
        <v>0</v>
      </c>
      <c r="O437" s="56">
        <f>$L$437-EFEITO!$O$437*EFEITO!$AA$437</f>
        <v>0</v>
      </c>
      <c r="P437" s="39"/>
      <c r="Q437" s="39"/>
      <c r="R437" s="39"/>
      <c r="S437" s="39"/>
      <c r="T437" s="39"/>
      <c r="U437" s="39"/>
      <c r="V437" s="39"/>
      <c r="W437" s="39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35" t="s">
        <v>21</v>
      </c>
      <c r="B438" s="35" t="s">
        <v>39</v>
      </c>
      <c r="C438" s="35" t="s">
        <v>40</v>
      </c>
      <c r="D438" s="35" t="s">
        <v>44</v>
      </c>
      <c r="E438" s="35" t="s">
        <v>56</v>
      </c>
      <c r="F438" s="35" t="s">
        <v>25</v>
      </c>
      <c r="G438" s="35" t="s">
        <v>25</v>
      </c>
      <c r="H438" s="35" t="s">
        <v>34</v>
      </c>
      <c r="I438" s="55">
        <v>44501</v>
      </c>
      <c r="J438" s="56">
        <f>EFEITO!$J$438*EFEITO!$Y$383</f>
        <v>0</v>
      </c>
      <c r="K438" s="56">
        <f ca="1">EFEITO!$L$438*EFEITO!$Z$383</f>
        <v>83.129866460040702</v>
      </c>
      <c r="L438" s="56">
        <f>EFEITO!$N$438*EFEITO!$AA$383</f>
        <v>21.717158822532465</v>
      </c>
      <c r="M438" s="56">
        <f>$J$438-EFEITO!$K$438*EFEITO!$Y$438</f>
        <v>0</v>
      </c>
      <c r="N438" s="56">
        <f ca="1">$K$438-EFEITO!$M$438*EFEITO!$Z$438</f>
        <v>1.6625973292008212</v>
      </c>
      <c r="O438" s="56">
        <f>$L$438-EFEITO!$O$438*EFEITO!$AA$438</f>
        <v>0.43434317645064624</v>
      </c>
      <c r="P438" s="39"/>
      <c r="Q438" s="39"/>
      <c r="R438" s="39"/>
      <c r="S438" s="39"/>
      <c r="T438" s="39"/>
      <c r="U438" s="39"/>
      <c r="V438" s="39"/>
      <c r="W438" s="39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35" t="s">
        <v>21</v>
      </c>
      <c r="B439" s="35" t="s">
        <v>39</v>
      </c>
      <c r="C439" s="35" t="s">
        <v>40</v>
      </c>
      <c r="D439" s="35" t="s">
        <v>44</v>
      </c>
      <c r="E439" s="35" t="s">
        <v>56</v>
      </c>
      <c r="F439" s="35" t="s">
        <v>25</v>
      </c>
      <c r="G439" s="35" t="s">
        <v>25</v>
      </c>
      <c r="H439" s="35" t="s">
        <v>34</v>
      </c>
      <c r="I439" s="55">
        <v>44531</v>
      </c>
      <c r="J439" s="56">
        <f>EFEITO!$J$439*EFEITO!$Y$383</f>
        <v>0</v>
      </c>
      <c r="K439" s="56">
        <f ca="1">EFEITO!$L$439*EFEITO!$Z$383</f>
        <v>90.057355331710752</v>
      </c>
      <c r="L439" s="56">
        <f>EFEITO!$N$439*EFEITO!$AA$383</f>
        <v>23.526922057743509</v>
      </c>
      <c r="M439" s="56">
        <f>$J$439-EFEITO!$K$439*EFEITO!$Y$439</f>
        <v>0</v>
      </c>
      <c r="N439" s="56">
        <f ca="1">$K$439-EFEITO!$M$439*EFEITO!$Z$439</f>
        <v>1.801147106634204</v>
      </c>
      <c r="O439" s="56">
        <f>$L$439-EFEITO!$O$439*EFEITO!$AA$439</f>
        <v>0.47053844115487209</v>
      </c>
      <c r="P439" s="39"/>
      <c r="Q439" s="39"/>
      <c r="R439" s="39"/>
      <c r="S439" s="39"/>
      <c r="T439" s="39"/>
      <c r="U439" s="39"/>
      <c r="V439" s="39"/>
      <c r="W439" s="39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35" t="s">
        <v>21</v>
      </c>
      <c r="B440" s="35" t="s">
        <v>39</v>
      </c>
      <c r="C440" s="35" t="s">
        <v>40</v>
      </c>
      <c r="D440" s="35" t="s">
        <v>44</v>
      </c>
      <c r="E440" s="35" t="s">
        <v>56</v>
      </c>
      <c r="F440" s="35" t="s">
        <v>25</v>
      </c>
      <c r="G440" s="35" t="s">
        <v>25</v>
      </c>
      <c r="H440" s="35" t="s">
        <v>34</v>
      </c>
      <c r="I440" s="55">
        <v>44562</v>
      </c>
      <c r="J440" s="56">
        <f>EFEITO!$J$440*EFEITO!$Y$383</f>
        <v>0</v>
      </c>
      <c r="K440" s="56">
        <f ca="1">EFEITO!$L$440*EFEITO!$Z$383</f>
        <v>74.816879814036625</v>
      </c>
      <c r="L440" s="56">
        <f>EFEITO!$N$440*EFEITO!$AA$383</f>
        <v>19.545442940279219</v>
      </c>
      <c r="M440" s="56">
        <f>$J$440-EFEITO!$K$440*EFEITO!$Y$440</f>
        <v>0</v>
      </c>
      <c r="N440" s="56">
        <f ca="1">$K$440-EFEITO!$M$440*EFEITO!$Z$440</f>
        <v>1.4963375962807248</v>
      </c>
      <c r="O440" s="56">
        <f>$L$440-EFEITO!$O$440*EFEITO!$AA$440</f>
        <v>0.39090885880558446</v>
      </c>
      <c r="P440" s="39"/>
      <c r="Q440" s="39"/>
      <c r="R440" s="39"/>
      <c r="S440" s="39"/>
      <c r="T440" s="39"/>
      <c r="U440" s="39"/>
      <c r="V440" s="39"/>
      <c r="W440" s="39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35" t="s">
        <v>21</v>
      </c>
      <c r="B441" s="35" t="s">
        <v>39</v>
      </c>
      <c r="C441" s="35" t="s">
        <v>40</v>
      </c>
      <c r="D441" s="35" t="s">
        <v>44</v>
      </c>
      <c r="E441" s="35" t="s">
        <v>25</v>
      </c>
      <c r="F441" s="35" t="s">
        <v>25</v>
      </c>
      <c r="G441" s="35" t="s">
        <v>25</v>
      </c>
      <c r="H441" s="35" t="s">
        <v>35</v>
      </c>
      <c r="I441" s="55">
        <v>44743</v>
      </c>
      <c r="J441" s="56">
        <f>EFEITO!$J$441*EFEITO!$Y$335</f>
        <v>0</v>
      </c>
      <c r="K441" s="56">
        <f ca="1">EFEITO!$L$441*EFEITO!$Z$335</f>
        <v>6231.9630437618571</v>
      </c>
      <c r="L441" s="56">
        <f>EFEITO!$N$441*EFEITO!$AA$335</f>
        <v>9510.8960254522699</v>
      </c>
      <c r="M441" s="56">
        <f>$J$441-EFEITO!$K$441*EFEITO!$Y$441</f>
        <v>0</v>
      </c>
      <c r="N441" s="56">
        <f ca="1">$K$441-EFEITO!$M$441*EFEITO!$Z$441</f>
        <v>124.6392608752376</v>
      </c>
      <c r="O441" s="56">
        <f>$L$441-EFEITO!$O$441*EFEITO!$AA$441</f>
        <v>190.21792050904514</v>
      </c>
      <c r="P441" s="39"/>
      <c r="Q441" s="39"/>
      <c r="R441" s="39"/>
      <c r="S441" s="39"/>
      <c r="T441" s="39"/>
      <c r="U441" s="39"/>
      <c r="V441" s="39"/>
      <c r="W441" s="39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35" t="s">
        <v>21</v>
      </c>
      <c r="B442" s="35" t="s">
        <v>39</v>
      </c>
      <c r="C442" s="35" t="s">
        <v>40</v>
      </c>
      <c r="D442" s="35" t="s">
        <v>44</v>
      </c>
      <c r="E442" s="35" t="s">
        <v>25</v>
      </c>
      <c r="F442" s="35" t="s">
        <v>25</v>
      </c>
      <c r="G442" s="35" t="s">
        <v>25</v>
      </c>
      <c r="H442" s="35" t="s">
        <v>35</v>
      </c>
      <c r="I442" s="55">
        <v>44774</v>
      </c>
      <c r="J442" s="56">
        <f>EFEITO!$J$442*EFEITO!$Y$335</f>
        <v>0</v>
      </c>
      <c r="K442" s="56">
        <f ca="1">EFEITO!$L$442*EFEITO!$Z$335</f>
        <v>5479.0155376327466</v>
      </c>
      <c r="L442" s="56">
        <f>EFEITO!$N$442*EFEITO!$AA$335</f>
        <v>8361.7869256180111</v>
      </c>
      <c r="M442" s="56">
        <f>$J$442-EFEITO!$K$442*EFEITO!$Y$442</f>
        <v>0</v>
      </c>
      <c r="N442" s="56">
        <f ca="1">$K$442-EFEITO!$M$442*EFEITO!$Z$442</f>
        <v>109.58031075265535</v>
      </c>
      <c r="O442" s="56">
        <f>$L$442-EFEITO!$O$442*EFEITO!$AA$442</f>
        <v>167.2357385123596</v>
      </c>
      <c r="P442" s="39"/>
      <c r="Q442" s="39"/>
      <c r="R442" s="39"/>
      <c r="S442" s="39"/>
      <c r="T442" s="39"/>
      <c r="U442" s="39"/>
      <c r="V442" s="39"/>
      <c r="W442" s="39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35" t="s">
        <v>21</v>
      </c>
      <c r="B443" s="35" t="s">
        <v>39</v>
      </c>
      <c r="C443" s="35" t="s">
        <v>40</v>
      </c>
      <c r="D443" s="35" t="s">
        <v>44</v>
      </c>
      <c r="E443" s="35" t="s">
        <v>25</v>
      </c>
      <c r="F443" s="35" t="s">
        <v>25</v>
      </c>
      <c r="G443" s="35" t="s">
        <v>25</v>
      </c>
      <c r="H443" s="35" t="s">
        <v>35</v>
      </c>
      <c r="I443" s="55">
        <v>44805</v>
      </c>
      <c r="J443" s="56">
        <f>EFEITO!$J$443*EFEITO!$Y$335</f>
        <v>0</v>
      </c>
      <c r="K443" s="56">
        <f ca="1">EFEITO!$L$443*EFEITO!$Z$335</f>
        <v>5228.8102215840372</v>
      </c>
      <c r="L443" s="56">
        <f>EFEITO!$N$443*EFEITO!$AA$335</f>
        <v>7979.9366596192849</v>
      </c>
      <c r="M443" s="56">
        <f>$J$443-EFEITO!$K$443*EFEITO!$Y$443</f>
        <v>0</v>
      </c>
      <c r="N443" s="56">
        <f ca="1">$K$443-EFEITO!$M$443*EFEITO!$Z$443</f>
        <v>104.57620443168071</v>
      </c>
      <c r="O443" s="56">
        <f>$L$443-EFEITO!$O$443*EFEITO!$AA$443</f>
        <v>159.59873319238523</v>
      </c>
      <c r="P443" s="39"/>
      <c r="Q443" s="39"/>
      <c r="R443" s="39"/>
      <c r="S443" s="39"/>
      <c r="T443" s="39"/>
      <c r="U443" s="39"/>
      <c r="V443" s="39"/>
      <c r="W443" s="39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35" t="s">
        <v>57</v>
      </c>
      <c r="B444" s="35" t="s">
        <v>39</v>
      </c>
      <c r="C444" s="35" t="s">
        <v>40</v>
      </c>
      <c r="D444" s="35" t="s">
        <v>44</v>
      </c>
      <c r="E444" s="35" t="s">
        <v>25</v>
      </c>
      <c r="F444" s="35" t="s">
        <v>25</v>
      </c>
      <c r="G444" s="35" t="s">
        <v>25</v>
      </c>
      <c r="H444" s="35" t="s">
        <v>35</v>
      </c>
      <c r="I444" s="55">
        <v>44835</v>
      </c>
      <c r="J444" s="56">
        <f>EFEITO!$J$444*EFEITO!$Y$335</f>
        <v>0</v>
      </c>
      <c r="K444" s="56">
        <f ca="1">EFEITO!$L$444*EFEITO!$Z$335</f>
        <v>5228.8102215840372</v>
      </c>
      <c r="L444" s="56">
        <f>EFEITO!$N$444*EFEITO!$AA$335</f>
        <v>7979.9366596192849</v>
      </c>
      <c r="M444" s="56">
        <f>$J$444-EFEITO!$K$444*EFEITO!$Y$444</f>
        <v>0</v>
      </c>
      <c r="N444" s="56">
        <f ca="1">$K$444-EFEITO!$M$444*EFEITO!$Z$444</f>
        <v>104.57620443168071</v>
      </c>
      <c r="O444" s="56">
        <f>$L$444-EFEITO!$O$444*EFEITO!$AA$444</f>
        <v>159.59873319238523</v>
      </c>
      <c r="P444" s="39"/>
      <c r="Q444" s="39"/>
      <c r="R444" s="39"/>
      <c r="S444" s="39"/>
      <c r="T444" s="39"/>
      <c r="U444" s="39"/>
      <c r="V444" s="39"/>
      <c r="W444" s="39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35" t="s">
        <v>21</v>
      </c>
      <c r="B445" s="35" t="s">
        <v>39</v>
      </c>
      <c r="C445" s="35" t="s">
        <v>40</v>
      </c>
      <c r="D445" s="35" t="s">
        <v>44</v>
      </c>
      <c r="E445" s="35" t="s">
        <v>25</v>
      </c>
      <c r="F445" s="35" t="s">
        <v>25</v>
      </c>
      <c r="G445" s="35" t="s">
        <v>25</v>
      </c>
      <c r="H445" s="35" t="s">
        <v>25</v>
      </c>
      <c r="I445" s="55">
        <v>44743</v>
      </c>
      <c r="J445" s="56">
        <f ca="1">EFEITO!$J$445*EFEITO!$Y$359</f>
        <v>3184.0314552180462</v>
      </c>
      <c r="K445" s="56">
        <f>EFEITO!$L$445*EFEITO!$Z$359</f>
        <v>0</v>
      </c>
      <c r="L445" s="56">
        <f>EFEITO!$N$445*EFEITO!$AA$359</f>
        <v>0</v>
      </c>
      <c r="M445" s="56">
        <f ca="1">$J$445-EFEITO!$K$445*EFEITO!$Y$445</f>
        <v>63.680629104361287</v>
      </c>
      <c r="N445" s="56">
        <f>$K$445-EFEITO!$M$445*EFEITO!$Z$445</f>
        <v>0</v>
      </c>
      <c r="O445" s="56">
        <f>$L$445-EFEITO!$O$445*EFEITO!$AA$445</f>
        <v>0</v>
      </c>
      <c r="P445" s="39"/>
      <c r="Q445" s="39"/>
      <c r="R445" s="39"/>
      <c r="S445" s="39"/>
      <c r="T445" s="39"/>
      <c r="U445" s="39"/>
      <c r="V445" s="39"/>
      <c r="W445" s="39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35" t="s">
        <v>21</v>
      </c>
      <c r="B446" s="35" t="s">
        <v>39</v>
      </c>
      <c r="C446" s="35" t="s">
        <v>40</v>
      </c>
      <c r="D446" s="35" t="s">
        <v>44</v>
      </c>
      <c r="E446" s="35" t="s">
        <v>25</v>
      </c>
      <c r="F446" s="35" t="s">
        <v>25</v>
      </c>
      <c r="G446" s="35" t="s">
        <v>25</v>
      </c>
      <c r="H446" s="35" t="s">
        <v>25</v>
      </c>
      <c r="I446" s="55">
        <v>44774</v>
      </c>
      <c r="J446" s="56">
        <f ca="1">EFEITO!$J$446*EFEITO!$Y$359</f>
        <v>3184.0314552180462</v>
      </c>
      <c r="K446" s="56">
        <f>EFEITO!$L$446*EFEITO!$Z$359</f>
        <v>0</v>
      </c>
      <c r="L446" s="56">
        <f>EFEITO!$N$446*EFEITO!$AA$359</f>
        <v>0</v>
      </c>
      <c r="M446" s="56">
        <f ca="1">$J$446-EFEITO!$K$446*EFEITO!$Y$446</f>
        <v>63.680629104361287</v>
      </c>
      <c r="N446" s="56">
        <f>$K$446-EFEITO!$M$446*EFEITO!$Z$446</f>
        <v>0</v>
      </c>
      <c r="O446" s="56">
        <f>$L$446-EFEITO!$O$446*EFEITO!$AA$446</f>
        <v>0</v>
      </c>
      <c r="P446" s="39"/>
      <c r="Q446" s="39"/>
      <c r="R446" s="39"/>
      <c r="S446" s="39"/>
      <c r="T446" s="39"/>
      <c r="U446" s="39"/>
      <c r="V446" s="39"/>
      <c r="W446" s="39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35" t="s">
        <v>21</v>
      </c>
      <c r="B447" s="35" t="s">
        <v>39</v>
      </c>
      <c r="C447" s="35" t="s">
        <v>40</v>
      </c>
      <c r="D447" s="35" t="s">
        <v>44</v>
      </c>
      <c r="E447" s="35" t="s">
        <v>25</v>
      </c>
      <c r="F447" s="35" t="s">
        <v>25</v>
      </c>
      <c r="G447" s="35" t="s">
        <v>25</v>
      </c>
      <c r="H447" s="35" t="s">
        <v>25</v>
      </c>
      <c r="I447" s="55">
        <v>44805</v>
      </c>
      <c r="J447" s="56">
        <f ca="1">EFEITO!$J$447*EFEITO!$Y$359</f>
        <v>3184.0314552180462</v>
      </c>
      <c r="K447" s="56">
        <f>EFEITO!$L$447*EFEITO!$Z$359</f>
        <v>0</v>
      </c>
      <c r="L447" s="56">
        <f>EFEITO!$N$447*EFEITO!$AA$359</f>
        <v>0</v>
      </c>
      <c r="M447" s="56">
        <f ca="1">$J$447-EFEITO!$K$447*EFEITO!$Y$447</f>
        <v>63.680629104361287</v>
      </c>
      <c r="N447" s="56">
        <f>$K$447-EFEITO!$M$447*EFEITO!$Z$447</f>
        <v>0</v>
      </c>
      <c r="O447" s="56">
        <f>$L$447-EFEITO!$O$447*EFEITO!$AA$447</f>
        <v>0</v>
      </c>
      <c r="P447" s="39"/>
      <c r="Q447" s="39"/>
      <c r="R447" s="39"/>
      <c r="S447" s="39"/>
      <c r="T447" s="39"/>
      <c r="U447" s="39"/>
      <c r="V447" s="39"/>
      <c r="W447" s="39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35" t="s">
        <v>57</v>
      </c>
      <c r="B448" s="35" t="s">
        <v>39</v>
      </c>
      <c r="C448" s="35" t="s">
        <v>40</v>
      </c>
      <c r="D448" s="35" t="s">
        <v>44</v>
      </c>
      <c r="E448" s="35" t="s">
        <v>25</v>
      </c>
      <c r="F448" s="35" t="s">
        <v>25</v>
      </c>
      <c r="G448" s="35" t="s">
        <v>25</v>
      </c>
      <c r="H448" s="35" t="s">
        <v>25</v>
      </c>
      <c r="I448" s="55">
        <v>44835</v>
      </c>
      <c r="J448" s="56">
        <f ca="1">EFEITO!$J$448*EFEITO!$Y$359</f>
        <v>3184.0314552180462</v>
      </c>
      <c r="K448" s="56">
        <f>EFEITO!$L$448*EFEITO!$Z$359</f>
        <v>0</v>
      </c>
      <c r="L448" s="56">
        <f>EFEITO!$N$448*EFEITO!$AA$359</f>
        <v>0</v>
      </c>
      <c r="M448" s="56">
        <f ca="1">$J$448-EFEITO!$K$448*EFEITO!$Y$448</f>
        <v>63.680629104361287</v>
      </c>
      <c r="N448" s="56">
        <f>$K$448-EFEITO!$M$448*EFEITO!$Z$448</f>
        <v>0</v>
      </c>
      <c r="O448" s="56">
        <f>$L$448-EFEITO!$O$448*EFEITO!$AA$448</f>
        <v>0</v>
      </c>
      <c r="P448" s="39"/>
      <c r="Q448" s="39"/>
      <c r="R448" s="39"/>
      <c r="S448" s="39"/>
      <c r="T448" s="39"/>
      <c r="U448" s="39"/>
      <c r="V448" s="39"/>
      <c r="W448" s="39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35" t="s">
        <v>21</v>
      </c>
      <c r="B449" s="35" t="s">
        <v>39</v>
      </c>
      <c r="C449" s="35" t="s">
        <v>40</v>
      </c>
      <c r="D449" s="35" t="s">
        <v>44</v>
      </c>
      <c r="E449" s="35" t="s">
        <v>25</v>
      </c>
      <c r="F449" s="35" t="s">
        <v>25</v>
      </c>
      <c r="G449" s="35" t="s">
        <v>25</v>
      </c>
      <c r="H449" s="35" t="s">
        <v>34</v>
      </c>
      <c r="I449" s="55">
        <v>44743</v>
      </c>
      <c r="J449" s="56">
        <f>EFEITO!$J$449*EFEITO!$Y$383</f>
        <v>0</v>
      </c>
      <c r="K449" s="56">
        <f ca="1">EFEITO!$L$449*EFEITO!$Z$383</f>
        <v>6708.5802233252834</v>
      </c>
      <c r="L449" s="56">
        <f>EFEITO!$N$449*EFEITO!$AA$383</f>
        <v>1752.5747169783699</v>
      </c>
      <c r="M449" s="56">
        <f>$J$449-EFEITO!$K$449*EFEITO!$Y$449</f>
        <v>0</v>
      </c>
      <c r="N449" s="56">
        <f ca="1">$K$449-EFEITO!$M$449*EFEITO!$Z$449</f>
        <v>134.17160446650541</v>
      </c>
      <c r="O449" s="56">
        <f>$L$449-EFEITO!$O$449*EFEITO!$AA$449</f>
        <v>35.051494339567398</v>
      </c>
      <c r="P449" s="39"/>
      <c r="Q449" s="39"/>
      <c r="R449" s="39"/>
      <c r="S449" s="39"/>
      <c r="T449" s="39"/>
      <c r="U449" s="39"/>
      <c r="V449" s="39"/>
      <c r="W449" s="39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35" t="s">
        <v>21</v>
      </c>
      <c r="B450" s="35" t="s">
        <v>39</v>
      </c>
      <c r="C450" s="35" t="s">
        <v>40</v>
      </c>
      <c r="D450" s="35" t="s">
        <v>44</v>
      </c>
      <c r="E450" s="35" t="s">
        <v>25</v>
      </c>
      <c r="F450" s="35" t="s">
        <v>25</v>
      </c>
      <c r="G450" s="35" t="s">
        <v>25</v>
      </c>
      <c r="H450" s="35" t="s">
        <v>34</v>
      </c>
      <c r="I450" s="55">
        <v>44774</v>
      </c>
      <c r="J450" s="56">
        <f>EFEITO!$J$450*EFEITO!$Y$383</f>
        <v>0</v>
      </c>
      <c r="K450" s="56">
        <f ca="1">EFEITO!$L$450*EFEITO!$Z$383</f>
        <v>6783.3971031393212</v>
      </c>
      <c r="L450" s="56">
        <f>EFEITO!$N$450*EFEITO!$AA$383</f>
        <v>1772.1201599186493</v>
      </c>
      <c r="M450" s="56">
        <f>$J$450-EFEITO!$K$450*EFEITO!$Y$450</f>
        <v>0</v>
      </c>
      <c r="N450" s="56">
        <f ca="1">$K$450-EFEITO!$M$450*EFEITO!$Z$450</f>
        <v>135.66794206278701</v>
      </c>
      <c r="O450" s="56">
        <f>$L$450-EFEITO!$O$450*EFEITO!$AA$450</f>
        <v>35.442403198372858</v>
      </c>
      <c r="P450" s="39"/>
      <c r="Q450" s="39"/>
      <c r="R450" s="39"/>
      <c r="S450" s="39"/>
      <c r="T450" s="39"/>
      <c r="U450" s="39"/>
      <c r="V450" s="39"/>
      <c r="W450" s="39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35" t="s">
        <v>21</v>
      </c>
      <c r="B451" s="35" t="s">
        <v>39</v>
      </c>
      <c r="C451" s="35" t="s">
        <v>40</v>
      </c>
      <c r="D451" s="35" t="s">
        <v>44</v>
      </c>
      <c r="E451" s="35" t="s">
        <v>25</v>
      </c>
      <c r="F451" s="35" t="s">
        <v>25</v>
      </c>
      <c r="G451" s="35" t="s">
        <v>25</v>
      </c>
      <c r="H451" s="35" t="s">
        <v>34</v>
      </c>
      <c r="I451" s="55">
        <v>44805</v>
      </c>
      <c r="J451" s="56">
        <f>EFEITO!$J$451*EFEITO!$Y$383</f>
        <v>0</v>
      </c>
      <c r="K451" s="56">
        <f ca="1">EFEITO!$L$451*EFEITO!$Z$383</f>
        <v>6006.1328517379407</v>
      </c>
      <c r="L451" s="56">
        <f>EFEITO!$N$451*EFEITO!$AA$383</f>
        <v>1569.0647249279707</v>
      </c>
      <c r="M451" s="56">
        <f>$J$451-EFEITO!$K$451*EFEITO!$Y$451</f>
        <v>0</v>
      </c>
      <c r="N451" s="56">
        <f ca="1">$K$451-EFEITO!$M$451*EFEITO!$Z$451</f>
        <v>120.12265703475896</v>
      </c>
      <c r="O451" s="56">
        <f>$L$451-EFEITO!$O$451*EFEITO!$AA$451</f>
        <v>31.381294498559328</v>
      </c>
      <c r="P451" s="39"/>
      <c r="Q451" s="39"/>
      <c r="R451" s="39"/>
      <c r="S451" s="39"/>
      <c r="T451" s="39"/>
      <c r="U451" s="39"/>
      <c r="V451" s="39"/>
      <c r="W451" s="39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35" t="s">
        <v>57</v>
      </c>
      <c r="B452" s="35" t="s">
        <v>39</v>
      </c>
      <c r="C452" s="35" t="s">
        <v>40</v>
      </c>
      <c r="D452" s="35" t="s">
        <v>44</v>
      </c>
      <c r="E452" s="35" t="s">
        <v>25</v>
      </c>
      <c r="F452" s="35" t="s">
        <v>25</v>
      </c>
      <c r="G452" s="35" t="s">
        <v>25</v>
      </c>
      <c r="H452" s="35" t="s">
        <v>34</v>
      </c>
      <c r="I452" s="55">
        <v>44835</v>
      </c>
      <c r="J452" s="56">
        <f>EFEITO!$J$452*EFEITO!$Y$383</f>
        <v>0</v>
      </c>
      <c r="K452" s="56">
        <f ca="1">EFEITO!$L$452*EFEITO!$Z$383</f>
        <v>6006.1328517379407</v>
      </c>
      <c r="L452" s="56">
        <f>EFEITO!$N$452*EFEITO!$AA$383</f>
        <v>1569.0647249279707</v>
      </c>
      <c r="M452" s="56">
        <f>$J$452-EFEITO!$K$452*EFEITO!$Y$452</f>
        <v>0</v>
      </c>
      <c r="N452" s="56">
        <f ca="1">$K$452-EFEITO!$M$452*EFEITO!$Z$452</f>
        <v>120.12265703475896</v>
      </c>
      <c r="O452" s="56">
        <f>$L$452-EFEITO!$O$452*EFEITO!$AA$452</f>
        <v>31.381294498559328</v>
      </c>
      <c r="P452" s="39"/>
      <c r="Q452" s="39"/>
      <c r="R452" s="39"/>
      <c r="S452" s="39"/>
      <c r="T452" s="39"/>
      <c r="U452" s="39"/>
      <c r="V452" s="39"/>
      <c r="W452" s="39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35" t="s">
        <v>21</v>
      </c>
      <c r="B453" s="35" t="s">
        <v>39</v>
      </c>
      <c r="C453" s="35" t="s">
        <v>40</v>
      </c>
      <c r="D453" s="35" t="s">
        <v>50</v>
      </c>
      <c r="E453" s="35" t="s">
        <v>51</v>
      </c>
      <c r="F453" s="35" t="s">
        <v>25</v>
      </c>
      <c r="G453" s="35" t="s">
        <v>25</v>
      </c>
      <c r="H453" s="35" t="s">
        <v>35</v>
      </c>
      <c r="I453" s="55">
        <v>44501</v>
      </c>
      <c r="J453" s="56">
        <f>EFEITO!$J$453*EFEITO!$Y$335</f>
        <v>0</v>
      </c>
      <c r="K453" s="56">
        <f ca="1">EFEITO!$L$453*EFEITO!$Z$335</f>
        <v>618.88292210766974</v>
      </c>
      <c r="L453" s="56">
        <f>EFEITO!$N$453*EFEITO!$AA$335</f>
        <v>944.50674414478294</v>
      </c>
      <c r="M453" s="56">
        <f>$J$453-EFEITO!$K$453*EFEITO!$Y$453</f>
        <v>0</v>
      </c>
      <c r="N453" s="56">
        <f ca="1">$K$453-EFEITO!$M$453*EFEITO!$Z$453</f>
        <v>18.566487663230077</v>
      </c>
      <c r="O453" s="56">
        <f>$L$453-EFEITO!$O$453*EFEITO!$AA$453</f>
        <v>28.335202324343413</v>
      </c>
      <c r="P453" s="39"/>
      <c r="Q453" s="39"/>
      <c r="R453" s="39"/>
      <c r="S453" s="39"/>
      <c r="T453" s="39"/>
      <c r="U453" s="39"/>
      <c r="V453" s="39"/>
      <c r="W453" s="39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35" t="s">
        <v>21</v>
      </c>
      <c r="B454" s="35" t="s">
        <v>39</v>
      </c>
      <c r="C454" s="35" t="s">
        <v>40</v>
      </c>
      <c r="D454" s="35" t="s">
        <v>50</v>
      </c>
      <c r="E454" s="35" t="s">
        <v>51</v>
      </c>
      <c r="F454" s="35" t="s">
        <v>25</v>
      </c>
      <c r="G454" s="35" t="s">
        <v>25</v>
      </c>
      <c r="H454" s="35" t="s">
        <v>35</v>
      </c>
      <c r="I454" s="55">
        <v>44531</v>
      </c>
      <c r="J454" s="56">
        <f>EFEITO!$J$454*EFEITO!$Y$335</f>
        <v>0</v>
      </c>
      <c r="K454" s="56">
        <f ca="1">EFEITO!$L$454*EFEITO!$Z$335</f>
        <v>653.12767998271158</v>
      </c>
      <c r="L454" s="56">
        <f>EFEITO!$N$454*EFEITO!$AA$335</f>
        <v>996.76930239155115</v>
      </c>
      <c r="M454" s="56">
        <f>$J$454-EFEITO!$K$454*EFEITO!$Y$454</f>
        <v>0</v>
      </c>
      <c r="N454" s="56">
        <f ca="1">$K$454-EFEITO!$M$454*EFEITO!$Z$454</f>
        <v>19.593830399481362</v>
      </c>
      <c r="O454" s="56">
        <f>$L$454-EFEITO!$O$454*EFEITO!$AA$454</f>
        <v>29.903079071746561</v>
      </c>
      <c r="P454" s="39"/>
      <c r="Q454" s="39"/>
      <c r="R454" s="39"/>
      <c r="S454" s="39"/>
      <c r="T454" s="39"/>
      <c r="U454" s="39"/>
      <c r="V454" s="39"/>
      <c r="W454" s="39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35" t="s">
        <v>21</v>
      </c>
      <c r="B455" s="35" t="s">
        <v>39</v>
      </c>
      <c r="C455" s="35" t="s">
        <v>40</v>
      </c>
      <c r="D455" s="35" t="s">
        <v>50</v>
      </c>
      <c r="E455" s="35" t="s">
        <v>51</v>
      </c>
      <c r="F455" s="35" t="s">
        <v>25</v>
      </c>
      <c r="G455" s="35" t="s">
        <v>25</v>
      </c>
      <c r="H455" s="35" t="s">
        <v>35</v>
      </c>
      <c r="I455" s="55">
        <v>44562</v>
      </c>
      <c r="J455" s="56">
        <f>EFEITO!$J$455*EFEITO!$Y$335</f>
        <v>0</v>
      </c>
      <c r="K455" s="56">
        <f ca="1">EFEITO!$L$455*EFEITO!$Z$335</f>
        <v>700.48745151202468</v>
      </c>
      <c r="L455" s="56">
        <f>EFEITO!$N$455*EFEITO!$AA$335</f>
        <v>1069.0473084775069</v>
      </c>
      <c r="M455" s="56">
        <f>$J$455-EFEITO!$K$455*EFEITO!$Y$455</f>
        <v>0</v>
      </c>
      <c r="N455" s="56">
        <f ca="1">$K$455-EFEITO!$M$455*EFEITO!$Z$455</f>
        <v>21.014623545360791</v>
      </c>
      <c r="O455" s="56">
        <f>$L$455-EFEITO!$O$455*EFEITO!$AA$455</f>
        <v>32.071419254325065</v>
      </c>
      <c r="P455" s="39"/>
      <c r="Q455" s="39"/>
      <c r="R455" s="39"/>
      <c r="S455" s="39"/>
      <c r="T455" s="39"/>
      <c r="U455" s="39"/>
      <c r="V455" s="39"/>
      <c r="W455" s="39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35" t="s">
        <v>21</v>
      </c>
      <c r="B456" s="35" t="s">
        <v>39</v>
      </c>
      <c r="C456" s="35" t="s">
        <v>40</v>
      </c>
      <c r="D456" s="35" t="s">
        <v>50</v>
      </c>
      <c r="E456" s="35" t="s">
        <v>51</v>
      </c>
      <c r="F456" s="35" t="s">
        <v>25</v>
      </c>
      <c r="G456" s="35" t="s">
        <v>25</v>
      </c>
      <c r="H456" s="35" t="s">
        <v>35</v>
      </c>
      <c r="I456" s="55">
        <v>44593</v>
      </c>
      <c r="J456" s="56">
        <f>EFEITO!$J$456*EFEITO!$Y$335</f>
        <v>0</v>
      </c>
      <c r="K456" s="56">
        <f ca="1">EFEITO!$L$456*EFEITO!$Z$335</f>
        <v>598.77323450445374</v>
      </c>
      <c r="L456" s="56">
        <f>EFEITO!$N$456*EFEITO!$AA$335</f>
        <v>913.81639079136175</v>
      </c>
      <c r="M456" s="56">
        <f>$J$456-EFEITO!$K$456*EFEITO!$Y$456</f>
        <v>0</v>
      </c>
      <c r="N456" s="56">
        <f ca="1">$K$456-EFEITO!$M$456*EFEITO!$Z$456</f>
        <v>17.963197035133589</v>
      </c>
      <c r="O456" s="56">
        <f>$L$456-EFEITO!$O$456*EFEITO!$AA$456</f>
        <v>27.414491723740866</v>
      </c>
      <c r="P456" s="39"/>
      <c r="Q456" s="39"/>
      <c r="R456" s="39"/>
      <c r="S456" s="39"/>
      <c r="T456" s="39"/>
      <c r="U456" s="39"/>
      <c r="V456" s="39"/>
      <c r="W456" s="39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35" t="s">
        <v>21</v>
      </c>
      <c r="B457" s="35" t="s">
        <v>39</v>
      </c>
      <c r="C457" s="35" t="s">
        <v>40</v>
      </c>
      <c r="D457" s="35" t="s">
        <v>50</v>
      </c>
      <c r="E457" s="35" t="s">
        <v>51</v>
      </c>
      <c r="F457" s="35" t="s">
        <v>25</v>
      </c>
      <c r="G457" s="35" t="s">
        <v>25</v>
      </c>
      <c r="H457" s="35" t="s">
        <v>35</v>
      </c>
      <c r="I457" s="55">
        <v>44621</v>
      </c>
      <c r="J457" s="56">
        <f>EFEITO!$J$457*EFEITO!$Y$335</f>
        <v>0</v>
      </c>
      <c r="K457" s="56">
        <f ca="1">EFEITO!$L$457*EFEITO!$Z$335</f>
        <v>645.40439416408515</v>
      </c>
      <c r="L457" s="56">
        <f>EFEITO!$N$457*EFEITO!$AA$335</f>
        <v>984.98242755291835</v>
      </c>
      <c r="M457" s="56">
        <f>$J$457-EFEITO!$K$457*EFEITO!$Y$457</f>
        <v>0</v>
      </c>
      <c r="N457" s="56">
        <f ca="1">$K$457-EFEITO!$M$457*EFEITO!$Z$457</f>
        <v>19.362131824922585</v>
      </c>
      <c r="O457" s="56">
        <f>$L$457-EFEITO!$O$457*EFEITO!$AA$457</f>
        <v>29.549472826587589</v>
      </c>
      <c r="P457" s="39"/>
      <c r="Q457" s="39"/>
      <c r="R457" s="39"/>
      <c r="S457" s="39"/>
      <c r="T457" s="39"/>
      <c r="U457" s="39"/>
      <c r="V457" s="39"/>
      <c r="W457" s="39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35" t="s">
        <v>21</v>
      </c>
      <c r="B458" s="35" t="s">
        <v>39</v>
      </c>
      <c r="C458" s="35" t="s">
        <v>40</v>
      </c>
      <c r="D458" s="35" t="s">
        <v>50</v>
      </c>
      <c r="E458" s="35" t="s">
        <v>51</v>
      </c>
      <c r="F458" s="35" t="s">
        <v>25</v>
      </c>
      <c r="G458" s="35" t="s">
        <v>25</v>
      </c>
      <c r="H458" s="35" t="s">
        <v>35</v>
      </c>
      <c r="I458" s="55">
        <v>44652</v>
      </c>
      <c r="J458" s="56">
        <f>EFEITO!$J$458*EFEITO!$Y$335</f>
        <v>0</v>
      </c>
      <c r="K458" s="56">
        <f ca="1">EFEITO!$L$458*EFEITO!$Z$335</f>
        <v>667.69991737634632</v>
      </c>
      <c r="L458" s="56">
        <f>EFEITO!$N$458*EFEITO!$AA$335</f>
        <v>1019.0086888795374</v>
      </c>
      <c r="M458" s="56">
        <f>$J$458-EFEITO!$K$458*EFEITO!$Y$458</f>
        <v>0</v>
      </c>
      <c r="N458" s="56">
        <f ca="1">$K$458-EFEITO!$M$458*EFEITO!$Z$458</f>
        <v>20.030997521290487</v>
      </c>
      <c r="O458" s="56">
        <f>$L$458-EFEITO!$O$458*EFEITO!$AA$458</f>
        <v>30.570260666386048</v>
      </c>
      <c r="P458" s="39"/>
      <c r="Q458" s="39"/>
      <c r="R458" s="39"/>
      <c r="S458" s="39"/>
      <c r="T458" s="39"/>
      <c r="U458" s="39"/>
      <c r="V458" s="39"/>
      <c r="W458" s="39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35" t="s">
        <v>21</v>
      </c>
      <c r="B459" s="35" t="s">
        <v>39</v>
      </c>
      <c r="C459" s="35" t="s">
        <v>40</v>
      </c>
      <c r="D459" s="35" t="s">
        <v>50</v>
      </c>
      <c r="E459" s="35" t="s">
        <v>51</v>
      </c>
      <c r="F459" s="35" t="s">
        <v>25</v>
      </c>
      <c r="G459" s="35" t="s">
        <v>25</v>
      </c>
      <c r="H459" s="35" t="s">
        <v>35</v>
      </c>
      <c r="I459" s="55">
        <v>44682</v>
      </c>
      <c r="J459" s="56">
        <f>EFEITO!$J$459*EFEITO!$Y$335</f>
        <v>0</v>
      </c>
      <c r="K459" s="56">
        <f ca="1">EFEITO!$L$459*EFEITO!$Z$335</f>
        <v>705.29628985192414</v>
      </c>
      <c r="L459" s="56">
        <f>EFEITO!$N$459*EFEITO!$AA$335</f>
        <v>1076.3863060185424</v>
      </c>
      <c r="M459" s="56">
        <f>$J$459-EFEITO!$K$459*EFEITO!$Y$459</f>
        <v>0</v>
      </c>
      <c r="N459" s="56">
        <f ca="1">$K$459-EFEITO!$M$459*EFEITO!$Z$459</f>
        <v>21.158888695557835</v>
      </c>
      <c r="O459" s="56">
        <f>$L$459-EFEITO!$O$459*EFEITO!$AA$459</f>
        <v>32.29158918055623</v>
      </c>
      <c r="P459" s="39"/>
      <c r="Q459" s="39"/>
      <c r="R459" s="39"/>
      <c r="S459" s="39"/>
      <c r="T459" s="39"/>
      <c r="U459" s="39"/>
      <c r="V459" s="39"/>
      <c r="W459" s="39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35" t="s">
        <v>21</v>
      </c>
      <c r="B460" s="35" t="s">
        <v>39</v>
      </c>
      <c r="C460" s="35" t="s">
        <v>40</v>
      </c>
      <c r="D460" s="35" t="s">
        <v>50</v>
      </c>
      <c r="E460" s="35" t="s">
        <v>51</v>
      </c>
      <c r="F460" s="35" t="s">
        <v>25</v>
      </c>
      <c r="G460" s="35" t="s">
        <v>25</v>
      </c>
      <c r="H460" s="35" t="s">
        <v>35</v>
      </c>
      <c r="I460" s="55">
        <v>44713</v>
      </c>
      <c r="J460" s="56">
        <f>EFEITO!$J$460*EFEITO!$Y$335</f>
        <v>0</v>
      </c>
      <c r="K460" s="56">
        <f ca="1">EFEITO!$L$460*EFEITO!$Z$335</f>
        <v>699.75883964234288</v>
      </c>
      <c r="L460" s="56">
        <f>EFEITO!$N$460*EFEITO!$AA$335</f>
        <v>1067.9353391531074</v>
      </c>
      <c r="M460" s="56">
        <f>$J$460-EFEITO!$K$460*EFEITO!$Y$460</f>
        <v>0</v>
      </c>
      <c r="N460" s="56">
        <f ca="1">$K$460-EFEITO!$M$460*EFEITO!$Z$460</f>
        <v>20.992765189270358</v>
      </c>
      <c r="O460" s="56">
        <f>$L$460-EFEITO!$O$460*EFEITO!$AA$460</f>
        <v>32.038060174593056</v>
      </c>
      <c r="P460" s="39"/>
      <c r="Q460" s="39"/>
      <c r="R460" s="39"/>
      <c r="S460" s="39"/>
      <c r="T460" s="39"/>
      <c r="U460" s="39"/>
      <c r="V460" s="39"/>
      <c r="W460" s="39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35" t="s">
        <v>21</v>
      </c>
      <c r="B461" s="35" t="s">
        <v>39</v>
      </c>
      <c r="C461" s="35" t="s">
        <v>40</v>
      </c>
      <c r="D461" s="35" t="s">
        <v>50</v>
      </c>
      <c r="E461" s="35" t="s">
        <v>51</v>
      </c>
      <c r="F461" s="35" t="s">
        <v>25</v>
      </c>
      <c r="G461" s="35" t="s">
        <v>25</v>
      </c>
      <c r="H461" s="35" t="s">
        <v>35</v>
      </c>
      <c r="I461" s="55">
        <v>44743</v>
      </c>
      <c r="J461" s="56">
        <f>EFEITO!$J$461*EFEITO!$Y$335</f>
        <v>0</v>
      </c>
      <c r="K461" s="56">
        <f ca="1">EFEITO!$L$461*EFEITO!$Z$335</f>
        <v>787.0465416302153</v>
      </c>
      <c r="L461" s="56">
        <f>EFEITO!$N$461*EFEITO!$AA$335</f>
        <v>1201.1492642161461</v>
      </c>
      <c r="M461" s="56">
        <f>$J$461-EFEITO!$K$461*EFEITO!$Y$461</f>
        <v>0</v>
      </c>
      <c r="N461" s="56">
        <f ca="1">$K$461-EFEITO!$M$461*EFEITO!$Z$461</f>
        <v>23.611396248906544</v>
      </c>
      <c r="O461" s="56">
        <f>$L$461-EFEITO!$O$461*EFEITO!$AA$461</f>
        <v>36.034477926484215</v>
      </c>
      <c r="P461" s="39"/>
      <c r="Q461" s="39"/>
      <c r="R461" s="39"/>
      <c r="S461" s="39"/>
      <c r="T461" s="39"/>
      <c r="U461" s="39"/>
      <c r="V461" s="39"/>
      <c r="W461" s="39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35" t="s">
        <v>21</v>
      </c>
      <c r="B462" s="35" t="s">
        <v>39</v>
      </c>
      <c r="C462" s="35" t="s">
        <v>40</v>
      </c>
      <c r="D462" s="35" t="s">
        <v>50</v>
      </c>
      <c r="E462" s="35" t="s">
        <v>51</v>
      </c>
      <c r="F462" s="35" t="s">
        <v>25</v>
      </c>
      <c r="G462" s="35" t="s">
        <v>25</v>
      </c>
      <c r="H462" s="35" t="s">
        <v>35</v>
      </c>
      <c r="I462" s="55">
        <v>44774</v>
      </c>
      <c r="J462" s="56">
        <f>EFEITO!$J$462*EFEITO!$Y$335</f>
        <v>0</v>
      </c>
      <c r="K462" s="56">
        <f ca="1">EFEITO!$L$462*EFEITO!$Z$335</f>
        <v>813.71373606056693</v>
      </c>
      <c r="L462" s="56">
        <f>EFEITO!$N$462*EFEITO!$AA$335</f>
        <v>1241.8473414891612</v>
      </c>
      <c r="M462" s="56">
        <f>$J$462-EFEITO!$K$462*EFEITO!$Y$462</f>
        <v>0</v>
      </c>
      <c r="N462" s="56">
        <f ca="1">$K$462-EFEITO!$M$462*EFEITO!$Z$462</f>
        <v>24.411412081817048</v>
      </c>
      <c r="O462" s="56">
        <f>$L$462-EFEITO!$O$462*EFEITO!$AA$462</f>
        <v>37.255420244674724</v>
      </c>
      <c r="P462" s="39"/>
      <c r="Q462" s="39"/>
      <c r="R462" s="39"/>
      <c r="S462" s="39"/>
      <c r="T462" s="39"/>
      <c r="U462" s="39"/>
      <c r="V462" s="39"/>
      <c r="W462" s="39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35" t="s">
        <v>21</v>
      </c>
      <c r="B463" s="35" t="s">
        <v>39</v>
      </c>
      <c r="C463" s="35" t="s">
        <v>40</v>
      </c>
      <c r="D463" s="35" t="s">
        <v>50</v>
      </c>
      <c r="E463" s="35" t="s">
        <v>51</v>
      </c>
      <c r="F463" s="35" t="s">
        <v>25</v>
      </c>
      <c r="G463" s="35" t="s">
        <v>25</v>
      </c>
      <c r="H463" s="35" t="s">
        <v>35</v>
      </c>
      <c r="I463" s="55">
        <v>44805</v>
      </c>
      <c r="J463" s="56">
        <f>EFEITO!$J$463*EFEITO!$Y$335</f>
        <v>0</v>
      </c>
      <c r="K463" s="56">
        <f ca="1">EFEITO!$L$463*EFEITO!$Z$335</f>
        <v>787.19226400415175</v>
      </c>
      <c r="L463" s="56">
        <f>EFEITO!$N$463*EFEITO!$AA$335</f>
        <v>1201.371658081026</v>
      </c>
      <c r="M463" s="56">
        <f>$J$463-EFEITO!$K$463*EFEITO!$Y$463</f>
        <v>0</v>
      </c>
      <c r="N463" s="56">
        <f ca="1">$K$463-EFEITO!$M$463*EFEITO!$Z$463</f>
        <v>23.615767920124654</v>
      </c>
      <c r="O463" s="56">
        <f>$L$463-EFEITO!$O$463*EFEITO!$AA$463</f>
        <v>36.041149742430662</v>
      </c>
      <c r="P463" s="39"/>
      <c r="Q463" s="39"/>
      <c r="R463" s="39"/>
      <c r="S463" s="39"/>
      <c r="T463" s="39"/>
      <c r="U463" s="39"/>
      <c r="V463" s="39"/>
      <c r="W463" s="39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35" t="s">
        <v>57</v>
      </c>
      <c r="B464" s="35" t="s">
        <v>39</v>
      </c>
      <c r="C464" s="35" t="s">
        <v>40</v>
      </c>
      <c r="D464" s="35" t="s">
        <v>50</v>
      </c>
      <c r="E464" s="35" t="s">
        <v>51</v>
      </c>
      <c r="F464" s="35" t="s">
        <v>25</v>
      </c>
      <c r="G464" s="35" t="s">
        <v>25</v>
      </c>
      <c r="H464" s="35" t="s">
        <v>35</v>
      </c>
      <c r="I464" s="55">
        <v>44835</v>
      </c>
      <c r="J464" s="56">
        <f>EFEITO!$J$464*EFEITO!$Y$335</f>
        <v>0</v>
      </c>
      <c r="K464" s="56">
        <f ca="1">EFEITO!$L$464*EFEITO!$Z$335</f>
        <v>787.19226400415175</v>
      </c>
      <c r="L464" s="56">
        <f>EFEITO!$N$464*EFEITO!$AA$335</f>
        <v>1201.371658081026</v>
      </c>
      <c r="M464" s="56">
        <f>$J$464-EFEITO!$K$464*EFEITO!$Y$464</f>
        <v>0</v>
      </c>
      <c r="N464" s="56">
        <f ca="1">$K$464-EFEITO!$M$464*EFEITO!$Z$464</f>
        <v>23.615767920124654</v>
      </c>
      <c r="O464" s="56">
        <f>$L$464-EFEITO!$O$464*EFEITO!$AA$464</f>
        <v>36.041149742430662</v>
      </c>
      <c r="P464" s="39"/>
      <c r="Q464" s="39"/>
      <c r="R464" s="39"/>
      <c r="S464" s="39"/>
      <c r="T464" s="39"/>
      <c r="U464" s="39"/>
      <c r="V464" s="39"/>
      <c r="W464" s="39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35" t="s">
        <v>21</v>
      </c>
      <c r="B465" s="35" t="s">
        <v>39</v>
      </c>
      <c r="C465" s="35" t="s">
        <v>40</v>
      </c>
      <c r="D465" s="35" t="s">
        <v>50</v>
      </c>
      <c r="E465" s="35" t="s">
        <v>51</v>
      </c>
      <c r="F465" s="35" t="s">
        <v>25</v>
      </c>
      <c r="G465" s="35" t="s">
        <v>25</v>
      </c>
      <c r="H465" s="35" t="s">
        <v>25</v>
      </c>
      <c r="I465" s="55">
        <v>44501</v>
      </c>
      <c r="J465" s="56">
        <f ca="1">EFEITO!$J$465*EFEITO!$Y$359</f>
        <v>641.08015876873412</v>
      </c>
      <c r="K465" s="56">
        <f>EFEITO!$L$465*EFEITO!$Z$359</f>
        <v>0</v>
      </c>
      <c r="L465" s="56">
        <f>EFEITO!$N$465*EFEITO!$AA$359</f>
        <v>0</v>
      </c>
      <c r="M465" s="56">
        <f ca="1">$J$465-EFEITO!$K$465*EFEITO!$Y$465</f>
        <v>19.232404763061936</v>
      </c>
      <c r="N465" s="56">
        <f>$K$465-EFEITO!$M$465*EFEITO!$Z$465</f>
        <v>0</v>
      </c>
      <c r="O465" s="56">
        <f>$L$465-EFEITO!$O$465*EFEITO!$AA$465</f>
        <v>0</v>
      </c>
      <c r="P465" s="39"/>
      <c r="Q465" s="39"/>
      <c r="R465" s="39"/>
      <c r="S465" s="39"/>
      <c r="T465" s="39"/>
      <c r="U465" s="39"/>
      <c r="V465" s="39"/>
      <c r="W465" s="39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35" t="s">
        <v>21</v>
      </c>
      <c r="B466" s="35" t="s">
        <v>39</v>
      </c>
      <c r="C466" s="35" t="s">
        <v>40</v>
      </c>
      <c r="D466" s="35" t="s">
        <v>50</v>
      </c>
      <c r="E466" s="35" t="s">
        <v>51</v>
      </c>
      <c r="F466" s="35" t="s">
        <v>25</v>
      </c>
      <c r="G466" s="35" t="s">
        <v>25</v>
      </c>
      <c r="H466" s="35" t="s">
        <v>25</v>
      </c>
      <c r="I466" s="55">
        <v>44531</v>
      </c>
      <c r="J466" s="56">
        <f ca="1">EFEITO!$J$466*EFEITO!$Y$359</f>
        <v>641.08015876873412</v>
      </c>
      <c r="K466" s="56">
        <f>EFEITO!$L$466*EFEITO!$Z$359</f>
        <v>0</v>
      </c>
      <c r="L466" s="56">
        <f>EFEITO!$N$466*EFEITO!$AA$359</f>
        <v>0</v>
      </c>
      <c r="M466" s="56">
        <f ca="1">$J$466-EFEITO!$K$466*EFEITO!$Y$466</f>
        <v>19.232404763061936</v>
      </c>
      <c r="N466" s="56">
        <f>$K$466-EFEITO!$M$466*EFEITO!$Z$466</f>
        <v>0</v>
      </c>
      <c r="O466" s="56">
        <f>$L$466-EFEITO!$O$466*EFEITO!$AA$466</f>
        <v>0</v>
      </c>
      <c r="P466" s="39"/>
      <c r="Q466" s="39"/>
      <c r="R466" s="39"/>
      <c r="S466" s="39"/>
      <c r="T466" s="39"/>
      <c r="U466" s="39"/>
      <c r="V466" s="39"/>
      <c r="W466" s="39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35" t="s">
        <v>21</v>
      </c>
      <c r="B467" s="35" t="s">
        <v>39</v>
      </c>
      <c r="C467" s="35" t="s">
        <v>40</v>
      </c>
      <c r="D467" s="35" t="s">
        <v>50</v>
      </c>
      <c r="E467" s="35" t="s">
        <v>51</v>
      </c>
      <c r="F467" s="35" t="s">
        <v>25</v>
      </c>
      <c r="G467" s="35" t="s">
        <v>25</v>
      </c>
      <c r="H467" s="35" t="s">
        <v>25</v>
      </c>
      <c r="I467" s="55">
        <v>44562</v>
      </c>
      <c r="J467" s="56">
        <f ca="1">EFEITO!$J$467*EFEITO!$Y$359</f>
        <v>641.08015876873412</v>
      </c>
      <c r="K467" s="56">
        <f>EFEITO!$L$467*EFEITO!$Z$359</f>
        <v>0</v>
      </c>
      <c r="L467" s="56">
        <f>EFEITO!$N$467*EFEITO!$AA$359</f>
        <v>0</v>
      </c>
      <c r="M467" s="56">
        <f ca="1">$J$467-EFEITO!$K$467*EFEITO!$Y$467</f>
        <v>19.232404763061936</v>
      </c>
      <c r="N467" s="56">
        <f>$K$467-EFEITO!$M$467*EFEITO!$Z$467</f>
        <v>0</v>
      </c>
      <c r="O467" s="56">
        <f>$L$467-EFEITO!$O$467*EFEITO!$AA$467</f>
        <v>0</v>
      </c>
      <c r="P467" s="39"/>
      <c r="Q467" s="39"/>
      <c r="R467" s="39"/>
      <c r="S467" s="39"/>
      <c r="T467" s="39"/>
      <c r="U467" s="39"/>
      <c r="V467" s="39"/>
      <c r="W467" s="39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35" t="s">
        <v>21</v>
      </c>
      <c r="B468" s="35" t="s">
        <v>39</v>
      </c>
      <c r="C468" s="35" t="s">
        <v>40</v>
      </c>
      <c r="D468" s="35" t="s">
        <v>50</v>
      </c>
      <c r="E468" s="35" t="s">
        <v>51</v>
      </c>
      <c r="F468" s="35" t="s">
        <v>25</v>
      </c>
      <c r="G468" s="35" t="s">
        <v>25</v>
      </c>
      <c r="H468" s="35" t="s">
        <v>25</v>
      </c>
      <c r="I468" s="55">
        <v>44593</v>
      </c>
      <c r="J468" s="56">
        <f ca="1">EFEITO!$J$468*EFEITO!$Y$359</f>
        <v>641.08015876873412</v>
      </c>
      <c r="K468" s="56">
        <f>EFEITO!$L$468*EFEITO!$Z$359</f>
        <v>0</v>
      </c>
      <c r="L468" s="56">
        <f>EFEITO!$N$468*EFEITO!$AA$359</f>
        <v>0</v>
      </c>
      <c r="M468" s="56">
        <f ca="1">$J$468-EFEITO!$K$468*EFEITO!$Y$468</f>
        <v>19.232404763061936</v>
      </c>
      <c r="N468" s="56">
        <f>$K$468-EFEITO!$M$468*EFEITO!$Z$468</f>
        <v>0</v>
      </c>
      <c r="O468" s="56">
        <f>$L$468-EFEITO!$O$468*EFEITO!$AA$468</f>
        <v>0</v>
      </c>
      <c r="P468" s="39"/>
      <c r="Q468" s="39"/>
      <c r="R468" s="39"/>
      <c r="S468" s="39"/>
      <c r="T468" s="39"/>
      <c r="U468" s="39"/>
      <c r="V468" s="39"/>
      <c r="W468" s="39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35" t="s">
        <v>21</v>
      </c>
      <c r="B469" s="35" t="s">
        <v>39</v>
      </c>
      <c r="C469" s="35" t="s">
        <v>40</v>
      </c>
      <c r="D469" s="35" t="s">
        <v>50</v>
      </c>
      <c r="E469" s="35" t="s">
        <v>51</v>
      </c>
      <c r="F469" s="35" t="s">
        <v>25</v>
      </c>
      <c r="G469" s="35" t="s">
        <v>25</v>
      </c>
      <c r="H469" s="35" t="s">
        <v>25</v>
      </c>
      <c r="I469" s="55">
        <v>44621</v>
      </c>
      <c r="J469" s="56">
        <f ca="1">EFEITO!$J$469*EFEITO!$Y$359</f>
        <v>641.08015876873412</v>
      </c>
      <c r="K469" s="56">
        <f>EFEITO!$L$469*EFEITO!$Z$359</f>
        <v>0</v>
      </c>
      <c r="L469" s="56">
        <f>EFEITO!$N$469*EFEITO!$AA$359</f>
        <v>0</v>
      </c>
      <c r="M469" s="56">
        <f ca="1">$J$469-EFEITO!$K$469*EFEITO!$Y$469</f>
        <v>19.232404763061936</v>
      </c>
      <c r="N469" s="56">
        <f>$K$469-EFEITO!$M$469*EFEITO!$Z$469</f>
        <v>0</v>
      </c>
      <c r="O469" s="56">
        <f>$L$469-EFEITO!$O$469*EFEITO!$AA$469</f>
        <v>0</v>
      </c>
      <c r="P469" s="39"/>
      <c r="Q469" s="39"/>
      <c r="R469" s="39"/>
      <c r="S469" s="39"/>
      <c r="T469" s="39"/>
      <c r="U469" s="39"/>
      <c r="V469" s="39"/>
      <c r="W469" s="39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35" t="s">
        <v>21</v>
      </c>
      <c r="B470" s="35" t="s">
        <v>39</v>
      </c>
      <c r="C470" s="35" t="s">
        <v>40</v>
      </c>
      <c r="D470" s="35" t="s">
        <v>50</v>
      </c>
      <c r="E470" s="35" t="s">
        <v>51</v>
      </c>
      <c r="F470" s="35" t="s">
        <v>25</v>
      </c>
      <c r="G470" s="35" t="s">
        <v>25</v>
      </c>
      <c r="H470" s="35" t="s">
        <v>25</v>
      </c>
      <c r="I470" s="55">
        <v>44652</v>
      </c>
      <c r="J470" s="56">
        <f ca="1">EFEITO!$J$470*EFEITO!$Y$359</f>
        <v>641.08015876873412</v>
      </c>
      <c r="K470" s="56">
        <f>EFEITO!$L$470*EFEITO!$Z$359</f>
        <v>0</v>
      </c>
      <c r="L470" s="56">
        <f>EFEITO!$N$470*EFEITO!$AA$359</f>
        <v>0</v>
      </c>
      <c r="M470" s="56">
        <f ca="1">$J$470-EFEITO!$K$470*EFEITO!$Y$470</f>
        <v>19.232404763061936</v>
      </c>
      <c r="N470" s="56">
        <f>$K$470-EFEITO!$M$470*EFEITO!$Z$470</f>
        <v>0</v>
      </c>
      <c r="O470" s="56">
        <f>$L$470-EFEITO!$O$470*EFEITO!$AA$470</f>
        <v>0</v>
      </c>
      <c r="P470" s="39"/>
      <c r="Q470" s="39"/>
      <c r="R470" s="39"/>
      <c r="S470" s="39"/>
      <c r="T470" s="39"/>
      <c r="U470" s="39"/>
      <c r="V470" s="39"/>
      <c r="W470" s="39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35" t="s">
        <v>21</v>
      </c>
      <c r="B471" s="35" t="s">
        <v>39</v>
      </c>
      <c r="C471" s="35" t="s">
        <v>40</v>
      </c>
      <c r="D471" s="35" t="s">
        <v>50</v>
      </c>
      <c r="E471" s="35" t="s">
        <v>51</v>
      </c>
      <c r="F471" s="35" t="s">
        <v>25</v>
      </c>
      <c r="G471" s="35" t="s">
        <v>25</v>
      </c>
      <c r="H471" s="35" t="s">
        <v>25</v>
      </c>
      <c r="I471" s="55">
        <v>44682</v>
      </c>
      <c r="J471" s="56">
        <f ca="1">EFEITO!$J$471*EFEITO!$Y$359</f>
        <v>641.08015876873412</v>
      </c>
      <c r="K471" s="56">
        <f>EFEITO!$L$471*EFEITO!$Z$359</f>
        <v>0</v>
      </c>
      <c r="L471" s="56">
        <f>EFEITO!$N$471*EFEITO!$AA$359</f>
        <v>0</v>
      </c>
      <c r="M471" s="56">
        <f ca="1">$J$471-EFEITO!$K$471*EFEITO!$Y$471</f>
        <v>19.232404763061936</v>
      </c>
      <c r="N471" s="56">
        <f>$K$471-EFEITO!$M$471*EFEITO!$Z$471</f>
        <v>0</v>
      </c>
      <c r="O471" s="56">
        <f>$L$471-EFEITO!$O$471*EFEITO!$AA$471</f>
        <v>0</v>
      </c>
      <c r="P471" s="39"/>
      <c r="Q471" s="39"/>
      <c r="R471" s="39"/>
      <c r="S471" s="39"/>
      <c r="T471" s="39"/>
      <c r="U471" s="39"/>
      <c r="V471" s="39"/>
      <c r="W471" s="39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35" t="s">
        <v>21</v>
      </c>
      <c r="B472" s="35" t="s">
        <v>39</v>
      </c>
      <c r="C472" s="35" t="s">
        <v>40</v>
      </c>
      <c r="D472" s="35" t="s">
        <v>50</v>
      </c>
      <c r="E472" s="35" t="s">
        <v>51</v>
      </c>
      <c r="F472" s="35" t="s">
        <v>25</v>
      </c>
      <c r="G472" s="35" t="s">
        <v>25</v>
      </c>
      <c r="H472" s="35" t="s">
        <v>25</v>
      </c>
      <c r="I472" s="55">
        <v>44713</v>
      </c>
      <c r="J472" s="56">
        <f ca="1">EFEITO!$J$472*EFEITO!$Y$359</f>
        <v>641.08015876873412</v>
      </c>
      <c r="K472" s="56">
        <f>EFEITO!$L$472*EFEITO!$Z$359</f>
        <v>0</v>
      </c>
      <c r="L472" s="56">
        <f>EFEITO!$N$472*EFEITO!$AA$359</f>
        <v>0</v>
      </c>
      <c r="M472" s="56">
        <f ca="1">$J$472-EFEITO!$K$472*EFEITO!$Y$472</f>
        <v>19.232404763061936</v>
      </c>
      <c r="N472" s="56">
        <f>$K$472-EFEITO!$M$472*EFEITO!$Z$472</f>
        <v>0</v>
      </c>
      <c r="O472" s="56">
        <f>$L$472-EFEITO!$O$472*EFEITO!$AA$472</f>
        <v>0</v>
      </c>
      <c r="P472" s="39"/>
      <c r="Q472" s="39"/>
      <c r="R472" s="39"/>
      <c r="S472" s="39"/>
      <c r="T472" s="39"/>
      <c r="U472" s="39"/>
      <c r="V472" s="39"/>
      <c r="W472" s="39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35" t="s">
        <v>21</v>
      </c>
      <c r="B473" s="35" t="s">
        <v>39</v>
      </c>
      <c r="C473" s="35" t="s">
        <v>40</v>
      </c>
      <c r="D473" s="35" t="s">
        <v>50</v>
      </c>
      <c r="E473" s="35" t="s">
        <v>51</v>
      </c>
      <c r="F473" s="35" t="s">
        <v>25</v>
      </c>
      <c r="G473" s="35" t="s">
        <v>25</v>
      </c>
      <c r="H473" s="35" t="s">
        <v>25</v>
      </c>
      <c r="I473" s="55">
        <v>44743</v>
      </c>
      <c r="J473" s="56">
        <f ca="1">EFEITO!$J$473*EFEITO!$Y$359</f>
        <v>641.08015876873412</v>
      </c>
      <c r="K473" s="56">
        <f>EFEITO!$L$473*EFEITO!$Z$359</f>
        <v>0</v>
      </c>
      <c r="L473" s="56">
        <f>EFEITO!$N$473*EFEITO!$AA$359</f>
        <v>0</v>
      </c>
      <c r="M473" s="56">
        <f ca="1">$J$473-EFEITO!$K$473*EFEITO!$Y$473</f>
        <v>19.232404763061936</v>
      </c>
      <c r="N473" s="56">
        <f>$K$473-EFEITO!$M$473*EFEITO!$Z$473</f>
        <v>0</v>
      </c>
      <c r="O473" s="56">
        <f>$L$473-EFEITO!$O$473*EFEITO!$AA$473</f>
        <v>0</v>
      </c>
      <c r="P473" s="39"/>
      <c r="Q473" s="39"/>
      <c r="R473" s="39"/>
      <c r="S473" s="39"/>
      <c r="T473" s="39"/>
      <c r="U473" s="39"/>
      <c r="V473" s="39"/>
      <c r="W473" s="39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35" t="s">
        <v>21</v>
      </c>
      <c r="B474" s="35" t="s">
        <v>39</v>
      </c>
      <c r="C474" s="35" t="s">
        <v>40</v>
      </c>
      <c r="D474" s="35" t="s">
        <v>50</v>
      </c>
      <c r="E474" s="35" t="s">
        <v>51</v>
      </c>
      <c r="F474" s="35" t="s">
        <v>25</v>
      </c>
      <c r="G474" s="35" t="s">
        <v>25</v>
      </c>
      <c r="H474" s="35" t="s">
        <v>25</v>
      </c>
      <c r="I474" s="55">
        <v>44774</v>
      </c>
      <c r="J474" s="56">
        <f ca="1">EFEITO!$J$474*EFEITO!$Y$359</f>
        <v>641.08015876873412</v>
      </c>
      <c r="K474" s="56">
        <f>EFEITO!$L$474*EFEITO!$Z$359</f>
        <v>0</v>
      </c>
      <c r="L474" s="56">
        <f>EFEITO!$N$474*EFEITO!$AA$359</f>
        <v>0</v>
      </c>
      <c r="M474" s="56">
        <f ca="1">$J$474-EFEITO!$K$474*EFEITO!$Y$474</f>
        <v>19.232404763061936</v>
      </c>
      <c r="N474" s="56">
        <f>$K$474-EFEITO!$M$474*EFEITO!$Z$474</f>
        <v>0</v>
      </c>
      <c r="O474" s="56">
        <f>$L$474-EFEITO!$O$474*EFEITO!$AA$474</f>
        <v>0</v>
      </c>
      <c r="P474" s="39"/>
      <c r="Q474" s="39"/>
      <c r="R474" s="39"/>
      <c r="S474" s="39"/>
      <c r="T474" s="39"/>
      <c r="U474" s="39"/>
      <c r="V474" s="39"/>
      <c r="W474" s="39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35" t="s">
        <v>21</v>
      </c>
      <c r="B475" s="35" t="s">
        <v>39</v>
      </c>
      <c r="C475" s="35" t="s">
        <v>40</v>
      </c>
      <c r="D475" s="35" t="s">
        <v>50</v>
      </c>
      <c r="E475" s="35" t="s">
        <v>51</v>
      </c>
      <c r="F475" s="35" t="s">
        <v>25</v>
      </c>
      <c r="G475" s="35" t="s">
        <v>25</v>
      </c>
      <c r="H475" s="35" t="s">
        <v>25</v>
      </c>
      <c r="I475" s="55">
        <v>44805</v>
      </c>
      <c r="J475" s="56">
        <f ca="1">EFEITO!$J$475*EFEITO!$Y$359</f>
        <v>641.08015876873412</v>
      </c>
      <c r="K475" s="56">
        <f>EFEITO!$L$475*EFEITO!$Z$359</f>
        <v>0</v>
      </c>
      <c r="L475" s="56">
        <f>EFEITO!$N$475*EFEITO!$AA$359</f>
        <v>0</v>
      </c>
      <c r="M475" s="56">
        <f ca="1">$J$475-EFEITO!$K$475*EFEITO!$Y$475</f>
        <v>19.232404763061936</v>
      </c>
      <c r="N475" s="56">
        <f>$K$475-EFEITO!$M$475*EFEITO!$Z$475</f>
        <v>0</v>
      </c>
      <c r="O475" s="56">
        <f>$L$475-EFEITO!$O$475*EFEITO!$AA$475</f>
        <v>0</v>
      </c>
      <c r="P475" s="39"/>
      <c r="Q475" s="39"/>
      <c r="R475" s="39"/>
      <c r="S475" s="39"/>
      <c r="T475" s="39"/>
      <c r="U475" s="39"/>
      <c r="V475" s="39"/>
      <c r="W475" s="39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35" t="s">
        <v>57</v>
      </c>
      <c r="B476" s="35" t="s">
        <v>39</v>
      </c>
      <c r="C476" s="35" t="s">
        <v>40</v>
      </c>
      <c r="D476" s="35" t="s">
        <v>50</v>
      </c>
      <c r="E476" s="35" t="s">
        <v>51</v>
      </c>
      <c r="F476" s="35" t="s">
        <v>25</v>
      </c>
      <c r="G476" s="35" t="s">
        <v>25</v>
      </c>
      <c r="H476" s="35" t="s">
        <v>25</v>
      </c>
      <c r="I476" s="55">
        <v>44835</v>
      </c>
      <c r="J476" s="56">
        <f ca="1">EFEITO!$J$476*EFEITO!$Y$359</f>
        <v>641.08015876873412</v>
      </c>
      <c r="K476" s="56">
        <f>EFEITO!$L$476*EFEITO!$Z$359</f>
        <v>0</v>
      </c>
      <c r="L476" s="56">
        <f>EFEITO!$N$476*EFEITO!$AA$359</f>
        <v>0</v>
      </c>
      <c r="M476" s="56">
        <f ca="1">$J$476-EFEITO!$K$476*EFEITO!$Y$476</f>
        <v>19.232404763061936</v>
      </c>
      <c r="N476" s="56">
        <f>$K$476-EFEITO!$M$476*EFEITO!$Z$476</f>
        <v>0</v>
      </c>
      <c r="O476" s="56">
        <f>$L$476-EFEITO!$O$476*EFEITO!$AA$476</f>
        <v>0</v>
      </c>
      <c r="P476" s="39"/>
      <c r="Q476" s="39"/>
      <c r="R476" s="39"/>
      <c r="S476" s="39"/>
      <c r="T476" s="39"/>
      <c r="U476" s="39"/>
      <c r="V476" s="39"/>
      <c r="W476" s="39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35" t="s">
        <v>21</v>
      </c>
      <c r="B477" s="35" t="s">
        <v>39</v>
      </c>
      <c r="C477" s="35" t="s">
        <v>40</v>
      </c>
      <c r="D477" s="35" t="s">
        <v>50</v>
      </c>
      <c r="E477" s="35" t="s">
        <v>51</v>
      </c>
      <c r="F477" s="35" t="s">
        <v>25</v>
      </c>
      <c r="G477" s="35" t="s">
        <v>25</v>
      </c>
      <c r="H477" s="35" t="s">
        <v>34</v>
      </c>
      <c r="I477" s="55">
        <v>44501</v>
      </c>
      <c r="J477" s="56">
        <f>EFEITO!$J$477*EFEITO!$Y$383</f>
        <v>0</v>
      </c>
      <c r="K477" s="56">
        <f ca="1">EFEITO!$L$477*EFEITO!$Z$383</f>
        <v>746.78330036603234</v>
      </c>
      <c r="L477" s="56">
        <f>EFEITO!$N$477*EFEITO!$AA$383</f>
        <v>195.09247675575</v>
      </c>
      <c r="M477" s="56">
        <f>$J$477-EFEITO!$K$477*EFEITO!$Y$477</f>
        <v>0</v>
      </c>
      <c r="N477" s="56">
        <f ca="1">$K$477-EFEITO!$M$477*EFEITO!$Z$477</f>
        <v>22.403499010981022</v>
      </c>
      <c r="O477" s="56">
        <f>$L$477-EFEITO!$O$477*EFEITO!$AA$477</f>
        <v>5.8527743026724863</v>
      </c>
      <c r="P477" s="39"/>
      <c r="Q477" s="39"/>
      <c r="R477" s="39"/>
      <c r="S477" s="39"/>
      <c r="T477" s="39"/>
      <c r="U477" s="39"/>
      <c r="V477" s="39"/>
      <c r="W477" s="39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35" t="s">
        <v>21</v>
      </c>
      <c r="B478" s="35" t="s">
        <v>39</v>
      </c>
      <c r="C478" s="35" t="s">
        <v>40</v>
      </c>
      <c r="D478" s="35" t="s">
        <v>50</v>
      </c>
      <c r="E478" s="35" t="s">
        <v>51</v>
      </c>
      <c r="F478" s="35" t="s">
        <v>25</v>
      </c>
      <c r="G478" s="35" t="s">
        <v>25</v>
      </c>
      <c r="H478" s="35" t="s">
        <v>34</v>
      </c>
      <c r="I478" s="55">
        <v>44531</v>
      </c>
      <c r="J478" s="56">
        <f>EFEITO!$J$478*EFEITO!$Y$383</f>
        <v>0</v>
      </c>
      <c r="K478" s="56">
        <f ca="1">EFEITO!$L$478*EFEITO!$Z$383</f>
        <v>896.41705999410556</v>
      </c>
      <c r="L478" s="56">
        <f>EFEITO!$N$478*EFEITO!$AA$383</f>
        <v>234.18336263630846</v>
      </c>
      <c r="M478" s="56">
        <f>$J$478-EFEITO!$K$478*EFEITO!$Y$478</f>
        <v>0</v>
      </c>
      <c r="N478" s="56">
        <f ca="1">$K$478-EFEITO!$M$478*EFEITO!$Z$478</f>
        <v>26.892511799823183</v>
      </c>
      <c r="O478" s="56">
        <f>$L$478-EFEITO!$O$478*EFEITO!$AA$478</f>
        <v>7.0255008790892646</v>
      </c>
      <c r="P478" s="39"/>
      <c r="Q478" s="39"/>
      <c r="R478" s="39"/>
      <c r="S478" s="39"/>
      <c r="T478" s="39"/>
      <c r="U478" s="39"/>
      <c r="V478" s="39"/>
      <c r="W478" s="39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35" t="s">
        <v>21</v>
      </c>
      <c r="B479" s="35" t="s">
        <v>39</v>
      </c>
      <c r="C479" s="35" t="s">
        <v>40</v>
      </c>
      <c r="D479" s="35" t="s">
        <v>50</v>
      </c>
      <c r="E479" s="35" t="s">
        <v>51</v>
      </c>
      <c r="F479" s="35" t="s">
        <v>25</v>
      </c>
      <c r="G479" s="35" t="s">
        <v>25</v>
      </c>
      <c r="H479" s="35" t="s">
        <v>34</v>
      </c>
      <c r="I479" s="55">
        <v>44562</v>
      </c>
      <c r="J479" s="56">
        <f>EFEITO!$J$479*EFEITO!$Y$383</f>
        <v>0</v>
      </c>
      <c r="K479" s="56">
        <f ca="1">EFEITO!$L$479*EFEITO!$Z$383</f>
        <v>899.18805554277355</v>
      </c>
      <c r="L479" s="56">
        <f>EFEITO!$N$479*EFEITO!$AA$383</f>
        <v>234.90726793039286</v>
      </c>
      <c r="M479" s="56">
        <f>$J$479-EFEITO!$K$479*EFEITO!$Y$479</f>
        <v>0</v>
      </c>
      <c r="N479" s="56">
        <f ca="1">$K$479-EFEITO!$M$479*EFEITO!$Z$479</f>
        <v>26.975641666283195</v>
      </c>
      <c r="O479" s="56">
        <f>$L$479-EFEITO!$O$479*EFEITO!$AA$479</f>
        <v>7.0472180379117901</v>
      </c>
      <c r="P479" s="39"/>
      <c r="Q479" s="39"/>
      <c r="R479" s="39"/>
      <c r="S479" s="39"/>
      <c r="T479" s="39"/>
      <c r="U479" s="39"/>
      <c r="V479" s="39"/>
      <c r="W479" s="39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35" t="s">
        <v>21</v>
      </c>
      <c r="B480" s="35" t="s">
        <v>39</v>
      </c>
      <c r="C480" s="35" t="s">
        <v>40</v>
      </c>
      <c r="D480" s="35" t="s">
        <v>50</v>
      </c>
      <c r="E480" s="35" t="s">
        <v>51</v>
      </c>
      <c r="F480" s="35" t="s">
        <v>25</v>
      </c>
      <c r="G480" s="35" t="s">
        <v>25</v>
      </c>
      <c r="H480" s="35" t="s">
        <v>34</v>
      </c>
      <c r="I480" s="55">
        <v>44593</v>
      </c>
      <c r="J480" s="56">
        <f>EFEITO!$J$480*EFEITO!$Y$383</f>
        <v>0</v>
      </c>
      <c r="K480" s="56">
        <f ca="1">EFEITO!$L$480*EFEITO!$Z$383</f>
        <v>796.66122024205663</v>
      </c>
      <c r="L480" s="56">
        <f>EFEITO!$N$480*EFEITO!$AA$383</f>
        <v>208.12277204926946</v>
      </c>
      <c r="M480" s="56">
        <f>$J$480-EFEITO!$K$480*EFEITO!$Y$480</f>
        <v>0</v>
      </c>
      <c r="N480" s="56">
        <f ca="1">$K$480-EFEITO!$M$480*EFEITO!$Z$480</f>
        <v>23.899836607261705</v>
      </c>
      <c r="O480" s="56">
        <f>$L$480-EFEITO!$O$480*EFEITO!$AA$480</f>
        <v>6.2436831614780886</v>
      </c>
      <c r="P480" s="39"/>
      <c r="Q480" s="39"/>
      <c r="R480" s="39"/>
      <c r="S480" s="39"/>
      <c r="T480" s="39"/>
      <c r="U480" s="39"/>
      <c r="V480" s="39"/>
      <c r="W480" s="39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35" t="s">
        <v>21</v>
      </c>
      <c r="B481" s="35" t="s">
        <v>39</v>
      </c>
      <c r="C481" s="35" t="s">
        <v>40</v>
      </c>
      <c r="D481" s="35" t="s">
        <v>50</v>
      </c>
      <c r="E481" s="35" t="s">
        <v>51</v>
      </c>
      <c r="F481" s="35" t="s">
        <v>25</v>
      </c>
      <c r="G481" s="35" t="s">
        <v>25</v>
      </c>
      <c r="H481" s="35" t="s">
        <v>34</v>
      </c>
      <c r="I481" s="55">
        <v>44621</v>
      </c>
      <c r="J481" s="56">
        <f>EFEITO!$J$481*EFEITO!$Y$383</f>
        <v>0</v>
      </c>
      <c r="K481" s="56">
        <f ca="1">EFEITO!$L$481*EFEITO!$Z$383</f>
        <v>846.53914011808115</v>
      </c>
      <c r="L481" s="56">
        <f>EFEITO!$N$481*EFEITO!$AA$383</f>
        <v>221.15306734278894</v>
      </c>
      <c r="M481" s="56">
        <f>$J$481-EFEITO!$K$481*EFEITO!$Y$481</f>
        <v>0</v>
      </c>
      <c r="N481" s="56">
        <f ca="1">$K$481-EFEITO!$M$481*EFEITO!$Z$481</f>
        <v>25.3961742035425</v>
      </c>
      <c r="O481" s="56">
        <f>$L$481-EFEITO!$O$481*EFEITO!$AA$481</f>
        <v>6.6345920202836624</v>
      </c>
      <c r="P481" s="39"/>
      <c r="Q481" s="39"/>
      <c r="R481" s="39"/>
      <c r="S481" s="39"/>
      <c r="T481" s="39"/>
      <c r="U481" s="39"/>
      <c r="V481" s="39"/>
      <c r="W481" s="39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35" t="s">
        <v>21</v>
      </c>
      <c r="B482" s="35" t="s">
        <v>39</v>
      </c>
      <c r="C482" s="35" t="s">
        <v>40</v>
      </c>
      <c r="D482" s="35" t="s">
        <v>50</v>
      </c>
      <c r="E482" s="35" t="s">
        <v>51</v>
      </c>
      <c r="F482" s="35" t="s">
        <v>25</v>
      </c>
      <c r="G482" s="35" t="s">
        <v>25</v>
      </c>
      <c r="H482" s="35" t="s">
        <v>34</v>
      </c>
      <c r="I482" s="55">
        <v>44652</v>
      </c>
      <c r="J482" s="56">
        <f>EFEITO!$J$482*EFEITO!$Y$383</f>
        <v>0</v>
      </c>
      <c r="K482" s="56">
        <f ca="1">EFEITO!$L$482*EFEITO!$Z$383</f>
        <v>775.87875362704654</v>
      </c>
      <c r="L482" s="56">
        <f>EFEITO!$N$482*EFEITO!$AA$383</f>
        <v>202.69348234363639</v>
      </c>
      <c r="M482" s="56">
        <f>$J$482-EFEITO!$K$482*EFEITO!$Y$482</f>
        <v>0</v>
      </c>
      <c r="N482" s="56">
        <f ca="1">$K$482-EFEITO!$M$482*EFEITO!$Z$482</f>
        <v>23.276362608811382</v>
      </c>
      <c r="O482" s="56">
        <f>$L$482-EFEITO!$O$482*EFEITO!$AA$482</f>
        <v>6.0808044703091184</v>
      </c>
      <c r="P482" s="39"/>
      <c r="Q482" s="39"/>
      <c r="R482" s="39"/>
      <c r="S482" s="39"/>
      <c r="T482" s="39"/>
      <c r="U482" s="39"/>
      <c r="V482" s="39"/>
      <c r="W482" s="39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35" t="s">
        <v>21</v>
      </c>
      <c r="B483" s="35" t="s">
        <v>39</v>
      </c>
      <c r="C483" s="35" t="s">
        <v>40</v>
      </c>
      <c r="D483" s="35" t="s">
        <v>50</v>
      </c>
      <c r="E483" s="35" t="s">
        <v>51</v>
      </c>
      <c r="F483" s="35" t="s">
        <v>25</v>
      </c>
      <c r="G483" s="35" t="s">
        <v>25</v>
      </c>
      <c r="H483" s="35" t="s">
        <v>34</v>
      </c>
      <c r="I483" s="55">
        <v>44682</v>
      </c>
      <c r="J483" s="56">
        <f>EFEITO!$J$483*EFEITO!$Y$383</f>
        <v>0</v>
      </c>
      <c r="K483" s="56">
        <f ca="1">EFEITO!$L$483*EFEITO!$Z$383</f>
        <v>965.69194871080606</v>
      </c>
      <c r="L483" s="56">
        <f>EFEITO!$N$483*EFEITO!$AA$383</f>
        <v>252.2809949884188</v>
      </c>
      <c r="M483" s="56">
        <f>$J$483-EFEITO!$K$483*EFEITO!$Y$483</f>
        <v>0</v>
      </c>
      <c r="N483" s="56">
        <f ca="1">$K$483-EFEITO!$M$483*EFEITO!$Z$483</f>
        <v>28.970758461324294</v>
      </c>
      <c r="O483" s="56">
        <f>$L$483-EFEITO!$O$483*EFEITO!$AA$483</f>
        <v>7.5684298496525741</v>
      </c>
      <c r="P483" s="39"/>
      <c r="Q483" s="39"/>
      <c r="R483" s="39"/>
      <c r="S483" s="39"/>
      <c r="T483" s="39"/>
      <c r="U483" s="39"/>
      <c r="V483" s="39"/>
      <c r="W483" s="39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35" t="s">
        <v>21</v>
      </c>
      <c r="B484" s="35" t="s">
        <v>39</v>
      </c>
      <c r="C484" s="35" t="s">
        <v>40</v>
      </c>
      <c r="D484" s="35" t="s">
        <v>50</v>
      </c>
      <c r="E484" s="35" t="s">
        <v>51</v>
      </c>
      <c r="F484" s="35" t="s">
        <v>25</v>
      </c>
      <c r="G484" s="35" t="s">
        <v>25</v>
      </c>
      <c r="H484" s="35" t="s">
        <v>34</v>
      </c>
      <c r="I484" s="55">
        <v>44713</v>
      </c>
      <c r="J484" s="56">
        <f>EFEITO!$J$484*EFEITO!$Y$383</f>
        <v>0</v>
      </c>
      <c r="K484" s="56">
        <f ca="1">EFEITO!$L$484*EFEITO!$Z$383</f>
        <v>907.50104218877766</v>
      </c>
      <c r="L484" s="56">
        <f>EFEITO!$N$484*EFEITO!$AA$383</f>
        <v>237.0789838126461</v>
      </c>
      <c r="M484" s="56">
        <f>$J$484-EFEITO!$K$484*EFEITO!$Y$484</f>
        <v>0</v>
      </c>
      <c r="N484" s="56">
        <f ca="1">$K$484-EFEITO!$M$484*EFEITO!$Z$484</f>
        <v>27.225031265663347</v>
      </c>
      <c r="O484" s="56">
        <f>$L$484-EFEITO!$O$484*EFEITO!$AA$484</f>
        <v>7.1123695143793952</v>
      </c>
      <c r="P484" s="39"/>
      <c r="Q484" s="39"/>
      <c r="R484" s="39"/>
      <c r="S484" s="39"/>
      <c r="T484" s="39"/>
      <c r="U484" s="39"/>
      <c r="V484" s="39"/>
      <c r="W484" s="39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35" t="s">
        <v>21</v>
      </c>
      <c r="B485" s="35" t="s">
        <v>39</v>
      </c>
      <c r="C485" s="35" t="s">
        <v>40</v>
      </c>
      <c r="D485" s="35" t="s">
        <v>50</v>
      </c>
      <c r="E485" s="35" t="s">
        <v>51</v>
      </c>
      <c r="F485" s="35" t="s">
        <v>25</v>
      </c>
      <c r="G485" s="35" t="s">
        <v>25</v>
      </c>
      <c r="H485" s="35" t="s">
        <v>34</v>
      </c>
      <c r="I485" s="55">
        <v>44743</v>
      </c>
      <c r="J485" s="56">
        <f>EFEITO!$J$485*EFEITO!$Y$383</f>
        <v>0</v>
      </c>
      <c r="K485" s="56">
        <f ca="1">EFEITO!$L$485*EFEITO!$Z$383</f>
        <v>1057.134801816851</v>
      </c>
      <c r="L485" s="56">
        <f>EFEITO!$N$485*EFEITO!$AA$383</f>
        <v>276.16986969320453</v>
      </c>
      <c r="M485" s="56">
        <f>$J$485-EFEITO!$K$485*EFEITO!$Y$485</f>
        <v>0</v>
      </c>
      <c r="N485" s="56">
        <f ca="1">$K$485-EFEITO!$M$485*EFEITO!$Z$485</f>
        <v>31.714044054505621</v>
      </c>
      <c r="O485" s="56">
        <f>$L$485-EFEITO!$O$485*EFEITO!$AA$485</f>
        <v>8.2850960907961166</v>
      </c>
      <c r="P485" s="39"/>
      <c r="Q485" s="39"/>
      <c r="R485" s="39"/>
      <c r="S485" s="39"/>
      <c r="T485" s="39"/>
      <c r="U485" s="39"/>
      <c r="V485" s="39"/>
      <c r="W485" s="39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35" t="s">
        <v>21</v>
      </c>
      <c r="B486" s="35" t="s">
        <v>39</v>
      </c>
      <c r="C486" s="35" t="s">
        <v>40</v>
      </c>
      <c r="D486" s="35" t="s">
        <v>50</v>
      </c>
      <c r="E486" s="35" t="s">
        <v>51</v>
      </c>
      <c r="F486" s="35" t="s">
        <v>25</v>
      </c>
      <c r="G486" s="35" t="s">
        <v>25</v>
      </c>
      <c r="H486" s="35" t="s">
        <v>34</v>
      </c>
      <c r="I486" s="55">
        <v>44774</v>
      </c>
      <c r="J486" s="56">
        <f>EFEITO!$J$486*EFEITO!$Y$383</f>
        <v>0</v>
      </c>
      <c r="K486" s="56">
        <f ca="1">EFEITO!$L$486*EFEITO!$Z$383</f>
        <v>1151.3486504715636</v>
      </c>
      <c r="L486" s="56">
        <f>EFEITO!$N$486*EFEITO!$AA$383</f>
        <v>300.78264969207464</v>
      </c>
      <c r="M486" s="56">
        <f>$J$486-EFEITO!$K$486*EFEITO!$Y$486</f>
        <v>0</v>
      </c>
      <c r="N486" s="56">
        <f ca="1">$K$486-EFEITO!$M$486*EFEITO!$Z$486</f>
        <v>34.54045951414696</v>
      </c>
      <c r="O486" s="56">
        <f>$L$486-EFEITO!$O$486*EFEITO!$AA$486</f>
        <v>9.0234794907622131</v>
      </c>
      <c r="P486" s="39"/>
      <c r="Q486" s="39"/>
      <c r="R486" s="39"/>
      <c r="S486" s="39"/>
      <c r="T486" s="39"/>
      <c r="U486" s="39"/>
      <c r="V486" s="39"/>
      <c r="W486" s="39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35" t="s">
        <v>21</v>
      </c>
      <c r="B487" s="35" t="s">
        <v>39</v>
      </c>
      <c r="C487" s="35" t="s">
        <v>40</v>
      </c>
      <c r="D487" s="35" t="s">
        <v>50</v>
      </c>
      <c r="E487" s="35" t="s">
        <v>51</v>
      </c>
      <c r="F487" s="35" t="s">
        <v>25</v>
      </c>
      <c r="G487" s="35" t="s">
        <v>25</v>
      </c>
      <c r="H487" s="35" t="s">
        <v>34</v>
      </c>
      <c r="I487" s="55">
        <v>44805</v>
      </c>
      <c r="J487" s="56">
        <f>EFEITO!$J$487*EFEITO!$Y$383</f>
        <v>0</v>
      </c>
      <c r="K487" s="56">
        <f ca="1">EFEITO!$L$487*EFEITO!$Z$383</f>
        <v>1036.3523352018408</v>
      </c>
      <c r="L487" s="56">
        <f>EFEITO!$N$487*EFEITO!$AA$383</f>
        <v>270.74057998757144</v>
      </c>
      <c r="M487" s="56">
        <f>$J$487-EFEITO!$K$487*EFEITO!$Y$487</f>
        <v>0</v>
      </c>
      <c r="N487" s="56">
        <f ca="1">$K$487-EFEITO!$M$487*EFEITO!$Z$487</f>
        <v>31.090570056055412</v>
      </c>
      <c r="O487" s="56">
        <f>$L$487-EFEITO!$O$487*EFEITO!$AA$487</f>
        <v>8.1222173996271749</v>
      </c>
      <c r="P487" s="39"/>
      <c r="Q487" s="39"/>
      <c r="R487" s="39"/>
      <c r="S487" s="39"/>
      <c r="T487" s="39"/>
      <c r="U487" s="39"/>
      <c r="V487" s="39"/>
      <c r="W487" s="39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35" t="s">
        <v>57</v>
      </c>
      <c r="B488" s="35" t="s">
        <v>39</v>
      </c>
      <c r="C488" s="35" t="s">
        <v>40</v>
      </c>
      <c r="D488" s="35" t="s">
        <v>50</v>
      </c>
      <c r="E488" s="35" t="s">
        <v>51</v>
      </c>
      <c r="F488" s="35" t="s">
        <v>25</v>
      </c>
      <c r="G488" s="35" t="s">
        <v>25</v>
      </c>
      <c r="H488" s="35" t="s">
        <v>34</v>
      </c>
      <c r="I488" s="55">
        <v>44835</v>
      </c>
      <c r="J488" s="56">
        <f>EFEITO!$J$488*EFEITO!$Y$383</f>
        <v>0</v>
      </c>
      <c r="K488" s="56">
        <f ca="1">EFEITO!$L$488*EFEITO!$Z$383</f>
        <v>1036.3523352018408</v>
      </c>
      <c r="L488" s="56">
        <f>EFEITO!$N$488*EFEITO!$AA$383</f>
        <v>270.74057998757144</v>
      </c>
      <c r="M488" s="56">
        <f>$J$488-EFEITO!$K$488*EFEITO!$Y$488</f>
        <v>0</v>
      </c>
      <c r="N488" s="56">
        <f ca="1">$K$488-EFEITO!$M$488*EFEITO!$Z$488</f>
        <v>31.090570056055412</v>
      </c>
      <c r="O488" s="56">
        <f>$L$488-EFEITO!$O$488*EFEITO!$AA$488</f>
        <v>8.1222173996271749</v>
      </c>
      <c r="P488" s="39"/>
      <c r="Q488" s="39"/>
      <c r="R488" s="39"/>
      <c r="S488" s="39"/>
      <c r="T488" s="39"/>
      <c r="U488" s="39"/>
      <c r="V488" s="39"/>
      <c r="W488" s="39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35" t="s">
        <v>21</v>
      </c>
      <c r="B489" s="35" t="s">
        <v>22</v>
      </c>
      <c r="C489" s="35" t="s">
        <v>33</v>
      </c>
      <c r="D489" s="35" t="s">
        <v>24</v>
      </c>
      <c r="E489" s="35" t="s">
        <v>24</v>
      </c>
      <c r="F489" s="35" t="s">
        <v>25</v>
      </c>
      <c r="G489" s="35" t="s">
        <v>25</v>
      </c>
      <c r="H489" s="35" t="s">
        <v>35</v>
      </c>
      <c r="I489" s="55">
        <v>44501</v>
      </c>
      <c r="J489" s="56">
        <f>EFEITO!$J$489*EFEITO!$Y$489</f>
        <v>0</v>
      </c>
      <c r="K489" s="56">
        <f ca="1">EFEITO!$L$489*EFEITO!$Z$489</f>
        <v>1884.8474369986614</v>
      </c>
      <c r="L489" s="56">
        <f>EFEITO!$N$489*EFEITO!$AA$489</f>
        <v>1112.85889985884</v>
      </c>
      <c r="M489" s="56">
        <f>$J$489-EFEITO!$K$489*EFEITO!$Y$489</f>
        <v>0</v>
      </c>
      <c r="N489" s="56">
        <f ca="1">$K$489-EFEITO!$M$489*EFEITO!$Z$489</f>
        <v>0</v>
      </c>
      <c r="O489" s="56">
        <f>$L$489-EFEITO!$O$489*EFEITO!$AA$489</f>
        <v>0</v>
      </c>
      <c r="P489" s="39"/>
      <c r="Q489" s="39"/>
      <c r="R489" s="39"/>
      <c r="S489" s="39"/>
      <c r="T489" s="39"/>
      <c r="U489" s="39"/>
      <c r="V489" s="39"/>
      <c r="W489" s="39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35" t="s">
        <v>21</v>
      </c>
      <c r="B490" s="35" t="s">
        <v>22</v>
      </c>
      <c r="C490" s="35" t="s">
        <v>33</v>
      </c>
      <c r="D490" s="35" t="s">
        <v>24</v>
      </c>
      <c r="E490" s="35" t="s">
        <v>24</v>
      </c>
      <c r="F490" s="35" t="s">
        <v>25</v>
      </c>
      <c r="G490" s="35" t="s">
        <v>25</v>
      </c>
      <c r="H490" s="35" t="s">
        <v>35</v>
      </c>
      <c r="I490" s="55">
        <v>44531</v>
      </c>
      <c r="J490" s="56">
        <f>EFEITO!$J$490*EFEITO!$Y$490</f>
        <v>0</v>
      </c>
      <c r="K490" s="56">
        <f ca="1">EFEITO!$L$490*EFEITO!$Z$490</f>
        <v>2004.251241460807</v>
      </c>
      <c r="L490" s="56">
        <f>EFEITO!$N$490*EFEITO!$AA$490</f>
        <v>1183.3577550257571</v>
      </c>
      <c r="M490" s="56">
        <f>$J$490-EFEITO!$K$490*EFEITO!$Y$490</f>
        <v>0</v>
      </c>
      <c r="N490" s="56">
        <f ca="1">$K$490-EFEITO!$M$490*EFEITO!$Z$490</f>
        <v>0</v>
      </c>
      <c r="O490" s="56">
        <f>$L$490-EFEITO!$O$490*EFEITO!$AA$490</f>
        <v>0</v>
      </c>
      <c r="P490" s="39"/>
      <c r="Q490" s="39"/>
      <c r="R490" s="39"/>
      <c r="S490" s="39"/>
      <c r="T490" s="39"/>
      <c r="U490" s="39"/>
      <c r="V490" s="39"/>
      <c r="W490" s="39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35" t="s">
        <v>21</v>
      </c>
      <c r="B491" s="35" t="s">
        <v>22</v>
      </c>
      <c r="C491" s="35" t="s">
        <v>33</v>
      </c>
      <c r="D491" s="35" t="s">
        <v>24</v>
      </c>
      <c r="E491" s="35" t="s">
        <v>24</v>
      </c>
      <c r="F491" s="35" t="s">
        <v>25</v>
      </c>
      <c r="G491" s="35" t="s">
        <v>25</v>
      </c>
      <c r="H491" s="35" t="s">
        <v>35</v>
      </c>
      <c r="I491" s="55">
        <v>44562</v>
      </c>
      <c r="J491" s="56">
        <f>EFEITO!$J$491*EFEITO!$Y$491</f>
        <v>0</v>
      </c>
      <c r="K491" s="56">
        <f ca="1">EFEITO!$L$491*EFEITO!$Z$491</f>
        <v>2102.1849612089391</v>
      </c>
      <c r="L491" s="56">
        <f>EFEITO!$N$491*EFEITO!$AA$491</f>
        <v>1241.1801598945219</v>
      </c>
      <c r="M491" s="56">
        <f>$J$491-EFEITO!$K$491*EFEITO!$Y$491</f>
        <v>0</v>
      </c>
      <c r="N491" s="56">
        <f ca="1">$K$491-EFEITO!$M$491*EFEITO!$Z$491</f>
        <v>0</v>
      </c>
      <c r="O491" s="56">
        <f>$L$491-EFEITO!$O$491*EFEITO!$AA$491</f>
        <v>0</v>
      </c>
      <c r="P491" s="39"/>
      <c r="Q491" s="39"/>
      <c r="R491" s="39"/>
      <c r="S491" s="39"/>
      <c r="T491" s="39"/>
      <c r="U491" s="39"/>
      <c r="V491" s="39"/>
      <c r="W491" s="39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35" t="s">
        <v>21</v>
      </c>
      <c r="B492" s="35" t="s">
        <v>22</v>
      </c>
      <c r="C492" s="35" t="s">
        <v>33</v>
      </c>
      <c r="D492" s="35" t="s">
        <v>24</v>
      </c>
      <c r="E492" s="35" t="s">
        <v>24</v>
      </c>
      <c r="F492" s="35" t="s">
        <v>25</v>
      </c>
      <c r="G492" s="35" t="s">
        <v>25</v>
      </c>
      <c r="H492" s="35" t="s">
        <v>35</v>
      </c>
      <c r="I492" s="55">
        <v>44593</v>
      </c>
      <c r="J492" s="56">
        <f>EFEITO!$J$492*EFEITO!$Y$492</f>
        <v>0</v>
      </c>
      <c r="K492" s="56">
        <f ca="1">EFEITO!$L$492*EFEITO!$Z$492</f>
        <v>2198.2353401926839</v>
      </c>
      <c r="L492" s="56">
        <f>EFEITO!$N$492*EFEITO!$AA$492</f>
        <v>1297.8905954388872</v>
      </c>
      <c r="M492" s="56">
        <f>$J$492-EFEITO!$K$492*EFEITO!$Y$492</f>
        <v>0</v>
      </c>
      <c r="N492" s="56">
        <f ca="1">$K$492-EFEITO!$M$492*EFEITO!$Z$492</f>
        <v>0</v>
      </c>
      <c r="O492" s="56">
        <f>$L$492-EFEITO!$O$492*EFEITO!$AA$492</f>
        <v>0</v>
      </c>
      <c r="P492" s="39"/>
      <c r="Q492" s="39"/>
      <c r="R492" s="39"/>
      <c r="S492" s="39"/>
      <c r="T492" s="39"/>
      <c r="U492" s="39"/>
      <c r="V492" s="39"/>
      <c r="W492" s="39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35" t="s">
        <v>21</v>
      </c>
      <c r="B493" s="35" t="s">
        <v>22</v>
      </c>
      <c r="C493" s="35" t="s">
        <v>33</v>
      </c>
      <c r="D493" s="35" t="s">
        <v>24</v>
      </c>
      <c r="E493" s="35" t="s">
        <v>24</v>
      </c>
      <c r="F493" s="35" t="s">
        <v>25</v>
      </c>
      <c r="G493" s="35" t="s">
        <v>25</v>
      </c>
      <c r="H493" s="35" t="s">
        <v>35</v>
      </c>
      <c r="I493" s="55">
        <v>44621</v>
      </c>
      <c r="J493" s="56">
        <f>EFEITO!$J$493*EFEITO!$Y$493</f>
        <v>0</v>
      </c>
      <c r="K493" s="56">
        <f ca="1">EFEITO!$L$493*EFEITO!$Z$493</f>
        <v>1838.1405860418602</v>
      </c>
      <c r="L493" s="56">
        <f>EFEITO!$N$493*EFEITO!$AA$493</f>
        <v>1085.282060613737</v>
      </c>
      <c r="M493" s="56">
        <f>$J$493-EFEITO!$K$493*EFEITO!$Y$493</f>
        <v>0</v>
      </c>
      <c r="N493" s="56">
        <f ca="1">$K$493-EFEITO!$M$493*EFEITO!$Z$493</f>
        <v>0</v>
      </c>
      <c r="O493" s="56">
        <f>$L$493-EFEITO!$O$493*EFEITO!$AA$493</f>
        <v>0</v>
      </c>
      <c r="P493" s="39"/>
      <c r="Q493" s="39"/>
      <c r="R493" s="39"/>
      <c r="S493" s="39"/>
      <c r="T493" s="39"/>
      <c r="U493" s="39"/>
      <c r="V493" s="39"/>
      <c r="W493" s="39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35" t="s">
        <v>21</v>
      </c>
      <c r="B494" s="35" t="s">
        <v>22</v>
      </c>
      <c r="C494" s="35" t="s">
        <v>33</v>
      </c>
      <c r="D494" s="35" t="s">
        <v>24</v>
      </c>
      <c r="E494" s="35" t="s">
        <v>24</v>
      </c>
      <c r="F494" s="35" t="s">
        <v>25</v>
      </c>
      <c r="G494" s="35" t="s">
        <v>25</v>
      </c>
      <c r="H494" s="35" t="s">
        <v>35</v>
      </c>
      <c r="I494" s="55">
        <v>44652</v>
      </c>
      <c r="J494" s="56">
        <f>EFEITO!$J$494*EFEITO!$Y$494</f>
        <v>0</v>
      </c>
      <c r="K494" s="56">
        <f ca="1">EFEITO!$L$494*EFEITO!$Z$494</f>
        <v>2027.9813350920851</v>
      </c>
      <c r="L494" s="56">
        <f>EFEITO!$N$494*EFEITO!$AA$494</f>
        <v>1197.3685685131886</v>
      </c>
      <c r="M494" s="56">
        <f>$J$494-EFEITO!$K$494*EFEITO!$Y$494</f>
        <v>0</v>
      </c>
      <c r="N494" s="56">
        <f ca="1">$K$494-EFEITO!$M$494*EFEITO!$Z$494</f>
        <v>0</v>
      </c>
      <c r="O494" s="56">
        <f>$L$494-EFEITO!$O$494*EFEITO!$AA$494</f>
        <v>0</v>
      </c>
      <c r="P494" s="39"/>
      <c r="Q494" s="39"/>
      <c r="R494" s="39"/>
      <c r="S494" s="39"/>
      <c r="T494" s="39"/>
      <c r="U494" s="39"/>
      <c r="V494" s="39"/>
      <c r="W494" s="39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35" t="s">
        <v>21</v>
      </c>
      <c r="B495" s="35" t="s">
        <v>22</v>
      </c>
      <c r="C495" s="35" t="s">
        <v>33</v>
      </c>
      <c r="D495" s="35" t="s">
        <v>24</v>
      </c>
      <c r="E495" s="35" t="s">
        <v>24</v>
      </c>
      <c r="F495" s="35" t="s">
        <v>25</v>
      </c>
      <c r="G495" s="35" t="s">
        <v>25</v>
      </c>
      <c r="H495" s="35" t="s">
        <v>35</v>
      </c>
      <c r="I495" s="55">
        <v>44682</v>
      </c>
      <c r="J495" s="56">
        <f>EFEITO!$J$495*EFEITO!$Y$495</f>
        <v>0</v>
      </c>
      <c r="K495" s="56">
        <f ca="1">EFEITO!$L$495*EFEITO!$Z$495</f>
        <v>1242.2515681897653</v>
      </c>
      <c r="L495" s="56">
        <f>EFEITO!$N$495*EFEITO!$AA$495</f>
        <v>733.45496637379199</v>
      </c>
      <c r="M495" s="56">
        <f>$J$495-EFEITO!$K$495*EFEITO!$Y$495</f>
        <v>0</v>
      </c>
      <c r="N495" s="56">
        <f ca="1">$K$495-EFEITO!$M$495*EFEITO!$Z$495</f>
        <v>0</v>
      </c>
      <c r="O495" s="56">
        <f>$L$495-EFEITO!$O$495*EFEITO!$AA$495</f>
        <v>0</v>
      </c>
      <c r="P495" s="39"/>
      <c r="Q495" s="39"/>
      <c r="R495" s="39"/>
      <c r="S495" s="39"/>
      <c r="T495" s="39"/>
      <c r="U495" s="39"/>
      <c r="V495" s="39"/>
      <c r="W495" s="39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35" t="s">
        <v>21</v>
      </c>
      <c r="B496" s="35" t="s">
        <v>22</v>
      </c>
      <c r="C496" s="35" t="s">
        <v>33</v>
      </c>
      <c r="D496" s="35" t="s">
        <v>24</v>
      </c>
      <c r="E496" s="35" t="s">
        <v>24</v>
      </c>
      <c r="F496" s="35" t="s">
        <v>25</v>
      </c>
      <c r="G496" s="35" t="s">
        <v>25</v>
      </c>
      <c r="H496" s="35" t="s">
        <v>35</v>
      </c>
      <c r="I496" s="55">
        <v>44713</v>
      </c>
      <c r="J496" s="56">
        <f>EFEITO!$J$496*EFEITO!$Y$496</f>
        <v>0</v>
      </c>
      <c r="K496" s="56">
        <f ca="1">EFEITO!$L$496*EFEITO!$Z$496</f>
        <v>944.68372741659539</v>
      </c>
      <c r="L496" s="56">
        <f>EFEITO!$N$496*EFEITO!$AA$496</f>
        <v>557.76381311869932</v>
      </c>
      <c r="M496" s="56">
        <f>$J$496-EFEITO!$K$496*EFEITO!$Y$496</f>
        <v>0</v>
      </c>
      <c r="N496" s="56">
        <f ca="1">$K$496-EFEITO!$M$496*EFEITO!$Z$496</f>
        <v>0</v>
      </c>
      <c r="O496" s="56">
        <f>$L$496-EFEITO!$O$496*EFEITO!$AA$496</f>
        <v>0</v>
      </c>
      <c r="P496" s="39"/>
      <c r="Q496" s="39"/>
      <c r="R496" s="39"/>
      <c r="S496" s="39"/>
      <c r="T496" s="39"/>
      <c r="U496" s="39"/>
      <c r="V496" s="39"/>
      <c r="W496" s="39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35" t="s">
        <v>21</v>
      </c>
      <c r="B497" s="35" t="s">
        <v>22</v>
      </c>
      <c r="C497" s="35" t="s">
        <v>33</v>
      </c>
      <c r="D497" s="35" t="s">
        <v>24</v>
      </c>
      <c r="E497" s="35" t="s">
        <v>24</v>
      </c>
      <c r="F497" s="35" t="s">
        <v>25</v>
      </c>
      <c r="G497" s="35" t="s">
        <v>25</v>
      </c>
      <c r="H497" s="35" t="s">
        <v>35</v>
      </c>
      <c r="I497" s="55">
        <v>44743</v>
      </c>
      <c r="J497" s="56">
        <f>EFEITO!$J$497*EFEITO!$Y$497</f>
        <v>0</v>
      </c>
      <c r="K497" s="56">
        <f ca="1">EFEITO!$L$497*EFEITO!$Z$497</f>
        <v>983.85721531584818</v>
      </c>
      <c r="L497" s="56">
        <f>EFEITO!$N$497*EFEITO!$AA$497</f>
        <v>580.8927750662051</v>
      </c>
      <c r="M497" s="56">
        <f>$J$497-EFEITO!$K$497*EFEITO!$Y$497</f>
        <v>0</v>
      </c>
      <c r="N497" s="56">
        <f ca="1">$K$497-EFEITO!$M$497*EFEITO!$Z$497</f>
        <v>0</v>
      </c>
      <c r="O497" s="56">
        <f>$L$497-EFEITO!$O$497*EFEITO!$AA$497</f>
        <v>0</v>
      </c>
      <c r="P497" s="39"/>
      <c r="Q497" s="39"/>
      <c r="R497" s="39"/>
      <c r="S497" s="39"/>
      <c r="T497" s="39"/>
      <c r="U497" s="39"/>
      <c r="V497" s="39"/>
      <c r="W497" s="39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35" t="s">
        <v>21</v>
      </c>
      <c r="B498" s="35" t="s">
        <v>22</v>
      </c>
      <c r="C498" s="35" t="s">
        <v>33</v>
      </c>
      <c r="D498" s="35" t="s">
        <v>24</v>
      </c>
      <c r="E498" s="35" t="s">
        <v>24</v>
      </c>
      <c r="F498" s="35" t="s">
        <v>25</v>
      </c>
      <c r="G498" s="35" t="s">
        <v>25</v>
      </c>
      <c r="H498" s="35" t="s">
        <v>35</v>
      </c>
      <c r="I498" s="55">
        <v>44774</v>
      </c>
      <c r="J498" s="56">
        <f>EFEITO!$J$498*EFEITO!$Y$498</f>
        <v>0</v>
      </c>
      <c r="K498" s="56">
        <f ca="1">EFEITO!$L$498*EFEITO!$Z$498</f>
        <v>1050.1508102222758</v>
      </c>
      <c r="L498" s="56">
        <f>EFEITO!$N$498*EFEITO!$AA$498</f>
        <v>620.0340952850612</v>
      </c>
      <c r="M498" s="56">
        <f>$J$498-EFEITO!$K$498*EFEITO!$Y$498</f>
        <v>0</v>
      </c>
      <c r="N498" s="56">
        <f ca="1">$K$498-EFEITO!$M$498*EFEITO!$Z$498</f>
        <v>0</v>
      </c>
      <c r="O498" s="56">
        <f>$L$498-EFEITO!$O$498*EFEITO!$AA$498</f>
        <v>0</v>
      </c>
      <c r="P498" s="39"/>
      <c r="Q498" s="39"/>
      <c r="R498" s="39"/>
      <c r="S498" s="39"/>
      <c r="T498" s="39"/>
      <c r="U498" s="39"/>
      <c r="V498" s="39"/>
      <c r="W498" s="39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35" t="s">
        <v>21</v>
      </c>
      <c r="B499" s="35" t="s">
        <v>22</v>
      </c>
      <c r="C499" s="35" t="s">
        <v>33</v>
      </c>
      <c r="D499" s="35" t="s">
        <v>24</v>
      </c>
      <c r="E499" s="35" t="s">
        <v>24</v>
      </c>
      <c r="F499" s="35" t="s">
        <v>25</v>
      </c>
      <c r="G499" s="35" t="s">
        <v>25</v>
      </c>
      <c r="H499" s="35" t="s">
        <v>35</v>
      </c>
      <c r="I499" s="55">
        <v>44805</v>
      </c>
      <c r="J499" s="56">
        <f>EFEITO!$J$499*EFEITO!$Y$499</f>
        <v>0</v>
      </c>
      <c r="K499" s="56">
        <f ca="1">EFEITO!$L$499*EFEITO!$Z$499</f>
        <v>925.09698346696894</v>
      </c>
      <c r="L499" s="56">
        <f>EFEITO!$N$499*EFEITO!$AA$499</f>
        <v>546.19933214494631</v>
      </c>
      <c r="M499" s="56">
        <f>$J$499-EFEITO!$K$499*EFEITO!$Y$499</f>
        <v>0</v>
      </c>
      <c r="N499" s="56">
        <f ca="1">$K$499-EFEITO!$M$499*EFEITO!$Z$499</f>
        <v>0</v>
      </c>
      <c r="O499" s="56">
        <f>$L$499-EFEITO!$O$499*EFEITO!$AA$499</f>
        <v>0</v>
      </c>
      <c r="P499" s="39"/>
      <c r="Q499" s="39"/>
      <c r="R499" s="39"/>
      <c r="S499" s="39"/>
      <c r="T499" s="39"/>
      <c r="U499" s="39"/>
      <c r="V499" s="39"/>
      <c r="W499" s="39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35" t="s">
        <v>57</v>
      </c>
      <c r="B500" s="35" t="s">
        <v>22</v>
      </c>
      <c r="C500" s="35" t="s">
        <v>33</v>
      </c>
      <c r="D500" s="35" t="s">
        <v>24</v>
      </c>
      <c r="E500" s="35" t="s">
        <v>24</v>
      </c>
      <c r="F500" s="35" t="s">
        <v>25</v>
      </c>
      <c r="G500" s="35" t="s">
        <v>25</v>
      </c>
      <c r="H500" s="35" t="s">
        <v>35</v>
      </c>
      <c r="I500" s="55">
        <v>44835</v>
      </c>
      <c r="J500" s="56">
        <f>EFEITO!$J$500*EFEITO!$Y$500</f>
        <v>0</v>
      </c>
      <c r="K500" s="56">
        <f ca="1">EFEITO!$L$500*EFEITO!$Z$500</f>
        <v>925.09698346696894</v>
      </c>
      <c r="L500" s="56">
        <f>EFEITO!$N$500*EFEITO!$AA$500</f>
        <v>546.19933214494631</v>
      </c>
      <c r="M500" s="56">
        <f>$J$500-EFEITO!$K$500*EFEITO!$Y$500</f>
        <v>0</v>
      </c>
      <c r="N500" s="56">
        <f ca="1">$K$500-EFEITO!$M$500*EFEITO!$Z$500</f>
        <v>0</v>
      </c>
      <c r="O500" s="56">
        <f>$L$500-EFEITO!$O$500*EFEITO!$AA$500</f>
        <v>0</v>
      </c>
      <c r="P500" s="39"/>
      <c r="Q500" s="39"/>
      <c r="R500" s="39"/>
      <c r="S500" s="39"/>
      <c r="T500" s="39"/>
      <c r="U500" s="39"/>
      <c r="V500" s="39"/>
      <c r="W500" s="39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35" t="s">
        <v>21</v>
      </c>
      <c r="B501" s="35" t="s">
        <v>22</v>
      </c>
      <c r="C501" s="35" t="s">
        <v>33</v>
      </c>
      <c r="D501" s="35" t="s">
        <v>24</v>
      </c>
      <c r="E501" s="35" t="s">
        <v>24</v>
      </c>
      <c r="F501" s="35" t="s">
        <v>25</v>
      </c>
      <c r="G501" s="35" t="s">
        <v>25</v>
      </c>
      <c r="H501" s="35" t="s">
        <v>36</v>
      </c>
      <c r="I501" s="55">
        <v>44501</v>
      </c>
      <c r="J501" s="56">
        <f>EFEITO!$J$501*EFEITO!$Y$501</f>
        <v>0</v>
      </c>
      <c r="K501" s="56">
        <f ca="1">EFEITO!$L$501*EFEITO!$Z$501</f>
        <v>261.93941950983617</v>
      </c>
      <c r="L501" s="56">
        <f>EFEITO!$N$501*EFEITO!$AA$501</f>
        <v>75.836307924033676</v>
      </c>
      <c r="M501" s="56">
        <f>$J$501-EFEITO!$K$501*EFEITO!$Y$501</f>
        <v>0</v>
      </c>
      <c r="N501" s="56">
        <f ca="1">$K$501-EFEITO!$M$501*EFEITO!$Z$501</f>
        <v>0</v>
      </c>
      <c r="O501" s="56">
        <f>$L$501-EFEITO!$O$501*EFEITO!$AA$501</f>
        <v>0</v>
      </c>
      <c r="P501" s="39"/>
      <c r="Q501" s="39"/>
      <c r="R501" s="39"/>
      <c r="S501" s="39"/>
      <c r="T501" s="39"/>
      <c r="U501" s="39"/>
      <c r="V501" s="39"/>
      <c r="W501" s="39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35" t="s">
        <v>21</v>
      </c>
      <c r="B502" s="35" t="s">
        <v>22</v>
      </c>
      <c r="C502" s="35" t="s">
        <v>33</v>
      </c>
      <c r="D502" s="35" t="s">
        <v>24</v>
      </c>
      <c r="E502" s="35" t="s">
        <v>24</v>
      </c>
      <c r="F502" s="35" t="s">
        <v>25</v>
      </c>
      <c r="G502" s="35" t="s">
        <v>25</v>
      </c>
      <c r="H502" s="35" t="s">
        <v>36</v>
      </c>
      <c r="I502" s="55">
        <v>44531</v>
      </c>
      <c r="J502" s="56">
        <f>EFEITO!$J$502*EFEITO!$Y$502</f>
        <v>0</v>
      </c>
      <c r="K502" s="56">
        <f ca="1">EFEITO!$L$502*EFEITO!$Z$502</f>
        <v>280.37503847827037</v>
      </c>
      <c r="L502" s="56">
        <f>EFEITO!$N$502*EFEITO!$AA$502</f>
        <v>81.173760681150412</v>
      </c>
      <c r="M502" s="56">
        <f>$J$502-EFEITO!$K$502*EFEITO!$Y$502</f>
        <v>0</v>
      </c>
      <c r="N502" s="56">
        <f ca="1">$K$502-EFEITO!$M$502*EFEITO!$Z$502</f>
        <v>0</v>
      </c>
      <c r="O502" s="56">
        <f>$L$502-EFEITO!$O$502*EFEITO!$AA$502</f>
        <v>0</v>
      </c>
      <c r="P502" s="39"/>
      <c r="Q502" s="39"/>
      <c r="R502" s="39"/>
      <c r="S502" s="39"/>
      <c r="T502" s="39"/>
      <c r="U502" s="39"/>
      <c r="V502" s="39"/>
      <c r="W502" s="39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35" t="s">
        <v>21</v>
      </c>
      <c r="B503" s="35" t="s">
        <v>22</v>
      </c>
      <c r="C503" s="35" t="s">
        <v>33</v>
      </c>
      <c r="D503" s="35" t="s">
        <v>24</v>
      </c>
      <c r="E503" s="35" t="s">
        <v>24</v>
      </c>
      <c r="F503" s="35" t="s">
        <v>25</v>
      </c>
      <c r="G503" s="35" t="s">
        <v>25</v>
      </c>
      <c r="H503" s="35" t="s">
        <v>36</v>
      </c>
      <c r="I503" s="55">
        <v>44562</v>
      </c>
      <c r="J503" s="56">
        <f>EFEITO!$J$503*EFEITO!$Y$503</f>
        <v>0</v>
      </c>
      <c r="K503" s="56">
        <f ca="1">EFEITO!$L$503*EFEITO!$Z$503</f>
        <v>286.52024480108179</v>
      </c>
      <c r="L503" s="56">
        <f>EFEITO!$N$503*EFEITO!$AA$503</f>
        <v>82.952911600189324</v>
      </c>
      <c r="M503" s="56">
        <f>$J$503-EFEITO!$K$503*EFEITO!$Y$503</f>
        <v>0</v>
      </c>
      <c r="N503" s="56">
        <f ca="1">$K$503-EFEITO!$M$503*EFEITO!$Z$503</f>
        <v>0</v>
      </c>
      <c r="O503" s="56">
        <f>$L$503-EFEITO!$O$503*EFEITO!$AA$503</f>
        <v>0</v>
      </c>
      <c r="P503" s="39"/>
      <c r="Q503" s="39"/>
      <c r="R503" s="39"/>
      <c r="S503" s="39"/>
      <c r="T503" s="39"/>
      <c r="U503" s="39"/>
      <c r="V503" s="39"/>
      <c r="W503" s="39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35" t="s">
        <v>21</v>
      </c>
      <c r="B504" s="35" t="s">
        <v>22</v>
      </c>
      <c r="C504" s="35" t="s">
        <v>33</v>
      </c>
      <c r="D504" s="35" t="s">
        <v>24</v>
      </c>
      <c r="E504" s="35" t="s">
        <v>24</v>
      </c>
      <c r="F504" s="35" t="s">
        <v>25</v>
      </c>
      <c r="G504" s="35" t="s">
        <v>25</v>
      </c>
      <c r="H504" s="35" t="s">
        <v>36</v>
      </c>
      <c r="I504" s="55">
        <v>44593</v>
      </c>
      <c r="J504" s="56">
        <f>EFEITO!$J$504*EFEITO!$Y$504</f>
        <v>0</v>
      </c>
      <c r="K504" s="56">
        <f ca="1">EFEITO!$L$504*EFEITO!$Z$504</f>
        <v>296.50620507565031</v>
      </c>
      <c r="L504" s="56">
        <f>EFEITO!$N$504*EFEITO!$AA$504</f>
        <v>85.844031843627562</v>
      </c>
      <c r="M504" s="56">
        <f>$J$504-EFEITO!$K$504*EFEITO!$Y$504</f>
        <v>0</v>
      </c>
      <c r="N504" s="56">
        <f ca="1">$K$504-EFEITO!$M$504*EFEITO!$Z$504</f>
        <v>0</v>
      </c>
      <c r="O504" s="56">
        <f>$L$504-EFEITO!$O$504*EFEITO!$AA$504</f>
        <v>0</v>
      </c>
      <c r="P504" s="39"/>
      <c r="Q504" s="39"/>
      <c r="R504" s="39"/>
      <c r="S504" s="39"/>
      <c r="T504" s="39"/>
      <c r="U504" s="39"/>
      <c r="V504" s="39"/>
      <c r="W504" s="39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35" t="s">
        <v>21</v>
      </c>
      <c r="B505" s="35" t="s">
        <v>22</v>
      </c>
      <c r="C505" s="35" t="s">
        <v>33</v>
      </c>
      <c r="D505" s="35" t="s">
        <v>24</v>
      </c>
      <c r="E505" s="35" t="s">
        <v>24</v>
      </c>
      <c r="F505" s="35" t="s">
        <v>25</v>
      </c>
      <c r="G505" s="35" t="s">
        <v>25</v>
      </c>
      <c r="H505" s="35" t="s">
        <v>36</v>
      </c>
      <c r="I505" s="55">
        <v>44621</v>
      </c>
      <c r="J505" s="56">
        <f>EFEITO!$J$505*EFEITO!$Y$505</f>
        <v>0</v>
      </c>
      <c r="K505" s="56">
        <f ca="1">EFEITO!$L$505*EFEITO!$Z$505</f>
        <v>252.72161002561907</v>
      </c>
      <c r="L505" s="56">
        <f>EFEITO!$N$505*EFEITO!$AA$505</f>
        <v>73.167581545475301</v>
      </c>
      <c r="M505" s="56">
        <f>$J$505-EFEITO!$K$505*EFEITO!$Y$505</f>
        <v>0</v>
      </c>
      <c r="N505" s="56">
        <f ca="1">$K$505-EFEITO!$M$505*EFEITO!$Z$505</f>
        <v>0</v>
      </c>
      <c r="O505" s="56">
        <f>$L$505-EFEITO!$O$505*EFEITO!$AA$505</f>
        <v>0</v>
      </c>
      <c r="P505" s="39"/>
      <c r="Q505" s="39"/>
      <c r="R505" s="39"/>
      <c r="S505" s="39"/>
      <c r="T505" s="39"/>
      <c r="U505" s="39"/>
      <c r="V505" s="39"/>
      <c r="W505" s="39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35" t="s">
        <v>21</v>
      </c>
      <c r="B506" s="35" t="s">
        <v>22</v>
      </c>
      <c r="C506" s="35" t="s">
        <v>33</v>
      </c>
      <c r="D506" s="35" t="s">
        <v>24</v>
      </c>
      <c r="E506" s="35" t="s">
        <v>24</v>
      </c>
      <c r="F506" s="35" t="s">
        <v>25</v>
      </c>
      <c r="G506" s="35" t="s">
        <v>25</v>
      </c>
      <c r="H506" s="35" t="s">
        <v>36</v>
      </c>
      <c r="I506" s="55">
        <v>44652</v>
      </c>
      <c r="J506" s="56">
        <f>EFEITO!$J$506*EFEITO!$Y$506</f>
        <v>0</v>
      </c>
      <c r="K506" s="56">
        <f ca="1">EFEITO!$L$506*EFEITO!$Z$506</f>
        <v>294.20175270459606</v>
      </c>
      <c r="L506" s="56">
        <f>EFEITO!$N$506*EFEITO!$AA$506</f>
        <v>85.176850248987961</v>
      </c>
      <c r="M506" s="56">
        <f>$J$506-EFEITO!$K$506*EFEITO!$Y$506</f>
        <v>0</v>
      </c>
      <c r="N506" s="56">
        <f ca="1">$K$506-EFEITO!$M$506*EFEITO!$Z$506</f>
        <v>0</v>
      </c>
      <c r="O506" s="56">
        <f>$L$506-EFEITO!$O$506*EFEITO!$AA$506</f>
        <v>0</v>
      </c>
      <c r="P506" s="39"/>
      <c r="Q506" s="39"/>
      <c r="R506" s="39"/>
      <c r="S506" s="39"/>
      <c r="T506" s="39"/>
      <c r="U506" s="39"/>
      <c r="V506" s="39"/>
      <c r="W506" s="39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35" t="s">
        <v>21</v>
      </c>
      <c r="B507" s="35" t="s">
        <v>22</v>
      </c>
      <c r="C507" s="35" t="s">
        <v>33</v>
      </c>
      <c r="D507" s="35" t="s">
        <v>24</v>
      </c>
      <c r="E507" s="35" t="s">
        <v>24</v>
      </c>
      <c r="F507" s="35" t="s">
        <v>25</v>
      </c>
      <c r="G507" s="35" t="s">
        <v>25</v>
      </c>
      <c r="H507" s="35" t="s">
        <v>36</v>
      </c>
      <c r="I507" s="55">
        <v>44682</v>
      </c>
      <c r="J507" s="56">
        <f>EFEITO!$J$507*EFEITO!$Y$507</f>
        <v>0</v>
      </c>
      <c r="K507" s="56">
        <f ca="1">EFEITO!$L$507*EFEITO!$Z$507</f>
        <v>182.05173731328787</v>
      </c>
      <c r="L507" s="56">
        <f>EFEITO!$N$507*EFEITO!$AA$507</f>
        <v>52.707345976527797</v>
      </c>
      <c r="M507" s="56">
        <f>$J$507-EFEITO!$K$507*EFEITO!$Y$507</f>
        <v>0</v>
      </c>
      <c r="N507" s="56">
        <f ca="1">$K$507-EFEITO!$M$507*EFEITO!$Z$507</f>
        <v>0</v>
      </c>
      <c r="O507" s="56">
        <f>$L$507-EFEITO!$O$507*EFEITO!$AA$507</f>
        <v>0</v>
      </c>
      <c r="P507" s="39"/>
      <c r="Q507" s="39"/>
      <c r="R507" s="39"/>
      <c r="S507" s="39"/>
      <c r="T507" s="39"/>
      <c r="U507" s="39"/>
      <c r="V507" s="39"/>
      <c r="W507" s="39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35" t="s">
        <v>21</v>
      </c>
      <c r="B508" s="35" t="s">
        <v>22</v>
      </c>
      <c r="C508" s="35" t="s">
        <v>33</v>
      </c>
      <c r="D508" s="35" t="s">
        <v>24</v>
      </c>
      <c r="E508" s="35" t="s">
        <v>24</v>
      </c>
      <c r="F508" s="35" t="s">
        <v>25</v>
      </c>
      <c r="G508" s="35" t="s">
        <v>25</v>
      </c>
      <c r="H508" s="35" t="s">
        <v>36</v>
      </c>
      <c r="I508" s="55">
        <v>44713</v>
      </c>
      <c r="J508" s="56">
        <f>EFEITO!$J$508*EFEITO!$Y$508</f>
        <v>0</v>
      </c>
      <c r="K508" s="56">
        <f ca="1">EFEITO!$L$508*EFEITO!$Z$508</f>
        <v>165.92057071590796</v>
      </c>
      <c r="L508" s="56">
        <f>EFEITO!$N$508*EFEITO!$AA$508</f>
        <v>48.037074814050655</v>
      </c>
      <c r="M508" s="56">
        <f>$J$508-EFEITO!$K$508*EFEITO!$Y$508</f>
        <v>0</v>
      </c>
      <c r="N508" s="56">
        <f ca="1">$K$508-EFEITO!$M$508*EFEITO!$Z$508</f>
        <v>0</v>
      </c>
      <c r="O508" s="56">
        <f>$L$508-EFEITO!$O$508*EFEITO!$AA$508</f>
        <v>0</v>
      </c>
      <c r="P508" s="39"/>
      <c r="Q508" s="39"/>
      <c r="R508" s="39"/>
      <c r="S508" s="39"/>
      <c r="T508" s="39"/>
      <c r="U508" s="39"/>
      <c r="V508" s="39"/>
      <c r="W508" s="39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35" t="s">
        <v>21</v>
      </c>
      <c r="B509" s="35" t="s">
        <v>22</v>
      </c>
      <c r="C509" s="35" t="s">
        <v>33</v>
      </c>
      <c r="D509" s="35" t="s">
        <v>24</v>
      </c>
      <c r="E509" s="35" t="s">
        <v>24</v>
      </c>
      <c r="F509" s="35" t="s">
        <v>25</v>
      </c>
      <c r="G509" s="35" t="s">
        <v>25</v>
      </c>
      <c r="H509" s="35" t="s">
        <v>36</v>
      </c>
      <c r="I509" s="55">
        <v>44743</v>
      </c>
      <c r="J509" s="56">
        <f>EFEITO!$J$509*EFEITO!$Y$509</f>
        <v>0</v>
      </c>
      <c r="K509" s="56">
        <f ca="1">EFEITO!$L$509*EFEITO!$Z$509</f>
        <v>153.63015807028515</v>
      </c>
      <c r="L509" s="56">
        <f>EFEITO!$N$509*EFEITO!$AA$509</f>
        <v>44.478772975972831</v>
      </c>
      <c r="M509" s="56">
        <f>$J$509-EFEITO!$K$509*EFEITO!$Y$509</f>
        <v>0</v>
      </c>
      <c r="N509" s="56">
        <f ca="1">$K$509-EFEITO!$M$509*EFEITO!$Z$509</f>
        <v>0</v>
      </c>
      <c r="O509" s="56">
        <f>$L$509-EFEITO!$O$509*EFEITO!$AA$509</f>
        <v>0</v>
      </c>
      <c r="P509" s="39"/>
      <c r="Q509" s="39"/>
      <c r="R509" s="39"/>
      <c r="S509" s="39"/>
      <c r="T509" s="39"/>
      <c r="U509" s="39"/>
      <c r="V509" s="39"/>
      <c r="W509" s="39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35" t="s">
        <v>21</v>
      </c>
      <c r="B510" s="35" t="s">
        <v>22</v>
      </c>
      <c r="C510" s="35" t="s">
        <v>33</v>
      </c>
      <c r="D510" s="35" t="s">
        <v>24</v>
      </c>
      <c r="E510" s="35" t="s">
        <v>24</v>
      </c>
      <c r="F510" s="35" t="s">
        <v>25</v>
      </c>
      <c r="G510" s="35" t="s">
        <v>25</v>
      </c>
      <c r="H510" s="35" t="s">
        <v>36</v>
      </c>
      <c r="I510" s="55">
        <v>44774</v>
      </c>
      <c r="J510" s="56">
        <f>EFEITO!$J$510*EFEITO!$Y$510</f>
        <v>0</v>
      </c>
      <c r="K510" s="56">
        <f ca="1">EFEITO!$L$510*EFEITO!$Z$510</f>
        <v>163.61611834485367</v>
      </c>
      <c r="L510" s="56">
        <f>EFEITO!$N$510*EFEITO!$AA$510</f>
        <v>47.369893219411061</v>
      </c>
      <c r="M510" s="56">
        <f>$J$510-EFEITO!$K$510*EFEITO!$Y$510</f>
        <v>0</v>
      </c>
      <c r="N510" s="56">
        <f ca="1">$K$510-EFEITO!$M$510*EFEITO!$Z$510</f>
        <v>0</v>
      </c>
      <c r="O510" s="56">
        <f>$L$510-EFEITO!$O$510*EFEITO!$AA$510</f>
        <v>0</v>
      </c>
      <c r="P510" s="39"/>
      <c r="Q510" s="39"/>
      <c r="R510" s="39"/>
      <c r="S510" s="39"/>
      <c r="T510" s="39"/>
      <c r="U510" s="39"/>
      <c r="V510" s="39"/>
      <c r="W510" s="39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35" t="s">
        <v>21</v>
      </c>
      <c r="B511" s="35" t="s">
        <v>22</v>
      </c>
      <c r="C511" s="35" t="s">
        <v>33</v>
      </c>
      <c r="D511" s="35" t="s">
        <v>24</v>
      </c>
      <c r="E511" s="35" t="s">
        <v>24</v>
      </c>
      <c r="F511" s="35" t="s">
        <v>25</v>
      </c>
      <c r="G511" s="35" t="s">
        <v>25</v>
      </c>
      <c r="H511" s="35" t="s">
        <v>36</v>
      </c>
      <c r="I511" s="55">
        <v>44805</v>
      </c>
      <c r="J511" s="56">
        <f>EFEITO!$J$511*EFEITO!$Y$511</f>
        <v>0</v>
      </c>
      <c r="K511" s="56">
        <f ca="1">EFEITO!$L$511*EFEITO!$Z$511</f>
        <v>135.19453910185092</v>
      </c>
      <c r="L511" s="56">
        <f>EFEITO!$N$511*EFEITO!$AA$511</f>
        <v>39.141320218856087</v>
      </c>
      <c r="M511" s="56">
        <f>$J$511-EFEITO!$K$511*EFEITO!$Y$511</f>
        <v>0</v>
      </c>
      <c r="N511" s="56">
        <f ca="1">$K$511-EFEITO!$M$511*EFEITO!$Z$511</f>
        <v>0</v>
      </c>
      <c r="O511" s="56">
        <f>$L$511-EFEITO!$O$511*EFEITO!$AA$511</f>
        <v>0</v>
      </c>
      <c r="P511" s="39"/>
      <c r="Q511" s="39"/>
      <c r="R511" s="39"/>
      <c r="S511" s="39"/>
      <c r="T511" s="39"/>
      <c r="U511" s="39"/>
      <c r="V511" s="39"/>
      <c r="W511" s="39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35" t="s">
        <v>57</v>
      </c>
      <c r="B512" s="35" t="s">
        <v>22</v>
      </c>
      <c r="C512" s="35" t="s">
        <v>33</v>
      </c>
      <c r="D512" s="35" t="s">
        <v>24</v>
      </c>
      <c r="E512" s="35" t="s">
        <v>24</v>
      </c>
      <c r="F512" s="35" t="s">
        <v>25</v>
      </c>
      <c r="G512" s="35" t="s">
        <v>25</v>
      </c>
      <c r="H512" s="35" t="s">
        <v>36</v>
      </c>
      <c r="I512" s="55">
        <v>44835</v>
      </c>
      <c r="J512" s="56">
        <f>EFEITO!$J$512*EFEITO!$Y$512</f>
        <v>0</v>
      </c>
      <c r="K512" s="56">
        <f ca="1">EFEITO!$L$512*EFEITO!$Z$512</f>
        <v>135.19453910185092</v>
      </c>
      <c r="L512" s="56">
        <f>EFEITO!$N$512*EFEITO!$AA$512</f>
        <v>39.141320218856087</v>
      </c>
      <c r="M512" s="56">
        <f>$J$512-EFEITO!$K$512*EFEITO!$Y$512</f>
        <v>0</v>
      </c>
      <c r="N512" s="56">
        <f ca="1">$K$512-EFEITO!$M$512*EFEITO!$Z$512</f>
        <v>0</v>
      </c>
      <c r="O512" s="56">
        <f>$L$512-EFEITO!$O$512*EFEITO!$AA$512</f>
        <v>0</v>
      </c>
      <c r="P512" s="39"/>
      <c r="Q512" s="39"/>
      <c r="R512" s="39"/>
      <c r="S512" s="39"/>
      <c r="T512" s="39"/>
      <c r="U512" s="39"/>
      <c r="V512" s="39"/>
      <c r="W512" s="39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35" t="s">
        <v>21</v>
      </c>
      <c r="B513" s="35" t="s">
        <v>22</v>
      </c>
      <c r="C513" s="35" t="s">
        <v>33</v>
      </c>
      <c r="D513" s="35" t="s">
        <v>24</v>
      </c>
      <c r="E513" s="35" t="s">
        <v>24</v>
      </c>
      <c r="F513" s="35" t="s">
        <v>25</v>
      </c>
      <c r="G513" s="35" t="s">
        <v>25</v>
      </c>
      <c r="H513" s="35" t="s">
        <v>34</v>
      </c>
      <c r="I513" s="55">
        <v>44501</v>
      </c>
      <c r="J513" s="56">
        <f>EFEITO!$J$513*EFEITO!$Y$513</f>
        <v>0</v>
      </c>
      <c r="K513" s="56">
        <f ca="1">EFEITO!$L$513*EFEITO!$Z$513</f>
        <v>620.40382553907239</v>
      </c>
      <c r="L513" s="56">
        <f>EFEITO!$N$513*EFEITO!$AA$513</f>
        <v>193.64466616758116</v>
      </c>
      <c r="M513" s="56">
        <f>$J$513-EFEITO!$K$513*EFEITO!$Y$513</f>
        <v>0</v>
      </c>
      <c r="N513" s="56">
        <f ca="1">$K$513-EFEITO!$M$513*EFEITO!$Z$513</f>
        <v>0</v>
      </c>
      <c r="O513" s="56">
        <f>$L$513-EFEITO!$O$513*EFEITO!$AA$513</f>
        <v>0</v>
      </c>
      <c r="P513" s="39"/>
      <c r="Q513" s="39"/>
      <c r="R513" s="39"/>
      <c r="S513" s="39"/>
      <c r="T513" s="39"/>
      <c r="U513" s="39"/>
      <c r="V513" s="39"/>
      <c r="W513" s="39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35" t="s">
        <v>21</v>
      </c>
      <c r="B514" s="35" t="s">
        <v>22</v>
      </c>
      <c r="C514" s="35" t="s">
        <v>33</v>
      </c>
      <c r="D514" s="35" t="s">
        <v>24</v>
      </c>
      <c r="E514" s="35" t="s">
        <v>24</v>
      </c>
      <c r="F514" s="35" t="s">
        <v>25</v>
      </c>
      <c r="G514" s="35" t="s">
        <v>25</v>
      </c>
      <c r="H514" s="35" t="s">
        <v>34</v>
      </c>
      <c r="I514" s="55">
        <v>44531</v>
      </c>
      <c r="J514" s="56">
        <f>EFEITO!$J$514*EFEITO!$Y$514</f>
        <v>0</v>
      </c>
      <c r="K514" s="56">
        <f ca="1">EFEITO!$L$514*EFEITO!$Z$514</f>
        <v>638.9579586393063</v>
      </c>
      <c r="L514" s="56">
        <f>EFEITO!$N$514*EFEITO!$AA$514</f>
        <v>199.4359085202565</v>
      </c>
      <c r="M514" s="56">
        <f>$J$514-EFEITO!$K$514*EFEITO!$Y$514</f>
        <v>0</v>
      </c>
      <c r="N514" s="56">
        <f ca="1">$K$514-EFEITO!$M$514*EFEITO!$Z$514</f>
        <v>0</v>
      </c>
      <c r="O514" s="56">
        <f>$L$514-EFEITO!$O$514*EFEITO!$AA$514</f>
        <v>0</v>
      </c>
      <c r="P514" s="39"/>
      <c r="Q514" s="39"/>
      <c r="R514" s="39"/>
      <c r="S514" s="39"/>
      <c r="T514" s="39"/>
      <c r="U514" s="39"/>
      <c r="V514" s="39"/>
      <c r="W514" s="39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35" t="s">
        <v>21</v>
      </c>
      <c r="B515" s="35" t="s">
        <v>22</v>
      </c>
      <c r="C515" s="35" t="s">
        <v>33</v>
      </c>
      <c r="D515" s="35" t="s">
        <v>24</v>
      </c>
      <c r="E515" s="35" t="s">
        <v>24</v>
      </c>
      <c r="F515" s="35" t="s">
        <v>25</v>
      </c>
      <c r="G515" s="35" t="s">
        <v>25</v>
      </c>
      <c r="H515" s="35" t="s">
        <v>34</v>
      </c>
      <c r="I515" s="55">
        <v>44562</v>
      </c>
      <c r="J515" s="56">
        <f>EFEITO!$J$515*EFEITO!$Y$515</f>
        <v>0</v>
      </c>
      <c r="K515" s="56">
        <f ca="1">EFEITO!$L$515*EFEITO!$Z$515</f>
        <v>654.03319178324625</v>
      </c>
      <c r="L515" s="56">
        <f>EFEITO!$N$515*EFEITO!$AA$515</f>
        <v>204.14129293180517</v>
      </c>
      <c r="M515" s="56">
        <f>$J$515-EFEITO!$K$515*EFEITO!$Y$515</f>
        <v>0</v>
      </c>
      <c r="N515" s="56">
        <f ca="1">$K$515-EFEITO!$M$515*EFEITO!$Z$515</f>
        <v>0</v>
      </c>
      <c r="O515" s="56">
        <f>$L$515-EFEITO!$O$515*EFEITO!$AA$515</f>
        <v>0</v>
      </c>
      <c r="P515" s="39"/>
      <c r="Q515" s="39"/>
      <c r="R515" s="39"/>
      <c r="S515" s="39"/>
      <c r="T515" s="39"/>
      <c r="U515" s="39"/>
      <c r="V515" s="39"/>
      <c r="W515" s="39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35" t="s">
        <v>21</v>
      </c>
      <c r="B516" s="35" t="s">
        <v>22</v>
      </c>
      <c r="C516" s="35" t="s">
        <v>33</v>
      </c>
      <c r="D516" s="35" t="s">
        <v>24</v>
      </c>
      <c r="E516" s="35" t="s">
        <v>24</v>
      </c>
      <c r="F516" s="35" t="s">
        <v>25</v>
      </c>
      <c r="G516" s="35" t="s">
        <v>25</v>
      </c>
      <c r="H516" s="35" t="s">
        <v>34</v>
      </c>
      <c r="I516" s="55">
        <v>44593</v>
      </c>
      <c r="J516" s="56">
        <f>EFEITO!$J$516*EFEITO!$Y$516</f>
        <v>0</v>
      </c>
      <c r="K516" s="56">
        <f ca="1">EFEITO!$L$516*EFEITO!$Z$516</f>
        <v>671.42769156471559</v>
      </c>
      <c r="L516" s="56">
        <f>EFEITO!$N$516*EFEITO!$AA$516</f>
        <v>209.57058263743829</v>
      </c>
      <c r="M516" s="56">
        <f>$J$516-EFEITO!$K$516*EFEITO!$Y$516</f>
        <v>0</v>
      </c>
      <c r="N516" s="56">
        <f ca="1">$K$516-EFEITO!$M$516*EFEITO!$Z$516</f>
        <v>0</v>
      </c>
      <c r="O516" s="56">
        <f>$L$516-EFEITO!$O$516*EFEITO!$AA$516</f>
        <v>0</v>
      </c>
      <c r="P516" s="39"/>
      <c r="Q516" s="39"/>
      <c r="R516" s="39"/>
      <c r="S516" s="39"/>
      <c r="T516" s="39"/>
      <c r="U516" s="39"/>
      <c r="V516" s="39"/>
      <c r="W516" s="39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35" t="s">
        <v>21</v>
      </c>
      <c r="B517" s="35" t="s">
        <v>22</v>
      </c>
      <c r="C517" s="35" t="s">
        <v>33</v>
      </c>
      <c r="D517" s="35" t="s">
        <v>24</v>
      </c>
      <c r="E517" s="35" t="s">
        <v>24</v>
      </c>
      <c r="F517" s="35" t="s">
        <v>25</v>
      </c>
      <c r="G517" s="35" t="s">
        <v>25</v>
      </c>
      <c r="H517" s="35" t="s">
        <v>34</v>
      </c>
      <c r="I517" s="55">
        <v>44621</v>
      </c>
      <c r="J517" s="56">
        <f>EFEITO!$J$517*EFEITO!$Y$517</f>
        <v>0</v>
      </c>
      <c r="K517" s="56">
        <f ca="1">EFEITO!$L$517*EFEITO!$Z$517</f>
        <v>571.69922615095822</v>
      </c>
      <c r="L517" s="56">
        <f>EFEITO!$N$517*EFEITO!$AA$517</f>
        <v>178.44265499180844</v>
      </c>
      <c r="M517" s="56">
        <f>$J$517-EFEITO!$K$517*EFEITO!$Y$517</f>
        <v>0</v>
      </c>
      <c r="N517" s="56">
        <f ca="1">$K$517-EFEITO!$M$517*EFEITO!$Z$517</f>
        <v>0</v>
      </c>
      <c r="O517" s="56">
        <f>$L$517-EFEITO!$O$517*EFEITO!$AA$517</f>
        <v>0</v>
      </c>
      <c r="P517" s="39"/>
      <c r="Q517" s="39"/>
      <c r="R517" s="39"/>
      <c r="S517" s="39"/>
      <c r="T517" s="39"/>
      <c r="U517" s="39"/>
      <c r="V517" s="39"/>
      <c r="W517" s="39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35" t="s">
        <v>21</v>
      </c>
      <c r="B518" s="35" t="s">
        <v>22</v>
      </c>
      <c r="C518" s="35" t="s">
        <v>33</v>
      </c>
      <c r="D518" s="35" t="s">
        <v>24</v>
      </c>
      <c r="E518" s="35" t="s">
        <v>24</v>
      </c>
      <c r="F518" s="35" t="s">
        <v>25</v>
      </c>
      <c r="G518" s="35" t="s">
        <v>25</v>
      </c>
      <c r="H518" s="35" t="s">
        <v>34</v>
      </c>
      <c r="I518" s="55">
        <v>44652</v>
      </c>
      <c r="J518" s="56">
        <f>EFEITO!$J$518*EFEITO!$Y$518</f>
        <v>0</v>
      </c>
      <c r="K518" s="56">
        <f ca="1">EFEITO!$L$518*EFEITO!$Z$518</f>
        <v>672.58732488348028</v>
      </c>
      <c r="L518" s="56">
        <f>EFEITO!$N$518*EFEITO!$AA$518</f>
        <v>209.93253528448051</v>
      </c>
      <c r="M518" s="56">
        <f>$J$518-EFEITO!$K$518*EFEITO!$Y$518</f>
        <v>0</v>
      </c>
      <c r="N518" s="56">
        <f ca="1">$K$518-EFEITO!$M$518*EFEITO!$Z$518</f>
        <v>0</v>
      </c>
      <c r="O518" s="56">
        <f>$L$518-EFEITO!$O$518*EFEITO!$AA$518</f>
        <v>0</v>
      </c>
      <c r="P518" s="39"/>
      <c r="Q518" s="39"/>
      <c r="R518" s="39"/>
      <c r="S518" s="39"/>
      <c r="T518" s="39"/>
      <c r="U518" s="39"/>
      <c r="V518" s="39"/>
      <c r="W518" s="39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35" t="s">
        <v>21</v>
      </c>
      <c r="B519" s="35" t="s">
        <v>22</v>
      </c>
      <c r="C519" s="35" t="s">
        <v>33</v>
      </c>
      <c r="D519" s="35" t="s">
        <v>24</v>
      </c>
      <c r="E519" s="35" t="s">
        <v>24</v>
      </c>
      <c r="F519" s="35" t="s">
        <v>25</v>
      </c>
      <c r="G519" s="35" t="s">
        <v>25</v>
      </c>
      <c r="H519" s="35" t="s">
        <v>34</v>
      </c>
      <c r="I519" s="55">
        <v>44682</v>
      </c>
      <c r="J519" s="56">
        <f>EFEITO!$J$519*EFEITO!$Y$519</f>
        <v>0</v>
      </c>
      <c r="K519" s="56">
        <f ca="1">EFEITO!$L$519*EFEITO!$Z$519</f>
        <v>418.62762807402822</v>
      </c>
      <c r="L519" s="56">
        <f>EFEITO!$N$519*EFEITO!$AA$519</f>
        <v>130.664905582237</v>
      </c>
      <c r="M519" s="56">
        <f>$J$519-EFEITO!$K$519*EFEITO!$Y$519</f>
        <v>0</v>
      </c>
      <c r="N519" s="56">
        <f ca="1">$K$519-EFEITO!$M$519*EFEITO!$Z$519</f>
        <v>0</v>
      </c>
      <c r="O519" s="56">
        <f>$L$519-EFEITO!$O$519*EFEITO!$AA$519</f>
        <v>0</v>
      </c>
      <c r="P519" s="39"/>
      <c r="Q519" s="39"/>
      <c r="R519" s="39"/>
      <c r="S519" s="39"/>
      <c r="T519" s="39"/>
      <c r="U519" s="39"/>
      <c r="V519" s="39"/>
      <c r="W519" s="39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35" t="s">
        <v>21</v>
      </c>
      <c r="B520" s="35" t="s">
        <v>22</v>
      </c>
      <c r="C520" s="35" t="s">
        <v>33</v>
      </c>
      <c r="D520" s="35" t="s">
        <v>24</v>
      </c>
      <c r="E520" s="35" t="s">
        <v>24</v>
      </c>
      <c r="F520" s="35" t="s">
        <v>25</v>
      </c>
      <c r="G520" s="35" t="s">
        <v>25</v>
      </c>
      <c r="H520" s="35" t="s">
        <v>34</v>
      </c>
      <c r="I520" s="55">
        <v>44713</v>
      </c>
      <c r="J520" s="56">
        <f>EFEITO!$J$520*EFEITO!$Y$520</f>
        <v>0</v>
      </c>
      <c r="K520" s="56">
        <f ca="1">EFEITO!$L$520*EFEITO!$Z$520</f>
        <v>380.35972855479577</v>
      </c>
      <c r="L520" s="56">
        <f>EFEITO!$N$520*EFEITO!$AA$520</f>
        <v>118.72046822984416</v>
      </c>
      <c r="M520" s="56">
        <f>$J$520-EFEITO!$K$520*EFEITO!$Y$520</f>
        <v>0</v>
      </c>
      <c r="N520" s="56">
        <f ca="1">$K$520-EFEITO!$M$520*EFEITO!$Z$520</f>
        <v>0</v>
      </c>
      <c r="O520" s="56">
        <f>$L$520-EFEITO!$O$520*EFEITO!$AA$520</f>
        <v>0</v>
      </c>
      <c r="P520" s="39"/>
      <c r="Q520" s="39"/>
      <c r="R520" s="39"/>
      <c r="S520" s="39"/>
      <c r="T520" s="39"/>
      <c r="U520" s="39"/>
      <c r="V520" s="39"/>
      <c r="W520" s="39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35" t="s">
        <v>21</v>
      </c>
      <c r="B521" s="35" t="s">
        <v>22</v>
      </c>
      <c r="C521" s="35" t="s">
        <v>33</v>
      </c>
      <c r="D521" s="35" t="s">
        <v>24</v>
      </c>
      <c r="E521" s="35" t="s">
        <v>24</v>
      </c>
      <c r="F521" s="35" t="s">
        <v>25</v>
      </c>
      <c r="G521" s="35" t="s">
        <v>25</v>
      </c>
      <c r="H521" s="35" t="s">
        <v>34</v>
      </c>
      <c r="I521" s="55">
        <v>44743</v>
      </c>
      <c r="J521" s="56">
        <f>EFEITO!$J$521*EFEITO!$Y$521</f>
        <v>0</v>
      </c>
      <c r="K521" s="56">
        <f ca="1">EFEITO!$L$521*EFEITO!$Z$521</f>
        <v>373.40192864220802</v>
      </c>
      <c r="L521" s="56">
        <f>EFEITO!$N$521*EFEITO!$AA$521</f>
        <v>116.54875234759091</v>
      </c>
      <c r="M521" s="56">
        <f>$J$521-EFEITO!$K$521*EFEITO!$Y$521</f>
        <v>0</v>
      </c>
      <c r="N521" s="56">
        <f ca="1">$K$521-EFEITO!$M$521*EFEITO!$Z$521</f>
        <v>0</v>
      </c>
      <c r="O521" s="56">
        <f>$L$521-EFEITO!$O$521*EFEITO!$AA$521</f>
        <v>0</v>
      </c>
      <c r="P521" s="39"/>
      <c r="Q521" s="39"/>
      <c r="R521" s="39"/>
      <c r="S521" s="39"/>
      <c r="T521" s="39"/>
      <c r="U521" s="39"/>
      <c r="V521" s="39"/>
      <c r="W521" s="39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35" t="s">
        <v>21</v>
      </c>
      <c r="B522" s="35" t="s">
        <v>22</v>
      </c>
      <c r="C522" s="35" t="s">
        <v>33</v>
      </c>
      <c r="D522" s="35" t="s">
        <v>24</v>
      </c>
      <c r="E522" s="35" t="s">
        <v>24</v>
      </c>
      <c r="F522" s="35" t="s">
        <v>25</v>
      </c>
      <c r="G522" s="35" t="s">
        <v>25</v>
      </c>
      <c r="H522" s="35" t="s">
        <v>34</v>
      </c>
      <c r="I522" s="55">
        <v>44774</v>
      </c>
      <c r="J522" s="56">
        <f>EFEITO!$J$522*EFEITO!$Y$522</f>
        <v>0</v>
      </c>
      <c r="K522" s="56">
        <f ca="1">EFEITO!$L$522*EFEITO!$Z$522</f>
        <v>390.79642842367736</v>
      </c>
      <c r="L522" s="56">
        <f>EFEITO!$N$522*EFEITO!$AA$522</f>
        <v>121.97804205322403</v>
      </c>
      <c r="M522" s="56">
        <f>$J$522-EFEITO!$K$522*EFEITO!$Y$522</f>
        <v>0</v>
      </c>
      <c r="N522" s="56">
        <f ca="1">$K$522-EFEITO!$M$522*EFEITO!$Z$522</f>
        <v>0</v>
      </c>
      <c r="O522" s="56">
        <f>$L$522-EFEITO!$O$522*EFEITO!$AA$522</f>
        <v>0</v>
      </c>
      <c r="P522" s="39"/>
      <c r="Q522" s="39"/>
      <c r="R522" s="39"/>
      <c r="S522" s="39"/>
      <c r="T522" s="39"/>
      <c r="U522" s="39"/>
      <c r="V522" s="39"/>
      <c r="W522" s="39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35" t="s">
        <v>21</v>
      </c>
      <c r="B523" s="35" t="s">
        <v>22</v>
      </c>
      <c r="C523" s="35" t="s">
        <v>33</v>
      </c>
      <c r="D523" s="35" t="s">
        <v>24</v>
      </c>
      <c r="E523" s="35" t="s">
        <v>24</v>
      </c>
      <c r="F523" s="35" t="s">
        <v>25</v>
      </c>
      <c r="G523" s="35" t="s">
        <v>25</v>
      </c>
      <c r="H523" s="35" t="s">
        <v>34</v>
      </c>
      <c r="I523" s="55">
        <v>44805</v>
      </c>
      <c r="J523" s="56">
        <f>EFEITO!$J$523*EFEITO!$Y$523</f>
        <v>0</v>
      </c>
      <c r="K523" s="56">
        <f ca="1">EFEITO!$L$523*EFEITO!$Z$523</f>
        <v>318.89916266027086</v>
      </c>
      <c r="L523" s="56">
        <f>EFEITO!$N$523*EFEITO!$AA$523</f>
        <v>99.536977936607144</v>
      </c>
      <c r="M523" s="56">
        <f>$J$523-EFEITO!$K$523*EFEITO!$Y$523</f>
        <v>0</v>
      </c>
      <c r="N523" s="56">
        <f ca="1">$K$523-EFEITO!$M$523*EFEITO!$Z$523</f>
        <v>0</v>
      </c>
      <c r="O523" s="56">
        <f>$L$523-EFEITO!$O$523*EFEITO!$AA$523</f>
        <v>0</v>
      </c>
      <c r="P523" s="39"/>
      <c r="Q523" s="39"/>
      <c r="R523" s="39"/>
      <c r="S523" s="39"/>
      <c r="T523" s="39"/>
      <c r="U523" s="39"/>
      <c r="V523" s="39"/>
      <c r="W523" s="39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35" t="s">
        <v>57</v>
      </c>
      <c r="B524" s="35" t="s">
        <v>22</v>
      </c>
      <c r="C524" s="35" t="s">
        <v>33</v>
      </c>
      <c r="D524" s="35" t="s">
        <v>24</v>
      </c>
      <c r="E524" s="35" t="s">
        <v>24</v>
      </c>
      <c r="F524" s="35" t="s">
        <v>25</v>
      </c>
      <c r="G524" s="35" t="s">
        <v>25</v>
      </c>
      <c r="H524" s="35" t="s">
        <v>34</v>
      </c>
      <c r="I524" s="55">
        <v>44835</v>
      </c>
      <c r="J524" s="56">
        <f>EFEITO!$J$524*EFEITO!$Y$524</f>
        <v>0</v>
      </c>
      <c r="K524" s="56">
        <f ca="1">EFEITO!$L$524*EFEITO!$Z$524</f>
        <v>318.89916266027086</v>
      </c>
      <c r="L524" s="56">
        <f>EFEITO!$N$524*EFEITO!$AA$524</f>
        <v>99.536977936607144</v>
      </c>
      <c r="M524" s="56">
        <f>$J$524-EFEITO!$K$524*EFEITO!$Y$524</f>
        <v>0</v>
      </c>
      <c r="N524" s="56">
        <f ca="1">$K$524-EFEITO!$M$524*EFEITO!$Z$524</f>
        <v>0</v>
      </c>
      <c r="O524" s="56">
        <f>$L$524-EFEITO!$O$524*EFEITO!$AA$524</f>
        <v>0</v>
      </c>
      <c r="P524" s="39"/>
      <c r="Q524" s="39"/>
      <c r="R524" s="39"/>
      <c r="S524" s="39"/>
      <c r="T524" s="39"/>
      <c r="U524" s="39"/>
      <c r="V524" s="39"/>
      <c r="W524" s="39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35" t="s">
        <v>21</v>
      </c>
      <c r="B525" s="35" t="s">
        <v>22</v>
      </c>
      <c r="C525" s="35" t="s">
        <v>23</v>
      </c>
      <c r="D525" s="35" t="s">
        <v>24</v>
      </c>
      <c r="E525" s="35" t="s">
        <v>24</v>
      </c>
      <c r="F525" s="35" t="s">
        <v>25</v>
      </c>
      <c r="G525" s="35" t="s">
        <v>25</v>
      </c>
      <c r="H525" s="35" t="s">
        <v>25</v>
      </c>
      <c r="I525" s="55">
        <v>44501</v>
      </c>
      <c r="J525" s="56">
        <f>EFEITO!$J$525*EFEITO!$Y$525</f>
        <v>0</v>
      </c>
      <c r="K525" s="56">
        <f ca="1">EFEITO!$L$525*EFEITO!$Z$525</f>
        <v>1966493.0514789289</v>
      </c>
      <c r="L525" s="56">
        <f>EFEITO!$N$525*EFEITO!$AA$525</f>
        <v>954651.03179679671</v>
      </c>
      <c r="M525" s="56">
        <f>$J$525-EFEITO!$K$525*EFEITO!$Y$525</f>
        <v>0</v>
      </c>
      <c r="N525" s="56">
        <f ca="1">$K$525-EFEITO!$M$525*EFEITO!$Z$525</f>
        <v>0</v>
      </c>
      <c r="O525" s="56">
        <f>$L$525-EFEITO!$O$525*EFEITO!$AA$525</f>
        <v>0</v>
      </c>
      <c r="P525" s="39"/>
      <c r="Q525" s="39"/>
      <c r="R525" s="39"/>
      <c r="S525" s="39"/>
      <c r="T525" s="39"/>
      <c r="U525" s="39"/>
      <c r="V525" s="39"/>
      <c r="W525" s="39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35" t="s">
        <v>27</v>
      </c>
      <c r="B526" s="35" t="s">
        <v>22</v>
      </c>
      <c r="C526" s="35" t="s">
        <v>23</v>
      </c>
      <c r="D526" s="35" t="s">
        <v>24</v>
      </c>
      <c r="E526" s="35" t="s">
        <v>24</v>
      </c>
      <c r="F526" s="35" t="s">
        <v>25</v>
      </c>
      <c r="G526" s="35" t="s">
        <v>25</v>
      </c>
      <c r="H526" s="35" t="s">
        <v>25</v>
      </c>
      <c r="I526" s="55">
        <v>44501</v>
      </c>
      <c r="J526" s="56">
        <f>EFEITO!$J$526*EFEITO!$Y$526</f>
        <v>0</v>
      </c>
      <c r="K526" s="56">
        <f ca="1">EFEITO!$L$526*EFEITO!$Z$526</f>
        <v>-144.62020862048789</v>
      </c>
      <c r="L526" s="56">
        <f>EFEITO!$N$526*EFEITO!$AA$526</f>
        <v>-70.207129018017838</v>
      </c>
      <c r="M526" s="56">
        <f>$J$526-EFEITO!$K$526*EFEITO!$Y$526</f>
        <v>0</v>
      </c>
      <c r="N526" s="56">
        <f ca="1">$K$526-EFEITO!$M$526*EFEITO!$Z$526</f>
        <v>0</v>
      </c>
      <c r="O526" s="56">
        <f>$L$526-EFEITO!$O$526*EFEITO!$AA$526</f>
        <v>0</v>
      </c>
      <c r="P526" s="39"/>
      <c r="Q526" s="39"/>
      <c r="R526" s="39"/>
      <c r="S526" s="39"/>
      <c r="T526" s="39"/>
      <c r="U526" s="39"/>
      <c r="V526" s="39"/>
      <c r="W526" s="39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35" t="s">
        <v>28</v>
      </c>
      <c r="B527" s="35" t="s">
        <v>22</v>
      </c>
      <c r="C527" s="35" t="s">
        <v>23</v>
      </c>
      <c r="D527" s="35" t="s">
        <v>24</v>
      </c>
      <c r="E527" s="35" t="s">
        <v>24</v>
      </c>
      <c r="F527" s="35" t="s">
        <v>25</v>
      </c>
      <c r="G527" s="35" t="s">
        <v>25</v>
      </c>
      <c r="H527" s="35" t="s">
        <v>25</v>
      </c>
      <c r="I527" s="55">
        <v>44501</v>
      </c>
      <c r="J527" s="56">
        <f>EFEITO!$J$527*EFEITO!$Y$527</f>
        <v>0</v>
      </c>
      <c r="K527" s="56">
        <f ca="1">EFEITO!$L$527*EFEITO!$Z$527</f>
        <v>30850.382902922476</v>
      </c>
      <c r="L527" s="56">
        <f>EFEITO!$N$527*EFEITO!$AA$527</f>
        <v>14976.584762123564</v>
      </c>
      <c r="M527" s="56">
        <f>$J$527-EFEITO!$K$527*EFEITO!$Y$527</f>
        <v>0</v>
      </c>
      <c r="N527" s="56">
        <f ca="1">$K$527-EFEITO!$M$527*EFEITO!$Z$527</f>
        <v>0</v>
      </c>
      <c r="O527" s="56">
        <f>$L$527-EFEITO!$O$527*EFEITO!$AA$527</f>
        <v>0</v>
      </c>
      <c r="P527" s="39"/>
      <c r="Q527" s="39"/>
      <c r="R527" s="39"/>
      <c r="S527" s="39"/>
      <c r="T527" s="39"/>
      <c r="U527" s="39"/>
      <c r="V527" s="39"/>
      <c r="W527" s="39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35" t="s">
        <v>21</v>
      </c>
      <c r="B528" s="35" t="s">
        <v>22</v>
      </c>
      <c r="C528" s="35" t="s">
        <v>23</v>
      </c>
      <c r="D528" s="35" t="s">
        <v>24</v>
      </c>
      <c r="E528" s="35" t="s">
        <v>24</v>
      </c>
      <c r="F528" s="35" t="s">
        <v>25</v>
      </c>
      <c r="G528" s="35" t="s">
        <v>25</v>
      </c>
      <c r="H528" s="35" t="s">
        <v>25</v>
      </c>
      <c r="I528" s="55">
        <v>44531</v>
      </c>
      <c r="J528" s="56">
        <f>EFEITO!$J$528*EFEITO!$Y$528</f>
        <v>0</v>
      </c>
      <c r="K528" s="56">
        <f ca="1">EFEITO!$L$528*EFEITO!$Z$528</f>
        <v>1877909.3171599833</v>
      </c>
      <c r="L528" s="56">
        <f>EFEITO!$N$528*EFEITO!$AA$528</f>
        <v>911647.29308315355</v>
      </c>
      <c r="M528" s="56">
        <f>$J$528-EFEITO!$K$528*EFEITO!$Y$528</f>
        <v>0</v>
      </c>
      <c r="N528" s="56">
        <f ca="1">$K$528-EFEITO!$M$528*EFEITO!$Z$528</f>
        <v>0</v>
      </c>
      <c r="O528" s="56">
        <f>$L$528-EFEITO!$O$528*EFEITO!$AA$528</f>
        <v>0</v>
      </c>
      <c r="P528" s="39"/>
      <c r="Q528" s="39"/>
      <c r="R528" s="39"/>
      <c r="S528" s="39"/>
      <c r="T528" s="39"/>
      <c r="U528" s="39"/>
      <c r="V528" s="39"/>
      <c r="W528" s="39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35" t="s">
        <v>28</v>
      </c>
      <c r="B529" s="35" t="s">
        <v>22</v>
      </c>
      <c r="C529" s="35" t="s">
        <v>23</v>
      </c>
      <c r="D529" s="35" t="s">
        <v>24</v>
      </c>
      <c r="E529" s="35" t="s">
        <v>24</v>
      </c>
      <c r="F529" s="35" t="s">
        <v>25</v>
      </c>
      <c r="G529" s="35" t="s">
        <v>25</v>
      </c>
      <c r="H529" s="35" t="s">
        <v>25</v>
      </c>
      <c r="I529" s="55">
        <v>44531</v>
      </c>
      <c r="J529" s="56">
        <f>EFEITO!$J$529*EFEITO!$Y$529</f>
        <v>0</v>
      </c>
      <c r="K529" s="56">
        <f ca="1">EFEITO!$L$529*EFEITO!$Z$529</f>
        <v>24231.115954362744</v>
      </c>
      <c r="L529" s="56">
        <f>EFEITO!$N$529*EFEITO!$AA$529</f>
        <v>11763.204466968888</v>
      </c>
      <c r="M529" s="56">
        <f>$J$529-EFEITO!$K$529*EFEITO!$Y$529</f>
        <v>0</v>
      </c>
      <c r="N529" s="56">
        <f ca="1">$K$529-EFEITO!$M$529*EFEITO!$Z$529</f>
        <v>0</v>
      </c>
      <c r="O529" s="56">
        <f>$L$529-EFEITO!$O$529*EFEITO!$AA$529</f>
        <v>0</v>
      </c>
      <c r="P529" s="39"/>
      <c r="Q529" s="39"/>
      <c r="R529" s="39"/>
      <c r="S529" s="39"/>
      <c r="T529" s="39"/>
      <c r="U529" s="39"/>
      <c r="V529" s="39"/>
      <c r="W529" s="39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35" t="s">
        <v>21</v>
      </c>
      <c r="B530" s="35" t="s">
        <v>22</v>
      </c>
      <c r="C530" s="35" t="s">
        <v>23</v>
      </c>
      <c r="D530" s="35" t="s">
        <v>24</v>
      </c>
      <c r="E530" s="35" t="s">
        <v>24</v>
      </c>
      <c r="F530" s="35" t="s">
        <v>25</v>
      </c>
      <c r="G530" s="35" t="s">
        <v>25</v>
      </c>
      <c r="H530" s="35" t="s">
        <v>25</v>
      </c>
      <c r="I530" s="55">
        <v>44562</v>
      </c>
      <c r="J530" s="56">
        <f>EFEITO!$J$530*EFEITO!$Y$530</f>
        <v>0</v>
      </c>
      <c r="K530" s="56">
        <f ca="1">EFEITO!$L$530*EFEITO!$Z$530</f>
        <v>1915073.3363039144</v>
      </c>
      <c r="L530" s="56">
        <f>EFEITO!$N$530*EFEITO!$AA$530</f>
        <v>929688.88707444048</v>
      </c>
      <c r="M530" s="56">
        <f>$J$530-EFEITO!$K$530*EFEITO!$Y$530</f>
        <v>0</v>
      </c>
      <c r="N530" s="56">
        <f ca="1">$K$530-EFEITO!$M$530*EFEITO!$Z$530</f>
        <v>0</v>
      </c>
      <c r="O530" s="56">
        <f>$L$530-EFEITO!$O$530*EFEITO!$AA$530</f>
        <v>0</v>
      </c>
      <c r="P530" s="39"/>
      <c r="Q530" s="39"/>
      <c r="R530" s="39"/>
      <c r="S530" s="39"/>
      <c r="T530" s="39"/>
      <c r="U530" s="39"/>
      <c r="V530" s="39"/>
      <c r="W530" s="39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35" t="s">
        <v>28</v>
      </c>
      <c r="B531" s="35" t="s">
        <v>22</v>
      </c>
      <c r="C531" s="35" t="s">
        <v>23</v>
      </c>
      <c r="D531" s="35" t="s">
        <v>24</v>
      </c>
      <c r="E531" s="35" t="s">
        <v>24</v>
      </c>
      <c r="F531" s="35" t="s">
        <v>25</v>
      </c>
      <c r="G531" s="35" t="s">
        <v>25</v>
      </c>
      <c r="H531" s="35" t="s">
        <v>25</v>
      </c>
      <c r="I531" s="55">
        <v>44562</v>
      </c>
      <c r="J531" s="56">
        <f>EFEITO!$J$531*EFEITO!$Y$531</f>
        <v>0</v>
      </c>
      <c r="K531" s="56">
        <f ca="1">EFEITO!$L$531*EFEITO!$Z$531</f>
        <v>27096.042287134609</v>
      </c>
      <c r="L531" s="56">
        <f>EFEITO!$N$531*EFEITO!$AA$531</f>
        <v>13154.007692815821</v>
      </c>
      <c r="M531" s="56">
        <f>$J$531-EFEITO!$K$531*EFEITO!$Y$531</f>
        <v>0</v>
      </c>
      <c r="N531" s="56">
        <f ca="1">$K$531-EFEITO!$M$531*EFEITO!$Z$531</f>
        <v>0</v>
      </c>
      <c r="O531" s="56">
        <f>$L$531-EFEITO!$O$531*EFEITO!$AA$531</f>
        <v>0</v>
      </c>
      <c r="P531" s="39"/>
      <c r="Q531" s="39"/>
      <c r="R531" s="39"/>
      <c r="S531" s="39"/>
      <c r="T531" s="39"/>
      <c r="U531" s="39"/>
      <c r="V531" s="39"/>
      <c r="W531" s="39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35" t="s">
        <v>21</v>
      </c>
      <c r="B532" s="35" t="s">
        <v>22</v>
      </c>
      <c r="C532" s="35" t="s">
        <v>23</v>
      </c>
      <c r="D532" s="35" t="s">
        <v>24</v>
      </c>
      <c r="E532" s="35" t="s">
        <v>24</v>
      </c>
      <c r="F532" s="35" t="s">
        <v>25</v>
      </c>
      <c r="G532" s="35" t="s">
        <v>25</v>
      </c>
      <c r="H532" s="35" t="s">
        <v>25</v>
      </c>
      <c r="I532" s="55">
        <v>44593</v>
      </c>
      <c r="J532" s="56">
        <f>EFEITO!$J$532*EFEITO!$Y$532</f>
        <v>0</v>
      </c>
      <c r="K532" s="56">
        <f ca="1">EFEITO!$L$532*EFEITO!$Z$532</f>
        <v>1899971.6120524008</v>
      </c>
      <c r="L532" s="56">
        <f>EFEITO!$N$532*EFEITO!$AA$532</f>
        <v>922357.62463861553</v>
      </c>
      <c r="M532" s="56">
        <f>$J$532-EFEITO!$K$532*EFEITO!$Y$532</f>
        <v>0</v>
      </c>
      <c r="N532" s="56">
        <f ca="1">$K$532-EFEITO!$M$532*EFEITO!$Z$532</f>
        <v>0</v>
      </c>
      <c r="O532" s="56">
        <f>$L$532-EFEITO!$O$532*EFEITO!$AA$532</f>
        <v>0</v>
      </c>
      <c r="P532" s="39"/>
      <c r="Q532" s="39"/>
      <c r="R532" s="39"/>
      <c r="S532" s="39"/>
      <c r="T532" s="39"/>
      <c r="U532" s="39"/>
      <c r="V532" s="39"/>
      <c r="W532" s="39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35" t="s">
        <v>28</v>
      </c>
      <c r="B533" s="35" t="s">
        <v>22</v>
      </c>
      <c r="C533" s="35" t="s">
        <v>23</v>
      </c>
      <c r="D533" s="35" t="s">
        <v>24</v>
      </c>
      <c r="E533" s="35" t="s">
        <v>24</v>
      </c>
      <c r="F533" s="35" t="s">
        <v>25</v>
      </c>
      <c r="G533" s="35" t="s">
        <v>25</v>
      </c>
      <c r="H533" s="35" t="s">
        <v>25</v>
      </c>
      <c r="I533" s="55">
        <v>44593</v>
      </c>
      <c r="J533" s="56">
        <f>EFEITO!$J$533*EFEITO!$Y$533</f>
        <v>0</v>
      </c>
      <c r="K533" s="56">
        <f ca="1">EFEITO!$L$533*EFEITO!$Z$533</f>
        <v>23386.051868657029</v>
      </c>
      <c r="L533" s="56">
        <f>EFEITO!$N$533*EFEITO!$AA$533</f>
        <v>11352.960809740271</v>
      </c>
      <c r="M533" s="56">
        <f>$J$533-EFEITO!$K$533*EFEITO!$Y$533</f>
        <v>0</v>
      </c>
      <c r="N533" s="56">
        <f ca="1">$K$533-EFEITO!$M$533*EFEITO!$Z$533</f>
        <v>0</v>
      </c>
      <c r="O533" s="56">
        <f>$L$533-EFEITO!$O$533*EFEITO!$AA$533</f>
        <v>0</v>
      </c>
      <c r="P533" s="39"/>
      <c r="Q533" s="39"/>
      <c r="R533" s="39"/>
      <c r="S533" s="39"/>
      <c r="T533" s="39"/>
      <c r="U533" s="39"/>
      <c r="V533" s="39"/>
      <c r="W533" s="39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35" t="s">
        <v>21</v>
      </c>
      <c r="B534" s="35" t="s">
        <v>22</v>
      </c>
      <c r="C534" s="35" t="s">
        <v>23</v>
      </c>
      <c r="D534" s="35" t="s">
        <v>24</v>
      </c>
      <c r="E534" s="35" t="s">
        <v>24</v>
      </c>
      <c r="F534" s="35" t="s">
        <v>25</v>
      </c>
      <c r="G534" s="35" t="s">
        <v>25</v>
      </c>
      <c r="H534" s="35" t="s">
        <v>25</v>
      </c>
      <c r="I534" s="55">
        <v>44621</v>
      </c>
      <c r="J534" s="56">
        <f>EFEITO!$J$534*EFEITO!$Y$534</f>
        <v>0</v>
      </c>
      <c r="K534" s="56">
        <f ca="1">EFEITO!$L$534*EFEITO!$Z$534</f>
        <v>1752544.8072499514</v>
      </c>
      <c r="L534" s="56">
        <f>EFEITO!$N$534*EFEITO!$AA$534</f>
        <v>850788.00927012134</v>
      </c>
      <c r="M534" s="56">
        <f>$J$534-EFEITO!$K$534*EFEITO!$Y$534</f>
        <v>0</v>
      </c>
      <c r="N534" s="56">
        <f ca="1">$K$534-EFEITO!$M$534*EFEITO!$Z$534</f>
        <v>0</v>
      </c>
      <c r="O534" s="56">
        <f>$L$534-EFEITO!$O$534*EFEITO!$AA$534</f>
        <v>0</v>
      </c>
      <c r="P534" s="39"/>
      <c r="Q534" s="39"/>
      <c r="R534" s="39"/>
      <c r="S534" s="39"/>
      <c r="T534" s="39"/>
      <c r="U534" s="39"/>
      <c r="V534" s="39"/>
      <c r="W534" s="39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35" t="s">
        <v>28</v>
      </c>
      <c r="B535" s="35" t="s">
        <v>22</v>
      </c>
      <c r="C535" s="35" t="s">
        <v>23</v>
      </c>
      <c r="D535" s="35" t="s">
        <v>24</v>
      </c>
      <c r="E535" s="35" t="s">
        <v>24</v>
      </c>
      <c r="F535" s="35" t="s">
        <v>25</v>
      </c>
      <c r="G535" s="35" t="s">
        <v>25</v>
      </c>
      <c r="H535" s="35" t="s">
        <v>25</v>
      </c>
      <c r="I535" s="55">
        <v>44621</v>
      </c>
      <c r="J535" s="56">
        <f>EFEITO!$J$535*EFEITO!$Y$535</f>
        <v>0</v>
      </c>
      <c r="K535" s="56">
        <f ca="1">EFEITO!$L$535*EFEITO!$Z$535</f>
        <v>22907.841045485282</v>
      </c>
      <c r="L535" s="56">
        <f>EFEITO!$N$535*EFEITO!$AA$535</f>
        <v>11120.809236454026</v>
      </c>
      <c r="M535" s="56">
        <f>$J$535-EFEITO!$K$535*EFEITO!$Y$535</f>
        <v>0</v>
      </c>
      <c r="N535" s="56">
        <f ca="1">$K$535-EFEITO!$M$535*EFEITO!$Z$535</f>
        <v>0</v>
      </c>
      <c r="O535" s="56">
        <f>$L$535-EFEITO!$O$535*EFEITO!$AA$535</f>
        <v>0</v>
      </c>
      <c r="P535" s="39"/>
      <c r="Q535" s="39"/>
      <c r="R535" s="39"/>
      <c r="S535" s="39"/>
      <c r="T535" s="39"/>
      <c r="U535" s="39"/>
      <c r="V535" s="39"/>
      <c r="W535" s="39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35" t="s">
        <v>21</v>
      </c>
      <c r="B536" s="35" t="s">
        <v>22</v>
      </c>
      <c r="C536" s="35" t="s">
        <v>23</v>
      </c>
      <c r="D536" s="35" t="s">
        <v>24</v>
      </c>
      <c r="E536" s="35" t="s">
        <v>24</v>
      </c>
      <c r="F536" s="35" t="s">
        <v>25</v>
      </c>
      <c r="G536" s="35" t="s">
        <v>25</v>
      </c>
      <c r="H536" s="35" t="s">
        <v>25</v>
      </c>
      <c r="I536" s="55">
        <v>44652</v>
      </c>
      <c r="J536" s="56">
        <f>EFEITO!$J$536*EFEITO!$Y$536</f>
        <v>0</v>
      </c>
      <c r="K536" s="56">
        <f ca="1">EFEITO!$L$536*EFEITO!$Z$536</f>
        <v>2021474.762392266</v>
      </c>
      <c r="L536" s="56">
        <f>EFEITO!$N$536*EFEITO!$AA$536</f>
        <v>981342.37810686673</v>
      </c>
      <c r="M536" s="56">
        <f>$J$536-EFEITO!$K$536*EFEITO!$Y$536</f>
        <v>0</v>
      </c>
      <c r="N536" s="56">
        <f ca="1">$K$536-EFEITO!$M$536*EFEITO!$Z$536</f>
        <v>0</v>
      </c>
      <c r="O536" s="56">
        <f>$L$536-EFEITO!$O$536*EFEITO!$AA$536</f>
        <v>0</v>
      </c>
      <c r="P536" s="39"/>
      <c r="Q536" s="39"/>
      <c r="R536" s="39"/>
      <c r="S536" s="39"/>
      <c r="T536" s="39"/>
      <c r="U536" s="39"/>
      <c r="V536" s="39"/>
      <c r="W536" s="39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35" t="s">
        <v>28</v>
      </c>
      <c r="B537" s="35" t="s">
        <v>22</v>
      </c>
      <c r="C537" s="35" t="s">
        <v>23</v>
      </c>
      <c r="D537" s="35" t="s">
        <v>24</v>
      </c>
      <c r="E537" s="35" t="s">
        <v>24</v>
      </c>
      <c r="F537" s="35" t="s">
        <v>25</v>
      </c>
      <c r="G537" s="35" t="s">
        <v>25</v>
      </c>
      <c r="H537" s="35" t="s">
        <v>25</v>
      </c>
      <c r="I537" s="55">
        <v>44652</v>
      </c>
      <c r="J537" s="56">
        <f>EFEITO!$J$537*EFEITO!$Y$537</f>
        <v>0</v>
      </c>
      <c r="K537" s="56">
        <f ca="1">EFEITO!$L$537*EFEITO!$Z$537</f>
        <v>26882.486445738356</v>
      </c>
      <c r="L537" s="56">
        <f>EFEITO!$N$537*EFEITO!$AA$537</f>
        <v>13050.335165632549</v>
      </c>
      <c r="M537" s="56">
        <f>$J$537-EFEITO!$K$537*EFEITO!$Y$537</f>
        <v>0</v>
      </c>
      <c r="N537" s="56">
        <f ca="1">$K$537-EFEITO!$M$537*EFEITO!$Z$537</f>
        <v>0</v>
      </c>
      <c r="O537" s="56">
        <f>$L$537-EFEITO!$O$537*EFEITO!$AA$537</f>
        <v>0</v>
      </c>
      <c r="P537" s="39"/>
      <c r="Q537" s="39"/>
      <c r="R537" s="39"/>
      <c r="S537" s="39"/>
      <c r="T537" s="39"/>
      <c r="U537" s="39"/>
      <c r="V537" s="39"/>
      <c r="W537" s="39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35" t="s">
        <v>21</v>
      </c>
      <c r="B538" s="35" t="s">
        <v>22</v>
      </c>
      <c r="C538" s="35" t="s">
        <v>23</v>
      </c>
      <c r="D538" s="35" t="s">
        <v>24</v>
      </c>
      <c r="E538" s="35" t="s">
        <v>24</v>
      </c>
      <c r="F538" s="35" t="s">
        <v>25</v>
      </c>
      <c r="G538" s="35" t="s">
        <v>25</v>
      </c>
      <c r="H538" s="35" t="s">
        <v>25</v>
      </c>
      <c r="I538" s="55">
        <v>44682</v>
      </c>
      <c r="J538" s="56">
        <f>EFEITO!$J$538*EFEITO!$Y$538</f>
        <v>0</v>
      </c>
      <c r="K538" s="56">
        <f ca="1">EFEITO!$L$538*EFEITO!$Z$538</f>
        <v>1849268.2489774199</v>
      </c>
      <c r="L538" s="56">
        <f>EFEITO!$N$538*EFEITO!$AA$538</f>
        <v>897743.23922866187</v>
      </c>
      <c r="M538" s="56">
        <f>$J$538-EFEITO!$K$538*EFEITO!$Y$538</f>
        <v>0</v>
      </c>
      <c r="N538" s="56">
        <f ca="1">$K$538-EFEITO!$M$538*EFEITO!$Z$538</f>
        <v>0</v>
      </c>
      <c r="O538" s="56">
        <f>$L$538-EFEITO!$O$538*EFEITO!$AA$538</f>
        <v>0</v>
      </c>
      <c r="P538" s="39"/>
      <c r="Q538" s="39"/>
      <c r="R538" s="39"/>
      <c r="S538" s="39"/>
      <c r="T538" s="39"/>
      <c r="U538" s="39"/>
      <c r="V538" s="39"/>
      <c r="W538" s="39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35" t="s">
        <v>28</v>
      </c>
      <c r="B539" s="35" t="s">
        <v>22</v>
      </c>
      <c r="C539" s="35" t="s">
        <v>23</v>
      </c>
      <c r="D539" s="35" t="s">
        <v>24</v>
      </c>
      <c r="E539" s="35" t="s">
        <v>24</v>
      </c>
      <c r="F539" s="35" t="s">
        <v>25</v>
      </c>
      <c r="G539" s="35" t="s">
        <v>25</v>
      </c>
      <c r="H539" s="35" t="s">
        <v>25</v>
      </c>
      <c r="I539" s="55">
        <v>44682</v>
      </c>
      <c r="J539" s="56">
        <f>EFEITO!$J$539*EFEITO!$Y$539</f>
        <v>0</v>
      </c>
      <c r="K539" s="56">
        <f ca="1">EFEITO!$L$539*EFEITO!$Z$539</f>
        <v>29829.846297423897</v>
      </c>
      <c r="L539" s="56">
        <f>EFEITO!$N$539*EFEITO!$AA$539</f>
        <v>14481.156455019751</v>
      </c>
      <c r="M539" s="56">
        <f>$J$539-EFEITO!$K$539*EFEITO!$Y$539</f>
        <v>0</v>
      </c>
      <c r="N539" s="56">
        <f ca="1">$K$539-EFEITO!$M$539*EFEITO!$Z$539</f>
        <v>0</v>
      </c>
      <c r="O539" s="56">
        <f>$L$539-EFEITO!$O$539*EFEITO!$AA$539</f>
        <v>0</v>
      </c>
      <c r="P539" s="39"/>
      <c r="Q539" s="39"/>
      <c r="R539" s="39"/>
      <c r="S539" s="39"/>
      <c r="T539" s="39"/>
      <c r="U539" s="39"/>
      <c r="V539" s="39"/>
      <c r="W539" s="39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35" t="s">
        <v>21</v>
      </c>
      <c r="B540" s="35" t="s">
        <v>22</v>
      </c>
      <c r="C540" s="35" t="s">
        <v>23</v>
      </c>
      <c r="D540" s="35" t="s">
        <v>24</v>
      </c>
      <c r="E540" s="35" t="s">
        <v>24</v>
      </c>
      <c r="F540" s="35" t="s">
        <v>25</v>
      </c>
      <c r="G540" s="35" t="s">
        <v>25</v>
      </c>
      <c r="H540" s="35" t="s">
        <v>25</v>
      </c>
      <c r="I540" s="55">
        <v>44713</v>
      </c>
      <c r="J540" s="56">
        <f>EFEITO!$J$540*EFEITO!$Y$540</f>
        <v>0</v>
      </c>
      <c r="K540" s="56">
        <f ca="1">EFEITO!$L$540*EFEITO!$Z$540</f>
        <v>1629276.3262301923</v>
      </c>
      <c r="L540" s="56">
        <f>EFEITO!$N$540*EFEITO!$AA$540</f>
        <v>790946.26078032365</v>
      </c>
      <c r="M540" s="56">
        <f>$J$540-EFEITO!$K$540*EFEITO!$Y$540</f>
        <v>0</v>
      </c>
      <c r="N540" s="56">
        <f ca="1">$K$540-EFEITO!$M$540*EFEITO!$Z$540</f>
        <v>0</v>
      </c>
      <c r="O540" s="56">
        <f>$L$540-EFEITO!$O$540*EFEITO!$AA$540</f>
        <v>0</v>
      </c>
      <c r="P540" s="39"/>
      <c r="Q540" s="39"/>
      <c r="R540" s="39"/>
      <c r="S540" s="39"/>
      <c r="T540" s="39"/>
      <c r="U540" s="39"/>
      <c r="V540" s="39"/>
      <c r="W540" s="39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35" t="s">
        <v>27</v>
      </c>
      <c r="B541" s="35" t="s">
        <v>22</v>
      </c>
      <c r="C541" s="35" t="s">
        <v>23</v>
      </c>
      <c r="D541" s="35" t="s">
        <v>24</v>
      </c>
      <c r="E541" s="35" t="s">
        <v>24</v>
      </c>
      <c r="F541" s="35" t="s">
        <v>25</v>
      </c>
      <c r="G541" s="35" t="s">
        <v>25</v>
      </c>
      <c r="H541" s="35" t="s">
        <v>25</v>
      </c>
      <c r="I541" s="55">
        <v>44713</v>
      </c>
      <c r="J541" s="56">
        <f>EFEITO!$J$541*EFEITO!$Y$541</f>
        <v>0</v>
      </c>
      <c r="K541" s="56">
        <f ca="1">EFEITO!$L$541*EFEITO!$Z$541</f>
        <v>-45.314332034419536</v>
      </c>
      <c r="L541" s="56">
        <f>EFEITO!$N$541*EFEITO!$AA$541</f>
        <v>-21.998233758978923</v>
      </c>
      <c r="M541" s="56">
        <f>$J$541-EFEITO!$K$541*EFEITO!$Y$541</f>
        <v>0</v>
      </c>
      <c r="N541" s="56">
        <f ca="1">$K$541-EFEITO!$M$541*EFEITO!$Z$541</f>
        <v>0</v>
      </c>
      <c r="O541" s="56">
        <f>$L$541-EFEITO!$O$541*EFEITO!$AA$541</f>
        <v>0</v>
      </c>
      <c r="P541" s="39"/>
      <c r="Q541" s="39"/>
      <c r="R541" s="39"/>
      <c r="S541" s="39"/>
      <c r="T541" s="39"/>
      <c r="U541" s="39"/>
      <c r="V541" s="39"/>
      <c r="W541" s="39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35" t="s">
        <v>28</v>
      </c>
      <c r="B542" s="35" t="s">
        <v>22</v>
      </c>
      <c r="C542" s="35" t="s">
        <v>23</v>
      </c>
      <c r="D542" s="35" t="s">
        <v>24</v>
      </c>
      <c r="E542" s="35" t="s">
        <v>24</v>
      </c>
      <c r="F542" s="35" t="s">
        <v>25</v>
      </c>
      <c r="G542" s="35" t="s">
        <v>25</v>
      </c>
      <c r="H542" s="35" t="s">
        <v>25</v>
      </c>
      <c r="I542" s="55">
        <v>44713</v>
      </c>
      <c r="J542" s="56">
        <f>EFEITO!$J$542*EFEITO!$Y$542</f>
        <v>0</v>
      </c>
      <c r="K542" s="56">
        <f ca="1">EFEITO!$L$542*EFEITO!$Z$542</f>
        <v>27521.225700478844</v>
      </c>
      <c r="L542" s="56">
        <f>EFEITO!$N$542*EFEITO!$AA$542</f>
        <v>13360.416652128795</v>
      </c>
      <c r="M542" s="56">
        <f>$J$542-EFEITO!$K$542*EFEITO!$Y$542</f>
        <v>0</v>
      </c>
      <c r="N542" s="56">
        <f ca="1">$K$542-EFEITO!$M$542*EFEITO!$Z$542</f>
        <v>0</v>
      </c>
      <c r="O542" s="56">
        <f>$L$542-EFEITO!$O$542*EFEITO!$AA$542</f>
        <v>0</v>
      </c>
      <c r="P542" s="39"/>
      <c r="Q542" s="39"/>
      <c r="R542" s="39"/>
      <c r="S542" s="39"/>
      <c r="T542" s="39"/>
      <c r="U542" s="39"/>
      <c r="V542" s="39"/>
      <c r="W542" s="39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35" t="s">
        <v>21</v>
      </c>
      <c r="B543" s="35" t="s">
        <v>22</v>
      </c>
      <c r="C543" s="35" t="s">
        <v>23</v>
      </c>
      <c r="D543" s="35" t="s">
        <v>24</v>
      </c>
      <c r="E543" s="35" t="s">
        <v>24</v>
      </c>
      <c r="F543" s="35" t="s">
        <v>25</v>
      </c>
      <c r="G543" s="35" t="s">
        <v>25</v>
      </c>
      <c r="H543" s="35" t="s">
        <v>25</v>
      </c>
      <c r="I543" s="55">
        <v>44743</v>
      </c>
      <c r="J543" s="56">
        <f>EFEITO!$J$543*EFEITO!$Y$543</f>
        <v>0</v>
      </c>
      <c r="K543" s="56">
        <f ca="1">EFEITO!$L$543*EFEITO!$Z$543</f>
        <v>1711794.2069322325</v>
      </c>
      <c r="L543" s="56">
        <f>EFEITO!$N$543*EFEITO!$AA$543</f>
        <v>831005.27847918775</v>
      </c>
      <c r="M543" s="56">
        <f>$J$543-EFEITO!$K$543*EFEITO!$Y$543</f>
        <v>0</v>
      </c>
      <c r="N543" s="56">
        <f ca="1">$K$543-EFEITO!$M$543*EFEITO!$Z$543</f>
        <v>0</v>
      </c>
      <c r="O543" s="56">
        <f>$L$543-EFEITO!$O$543*EFEITO!$AA$543</f>
        <v>0</v>
      </c>
      <c r="P543" s="39"/>
      <c r="Q543" s="39"/>
      <c r="R543" s="39"/>
      <c r="S543" s="39"/>
      <c r="T543" s="39"/>
      <c r="U543" s="39"/>
      <c r="V543" s="39"/>
      <c r="W543" s="39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35" t="s">
        <v>28</v>
      </c>
      <c r="B544" s="35" t="s">
        <v>22</v>
      </c>
      <c r="C544" s="35" t="s">
        <v>23</v>
      </c>
      <c r="D544" s="35" t="s">
        <v>24</v>
      </c>
      <c r="E544" s="35" t="s">
        <v>24</v>
      </c>
      <c r="F544" s="35" t="s">
        <v>25</v>
      </c>
      <c r="G544" s="35" t="s">
        <v>25</v>
      </c>
      <c r="H544" s="35" t="s">
        <v>25</v>
      </c>
      <c r="I544" s="55">
        <v>44743</v>
      </c>
      <c r="J544" s="56">
        <f>EFEITO!$J$544*EFEITO!$Y$544</f>
        <v>0</v>
      </c>
      <c r="K544" s="56">
        <f ca="1">EFEITO!$L$544*EFEITO!$Z$544</f>
        <v>30480.155168854028</v>
      </c>
      <c r="L544" s="56">
        <f>EFEITO!$N$544*EFEITO!$AA$544</f>
        <v>14796.854511837439</v>
      </c>
      <c r="M544" s="56">
        <f>$J$544-EFEITO!$K$544*EFEITO!$Y$544</f>
        <v>0</v>
      </c>
      <c r="N544" s="56">
        <f ca="1">$K$544-EFEITO!$M$544*EFEITO!$Z$544</f>
        <v>0</v>
      </c>
      <c r="O544" s="56">
        <f>$L$544-EFEITO!$O$544*EFEITO!$AA$544</f>
        <v>0</v>
      </c>
      <c r="P544" s="39"/>
      <c r="Q544" s="39"/>
      <c r="R544" s="39"/>
      <c r="S544" s="39"/>
      <c r="T544" s="39"/>
      <c r="U544" s="39"/>
      <c r="V544" s="39"/>
      <c r="W544" s="39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35" t="s">
        <v>21</v>
      </c>
      <c r="B545" s="35" t="s">
        <v>22</v>
      </c>
      <c r="C545" s="35" t="s">
        <v>23</v>
      </c>
      <c r="D545" s="35" t="s">
        <v>24</v>
      </c>
      <c r="E545" s="35" t="s">
        <v>24</v>
      </c>
      <c r="F545" s="35" t="s">
        <v>25</v>
      </c>
      <c r="G545" s="35" t="s">
        <v>25</v>
      </c>
      <c r="H545" s="35" t="s">
        <v>25</v>
      </c>
      <c r="I545" s="55">
        <v>44774</v>
      </c>
      <c r="J545" s="56">
        <f>EFEITO!$J$545*EFEITO!$Y$545</f>
        <v>0</v>
      </c>
      <c r="K545" s="56">
        <f ca="1">EFEITO!$L$545*EFEITO!$Z$545</f>
        <v>1646140.9708247895</v>
      </c>
      <c r="L545" s="56">
        <f>EFEITO!$N$545*EFEITO!$AA$545</f>
        <v>799133.3481188782</v>
      </c>
      <c r="M545" s="56">
        <f>$J$545-EFEITO!$K$545*EFEITO!$Y$545</f>
        <v>0</v>
      </c>
      <c r="N545" s="56">
        <f ca="1">$K$545-EFEITO!$M$545*EFEITO!$Z$545</f>
        <v>0</v>
      </c>
      <c r="O545" s="56">
        <f>$L$545-EFEITO!$O$545*EFEITO!$AA$545</f>
        <v>0</v>
      </c>
      <c r="P545" s="39"/>
      <c r="Q545" s="39"/>
      <c r="R545" s="39"/>
      <c r="S545" s="39"/>
      <c r="T545" s="39"/>
      <c r="U545" s="39"/>
      <c r="V545" s="39"/>
      <c r="W545" s="39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35" t="s">
        <v>28</v>
      </c>
      <c r="B546" s="35" t="s">
        <v>22</v>
      </c>
      <c r="C546" s="35" t="s">
        <v>23</v>
      </c>
      <c r="D546" s="35" t="s">
        <v>24</v>
      </c>
      <c r="E546" s="35" t="s">
        <v>24</v>
      </c>
      <c r="F546" s="35" t="s">
        <v>25</v>
      </c>
      <c r="G546" s="35" t="s">
        <v>25</v>
      </c>
      <c r="H546" s="35" t="s">
        <v>25</v>
      </c>
      <c r="I546" s="55">
        <v>44774</v>
      </c>
      <c r="J546" s="56">
        <f>EFEITO!$J$546*EFEITO!$Y$546</f>
        <v>0</v>
      </c>
      <c r="K546" s="56">
        <f ca="1">EFEITO!$L$546*EFEITO!$Z$546</f>
        <v>30774.698327077753</v>
      </c>
      <c r="L546" s="56">
        <f>EFEITO!$N$546*EFEITO!$AA$546</f>
        <v>14939.843031270802</v>
      </c>
      <c r="M546" s="56">
        <f>$J$546-EFEITO!$K$546*EFEITO!$Y$546</f>
        <v>0</v>
      </c>
      <c r="N546" s="56">
        <f ca="1">$K$546-EFEITO!$M$546*EFEITO!$Z$546</f>
        <v>0</v>
      </c>
      <c r="O546" s="56">
        <f>$L$546-EFEITO!$O$546*EFEITO!$AA$546</f>
        <v>0</v>
      </c>
      <c r="P546" s="39"/>
      <c r="Q546" s="39"/>
      <c r="R546" s="39"/>
      <c r="S546" s="39"/>
      <c r="T546" s="39"/>
      <c r="U546" s="39"/>
      <c r="V546" s="39"/>
      <c r="W546" s="39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35" t="s">
        <v>21</v>
      </c>
      <c r="B547" s="35" t="s">
        <v>22</v>
      </c>
      <c r="C547" s="35" t="s">
        <v>23</v>
      </c>
      <c r="D547" s="35" t="s">
        <v>24</v>
      </c>
      <c r="E547" s="35" t="s">
        <v>24</v>
      </c>
      <c r="F547" s="35" t="s">
        <v>25</v>
      </c>
      <c r="G547" s="35" t="s">
        <v>25</v>
      </c>
      <c r="H547" s="35" t="s">
        <v>25</v>
      </c>
      <c r="I547" s="55">
        <v>44805</v>
      </c>
      <c r="J547" s="56">
        <f>EFEITO!$J$547*EFEITO!$Y$547</f>
        <v>0</v>
      </c>
      <c r="K547" s="56">
        <f ca="1">EFEITO!$L$547*EFEITO!$Z$547</f>
        <v>1961932.6942337628</v>
      </c>
      <c r="L547" s="56">
        <f>EFEITO!$N$547*EFEITO!$AA$547</f>
        <v>952437.16699509521</v>
      </c>
      <c r="M547" s="56">
        <f>$J$547-EFEITO!$K$547*EFEITO!$Y$547</f>
        <v>0</v>
      </c>
      <c r="N547" s="56">
        <f ca="1">$K$547-EFEITO!$M$547*EFEITO!$Z$547</f>
        <v>0</v>
      </c>
      <c r="O547" s="56">
        <f>$L$547-EFEITO!$O$547*EFEITO!$AA$547</f>
        <v>0</v>
      </c>
      <c r="P547" s="39"/>
      <c r="Q547" s="39"/>
      <c r="R547" s="39"/>
      <c r="S547" s="39"/>
      <c r="T547" s="39"/>
      <c r="U547" s="39"/>
      <c r="V547" s="39"/>
      <c r="W547" s="39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35" t="s">
        <v>28</v>
      </c>
      <c r="B548" s="35" t="s">
        <v>22</v>
      </c>
      <c r="C548" s="35" t="s">
        <v>23</v>
      </c>
      <c r="D548" s="35" t="s">
        <v>24</v>
      </c>
      <c r="E548" s="35" t="s">
        <v>24</v>
      </c>
      <c r="F548" s="35" t="s">
        <v>25</v>
      </c>
      <c r="G548" s="35" t="s">
        <v>25</v>
      </c>
      <c r="H548" s="35" t="s">
        <v>25</v>
      </c>
      <c r="I548" s="55">
        <v>44805</v>
      </c>
      <c r="J548" s="56">
        <f>EFEITO!$J$548*EFEITO!$Y$548</f>
        <v>0</v>
      </c>
      <c r="K548" s="56">
        <f ca="1">EFEITO!$L$548*EFEITO!$Z$548</f>
        <v>36065.869693139335</v>
      </c>
      <c r="L548" s="56">
        <f>EFEITO!$N$548*EFEITO!$AA$548</f>
        <v>17508.48785827668</v>
      </c>
      <c r="M548" s="56">
        <f>$J$548-EFEITO!$K$548*EFEITO!$Y$548</f>
        <v>0</v>
      </c>
      <c r="N548" s="56">
        <f ca="1">$K$548-EFEITO!$M$548*EFEITO!$Z$548</f>
        <v>0</v>
      </c>
      <c r="O548" s="56">
        <f>$L$548-EFEITO!$O$548*EFEITO!$AA$548</f>
        <v>0</v>
      </c>
      <c r="P548" s="39"/>
      <c r="Q548" s="39"/>
      <c r="R548" s="39"/>
      <c r="S548" s="39"/>
      <c r="T548" s="39"/>
      <c r="U548" s="39"/>
      <c r="V548" s="39"/>
      <c r="W548" s="39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35" t="s">
        <v>57</v>
      </c>
      <c r="B549" s="35" t="s">
        <v>22</v>
      </c>
      <c r="C549" s="35" t="s">
        <v>23</v>
      </c>
      <c r="D549" s="35" t="s">
        <v>24</v>
      </c>
      <c r="E549" s="35" t="s">
        <v>24</v>
      </c>
      <c r="F549" s="35" t="s">
        <v>25</v>
      </c>
      <c r="G549" s="35" t="s">
        <v>25</v>
      </c>
      <c r="H549" s="35" t="s">
        <v>25</v>
      </c>
      <c r="I549" s="55">
        <v>44835</v>
      </c>
      <c r="J549" s="56">
        <f>EFEITO!$J$549*EFEITO!$Y$549</f>
        <v>0</v>
      </c>
      <c r="K549" s="56">
        <f ca="1">EFEITO!$L$549*EFEITO!$Z$549</f>
        <v>1961932.6942337628</v>
      </c>
      <c r="L549" s="56">
        <f>EFEITO!$N$549*EFEITO!$AA$549</f>
        <v>952437.16699509521</v>
      </c>
      <c r="M549" s="56">
        <f>$J$549-EFEITO!$K$549*EFEITO!$Y$549</f>
        <v>0</v>
      </c>
      <c r="N549" s="56">
        <f ca="1">$K$549-EFEITO!$M$549*EFEITO!$Z$549</f>
        <v>0</v>
      </c>
      <c r="O549" s="56">
        <f>$L$549-EFEITO!$O$549*EFEITO!$AA$549</f>
        <v>0</v>
      </c>
      <c r="P549" s="39"/>
      <c r="Q549" s="39"/>
      <c r="R549" s="39"/>
      <c r="S549" s="39"/>
      <c r="T549" s="39"/>
      <c r="U549" s="39"/>
      <c r="V549" s="39"/>
      <c r="W549" s="39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35" t="s">
        <v>57</v>
      </c>
      <c r="B550" s="35" t="s">
        <v>22</v>
      </c>
      <c r="C550" s="35" t="s">
        <v>23</v>
      </c>
      <c r="D550" s="35" t="s">
        <v>24</v>
      </c>
      <c r="E550" s="35" t="s">
        <v>24</v>
      </c>
      <c r="F550" s="35" t="s">
        <v>25</v>
      </c>
      <c r="G550" s="35" t="s">
        <v>25</v>
      </c>
      <c r="H550" s="35" t="s">
        <v>25</v>
      </c>
      <c r="I550" s="55">
        <v>44835</v>
      </c>
      <c r="J550" s="56">
        <f>EFEITO!$J$550*EFEITO!$Y$550</f>
        <v>0</v>
      </c>
      <c r="K550" s="56">
        <f ca="1">EFEITO!$L$550*EFEITO!$Z$550</f>
        <v>36065.869693139335</v>
      </c>
      <c r="L550" s="56">
        <f>EFEITO!$N$550*EFEITO!$AA$550</f>
        <v>17508.48785827668</v>
      </c>
      <c r="M550" s="56">
        <f>$J$550-EFEITO!$K$550*EFEITO!$Y$550</f>
        <v>0</v>
      </c>
      <c r="N550" s="56">
        <f ca="1">$K$550-EFEITO!$M$550*EFEITO!$Z$550</f>
        <v>0</v>
      </c>
      <c r="O550" s="56">
        <f>$L$550-EFEITO!$O$550*EFEITO!$AA$550</f>
        <v>0</v>
      </c>
      <c r="P550" s="39"/>
      <c r="Q550" s="39"/>
      <c r="R550" s="39"/>
      <c r="S550" s="39"/>
      <c r="T550" s="39"/>
      <c r="U550" s="39"/>
      <c r="V550" s="39"/>
      <c r="W550" s="39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35" t="s">
        <v>21</v>
      </c>
      <c r="B551" s="35" t="s">
        <v>22</v>
      </c>
      <c r="C551" s="35" t="s">
        <v>23</v>
      </c>
      <c r="D551" s="35" t="s">
        <v>24</v>
      </c>
      <c r="E551" s="35" t="s">
        <v>29</v>
      </c>
      <c r="F551" s="35" t="s">
        <v>25</v>
      </c>
      <c r="G551" s="35" t="s">
        <v>25</v>
      </c>
      <c r="H551" s="35" t="s">
        <v>25</v>
      </c>
      <c r="I551" s="55">
        <v>44501</v>
      </c>
      <c r="J551" s="56">
        <f>EFEITO!$J$551*EFEITO!$Y$525</f>
        <v>0</v>
      </c>
      <c r="K551" s="56">
        <f ca="1">EFEITO!$L$551*EFEITO!$Z$594</f>
        <v>24632.993134694119</v>
      </c>
      <c r="L551" s="56">
        <f>EFEITO!$N$551*EFEITO!$AA$594</f>
        <v>17544.761541602657</v>
      </c>
      <c r="M551" s="56">
        <f>$J$551-EFEITO!$K$551*EFEITO!$Y$551</f>
        <v>0</v>
      </c>
      <c r="N551" s="56">
        <f ca="1">$K$551-EFEITO!$M$551*EFEITO!$Z$551</f>
        <v>16011.445537551179</v>
      </c>
      <c r="O551" s="56">
        <f>$L$551-EFEITO!$O$551*EFEITO!$AA$551</f>
        <v>11404.095002041726</v>
      </c>
      <c r="P551" s="39"/>
      <c r="Q551" s="39"/>
      <c r="R551" s="39"/>
      <c r="S551" s="39"/>
      <c r="T551" s="39"/>
      <c r="U551" s="39"/>
      <c r="V551" s="39"/>
      <c r="W551" s="39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35" t="s">
        <v>21</v>
      </c>
      <c r="B552" s="35" t="s">
        <v>22</v>
      </c>
      <c r="C552" s="35" t="s">
        <v>23</v>
      </c>
      <c r="D552" s="35" t="s">
        <v>24</v>
      </c>
      <c r="E552" s="35" t="s">
        <v>29</v>
      </c>
      <c r="F552" s="35" t="s">
        <v>25</v>
      </c>
      <c r="G552" s="35" t="s">
        <v>25</v>
      </c>
      <c r="H552" s="35" t="s">
        <v>25</v>
      </c>
      <c r="I552" s="55">
        <v>44531</v>
      </c>
      <c r="J552" s="56">
        <f>EFEITO!$J$552*EFEITO!$Y$525</f>
        <v>0</v>
      </c>
      <c r="K552" s="56">
        <f ca="1">EFEITO!$L$552*EFEITO!$Z$594</f>
        <v>25736.992827005339</v>
      </c>
      <c r="L552" s="56">
        <f>EFEITO!$N$552*EFEITO!$AA$594</f>
        <v>18331.081386604455</v>
      </c>
      <c r="M552" s="56">
        <f>$J$552-EFEITO!$K$552*EFEITO!$Y$552</f>
        <v>0</v>
      </c>
      <c r="N552" s="56">
        <f ca="1">$K$552-EFEITO!$M$552*EFEITO!$Z$552</f>
        <v>16729.045337553471</v>
      </c>
      <c r="O552" s="56">
        <f>$L$552-EFEITO!$O$552*EFEITO!$AA$552</f>
        <v>11915.202901292896</v>
      </c>
      <c r="P552" s="39"/>
      <c r="Q552" s="39"/>
      <c r="R552" s="39"/>
      <c r="S552" s="39"/>
      <c r="T552" s="39"/>
      <c r="U552" s="39"/>
      <c r="V552" s="39"/>
      <c r="W552" s="39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35" t="s">
        <v>21</v>
      </c>
      <c r="B553" s="35" t="s">
        <v>22</v>
      </c>
      <c r="C553" s="35" t="s">
        <v>23</v>
      </c>
      <c r="D553" s="35" t="s">
        <v>24</v>
      </c>
      <c r="E553" s="35" t="s">
        <v>29</v>
      </c>
      <c r="F553" s="35" t="s">
        <v>25</v>
      </c>
      <c r="G553" s="35" t="s">
        <v>25</v>
      </c>
      <c r="H553" s="35" t="s">
        <v>25</v>
      </c>
      <c r="I553" s="55">
        <v>44562</v>
      </c>
      <c r="J553" s="56">
        <f>EFEITO!$J$553*EFEITO!$Y$525</f>
        <v>0</v>
      </c>
      <c r="K553" s="56">
        <f ca="1">EFEITO!$L$553*EFEITO!$Z$594</f>
        <v>26288.992673160952</v>
      </c>
      <c r="L553" s="56">
        <f>EFEITO!$N$553*EFEITO!$AA$594</f>
        <v>18724.241309105357</v>
      </c>
      <c r="M553" s="56">
        <f>$J$553-EFEITO!$K$553*EFEITO!$Y$553</f>
        <v>0</v>
      </c>
      <c r="N553" s="56">
        <f ca="1">$K$553-EFEITO!$M$553*EFEITO!$Z$553</f>
        <v>17087.845237554619</v>
      </c>
      <c r="O553" s="56">
        <f>$L$553-EFEITO!$O$553*EFEITO!$AA$553</f>
        <v>12170.756850918482</v>
      </c>
      <c r="P553" s="39"/>
      <c r="Q553" s="39"/>
      <c r="R553" s="39"/>
      <c r="S553" s="39"/>
      <c r="T553" s="39"/>
      <c r="U553" s="39"/>
      <c r="V553" s="39"/>
      <c r="W553" s="39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35" t="s">
        <v>21</v>
      </c>
      <c r="B554" s="35" t="s">
        <v>22</v>
      </c>
      <c r="C554" s="35" t="s">
        <v>23</v>
      </c>
      <c r="D554" s="35" t="s">
        <v>24</v>
      </c>
      <c r="E554" s="35" t="s">
        <v>29</v>
      </c>
      <c r="F554" s="35" t="s">
        <v>25</v>
      </c>
      <c r="G554" s="35" t="s">
        <v>25</v>
      </c>
      <c r="H554" s="35" t="s">
        <v>25</v>
      </c>
      <c r="I554" s="55">
        <v>44593</v>
      </c>
      <c r="J554" s="56">
        <f>EFEITO!$J$554*EFEITO!$Y$525</f>
        <v>0</v>
      </c>
      <c r="K554" s="56">
        <f ca="1">EFEITO!$L$554*EFEITO!$Z$594</f>
        <v>27126.849582504288</v>
      </c>
      <c r="L554" s="56">
        <f>EFEITO!$N$554*EFEITO!$AA$594</f>
        <v>19321.001905758509</v>
      </c>
      <c r="M554" s="56">
        <f>$J$554-EFEITO!$K$554*EFEITO!$Y$554</f>
        <v>0</v>
      </c>
      <c r="N554" s="56">
        <f ca="1">$K$554-EFEITO!$M$554*EFEITO!$Z$554</f>
        <v>17632.452228627786</v>
      </c>
      <c r="O554" s="56">
        <f>$L$554-EFEITO!$O$554*EFEITO!$AA$554</f>
        <v>12558.65123874303</v>
      </c>
      <c r="P554" s="39"/>
      <c r="Q554" s="39"/>
      <c r="R554" s="39"/>
      <c r="S554" s="39"/>
      <c r="T554" s="39"/>
      <c r="U554" s="39"/>
      <c r="V554" s="39"/>
      <c r="W554" s="39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35" t="s">
        <v>21</v>
      </c>
      <c r="B555" s="35" t="s">
        <v>22</v>
      </c>
      <c r="C555" s="35" t="s">
        <v>23</v>
      </c>
      <c r="D555" s="35" t="s">
        <v>24</v>
      </c>
      <c r="E555" s="35" t="s">
        <v>29</v>
      </c>
      <c r="F555" s="35" t="s">
        <v>25</v>
      </c>
      <c r="G555" s="35" t="s">
        <v>25</v>
      </c>
      <c r="H555" s="35" t="s">
        <v>25</v>
      </c>
      <c r="I555" s="55">
        <v>44621</v>
      </c>
      <c r="J555" s="56">
        <f>EFEITO!$J$555*EFEITO!$Y$525</f>
        <v>0</v>
      </c>
      <c r="K555" s="56">
        <f ca="1">EFEITO!$L$555*EFEITO!$Z$594</f>
        <v>28546.277758332999</v>
      </c>
      <c r="L555" s="56">
        <f>EFEITO!$N$555*EFEITO!$AA$594</f>
        <v>20331.984563617963</v>
      </c>
      <c r="M555" s="56">
        <f>$J$555-EFEITO!$K$555*EFEITO!$Y$555</f>
        <v>0</v>
      </c>
      <c r="N555" s="56">
        <f ca="1">$K$555-EFEITO!$M$555*EFEITO!$Z$555</f>
        <v>18555.08054291645</v>
      </c>
      <c r="O555" s="56">
        <f>$L$555-EFEITO!$O$555*EFEITO!$AA$555</f>
        <v>13215.789966351676</v>
      </c>
      <c r="P555" s="39"/>
      <c r="Q555" s="39"/>
      <c r="R555" s="39"/>
      <c r="S555" s="39"/>
      <c r="T555" s="39"/>
      <c r="U555" s="39"/>
      <c r="V555" s="39"/>
      <c r="W555" s="39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35" t="s">
        <v>21</v>
      </c>
      <c r="B556" s="35" t="s">
        <v>22</v>
      </c>
      <c r="C556" s="35" t="s">
        <v>23</v>
      </c>
      <c r="D556" s="35" t="s">
        <v>24</v>
      </c>
      <c r="E556" s="35" t="s">
        <v>29</v>
      </c>
      <c r="F556" s="35" t="s">
        <v>25</v>
      </c>
      <c r="G556" s="35" t="s">
        <v>25</v>
      </c>
      <c r="H556" s="35" t="s">
        <v>25</v>
      </c>
      <c r="I556" s="55">
        <v>44652</v>
      </c>
      <c r="J556" s="56">
        <f>EFEITO!$J$556*EFEITO!$Y$525</f>
        <v>0</v>
      </c>
      <c r="K556" s="56">
        <f ca="1">EFEITO!$L$556*EFEITO!$Z$594</f>
        <v>31966.705376475806</v>
      </c>
      <c r="L556" s="56">
        <f>EFEITO!$N$556*EFEITO!$AA$594</f>
        <v>22768.171940543187</v>
      </c>
      <c r="M556" s="56">
        <f>$J$556-EFEITO!$K$556*EFEITO!$Y$556</f>
        <v>0</v>
      </c>
      <c r="N556" s="56">
        <f ca="1">$K$556-EFEITO!$M$556*EFEITO!$Z$556</f>
        <v>20778.358494709275</v>
      </c>
      <c r="O556" s="56">
        <f>$L$556-EFEITO!$O$556*EFEITO!$AA$556</f>
        <v>14799.311761353072</v>
      </c>
      <c r="P556" s="39"/>
      <c r="Q556" s="39"/>
      <c r="R556" s="39"/>
      <c r="S556" s="39"/>
      <c r="T556" s="39"/>
      <c r="U556" s="39"/>
      <c r="V556" s="39"/>
      <c r="W556" s="39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35" t="s">
        <v>21</v>
      </c>
      <c r="B557" s="35" t="s">
        <v>22</v>
      </c>
      <c r="C557" s="35" t="s">
        <v>23</v>
      </c>
      <c r="D557" s="35" t="s">
        <v>24</v>
      </c>
      <c r="E557" s="35" t="s">
        <v>29</v>
      </c>
      <c r="F557" s="35" t="s">
        <v>25</v>
      </c>
      <c r="G557" s="35" t="s">
        <v>25</v>
      </c>
      <c r="H557" s="35" t="s">
        <v>25</v>
      </c>
      <c r="I557" s="55">
        <v>44682</v>
      </c>
      <c r="J557" s="56">
        <f>EFEITO!$J$557*EFEITO!$Y$525</f>
        <v>0</v>
      </c>
      <c r="K557" s="56">
        <f ca="1">EFEITO!$L$557*EFEITO!$Z$594</f>
        <v>34710.276040403987</v>
      </c>
      <c r="L557" s="56">
        <f>EFEITO!$N$557*EFEITO!$AA$594</f>
        <v>24722.270364878015</v>
      </c>
      <c r="M557" s="56">
        <f>$J$557-EFEITO!$K$557*EFEITO!$Y$557</f>
        <v>0</v>
      </c>
      <c r="N557" s="56">
        <f ca="1">$K$557-EFEITO!$M$557*EFEITO!$Z$557</f>
        <v>22561.679426262592</v>
      </c>
      <c r="O557" s="56">
        <f>$L$557-EFEITO!$O$557*EFEITO!$AA$557</f>
        <v>16069.475737170711</v>
      </c>
      <c r="P557" s="39"/>
      <c r="Q557" s="39"/>
      <c r="R557" s="39"/>
      <c r="S557" s="39"/>
      <c r="T557" s="39"/>
      <c r="U557" s="39"/>
      <c r="V557" s="39"/>
      <c r="W557" s="39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35" t="s">
        <v>21</v>
      </c>
      <c r="B558" s="35" t="s">
        <v>22</v>
      </c>
      <c r="C558" s="35" t="s">
        <v>23</v>
      </c>
      <c r="D558" s="35" t="s">
        <v>24</v>
      </c>
      <c r="E558" s="35" t="s">
        <v>29</v>
      </c>
      <c r="F558" s="35" t="s">
        <v>25</v>
      </c>
      <c r="G558" s="35" t="s">
        <v>25</v>
      </c>
      <c r="H558" s="35" t="s">
        <v>25</v>
      </c>
      <c r="I558" s="55">
        <v>44713</v>
      </c>
      <c r="J558" s="56">
        <f>EFEITO!$J$558*EFEITO!$Y$525</f>
        <v>0</v>
      </c>
      <c r="K558" s="56">
        <f ca="1">EFEITO!$L$558*EFEITO!$Z$594</f>
        <v>33218.562170435849</v>
      </c>
      <c r="L558" s="56">
        <f>EFEITO!$N$558*EFEITO!$AA$594</f>
        <v>23659.802479072008</v>
      </c>
      <c r="M558" s="56">
        <f>$J$558-EFEITO!$K$558*EFEITO!$Y$558</f>
        <v>0</v>
      </c>
      <c r="N558" s="56">
        <f ca="1">$K$558-EFEITO!$M$558*EFEITO!$Z$558</f>
        <v>21592.065410783303</v>
      </c>
      <c r="O558" s="56">
        <f>$L$558-EFEITO!$O$558*EFEITO!$AA$558</f>
        <v>15378.871611396806</v>
      </c>
      <c r="P558" s="39"/>
      <c r="Q558" s="39"/>
      <c r="R558" s="39"/>
      <c r="S558" s="39"/>
      <c r="T558" s="39"/>
      <c r="U558" s="39"/>
      <c r="V558" s="39"/>
      <c r="W558" s="39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35" t="s">
        <v>21</v>
      </c>
      <c r="B559" s="35" t="s">
        <v>22</v>
      </c>
      <c r="C559" s="35" t="s">
        <v>23</v>
      </c>
      <c r="D559" s="35" t="s">
        <v>24</v>
      </c>
      <c r="E559" s="35" t="s">
        <v>29</v>
      </c>
      <c r="F559" s="35" t="s">
        <v>25</v>
      </c>
      <c r="G559" s="35" t="s">
        <v>25</v>
      </c>
      <c r="H559" s="35" t="s">
        <v>25</v>
      </c>
      <c r="I559" s="55">
        <v>44743</v>
      </c>
      <c r="J559" s="56">
        <f>EFEITO!$J$559*EFEITO!$Y$525</f>
        <v>0</v>
      </c>
      <c r="K559" s="56">
        <f ca="1">EFEITO!$L$559*EFEITO!$Z$594</f>
        <v>33277.705011095379</v>
      </c>
      <c r="L559" s="56">
        <f>EFEITO!$N$559*EFEITO!$AA$594</f>
        <v>23701.926756482822</v>
      </c>
      <c r="M559" s="56">
        <f>$J$559-EFEITO!$K$559*EFEITO!$Y$559</f>
        <v>0</v>
      </c>
      <c r="N559" s="56">
        <f ca="1">$K$559-EFEITO!$M$559*EFEITO!$Z$559</f>
        <v>21630.508257211997</v>
      </c>
      <c r="O559" s="56">
        <f>$L$559-EFEITO!$O$559*EFEITO!$AA$559</f>
        <v>15406.252391713835</v>
      </c>
      <c r="P559" s="39"/>
      <c r="Q559" s="39"/>
      <c r="R559" s="39"/>
      <c r="S559" s="39"/>
      <c r="T559" s="39"/>
      <c r="U559" s="39"/>
      <c r="V559" s="39"/>
      <c r="W559" s="39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35" t="s">
        <v>28</v>
      </c>
      <c r="B560" s="35" t="s">
        <v>22</v>
      </c>
      <c r="C560" s="35" t="s">
        <v>23</v>
      </c>
      <c r="D560" s="35" t="s">
        <v>24</v>
      </c>
      <c r="E560" s="35" t="s">
        <v>29</v>
      </c>
      <c r="F560" s="35" t="s">
        <v>25</v>
      </c>
      <c r="G560" s="35" t="s">
        <v>25</v>
      </c>
      <c r="H560" s="35" t="s">
        <v>25</v>
      </c>
      <c r="I560" s="55">
        <v>44743</v>
      </c>
      <c r="J560" s="56">
        <f>EFEITO!$J$560*EFEITO!$Y$525</f>
        <v>0</v>
      </c>
      <c r="K560" s="56">
        <f ca="1">EFEITO!$L$560*EFEITO!$Z$594</f>
        <v>9.857140109921616</v>
      </c>
      <c r="L560" s="56">
        <f>EFEITO!$N$560*EFEITO!$AA$594</f>
        <v>7.0207129018017831</v>
      </c>
      <c r="M560" s="56">
        <f>$J$560-EFEITO!$K$560*EFEITO!$Y$560</f>
        <v>0</v>
      </c>
      <c r="N560" s="56">
        <f ca="1">$K$560-EFEITO!$M$560*EFEITO!$Z$560</f>
        <v>17.61963794648489</v>
      </c>
      <c r="O560" s="56">
        <f>$L$560-EFEITO!$O$560*EFEITO!$AA$560</f>
        <v>12.549524311970689</v>
      </c>
      <c r="P560" s="39"/>
      <c r="Q560" s="39"/>
      <c r="R560" s="39"/>
      <c r="S560" s="39"/>
      <c r="T560" s="39"/>
      <c r="U560" s="39"/>
      <c r="V560" s="39"/>
      <c r="W560" s="39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35" t="s">
        <v>21</v>
      </c>
      <c r="B561" s="35" t="s">
        <v>22</v>
      </c>
      <c r="C561" s="35" t="s">
        <v>23</v>
      </c>
      <c r="D561" s="35" t="s">
        <v>24</v>
      </c>
      <c r="E561" s="35" t="s">
        <v>29</v>
      </c>
      <c r="F561" s="35" t="s">
        <v>25</v>
      </c>
      <c r="G561" s="35" t="s">
        <v>25</v>
      </c>
      <c r="H561" s="35" t="s">
        <v>25</v>
      </c>
      <c r="I561" s="55">
        <v>44774</v>
      </c>
      <c r="J561" s="56">
        <f>EFEITO!$J$561*EFEITO!$Y$525</f>
        <v>0</v>
      </c>
      <c r="K561" s="56">
        <f ca="1">EFEITO!$L$561*EFEITO!$Z$594</f>
        <v>33041.13364845726</v>
      </c>
      <c r="L561" s="56">
        <f>EFEITO!$N$561*EFEITO!$AA$594</f>
        <v>23533.429646839581</v>
      </c>
      <c r="M561" s="56">
        <f>$J$561-EFEITO!$K$561*EFEITO!$Y$561</f>
        <v>0</v>
      </c>
      <c r="N561" s="56">
        <f ca="1">$K$561-EFEITO!$M$561*EFEITO!$Z$561</f>
        <v>21476.736871497218</v>
      </c>
      <c r="O561" s="56">
        <f>$L$561-EFEITO!$O$561*EFEITO!$AA$561</f>
        <v>15296.729270445729</v>
      </c>
      <c r="P561" s="39"/>
      <c r="Q561" s="39"/>
      <c r="R561" s="39"/>
      <c r="S561" s="39"/>
      <c r="T561" s="39"/>
      <c r="U561" s="39"/>
      <c r="V561" s="39"/>
      <c r="W561" s="39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35" t="s">
        <v>21</v>
      </c>
      <c r="B562" s="35" t="s">
        <v>22</v>
      </c>
      <c r="C562" s="35" t="s">
        <v>23</v>
      </c>
      <c r="D562" s="35" t="s">
        <v>24</v>
      </c>
      <c r="E562" s="35" t="s">
        <v>29</v>
      </c>
      <c r="F562" s="35" t="s">
        <v>25</v>
      </c>
      <c r="G562" s="35" t="s">
        <v>25</v>
      </c>
      <c r="H562" s="35" t="s">
        <v>25</v>
      </c>
      <c r="I562" s="55">
        <v>44805</v>
      </c>
      <c r="J562" s="56">
        <f>EFEITO!$J$562*EFEITO!$Y$525</f>
        <v>0</v>
      </c>
      <c r="K562" s="56">
        <f ca="1">EFEITO!$L$562*EFEITO!$Z$594</f>
        <v>33119.990769336633</v>
      </c>
      <c r="L562" s="56">
        <f>EFEITO!$N$562*EFEITO!$AA$594</f>
        <v>23589.595350053991</v>
      </c>
      <c r="M562" s="56">
        <f>$J$562-EFEITO!$K$562*EFEITO!$Y$562</f>
        <v>0</v>
      </c>
      <c r="N562" s="56">
        <f ca="1">$K$562-EFEITO!$M$562*EFEITO!$Z$562</f>
        <v>21527.994000068815</v>
      </c>
      <c r="O562" s="56">
        <f>$L$562-EFEITO!$O$562*EFEITO!$AA$562</f>
        <v>15333.236977535094</v>
      </c>
      <c r="P562" s="39"/>
      <c r="Q562" s="39"/>
      <c r="R562" s="39"/>
      <c r="S562" s="39"/>
      <c r="T562" s="39"/>
      <c r="U562" s="39"/>
      <c r="V562" s="39"/>
      <c r="W562" s="39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35" t="s">
        <v>28</v>
      </c>
      <c r="B563" s="35" t="s">
        <v>22</v>
      </c>
      <c r="C563" s="35" t="s">
        <v>23</v>
      </c>
      <c r="D563" s="35" t="s">
        <v>24</v>
      </c>
      <c r="E563" s="35" t="s">
        <v>29</v>
      </c>
      <c r="F563" s="35" t="s">
        <v>25</v>
      </c>
      <c r="G563" s="35" t="s">
        <v>25</v>
      </c>
      <c r="H563" s="35" t="s">
        <v>25</v>
      </c>
      <c r="I563" s="55">
        <v>44805</v>
      </c>
      <c r="J563" s="56">
        <f>EFEITO!$J$563*EFEITO!$Y$525</f>
        <v>0</v>
      </c>
      <c r="K563" s="56">
        <f ca="1">EFEITO!$L$563*EFEITO!$Z$594</f>
        <v>9.857140109921616</v>
      </c>
      <c r="L563" s="56">
        <f>EFEITO!$N$563*EFEITO!$AA$594</f>
        <v>7.0207129018017831</v>
      </c>
      <c r="M563" s="56">
        <f>$J$563-EFEITO!$K$563*EFEITO!$Y$563</f>
        <v>0</v>
      </c>
      <c r="N563" s="56">
        <f ca="1">$K$563-EFEITO!$M$563*EFEITO!$Z$563</f>
        <v>6.4071410714490504</v>
      </c>
      <c r="O563" s="56">
        <f>$L$563-EFEITO!$O$563*EFEITO!$AA$563</f>
        <v>4.5634633861711595</v>
      </c>
      <c r="P563" s="39"/>
      <c r="Q563" s="39"/>
      <c r="R563" s="39"/>
      <c r="S563" s="39"/>
      <c r="T563" s="39"/>
      <c r="U563" s="39"/>
      <c r="V563" s="39"/>
      <c r="W563" s="39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35" t="s">
        <v>57</v>
      </c>
      <c r="B564" s="35" t="s">
        <v>22</v>
      </c>
      <c r="C564" s="35" t="s">
        <v>23</v>
      </c>
      <c r="D564" s="35" t="s">
        <v>24</v>
      </c>
      <c r="E564" s="35" t="s">
        <v>29</v>
      </c>
      <c r="F564" s="35" t="s">
        <v>25</v>
      </c>
      <c r="G564" s="35" t="s">
        <v>25</v>
      </c>
      <c r="H564" s="35" t="s">
        <v>25</v>
      </c>
      <c r="I564" s="55">
        <v>44835</v>
      </c>
      <c r="J564" s="56">
        <f>EFEITO!$J$564*EFEITO!$Y$525</f>
        <v>0</v>
      </c>
      <c r="K564" s="56">
        <f ca="1">EFEITO!$L$564*EFEITO!$Z$594</f>
        <v>33119.990769336633</v>
      </c>
      <c r="L564" s="56">
        <f>EFEITO!$N$564*EFEITO!$AA$594</f>
        <v>23589.595350053991</v>
      </c>
      <c r="M564" s="56">
        <f>$J$564-EFEITO!$K$564*EFEITO!$Y$564</f>
        <v>0</v>
      </c>
      <c r="N564" s="56">
        <f ca="1">$K$564-EFEITO!$M$564*EFEITO!$Z$564</f>
        <v>21527.994000068815</v>
      </c>
      <c r="O564" s="56">
        <f>$L$564-EFEITO!$O$564*EFEITO!$AA$564</f>
        <v>15333.236977535094</v>
      </c>
      <c r="P564" s="39"/>
      <c r="Q564" s="39"/>
      <c r="R564" s="39"/>
      <c r="S564" s="39"/>
      <c r="T564" s="39"/>
      <c r="U564" s="39"/>
      <c r="V564" s="39"/>
      <c r="W564" s="39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35" t="s">
        <v>57</v>
      </c>
      <c r="B565" s="35" t="s">
        <v>22</v>
      </c>
      <c r="C565" s="35" t="s">
        <v>23</v>
      </c>
      <c r="D565" s="35" t="s">
        <v>24</v>
      </c>
      <c r="E565" s="35" t="s">
        <v>29</v>
      </c>
      <c r="F565" s="35" t="s">
        <v>25</v>
      </c>
      <c r="G565" s="35" t="s">
        <v>25</v>
      </c>
      <c r="H565" s="35" t="s">
        <v>25</v>
      </c>
      <c r="I565" s="55">
        <v>44835</v>
      </c>
      <c r="J565" s="56">
        <f>EFEITO!$J$565*EFEITO!$Y$525</f>
        <v>0</v>
      </c>
      <c r="K565" s="56">
        <f ca="1">EFEITO!$L$565*EFEITO!$Z$594</f>
        <v>9.857140109921616</v>
      </c>
      <c r="L565" s="56">
        <f>EFEITO!$N$565*EFEITO!$AA$594</f>
        <v>7.0207129018017831</v>
      </c>
      <c r="M565" s="56">
        <f>$J$565-EFEITO!$K$565*EFEITO!$Y$565</f>
        <v>0</v>
      </c>
      <c r="N565" s="56">
        <f ca="1">$K$565-EFEITO!$M$565*EFEITO!$Z$565</f>
        <v>6.4071410714490504</v>
      </c>
      <c r="O565" s="56">
        <f>$L$565-EFEITO!$O$565*EFEITO!$AA$565</f>
        <v>4.5634633861711595</v>
      </c>
      <c r="P565" s="39"/>
      <c r="Q565" s="39"/>
      <c r="R565" s="39"/>
      <c r="S565" s="39"/>
      <c r="T565" s="39"/>
      <c r="U565" s="39"/>
      <c r="V565" s="39"/>
      <c r="W565" s="39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35" t="s">
        <v>21</v>
      </c>
      <c r="B566" s="35" t="s">
        <v>22</v>
      </c>
      <c r="C566" s="35" t="s">
        <v>23</v>
      </c>
      <c r="D566" s="35" t="s">
        <v>24</v>
      </c>
      <c r="E566" s="35" t="s">
        <v>30</v>
      </c>
      <c r="F566" s="35" t="s">
        <v>25</v>
      </c>
      <c r="G566" s="35" t="s">
        <v>25</v>
      </c>
      <c r="H566" s="35" t="s">
        <v>25</v>
      </c>
      <c r="I566" s="55">
        <v>44501</v>
      </c>
      <c r="J566" s="56">
        <f>EFEITO!$J$566*EFEITO!$Y$525</f>
        <v>0</v>
      </c>
      <c r="K566" s="56">
        <f ca="1">EFEITO!$L$566*EFEITO!$Z$594</f>
        <v>50389.043099245311</v>
      </c>
      <c r="L566" s="56">
        <f>EFEITO!$N$566*EFEITO!$AA$594</f>
        <v>35889.41630648393</v>
      </c>
      <c r="M566" s="56">
        <f>$J$566-EFEITO!$K$566*EFEITO!$Y$566</f>
        <v>0</v>
      </c>
      <c r="N566" s="56">
        <f ca="1">$K$566-EFEITO!$M$566*EFEITO!$Z$566</f>
        <v>20155.617239698127</v>
      </c>
      <c r="O566" s="56">
        <f>$L$566-EFEITO!$O$566*EFEITO!$AA$566</f>
        <v>14355.766522593571</v>
      </c>
      <c r="P566" s="39"/>
      <c r="Q566" s="39"/>
      <c r="R566" s="39"/>
      <c r="S566" s="39"/>
      <c r="T566" s="39"/>
      <c r="U566" s="39"/>
      <c r="V566" s="39"/>
      <c r="W566" s="39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35" t="s">
        <v>21</v>
      </c>
      <c r="B567" s="35" t="s">
        <v>22</v>
      </c>
      <c r="C567" s="35" t="s">
        <v>23</v>
      </c>
      <c r="D567" s="35" t="s">
        <v>24</v>
      </c>
      <c r="E567" s="35" t="s">
        <v>30</v>
      </c>
      <c r="F567" s="35" t="s">
        <v>25</v>
      </c>
      <c r="G567" s="35" t="s">
        <v>25</v>
      </c>
      <c r="H567" s="35" t="s">
        <v>25</v>
      </c>
      <c r="I567" s="55">
        <v>44531</v>
      </c>
      <c r="J567" s="56">
        <f>EFEITO!$J$567*EFEITO!$Y$525</f>
        <v>0</v>
      </c>
      <c r="K567" s="56">
        <f ca="1">EFEITO!$L$567*EFEITO!$Z$594</f>
        <v>52129.814042657468</v>
      </c>
      <c r="L567" s="56">
        <f>EFEITO!$N$567*EFEITO!$AA$594</f>
        <v>37129.274204942129</v>
      </c>
      <c r="M567" s="56">
        <f>$J$567-EFEITO!$K$567*EFEITO!$Y$567</f>
        <v>0</v>
      </c>
      <c r="N567" s="56">
        <f ca="1">$K$567-EFEITO!$M$567*EFEITO!$Z$567</f>
        <v>20851.925617062989</v>
      </c>
      <c r="O567" s="56">
        <f>$L$567-EFEITO!$O$567*EFEITO!$AA$567</f>
        <v>14851.709681976852</v>
      </c>
      <c r="P567" s="39"/>
      <c r="Q567" s="39"/>
      <c r="R567" s="39"/>
      <c r="S567" s="39"/>
      <c r="T567" s="39"/>
      <c r="U567" s="39"/>
      <c r="V567" s="39"/>
      <c r="W567" s="39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35" t="s">
        <v>21</v>
      </c>
      <c r="B568" s="35" t="s">
        <v>22</v>
      </c>
      <c r="C568" s="35" t="s">
        <v>23</v>
      </c>
      <c r="D568" s="35" t="s">
        <v>24</v>
      </c>
      <c r="E568" s="35" t="s">
        <v>30</v>
      </c>
      <c r="F568" s="35" t="s">
        <v>25</v>
      </c>
      <c r="G568" s="35" t="s">
        <v>25</v>
      </c>
      <c r="H568" s="35" t="s">
        <v>25</v>
      </c>
      <c r="I568" s="55">
        <v>44562</v>
      </c>
      <c r="J568" s="56">
        <f>EFEITO!$J$568*EFEITO!$Y$525</f>
        <v>0</v>
      </c>
      <c r="K568" s="56">
        <f ca="1">EFEITO!$L$568*EFEITO!$Z$594</f>
        <v>53972.442100538821</v>
      </c>
      <c r="L568" s="56">
        <f>EFEITO!$N$568*EFEITO!$AA$594</f>
        <v>38441.679470052273</v>
      </c>
      <c r="M568" s="56">
        <f>$J$568-EFEITO!$K$568*EFEITO!$Y$568</f>
        <v>0</v>
      </c>
      <c r="N568" s="56">
        <f ca="1">$K$568-EFEITO!$M$568*EFEITO!$Z$568</f>
        <v>21588.976840215531</v>
      </c>
      <c r="O568" s="56">
        <f>$L$568-EFEITO!$O$568*EFEITO!$AA$568</f>
        <v>15376.671788020907</v>
      </c>
      <c r="P568" s="39"/>
      <c r="Q568" s="39"/>
      <c r="R568" s="39"/>
      <c r="S568" s="39"/>
      <c r="T568" s="39"/>
      <c r="U568" s="39"/>
      <c r="V568" s="39"/>
      <c r="W568" s="39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35" t="s">
        <v>21</v>
      </c>
      <c r="B569" s="35" t="s">
        <v>22</v>
      </c>
      <c r="C569" s="35" t="s">
        <v>23</v>
      </c>
      <c r="D569" s="35" t="s">
        <v>24</v>
      </c>
      <c r="E569" s="35" t="s">
        <v>30</v>
      </c>
      <c r="F569" s="35" t="s">
        <v>25</v>
      </c>
      <c r="G569" s="35" t="s">
        <v>25</v>
      </c>
      <c r="H569" s="35" t="s">
        <v>25</v>
      </c>
      <c r="I569" s="55">
        <v>44593</v>
      </c>
      <c r="J569" s="56">
        <f>EFEITO!$J$569*EFEITO!$Y$525</f>
        <v>0</v>
      </c>
      <c r="K569" s="56">
        <f ca="1">EFEITO!$L$569*EFEITO!$Z$594</f>
        <v>55488.798820781754</v>
      </c>
      <c r="L569" s="56">
        <f>EFEITO!$N$569*EFEITO!$AA$594</f>
        <v>39521.699138112781</v>
      </c>
      <c r="M569" s="56">
        <f>$J$569-EFEITO!$K$569*EFEITO!$Y$569</f>
        <v>0</v>
      </c>
      <c r="N569" s="56">
        <f ca="1">$K$569-EFEITO!$M$569*EFEITO!$Z$569</f>
        <v>22195.519528312703</v>
      </c>
      <c r="O569" s="56">
        <f>$L$569-EFEITO!$O$569*EFEITO!$AA$569</f>
        <v>15808.679655245112</v>
      </c>
      <c r="P569" s="39"/>
      <c r="Q569" s="39"/>
      <c r="R569" s="39"/>
      <c r="S569" s="39"/>
      <c r="T569" s="39"/>
      <c r="U569" s="39"/>
      <c r="V569" s="39"/>
      <c r="W569" s="39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35" t="s">
        <v>21</v>
      </c>
      <c r="B570" s="35" t="s">
        <v>22</v>
      </c>
      <c r="C570" s="35" t="s">
        <v>23</v>
      </c>
      <c r="D570" s="35" t="s">
        <v>24</v>
      </c>
      <c r="E570" s="35" t="s">
        <v>30</v>
      </c>
      <c r="F570" s="35" t="s">
        <v>25</v>
      </c>
      <c r="G570" s="35" t="s">
        <v>25</v>
      </c>
      <c r="H570" s="35" t="s">
        <v>25</v>
      </c>
      <c r="I570" s="55">
        <v>44621</v>
      </c>
      <c r="J570" s="56">
        <f>EFEITO!$J$570*EFEITO!$Y$525</f>
        <v>0</v>
      </c>
      <c r="K570" s="56">
        <f ca="1">EFEITO!$L$570*EFEITO!$Z$594</f>
        <v>57105.369798808904</v>
      </c>
      <c r="L570" s="56">
        <f>EFEITO!$N$570*EFEITO!$AA$594</f>
        <v>40673.096054008274</v>
      </c>
      <c r="M570" s="56">
        <f>$J$570-EFEITO!$K$570*EFEITO!$Y$570</f>
        <v>0</v>
      </c>
      <c r="N570" s="56">
        <f ca="1">$K$570-EFEITO!$M$570*EFEITO!$Z$570</f>
        <v>22842.147919523566</v>
      </c>
      <c r="O570" s="56">
        <f>$L$570-EFEITO!$O$570*EFEITO!$AA$570</f>
        <v>16269.23842160331</v>
      </c>
      <c r="P570" s="39"/>
      <c r="Q570" s="39"/>
      <c r="R570" s="39"/>
      <c r="S570" s="39"/>
      <c r="T570" s="39"/>
      <c r="U570" s="39"/>
      <c r="V570" s="39"/>
      <c r="W570" s="39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35" t="s">
        <v>21</v>
      </c>
      <c r="B571" s="35" t="s">
        <v>22</v>
      </c>
      <c r="C571" s="35" t="s">
        <v>23</v>
      </c>
      <c r="D571" s="35" t="s">
        <v>24</v>
      </c>
      <c r="E571" s="35" t="s">
        <v>30</v>
      </c>
      <c r="F571" s="35" t="s">
        <v>25</v>
      </c>
      <c r="G571" s="35" t="s">
        <v>25</v>
      </c>
      <c r="H571" s="35" t="s">
        <v>25</v>
      </c>
      <c r="I571" s="55">
        <v>44652</v>
      </c>
      <c r="J571" s="56">
        <f>EFEITO!$J$571*EFEITO!$Y$525</f>
        <v>0</v>
      </c>
      <c r="K571" s="56">
        <f ca="1">EFEITO!$L$571*EFEITO!$Z$594</f>
        <v>66653.652851952982</v>
      </c>
      <c r="L571" s="56">
        <f>EFEITO!$N$571*EFEITO!$AA$594</f>
        <v>47473.826618220271</v>
      </c>
      <c r="M571" s="56">
        <f>$J$571-EFEITO!$K$571*EFEITO!$Y$571</f>
        <v>0</v>
      </c>
      <c r="N571" s="56">
        <f ca="1">$K$571-EFEITO!$M$571*EFEITO!$Z$571</f>
        <v>26661.461140781197</v>
      </c>
      <c r="O571" s="56">
        <f>$L$571-EFEITO!$O$571*EFEITO!$AA$571</f>
        <v>18989.530647288109</v>
      </c>
      <c r="P571" s="39"/>
      <c r="Q571" s="39"/>
      <c r="R571" s="39"/>
      <c r="S571" s="39"/>
      <c r="T571" s="39"/>
      <c r="U571" s="39"/>
      <c r="V571" s="39"/>
      <c r="W571" s="39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35" t="s">
        <v>21</v>
      </c>
      <c r="B572" s="35" t="s">
        <v>22</v>
      </c>
      <c r="C572" s="35" t="s">
        <v>23</v>
      </c>
      <c r="D572" s="35" t="s">
        <v>24</v>
      </c>
      <c r="E572" s="35" t="s">
        <v>30</v>
      </c>
      <c r="F572" s="35" t="s">
        <v>25</v>
      </c>
      <c r="G572" s="35" t="s">
        <v>25</v>
      </c>
      <c r="H572" s="35" t="s">
        <v>25</v>
      </c>
      <c r="I572" s="55">
        <v>44682</v>
      </c>
      <c r="J572" s="56">
        <f>EFEITO!$J$572*EFEITO!$Y$525</f>
        <v>0</v>
      </c>
      <c r="K572" s="56">
        <f ca="1">EFEITO!$L$572*EFEITO!$Z$594</f>
        <v>70792.665984109059</v>
      </c>
      <c r="L572" s="56">
        <f>EFEITO!$N$572*EFEITO!$AA$594</f>
        <v>50421.823965686832</v>
      </c>
      <c r="M572" s="56">
        <f>$J$572-EFEITO!$K$572*EFEITO!$Y$572</f>
        <v>0</v>
      </c>
      <c r="N572" s="56">
        <f ca="1">$K$572-EFEITO!$M$572*EFEITO!$Z$572</f>
        <v>28317.066393643625</v>
      </c>
      <c r="O572" s="56">
        <f>$L$572-EFEITO!$O$572*EFEITO!$AA$572</f>
        <v>20168.729586274731</v>
      </c>
      <c r="P572" s="39"/>
      <c r="Q572" s="39"/>
      <c r="R572" s="39"/>
      <c r="S572" s="39"/>
      <c r="T572" s="39"/>
      <c r="U572" s="39"/>
      <c r="V572" s="39"/>
      <c r="W572" s="39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35" t="s">
        <v>21</v>
      </c>
      <c r="B573" s="35" t="s">
        <v>22</v>
      </c>
      <c r="C573" s="35" t="s">
        <v>23</v>
      </c>
      <c r="D573" s="35" t="s">
        <v>24</v>
      </c>
      <c r="E573" s="35" t="s">
        <v>30</v>
      </c>
      <c r="F573" s="35" t="s">
        <v>25</v>
      </c>
      <c r="G573" s="35" t="s">
        <v>25</v>
      </c>
      <c r="H573" s="35" t="s">
        <v>25</v>
      </c>
      <c r="I573" s="55">
        <v>44713</v>
      </c>
      <c r="J573" s="56">
        <f>EFEITO!$J$573*EFEITO!$Y$525</f>
        <v>0</v>
      </c>
      <c r="K573" s="56">
        <f ca="1">EFEITO!$L$573*EFEITO!$Z$594</f>
        <v>65963.653044258463</v>
      </c>
      <c r="L573" s="56">
        <f>EFEITO!$N$573*EFEITO!$AA$594</f>
        <v>46982.376715094142</v>
      </c>
      <c r="M573" s="56">
        <f>$J$573-EFEITO!$K$573*EFEITO!$Y$573</f>
        <v>0</v>
      </c>
      <c r="N573" s="56">
        <f ca="1">$K$573-EFEITO!$M$573*EFEITO!$Z$573</f>
        <v>26385.461217703392</v>
      </c>
      <c r="O573" s="56">
        <f>$L$573-EFEITO!$O$573*EFEITO!$AA$573</f>
        <v>18792.950686037657</v>
      </c>
      <c r="P573" s="39"/>
      <c r="Q573" s="39"/>
      <c r="R573" s="39"/>
      <c r="S573" s="39"/>
      <c r="T573" s="39"/>
      <c r="U573" s="39"/>
      <c r="V573" s="39"/>
      <c r="W573" s="39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35" t="s">
        <v>21</v>
      </c>
      <c r="B574" s="35" t="s">
        <v>22</v>
      </c>
      <c r="C574" s="35" t="s">
        <v>23</v>
      </c>
      <c r="D574" s="35" t="s">
        <v>24</v>
      </c>
      <c r="E574" s="35" t="s">
        <v>30</v>
      </c>
      <c r="F574" s="35" t="s">
        <v>25</v>
      </c>
      <c r="G574" s="35" t="s">
        <v>25</v>
      </c>
      <c r="H574" s="35" t="s">
        <v>25</v>
      </c>
      <c r="I574" s="55">
        <v>44743</v>
      </c>
      <c r="J574" s="56">
        <f>EFEITO!$J$574*EFEITO!$Y$525</f>
        <v>0</v>
      </c>
      <c r="K574" s="56">
        <f ca="1">EFEITO!$L$574*EFEITO!$Z$594</f>
        <v>67188.566988584716</v>
      </c>
      <c r="L574" s="56">
        <f>EFEITO!$N$574*EFEITO!$AA$594</f>
        <v>47854.817305024706</v>
      </c>
      <c r="M574" s="56">
        <f>$J$574-EFEITO!$K$574*EFEITO!$Y$574</f>
        <v>0</v>
      </c>
      <c r="N574" s="56">
        <f ca="1">$K$574-EFEITO!$M$574*EFEITO!$Z$574</f>
        <v>26875.426795433887</v>
      </c>
      <c r="O574" s="56">
        <f>$L$574-EFEITO!$O$574*EFEITO!$AA$574</f>
        <v>19141.926922009879</v>
      </c>
      <c r="P574" s="39"/>
      <c r="Q574" s="39"/>
      <c r="R574" s="39"/>
      <c r="S574" s="39"/>
      <c r="T574" s="39"/>
      <c r="U574" s="39"/>
      <c r="V574" s="39"/>
      <c r="W574" s="39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35" t="s">
        <v>21</v>
      </c>
      <c r="B575" s="35" t="s">
        <v>22</v>
      </c>
      <c r="C575" s="35" t="s">
        <v>23</v>
      </c>
      <c r="D575" s="35" t="s">
        <v>24</v>
      </c>
      <c r="E575" s="35" t="s">
        <v>30</v>
      </c>
      <c r="F575" s="35" t="s">
        <v>25</v>
      </c>
      <c r="G575" s="35" t="s">
        <v>25</v>
      </c>
      <c r="H575" s="35" t="s">
        <v>25</v>
      </c>
      <c r="I575" s="55">
        <v>44774</v>
      </c>
      <c r="J575" s="56">
        <f>EFEITO!$J$575*EFEITO!$Y$525</f>
        <v>0</v>
      </c>
      <c r="K575" s="56">
        <f ca="1">EFEITO!$L$575*EFEITO!$Z$594</f>
        <v>65518.438882627001</v>
      </c>
      <c r="L575" s="56">
        <f>EFEITO!$N$575*EFEITO!$AA$594</f>
        <v>46665.274515696095</v>
      </c>
      <c r="M575" s="56">
        <f>$J$575-EFEITO!$K$575*EFEITO!$Y$575</f>
        <v>0</v>
      </c>
      <c r="N575" s="56">
        <f ca="1">$K$575-EFEITO!$M$575*EFEITO!$Z$575</f>
        <v>26207.375553050806</v>
      </c>
      <c r="O575" s="56">
        <f>$L$575-EFEITO!$O$575*EFEITO!$AA$575</f>
        <v>18666.109806278437</v>
      </c>
      <c r="P575" s="39"/>
      <c r="Q575" s="39"/>
      <c r="R575" s="39"/>
      <c r="S575" s="39"/>
      <c r="T575" s="39"/>
      <c r="U575" s="39"/>
      <c r="V575" s="39"/>
      <c r="W575" s="39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35" t="s">
        <v>21</v>
      </c>
      <c r="B576" s="35" t="s">
        <v>22</v>
      </c>
      <c r="C576" s="35" t="s">
        <v>23</v>
      </c>
      <c r="D576" s="35" t="s">
        <v>24</v>
      </c>
      <c r="E576" s="35" t="s">
        <v>30</v>
      </c>
      <c r="F576" s="35" t="s">
        <v>25</v>
      </c>
      <c r="G576" s="35" t="s">
        <v>25</v>
      </c>
      <c r="H576" s="35" t="s">
        <v>25</v>
      </c>
      <c r="I576" s="55">
        <v>44805</v>
      </c>
      <c r="J576" s="56">
        <f>EFEITO!$J$576*EFEITO!$Y$525</f>
        <v>0</v>
      </c>
      <c r="K576" s="56">
        <f ca="1">EFEITO!$L$576*EFEITO!$Z$594</f>
        <v>69158.023582547059</v>
      </c>
      <c r="L576" s="56">
        <f>EFEITO!$N$576*EFEITO!$AA$594</f>
        <v>49257.555742804703</v>
      </c>
      <c r="M576" s="56">
        <f>$J$576-EFEITO!$K$576*EFEITO!$Y$576</f>
        <v>0</v>
      </c>
      <c r="N576" s="56">
        <f ca="1">$K$576-EFEITO!$M$576*EFEITO!$Z$576</f>
        <v>27663.209433018827</v>
      </c>
      <c r="O576" s="56">
        <f>$L$576-EFEITO!$O$576*EFEITO!$AA$576</f>
        <v>19703.022297121879</v>
      </c>
      <c r="P576" s="39"/>
      <c r="Q576" s="39"/>
      <c r="R576" s="39"/>
      <c r="S576" s="39"/>
      <c r="T576" s="39"/>
      <c r="U576" s="39"/>
      <c r="V576" s="39"/>
      <c r="W576" s="39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35" t="s">
        <v>28</v>
      </c>
      <c r="B577" s="35" t="s">
        <v>22</v>
      </c>
      <c r="C577" s="35" t="s">
        <v>23</v>
      </c>
      <c r="D577" s="35" t="s">
        <v>24</v>
      </c>
      <c r="E577" s="35" t="s">
        <v>30</v>
      </c>
      <c r="F577" s="35" t="s">
        <v>25</v>
      </c>
      <c r="G577" s="35" t="s">
        <v>25</v>
      </c>
      <c r="H577" s="35" t="s">
        <v>25</v>
      </c>
      <c r="I577" s="55">
        <v>44805</v>
      </c>
      <c r="J577" s="56">
        <f>EFEITO!$J$577*EFEITO!$Y$525</f>
        <v>0</v>
      </c>
      <c r="K577" s="56">
        <f ca="1">EFEITO!$L$577*EFEITO!$Z$594</f>
        <v>22.999993589817109</v>
      </c>
      <c r="L577" s="56">
        <f>EFEITO!$N$577*EFEITO!$AA$594</f>
        <v>16.381663437537497</v>
      </c>
      <c r="M577" s="56">
        <f>$J$577-EFEITO!$K$577*EFEITO!$Y$577</f>
        <v>0</v>
      </c>
      <c r="N577" s="56">
        <f ca="1">$K$577-EFEITO!$M$577*EFEITO!$Z$577</f>
        <v>9.1999974359268446</v>
      </c>
      <c r="O577" s="56">
        <f>$L$577-EFEITO!$O$577*EFEITO!$AA$577</f>
        <v>6.5526653750149997</v>
      </c>
      <c r="P577" s="39"/>
      <c r="Q577" s="39"/>
      <c r="R577" s="39"/>
      <c r="S577" s="39"/>
      <c r="T577" s="39"/>
      <c r="U577" s="39"/>
      <c r="V577" s="39"/>
      <c r="W577" s="39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35" t="s">
        <v>57</v>
      </c>
      <c r="B578" s="35" t="s">
        <v>22</v>
      </c>
      <c r="C578" s="35" t="s">
        <v>23</v>
      </c>
      <c r="D578" s="35" t="s">
        <v>24</v>
      </c>
      <c r="E578" s="35" t="s">
        <v>30</v>
      </c>
      <c r="F578" s="35" t="s">
        <v>25</v>
      </c>
      <c r="G578" s="35" t="s">
        <v>25</v>
      </c>
      <c r="H578" s="35" t="s">
        <v>25</v>
      </c>
      <c r="I578" s="55">
        <v>44835</v>
      </c>
      <c r="J578" s="56">
        <f>EFEITO!$J$578*EFEITO!$Y$525</f>
        <v>0</v>
      </c>
      <c r="K578" s="56">
        <f ca="1">EFEITO!$L$578*EFEITO!$Z$594</f>
        <v>69158.023582547059</v>
      </c>
      <c r="L578" s="56">
        <f>EFEITO!$N$578*EFEITO!$AA$594</f>
        <v>49257.555742804703</v>
      </c>
      <c r="M578" s="56">
        <f>$J$578-EFEITO!$K$578*EFEITO!$Y$578</f>
        <v>0</v>
      </c>
      <c r="N578" s="56">
        <f ca="1">$K$578-EFEITO!$M$578*EFEITO!$Z$578</f>
        <v>27663.209433018827</v>
      </c>
      <c r="O578" s="56">
        <f>$L$578-EFEITO!$O$578*EFEITO!$AA$578</f>
        <v>19703.022297121879</v>
      </c>
      <c r="P578" s="39"/>
      <c r="Q578" s="39"/>
      <c r="R578" s="39"/>
      <c r="S578" s="39"/>
      <c r="T578" s="39"/>
      <c r="U578" s="39"/>
      <c r="V578" s="39"/>
      <c r="W578" s="39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35" t="s">
        <v>57</v>
      </c>
      <c r="B579" s="35" t="s">
        <v>22</v>
      </c>
      <c r="C579" s="35" t="s">
        <v>23</v>
      </c>
      <c r="D579" s="35" t="s">
        <v>24</v>
      </c>
      <c r="E579" s="35" t="s">
        <v>30</v>
      </c>
      <c r="F579" s="35" t="s">
        <v>25</v>
      </c>
      <c r="G579" s="35" t="s">
        <v>25</v>
      </c>
      <c r="H579" s="35" t="s">
        <v>25</v>
      </c>
      <c r="I579" s="55">
        <v>44835</v>
      </c>
      <c r="J579" s="56">
        <f>EFEITO!$J$579*EFEITO!$Y$525</f>
        <v>0</v>
      </c>
      <c r="K579" s="56">
        <f ca="1">EFEITO!$L$579*EFEITO!$Z$594</f>
        <v>22.999993589817109</v>
      </c>
      <c r="L579" s="56">
        <f>EFEITO!$N$579*EFEITO!$AA$594</f>
        <v>16.381663437537497</v>
      </c>
      <c r="M579" s="56">
        <f>$J$579-EFEITO!$K$579*EFEITO!$Y$579</f>
        <v>0</v>
      </c>
      <c r="N579" s="56">
        <f ca="1">$K$579-EFEITO!$M$579*EFEITO!$Z$579</f>
        <v>9.1999974359268446</v>
      </c>
      <c r="O579" s="56">
        <f>$L$579-EFEITO!$O$579*EFEITO!$AA$579</f>
        <v>6.5526653750149997</v>
      </c>
      <c r="P579" s="39"/>
      <c r="Q579" s="39"/>
      <c r="R579" s="39"/>
      <c r="S579" s="39"/>
      <c r="T579" s="39"/>
      <c r="U579" s="39"/>
      <c r="V579" s="39"/>
      <c r="W579" s="39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35" t="s">
        <v>21</v>
      </c>
      <c r="B580" s="35" t="s">
        <v>22</v>
      </c>
      <c r="C580" s="35" t="s">
        <v>23</v>
      </c>
      <c r="D580" s="35" t="s">
        <v>24</v>
      </c>
      <c r="E580" s="35" t="s">
        <v>31</v>
      </c>
      <c r="F580" s="35" t="s">
        <v>25</v>
      </c>
      <c r="G580" s="35" t="s">
        <v>25</v>
      </c>
      <c r="H580" s="35" t="s">
        <v>25</v>
      </c>
      <c r="I580" s="55">
        <v>44501</v>
      </c>
      <c r="J580" s="56">
        <f>EFEITO!$J$580*EFEITO!$Y$525</f>
        <v>0</v>
      </c>
      <c r="K580" s="56">
        <f ca="1">EFEITO!$L$580*EFEITO!$Z$594</f>
        <v>35937.489984089225</v>
      </c>
      <c r="L580" s="56">
        <f>EFEITO!$N$580*EFEITO!$AA$594</f>
        <v>25596.349121152336</v>
      </c>
      <c r="M580" s="56">
        <f>$J$580-EFEITO!$K$580*EFEITO!$Y$580</f>
        <v>0</v>
      </c>
      <c r="N580" s="56">
        <f ca="1">$K$580-EFEITO!$M$580*EFEITO!$Z$580</f>
        <v>3593.7489984089189</v>
      </c>
      <c r="O580" s="56">
        <f>$L$580-EFEITO!$O$580*EFEITO!$AA$580</f>
        <v>2559.6349121152343</v>
      </c>
      <c r="P580" s="39"/>
      <c r="Q580" s="39"/>
      <c r="R580" s="39"/>
      <c r="S580" s="39"/>
      <c r="T580" s="39"/>
      <c r="U580" s="39"/>
      <c r="V580" s="39"/>
      <c r="W580" s="39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35" t="s">
        <v>21</v>
      </c>
      <c r="B581" s="35" t="s">
        <v>22</v>
      </c>
      <c r="C581" s="35" t="s">
        <v>23</v>
      </c>
      <c r="D581" s="35" t="s">
        <v>24</v>
      </c>
      <c r="E581" s="35" t="s">
        <v>31</v>
      </c>
      <c r="F581" s="35" t="s">
        <v>25</v>
      </c>
      <c r="G581" s="35" t="s">
        <v>25</v>
      </c>
      <c r="H581" s="35" t="s">
        <v>25</v>
      </c>
      <c r="I581" s="55">
        <v>44531</v>
      </c>
      <c r="J581" s="56">
        <f>EFEITO!$J$581*EFEITO!$Y$525</f>
        <v>0</v>
      </c>
      <c r="K581" s="56">
        <f ca="1">EFEITO!$L$581*EFEITO!$Z$594</f>
        <v>35925.661415957322</v>
      </c>
      <c r="L581" s="56">
        <f>EFEITO!$N$581*EFEITO!$AA$594</f>
        <v>25587.924265670172</v>
      </c>
      <c r="M581" s="56">
        <f>$J$581-EFEITO!$K$581*EFEITO!$Y$581</f>
        <v>0</v>
      </c>
      <c r="N581" s="56">
        <f ca="1">$K$581-EFEITO!$M$581*EFEITO!$Z$581</f>
        <v>3592.5661415957329</v>
      </c>
      <c r="O581" s="56">
        <f>$L$581-EFEITO!$O$581*EFEITO!$AA$581</f>
        <v>2558.7924265670154</v>
      </c>
      <c r="P581" s="39"/>
      <c r="Q581" s="39"/>
      <c r="R581" s="39"/>
      <c r="S581" s="39"/>
      <c r="T581" s="39"/>
      <c r="U581" s="39"/>
      <c r="V581" s="39"/>
      <c r="W581" s="39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35" t="s">
        <v>21</v>
      </c>
      <c r="B582" s="35" t="s">
        <v>22</v>
      </c>
      <c r="C582" s="35" t="s">
        <v>23</v>
      </c>
      <c r="D582" s="35" t="s">
        <v>24</v>
      </c>
      <c r="E582" s="35" t="s">
        <v>31</v>
      </c>
      <c r="F582" s="35" t="s">
        <v>25</v>
      </c>
      <c r="G582" s="35" t="s">
        <v>25</v>
      </c>
      <c r="H582" s="35" t="s">
        <v>25</v>
      </c>
      <c r="I582" s="55">
        <v>44562</v>
      </c>
      <c r="J582" s="56">
        <f>EFEITO!$J$582*EFEITO!$Y$525</f>
        <v>0</v>
      </c>
      <c r="K582" s="56">
        <f ca="1">EFEITO!$L$582*EFEITO!$Z$594</f>
        <v>39042.160547377542</v>
      </c>
      <c r="L582" s="56">
        <f>EFEITO!$N$582*EFEITO!$AA$594</f>
        <v>27807.639661456502</v>
      </c>
      <c r="M582" s="56">
        <f>$J$582-EFEITO!$K$582*EFEITO!$Y$582</f>
        <v>0</v>
      </c>
      <c r="N582" s="56">
        <f ca="1">$K$582-EFEITO!$M$582*EFEITO!$Z$582</f>
        <v>3904.2160547377571</v>
      </c>
      <c r="O582" s="56">
        <f>$L$582-EFEITO!$O$582*EFEITO!$AA$582</f>
        <v>2780.7639661456487</v>
      </c>
      <c r="P582" s="39"/>
      <c r="Q582" s="39"/>
      <c r="R582" s="39"/>
      <c r="S582" s="39"/>
      <c r="T582" s="39"/>
      <c r="U582" s="39"/>
      <c r="V582" s="39"/>
      <c r="W582" s="39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35" t="s">
        <v>21</v>
      </c>
      <c r="B583" s="35" t="s">
        <v>22</v>
      </c>
      <c r="C583" s="35" t="s">
        <v>23</v>
      </c>
      <c r="D583" s="35" t="s">
        <v>24</v>
      </c>
      <c r="E583" s="35" t="s">
        <v>31</v>
      </c>
      <c r="F583" s="35" t="s">
        <v>25</v>
      </c>
      <c r="G583" s="35" t="s">
        <v>25</v>
      </c>
      <c r="H583" s="35" t="s">
        <v>25</v>
      </c>
      <c r="I583" s="55">
        <v>44593</v>
      </c>
      <c r="J583" s="56">
        <f>EFEITO!$J$583*EFEITO!$Y$525</f>
        <v>0</v>
      </c>
      <c r="K583" s="56">
        <f ca="1">EFEITO!$L$583*EFEITO!$Z$594</f>
        <v>39240.94620626096</v>
      </c>
      <c r="L583" s="56">
        <f>EFEITO!$N$583*EFEITO!$AA$594</f>
        <v>27949.224038309509</v>
      </c>
      <c r="M583" s="56">
        <f>$J$583-EFEITO!$K$583*EFEITO!$Y$583</f>
        <v>0</v>
      </c>
      <c r="N583" s="56">
        <f ca="1">$K$583-EFEITO!$M$583*EFEITO!$Z$583</f>
        <v>3924.0946206260924</v>
      </c>
      <c r="O583" s="56">
        <f>$L$583-EFEITO!$O$583*EFEITO!$AA$583</f>
        <v>2794.9224038309512</v>
      </c>
      <c r="P583" s="39"/>
      <c r="Q583" s="39"/>
      <c r="R583" s="39"/>
      <c r="S583" s="39"/>
      <c r="T583" s="39"/>
      <c r="U583" s="39"/>
      <c r="V583" s="39"/>
      <c r="W583" s="39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35" t="s">
        <v>21</v>
      </c>
      <c r="B584" s="35" t="s">
        <v>22</v>
      </c>
      <c r="C584" s="35" t="s">
        <v>23</v>
      </c>
      <c r="D584" s="35" t="s">
        <v>24</v>
      </c>
      <c r="E584" s="35" t="s">
        <v>31</v>
      </c>
      <c r="F584" s="35" t="s">
        <v>25</v>
      </c>
      <c r="G584" s="35" t="s">
        <v>25</v>
      </c>
      <c r="H584" s="35" t="s">
        <v>25</v>
      </c>
      <c r="I584" s="55">
        <v>44621</v>
      </c>
      <c r="J584" s="56">
        <f>EFEITO!$J$584*EFEITO!$Y$525</f>
        <v>0</v>
      </c>
      <c r="K584" s="56">
        <f ca="1">EFEITO!$L$584*EFEITO!$Z$594</f>
        <v>35952.275694254109</v>
      </c>
      <c r="L584" s="56">
        <f>EFEITO!$N$584*EFEITO!$AA$594</f>
        <v>25606.880190505039</v>
      </c>
      <c r="M584" s="56">
        <f>$J$584-EFEITO!$K$584*EFEITO!$Y$584</f>
        <v>0</v>
      </c>
      <c r="N584" s="56">
        <f ca="1">$K$584-EFEITO!$M$584*EFEITO!$Z$584</f>
        <v>3595.2275694254095</v>
      </c>
      <c r="O584" s="56">
        <f>$L$584-EFEITO!$O$584*EFEITO!$AA$584</f>
        <v>2560.6880190505035</v>
      </c>
      <c r="P584" s="39"/>
      <c r="Q584" s="39"/>
      <c r="R584" s="39"/>
      <c r="S584" s="39"/>
      <c r="T584" s="39"/>
      <c r="U584" s="39"/>
      <c r="V584" s="39"/>
      <c r="W584" s="39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35" t="s">
        <v>21</v>
      </c>
      <c r="B585" s="35" t="s">
        <v>22</v>
      </c>
      <c r="C585" s="35" t="s">
        <v>23</v>
      </c>
      <c r="D585" s="35" t="s">
        <v>24</v>
      </c>
      <c r="E585" s="35" t="s">
        <v>31</v>
      </c>
      <c r="F585" s="35" t="s">
        <v>25</v>
      </c>
      <c r="G585" s="35" t="s">
        <v>25</v>
      </c>
      <c r="H585" s="35" t="s">
        <v>25</v>
      </c>
      <c r="I585" s="55">
        <v>44652</v>
      </c>
      <c r="J585" s="56">
        <f>EFEITO!$J$585*EFEITO!$Y$525</f>
        <v>0</v>
      </c>
      <c r="K585" s="56">
        <f ca="1">EFEITO!$L$585*EFEITO!$Z$594</f>
        <v>52377.885402090498</v>
      </c>
      <c r="L585" s="56">
        <f>EFEITO!$N$585*EFEITO!$AA$594</f>
        <v>37305.96214630414</v>
      </c>
      <c r="M585" s="56">
        <f>$J$585-EFEITO!$K$585*EFEITO!$Y$585</f>
        <v>0</v>
      </c>
      <c r="N585" s="56">
        <f ca="1">$K$585-EFEITO!$M$585*EFEITO!$Z$585</f>
        <v>5237.7885402090542</v>
      </c>
      <c r="O585" s="56">
        <f>$L$585-EFEITO!$O$585*EFEITO!$AA$585</f>
        <v>3730.5962146304155</v>
      </c>
      <c r="P585" s="39"/>
      <c r="Q585" s="39"/>
      <c r="R585" s="39"/>
      <c r="S585" s="39"/>
      <c r="T585" s="39"/>
      <c r="U585" s="39"/>
      <c r="V585" s="39"/>
      <c r="W585" s="39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35" t="s">
        <v>21</v>
      </c>
      <c r="B586" s="35" t="s">
        <v>22</v>
      </c>
      <c r="C586" s="35" t="s">
        <v>23</v>
      </c>
      <c r="D586" s="35" t="s">
        <v>24</v>
      </c>
      <c r="E586" s="35" t="s">
        <v>31</v>
      </c>
      <c r="F586" s="35" t="s">
        <v>25</v>
      </c>
      <c r="G586" s="35" t="s">
        <v>25</v>
      </c>
      <c r="H586" s="35" t="s">
        <v>25</v>
      </c>
      <c r="I586" s="55">
        <v>44682</v>
      </c>
      <c r="J586" s="56">
        <f>EFEITO!$J$586*EFEITO!$Y$525</f>
        <v>0</v>
      </c>
      <c r="K586" s="56">
        <f ca="1">EFEITO!$L$586*EFEITO!$Z$594</f>
        <v>49744.386136056433</v>
      </c>
      <c r="L586" s="56">
        <f>EFEITO!$N$586*EFEITO!$AA$594</f>
        <v>35430.261682706092</v>
      </c>
      <c r="M586" s="56">
        <f>$J$586-EFEITO!$K$586*EFEITO!$Y$586</f>
        <v>0</v>
      </c>
      <c r="N586" s="56">
        <f ca="1">$K$586-EFEITO!$M$586*EFEITO!$Z$586</f>
        <v>4974.4386136056419</v>
      </c>
      <c r="O586" s="56">
        <f>$L$586-EFEITO!$O$586*EFEITO!$AA$586</f>
        <v>3543.0261682706077</v>
      </c>
      <c r="P586" s="39"/>
      <c r="Q586" s="39"/>
      <c r="R586" s="39"/>
      <c r="S586" s="39"/>
      <c r="T586" s="39"/>
      <c r="U586" s="39"/>
      <c r="V586" s="39"/>
      <c r="W586" s="39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35" t="s">
        <v>21</v>
      </c>
      <c r="B587" s="35" t="s">
        <v>22</v>
      </c>
      <c r="C587" s="35" t="s">
        <v>23</v>
      </c>
      <c r="D587" s="35" t="s">
        <v>24</v>
      </c>
      <c r="E587" s="35" t="s">
        <v>31</v>
      </c>
      <c r="F587" s="35" t="s">
        <v>25</v>
      </c>
      <c r="G587" s="35" t="s">
        <v>25</v>
      </c>
      <c r="H587" s="35" t="s">
        <v>25</v>
      </c>
      <c r="I587" s="55">
        <v>44713</v>
      </c>
      <c r="J587" s="56">
        <f>EFEITO!$J$587*EFEITO!$Y$525</f>
        <v>0</v>
      </c>
      <c r="K587" s="56">
        <f ca="1">EFEITO!$L$587*EFEITO!$Z$594</f>
        <v>39383.217595180824</v>
      </c>
      <c r="L587" s="56">
        <f>EFEITO!$N$587*EFEITO!$AA$594</f>
        <v>28050.556327858845</v>
      </c>
      <c r="M587" s="56">
        <f>$J$587-EFEITO!$K$587*EFEITO!$Y$587</f>
        <v>0</v>
      </c>
      <c r="N587" s="56">
        <f ca="1">$K$587-EFEITO!$M$587*EFEITO!$Z$587</f>
        <v>3938.3217595180831</v>
      </c>
      <c r="O587" s="56">
        <f>$L$587-EFEITO!$O$587*EFEITO!$AA$587</f>
        <v>2805.0556327858831</v>
      </c>
      <c r="P587" s="39"/>
      <c r="Q587" s="39"/>
      <c r="R587" s="39"/>
      <c r="S587" s="39"/>
      <c r="T587" s="39"/>
      <c r="U587" s="39"/>
      <c r="V587" s="39"/>
      <c r="W587" s="39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35" t="s">
        <v>21</v>
      </c>
      <c r="B588" s="35" t="s">
        <v>22</v>
      </c>
      <c r="C588" s="35" t="s">
        <v>23</v>
      </c>
      <c r="D588" s="35" t="s">
        <v>24</v>
      </c>
      <c r="E588" s="35" t="s">
        <v>31</v>
      </c>
      <c r="F588" s="35" t="s">
        <v>25</v>
      </c>
      <c r="G588" s="35" t="s">
        <v>25</v>
      </c>
      <c r="H588" s="35" t="s">
        <v>25</v>
      </c>
      <c r="I588" s="55">
        <v>44743</v>
      </c>
      <c r="J588" s="56">
        <f>EFEITO!$J$588*EFEITO!$Y$525</f>
        <v>0</v>
      </c>
      <c r="K588" s="56">
        <f ca="1">EFEITO!$L$588*EFEITO!$Z$594</f>
        <v>45440.101621390662</v>
      </c>
      <c r="L588" s="56">
        <f>EFEITO!$N$588*EFEITO!$AA$594</f>
        <v>32364.550382252648</v>
      </c>
      <c r="M588" s="56">
        <f>$J$588-EFEITO!$K$588*EFEITO!$Y$588</f>
        <v>0</v>
      </c>
      <c r="N588" s="56">
        <f ca="1">$K$588-EFEITO!$M$588*EFEITO!$Z$588</f>
        <v>4544.0101621390641</v>
      </c>
      <c r="O588" s="56">
        <f>$L$588-EFEITO!$O$588*EFEITO!$AA$588</f>
        <v>3236.4550382252637</v>
      </c>
      <c r="P588" s="39"/>
      <c r="Q588" s="39"/>
      <c r="R588" s="39"/>
      <c r="S588" s="39"/>
      <c r="T588" s="39"/>
      <c r="U588" s="39"/>
      <c r="V588" s="39"/>
      <c r="W588" s="39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35" t="s">
        <v>21</v>
      </c>
      <c r="B589" s="35" t="s">
        <v>22</v>
      </c>
      <c r="C589" s="35" t="s">
        <v>23</v>
      </c>
      <c r="D589" s="35" t="s">
        <v>24</v>
      </c>
      <c r="E589" s="35" t="s">
        <v>31</v>
      </c>
      <c r="F589" s="35" t="s">
        <v>25</v>
      </c>
      <c r="G589" s="35" t="s">
        <v>25</v>
      </c>
      <c r="H589" s="35" t="s">
        <v>25</v>
      </c>
      <c r="I589" s="55">
        <v>44774</v>
      </c>
      <c r="J589" s="56">
        <f>EFEITO!$J$589*EFEITO!$Y$525</f>
        <v>0</v>
      </c>
      <c r="K589" s="56">
        <f ca="1">EFEITO!$L$589*EFEITO!$Z$594</f>
        <v>40094.245968443174</v>
      </c>
      <c r="L589" s="56">
        <f>EFEITO!$N$589*EFEITO!$AA$594</f>
        <v>28556.983751842148</v>
      </c>
      <c r="M589" s="56">
        <f>$J$589-EFEITO!$K$589*EFEITO!$Y$589</f>
        <v>0</v>
      </c>
      <c r="N589" s="56">
        <f ca="1">$K$589-EFEITO!$M$589*EFEITO!$Z$589</f>
        <v>4009.4245968443211</v>
      </c>
      <c r="O589" s="56">
        <f>$L$589-EFEITO!$O$589*EFEITO!$AA$589</f>
        <v>2855.6983751842163</v>
      </c>
      <c r="P589" s="39"/>
      <c r="Q589" s="39"/>
      <c r="R589" s="39"/>
      <c r="S589" s="39"/>
      <c r="T589" s="39"/>
      <c r="U589" s="39"/>
      <c r="V589" s="39"/>
      <c r="W589" s="39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35" t="s">
        <v>21</v>
      </c>
      <c r="B590" s="35" t="s">
        <v>22</v>
      </c>
      <c r="C590" s="35" t="s">
        <v>23</v>
      </c>
      <c r="D590" s="35" t="s">
        <v>24</v>
      </c>
      <c r="E590" s="35" t="s">
        <v>31</v>
      </c>
      <c r="F590" s="35" t="s">
        <v>25</v>
      </c>
      <c r="G590" s="35" t="s">
        <v>25</v>
      </c>
      <c r="H590" s="35" t="s">
        <v>25</v>
      </c>
      <c r="I590" s="55">
        <v>44805</v>
      </c>
      <c r="J590" s="56">
        <f>EFEITO!$J$590*EFEITO!$Y$525</f>
        <v>0</v>
      </c>
      <c r="K590" s="56">
        <f ca="1">EFEITO!$L$590*EFEITO!$Z$594</f>
        <v>54717.970464185884</v>
      </c>
      <c r="L590" s="56">
        <f>EFEITO!$N$590*EFEITO!$AA$594</f>
        <v>38972.679389191879</v>
      </c>
      <c r="M590" s="56">
        <f>$J$590-EFEITO!$K$590*EFEITO!$Y$590</f>
        <v>0</v>
      </c>
      <c r="N590" s="56">
        <f ca="1">$K$590-EFEITO!$M$590*EFEITO!$Z$590</f>
        <v>5471.7970464185855</v>
      </c>
      <c r="O590" s="56">
        <f>$L$590-EFEITO!$O$590*EFEITO!$AA$590</f>
        <v>3897.2679389191908</v>
      </c>
      <c r="P590" s="39"/>
      <c r="Q590" s="39"/>
      <c r="R590" s="39"/>
      <c r="S590" s="39"/>
      <c r="T590" s="39"/>
      <c r="U590" s="39"/>
      <c r="V590" s="39"/>
      <c r="W590" s="39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35" t="s">
        <v>28</v>
      </c>
      <c r="B591" s="35" t="s">
        <v>22</v>
      </c>
      <c r="C591" s="35" t="s">
        <v>23</v>
      </c>
      <c r="D591" s="35" t="s">
        <v>24</v>
      </c>
      <c r="E591" s="35" t="s">
        <v>31</v>
      </c>
      <c r="F591" s="35" t="s">
        <v>25</v>
      </c>
      <c r="G591" s="35" t="s">
        <v>25</v>
      </c>
      <c r="H591" s="35" t="s">
        <v>25</v>
      </c>
      <c r="I591" s="55">
        <v>44805</v>
      </c>
      <c r="J591" s="56">
        <f>EFEITO!$J$591*EFEITO!$Y$525</f>
        <v>0</v>
      </c>
      <c r="K591" s="56">
        <f ca="1">EFEITO!$L$591*EFEITO!$Z$594</f>
        <v>1.6428566849869362</v>
      </c>
      <c r="L591" s="56">
        <f>EFEITO!$N$591*EFEITO!$AA$594</f>
        <v>1.1701188169669638</v>
      </c>
      <c r="M591" s="56">
        <f>$J$591-EFEITO!$K$591*EFEITO!$Y$591</f>
        <v>0</v>
      </c>
      <c r="N591" s="56">
        <f ca="1">$K$591-EFEITO!$M$591*EFEITO!$Z$591</f>
        <v>0.16428566849869353</v>
      </c>
      <c r="O591" s="56">
        <f>$L$591-EFEITO!$O$591*EFEITO!$AA$591</f>
        <v>0.1170118816966963</v>
      </c>
      <c r="P591" s="39"/>
      <c r="Q591" s="39"/>
      <c r="R591" s="39"/>
      <c r="S591" s="39"/>
      <c r="T591" s="39"/>
      <c r="U591" s="39"/>
      <c r="V591" s="39"/>
      <c r="W591" s="39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35" t="s">
        <v>57</v>
      </c>
      <c r="B592" s="35" t="s">
        <v>22</v>
      </c>
      <c r="C592" s="35" t="s">
        <v>23</v>
      </c>
      <c r="D592" s="35" t="s">
        <v>24</v>
      </c>
      <c r="E592" s="35" t="s">
        <v>31</v>
      </c>
      <c r="F592" s="35" t="s">
        <v>25</v>
      </c>
      <c r="G592" s="35" t="s">
        <v>25</v>
      </c>
      <c r="H592" s="35" t="s">
        <v>25</v>
      </c>
      <c r="I592" s="55">
        <v>44835</v>
      </c>
      <c r="J592" s="56">
        <f>EFEITO!$J$592*EFEITO!$Y$525</f>
        <v>0</v>
      </c>
      <c r="K592" s="56">
        <f ca="1">EFEITO!$L$592*EFEITO!$Z$594</f>
        <v>54717.970464185884</v>
      </c>
      <c r="L592" s="56">
        <f>EFEITO!$N$592*EFEITO!$AA$594</f>
        <v>38972.679389191879</v>
      </c>
      <c r="M592" s="56">
        <f>$J$592-EFEITO!$K$592*EFEITO!$Y$592</f>
        <v>0</v>
      </c>
      <c r="N592" s="56">
        <f ca="1">$K$592-EFEITO!$M$592*EFEITO!$Z$592</f>
        <v>5471.7970464185855</v>
      </c>
      <c r="O592" s="56">
        <f>$L$592-EFEITO!$O$592*EFEITO!$AA$592</f>
        <v>3897.2679389191908</v>
      </c>
      <c r="P592" s="39"/>
      <c r="Q592" s="39"/>
      <c r="R592" s="39"/>
      <c r="S592" s="39"/>
      <c r="T592" s="39"/>
      <c r="U592" s="39"/>
      <c r="V592" s="39"/>
      <c r="W592" s="39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35" t="s">
        <v>57</v>
      </c>
      <c r="B593" s="35" t="s">
        <v>22</v>
      </c>
      <c r="C593" s="35" t="s">
        <v>23</v>
      </c>
      <c r="D593" s="35" t="s">
        <v>24</v>
      </c>
      <c r="E593" s="35" t="s">
        <v>31</v>
      </c>
      <c r="F593" s="35" t="s">
        <v>25</v>
      </c>
      <c r="G593" s="35" t="s">
        <v>25</v>
      </c>
      <c r="H593" s="35" t="s">
        <v>25</v>
      </c>
      <c r="I593" s="55">
        <v>44835</v>
      </c>
      <c r="J593" s="56">
        <f>EFEITO!$J$593*EFEITO!$Y$525</f>
        <v>0</v>
      </c>
      <c r="K593" s="56">
        <f ca="1">EFEITO!$L$593*EFEITO!$Z$594</f>
        <v>1.6428566849869362</v>
      </c>
      <c r="L593" s="56">
        <f>EFEITO!$N$593*EFEITO!$AA$594</f>
        <v>1.1701188169669638</v>
      </c>
      <c r="M593" s="56">
        <f>$J$593-EFEITO!$K$593*EFEITO!$Y$593</f>
        <v>0</v>
      </c>
      <c r="N593" s="56">
        <f ca="1">$K$593-EFEITO!$M$593*EFEITO!$Z$593</f>
        <v>0.16428566849869353</v>
      </c>
      <c r="O593" s="56">
        <f>$L$593-EFEITO!$O$593*EFEITO!$AA$593</f>
        <v>0.1170118816966963</v>
      </c>
      <c r="P593" s="39"/>
      <c r="Q593" s="39"/>
      <c r="R593" s="39"/>
      <c r="S593" s="39"/>
      <c r="T593" s="39"/>
      <c r="U593" s="39"/>
      <c r="V593" s="39"/>
      <c r="W593" s="39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35" t="s">
        <v>21</v>
      </c>
      <c r="B594" s="35" t="s">
        <v>22</v>
      </c>
      <c r="C594" s="35" t="s">
        <v>23</v>
      </c>
      <c r="D594" s="35" t="s">
        <v>24</v>
      </c>
      <c r="E594" s="35" t="s">
        <v>32</v>
      </c>
      <c r="F594" s="35" t="s">
        <v>25</v>
      </c>
      <c r="G594" s="35" t="s">
        <v>25</v>
      </c>
      <c r="H594" s="35" t="s">
        <v>25</v>
      </c>
      <c r="I594" s="55">
        <v>44501</v>
      </c>
      <c r="J594" s="56">
        <f>EFEITO!$J$594*EFEITO!$Y$525</f>
        <v>0</v>
      </c>
      <c r="K594" s="56">
        <f ca="1">EFEITO!$L$594*EFEITO!$Z$594</f>
        <v>5985.2554747444055</v>
      </c>
      <c r="L594" s="56">
        <f>EFEITO!$N$594*EFEITO!$AA$594</f>
        <v>4262.976873974043</v>
      </c>
      <c r="M594" s="56">
        <f>$J$594-EFEITO!$K$594*EFEITO!$Y$594</f>
        <v>0</v>
      </c>
      <c r="N594" s="56">
        <f ca="1">$K$594-EFEITO!$M$594*EFEITO!$Z$594</f>
        <v>0</v>
      </c>
      <c r="O594" s="56">
        <f>$L$594-EFEITO!$O$594*EFEITO!$AA$594</f>
        <v>0</v>
      </c>
      <c r="P594" s="39"/>
      <c r="Q594" s="39"/>
      <c r="R594" s="39"/>
      <c r="S594" s="39"/>
      <c r="T594" s="39"/>
      <c r="U594" s="39"/>
      <c r="V594" s="39"/>
      <c r="W594" s="39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35" t="s">
        <v>21</v>
      </c>
      <c r="B595" s="35" t="s">
        <v>22</v>
      </c>
      <c r="C595" s="35" t="s">
        <v>23</v>
      </c>
      <c r="D595" s="35" t="s">
        <v>24</v>
      </c>
      <c r="E595" s="35" t="s">
        <v>32</v>
      </c>
      <c r="F595" s="35" t="s">
        <v>25</v>
      </c>
      <c r="G595" s="35" t="s">
        <v>25</v>
      </c>
      <c r="H595" s="35" t="s">
        <v>25</v>
      </c>
      <c r="I595" s="55">
        <v>44531</v>
      </c>
      <c r="J595" s="56">
        <f>EFEITO!$J$595*EFEITO!$Y$525</f>
        <v>0</v>
      </c>
      <c r="K595" s="56">
        <f ca="1">EFEITO!$L$595*EFEITO!$Z$594</f>
        <v>5651.7555676920574</v>
      </c>
      <c r="L595" s="56">
        <f>EFEITO!$N$595*EFEITO!$AA$594</f>
        <v>4025.4427541297496</v>
      </c>
      <c r="M595" s="56">
        <f>$J$595-EFEITO!$K$595*EFEITO!$Y$595</f>
        <v>0</v>
      </c>
      <c r="N595" s="56">
        <f ca="1">$K$595-EFEITO!$M$595*EFEITO!$Z$595</f>
        <v>0</v>
      </c>
      <c r="O595" s="56">
        <f>$L$595-EFEITO!$O$595*EFEITO!$AA$595</f>
        <v>0</v>
      </c>
      <c r="P595" s="39"/>
      <c r="Q595" s="39"/>
      <c r="R595" s="39"/>
      <c r="S595" s="39"/>
      <c r="T595" s="39"/>
      <c r="U595" s="39"/>
      <c r="V595" s="39"/>
      <c r="W595" s="39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35" t="s">
        <v>21</v>
      </c>
      <c r="B596" s="35" t="s">
        <v>22</v>
      </c>
      <c r="C596" s="35" t="s">
        <v>23</v>
      </c>
      <c r="D596" s="35" t="s">
        <v>24</v>
      </c>
      <c r="E596" s="35" t="s">
        <v>32</v>
      </c>
      <c r="F596" s="35" t="s">
        <v>25</v>
      </c>
      <c r="G596" s="35" t="s">
        <v>25</v>
      </c>
      <c r="H596" s="35" t="s">
        <v>25</v>
      </c>
      <c r="I596" s="55">
        <v>44562</v>
      </c>
      <c r="J596" s="56">
        <f>EFEITO!$J$596*EFEITO!$Y$525</f>
        <v>0</v>
      </c>
      <c r="K596" s="56">
        <f ca="1">EFEITO!$L$596*EFEITO!$Z$594</f>
        <v>6490.9267623833839</v>
      </c>
      <c r="L596" s="56">
        <f>EFEITO!$N$596*EFEITO!$AA$594</f>
        <v>4623.1394458364739</v>
      </c>
      <c r="M596" s="56">
        <f>$J$596-EFEITO!$K$596*EFEITO!$Y$596</f>
        <v>0</v>
      </c>
      <c r="N596" s="56">
        <f ca="1">$K$596-EFEITO!$M$596*EFEITO!$Z$596</f>
        <v>0</v>
      </c>
      <c r="O596" s="56">
        <f>$L$596-EFEITO!$O$596*EFEITO!$AA$596</f>
        <v>0</v>
      </c>
      <c r="P596" s="39"/>
      <c r="Q596" s="39"/>
      <c r="R596" s="39"/>
      <c r="S596" s="39"/>
      <c r="T596" s="39"/>
      <c r="U596" s="39"/>
      <c r="V596" s="39"/>
      <c r="W596" s="39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35" t="s">
        <v>21</v>
      </c>
      <c r="B597" s="35" t="s">
        <v>22</v>
      </c>
      <c r="C597" s="35" t="s">
        <v>23</v>
      </c>
      <c r="D597" s="35" t="s">
        <v>24</v>
      </c>
      <c r="E597" s="35" t="s">
        <v>32</v>
      </c>
      <c r="F597" s="35" t="s">
        <v>25</v>
      </c>
      <c r="G597" s="35" t="s">
        <v>25</v>
      </c>
      <c r="H597" s="35" t="s">
        <v>25</v>
      </c>
      <c r="I597" s="55">
        <v>44593</v>
      </c>
      <c r="J597" s="56">
        <f>EFEITO!$J$597*EFEITO!$Y$525</f>
        <v>0</v>
      </c>
      <c r="K597" s="56">
        <f ca="1">EFEITO!$L$597*EFEITO!$Z$594</f>
        <v>6775.1409688861249</v>
      </c>
      <c r="L597" s="56">
        <f>EFEITO!$N$597*EFEITO!$AA$594</f>
        <v>4825.570001171759</v>
      </c>
      <c r="M597" s="56">
        <f>$J$597-EFEITO!$K$597*EFEITO!$Y$597</f>
        <v>0</v>
      </c>
      <c r="N597" s="56">
        <f ca="1">$K$597-EFEITO!$M$597*EFEITO!$Z$597</f>
        <v>0</v>
      </c>
      <c r="O597" s="56">
        <f>$L$597-EFEITO!$O$597*EFEITO!$AA$597</f>
        <v>0</v>
      </c>
      <c r="P597" s="39"/>
      <c r="Q597" s="39"/>
      <c r="R597" s="39"/>
      <c r="S597" s="39"/>
      <c r="T597" s="39"/>
      <c r="U597" s="39"/>
      <c r="V597" s="39"/>
      <c r="W597" s="39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35" t="s">
        <v>21</v>
      </c>
      <c r="B598" s="35" t="s">
        <v>22</v>
      </c>
      <c r="C598" s="35" t="s">
        <v>23</v>
      </c>
      <c r="D598" s="35" t="s">
        <v>24</v>
      </c>
      <c r="E598" s="35" t="s">
        <v>32</v>
      </c>
      <c r="F598" s="35" t="s">
        <v>25</v>
      </c>
      <c r="G598" s="35" t="s">
        <v>25</v>
      </c>
      <c r="H598" s="35" t="s">
        <v>25</v>
      </c>
      <c r="I598" s="55">
        <v>44621</v>
      </c>
      <c r="J598" s="56">
        <f>EFEITO!$J$598*EFEITO!$Y$525</f>
        <v>0</v>
      </c>
      <c r="K598" s="56">
        <f ca="1">EFEITO!$L$598*EFEITO!$Z$594</f>
        <v>5082.9985833495803</v>
      </c>
      <c r="L598" s="56">
        <f>EFEITO!$N$598*EFEITO!$AA$594</f>
        <v>3620.3476196957863</v>
      </c>
      <c r="M598" s="56">
        <f>$J$598-EFEITO!$K$598*EFEITO!$Y$598</f>
        <v>0</v>
      </c>
      <c r="N598" s="56">
        <f ca="1">$K$598-EFEITO!$M$598*EFEITO!$Z$598</f>
        <v>0</v>
      </c>
      <c r="O598" s="56">
        <f>$L$598-EFEITO!$O$598*EFEITO!$AA$598</f>
        <v>0</v>
      </c>
      <c r="P598" s="39"/>
      <c r="Q598" s="39"/>
      <c r="R598" s="39"/>
      <c r="S598" s="39"/>
      <c r="T598" s="39"/>
      <c r="U598" s="39"/>
      <c r="V598" s="39"/>
      <c r="W598" s="39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35" t="s">
        <v>21</v>
      </c>
      <c r="B599" s="35" t="s">
        <v>22</v>
      </c>
      <c r="C599" s="35" t="s">
        <v>23</v>
      </c>
      <c r="D599" s="35" t="s">
        <v>24</v>
      </c>
      <c r="E599" s="35" t="s">
        <v>32</v>
      </c>
      <c r="F599" s="35" t="s">
        <v>25</v>
      </c>
      <c r="G599" s="35" t="s">
        <v>25</v>
      </c>
      <c r="H599" s="35" t="s">
        <v>25</v>
      </c>
      <c r="I599" s="55">
        <v>44652</v>
      </c>
      <c r="J599" s="56">
        <f>EFEITO!$J$599*EFEITO!$Y$525</f>
        <v>0</v>
      </c>
      <c r="K599" s="56">
        <f ca="1">EFEITO!$L$599*EFEITO!$Z$594</f>
        <v>12579.025065607972</v>
      </c>
      <c r="L599" s="56">
        <f>EFEITO!$N$599*EFEITO!$AA$594</f>
        <v>8959.3657577526483</v>
      </c>
      <c r="M599" s="56">
        <f>$J$599-EFEITO!$K$599*EFEITO!$Y$599</f>
        <v>0</v>
      </c>
      <c r="N599" s="56">
        <f ca="1">$K$599-EFEITO!$M$599*EFEITO!$Z$599</f>
        <v>0</v>
      </c>
      <c r="O599" s="56">
        <f>$L$599-EFEITO!$O$599*EFEITO!$AA$599</f>
        <v>0</v>
      </c>
      <c r="P599" s="39"/>
      <c r="Q599" s="39"/>
      <c r="R599" s="39"/>
      <c r="S599" s="39"/>
      <c r="T599" s="39"/>
      <c r="U599" s="39"/>
      <c r="V599" s="39"/>
      <c r="W599" s="39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35" t="s">
        <v>21</v>
      </c>
      <c r="B600" s="35" t="s">
        <v>22</v>
      </c>
      <c r="C600" s="35" t="s">
        <v>23</v>
      </c>
      <c r="D600" s="35" t="s">
        <v>24</v>
      </c>
      <c r="E600" s="35" t="s">
        <v>32</v>
      </c>
      <c r="F600" s="35" t="s">
        <v>25</v>
      </c>
      <c r="G600" s="35" t="s">
        <v>25</v>
      </c>
      <c r="H600" s="35" t="s">
        <v>25</v>
      </c>
      <c r="I600" s="55">
        <v>44682</v>
      </c>
      <c r="J600" s="56">
        <f>EFEITO!$J$600*EFEITO!$Y$525</f>
        <v>0</v>
      </c>
      <c r="K600" s="56">
        <f ca="1">EFEITO!$L$600*EFEITO!$Z$594</f>
        <v>10051.982912761066</v>
      </c>
      <c r="L600" s="56">
        <f>EFEITO!$N$600*EFEITO!$AA$594</f>
        <v>7159.4889934940657</v>
      </c>
      <c r="M600" s="56">
        <f>$J$600-EFEITO!$K$600*EFEITO!$Y$600</f>
        <v>0</v>
      </c>
      <c r="N600" s="56">
        <f ca="1">$K$600-EFEITO!$M$600*EFEITO!$Z$600</f>
        <v>0</v>
      </c>
      <c r="O600" s="56">
        <f>$L$600-EFEITO!$O$600*EFEITO!$AA$600</f>
        <v>0</v>
      </c>
      <c r="P600" s="39"/>
      <c r="Q600" s="39"/>
      <c r="R600" s="39"/>
      <c r="S600" s="39"/>
      <c r="T600" s="39"/>
      <c r="U600" s="39"/>
      <c r="V600" s="39"/>
      <c r="W600" s="39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35" t="s">
        <v>21</v>
      </c>
      <c r="B601" s="35" t="s">
        <v>22</v>
      </c>
      <c r="C601" s="35" t="s">
        <v>23</v>
      </c>
      <c r="D601" s="35" t="s">
        <v>24</v>
      </c>
      <c r="E601" s="35" t="s">
        <v>32</v>
      </c>
      <c r="F601" s="35" t="s">
        <v>25</v>
      </c>
      <c r="G601" s="35" t="s">
        <v>25</v>
      </c>
      <c r="H601" s="35" t="s">
        <v>25</v>
      </c>
      <c r="I601" s="55">
        <v>44713</v>
      </c>
      <c r="J601" s="56">
        <f>EFEITO!$J$601*EFEITO!$Y$525</f>
        <v>0</v>
      </c>
      <c r="K601" s="56">
        <f ca="1">EFEITO!$L$601*EFEITO!$Z$594</f>
        <v>4984.7557535873611</v>
      </c>
      <c r="L601" s="56">
        <f>EFEITO!$N$601*EFEITO!$AA$594</f>
        <v>3550.3745144411619</v>
      </c>
      <c r="M601" s="56">
        <f>$J$601-EFEITO!$K$601*EFEITO!$Y$601</f>
        <v>0</v>
      </c>
      <c r="N601" s="56">
        <f ca="1">$K$601-EFEITO!$M$601*EFEITO!$Z$601</f>
        <v>0</v>
      </c>
      <c r="O601" s="56">
        <f>$L$601-EFEITO!$O$601*EFEITO!$AA$601</f>
        <v>0</v>
      </c>
      <c r="P601" s="39"/>
      <c r="Q601" s="39"/>
      <c r="R601" s="39"/>
      <c r="S601" s="39"/>
      <c r="T601" s="39"/>
      <c r="U601" s="39"/>
      <c r="V601" s="39"/>
      <c r="W601" s="39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35" t="s">
        <v>21</v>
      </c>
      <c r="B602" s="35" t="s">
        <v>22</v>
      </c>
      <c r="C602" s="35" t="s">
        <v>23</v>
      </c>
      <c r="D602" s="35" t="s">
        <v>24</v>
      </c>
      <c r="E602" s="35" t="s">
        <v>32</v>
      </c>
      <c r="F602" s="35" t="s">
        <v>25</v>
      </c>
      <c r="G602" s="35" t="s">
        <v>25</v>
      </c>
      <c r="H602" s="35" t="s">
        <v>25</v>
      </c>
      <c r="I602" s="55">
        <v>44743</v>
      </c>
      <c r="J602" s="56">
        <f>EFEITO!$J$602*EFEITO!$Y$525</f>
        <v>0</v>
      </c>
      <c r="K602" s="56">
        <f ca="1">EFEITO!$L$602*EFEITO!$Z$594</f>
        <v>6686.7552792338274</v>
      </c>
      <c r="L602" s="56">
        <f>EFEITO!$N$602*EFEITO!$AA$594</f>
        <v>4762.6176088189359</v>
      </c>
      <c r="M602" s="56">
        <f>$J$602-EFEITO!$K$602*EFEITO!$Y$602</f>
        <v>0</v>
      </c>
      <c r="N602" s="56">
        <f ca="1">$K$602-EFEITO!$M$602*EFEITO!$Z$602</f>
        <v>0</v>
      </c>
      <c r="O602" s="56">
        <f>$L$602-EFEITO!$O$602*EFEITO!$AA$602</f>
        <v>0</v>
      </c>
      <c r="P602" s="39"/>
      <c r="Q602" s="39"/>
      <c r="R602" s="39"/>
      <c r="S602" s="39"/>
      <c r="T602" s="39"/>
      <c r="U602" s="39"/>
      <c r="V602" s="39"/>
      <c r="W602" s="39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35" t="s">
        <v>21</v>
      </c>
      <c r="B603" s="35" t="s">
        <v>22</v>
      </c>
      <c r="C603" s="35" t="s">
        <v>23</v>
      </c>
      <c r="D603" s="35" t="s">
        <v>24</v>
      </c>
      <c r="E603" s="35" t="s">
        <v>32</v>
      </c>
      <c r="F603" s="35" t="s">
        <v>25</v>
      </c>
      <c r="G603" s="35" t="s">
        <v>25</v>
      </c>
      <c r="H603" s="35" t="s">
        <v>25</v>
      </c>
      <c r="I603" s="55">
        <v>44774</v>
      </c>
      <c r="J603" s="56">
        <f>EFEITO!$J$603*EFEITO!$Y$525</f>
        <v>0</v>
      </c>
      <c r="K603" s="56">
        <f ca="1">EFEITO!$L$603*EFEITO!$Z$594</f>
        <v>5098.1128648514605</v>
      </c>
      <c r="L603" s="56">
        <f>EFEITO!$N$603*EFEITO!$AA$594</f>
        <v>3631.1127128118824</v>
      </c>
      <c r="M603" s="56">
        <f>$J$603-EFEITO!$K$603*EFEITO!$Y$603</f>
        <v>0</v>
      </c>
      <c r="N603" s="56">
        <f ca="1">$K$603-EFEITO!$M$603*EFEITO!$Z$603</f>
        <v>0</v>
      </c>
      <c r="O603" s="56">
        <f>$L$603-EFEITO!$O$603*EFEITO!$AA$603</f>
        <v>0</v>
      </c>
      <c r="P603" s="39"/>
      <c r="Q603" s="39"/>
      <c r="R603" s="39"/>
      <c r="S603" s="39"/>
      <c r="T603" s="39"/>
      <c r="U603" s="39"/>
      <c r="V603" s="39"/>
      <c r="W603" s="39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35" t="s">
        <v>21</v>
      </c>
      <c r="B604" s="35" t="s">
        <v>22</v>
      </c>
      <c r="C604" s="35" t="s">
        <v>23</v>
      </c>
      <c r="D604" s="35" t="s">
        <v>24</v>
      </c>
      <c r="E604" s="35" t="s">
        <v>32</v>
      </c>
      <c r="F604" s="35" t="s">
        <v>25</v>
      </c>
      <c r="G604" s="35" t="s">
        <v>25</v>
      </c>
      <c r="H604" s="35" t="s">
        <v>25</v>
      </c>
      <c r="I604" s="55">
        <v>44805</v>
      </c>
      <c r="J604" s="56">
        <f>EFEITO!$J$604*EFEITO!$Y$525</f>
        <v>0</v>
      </c>
      <c r="K604" s="56">
        <f ca="1">EFEITO!$L$604*EFEITO!$Z$594</f>
        <v>11984.6395169797</v>
      </c>
      <c r="L604" s="56">
        <f>EFEITO!$N$604*EFEITO!$AA$594</f>
        <v>8536.0167697740017</v>
      </c>
      <c r="M604" s="56">
        <f>$J$604-EFEITO!$K$604*EFEITO!$Y$604</f>
        <v>0</v>
      </c>
      <c r="N604" s="56">
        <f ca="1">$K$604-EFEITO!$M$604*EFEITO!$Z$604</f>
        <v>0</v>
      </c>
      <c r="O604" s="56">
        <f>$L$604-EFEITO!$O$604*EFEITO!$AA$604</f>
        <v>0</v>
      </c>
      <c r="P604" s="39"/>
      <c r="Q604" s="39"/>
      <c r="R604" s="39"/>
      <c r="S604" s="39"/>
      <c r="T604" s="39"/>
      <c r="U604" s="39"/>
      <c r="V604" s="39"/>
      <c r="W604" s="39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35" t="s">
        <v>57</v>
      </c>
      <c r="B605" s="35" t="s">
        <v>22</v>
      </c>
      <c r="C605" s="35" t="s">
        <v>23</v>
      </c>
      <c r="D605" s="35" t="s">
        <v>24</v>
      </c>
      <c r="E605" s="35" t="s">
        <v>32</v>
      </c>
      <c r="F605" s="35" t="s">
        <v>25</v>
      </c>
      <c r="G605" s="35" t="s">
        <v>25</v>
      </c>
      <c r="H605" s="35" t="s">
        <v>25</v>
      </c>
      <c r="I605" s="55">
        <v>44835</v>
      </c>
      <c r="J605" s="56">
        <f>EFEITO!$J$605*EFEITO!$Y$525</f>
        <v>0</v>
      </c>
      <c r="K605" s="56">
        <f ca="1">EFEITO!$L$605*EFEITO!$Z$594</f>
        <v>11984.6395169797</v>
      </c>
      <c r="L605" s="56">
        <f>EFEITO!$N$605*EFEITO!$AA$594</f>
        <v>8536.0167697740017</v>
      </c>
      <c r="M605" s="56">
        <f>$J$605-EFEITO!$K$605*EFEITO!$Y$605</f>
        <v>0</v>
      </c>
      <c r="N605" s="56">
        <f ca="1">$K$605-EFEITO!$M$605*EFEITO!$Z$605</f>
        <v>0</v>
      </c>
      <c r="O605" s="56">
        <f>$L$605-EFEITO!$O$605*EFEITO!$AA$605</f>
        <v>0</v>
      </c>
      <c r="P605" s="39"/>
      <c r="Q605" s="39"/>
      <c r="R605" s="39"/>
      <c r="S605" s="39"/>
      <c r="T605" s="39"/>
      <c r="U605" s="39"/>
      <c r="V605" s="39"/>
      <c r="W605" s="39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35" t="s">
        <v>21</v>
      </c>
      <c r="B606" s="35" t="s">
        <v>43</v>
      </c>
      <c r="C606" s="35" t="s">
        <v>23</v>
      </c>
      <c r="D606" s="35" t="s">
        <v>44</v>
      </c>
      <c r="E606" s="35" t="s">
        <v>53</v>
      </c>
      <c r="F606" s="35" t="s">
        <v>54</v>
      </c>
      <c r="G606" s="35" t="s">
        <v>25</v>
      </c>
      <c r="H606" s="35" t="s">
        <v>25</v>
      </c>
      <c r="I606" s="55">
        <v>44501</v>
      </c>
      <c r="J606" s="56">
        <f>EFEITO!$J$606*EFEITO!$Y$525</f>
        <v>0</v>
      </c>
      <c r="K606" s="56">
        <f ca="1">EFEITO!$L$606*EFEITO!$Z$525</f>
        <v>9974.9378559171182</v>
      </c>
      <c r="L606" s="56">
        <f>EFEITO!$N$606*EFEITO!$AA$525</f>
        <v>4842.4197121360839</v>
      </c>
      <c r="M606" s="56">
        <f>$J$606-EFEITO!$K$606*EFEITO!$Y$606</f>
        <v>0</v>
      </c>
      <c r="N606" s="56">
        <f ca="1">$K$606-EFEITO!$M$606*EFEITO!$Z$606</f>
        <v>598.49627135502851</v>
      </c>
      <c r="O606" s="56">
        <f>$L$606-EFEITO!$O$606*EFEITO!$AA$606</f>
        <v>290.54518272816586</v>
      </c>
      <c r="P606" s="39"/>
      <c r="Q606" s="39"/>
      <c r="R606" s="39"/>
      <c r="S606" s="39"/>
      <c r="T606" s="39"/>
      <c r="U606" s="39"/>
      <c r="V606" s="39"/>
      <c r="W606" s="39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35" t="s">
        <v>21</v>
      </c>
      <c r="B607" s="35" t="s">
        <v>43</v>
      </c>
      <c r="C607" s="35" t="s">
        <v>23</v>
      </c>
      <c r="D607" s="35" t="s">
        <v>44</v>
      </c>
      <c r="E607" s="35" t="s">
        <v>53</v>
      </c>
      <c r="F607" s="35" t="s">
        <v>54</v>
      </c>
      <c r="G607" s="35" t="s">
        <v>25</v>
      </c>
      <c r="H607" s="35" t="s">
        <v>25</v>
      </c>
      <c r="I607" s="55">
        <v>44531</v>
      </c>
      <c r="J607" s="56">
        <f>EFEITO!$J$607*EFEITO!$Y$525</f>
        <v>0</v>
      </c>
      <c r="K607" s="56">
        <f ca="1">EFEITO!$L$607*EFEITO!$Z$525</f>
        <v>3052.9326039784992</v>
      </c>
      <c r="L607" s="56">
        <f>EFEITO!$N$607*EFEITO!$AA$525</f>
        <v>1482.0724935703565</v>
      </c>
      <c r="M607" s="56">
        <f>$J$607-EFEITO!$K$607*EFEITO!$Y$607</f>
        <v>0</v>
      </c>
      <c r="N607" s="56">
        <f ca="1">$K$607-EFEITO!$M$607*EFEITO!$Z$607</f>
        <v>183.17595623871011</v>
      </c>
      <c r="O607" s="56">
        <f>$L$607-EFEITO!$O$607*EFEITO!$AA$607</f>
        <v>88.924349614221455</v>
      </c>
      <c r="P607" s="39"/>
      <c r="Q607" s="39"/>
      <c r="R607" s="39"/>
      <c r="S607" s="39"/>
      <c r="T607" s="39"/>
      <c r="U607" s="39"/>
      <c r="V607" s="39"/>
      <c r="W607" s="39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35" t="s">
        <v>21</v>
      </c>
      <c r="B608" s="35" t="s">
        <v>43</v>
      </c>
      <c r="C608" s="35" t="s">
        <v>23</v>
      </c>
      <c r="D608" s="35" t="s">
        <v>44</v>
      </c>
      <c r="E608" s="35" t="s">
        <v>53</v>
      </c>
      <c r="F608" s="35" t="s">
        <v>54</v>
      </c>
      <c r="G608" s="35" t="s">
        <v>25</v>
      </c>
      <c r="H608" s="35" t="s">
        <v>25</v>
      </c>
      <c r="I608" s="55">
        <v>44562</v>
      </c>
      <c r="J608" s="56">
        <f>EFEITO!$J$608*EFEITO!$Y$525</f>
        <v>0</v>
      </c>
      <c r="K608" s="56">
        <f ca="1">EFEITO!$L$608*EFEITO!$Z$525</f>
        <v>1551.7748384978349</v>
      </c>
      <c r="L608" s="56">
        <f>EFEITO!$N$608*EFEITO!$AA$525</f>
        <v>753.32249436333132</v>
      </c>
      <c r="M608" s="56">
        <f>$J$608-EFEITO!$K$608*EFEITO!$Y$608</f>
        <v>0</v>
      </c>
      <c r="N608" s="56">
        <f ca="1">$K$608-EFEITO!$M$608*EFEITO!$Z$608</f>
        <v>93.106490309870196</v>
      </c>
      <c r="O608" s="56">
        <f>$L$608-EFEITO!$O$608*EFEITO!$AA$608</f>
        <v>45.199349661799829</v>
      </c>
      <c r="P608" s="39"/>
      <c r="Q608" s="39"/>
      <c r="R608" s="39"/>
      <c r="S608" s="39"/>
      <c r="T608" s="39"/>
      <c r="U608" s="39"/>
      <c r="V608" s="39"/>
      <c r="W608" s="39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35" t="s">
        <v>21</v>
      </c>
      <c r="B609" s="35" t="s">
        <v>43</v>
      </c>
      <c r="C609" s="35" t="s">
        <v>23</v>
      </c>
      <c r="D609" s="35" t="s">
        <v>44</v>
      </c>
      <c r="E609" s="35" t="s">
        <v>53</v>
      </c>
      <c r="F609" s="35" t="s">
        <v>54</v>
      </c>
      <c r="G609" s="35" t="s">
        <v>25</v>
      </c>
      <c r="H609" s="35" t="s">
        <v>25</v>
      </c>
      <c r="I609" s="55">
        <v>44593</v>
      </c>
      <c r="J609" s="56">
        <f>EFEITO!$J$609*EFEITO!$Y$525</f>
        <v>0</v>
      </c>
      <c r="K609" s="56">
        <f ca="1">EFEITO!$L$609*EFEITO!$Z$525</f>
        <v>3476.6698152365284</v>
      </c>
      <c r="L609" s="56">
        <f>EFEITO!$N$609*EFEITO!$AA$525</f>
        <v>1687.7793815931486</v>
      </c>
      <c r="M609" s="56">
        <f>$J$609-EFEITO!$K$609*EFEITO!$Y$609</f>
        <v>0</v>
      </c>
      <c r="N609" s="56">
        <f ca="1">$K$609-EFEITO!$M$609*EFEITO!$Z$609</f>
        <v>208.60018891419168</v>
      </c>
      <c r="O609" s="56">
        <f>$L$609-EFEITO!$O$609*EFEITO!$AA$609</f>
        <v>101.26676289558895</v>
      </c>
      <c r="P609" s="39"/>
      <c r="Q609" s="39"/>
      <c r="R609" s="39"/>
      <c r="S609" s="39"/>
      <c r="T609" s="39"/>
      <c r="U609" s="39"/>
      <c r="V609" s="39"/>
      <c r="W609" s="39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35" t="s">
        <v>21</v>
      </c>
      <c r="B610" s="35" t="s">
        <v>43</v>
      </c>
      <c r="C610" s="35" t="s">
        <v>23</v>
      </c>
      <c r="D610" s="35" t="s">
        <v>44</v>
      </c>
      <c r="E610" s="35" t="s">
        <v>53</v>
      </c>
      <c r="F610" s="35" t="s">
        <v>54</v>
      </c>
      <c r="G610" s="35" t="s">
        <v>25</v>
      </c>
      <c r="H610" s="35" t="s">
        <v>25</v>
      </c>
      <c r="I610" s="55">
        <v>44621</v>
      </c>
      <c r="J610" s="56">
        <f>EFEITO!$J$610*EFEITO!$Y$525</f>
        <v>0</v>
      </c>
      <c r="K610" s="56">
        <f ca="1">EFEITO!$L$610*EFEITO!$Z$525</f>
        <v>7973.8762359716338</v>
      </c>
      <c r="L610" s="56">
        <f>EFEITO!$N$610*EFEITO!$AA$525</f>
        <v>3870.9870702901103</v>
      </c>
      <c r="M610" s="56">
        <f>$J$610-EFEITO!$K$610*EFEITO!$Y$610</f>
        <v>0</v>
      </c>
      <c r="N610" s="56">
        <f ca="1">$K$610-EFEITO!$M$610*EFEITO!$Z$610</f>
        <v>478.43257415829885</v>
      </c>
      <c r="O610" s="56">
        <f>$L$610-EFEITO!$O$610*EFEITO!$AA$610</f>
        <v>232.25922421740688</v>
      </c>
      <c r="P610" s="39"/>
      <c r="Q610" s="39"/>
      <c r="R610" s="39"/>
      <c r="S610" s="39"/>
      <c r="T610" s="39"/>
      <c r="U610" s="39"/>
      <c r="V610" s="39"/>
      <c r="W610" s="39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35" t="s">
        <v>21</v>
      </c>
      <c r="B611" s="35" t="s">
        <v>43</v>
      </c>
      <c r="C611" s="35" t="s">
        <v>23</v>
      </c>
      <c r="D611" s="35" t="s">
        <v>44</v>
      </c>
      <c r="E611" s="35" t="s">
        <v>53</v>
      </c>
      <c r="F611" s="35" t="s">
        <v>54</v>
      </c>
      <c r="G611" s="35" t="s">
        <v>25</v>
      </c>
      <c r="H611" s="35" t="s">
        <v>25</v>
      </c>
      <c r="I611" s="55">
        <v>44652</v>
      </c>
      <c r="J611" s="56">
        <f>EFEITO!$J$611*EFEITO!$Y$525</f>
        <v>0</v>
      </c>
      <c r="K611" s="56">
        <f ca="1">EFEITO!$L$611*EFEITO!$Z$525</f>
        <v>38074.644390877911</v>
      </c>
      <c r="L611" s="56">
        <f>EFEITO!$N$611*EFEITO!$AA$525</f>
        <v>18483.66488033695</v>
      </c>
      <c r="M611" s="56">
        <f>$J$611-EFEITO!$K$611*EFEITO!$Y$611</f>
        <v>0</v>
      </c>
      <c r="N611" s="56">
        <f ca="1">$K$611-EFEITO!$M$611*EFEITO!$Z$611</f>
        <v>2284.4786634526754</v>
      </c>
      <c r="O611" s="56">
        <f>$L$611-EFEITO!$O$611*EFEITO!$AA$611</f>
        <v>1109.019892820219</v>
      </c>
      <c r="P611" s="39"/>
      <c r="Q611" s="39"/>
      <c r="R611" s="39"/>
      <c r="S611" s="39"/>
      <c r="T611" s="39"/>
      <c r="U611" s="39"/>
      <c r="V611" s="39"/>
      <c r="W611" s="39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35" t="s">
        <v>21</v>
      </c>
      <c r="B612" s="35" t="s">
        <v>43</v>
      </c>
      <c r="C612" s="35" t="s">
        <v>23</v>
      </c>
      <c r="D612" s="35" t="s">
        <v>44</v>
      </c>
      <c r="E612" s="35" t="s">
        <v>53</v>
      </c>
      <c r="F612" s="35" t="s">
        <v>54</v>
      </c>
      <c r="G612" s="35" t="s">
        <v>25</v>
      </c>
      <c r="H612" s="35" t="s">
        <v>25</v>
      </c>
      <c r="I612" s="55">
        <v>44682</v>
      </c>
      <c r="J612" s="56">
        <f>EFEITO!$J$612*EFEITO!$Y$525</f>
        <v>0</v>
      </c>
      <c r="K612" s="56">
        <f ca="1">EFEITO!$L$612*EFEITO!$Z$525</f>
        <v>51743.664442324363</v>
      </c>
      <c r="L612" s="56">
        <f>EFEITO!$N$612*EFEITO!$AA$525</f>
        <v>25119.408691356603</v>
      </c>
      <c r="M612" s="56">
        <f>$J$612-EFEITO!$K$612*EFEITO!$Y$612</f>
        <v>0</v>
      </c>
      <c r="N612" s="56">
        <f ca="1">$K$612-EFEITO!$M$612*EFEITO!$Z$612</f>
        <v>3104.6198665394695</v>
      </c>
      <c r="O612" s="56">
        <f>$L$612-EFEITO!$O$612*EFEITO!$AA$612</f>
        <v>1507.164521481398</v>
      </c>
      <c r="P612" s="39"/>
      <c r="Q612" s="39"/>
      <c r="R612" s="39"/>
      <c r="S612" s="39"/>
      <c r="T612" s="39"/>
      <c r="U612" s="39"/>
      <c r="V612" s="39"/>
      <c r="W612" s="39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35" t="s">
        <v>21</v>
      </c>
      <c r="B613" s="35" t="s">
        <v>43</v>
      </c>
      <c r="C613" s="35" t="s">
        <v>23</v>
      </c>
      <c r="D613" s="35" t="s">
        <v>44</v>
      </c>
      <c r="E613" s="35" t="s">
        <v>53</v>
      </c>
      <c r="F613" s="35" t="s">
        <v>54</v>
      </c>
      <c r="G613" s="35" t="s">
        <v>25</v>
      </c>
      <c r="H613" s="35" t="s">
        <v>25</v>
      </c>
      <c r="I613" s="55">
        <v>44713</v>
      </c>
      <c r="J613" s="56">
        <f>EFEITO!$J$613*EFEITO!$Y$525</f>
        <v>0</v>
      </c>
      <c r="K613" s="56">
        <f ca="1">EFEITO!$L$613*EFEITO!$Z$525</f>
        <v>48743.277180811303</v>
      </c>
      <c r="L613" s="56">
        <f>EFEITO!$N$613*EFEITO!$AA$525</f>
        <v>23662.844787996124</v>
      </c>
      <c r="M613" s="56">
        <f>$J$613-EFEITO!$K$613*EFEITO!$Y$613</f>
        <v>0</v>
      </c>
      <c r="N613" s="56">
        <f ca="1">$K$613-EFEITO!$M$613*EFEITO!$Z$613</f>
        <v>2924.5966308486823</v>
      </c>
      <c r="O613" s="56">
        <f>$L$613-EFEITO!$O$613*EFEITO!$AA$613</f>
        <v>1419.770687279768</v>
      </c>
      <c r="P613" s="39"/>
      <c r="Q613" s="39"/>
      <c r="R613" s="39"/>
      <c r="S613" s="39"/>
      <c r="T613" s="39"/>
      <c r="U613" s="39"/>
      <c r="V613" s="39"/>
      <c r="W613" s="39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35" t="s">
        <v>21</v>
      </c>
      <c r="B614" s="35" t="s">
        <v>43</v>
      </c>
      <c r="C614" s="35" t="s">
        <v>23</v>
      </c>
      <c r="D614" s="35" t="s">
        <v>44</v>
      </c>
      <c r="E614" s="35" t="s">
        <v>53</v>
      </c>
      <c r="F614" s="35" t="s">
        <v>54</v>
      </c>
      <c r="G614" s="35" t="s">
        <v>25</v>
      </c>
      <c r="H614" s="35" t="s">
        <v>25</v>
      </c>
      <c r="I614" s="55">
        <v>44743</v>
      </c>
      <c r="J614" s="56">
        <f>EFEITO!$J$614*EFEITO!$Y$525</f>
        <v>0</v>
      </c>
      <c r="K614" s="56">
        <f ca="1">EFEITO!$L$614*EFEITO!$Z$525</f>
        <v>49826.964610740826</v>
      </c>
      <c r="L614" s="56">
        <f>EFEITO!$N$614*EFEITO!$AA$525</f>
        <v>24188.930208104473</v>
      </c>
      <c r="M614" s="56">
        <f>$J$614-EFEITO!$K$614*EFEITO!$Y$614</f>
        <v>0</v>
      </c>
      <c r="N614" s="56">
        <f ca="1">$K$614-EFEITO!$M$614*EFEITO!$Z$614</f>
        <v>2989.61787664445</v>
      </c>
      <c r="O614" s="56">
        <f>$L$614-EFEITO!$O$614*EFEITO!$AA$614</f>
        <v>1451.3358124862716</v>
      </c>
      <c r="P614" s="39"/>
      <c r="Q614" s="39"/>
      <c r="R614" s="39"/>
      <c r="S614" s="39"/>
      <c r="T614" s="39"/>
      <c r="U614" s="39"/>
      <c r="V614" s="39"/>
      <c r="W614" s="39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35" t="s">
        <v>21</v>
      </c>
      <c r="B615" s="35" t="s">
        <v>43</v>
      </c>
      <c r="C615" s="35" t="s">
        <v>23</v>
      </c>
      <c r="D615" s="35" t="s">
        <v>44</v>
      </c>
      <c r="E615" s="35" t="s">
        <v>53</v>
      </c>
      <c r="F615" s="35" t="s">
        <v>54</v>
      </c>
      <c r="G615" s="35" t="s">
        <v>25</v>
      </c>
      <c r="H615" s="35" t="s">
        <v>25</v>
      </c>
      <c r="I615" s="55">
        <v>44774</v>
      </c>
      <c r="J615" s="56">
        <f>EFEITO!$J$615*EFEITO!$Y$525</f>
        <v>0</v>
      </c>
      <c r="K615" s="56">
        <f ca="1">EFEITO!$L$615*EFEITO!$Z$525</f>
        <v>49841.908698964944</v>
      </c>
      <c r="L615" s="56">
        <f>EFEITO!$N$615*EFEITO!$AA$525</f>
        <v>24196.184944769666</v>
      </c>
      <c r="M615" s="56">
        <f>$J$615-EFEITO!$K$615*EFEITO!$Y$615</f>
        <v>0</v>
      </c>
      <c r="N615" s="56">
        <f ca="1">$K$615-EFEITO!$M$615*EFEITO!$Z$615</f>
        <v>2990.5145219379046</v>
      </c>
      <c r="O615" s="56">
        <f>$L$615-EFEITO!$O$615*EFEITO!$AA$615</f>
        <v>1451.7710966861814</v>
      </c>
      <c r="P615" s="39"/>
      <c r="Q615" s="39"/>
      <c r="R615" s="39"/>
      <c r="S615" s="39"/>
      <c r="T615" s="39"/>
      <c r="U615" s="39"/>
      <c r="V615" s="39"/>
      <c r="W615" s="39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35" t="s">
        <v>28</v>
      </c>
      <c r="B616" s="35" t="s">
        <v>43</v>
      </c>
      <c r="C616" s="35" t="s">
        <v>23</v>
      </c>
      <c r="D616" s="35" t="s">
        <v>44</v>
      </c>
      <c r="E616" s="35" t="s">
        <v>53</v>
      </c>
      <c r="F616" s="35" t="s">
        <v>54</v>
      </c>
      <c r="G616" s="35" t="s">
        <v>25</v>
      </c>
      <c r="H616" s="35" t="s">
        <v>25</v>
      </c>
      <c r="I616" s="55">
        <v>44774</v>
      </c>
      <c r="J616" s="56">
        <f>EFEITO!$J$616*EFEITO!$Y$525</f>
        <v>0</v>
      </c>
      <c r="K616" s="56">
        <f ca="1">EFEITO!$L$616*EFEITO!$Z$525</f>
        <v>13092.949553774837</v>
      </c>
      <c r="L616" s="56">
        <f>EFEITO!$N$616*EFEITO!$AA$525</f>
        <v>6356.0854137645483</v>
      </c>
      <c r="M616" s="56">
        <f>$J$616-EFEITO!$K$616*EFEITO!$Y$616</f>
        <v>0</v>
      </c>
      <c r="N616" s="56">
        <f ca="1">$K$616-EFEITO!$M$616*EFEITO!$Z$616</f>
        <v>785.57697322649256</v>
      </c>
      <c r="O616" s="56">
        <f>$L$616-EFEITO!$O$616*EFEITO!$AA$616</f>
        <v>381.36512482587295</v>
      </c>
      <c r="P616" s="39"/>
      <c r="Q616" s="39"/>
      <c r="R616" s="39"/>
      <c r="S616" s="39"/>
      <c r="T616" s="39"/>
      <c r="U616" s="39"/>
      <c r="V616" s="39"/>
      <c r="W616" s="39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35" t="s">
        <v>21</v>
      </c>
      <c r="B617" s="35" t="s">
        <v>43</v>
      </c>
      <c r="C617" s="35" t="s">
        <v>23</v>
      </c>
      <c r="D617" s="35" t="s">
        <v>44</v>
      </c>
      <c r="E617" s="35" t="s">
        <v>53</v>
      </c>
      <c r="F617" s="35" t="s">
        <v>54</v>
      </c>
      <c r="G617" s="35" t="s">
        <v>25</v>
      </c>
      <c r="H617" s="35" t="s">
        <v>25</v>
      </c>
      <c r="I617" s="55">
        <v>44805</v>
      </c>
      <c r="J617" s="56">
        <f>EFEITO!$J$617*EFEITO!$Y$525</f>
        <v>0</v>
      </c>
      <c r="K617" s="56">
        <f ca="1">EFEITO!$L$617*EFEITO!$Z$525</f>
        <v>62823.982759464074</v>
      </c>
      <c r="L617" s="56">
        <f>EFEITO!$N$617*EFEITO!$AA$525</f>
        <v>30498.444892953736</v>
      </c>
      <c r="M617" s="56">
        <f>$J$617-EFEITO!$K$617*EFEITO!$Y$617</f>
        <v>0</v>
      </c>
      <c r="N617" s="56">
        <f ca="1">$K$617-EFEITO!$M$617*EFEITO!$Z$617</f>
        <v>3769.438965567846</v>
      </c>
      <c r="O617" s="56">
        <f>$L$617-EFEITO!$O$617*EFEITO!$AA$617</f>
        <v>1829.9066935772244</v>
      </c>
      <c r="P617" s="39"/>
      <c r="Q617" s="39"/>
      <c r="R617" s="39"/>
      <c r="S617" s="39"/>
      <c r="T617" s="39"/>
      <c r="U617" s="39"/>
      <c r="V617" s="39"/>
      <c r="W617" s="39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35" t="s">
        <v>28</v>
      </c>
      <c r="B618" s="35" t="s">
        <v>43</v>
      </c>
      <c r="C618" s="35" t="s">
        <v>23</v>
      </c>
      <c r="D618" s="35" t="s">
        <v>44</v>
      </c>
      <c r="E618" s="35" t="s">
        <v>53</v>
      </c>
      <c r="F618" s="35" t="s">
        <v>54</v>
      </c>
      <c r="G618" s="35" t="s">
        <v>25</v>
      </c>
      <c r="H618" s="35" t="s">
        <v>25</v>
      </c>
      <c r="I618" s="55">
        <v>44805</v>
      </c>
      <c r="J618" s="56">
        <f>EFEITO!$J$618*EFEITO!$Y$525</f>
        <v>0</v>
      </c>
      <c r="K618" s="56">
        <f ca="1">EFEITO!$L$618*EFEITO!$Z$525</f>
        <v>3760.1254241326847</v>
      </c>
      <c r="L618" s="56">
        <f>EFEITO!$N$618*EFEITO!$AA$525</f>
        <v>1825.3853544684637</v>
      </c>
      <c r="M618" s="56">
        <f>$J$618-EFEITO!$K$618*EFEITO!$Y$618</f>
        <v>0</v>
      </c>
      <c r="N618" s="56">
        <f ca="1">$K$618-EFEITO!$M$618*EFEITO!$Z$618</f>
        <v>225.60752544796105</v>
      </c>
      <c r="O618" s="56">
        <f>$L$618-EFEITO!$O$618*EFEITO!$AA$618</f>
        <v>109.52312126810784</v>
      </c>
      <c r="P618" s="39"/>
      <c r="Q618" s="39"/>
      <c r="R618" s="39"/>
      <c r="S618" s="39"/>
      <c r="T618" s="39"/>
      <c r="U618" s="39"/>
      <c r="V618" s="39"/>
      <c r="W618" s="39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35" t="s">
        <v>57</v>
      </c>
      <c r="B619" s="35" t="s">
        <v>43</v>
      </c>
      <c r="C619" s="35" t="s">
        <v>23</v>
      </c>
      <c r="D619" s="35" t="s">
        <v>44</v>
      </c>
      <c r="E619" s="35" t="s">
        <v>53</v>
      </c>
      <c r="F619" s="35" t="s">
        <v>54</v>
      </c>
      <c r="G619" s="35" t="s">
        <v>25</v>
      </c>
      <c r="H619" s="35" t="s">
        <v>25</v>
      </c>
      <c r="I619" s="55">
        <v>44835</v>
      </c>
      <c r="J619" s="56">
        <f>EFEITO!$J$619*EFEITO!$Y$525</f>
        <v>0</v>
      </c>
      <c r="K619" s="56">
        <f ca="1">EFEITO!$L$619*EFEITO!$Z$525</f>
        <v>62823.982759464074</v>
      </c>
      <c r="L619" s="56">
        <f>EFEITO!$N$619*EFEITO!$AA$525</f>
        <v>30498.444892953736</v>
      </c>
      <c r="M619" s="56">
        <f>$J$619-EFEITO!$K$619*EFEITO!$Y$619</f>
        <v>0</v>
      </c>
      <c r="N619" s="56">
        <f ca="1">$K$619-EFEITO!$M$619*EFEITO!$Z$619</f>
        <v>3769.438965567846</v>
      </c>
      <c r="O619" s="56">
        <f>$L$619-EFEITO!$O$619*EFEITO!$AA$619</f>
        <v>1829.9066935772244</v>
      </c>
      <c r="P619" s="39"/>
      <c r="Q619" s="39"/>
      <c r="R619" s="39"/>
      <c r="S619" s="39"/>
      <c r="T619" s="39"/>
      <c r="U619" s="39"/>
      <c r="V619" s="39"/>
      <c r="W619" s="39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35" t="s">
        <v>57</v>
      </c>
      <c r="B620" s="35" t="s">
        <v>43</v>
      </c>
      <c r="C620" s="35" t="s">
        <v>23</v>
      </c>
      <c r="D620" s="35" t="s">
        <v>44</v>
      </c>
      <c r="E620" s="35" t="s">
        <v>53</v>
      </c>
      <c r="F620" s="35" t="s">
        <v>54</v>
      </c>
      <c r="G620" s="35" t="s">
        <v>25</v>
      </c>
      <c r="H620" s="35" t="s">
        <v>25</v>
      </c>
      <c r="I620" s="55">
        <v>44835</v>
      </c>
      <c r="J620" s="56">
        <f>EFEITO!$J$620*EFEITO!$Y$525</f>
        <v>0</v>
      </c>
      <c r="K620" s="56">
        <f ca="1">EFEITO!$L$620*EFEITO!$Z$525</f>
        <v>3760.1254241326847</v>
      </c>
      <c r="L620" s="56">
        <f>EFEITO!$N$620*EFEITO!$AA$525</f>
        <v>1825.3853544684637</v>
      </c>
      <c r="M620" s="56">
        <f>$J$620-EFEITO!$K$620*EFEITO!$Y$620</f>
        <v>0</v>
      </c>
      <c r="N620" s="56">
        <f ca="1">$K$620-EFEITO!$M$620*EFEITO!$Z$620</f>
        <v>225.60752544796105</v>
      </c>
      <c r="O620" s="56">
        <f>$L$620-EFEITO!$O$620*EFEITO!$AA$620</f>
        <v>109.52312126810784</v>
      </c>
      <c r="P620" s="39"/>
      <c r="Q620" s="39"/>
      <c r="R620" s="39"/>
      <c r="S620" s="39"/>
      <c r="T620" s="39"/>
      <c r="U620" s="39"/>
      <c r="V620" s="39"/>
      <c r="W620" s="39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35" t="s">
        <v>21</v>
      </c>
      <c r="B621" s="35" t="s">
        <v>43</v>
      </c>
      <c r="C621" s="35" t="s">
        <v>23</v>
      </c>
      <c r="D621" s="35" t="s">
        <v>44</v>
      </c>
      <c r="E621" s="35" t="s">
        <v>53</v>
      </c>
      <c r="F621" s="35" t="s">
        <v>55</v>
      </c>
      <c r="G621" s="35" t="s">
        <v>25</v>
      </c>
      <c r="H621" s="35" t="s">
        <v>25</v>
      </c>
      <c r="I621" s="55">
        <v>44501</v>
      </c>
      <c r="J621" s="56">
        <f>EFEITO!$J$621*EFEITO!$Y$525</f>
        <v>0</v>
      </c>
      <c r="K621" s="56">
        <f ca="1">EFEITO!$L$621*EFEITO!$Z$525</f>
        <v>8662.7504963672236</v>
      </c>
      <c r="L621" s="56">
        <f>EFEITO!$N$621*EFEITO!$AA$525</f>
        <v>4205.4070281792683</v>
      </c>
      <c r="M621" s="56">
        <f>$J$621-EFEITO!$K$621*EFEITO!$Y$621</f>
        <v>0</v>
      </c>
      <c r="N621" s="56">
        <f ca="1">$K$621-EFEITO!$M$621*EFEITO!$Z$621</f>
        <v>5975.5652923941107</v>
      </c>
      <c r="O621" s="56">
        <f>$L$621-EFEITO!$O$621*EFEITO!$AA$621</f>
        <v>2900.8897680380592</v>
      </c>
      <c r="P621" s="39"/>
      <c r="Q621" s="39"/>
      <c r="R621" s="39"/>
      <c r="S621" s="39"/>
      <c r="T621" s="39"/>
      <c r="U621" s="39"/>
      <c r="V621" s="39"/>
      <c r="W621" s="39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35" t="s">
        <v>21</v>
      </c>
      <c r="B622" s="35" t="s">
        <v>43</v>
      </c>
      <c r="C622" s="35" t="s">
        <v>23</v>
      </c>
      <c r="D622" s="35" t="s">
        <v>44</v>
      </c>
      <c r="E622" s="35" t="s">
        <v>53</v>
      </c>
      <c r="F622" s="35" t="s">
        <v>55</v>
      </c>
      <c r="G622" s="35" t="s">
        <v>25</v>
      </c>
      <c r="H622" s="35" t="s">
        <v>25</v>
      </c>
      <c r="I622" s="55">
        <v>44531</v>
      </c>
      <c r="J622" s="56">
        <f>EFEITO!$J$622*EFEITO!$Y$525</f>
        <v>0</v>
      </c>
      <c r="K622" s="56">
        <f ca="1">EFEITO!$L$622*EFEITO!$Z$525</f>
        <v>3076.5539047198454</v>
      </c>
      <c r="L622" s="56">
        <f>EFEITO!$N$622*EFEITO!$AA$525</f>
        <v>1493.5396579766327</v>
      </c>
      <c r="M622" s="56">
        <f>$J$622-EFEITO!$K$622*EFEITO!$Y$622</f>
        <v>0</v>
      </c>
      <c r="N622" s="56">
        <f ca="1">$K$622-EFEITO!$M$622*EFEITO!$Z$622</f>
        <v>2122.2068834757492</v>
      </c>
      <c r="O622" s="56">
        <f>$L$622-EFEITO!$O$622*EFEITO!$AA$622</f>
        <v>1030.2436560722813</v>
      </c>
      <c r="P622" s="39"/>
      <c r="Q622" s="39"/>
      <c r="R622" s="39"/>
      <c r="S622" s="39"/>
      <c r="T622" s="39"/>
      <c r="U622" s="39"/>
      <c r="V622" s="39"/>
      <c r="W622" s="39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35" t="s">
        <v>21</v>
      </c>
      <c r="B623" s="35" t="s">
        <v>43</v>
      </c>
      <c r="C623" s="35" t="s">
        <v>23</v>
      </c>
      <c r="D623" s="35" t="s">
        <v>44</v>
      </c>
      <c r="E623" s="35" t="s">
        <v>53</v>
      </c>
      <c r="F623" s="35" t="s">
        <v>55</v>
      </c>
      <c r="G623" s="35" t="s">
        <v>25</v>
      </c>
      <c r="H623" s="35" t="s">
        <v>25</v>
      </c>
      <c r="I623" s="55">
        <v>44562</v>
      </c>
      <c r="J623" s="56">
        <f>EFEITO!$J$623*EFEITO!$Y$525</f>
        <v>0</v>
      </c>
      <c r="K623" s="56">
        <f ca="1">EFEITO!$L$623*EFEITO!$Z$525</f>
        <v>267.06531858583429</v>
      </c>
      <c r="L623" s="56">
        <f>EFEITO!$N$623*EFEITO!$AA$525</f>
        <v>129.64916491993961</v>
      </c>
      <c r="M623" s="56">
        <f>$J$623-EFEITO!$K$623*EFEITO!$Y$623</f>
        <v>0</v>
      </c>
      <c r="N623" s="56">
        <f ca="1">$K$623-EFEITO!$M$623*EFEITO!$Z$623</f>
        <v>184.22165676050849</v>
      </c>
      <c r="O623" s="56">
        <f>$L$623-EFEITO!$O$623*EFEITO!$AA$623</f>
        <v>89.431993961774339</v>
      </c>
      <c r="P623" s="39"/>
      <c r="Q623" s="39"/>
      <c r="R623" s="39"/>
      <c r="S623" s="39"/>
      <c r="T623" s="39"/>
      <c r="U623" s="39"/>
      <c r="V623" s="39"/>
      <c r="W623" s="39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35" t="s">
        <v>21</v>
      </c>
      <c r="B624" s="35" t="s">
        <v>43</v>
      </c>
      <c r="C624" s="35" t="s">
        <v>23</v>
      </c>
      <c r="D624" s="35" t="s">
        <v>44</v>
      </c>
      <c r="E624" s="35" t="s">
        <v>53</v>
      </c>
      <c r="F624" s="35" t="s">
        <v>55</v>
      </c>
      <c r="G624" s="35" t="s">
        <v>25</v>
      </c>
      <c r="H624" s="35" t="s">
        <v>25</v>
      </c>
      <c r="I624" s="55">
        <v>44593</v>
      </c>
      <c r="J624" s="56">
        <f>EFEITO!$J$624*EFEITO!$Y$525</f>
        <v>0</v>
      </c>
      <c r="K624" s="56">
        <f ca="1">EFEITO!$L$624*EFEITO!$Z$525</f>
        <v>2849.982244547748</v>
      </c>
      <c r="L624" s="56">
        <f>EFEITO!$N$624*EFEITO!$AA$525</f>
        <v>1383.5484891817382</v>
      </c>
      <c r="M624" s="56">
        <f>$J$624-EFEITO!$K$624*EFEITO!$Y$624</f>
        <v>0</v>
      </c>
      <c r="N624" s="56">
        <f ca="1">$K$624-EFEITO!$M$624*EFEITO!$Z$624</f>
        <v>1965.9177522890368</v>
      </c>
      <c r="O624" s="56">
        <f>$L$624-EFEITO!$O$624*EFEITO!$AA$624</f>
        <v>954.37174783756302</v>
      </c>
      <c r="P624" s="39"/>
      <c r="Q624" s="39"/>
      <c r="R624" s="39"/>
      <c r="S624" s="39"/>
      <c r="T624" s="39"/>
      <c r="U624" s="39"/>
      <c r="V624" s="39"/>
      <c r="W624" s="39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35" t="s">
        <v>21</v>
      </c>
      <c r="B625" s="35" t="s">
        <v>43</v>
      </c>
      <c r="C625" s="35" t="s">
        <v>23</v>
      </c>
      <c r="D625" s="35" t="s">
        <v>44</v>
      </c>
      <c r="E625" s="35" t="s">
        <v>53</v>
      </c>
      <c r="F625" s="35" t="s">
        <v>55</v>
      </c>
      <c r="G625" s="35" t="s">
        <v>25</v>
      </c>
      <c r="H625" s="35" t="s">
        <v>25</v>
      </c>
      <c r="I625" s="55">
        <v>44621</v>
      </c>
      <c r="J625" s="56">
        <f>EFEITO!$J$625*EFEITO!$Y$525</f>
        <v>0</v>
      </c>
      <c r="K625" s="56">
        <f ca="1">EFEITO!$L$625*EFEITO!$Z$525</f>
        <v>5547.6312026819151</v>
      </c>
      <c r="L625" s="56">
        <f>EFEITO!$N$625*EFEITO!$AA$525</f>
        <v>2693.1454691311637</v>
      </c>
      <c r="M625" s="56">
        <f>$J$625-EFEITO!$K$625*EFEITO!$Y$625</f>
        <v>0</v>
      </c>
      <c r="N625" s="56">
        <f ca="1">$K$625-EFEITO!$M$625*EFEITO!$Z$625</f>
        <v>3826.7560036099849</v>
      </c>
      <c r="O625" s="56">
        <f>$L$625-EFEITO!$O$625*EFEITO!$AA$625</f>
        <v>1857.7317446066768</v>
      </c>
      <c r="P625" s="39"/>
      <c r="Q625" s="39"/>
      <c r="R625" s="39"/>
      <c r="S625" s="39"/>
      <c r="T625" s="39"/>
      <c r="U625" s="39"/>
      <c r="V625" s="39"/>
      <c r="W625" s="39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35" t="s">
        <v>21</v>
      </c>
      <c r="B626" s="35" t="s">
        <v>43</v>
      </c>
      <c r="C626" s="35" t="s">
        <v>23</v>
      </c>
      <c r="D626" s="35" t="s">
        <v>44</v>
      </c>
      <c r="E626" s="35" t="s">
        <v>53</v>
      </c>
      <c r="F626" s="35" t="s">
        <v>55</v>
      </c>
      <c r="G626" s="35" t="s">
        <v>25</v>
      </c>
      <c r="H626" s="35" t="s">
        <v>25</v>
      </c>
      <c r="I626" s="55">
        <v>44652</v>
      </c>
      <c r="J626" s="56">
        <f>EFEITO!$J$626*EFEITO!$Y$525</f>
        <v>0</v>
      </c>
      <c r="K626" s="56">
        <f ca="1">EFEITO!$L$626*EFEITO!$Z$525</f>
        <v>40204.417996495635</v>
      </c>
      <c r="L626" s="56">
        <f>EFEITO!$N$626*EFEITO!$AA$525</f>
        <v>19517.581867008961</v>
      </c>
      <c r="M626" s="56">
        <f>$J$626-EFEITO!$K$626*EFEITO!$Y$626</f>
        <v>0</v>
      </c>
      <c r="N626" s="56">
        <f ca="1">$K$626-EFEITO!$M$626*EFEITO!$Z$626</f>
        <v>27733.007533982691</v>
      </c>
      <c r="O626" s="56">
        <f>$L$626-EFEITO!$O$626*EFEITO!$AA$626</f>
        <v>13463.227971862783</v>
      </c>
      <c r="P626" s="39"/>
      <c r="Q626" s="39"/>
      <c r="R626" s="39"/>
      <c r="S626" s="39"/>
      <c r="T626" s="39"/>
      <c r="U626" s="39"/>
      <c r="V626" s="39"/>
      <c r="W626" s="39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35" t="s">
        <v>21</v>
      </c>
      <c r="B627" s="35" t="s">
        <v>43</v>
      </c>
      <c r="C627" s="35" t="s">
        <v>23</v>
      </c>
      <c r="D627" s="35" t="s">
        <v>44</v>
      </c>
      <c r="E627" s="35" t="s">
        <v>53</v>
      </c>
      <c r="F627" s="35" t="s">
        <v>55</v>
      </c>
      <c r="G627" s="35" t="s">
        <v>25</v>
      </c>
      <c r="H627" s="35" t="s">
        <v>25</v>
      </c>
      <c r="I627" s="55">
        <v>44682</v>
      </c>
      <c r="J627" s="56">
        <f>EFEITO!$J$627*EFEITO!$Y$525</f>
        <v>0</v>
      </c>
      <c r="K627" s="56">
        <f ca="1">EFEITO!$L$627*EFEITO!$Z$525</f>
        <v>50645.032924170722</v>
      </c>
      <c r="L627" s="56">
        <f>EFEITO!$N$627*EFEITO!$AA$525</f>
        <v>24586.068534583061</v>
      </c>
      <c r="M627" s="56">
        <f>$J$627-EFEITO!$K$627*EFEITO!$Y$627</f>
        <v>0</v>
      </c>
      <c r="N627" s="56">
        <f ca="1">$K$627-EFEITO!$M$627*EFEITO!$Z$627</f>
        <v>34934.943711092965</v>
      </c>
      <c r="O627" s="56">
        <f>$L$627-EFEITO!$O$627*EFEITO!$AA$627</f>
        <v>16959.470075155397</v>
      </c>
      <c r="P627" s="39"/>
      <c r="Q627" s="39"/>
      <c r="R627" s="39"/>
      <c r="S627" s="39"/>
      <c r="T627" s="39"/>
      <c r="U627" s="39"/>
      <c r="V627" s="39"/>
      <c r="W627" s="39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35" t="s">
        <v>21</v>
      </c>
      <c r="B628" s="35" t="s">
        <v>43</v>
      </c>
      <c r="C628" s="35" t="s">
        <v>23</v>
      </c>
      <c r="D628" s="35" t="s">
        <v>44</v>
      </c>
      <c r="E628" s="35" t="s">
        <v>53</v>
      </c>
      <c r="F628" s="35" t="s">
        <v>55</v>
      </c>
      <c r="G628" s="35" t="s">
        <v>25</v>
      </c>
      <c r="H628" s="35" t="s">
        <v>25</v>
      </c>
      <c r="I628" s="55">
        <v>44713</v>
      </c>
      <c r="J628" s="56">
        <f>EFEITO!$J$628*EFEITO!$Y$525</f>
        <v>0</v>
      </c>
      <c r="K628" s="56">
        <f ca="1">EFEITO!$L$628*EFEITO!$Z$525</f>
        <v>51393.683537462777</v>
      </c>
      <c r="L628" s="56">
        <f>EFEITO!$N$628*EFEITO!$AA$525</f>
        <v>24949.507439132998</v>
      </c>
      <c r="M628" s="56">
        <f>$J$628-EFEITO!$K$628*EFEITO!$Y$628</f>
        <v>0</v>
      </c>
      <c r="N628" s="56">
        <f ca="1">$K$628-EFEITO!$M$628*EFEITO!$Z$628</f>
        <v>35451.362904141824</v>
      </c>
      <c r="O628" s="56">
        <f>$L$628-EFEITO!$O$628*EFEITO!$AA$628</f>
        <v>17210.170231513941</v>
      </c>
      <c r="P628" s="39"/>
      <c r="Q628" s="39"/>
      <c r="R628" s="39"/>
      <c r="S628" s="39"/>
      <c r="T628" s="39"/>
      <c r="U628" s="39"/>
      <c r="V628" s="39"/>
      <c r="W628" s="39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35" t="s">
        <v>21</v>
      </c>
      <c r="B629" s="35" t="s">
        <v>43</v>
      </c>
      <c r="C629" s="35" t="s">
        <v>23</v>
      </c>
      <c r="D629" s="35" t="s">
        <v>44</v>
      </c>
      <c r="E629" s="35" t="s">
        <v>53</v>
      </c>
      <c r="F629" s="35" t="s">
        <v>55</v>
      </c>
      <c r="G629" s="35" t="s">
        <v>25</v>
      </c>
      <c r="H629" s="35" t="s">
        <v>25</v>
      </c>
      <c r="I629" s="55">
        <v>44743</v>
      </c>
      <c r="J629" s="56">
        <f>EFEITO!$J$629*EFEITO!$Y$525</f>
        <v>0</v>
      </c>
      <c r="K629" s="56">
        <f ca="1">EFEITO!$L$629*EFEITO!$Z$525</f>
        <v>55705.294023801594</v>
      </c>
      <c r="L629" s="56">
        <f>EFEITO!$N$629*EFEITO!$AA$525</f>
        <v>27042.615978923506</v>
      </c>
      <c r="M629" s="56">
        <f>$J$629-EFEITO!$K$629*EFEITO!$Y$629</f>
        <v>0</v>
      </c>
      <c r="N629" s="56">
        <f ca="1">$K$629-EFEITO!$M$629*EFEITO!$Z$629</f>
        <v>38425.511817618346</v>
      </c>
      <c r="O629" s="56">
        <f>$L$629-EFEITO!$O$629*EFEITO!$AA$629</f>
        <v>18653.996502261434</v>
      </c>
      <c r="P629" s="39"/>
      <c r="Q629" s="39"/>
      <c r="R629" s="39"/>
      <c r="S629" s="39"/>
      <c r="T629" s="39"/>
      <c r="U629" s="39"/>
      <c r="V629" s="39"/>
      <c r="W629" s="39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35" t="s">
        <v>21</v>
      </c>
      <c r="B630" s="35" t="s">
        <v>43</v>
      </c>
      <c r="C630" s="35" t="s">
        <v>23</v>
      </c>
      <c r="D630" s="35" t="s">
        <v>44</v>
      </c>
      <c r="E630" s="35" t="s">
        <v>53</v>
      </c>
      <c r="F630" s="35" t="s">
        <v>55</v>
      </c>
      <c r="G630" s="35" t="s">
        <v>25</v>
      </c>
      <c r="H630" s="35" t="s">
        <v>25</v>
      </c>
      <c r="I630" s="55">
        <v>44774</v>
      </c>
      <c r="J630" s="56">
        <f>EFEITO!$J$630*EFEITO!$Y$525</f>
        <v>0</v>
      </c>
      <c r="K630" s="56">
        <f ca="1">EFEITO!$L$630*EFEITO!$Z$525</f>
        <v>46956.253469624142</v>
      </c>
      <c r="L630" s="56">
        <f>EFEITO!$N$630*EFEITO!$AA$525</f>
        <v>22795.31869709682</v>
      </c>
      <c r="M630" s="56">
        <f>$J$630-EFEITO!$K$630*EFEITO!$Y$630</f>
        <v>0</v>
      </c>
      <c r="N630" s="56">
        <f ca="1">$K$630-EFEITO!$M$630*EFEITO!$Z$630</f>
        <v>32390.423643346734</v>
      </c>
      <c r="O630" s="56">
        <f>$L$630-EFEITO!$O$630*EFEITO!$AA$630</f>
        <v>15724.210837257388</v>
      </c>
      <c r="P630" s="39"/>
      <c r="Q630" s="39"/>
      <c r="R630" s="39"/>
      <c r="S630" s="39"/>
      <c r="T630" s="39"/>
      <c r="U630" s="39"/>
      <c r="V630" s="39"/>
      <c r="W630" s="39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35" t="s">
        <v>28</v>
      </c>
      <c r="B631" s="35" t="s">
        <v>43</v>
      </c>
      <c r="C631" s="35" t="s">
        <v>23</v>
      </c>
      <c r="D631" s="35" t="s">
        <v>44</v>
      </c>
      <c r="E631" s="35" t="s">
        <v>53</v>
      </c>
      <c r="F631" s="35" t="s">
        <v>55</v>
      </c>
      <c r="G631" s="35" t="s">
        <v>25</v>
      </c>
      <c r="H631" s="35" t="s">
        <v>25</v>
      </c>
      <c r="I631" s="55">
        <v>44774</v>
      </c>
      <c r="J631" s="56">
        <f>EFEITO!$J$631*EFEITO!$Y$525</f>
        <v>0</v>
      </c>
      <c r="K631" s="56">
        <f ca="1">EFEITO!$L$631*EFEITO!$Z$525</f>
        <v>8724.9371860740339</v>
      </c>
      <c r="L631" s="56">
        <f>EFEITO!$N$631*EFEITO!$AA$525</f>
        <v>4235.5960936570164</v>
      </c>
      <c r="M631" s="56">
        <f>$J$631-EFEITO!$K$631*EFEITO!$Y$631</f>
        <v>0</v>
      </c>
      <c r="N631" s="56">
        <f ca="1">$K$631-EFEITO!$M$631*EFEITO!$Z$631</f>
        <v>6018.4616709538686</v>
      </c>
      <c r="O631" s="56">
        <f>$L$631-EFEITO!$O$631*EFEITO!$AA$631</f>
        <v>2921.7141854046104</v>
      </c>
      <c r="P631" s="39"/>
      <c r="Q631" s="39"/>
      <c r="R631" s="39"/>
      <c r="S631" s="39"/>
      <c r="T631" s="39"/>
      <c r="U631" s="39"/>
      <c r="V631" s="39"/>
      <c r="W631" s="39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35" t="s">
        <v>21</v>
      </c>
      <c r="B632" s="35" t="s">
        <v>43</v>
      </c>
      <c r="C632" s="35" t="s">
        <v>23</v>
      </c>
      <c r="D632" s="35" t="s">
        <v>44</v>
      </c>
      <c r="E632" s="35" t="s">
        <v>53</v>
      </c>
      <c r="F632" s="35" t="s">
        <v>55</v>
      </c>
      <c r="G632" s="35" t="s">
        <v>25</v>
      </c>
      <c r="H632" s="35" t="s">
        <v>25</v>
      </c>
      <c r="I632" s="55">
        <v>44805</v>
      </c>
      <c r="J632" s="56">
        <f>EFEITO!$J$632*EFEITO!$Y$525</f>
        <v>0</v>
      </c>
      <c r="K632" s="56">
        <f ca="1">EFEITO!$L$632*EFEITO!$Z$525</f>
        <v>55940.060829128852</v>
      </c>
      <c r="L632" s="56">
        <f>EFEITO!$N$632*EFEITO!$AA$525</f>
        <v>27156.585551696087</v>
      </c>
      <c r="M632" s="56">
        <f>$J$632-EFEITO!$K$632*EFEITO!$Y$632</f>
        <v>0</v>
      </c>
      <c r="N632" s="56">
        <f ca="1">$K$632-EFEITO!$M$632*EFEITO!$Z$632</f>
        <v>38587.453959933082</v>
      </c>
      <c r="O632" s="56">
        <f>$L$632-EFEITO!$O$632*EFEITO!$AA$632</f>
        <v>18732.61271355996</v>
      </c>
      <c r="P632" s="39"/>
      <c r="Q632" s="39"/>
      <c r="R632" s="39"/>
      <c r="S632" s="39"/>
      <c r="T632" s="39"/>
      <c r="U632" s="39"/>
      <c r="V632" s="39"/>
      <c r="W632" s="39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35" t="s">
        <v>28</v>
      </c>
      <c r="B633" s="35" t="s">
        <v>43</v>
      </c>
      <c r="C633" s="35" t="s">
        <v>23</v>
      </c>
      <c r="D633" s="35" t="s">
        <v>44</v>
      </c>
      <c r="E633" s="35" t="s">
        <v>53</v>
      </c>
      <c r="F633" s="35" t="s">
        <v>55</v>
      </c>
      <c r="G633" s="35" t="s">
        <v>25</v>
      </c>
      <c r="H633" s="35" t="s">
        <v>25</v>
      </c>
      <c r="I633" s="55">
        <v>44805</v>
      </c>
      <c r="J633" s="56">
        <f>EFEITO!$J$633*EFEITO!$Y$525</f>
        <v>0</v>
      </c>
      <c r="K633" s="56">
        <f ca="1">EFEITO!$L$633*EFEITO!$Z$525</f>
        <v>7770.9258765408822</v>
      </c>
      <c r="L633" s="56">
        <f>EFEITO!$N$633*EFEITO!$AA$525</f>
        <v>3772.463065901492</v>
      </c>
      <c r="M633" s="56">
        <f>$J$633-EFEITO!$K$633*EFEITO!$Y$633</f>
        <v>0</v>
      </c>
      <c r="N633" s="56">
        <f ca="1">$K$633-EFEITO!$M$633*EFEITO!$Z$633</f>
        <v>5360.3846696379005</v>
      </c>
      <c r="O633" s="56">
        <f>$L$633-EFEITO!$O$633*EFEITO!$AA$633</f>
        <v>2602.2450228588496</v>
      </c>
      <c r="P633" s="39"/>
      <c r="Q633" s="39"/>
      <c r="R633" s="39"/>
      <c r="S633" s="39"/>
      <c r="T633" s="39"/>
      <c r="U633" s="39"/>
      <c r="V633" s="39"/>
      <c r="W633" s="39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35" t="s">
        <v>57</v>
      </c>
      <c r="B634" s="35" t="s">
        <v>43</v>
      </c>
      <c r="C634" s="35" t="s">
        <v>23</v>
      </c>
      <c r="D634" s="35" t="s">
        <v>44</v>
      </c>
      <c r="E634" s="35" t="s">
        <v>53</v>
      </c>
      <c r="F634" s="35" t="s">
        <v>55</v>
      </c>
      <c r="G634" s="35" t="s">
        <v>25</v>
      </c>
      <c r="H634" s="35" t="s">
        <v>25</v>
      </c>
      <c r="I634" s="55">
        <v>44835</v>
      </c>
      <c r="J634" s="56">
        <f>EFEITO!$J$634*EFEITO!$Y$525</f>
        <v>0</v>
      </c>
      <c r="K634" s="56">
        <f ca="1">EFEITO!$L$634*EFEITO!$Z$525</f>
        <v>55940.060829128852</v>
      </c>
      <c r="L634" s="56">
        <f>EFEITO!$N$634*EFEITO!$AA$525</f>
        <v>27156.585551696087</v>
      </c>
      <c r="M634" s="56">
        <f>$J$634-EFEITO!$K$634*EFEITO!$Y$634</f>
        <v>0</v>
      </c>
      <c r="N634" s="56">
        <f ca="1">$K$634-EFEITO!$M$634*EFEITO!$Z$634</f>
        <v>38587.453959933082</v>
      </c>
      <c r="O634" s="56">
        <f>$L$634-EFEITO!$O$634*EFEITO!$AA$634</f>
        <v>18732.61271355996</v>
      </c>
      <c r="P634" s="39"/>
      <c r="Q634" s="39"/>
      <c r="R634" s="39"/>
      <c r="S634" s="39"/>
      <c r="T634" s="39"/>
      <c r="U634" s="39"/>
      <c r="V634" s="39"/>
      <c r="W634" s="39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35" t="s">
        <v>57</v>
      </c>
      <c r="B635" s="35" t="s">
        <v>43</v>
      </c>
      <c r="C635" s="35" t="s">
        <v>23</v>
      </c>
      <c r="D635" s="35" t="s">
        <v>44</v>
      </c>
      <c r="E635" s="35" t="s">
        <v>53</v>
      </c>
      <c r="F635" s="35" t="s">
        <v>55</v>
      </c>
      <c r="G635" s="35" t="s">
        <v>25</v>
      </c>
      <c r="H635" s="35" t="s">
        <v>25</v>
      </c>
      <c r="I635" s="55">
        <v>44835</v>
      </c>
      <c r="J635" s="56">
        <f>EFEITO!$J$635*EFEITO!$Y$525</f>
        <v>0</v>
      </c>
      <c r="K635" s="56">
        <f ca="1">EFEITO!$L$635*EFEITO!$Z$525</f>
        <v>7770.9258765408822</v>
      </c>
      <c r="L635" s="56">
        <f>EFEITO!$N$635*EFEITO!$AA$525</f>
        <v>3772.463065901492</v>
      </c>
      <c r="M635" s="56">
        <f>$J$635-EFEITO!$K$635*EFEITO!$Y$635</f>
        <v>0</v>
      </c>
      <c r="N635" s="56">
        <f ca="1">$K$635-EFEITO!$M$635*EFEITO!$Z$635</f>
        <v>5360.3846696379005</v>
      </c>
      <c r="O635" s="56">
        <f>$L$635-EFEITO!$O$635*EFEITO!$AA$635</f>
        <v>2602.2450228588496</v>
      </c>
      <c r="P635" s="39"/>
      <c r="Q635" s="39"/>
      <c r="R635" s="39"/>
      <c r="S635" s="39"/>
      <c r="T635" s="39"/>
      <c r="U635" s="39"/>
      <c r="V635" s="39"/>
      <c r="W635" s="39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35" t="s">
        <v>21</v>
      </c>
      <c r="B636" s="35" t="s">
        <v>43</v>
      </c>
      <c r="C636" s="35" t="s">
        <v>23</v>
      </c>
      <c r="D636" s="35" t="s">
        <v>44</v>
      </c>
      <c r="E636" s="35" t="s">
        <v>56</v>
      </c>
      <c r="F636" s="35" t="s">
        <v>54</v>
      </c>
      <c r="G636" s="35" t="s">
        <v>25</v>
      </c>
      <c r="H636" s="35" t="s">
        <v>25</v>
      </c>
      <c r="I636" s="55">
        <v>44501</v>
      </c>
      <c r="J636" s="56">
        <f>EFEITO!$J$636*EFEITO!$Y$525</f>
        <v>0</v>
      </c>
      <c r="K636" s="56">
        <f ca="1">EFEITO!$L$636*EFEITO!$Z$525</f>
        <v>4229.6590347872016</v>
      </c>
      <c r="L636" s="56">
        <f>EFEITO!$N$636*EFEITO!$AA$525</f>
        <v>2053.324500013628</v>
      </c>
      <c r="M636" s="56">
        <f>$J$636-EFEITO!$K$636*EFEITO!$Y$636</f>
        <v>0</v>
      </c>
      <c r="N636" s="56">
        <f ca="1">$K$636-EFEITO!$M$636*EFEITO!$Z$636</f>
        <v>253.77954208723213</v>
      </c>
      <c r="O636" s="56">
        <f>$L$636-EFEITO!$O$636*EFEITO!$AA$636</f>
        <v>123.19947000081766</v>
      </c>
      <c r="P636" s="39"/>
      <c r="Q636" s="39"/>
      <c r="R636" s="39"/>
      <c r="S636" s="39"/>
      <c r="T636" s="39"/>
      <c r="U636" s="39"/>
      <c r="V636" s="39"/>
      <c r="W636" s="39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35" t="s">
        <v>28</v>
      </c>
      <c r="B637" s="35" t="s">
        <v>43</v>
      </c>
      <c r="C637" s="35" t="s">
        <v>23</v>
      </c>
      <c r="D637" s="35" t="s">
        <v>44</v>
      </c>
      <c r="E637" s="35" t="s">
        <v>56</v>
      </c>
      <c r="F637" s="35" t="s">
        <v>54</v>
      </c>
      <c r="G637" s="35" t="s">
        <v>25</v>
      </c>
      <c r="H637" s="35" t="s">
        <v>25</v>
      </c>
      <c r="I637" s="55">
        <v>44501</v>
      </c>
      <c r="J637" s="56">
        <f>EFEITO!$J$637*EFEITO!$Y$525</f>
        <v>0</v>
      </c>
      <c r="K637" s="56">
        <f ca="1">EFEITO!$L$637*EFEITO!$Z$525</f>
        <v>184.1497323100879</v>
      </c>
      <c r="L637" s="56">
        <f>EFEITO!$N$637*EFEITO!$AA$525</f>
        <v>89.39707761627605</v>
      </c>
      <c r="M637" s="56">
        <f>$J$637-EFEITO!$K$637*EFEITO!$Y$637</f>
        <v>0</v>
      </c>
      <c r="N637" s="56">
        <f ca="1">$K$637-EFEITO!$M$637*EFEITO!$Z$637</f>
        <v>11.048983938605289</v>
      </c>
      <c r="O637" s="56">
        <f>$L$637-EFEITO!$O$637*EFEITO!$AA$637</f>
        <v>5.3638246569765755</v>
      </c>
      <c r="P637" s="39"/>
      <c r="Q637" s="39"/>
      <c r="R637" s="39"/>
      <c r="S637" s="39"/>
      <c r="T637" s="39"/>
      <c r="U637" s="39"/>
      <c r="V637" s="39"/>
      <c r="W637" s="39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35" t="s">
        <v>21</v>
      </c>
      <c r="B638" s="35" t="s">
        <v>43</v>
      </c>
      <c r="C638" s="35" t="s">
        <v>23</v>
      </c>
      <c r="D638" s="35" t="s">
        <v>44</v>
      </c>
      <c r="E638" s="35" t="s">
        <v>56</v>
      </c>
      <c r="F638" s="35" t="s">
        <v>54</v>
      </c>
      <c r="G638" s="35" t="s">
        <v>25</v>
      </c>
      <c r="H638" s="35" t="s">
        <v>25</v>
      </c>
      <c r="I638" s="55">
        <v>44531</v>
      </c>
      <c r="J638" s="56">
        <f>EFEITO!$J$638*EFEITO!$Y$525</f>
        <v>0</v>
      </c>
      <c r="K638" s="56">
        <f ca="1">EFEITO!$L$638*EFEITO!$Z$525</f>
        <v>3747.1096053568408</v>
      </c>
      <c r="L638" s="56">
        <f>EFEITO!$N$638*EFEITO!$AA$525</f>
        <v>1819.0667128568421</v>
      </c>
      <c r="M638" s="56">
        <f>$J$638-EFEITO!$K$638*EFEITO!$Y$638</f>
        <v>0</v>
      </c>
      <c r="N638" s="56">
        <f ca="1">$K$638-EFEITO!$M$638*EFEITO!$Z$638</f>
        <v>224.82657632141081</v>
      </c>
      <c r="O638" s="56">
        <f>$L$638-EFEITO!$O$638*EFEITO!$AA$638</f>
        <v>109.14400277141067</v>
      </c>
      <c r="P638" s="39"/>
      <c r="Q638" s="39"/>
      <c r="R638" s="39"/>
      <c r="S638" s="39"/>
      <c r="T638" s="39"/>
      <c r="U638" s="39"/>
      <c r="V638" s="39"/>
      <c r="W638" s="39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35" t="s">
        <v>28</v>
      </c>
      <c r="B639" s="35" t="s">
        <v>43</v>
      </c>
      <c r="C639" s="35" t="s">
        <v>23</v>
      </c>
      <c r="D639" s="35" t="s">
        <v>44</v>
      </c>
      <c r="E639" s="35" t="s">
        <v>56</v>
      </c>
      <c r="F639" s="35" t="s">
        <v>54</v>
      </c>
      <c r="G639" s="35" t="s">
        <v>25</v>
      </c>
      <c r="H639" s="35" t="s">
        <v>25</v>
      </c>
      <c r="I639" s="55">
        <v>44531</v>
      </c>
      <c r="J639" s="56">
        <f>EFEITO!$J$639*EFEITO!$Y$525</f>
        <v>0</v>
      </c>
      <c r="K639" s="56">
        <f ca="1">EFEITO!$L$639*EFEITO!$Z$525</f>
        <v>316.71825687886849</v>
      </c>
      <c r="L639" s="56">
        <f>EFEITO!$N$639*EFEITO!$AA$525</f>
        <v>153.75361254945906</v>
      </c>
      <c r="M639" s="56">
        <f>$J$639-EFEITO!$K$639*EFEITO!$Y$639</f>
        <v>0</v>
      </c>
      <c r="N639" s="56">
        <f ca="1">$K$639-EFEITO!$M$639*EFEITO!$Z$639</f>
        <v>19.003095412732137</v>
      </c>
      <c r="O639" s="56">
        <f>$L$639-EFEITO!$O$639*EFEITO!$AA$639</f>
        <v>9.2252167529675546</v>
      </c>
      <c r="P639" s="39"/>
      <c r="Q639" s="39"/>
      <c r="R639" s="39"/>
      <c r="S639" s="39"/>
      <c r="T639" s="39"/>
      <c r="U639" s="39"/>
      <c r="V639" s="39"/>
      <c r="W639" s="39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35" t="s">
        <v>21</v>
      </c>
      <c r="B640" s="35" t="s">
        <v>43</v>
      </c>
      <c r="C640" s="35" t="s">
        <v>23</v>
      </c>
      <c r="D640" s="35" t="s">
        <v>44</v>
      </c>
      <c r="E640" s="35" t="s">
        <v>56</v>
      </c>
      <c r="F640" s="35" t="s">
        <v>54</v>
      </c>
      <c r="G640" s="35" t="s">
        <v>25</v>
      </c>
      <c r="H640" s="35" t="s">
        <v>25</v>
      </c>
      <c r="I640" s="55">
        <v>44562</v>
      </c>
      <c r="J640" s="56">
        <f>EFEITO!$J$640*EFEITO!$Y$525</f>
        <v>0</v>
      </c>
      <c r="K640" s="56">
        <f ca="1">EFEITO!$L$640*EFEITO!$Z$525</f>
        <v>4217.1252833734261</v>
      </c>
      <c r="L640" s="56">
        <f>EFEITO!$N$640*EFEITO!$AA$525</f>
        <v>2047.2398821653999</v>
      </c>
      <c r="M640" s="56">
        <f>$J$640-EFEITO!$K$640*EFEITO!$Y$640</f>
        <v>0</v>
      </c>
      <c r="N640" s="56">
        <f ca="1">$K$640-EFEITO!$M$640*EFEITO!$Z$640</f>
        <v>253.0275170024056</v>
      </c>
      <c r="O640" s="56">
        <f>$L$640-EFEITO!$O$640*EFEITO!$AA$640</f>
        <v>122.83439292992398</v>
      </c>
      <c r="P640" s="39"/>
      <c r="Q640" s="39"/>
      <c r="R640" s="39"/>
      <c r="S640" s="39"/>
      <c r="T640" s="39"/>
      <c r="U640" s="39"/>
      <c r="V640" s="39"/>
      <c r="W640" s="39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35" t="s">
        <v>28</v>
      </c>
      <c r="B641" s="35" t="s">
        <v>43</v>
      </c>
      <c r="C641" s="35" t="s">
        <v>23</v>
      </c>
      <c r="D641" s="35" t="s">
        <v>44</v>
      </c>
      <c r="E641" s="35" t="s">
        <v>56</v>
      </c>
      <c r="F641" s="35" t="s">
        <v>54</v>
      </c>
      <c r="G641" s="35" t="s">
        <v>25</v>
      </c>
      <c r="H641" s="35" t="s">
        <v>25</v>
      </c>
      <c r="I641" s="55">
        <v>44562</v>
      </c>
      <c r="J641" s="56">
        <f>EFEITO!$J$641*EFEITO!$Y$525</f>
        <v>0</v>
      </c>
      <c r="K641" s="56">
        <f ca="1">EFEITO!$L$641*EFEITO!$Z$525</f>
        <v>462.3026002234929</v>
      </c>
      <c r="L641" s="56">
        <f>EFEITO!$N$641*EFEITO!$AA$525</f>
        <v>224.42878909426366</v>
      </c>
      <c r="M641" s="56">
        <f>$J$641-EFEITO!$K$641*EFEITO!$Y$641</f>
        <v>0</v>
      </c>
      <c r="N641" s="56">
        <f ca="1">$K$641-EFEITO!$M$641*EFEITO!$Z$641</f>
        <v>27.738156013409593</v>
      </c>
      <c r="O641" s="56">
        <f>$L$641-EFEITO!$O$641*EFEITO!$AA$641</f>
        <v>13.465727345655807</v>
      </c>
      <c r="P641" s="39"/>
      <c r="Q641" s="39"/>
      <c r="R641" s="39"/>
      <c r="S641" s="39"/>
      <c r="T641" s="39"/>
      <c r="U641" s="39"/>
      <c r="V641" s="39"/>
      <c r="W641" s="39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35" t="s">
        <v>21</v>
      </c>
      <c r="B642" s="35" t="s">
        <v>43</v>
      </c>
      <c r="C642" s="35" t="s">
        <v>23</v>
      </c>
      <c r="D642" s="35" t="s">
        <v>44</v>
      </c>
      <c r="E642" s="35" t="s">
        <v>56</v>
      </c>
      <c r="F642" s="35" t="s">
        <v>54</v>
      </c>
      <c r="G642" s="35" t="s">
        <v>25</v>
      </c>
      <c r="H642" s="35" t="s">
        <v>25</v>
      </c>
      <c r="I642" s="55">
        <v>44593</v>
      </c>
      <c r="J642" s="56">
        <f>EFEITO!$J$642*EFEITO!$Y$525</f>
        <v>0</v>
      </c>
      <c r="K642" s="56">
        <f ca="1">EFEITO!$L$642*EFEITO!$Z$525</f>
        <v>4368.9765024249391</v>
      </c>
      <c r="L642" s="56">
        <f>EFEITO!$N$642*EFEITO!$AA$525</f>
        <v>2120.9573676343189</v>
      </c>
      <c r="M642" s="56">
        <f>$J$642-EFEITO!$K$642*EFEITO!$Y$642</f>
        <v>0</v>
      </c>
      <c r="N642" s="56">
        <f ca="1">$K$642-EFEITO!$M$642*EFEITO!$Z$642</f>
        <v>262.13859014549689</v>
      </c>
      <c r="O642" s="56">
        <f>$L$642-EFEITO!$O$642*EFEITO!$AA$642</f>
        <v>127.25744205805904</v>
      </c>
      <c r="P642" s="39"/>
      <c r="Q642" s="39"/>
      <c r="R642" s="39"/>
      <c r="S642" s="39"/>
      <c r="T642" s="39"/>
      <c r="U642" s="39"/>
      <c r="V642" s="39"/>
      <c r="W642" s="39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35" t="s">
        <v>28</v>
      </c>
      <c r="B643" s="35" t="s">
        <v>43</v>
      </c>
      <c r="C643" s="35" t="s">
        <v>23</v>
      </c>
      <c r="D643" s="35" t="s">
        <v>44</v>
      </c>
      <c r="E643" s="35" t="s">
        <v>56</v>
      </c>
      <c r="F643" s="35" t="s">
        <v>54</v>
      </c>
      <c r="G643" s="35" t="s">
        <v>25</v>
      </c>
      <c r="H643" s="35" t="s">
        <v>25</v>
      </c>
      <c r="I643" s="55">
        <v>44593</v>
      </c>
      <c r="J643" s="56">
        <f>EFEITO!$J$643*EFEITO!$Y$525</f>
        <v>0</v>
      </c>
      <c r="K643" s="56">
        <f ca="1">EFEITO!$L$643*EFEITO!$Z$525</f>
        <v>153.29742113771715</v>
      </c>
      <c r="L643" s="56">
        <f>EFEITO!$N$643*EFEITO!$AA$525</f>
        <v>74.41955675909891</v>
      </c>
      <c r="M643" s="56">
        <f>$J$643-EFEITO!$K$643*EFEITO!$Y$643</f>
        <v>0</v>
      </c>
      <c r="N643" s="56">
        <f ca="1">$K$643-EFEITO!$M$643*EFEITO!$Z$643</f>
        <v>9.1978452682630234</v>
      </c>
      <c r="O643" s="56">
        <f>$L$643-EFEITO!$O$643*EFEITO!$AA$643</f>
        <v>4.46517340554594</v>
      </c>
      <c r="P643" s="39"/>
      <c r="Q643" s="39"/>
      <c r="R643" s="39"/>
      <c r="S643" s="39"/>
      <c r="T643" s="39"/>
      <c r="U643" s="39"/>
      <c r="V643" s="39"/>
      <c r="W643" s="39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35" t="s">
        <v>21</v>
      </c>
      <c r="B644" s="35" t="s">
        <v>43</v>
      </c>
      <c r="C644" s="35" t="s">
        <v>23</v>
      </c>
      <c r="D644" s="35" t="s">
        <v>44</v>
      </c>
      <c r="E644" s="35" t="s">
        <v>56</v>
      </c>
      <c r="F644" s="35" t="s">
        <v>54</v>
      </c>
      <c r="G644" s="35" t="s">
        <v>25</v>
      </c>
      <c r="H644" s="35" t="s">
        <v>25</v>
      </c>
      <c r="I644" s="55">
        <v>44621</v>
      </c>
      <c r="J644" s="56">
        <f>EFEITO!$J$644*EFEITO!$Y$525</f>
        <v>0</v>
      </c>
      <c r="K644" s="56">
        <f ca="1">EFEITO!$L$644*EFEITO!$Z$525</f>
        <v>4252.7982681664798</v>
      </c>
      <c r="L644" s="56">
        <f>EFEITO!$N$644*EFEITO!$AA$525</f>
        <v>2064.557640656511</v>
      </c>
      <c r="M644" s="56">
        <f>$J$644-EFEITO!$K$644*EFEITO!$Y$644</f>
        <v>0</v>
      </c>
      <c r="N644" s="56">
        <f ca="1">$K$644-EFEITO!$M$644*EFEITO!$Z$644</f>
        <v>255.16789608998897</v>
      </c>
      <c r="O644" s="56">
        <f>$L$644-EFEITO!$O$644*EFEITO!$AA$644</f>
        <v>123.87345843939079</v>
      </c>
      <c r="P644" s="39"/>
      <c r="Q644" s="39"/>
      <c r="R644" s="39"/>
      <c r="S644" s="39"/>
      <c r="T644" s="39"/>
      <c r="U644" s="39"/>
      <c r="V644" s="39"/>
      <c r="W644" s="39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35" t="s">
        <v>28</v>
      </c>
      <c r="B645" s="35" t="s">
        <v>43</v>
      </c>
      <c r="C645" s="35" t="s">
        <v>23</v>
      </c>
      <c r="D645" s="35" t="s">
        <v>44</v>
      </c>
      <c r="E645" s="35" t="s">
        <v>56</v>
      </c>
      <c r="F645" s="35" t="s">
        <v>54</v>
      </c>
      <c r="G645" s="35" t="s">
        <v>25</v>
      </c>
      <c r="H645" s="35" t="s">
        <v>25</v>
      </c>
      <c r="I645" s="55">
        <v>44621</v>
      </c>
      <c r="J645" s="56">
        <f>EFEITO!$J$645*EFEITO!$Y$525</f>
        <v>0</v>
      </c>
      <c r="K645" s="56">
        <f ca="1">EFEITO!$L$645*EFEITO!$Z$525</f>
        <v>342.74989443055625</v>
      </c>
      <c r="L645" s="56">
        <f>EFEITO!$N$645*EFEITO!$AA$525</f>
        <v>166.39089577270227</v>
      </c>
      <c r="M645" s="56">
        <f>$J$645-EFEITO!$K$645*EFEITO!$Y$645</f>
        <v>0</v>
      </c>
      <c r="N645" s="56">
        <f ca="1">$K$645-EFEITO!$M$645*EFEITO!$Z$645</f>
        <v>20.564993665833413</v>
      </c>
      <c r="O645" s="56">
        <f>$L$645-EFEITO!$O$645*EFEITO!$AA$645</f>
        <v>9.9834537463621302</v>
      </c>
      <c r="P645" s="39"/>
      <c r="Q645" s="39"/>
      <c r="R645" s="39"/>
      <c r="S645" s="39"/>
      <c r="T645" s="39"/>
      <c r="U645" s="39"/>
      <c r="V645" s="39"/>
      <c r="W645" s="39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35" t="s">
        <v>21</v>
      </c>
      <c r="B646" s="35" t="s">
        <v>43</v>
      </c>
      <c r="C646" s="35" t="s">
        <v>23</v>
      </c>
      <c r="D646" s="35" t="s">
        <v>44</v>
      </c>
      <c r="E646" s="35" t="s">
        <v>56</v>
      </c>
      <c r="F646" s="35" t="s">
        <v>54</v>
      </c>
      <c r="G646" s="35" t="s">
        <v>25</v>
      </c>
      <c r="H646" s="35" t="s">
        <v>25</v>
      </c>
      <c r="I646" s="55">
        <v>44652</v>
      </c>
      <c r="J646" s="56">
        <f>EFEITO!$J$646*EFEITO!$Y$525</f>
        <v>0</v>
      </c>
      <c r="K646" s="56">
        <f ca="1">EFEITO!$L$646*EFEITO!$Z$525</f>
        <v>8391.3465715227758</v>
      </c>
      <c r="L646" s="56">
        <f>EFEITO!$N$646*EFEITO!$AA$525</f>
        <v>4073.651649388788</v>
      </c>
      <c r="M646" s="56">
        <f>$J$646-EFEITO!$K$646*EFEITO!$Y$646</f>
        <v>0</v>
      </c>
      <c r="N646" s="56">
        <f ca="1">$K$646-EFEITO!$M$646*EFEITO!$Z$646</f>
        <v>503.4807942913676</v>
      </c>
      <c r="O646" s="56">
        <f>$L$646-EFEITO!$O$646*EFEITO!$AA$646</f>
        <v>244.41909896332709</v>
      </c>
      <c r="P646" s="39"/>
      <c r="Q646" s="39"/>
      <c r="R646" s="39"/>
      <c r="S646" s="39"/>
      <c r="T646" s="39"/>
      <c r="U646" s="39"/>
      <c r="V646" s="39"/>
      <c r="W646" s="39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35" t="s">
        <v>28</v>
      </c>
      <c r="B647" s="35" t="s">
        <v>43</v>
      </c>
      <c r="C647" s="35" t="s">
        <v>23</v>
      </c>
      <c r="D647" s="35" t="s">
        <v>44</v>
      </c>
      <c r="E647" s="35" t="s">
        <v>56</v>
      </c>
      <c r="F647" s="35" t="s">
        <v>54</v>
      </c>
      <c r="G647" s="35" t="s">
        <v>25</v>
      </c>
      <c r="H647" s="35" t="s">
        <v>25</v>
      </c>
      <c r="I647" s="55">
        <v>44652</v>
      </c>
      <c r="J647" s="56">
        <f>EFEITO!$J$647*EFEITO!$Y$525</f>
        <v>0</v>
      </c>
      <c r="K647" s="56">
        <f ca="1">EFEITO!$L$647*EFEITO!$Z$525</f>
        <v>401.08004524081969</v>
      </c>
      <c r="L647" s="56">
        <f>EFEITO!$N$647*EFEITO!$AA$525</f>
        <v>194.70777114330278</v>
      </c>
      <c r="M647" s="56">
        <f>$J$647-EFEITO!$K$647*EFEITO!$Y$647</f>
        <v>0</v>
      </c>
      <c r="N647" s="56">
        <f ca="1">$K$647-EFEITO!$M$647*EFEITO!$Z$647</f>
        <v>24.064802714449172</v>
      </c>
      <c r="O647" s="56">
        <f>$L$647-EFEITO!$O$647*EFEITO!$AA$647</f>
        <v>11.682466268598176</v>
      </c>
      <c r="P647" s="39"/>
      <c r="Q647" s="39"/>
      <c r="R647" s="39"/>
      <c r="S647" s="39"/>
      <c r="T647" s="39"/>
      <c r="U647" s="39"/>
      <c r="V647" s="39"/>
      <c r="W647" s="39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35" t="s">
        <v>21</v>
      </c>
      <c r="B648" s="35" t="s">
        <v>43</v>
      </c>
      <c r="C648" s="35" t="s">
        <v>23</v>
      </c>
      <c r="D648" s="35" t="s">
        <v>44</v>
      </c>
      <c r="E648" s="35" t="s">
        <v>56</v>
      </c>
      <c r="F648" s="35" t="s">
        <v>54</v>
      </c>
      <c r="G648" s="35" t="s">
        <v>25</v>
      </c>
      <c r="H648" s="35" t="s">
        <v>25</v>
      </c>
      <c r="I648" s="55">
        <v>44682</v>
      </c>
      <c r="J648" s="56">
        <f>EFEITO!$J$648*EFEITO!$Y$525</f>
        <v>0</v>
      </c>
      <c r="K648" s="56">
        <f ca="1">EFEITO!$L$648*EFEITO!$Z$525</f>
        <v>4795.1240504933094</v>
      </c>
      <c r="L648" s="56">
        <f>EFEITO!$N$648*EFEITO!$AA$525</f>
        <v>2327.8343744740778</v>
      </c>
      <c r="M648" s="56">
        <f>$J$648-EFEITO!$K$648*EFEITO!$Y$648</f>
        <v>0</v>
      </c>
      <c r="N648" s="56">
        <f ca="1">$K$648-EFEITO!$M$648*EFEITO!$Z$648</f>
        <v>287.70744302959883</v>
      </c>
      <c r="O648" s="56">
        <f>$L$648-EFEITO!$O$648*EFEITO!$AA$648</f>
        <v>139.67006246844448</v>
      </c>
      <c r="P648" s="39"/>
      <c r="Q648" s="39"/>
      <c r="R648" s="39"/>
      <c r="S648" s="39"/>
      <c r="T648" s="39"/>
      <c r="U648" s="39"/>
      <c r="V648" s="39"/>
      <c r="W648" s="39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35" t="s">
        <v>28</v>
      </c>
      <c r="B649" s="35" t="s">
        <v>43</v>
      </c>
      <c r="C649" s="35" t="s">
        <v>23</v>
      </c>
      <c r="D649" s="35" t="s">
        <v>44</v>
      </c>
      <c r="E649" s="35" t="s">
        <v>56</v>
      </c>
      <c r="F649" s="35" t="s">
        <v>54</v>
      </c>
      <c r="G649" s="35" t="s">
        <v>25</v>
      </c>
      <c r="H649" s="35" t="s">
        <v>25</v>
      </c>
      <c r="I649" s="55">
        <v>44682</v>
      </c>
      <c r="J649" s="56">
        <f>EFEITO!$J$649*EFEITO!$Y$525</f>
        <v>0</v>
      </c>
      <c r="K649" s="56">
        <f ca="1">EFEITO!$L$649*EFEITO!$Z$525</f>
        <v>1980.3327233765472</v>
      </c>
      <c r="L649" s="56">
        <f>EFEITO!$N$649*EFEITO!$AA$525</f>
        <v>961.36962002005748</v>
      </c>
      <c r="M649" s="56">
        <f>$J$649-EFEITO!$K$649*EFEITO!$Y$649</f>
        <v>0</v>
      </c>
      <c r="N649" s="56">
        <f ca="1">$K$649-EFEITO!$M$649*EFEITO!$Z$649</f>
        <v>118.81996340259298</v>
      </c>
      <c r="O649" s="56">
        <f>$L$649-EFEITO!$O$649*EFEITO!$AA$649</f>
        <v>57.682177201203444</v>
      </c>
      <c r="P649" s="39"/>
      <c r="Q649" s="39"/>
      <c r="R649" s="39"/>
      <c r="S649" s="39"/>
      <c r="T649" s="39"/>
      <c r="U649" s="39"/>
      <c r="V649" s="39"/>
      <c r="W649" s="39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35" t="s">
        <v>21</v>
      </c>
      <c r="B650" s="35" t="s">
        <v>43</v>
      </c>
      <c r="C650" s="35" t="s">
        <v>23</v>
      </c>
      <c r="D650" s="35" t="s">
        <v>44</v>
      </c>
      <c r="E650" s="35" t="s">
        <v>56</v>
      </c>
      <c r="F650" s="35" t="s">
        <v>54</v>
      </c>
      <c r="G650" s="35" t="s">
        <v>25</v>
      </c>
      <c r="H650" s="35" t="s">
        <v>25</v>
      </c>
      <c r="I650" s="55">
        <v>44713</v>
      </c>
      <c r="J650" s="56">
        <f>EFEITO!$J$650*EFEITO!$Y$525</f>
        <v>0</v>
      </c>
      <c r="K650" s="56">
        <f ca="1">EFEITO!$L$650*EFEITO!$Z$525</f>
        <v>4655.8065828555727</v>
      </c>
      <c r="L650" s="56">
        <f>EFEITO!$N$650*EFEITO!$AA$525</f>
        <v>2260.2015068533874</v>
      </c>
      <c r="M650" s="56">
        <f>$J$650-EFEITO!$K$650*EFEITO!$Y$650</f>
        <v>0</v>
      </c>
      <c r="N650" s="56">
        <f ca="1">$K$650-EFEITO!$M$650*EFEITO!$Z$650</f>
        <v>279.34839497133453</v>
      </c>
      <c r="O650" s="56">
        <f>$L$650-EFEITO!$O$650*EFEITO!$AA$650</f>
        <v>135.6120904112031</v>
      </c>
      <c r="P650" s="39"/>
      <c r="Q650" s="39"/>
      <c r="R650" s="39"/>
      <c r="S650" s="39"/>
      <c r="T650" s="39"/>
      <c r="U650" s="39"/>
      <c r="V650" s="39"/>
      <c r="W650" s="39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35" t="s">
        <v>28</v>
      </c>
      <c r="B651" s="35" t="s">
        <v>43</v>
      </c>
      <c r="C651" s="35" t="s">
        <v>23</v>
      </c>
      <c r="D651" s="35" t="s">
        <v>44</v>
      </c>
      <c r="E651" s="35" t="s">
        <v>56</v>
      </c>
      <c r="F651" s="35" t="s">
        <v>54</v>
      </c>
      <c r="G651" s="35" t="s">
        <v>25</v>
      </c>
      <c r="H651" s="35" t="s">
        <v>25</v>
      </c>
      <c r="I651" s="55">
        <v>44713</v>
      </c>
      <c r="J651" s="56">
        <f>EFEITO!$J$651*EFEITO!$Y$525</f>
        <v>0</v>
      </c>
      <c r="K651" s="56">
        <f ca="1">EFEITO!$L$651*EFEITO!$Z$525</f>
        <v>613.67175191293688</v>
      </c>
      <c r="L651" s="56">
        <f>EFEITO!$N$651*EFEITO!$AA$525</f>
        <v>297.91225079978898</v>
      </c>
      <c r="M651" s="56">
        <f>$J$651-EFEITO!$K$651*EFEITO!$Y$651</f>
        <v>0</v>
      </c>
      <c r="N651" s="56">
        <f ca="1">$K$651-EFEITO!$M$651*EFEITO!$Z$651</f>
        <v>36.820305114776261</v>
      </c>
      <c r="O651" s="56">
        <f>$L$651-EFEITO!$O$651*EFEITO!$AA$651</f>
        <v>17.874735047987315</v>
      </c>
      <c r="P651" s="39"/>
      <c r="Q651" s="39"/>
      <c r="R651" s="39"/>
      <c r="S651" s="39"/>
      <c r="T651" s="39"/>
      <c r="U651" s="39"/>
      <c r="V651" s="39"/>
      <c r="W651" s="39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35" t="s">
        <v>21</v>
      </c>
      <c r="B652" s="35" t="s">
        <v>43</v>
      </c>
      <c r="C652" s="35" t="s">
        <v>23</v>
      </c>
      <c r="D652" s="35" t="s">
        <v>44</v>
      </c>
      <c r="E652" s="35" t="s">
        <v>56</v>
      </c>
      <c r="F652" s="35" t="s">
        <v>54</v>
      </c>
      <c r="G652" s="35" t="s">
        <v>25</v>
      </c>
      <c r="H652" s="35" t="s">
        <v>25</v>
      </c>
      <c r="I652" s="55">
        <v>44743</v>
      </c>
      <c r="J652" s="56">
        <f>EFEITO!$J$652*EFEITO!$Y$525</f>
        <v>0</v>
      </c>
      <c r="K652" s="56">
        <f ca="1">EFEITO!$L$652*EFEITO!$Z$525</f>
        <v>6243.7364735085303</v>
      </c>
      <c r="L652" s="56">
        <f>EFEITO!$N$652*EFEITO!$AA$525</f>
        <v>3031.0757834712235</v>
      </c>
      <c r="M652" s="56">
        <f>$J$652-EFEITO!$K$652*EFEITO!$Y$652</f>
        <v>0</v>
      </c>
      <c r="N652" s="56">
        <f ca="1">$K$652-EFEITO!$M$652*EFEITO!$Z$652</f>
        <v>374.62418841051203</v>
      </c>
      <c r="O652" s="56">
        <f>$L$652-EFEITO!$O$652*EFEITO!$AA$652</f>
        <v>181.8645470082738</v>
      </c>
      <c r="P652" s="39"/>
      <c r="Q652" s="39"/>
      <c r="R652" s="39"/>
      <c r="S652" s="39"/>
      <c r="T652" s="39"/>
      <c r="U652" s="39"/>
      <c r="V652" s="39"/>
      <c r="W652" s="39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35" t="s">
        <v>28</v>
      </c>
      <c r="B653" s="35" t="s">
        <v>43</v>
      </c>
      <c r="C653" s="35" t="s">
        <v>23</v>
      </c>
      <c r="D653" s="35" t="s">
        <v>44</v>
      </c>
      <c r="E653" s="35" t="s">
        <v>56</v>
      </c>
      <c r="F653" s="35" t="s">
        <v>54</v>
      </c>
      <c r="G653" s="35" t="s">
        <v>25</v>
      </c>
      <c r="H653" s="35" t="s">
        <v>25</v>
      </c>
      <c r="I653" s="55">
        <v>44743</v>
      </c>
      <c r="J653" s="56">
        <f>EFEITO!$J$653*EFEITO!$Y$525</f>
        <v>0</v>
      </c>
      <c r="K653" s="56">
        <f ca="1">EFEITO!$L$653*EFEITO!$Z$525</f>
        <v>78.576980017131746</v>
      </c>
      <c r="L653" s="56">
        <f>EFEITO!$N$653*EFEITO!$AA$525</f>
        <v>38.145873433123022</v>
      </c>
      <c r="M653" s="56">
        <f>$J$653-EFEITO!$K$653*EFEITO!$Y$653</f>
        <v>0</v>
      </c>
      <c r="N653" s="56">
        <f ca="1">$K$653-EFEITO!$M$653*EFEITO!$Z$653</f>
        <v>4.7146188010279104</v>
      </c>
      <c r="O653" s="56">
        <f>$L$653-EFEITO!$O$653*EFEITO!$AA$653</f>
        <v>2.2887524059873812</v>
      </c>
      <c r="P653" s="39"/>
      <c r="Q653" s="39"/>
      <c r="R653" s="39"/>
      <c r="S653" s="39"/>
      <c r="T653" s="39"/>
      <c r="U653" s="39"/>
      <c r="V653" s="39"/>
      <c r="W653" s="39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35" t="s">
        <v>21</v>
      </c>
      <c r="B654" s="35" t="s">
        <v>43</v>
      </c>
      <c r="C654" s="35" t="s">
        <v>23</v>
      </c>
      <c r="D654" s="35" t="s">
        <v>44</v>
      </c>
      <c r="E654" s="35" t="s">
        <v>56</v>
      </c>
      <c r="F654" s="35" t="s">
        <v>54</v>
      </c>
      <c r="G654" s="35" t="s">
        <v>25</v>
      </c>
      <c r="H654" s="35" t="s">
        <v>25</v>
      </c>
      <c r="I654" s="55">
        <v>44774</v>
      </c>
      <c r="J654" s="56">
        <f>EFEITO!$J$654*EFEITO!$Y$525</f>
        <v>0</v>
      </c>
      <c r="K654" s="56">
        <f ca="1">EFEITO!$L$654*EFEITO!$Z$525</f>
        <v>4247.9775945457968</v>
      </c>
      <c r="L654" s="56">
        <f>EFEITO!$N$654*EFEITO!$AA$525</f>
        <v>2062.2174030225769</v>
      </c>
      <c r="M654" s="56">
        <f>$J$654-EFEITO!$K$654*EFEITO!$Y$654</f>
        <v>0</v>
      </c>
      <c r="N654" s="56">
        <f ca="1">$K$654-EFEITO!$M$654*EFEITO!$Z$654</f>
        <v>254.87865567274775</v>
      </c>
      <c r="O654" s="56">
        <f>$L$654-EFEITO!$O$654*EFEITO!$AA$654</f>
        <v>123.73304418135444</v>
      </c>
      <c r="P654" s="39"/>
      <c r="Q654" s="39"/>
      <c r="R654" s="39"/>
      <c r="S654" s="39"/>
      <c r="T654" s="39"/>
      <c r="U654" s="39"/>
      <c r="V654" s="39"/>
      <c r="W654" s="39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35" t="s">
        <v>28</v>
      </c>
      <c r="B655" s="35" t="s">
        <v>43</v>
      </c>
      <c r="C655" s="35" t="s">
        <v>23</v>
      </c>
      <c r="D655" s="35" t="s">
        <v>44</v>
      </c>
      <c r="E655" s="35" t="s">
        <v>56</v>
      </c>
      <c r="F655" s="35" t="s">
        <v>54</v>
      </c>
      <c r="G655" s="35" t="s">
        <v>25</v>
      </c>
      <c r="H655" s="35" t="s">
        <v>25</v>
      </c>
      <c r="I655" s="55">
        <v>44774</v>
      </c>
      <c r="J655" s="56">
        <f>EFEITO!$J$655*EFEITO!$Y$525</f>
        <v>0</v>
      </c>
      <c r="K655" s="56">
        <f ca="1">EFEITO!$L$655*EFEITO!$Z$525</f>
        <v>991.61256377447853</v>
      </c>
      <c r="L655" s="56">
        <f>EFEITO!$N$655*EFEITO!$AA$525</f>
        <v>481.38688130020893</v>
      </c>
      <c r="M655" s="56">
        <f>$J$655-EFEITO!$K$655*EFEITO!$Y$655</f>
        <v>0</v>
      </c>
      <c r="N655" s="56">
        <f ca="1">$K$655-EFEITO!$M$655*EFEITO!$Z$655</f>
        <v>59.496753826468762</v>
      </c>
      <c r="O655" s="56">
        <f>$L$655-EFEITO!$O$655*EFEITO!$AA$655</f>
        <v>28.883212878012557</v>
      </c>
      <c r="P655" s="39"/>
      <c r="Q655" s="39"/>
      <c r="R655" s="39"/>
      <c r="S655" s="39"/>
      <c r="T655" s="39"/>
      <c r="U655" s="39"/>
      <c r="V655" s="39"/>
      <c r="W655" s="39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35" t="s">
        <v>21</v>
      </c>
      <c r="B656" s="35" t="s">
        <v>43</v>
      </c>
      <c r="C656" s="35" t="s">
        <v>23</v>
      </c>
      <c r="D656" s="35" t="s">
        <v>44</v>
      </c>
      <c r="E656" s="35" t="s">
        <v>56</v>
      </c>
      <c r="F656" s="35" t="s">
        <v>54</v>
      </c>
      <c r="G656" s="35" t="s">
        <v>25</v>
      </c>
      <c r="H656" s="35" t="s">
        <v>25</v>
      </c>
      <c r="I656" s="55">
        <v>44805</v>
      </c>
      <c r="J656" s="56">
        <f>EFEITO!$J$656*EFEITO!$Y$525</f>
        <v>0</v>
      </c>
      <c r="K656" s="56">
        <f ca="1">EFEITO!$L$656*EFEITO!$Z$525</f>
        <v>5161.4952456652127</v>
      </c>
      <c r="L656" s="56">
        <f>EFEITO!$N$656*EFEITO!$AA$525</f>
        <v>2505.6924346530568</v>
      </c>
      <c r="M656" s="56">
        <f>$J$656-EFEITO!$K$656*EFEITO!$Y$656</f>
        <v>0</v>
      </c>
      <c r="N656" s="56">
        <f ca="1">$K$656-EFEITO!$M$656*EFEITO!$Z$656</f>
        <v>309.68971473991314</v>
      </c>
      <c r="O656" s="56">
        <f>$L$656-EFEITO!$O$656*EFEITO!$AA$656</f>
        <v>150.34154607918344</v>
      </c>
      <c r="P656" s="39"/>
      <c r="Q656" s="39"/>
      <c r="R656" s="39"/>
      <c r="S656" s="39"/>
      <c r="T656" s="39"/>
      <c r="U656" s="39"/>
      <c r="V656" s="39"/>
      <c r="W656" s="39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35" t="s">
        <v>28</v>
      </c>
      <c r="B657" s="35" t="s">
        <v>43</v>
      </c>
      <c r="C657" s="35" t="s">
        <v>23</v>
      </c>
      <c r="D657" s="35" t="s">
        <v>44</v>
      </c>
      <c r="E657" s="35" t="s">
        <v>56</v>
      </c>
      <c r="F657" s="35" t="s">
        <v>54</v>
      </c>
      <c r="G657" s="35" t="s">
        <v>25</v>
      </c>
      <c r="H657" s="35" t="s">
        <v>25</v>
      </c>
      <c r="I657" s="55">
        <v>44805</v>
      </c>
      <c r="J657" s="56">
        <f>EFEITO!$J$657*EFEITO!$Y$525</f>
        <v>0</v>
      </c>
      <c r="K657" s="56">
        <f ca="1">EFEITO!$L$657*EFEITO!$Z$525</f>
        <v>3362.4198504263431</v>
      </c>
      <c r="L657" s="56">
        <f>EFEITO!$N$657*EFEITO!$AA$525</f>
        <v>1632.3157496689146</v>
      </c>
      <c r="M657" s="56">
        <f>$J$657-EFEITO!$K$657*EFEITO!$Y$657</f>
        <v>0</v>
      </c>
      <c r="N657" s="56">
        <f ca="1">$K$657-EFEITO!$M$657*EFEITO!$Z$657</f>
        <v>201.74519102558088</v>
      </c>
      <c r="O657" s="56">
        <f>$L$657-EFEITO!$O$657*EFEITO!$AA$657</f>
        <v>97.93894498013492</v>
      </c>
      <c r="P657" s="39"/>
      <c r="Q657" s="39"/>
      <c r="R657" s="39"/>
      <c r="S657" s="39"/>
      <c r="T657" s="39"/>
      <c r="U657" s="39"/>
      <c r="V657" s="39"/>
      <c r="W657" s="39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35" t="s">
        <v>57</v>
      </c>
      <c r="B658" s="35" t="s">
        <v>43</v>
      </c>
      <c r="C658" s="35" t="s">
        <v>23</v>
      </c>
      <c r="D658" s="35" t="s">
        <v>44</v>
      </c>
      <c r="E658" s="35" t="s">
        <v>56</v>
      </c>
      <c r="F658" s="35" t="s">
        <v>54</v>
      </c>
      <c r="G658" s="35" t="s">
        <v>25</v>
      </c>
      <c r="H658" s="35" t="s">
        <v>25</v>
      </c>
      <c r="I658" s="55">
        <v>44835</v>
      </c>
      <c r="J658" s="56">
        <f>EFEITO!$J$658*EFEITO!$Y$525</f>
        <v>0</v>
      </c>
      <c r="K658" s="56">
        <f ca="1">EFEITO!$L$658*EFEITO!$Z$525</f>
        <v>5161.4952456652127</v>
      </c>
      <c r="L658" s="56">
        <f>EFEITO!$N$658*EFEITO!$AA$525</f>
        <v>2505.6924346530568</v>
      </c>
      <c r="M658" s="56">
        <f>$J$658-EFEITO!$K$658*EFEITO!$Y$658</f>
        <v>0</v>
      </c>
      <c r="N658" s="56">
        <f ca="1">$K$658-EFEITO!$M$658*EFEITO!$Z$658</f>
        <v>309.68971473991314</v>
      </c>
      <c r="O658" s="56">
        <f>$L$658-EFEITO!$O$658*EFEITO!$AA$658</f>
        <v>150.34154607918344</v>
      </c>
      <c r="P658" s="39"/>
      <c r="Q658" s="39"/>
      <c r="R658" s="39"/>
      <c r="S658" s="39"/>
      <c r="T658" s="39"/>
      <c r="U658" s="39"/>
      <c r="V658" s="39"/>
      <c r="W658" s="39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35" t="s">
        <v>57</v>
      </c>
      <c r="B659" s="35" t="s">
        <v>43</v>
      </c>
      <c r="C659" s="35" t="s">
        <v>23</v>
      </c>
      <c r="D659" s="35" t="s">
        <v>44</v>
      </c>
      <c r="E659" s="35" t="s">
        <v>56</v>
      </c>
      <c r="F659" s="35" t="s">
        <v>54</v>
      </c>
      <c r="G659" s="35" t="s">
        <v>25</v>
      </c>
      <c r="H659" s="35" t="s">
        <v>25</v>
      </c>
      <c r="I659" s="55">
        <v>44835</v>
      </c>
      <c r="J659" s="56">
        <f>EFEITO!$J$659*EFEITO!$Y$525</f>
        <v>0</v>
      </c>
      <c r="K659" s="56">
        <f ca="1">EFEITO!$L$659*EFEITO!$Z$525</f>
        <v>3362.4198504263431</v>
      </c>
      <c r="L659" s="56">
        <f>EFEITO!$N$659*EFEITO!$AA$525</f>
        <v>1632.3157496689146</v>
      </c>
      <c r="M659" s="56">
        <f>$J$659-EFEITO!$K$659*EFEITO!$Y$659</f>
        <v>0</v>
      </c>
      <c r="N659" s="56">
        <f ca="1">$K$659-EFEITO!$M$659*EFEITO!$Z$659</f>
        <v>201.74519102558088</v>
      </c>
      <c r="O659" s="56">
        <f>$L$659-EFEITO!$O$659*EFEITO!$AA$659</f>
        <v>97.93894498013492</v>
      </c>
      <c r="P659" s="39"/>
      <c r="Q659" s="39"/>
      <c r="R659" s="39"/>
      <c r="S659" s="39"/>
      <c r="T659" s="39"/>
      <c r="U659" s="39"/>
      <c r="V659" s="39"/>
      <c r="W659" s="39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35" t="s">
        <v>21</v>
      </c>
      <c r="B660" s="35" t="s">
        <v>43</v>
      </c>
      <c r="C660" s="35" t="s">
        <v>23</v>
      </c>
      <c r="D660" s="35" t="s">
        <v>44</v>
      </c>
      <c r="E660" s="35" t="s">
        <v>56</v>
      </c>
      <c r="F660" s="35" t="s">
        <v>55</v>
      </c>
      <c r="G660" s="35" t="s">
        <v>25</v>
      </c>
      <c r="H660" s="35" t="s">
        <v>25</v>
      </c>
      <c r="I660" s="55">
        <v>44501</v>
      </c>
      <c r="J660" s="56">
        <f>EFEITO!$J$660*EFEITO!$Y$525</f>
        <v>0</v>
      </c>
      <c r="K660" s="56">
        <f ca="1">EFEITO!$L$660*EFEITO!$Z$525</f>
        <v>8014.8519617474385</v>
      </c>
      <c r="L660" s="56">
        <f>EFEITO!$N$660*EFEITO!$AA$525</f>
        <v>3890.8790901785487</v>
      </c>
      <c r="M660" s="56">
        <f>$J$660-EFEITO!$K$660*EFEITO!$Y$660</f>
        <v>0</v>
      </c>
      <c r="N660" s="56">
        <f ca="1">$K$660-EFEITO!$M$660*EFEITO!$Z$660</f>
        <v>5528.6448832133829</v>
      </c>
      <c r="O660" s="56">
        <f>$L$660-EFEITO!$O$660*EFEITO!$AA$660</f>
        <v>2683.9283964051629</v>
      </c>
      <c r="P660" s="39"/>
      <c r="Q660" s="39"/>
      <c r="R660" s="39"/>
      <c r="S660" s="39"/>
      <c r="T660" s="39"/>
      <c r="U660" s="39"/>
      <c r="V660" s="39"/>
      <c r="W660" s="39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35" t="s">
        <v>28</v>
      </c>
      <c r="B661" s="35" t="s">
        <v>43</v>
      </c>
      <c r="C661" s="35" t="s">
        <v>23</v>
      </c>
      <c r="D661" s="35" t="s">
        <v>44</v>
      </c>
      <c r="E661" s="35" t="s">
        <v>56</v>
      </c>
      <c r="F661" s="35" t="s">
        <v>55</v>
      </c>
      <c r="G661" s="35" t="s">
        <v>25</v>
      </c>
      <c r="H661" s="35" t="s">
        <v>25</v>
      </c>
      <c r="I661" s="55">
        <v>44501</v>
      </c>
      <c r="J661" s="56">
        <f>EFEITO!$J$661*EFEITO!$Y$525</f>
        <v>0</v>
      </c>
      <c r="K661" s="56">
        <f ca="1">EFEITO!$L$661*EFEITO!$Z$525</f>
        <v>1087.0619014640006</v>
      </c>
      <c r="L661" s="56">
        <f>EFEITO!$N$661*EFEITO!$AA$525</f>
        <v>527.72358645210068</v>
      </c>
      <c r="M661" s="56">
        <f>$J$661-EFEITO!$K$661*EFEITO!$Y$661</f>
        <v>0</v>
      </c>
      <c r="N661" s="56">
        <f ca="1">$K$661-EFEITO!$M$661*EFEITO!$Z$661</f>
        <v>65.223714087840108</v>
      </c>
      <c r="O661" s="56">
        <f>$L$661-EFEITO!$O$661*EFEITO!$AA$661</f>
        <v>31.66341518712602</v>
      </c>
      <c r="P661" s="39"/>
      <c r="Q661" s="39"/>
      <c r="R661" s="39"/>
      <c r="S661" s="39"/>
      <c r="T661" s="39"/>
      <c r="U661" s="39"/>
      <c r="V661" s="39"/>
      <c r="W661" s="39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35" t="s">
        <v>21</v>
      </c>
      <c r="B662" s="35" t="s">
        <v>43</v>
      </c>
      <c r="C662" s="35" t="s">
        <v>23</v>
      </c>
      <c r="D662" s="35" t="s">
        <v>44</v>
      </c>
      <c r="E662" s="35" t="s">
        <v>56</v>
      </c>
      <c r="F662" s="35" t="s">
        <v>55</v>
      </c>
      <c r="G662" s="35" t="s">
        <v>25</v>
      </c>
      <c r="H662" s="35" t="s">
        <v>25</v>
      </c>
      <c r="I662" s="55">
        <v>44531</v>
      </c>
      <c r="J662" s="56">
        <f>EFEITO!$J$662*EFEITO!$Y$525</f>
        <v>0</v>
      </c>
      <c r="K662" s="56">
        <f ca="1">EFEITO!$L$662*EFEITO!$Z$525</f>
        <v>9280.7608545387757</v>
      </c>
      <c r="L662" s="56">
        <f>EFEITO!$N$662*EFEITO!$AA$525</f>
        <v>4505.4254928495975</v>
      </c>
      <c r="M662" s="56">
        <f>$J$662-EFEITO!$K$662*EFEITO!$Y$662</f>
        <v>0</v>
      </c>
      <c r="N662" s="56">
        <f ca="1">$K$662-EFEITO!$M$662*EFEITO!$Z$662</f>
        <v>6401.8688374608482</v>
      </c>
      <c r="O662" s="56">
        <f>$L$662-EFEITO!$O$662*EFEITO!$AA$662</f>
        <v>3107.8425049676525</v>
      </c>
      <c r="P662" s="39"/>
      <c r="Q662" s="39"/>
      <c r="R662" s="39"/>
      <c r="S662" s="39"/>
      <c r="T662" s="39"/>
      <c r="U662" s="39"/>
      <c r="V662" s="39"/>
      <c r="W662" s="39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35" t="s">
        <v>28</v>
      </c>
      <c r="B663" s="35" t="s">
        <v>43</v>
      </c>
      <c r="C663" s="35" t="s">
        <v>23</v>
      </c>
      <c r="D663" s="35" t="s">
        <v>44</v>
      </c>
      <c r="E663" s="35" t="s">
        <v>56</v>
      </c>
      <c r="F663" s="35" t="s">
        <v>55</v>
      </c>
      <c r="G663" s="35" t="s">
        <v>25</v>
      </c>
      <c r="H663" s="35" t="s">
        <v>25</v>
      </c>
      <c r="I663" s="55">
        <v>44531</v>
      </c>
      <c r="J663" s="56">
        <f>EFEITO!$J$663*EFEITO!$Y$525</f>
        <v>0</v>
      </c>
      <c r="K663" s="56">
        <f ca="1">EFEITO!$L$663*EFEITO!$Z$525</f>
        <v>988.23809224000047</v>
      </c>
      <c r="L663" s="56">
        <f>EFEITO!$N$663*EFEITO!$AA$525</f>
        <v>479.74871495645516</v>
      </c>
      <c r="M663" s="56">
        <f>$J$663-EFEITO!$K$663*EFEITO!$Y$663</f>
        <v>0</v>
      </c>
      <c r="N663" s="56">
        <f ca="1">$K$663-EFEITO!$M$663*EFEITO!$Z$663</f>
        <v>681.68663602715242</v>
      </c>
      <c r="O663" s="56">
        <f>$L$663-EFEITO!$O$663*EFEITO!$AA$663</f>
        <v>330.93066357696273</v>
      </c>
      <c r="P663" s="39"/>
      <c r="Q663" s="39"/>
      <c r="R663" s="39"/>
      <c r="S663" s="39"/>
      <c r="T663" s="39"/>
      <c r="U663" s="39"/>
      <c r="V663" s="39"/>
      <c r="W663" s="39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35" t="s">
        <v>21</v>
      </c>
      <c r="B664" s="35" t="s">
        <v>43</v>
      </c>
      <c r="C664" s="35" t="s">
        <v>23</v>
      </c>
      <c r="D664" s="35" t="s">
        <v>44</v>
      </c>
      <c r="E664" s="35" t="s">
        <v>56</v>
      </c>
      <c r="F664" s="35" t="s">
        <v>55</v>
      </c>
      <c r="G664" s="35" t="s">
        <v>25</v>
      </c>
      <c r="H664" s="35" t="s">
        <v>25</v>
      </c>
      <c r="I664" s="55">
        <v>44562</v>
      </c>
      <c r="J664" s="56">
        <f>EFEITO!$J$664*EFEITO!$Y$525</f>
        <v>0</v>
      </c>
      <c r="K664" s="56">
        <f ca="1">EFEITO!$L$664*EFEITO!$Z$525</f>
        <v>9094.6828527804137</v>
      </c>
      <c r="L664" s="56">
        <f>EFEITO!$N$664*EFEITO!$AA$525</f>
        <v>4415.0923201797477</v>
      </c>
      <c r="M664" s="56">
        <f>$J$664-EFEITO!$K$664*EFEITO!$Y$664</f>
        <v>0</v>
      </c>
      <c r="N664" s="56">
        <f ca="1">$K$664-EFEITO!$M$664*EFEITO!$Z$664</f>
        <v>6273.5122318479298</v>
      </c>
      <c r="O664" s="56">
        <f>$L$664-EFEITO!$O$664*EFEITO!$AA$664</f>
        <v>3045.5306824599897</v>
      </c>
      <c r="P664" s="39"/>
      <c r="Q664" s="39"/>
      <c r="R664" s="39"/>
      <c r="S664" s="39"/>
      <c r="T664" s="39"/>
      <c r="U664" s="39"/>
      <c r="V664" s="39"/>
      <c r="W664" s="39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35" t="s">
        <v>28</v>
      </c>
      <c r="B665" s="35" t="s">
        <v>43</v>
      </c>
      <c r="C665" s="35" t="s">
        <v>23</v>
      </c>
      <c r="D665" s="35" t="s">
        <v>44</v>
      </c>
      <c r="E665" s="35" t="s">
        <v>56</v>
      </c>
      <c r="F665" s="35" t="s">
        <v>55</v>
      </c>
      <c r="G665" s="35" t="s">
        <v>25</v>
      </c>
      <c r="H665" s="35" t="s">
        <v>25</v>
      </c>
      <c r="I665" s="55">
        <v>44562</v>
      </c>
      <c r="J665" s="56">
        <f>EFEITO!$J$665*EFEITO!$Y$525</f>
        <v>0</v>
      </c>
      <c r="K665" s="56">
        <f ca="1">EFEITO!$L$665*EFEITO!$Z$525</f>
        <v>1087.0619014640006</v>
      </c>
      <c r="L665" s="56">
        <f>EFEITO!$N$665*EFEITO!$AA$525</f>
        <v>527.72358645210068</v>
      </c>
      <c r="M665" s="56">
        <f>$J$665-EFEITO!$K$665*EFEITO!$Y$665</f>
        <v>0</v>
      </c>
      <c r="N665" s="56">
        <f ca="1">$K$665-EFEITO!$M$665*EFEITO!$Z$665</f>
        <v>749.85529962986766</v>
      </c>
      <c r="O665" s="56">
        <f>$L$665-EFEITO!$O$665*EFEITO!$AA$665</f>
        <v>364.02372993465906</v>
      </c>
      <c r="P665" s="39"/>
      <c r="Q665" s="39"/>
      <c r="R665" s="39"/>
      <c r="S665" s="39"/>
      <c r="T665" s="39"/>
      <c r="U665" s="39"/>
      <c r="V665" s="39"/>
      <c r="W665" s="39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35" t="s">
        <v>21</v>
      </c>
      <c r="B666" s="35" t="s">
        <v>43</v>
      </c>
      <c r="C666" s="35" t="s">
        <v>23</v>
      </c>
      <c r="D666" s="35" t="s">
        <v>44</v>
      </c>
      <c r="E666" s="35" t="s">
        <v>56</v>
      </c>
      <c r="F666" s="35" t="s">
        <v>55</v>
      </c>
      <c r="G666" s="35" t="s">
        <v>25</v>
      </c>
      <c r="H666" s="35" t="s">
        <v>25</v>
      </c>
      <c r="I666" s="55">
        <v>44593</v>
      </c>
      <c r="J666" s="56">
        <f>EFEITO!$J$666*EFEITO!$Y$525</f>
        <v>0</v>
      </c>
      <c r="K666" s="56">
        <f ca="1">EFEITO!$L$666*EFEITO!$Z$525</f>
        <v>8358.0839235400636</v>
      </c>
      <c r="L666" s="56">
        <f>EFEITO!$N$666*EFEITO!$AA$525</f>
        <v>4057.5040097146443</v>
      </c>
      <c r="M666" s="56">
        <f>$J$666-EFEITO!$K$666*EFEITO!$Y$666</f>
        <v>0</v>
      </c>
      <c r="N666" s="56">
        <f ca="1">$K$666-EFEITO!$M$666*EFEITO!$Z$666</f>
        <v>5765.4062904579359</v>
      </c>
      <c r="O666" s="56">
        <f>$L$666-EFEITO!$O$666*EFEITO!$AA$666</f>
        <v>2798.8662659011616</v>
      </c>
      <c r="P666" s="39"/>
      <c r="Q666" s="39"/>
      <c r="R666" s="39"/>
      <c r="S666" s="39"/>
      <c r="T666" s="39"/>
      <c r="U666" s="39"/>
      <c r="V666" s="39"/>
      <c r="W666" s="39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35" t="s">
        <v>28</v>
      </c>
      <c r="B667" s="35" t="s">
        <v>43</v>
      </c>
      <c r="C667" s="35" t="s">
        <v>23</v>
      </c>
      <c r="D667" s="35" t="s">
        <v>44</v>
      </c>
      <c r="E667" s="35" t="s">
        <v>56</v>
      </c>
      <c r="F667" s="35" t="s">
        <v>55</v>
      </c>
      <c r="G667" s="35" t="s">
        <v>25</v>
      </c>
      <c r="H667" s="35" t="s">
        <v>25</v>
      </c>
      <c r="I667" s="55">
        <v>44593</v>
      </c>
      <c r="J667" s="56">
        <f>EFEITO!$J$667*EFEITO!$Y$525</f>
        <v>0</v>
      </c>
      <c r="K667" s="56">
        <f ca="1">EFEITO!$L$667*EFEITO!$Z$525</f>
        <v>948.70856855040051</v>
      </c>
      <c r="L667" s="56">
        <f>EFEITO!$N$667*EFEITO!$AA$525</f>
        <v>460.55876635819698</v>
      </c>
      <c r="M667" s="56">
        <f>$J$667-EFEITO!$K$667*EFEITO!$Y$667</f>
        <v>0</v>
      </c>
      <c r="N667" s="56">
        <f ca="1">$K$667-EFEITO!$M$667*EFEITO!$Z$667</f>
        <v>654.41917058606623</v>
      </c>
      <c r="O667" s="56">
        <f>$L$667-EFEITO!$O$667*EFEITO!$AA$667</f>
        <v>317.69343703388427</v>
      </c>
      <c r="P667" s="39"/>
      <c r="Q667" s="39"/>
      <c r="R667" s="39"/>
      <c r="S667" s="39"/>
      <c r="T667" s="39"/>
      <c r="U667" s="39"/>
      <c r="V667" s="39"/>
      <c r="W667" s="39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35" t="s">
        <v>21</v>
      </c>
      <c r="B668" s="35" t="s">
        <v>43</v>
      </c>
      <c r="C668" s="35" t="s">
        <v>23</v>
      </c>
      <c r="D668" s="35" t="s">
        <v>44</v>
      </c>
      <c r="E668" s="35" t="s">
        <v>56</v>
      </c>
      <c r="F668" s="35" t="s">
        <v>55</v>
      </c>
      <c r="G668" s="35" t="s">
        <v>25</v>
      </c>
      <c r="H668" s="35" t="s">
        <v>25</v>
      </c>
      <c r="I668" s="55">
        <v>44621</v>
      </c>
      <c r="J668" s="56">
        <f>EFEITO!$J$668*EFEITO!$Y$525</f>
        <v>0</v>
      </c>
      <c r="K668" s="56">
        <f ca="1">EFEITO!$L$668*EFEITO!$Z$525</f>
        <v>8316.62613040219</v>
      </c>
      <c r="L668" s="56">
        <f>EFEITO!$N$668*EFEITO!$AA$525</f>
        <v>4037.377966062812</v>
      </c>
      <c r="M668" s="56">
        <f>$J$668-EFEITO!$K$668*EFEITO!$Y$668</f>
        <v>0</v>
      </c>
      <c r="N668" s="56">
        <f ca="1">$K$668-EFEITO!$M$668*EFEITO!$Z$668</f>
        <v>5736.8087047514309</v>
      </c>
      <c r="O668" s="56">
        <f>$L$668-EFEITO!$O$668*EFEITO!$AA$668</f>
        <v>2784.9833209901276</v>
      </c>
      <c r="P668" s="39"/>
      <c r="Q668" s="39"/>
      <c r="R668" s="39"/>
      <c r="S668" s="39"/>
      <c r="T668" s="39"/>
      <c r="U668" s="39"/>
      <c r="V668" s="39"/>
      <c r="W668" s="39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35" t="s">
        <v>28</v>
      </c>
      <c r="B669" s="35" t="s">
        <v>43</v>
      </c>
      <c r="C669" s="35" t="s">
        <v>23</v>
      </c>
      <c r="D669" s="35" t="s">
        <v>44</v>
      </c>
      <c r="E669" s="35" t="s">
        <v>56</v>
      </c>
      <c r="F669" s="35" t="s">
        <v>55</v>
      </c>
      <c r="G669" s="35" t="s">
        <v>25</v>
      </c>
      <c r="H669" s="35" t="s">
        <v>25</v>
      </c>
      <c r="I669" s="55">
        <v>44621</v>
      </c>
      <c r="J669" s="56">
        <f>EFEITO!$J$669*EFEITO!$Y$525</f>
        <v>0</v>
      </c>
      <c r="K669" s="56">
        <f ca="1">EFEITO!$L$669*EFEITO!$Z$525</f>
        <v>790.59047379200035</v>
      </c>
      <c r="L669" s="56">
        <f>EFEITO!$N$669*EFEITO!$AA$525</f>
        <v>383.79897196516413</v>
      </c>
      <c r="M669" s="56">
        <f>$J$669-EFEITO!$K$669*EFEITO!$Y$669</f>
        <v>0</v>
      </c>
      <c r="N669" s="56">
        <f ca="1">$K$669-EFEITO!$M$669*EFEITO!$Z$669</f>
        <v>545.34930882172182</v>
      </c>
      <c r="O669" s="56">
        <f>$L$669-EFEITO!$O$669*EFEITO!$AA$669</f>
        <v>264.74453086157018</v>
      </c>
      <c r="P669" s="39"/>
      <c r="Q669" s="39"/>
      <c r="R669" s="39"/>
      <c r="S669" s="39"/>
      <c r="T669" s="39"/>
      <c r="U669" s="39"/>
      <c r="V669" s="39"/>
      <c r="W669" s="39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35" t="s">
        <v>21</v>
      </c>
      <c r="B670" s="35" t="s">
        <v>43</v>
      </c>
      <c r="C670" s="35" t="s">
        <v>23</v>
      </c>
      <c r="D670" s="35" t="s">
        <v>44</v>
      </c>
      <c r="E670" s="35" t="s">
        <v>56</v>
      </c>
      <c r="F670" s="35" t="s">
        <v>55</v>
      </c>
      <c r="G670" s="35" t="s">
        <v>25</v>
      </c>
      <c r="H670" s="35" t="s">
        <v>25</v>
      </c>
      <c r="I670" s="55">
        <v>44652</v>
      </c>
      <c r="J670" s="56">
        <f>EFEITO!$J$670*EFEITO!$Y$525</f>
        <v>0</v>
      </c>
      <c r="K670" s="56">
        <f ca="1">EFEITO!$L$670*EFEITO!$Z$525</f>
        <v>9003.0900539874383</v>
      </c>
      <c r="L670" s="56">
        <f>EFEITO!$N$670*EFEITO!$AA$525</f>
        <v>4370.6278051350037</v>
      </c>
      <c r="M670" s="56">
        <f>$J$670-EFEITO!$K$670*EFEITO!$Y$670</f>
        <v>0</v>
      </c>
      <c r="N670" s="56">
        <f ca="1">$K$670-EFEITO!$M$670*EFEITO!$Z$670</f>
        <v>6210.3315192405353</v>
      </c>
      <c r="O670" s="56">
        <f>$L$670-EFEITO!$O$670*EFEITO!$AA$670</f>
        <v>3014.8590599821255</v>
      </c>
      <c r="P670" s="39"/>
      <c r="Q670" s="39"/>
      <c r="R670" s="39"/>
      <c r="S670" s="39"/>
      <c r="T670" s="39"/>
      <c r="U670" s="39"/>
      <c r="V670" s="39"/>
      <c r="W670" s="39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35" t="s">
        <v>28</v>
      </c>
      <c r="B671" s="35" t="s">
        <v>43</v>
      </c>
      <c r="C671" s="35" t="s">
        <v>23</v>
      </c>
      <c r="D671" s="35" t="s">
        <v>44</v>
      </c>
      <c r="E671" s="35" t="s">
        <v>56</v>
      </c>
      <c r="F671" s="35" t="s">
        <v>55</v>
      </c>
      <c r="G671" s="35" t="s">
        <v>25</v>
      </c>
      <c r="H671" s="35" t="s">
        <v>25</v>
      </c>
      <c r="I671" s="55">
        <v>44652</v>
      </c>
      <c r="J671" s="56">
        <f>EFEITO!$J$671*EFEITO!$Y$525</f>
        <v>0</v>
      </c>
      <c r="K671" s="56">
        <f ca="1">EFEITO!$L$671*EFEITO!$Z$525</f>
        <v>988.23809224000047</v>
      </c>
      <c r="L671" s="56">
        <f>EFEITO!$N$671*EFEITO!$AA$525</f>
        <v>479.74871495645516</v>
      </c>
      <c r="M671" s="56">
        <f>$J$671-EFEITO!$K$671*EFEITO!$Y$671</f>
        <v>0</v>
      </c>
      <c r="N671" s="56">
        <f ca="1">$K$671-EFEITO!$M$671*EFEITO!$Z$671</f>
        <v>681.68663602715242</v>
      </c>
      <c r="O671" s="56">
        <f>$L$671-EFEITO!$O$671*EFEITO!$AA$671</f>
        <v>330.93066357696273</v>
      </c>
      <c r="P671" s="39"/>
      <c r="Q671" s="39"/>
      <c r="R671" s="39"/>
      <c r="S671" s="39"/>
      <c r="T671" s="39"/>
      <c r="U671" s="39"/>
      <c r="V671" s="39"/>
      <c r="W671" s="39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35" t="s">
        <v>21</v>
      </c>
      <c r="B672" s="35" t="s">
        <v>43</v>
      </c>
      <c r="C672" s="35" t="s">
        <v>23</v>
      </c>
      <c r="D672" s="35" t="s">
        <v>44</v>
      </c>
      <c r="E672" s="35" t="s">
        <v>56</v>
      </c>
      <c r="F672" s="35" t="s">
        <v>55</v>
      </c>
      <c r="G672" s="35" t="s">
        <v>25</v>
      </c>
      <c r="H672" s="35" t="s">
        <v>25</v>
      </c>
      <c r="I672" s="55">
        <v>44682</v>
      </c>
      <c r="J672" s="56">
        <f>EFEITO!$J$672*EFEITO!$Y$525</f>
        <v>0</v>
      </c>
      <c r="K672" s="56">
        <f ca="1">EFEITO!$L$672*EFEITO!$Z$525</f>
        <v>8592.8507288673209</v>
      </c>
      <c r="L672" s="56">
        <f>EFEITO!$N$672*EFEITO!$AA$525</f>
        <v>4171.4735824872259</v>
      </c>
      <c r="M672" s="56">
        <f>$J$672-EFEITO!$K$672*EFEITO!$Y$672</f>
        <v>0</v>
      </c>
      <c r="N672" s="56">
        <f ca="1">$K$672-EFEITO!$M$672*EFEITO!$Z$672</f>
        <v>5927.3484327726783</v>
      </c>
      <c r="O672" s="56">
        <f>$L$672-EFEITO!$O$672*EFEITO!$AA$672</f>
        <v>2877.4824771996882</v>
      </c>
      <c r="P672" s="39"/>
      <c r="Q672" s="39"/>
      <c r="R672" s="39"/>
      <c r="S672" s="39"/>
      <c r="T672" s="39"/>
      <c r="U672" s="39"/>
      <c r="V672" s="39"/>
      <c r="W672" s="39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35" t="s">
        <v>28</v>
      </c>
      <c r="B673" s="35" t="s">
        <v>43</v>
      </c>
      <c r="C673" s="35" t="s">
        <v>23</v>
      </c>
      <c r="D673" s="35" t="s">
        <v>44</v>
      </c>
      <c r="E673" s="35" t="s">
        <v>56</v>
      </c>
      <c r="F673" s="35" t="s">
        <v>55</v>
      </c>
      <c r="G673" s="35" t="s">
        <v>25</v>
      </c>
      <c r="H673" s="35" t="s">
        <v>25</v>
      </c>
      <c r="I673" s="55">
        <v>44682</v>
      </c>
      <c r="J673" s="56">
        <f>EFEITO!$J$673*EFEITO!$Y$525</f>
        <v>0</v>
      </c>
      <c r="K673" s="56">
        <f ca="1">EFEITO!$L$673*EFEITO!$Z$525</f>
        <v>1324.2390436016005</v>
      </c>
      <c r="L673" s="56">
        <f>EFEITO!$N$673*EFEITO!$AA$525</f>
        <v>642.86327804165001</v>
      </c>
      <c r="M673" s="56">
        <f>$J$673-EFEITO!$K$673*EFEITO!$Y$673</f>
        <v>0</v>
      </c>
      <c r="N673" s="56">
        <f ca="1">$K$673-EFEITO!$M$673*EFEITO!$Z$673</f>
        <v>913.46009227638399</v>
      </c>
      <c r="O673" s="56">
        <f>$L$673-EFEITO!$O$673*EFEITO!$AA$673</f>
        <v>443.44708919313018</v>
      </c>
      <c r="P673" s="39"/>
      <c r="Q673" s="39"/>
      <c r="R673" s="39"/>
      <c r="S673" s="39"/>
      <c r="T673" s="39"/>
      <c r="U673" s="39"/>
      <c r="V673" s="39"/>
      <c r="W673" s="39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35" t="s">
        <v>21</v>
      </c>
      <c r="B674" s="35" t="s">
        <v>43</v>
      </c>
      <c r="C674" s="35" t="s">
        <v>23</v>
      </c>
      <c r="D674" s="35" t="s">
        <v>44</v>
      </c>
      <c r="E674" s="35" t="s">
        <v>56</v>
      </c>
      <c r="F674" s="35" t="s">
        <v>55</v>
      </c>
      <c r="G674" s="35" t="s">
        <v>25</v>
      </c>
      <c r="H674" s="35" t="s">
        <v>25</v>
      </c>
      <c r="I674" s="55">
        <v>44713</v>
      </c>
      <c r="J674" s="56">
        <f>EFEITO!$J$674*EFEITO!$Y$525</f>
        <v>0</v>
      </c>
      <c r="K674" s="56">
        <f ca="1">EFEITO!$L$674*EFEITO!$Z$525</f>
        <v>7880.8372350924528</v>
      </c>
      <c r="L674" s="56">
        <f>EFEITO!$N$674*EFEITO!$AA$525</f>
        <v>3825.820483955185</v>
      </c>
      <c r="M674" s="56">
        <f>$J$674-EFEITO!$K$674*EFEITO!$Y$674</f>
        <v>0</v>
      </c>
      <c r="N674" s="56">
        <f ca="1">$K$674-EFEITO!$M$674*EFEITO!$Z$674</f>
        <v>5436.2015247667741</v>
      </c>
      <c r="O674" s="56">
        <f>$L$674-EFEITO!$O$674*EFEITO!$AA$674</f>
        <v>2639.0509698322867</v>
      </c>
      <c r="P674" s="39"/>
      <c r="Q674" s="39"/>
      <c r="R674" s="39"/>
      <c r="S674" s="39"/>
      <c r="T674" s="39"/>
      <c r="U674" s="39"/>
      <c r="V674" s="39"/>
      <c r="W674" s="39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35" t="s">
        <v>28</v>
      </c>
      <c r="B675" s="35" t="s">
        <v>43</v>
      </c>
      <c r="C675" s="35" t="s">
        <v>23</v>
      </c>
      <c r="D675" s="35" t="s">
        <v>44</v>
      </c>
      <c r="E675" s="35" t="s">
        <v>56</v>
      </c>
      <c r="F675" s="35" t="s">
        <v>55</v>
      </c>
      <c r="G675" s="35" t="s">
        <v>25</v>
      </c>
      <c r="H675" s="35" t="s">
        <v>25</v>
      </c>
      <c r="I675" s="55">
        <v>44713</v>
      </c>
      <c r="J675" s="56">
        <f>EFEITO!$J$675*EFEITO!$Y$525</f>
        <v>0</v>
      </c>
      <c r="K675" s="56">
        <f ca="1">EFEITO!$L$675*EFEITO!$Z$525</f>
        <v>1008.0028540848007</v>
      </c>
      <c r="L675" s="56">
        <f>EFEITO!$N$675*EFEITO!$AA$525</f>
        <v>489.34368925558437</v>
      </c>
      <c r="M675" s="56">
        <f>$J$675-EFEITO!$K$675*EFEITO!$Y$675</f>
        <v>0</v>
      </c>
      <c r="N675" s="56">
        <f ca="1">$K$675-EFEITO!$M$675*EFEITO!$Z$675</f>
        <v>695.32036874769551</v>
      </c>
      <c r="O675" s="56">
        <f>$L$675-EFEITO!$O$675*EFEITO!$AA$675</f>
        <v>337.54927684850213</v>
      </c>
      <c r="P675" s="39"/>
      <c r="Q675" s="39"/>
      <c r="R675" s="39"/>
      <c r="S675" s="39"/>
      <c r="T675" s="39"/>
      <c r="U675" s="39"/>
      <c r="V675" s="39"/>
      <c r="W675" s="39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35" t="s">
        <v>21</v>
      </c>
      <c r="B676" s="35" t="s">
        <v>43</v>
      </c>
      <c r="C676" s="35" t="s">
        <v>23</v>
      </c>
      <c r="D676" s="35" t="s">
        <v>44</v>
      </c>
      <c r="E676" s="35" t="s">
        <v>56</v>
      </c>
      <c r="F676" s="35" t="s">
        <v>55</v>
      </c>
      <c r="G676" s="35" t="s">
        <v>25</v>
      </c>
      <c r="H676" s="35" t="s">
        <v>25</v>
      </c>
      <c r="I676" s="55">
        <v>44743</v>
      </c>
      <c r="J676" s="56">
        <f>EFEITO!$J$676*EFEITO!$Y$525</f>
        <v>0</v>
      </c>
      <c r="K676" s="56">
        <f ca="1">EFEITO!$L$676*EFEITO!$Z$525</f>
        <v>8436.1788361951258</v>
      </c>
      <c r="L676" s="56">
        <f>EFEITO!$N$676*EFEITO!$AA$525</f>
        <v>4095.4158593843736</v>
      </c>
      <c r="M676" s="56">
        <f>$J$676-EFEITO!$K$676*EFEITO!$Y$676</f>
        <v>0</v>
      </c>
      <c r="N676" s="56">
        <f ca="1">$K$676-EFEITO!$M$676*EFEITO!$Z$676</f>
        <v>5819.2761612073973</v>
      </c>
      <c r="O676" s="56">
        <f>$L$676-EFEITO!$O$676*EFEITO!$AA$676</f>
        <v>2825.0178598033408</v>
      </c>
      <c r="P676" s="39"/>
      <c r="Q676" s="39"/>
      <c r="R676" s="39"/>
      <c r="S676" s="39"/>
      <c r="T676" s="39"/>
      <c r="U676" s="39"/>
      <c r="V676" s="39"/>
      <c r="W676" s="39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35" t="s">
        <v>28</v>
      </c>
      <c r="B677" s="35" t="s">
        <v>43</v>
      </c>
      <c r="C677" s="35" t="s">
        <v>23</v>
      </c>
      <c r="D677" s="35" t="s">
        <v>44</v>
      </c>
      <c r="E677" s="35" t="s">
        <v>56</v>
      </c>
      <c r="F677" s="35" t="s">
        <v>55</v>
      </c>
      <c r="G677" s="35" t="s">
        <v>25</v>
      </c>
      <c r="H677" s="35" t="s">
        <v>25</v>
      </c>
      <c r="I677" s="55">
        <v>44743</v>
      </c>
      <c r="J677" s="56">
        <f>EFEITO!$J$677*EFEITO!$Y$525</f>
        <v>0</v>
      </c>
      <c r="K677" s="56">
        <f ca="1">EFEITO!$L$677*EFEITO!$Z$525</f>
        <v>422.77307653389289</v>
      </c>
      <c r="L677" s="56">
        <f>EFEITO!$N$677*EFEITO!$AA$525</f>
        <v>205.23884049600548</v>
      </c>
      <c r="M677" s="56">
        <f>$J$677-EFEITO!$K$677*EFEITO!$Y$677</f>
        <v>0</v>
      </c>
      <c r="N677" s="56">
        <f ca="1">$K$677-EFEITO!$M$677*EFEITO!$Z$677</f>
        <v>291.62886819307931</v>
      </c>
      <c r="O677" s="56">
        <f>$L$677-EFEITO!$O$677*EFEITO!$AA$677</f>
        <v>141.5737521741446</v>
      </c>
      <c r="P677" s="39"/>
      <c r="Q677" s="39"/>
      <c r="R677" s="39"/>
      <c r="S677" s="39"/>
      <c r="T677" s="39"/>
      <c r="U677" s="39"/>
      <c r="V677" s="39"/>
      <c r="W677" s="39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35" t="s">
        <v>21</v>
      </c>
      <c r="B678" s="35" t="s">
        <v>43</v>
      </c>
      <c r="C678" s="35" t="s">
        <v>23</v>
      </c>
      <c r="D678" s="35" t="s">
        <v>44</v>
      </c>
      <c r="E678" s="35" t="s">
        <v>56</v>
      </c>
      <c r="F678" s="35" t="s">
        <v>55</v>
      </c>
      <c r="G678" s="35" t="s">
        <v>25</v>
      </c>
      <c r="H678" s="35" t="s">
        <v>25</v>
      </c>
      <c r="I678" s="55">
        <v>44774</v>
      </c>
      <c r="J678" s="56">
        <f>EFEITO!$J$678*EFEITO!$Y$525</f>
        <v>0</v>
      </c>
      <c r="K678" s="56">
        <f ca="1">EFEITO!$L$678*EFEITO!$Z$525</f>
        <v>6240.362001974052</v>
      </c>
      <c r="L678" s="56">
        <f>EFEITO!$N$678*EFEITO!$AA$525</f>
        <v>3029.4376171274698</v>
      </c>
      <c r="M678" s="56">
        <f>$J$678-EFEITO!$K$678*EFEITO!$Y$678</f>
        <v>0</v>
      </c>
      <c r="N678" s="56">
        <f ca="1">$K$678-EFEITO!$M$678*EFEITO!$Z$678</f>
        <v>4304.6017089617017</v>
      </c>
      <c r="O678" s="56">
        <f>$L$678-EFEITO!$O$678*EFEITO!$AA$678</f>
        <v>2089.7060682945289</v>
      </c>
      <c r="P678" s="39"/>
      <c r="Q678" s="39"/>
      <c r="R678" s="39"/>
      <c r="S678" s="39"/>
      <c r="T678" s="39"/>
      <c r="U678" s="39"/>
      <c r="V678" s="39"/>
      <c r="W678" s="39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35" t="s">
        <v>28</v>
      </c>
      <c r="B679" s="35" t="s">
        <v>43</v>
      </c>
      <c r="C679" s="35" t="s">
        <v>23</v>
      </c>
      <c r="D679" s="35" t="s">
        <v>44</v>
      </c>
      <c r="E679" s="35" t="s">
        <v>56</v>
      </c>
      <c r="F679" s="35" t="s">
        <v>55</v>
      </c>
      <c r="G679" s="35" t="s">
        <v>25</v>
      </c>
      <c r="H679" s="35" t="s">
        <v>25</v>
      </c>
      <c r="I679" s="55">
        <v>44774</v>
      </c>
      <c r="J679" s="56">
        <f>EFEITO!$J$679*EFEITO!$Y$525</f>
        <v>0</v>
      </c>
      <c r="K679" s="56">
        <f ca="1">EFEITO!$L$679*EFEITO!$Z$525</f>
        <v>644.5240630853076</v>
      </c>
      <c r="L679" s="56">
        <f>EFEITO!$N$679*EFEITO!$AA$525</f>
        <v>312.88977165696616</v>
      </c>
      <c r="M679" s="56">
        <f>$J$679-EFEITO!$K$679*EFEITO!$Y$679</f>
        <v>0</v>
      </c>
      <c r="N679" s="56">
        <f ca="1">$K$679-EFEITO!$M$679*EFEITO!$Z$679</f>
        <v>444.5926987162452</v>
      </c>
      <c r="O679" s="56">
        <f>$L$679-EFEITO!$O$679*EFEITO!$AA$679</f>
        <v>215.83136448897528</v>
      </c>
      <c r="P679" s="39"/>
      <c r="Q679" s="39"/>
      <c r="R679" s="39"/>
      <c r="S679" s="39"/>
      <c r="T679" s="39"/>
      <c r="U679" s="39"/>
      <c r="V679" s="39"/>
      <c r="W679" s="39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35" t="s">
        <v>21</v>
      </c>
      <c r="B680" s="35" t="s">
        <v>43</v>
      </c>
      <c r="C680" s="35" t="s">
        <v>23</v>
      </c>
      <c r="D680" s="35" t="s">
        <v>44</v>
      </c>
      <c r="E680" s="35" t="s">
        <v>56</v>
      </c>
      <c r="F680" s="35" t="s">
        <v>55</v>
      </c>
      <c r="G680" s="35" t="s">
        <v>25</v>
      </c>
      <c r="H680" s="35" t="s">
        <v>25</v>
      </c>
      <c r="I680" s="55">
        <v>44805</v>
      </c>
      <c r="J680" s="56">
        <f>EFEITO!$J$680*EFEITO!$Y$525</f>
        <v>0</v>
      </c>
      <c r="K680" s="56">
        <f ca="1">EFEITO!$L$680*EFEITO!$Z$525</f>
        <v>7217.9946122485508</v>
      </c>
      <c r="L680" s="56">
        <f>EFEITO!$N$680*EFEITO!$AA$525</f>
        <v>3504.0378092892702</v>
      </c>
      <c r="M680" s="56">
        <f>$J$680-EFEITO!$K$680*EFEITO!$Y$680</f>
        <v>0</v>
      </c>
      <c r="N680" s="56">
        <f ca="1">$K$680-EFEITO!$M$680*EFEITO!$Z$680</f>
        <v>4978.9726835290512</v>
      </c>
      <c r="O680" s="56">
        <f>$L$680-EFEITO!$O$680*EFEITO!$AA$680</f>
        <v>2417.0852808477384</v>
      </c>
      <c r="P680" s="39"/>
      <c r="Q680" s="39"/>
      <c r="R680" s="39"/>
      <c r="S680" s="39"/>
      <c r="T680" s="39"/>
      <c r="U680" s="39"/>
      <c r="V680" s="39"/>
      <c r="W680" s="39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35" t="s">
        <v>28</v>
      </c>
      <c r="B681" s="35" t="s">
        <v>43</v>
      </c>
      <c r="C681" s="35" t="s">
        <v>23</v>
      </c>
      <c r="D681" s="35" t="s">
        <v>44</v>
      </c>
      <c r="E681" s="35" t="s">
        <v>56</v>
      </c>
      <c r="F681" s="35" t="s">
        <v>55</v>
      </c>
      <c r="G681" s="35" t="s">
        <v>25</v>
      </c>
      <c r="H681" s="35" t="s">
        <v>25</v>
      </c>
      <c r="I681" s="55">
        <v>44805</v>
      </c>
      <c r="J681" s="56">
        <f>EFEITO!$J$681*EFEITO!$Y$525</f>
        <v>0</v>
      </c>
      <c r="K681" s="56">
        <f ca="1">EFEITO!$L$681*EFEITO!$Z$525</f>
        <v>412.16759456839043</v>
      </c>
      <c r="L681" s="56">
        <f>EFEITO!$N$681*EFEITO!$AA$525</f>
        <v>200.09031770135081</v>
      </c>
      <c r="M681" s="56">
        <f>$J$681-EFEITO!$K$681*EFEITO!$Y$681</f>
        <v>0</v>
      </c>
      <c r="N681" s="56">
        <f ca="1">$K$681-EFEITO!$M$681*EFEITO!$Z$681</f>
        <v>284.31320673327571</v>
      </c>
      <c r="O681" s="56">
        <f>$L$681-EFEITO!$O$681*EFEITO!$AA$681</f>
        <v>138.0223011503918</v>
      </c>
      <c r="P681" s="39"/>
      <c r="Q681" s="39"/>
      <c r="R681" s="39"/>
      <c r="S681" s="39"/>
      <c r="T681" s="39"/>
      <c r="U681" s="39"/>
      <c r="V681" s="39"/>
      <c r="W681" s="39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35" t="s">
        <v>57</v>
      </c>
      <c r="B682" s="35" t="s">
        <v>43</v>
      </c>
      <c r="C682" s="35" t="s">
        <v>23</v>
      </c>
      <c r="D682" s="35" t="s">
        <v>44</v>
      </c>
      <c r="E682" s="35" t="s">
        <v>56</v>
      </c>
      <c r="F682" s="35" t="s">
        <v>55</v>
      </c>
      <c r="G682" s="35" t="s">
        <v>25</v>
      </c>
      <c r="H682" s="35" t="s">
        <v>25</v>
      </c>
      <c r="I682" s="55">
        <v>44835</v>
      </c>
      <c r="J682" s="56">
        <f>EFEITO!$J$682*EFEITO!$Y$525</f>
        <v>0</v>
      </c>
      <c r="K682" s="56">
        <f ca="1">EFEITO!$L$682*EFEITO!$Z$525</f>
        <v>7217.9946122485508</v>
      </c>
      <c r="L682" s="56">
        <f>EFEITO!$N$682*EFEITO!$AA$525</f>
        <v>3504.0378092892702</v>
      </c>
      <c r="M682" s="56">
        <f>$J$682-EFEITO!$K$682*EFEITO!$Y$682</f>
        <v>0</v>
      </c>
      <c r="N682" s="56">
        <f ca="1">$K$682-EFEITO!$M$682*EFEITO!$Z$682</f>
        <v>4978.9726835290512</v>
      </c>
      <c r="O682" s="56">
        <f>$L$682-EFEITO!$O$682*EFEITO!$AA$682</f>
        <v>2417.0852808477384</v>
      </c>
      <c r="P682" s="39"/>
      <c r="Q682" s="39"/>
      <c r="R682" s="39"/>
      <c r="S682" s="39"/>
      <c r="T682" s="39"/>
      <c r="U682" s="39"/>
      <c r="V682" s="39"/>
      <c r="W682" s="39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35" t="s">
        <v>57</v>
      </c>
      <c r="B683" s="35" t="s">
        <v>43</v>
      </c>
      <c r="C683" s="35" t="s">
        <v>23</v>
      </c>
      <c r="D683" s="35" t="s">
        <v>44</v>
      </c>
      <c r="E683" s="35" t="s">
        <v>56</v>
      </c>
      <c r="F683" s="35" t="s">
        <v>55</v>
      </c>
      <c r="G683" s="35" t="s">
        <v>25</v>
      </c>
      <c r="H683" s="35" t="s">
        <v>25</v>
      </c>
      <c r="I683" s="55">
        <v>44835</v>
      </c>
      <c r="J683" s="56">
        <f>EFEITO!$J$683*EFEITO!$Y$525</f>
        <v>0</v>
      </c>
      <c r="K683" s="56">
        <f ca="1">EFEITO!$L$683*EFEITO!$Z$525</f>
        <v>412.16759456839043</v>
      </c>
      <c r="L683" s="56">
        <f>EFEITO!$N$683*EFEITO!$AA$525</f>
        <v>200.09031770135081</v>
      </c>
      <c r="M683" s="56">
        <f>$J$683-EFEITO!$K$683*EFEITO!$Y$683</f>
        <v>0</v>
      </c>
      <c r="N683" s="56">
        <f ca="1">$K$683-EFEITO!$M$683*EFEITO!$Z$683</f>
        <v>284.31320673327571</v>
      </c>
      <c r="O683" s="56">
        <f>$L$683-EFEITO!$O$683*EFEITO!$AA$683</f>
        <v>138.0223011503918</v>
      </c>
      <c r="P683" s="39"/>
      <c r="Q683" s="39"/>
      <c r="R683" s="39"/>
      <c r="S683" s="39"/>
      <c r="T683" s="39"/>
      <c r="U683" s="39"/>
      <c r="V683" s="39"/>
      <c r="W683" s="39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35" t="s">
        <v>21</v>
      </c>
      <c r="B684" s="35" t="s">
        <v>43</v>
      </c>
      <c r="C684" s="35" t="s">
        <v>23</v>
      </c>
      <c r="D684" s="35" t="s">
        <v>44</v>
      </c>
      <c r="E684" s="35" t="s">
        <v>25</v>
      </c>
      <c r="F684" s="35" t="s">
        <v>25</v>
      </c>
      <c r="G684" s="35" t="s">
        <v>25</v>
      </c>
      <c r="H684" s="35" t="s">
        <v>25</v>
      </c>
      <c r="I684" s="55">
        <v>44501</v>
      </c>
      <c r="J684" s="56">
        <f>EFEITO!$J$684*EFEITO!$Y$525</f>
        <v>0</v>
      </c>
      <c r="K684" s="56">
        <f ca="1">EFEITO!$L$684*EFEITO!$Z$525</f>
        <v>665756.72004760569</v>
      </c>
      <c r="L684" s="56">
        <f>EFEITO!$N$684*EFEITO!$AA$525</f>
        <v>323197.34831562813</v>
      </c>
      <c r="M684" s="56">
        <f>$J$684-EFEITO!$K$684*EFEITO!$Y$684</f>
        <v>0</v>
      </c>
      <c r="N684" s="56">
        <f ca="1">$K$684-EFEITO!$M$684*EFEITO!$Z$684</f>
        <v>39945.403202856425</v>
      </c>
      <c r="O684" s="56">
        <f>$L$684-EFEITO!$O$684*EFEITO!$AA$684</f>
        <v>19391.840898937662</v>
      </c>
      <c r="P684" s="39"/>
      <c r="Q684" s="39"/>
      <c r="R684" s="39"/>
      <c r="S684" s="39"/>
      <c r="T684" s="39"/>
      <c r="U684" s="39"/>
      <c r="V684" s="39"/>
      <c r="W684" s="39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35" t="s">
        <v>28</v>
      </c>
      <c r="B685" s="35" t="s">
        <v>43</v>
      </c>
      <c r="C685" s="35" t="s">
        <v>23</v>
      </c>
      <c r="D685" s="35" t="s">
        <v>44</v>
      </c>
      <c r="E685" s="35" t="s">
        <v>25</v>
      </c>
      <c r="F685" s="35" t="s">
        <v>25</v>
      </c>
      <c r="G685" s="35" t="s">
        <v>25</v>
      </c>
      <c r="H685" s="35" t="s">
        <v>25</v>
      </c>
      <c r="I685" s="55">
        <v>44501</v>
      </c>
      <c r="J685" s="56">
        <f>EFEITO!$J$685*EFEITO!$Y$525</f>
        <v>0</v>
      </c>
      <c r="K685" s="56">
        <f ca="1">EFEITO!$L$685*EFEITO!$Z$525</f>
        <v>5645.972944543847</v>
      </c>
      <c r="L685" s="56">
        <f>EFEITO!$N$685*EFEITO!$AA$525</f>
        <v>2740.8863168634161</v>
      </c>
      <c r="M685" s="56">
        <f>$J$685-EFEITO!$K$685*EFEITO!$Y$685</f>
        <v>0</v>
      </c>
      <c r="N685" s="56">
        <f ca="1">$K$685-EFEITO!$M$685*EFEITO!$Z$685</f>
        <v>338.75837667263113</v>
      </c>
      <c r="O685" s="56">
        <f>$L$685-EFEITO!$O$685*EFEITO!$AA$685</f>
        <v>164.45317901180488</v>
      </c>
      <c r="P685" s="39"/>
      <c r="Q685" s="39"/>
      <c r="R685" s="39"/>
      <c r="S685" s="39"/>
      <c r="T685" s="39"/>
      <c r="U685" s="39"/>
      <c r="V685" s="39"/>
      <c r="W685" s="39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35" t="s">
        <v>21</v>
      </c>
      <c r="B686" s="35" t="s">
        <v>43</v>
      </c>
      <c r="C686" s="35" t="s">
        <v>23</v>
      </c>
      <c r="D686" s="35" t="s">
        <v>44</v>
      </c>
      <c r="E686" s="35" t="s">
        <v>25</v>
      </c>
      <c r="F686" s="35" t="s">
        <v>25</v>
      </c>
      <c r="G686" s="35" t="s">
        <v>25</v>
      </c>
      <c r="H686" s="35" t="s">
        <v>25</v>
      </c>
      <c r="I686" s="55">
        <v>44531</v>
      </c>
      <c r="J686" s="56">
        <f>EFEITO!$J$686*EFEITO!$Y$525</f>
        <v>0</v>
      </c>
      <c r="K686" s="56">
        <f ca="1">EFEITO!$L$686*EFEITO!$Z$525</f>
        <v>612994.92933659302</v>
      </c>
      <c r="L686" s="56">
        <f>EFEITO!$N$686*EFEITO!$AA$525</f>
        <v>297583.68143598468</v>
      </c>
      <c r="M686" s="56">
        <f>$J$686-EFEITO!$K$686*EFEITO!$Y$686</f>
        <v>0</v>
      </c>
      <c r="N686" s="56">
        <f ca="1">$K$686-EFEITO!$M$686*EFEITO!$Z$686</f>
        <v>36779.695760195609</v>
      </c>
      <c r="O686" s="56">
        <f>$L$686-EFEITO!$O$686*EFEITO!$AA$686</f>
        <v>17855.020886159095</v>
      </c>
      <c r="P686" s="39"/>
      <c r="Q686" s="39"/>
      <c r="R686" s="39"/>
      <c r="S686" s="39"/>
      <c r="T686" s="39"/>
      <c r="U686" s="39"/>
      <c r="V686" s="39"/>
      <c r="W686" s="39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35" t="s">
        <v>28</v>
      </c>
      <c r="B687" s="35" t="s">
        <v>43</v>
      </c>
      <c r="C687" s="35" t="s">
        <v>23</v>
      </c>
      <c r="D687" s="35" t="s">
        <v>44</v>
      </c>
      <c r="E687" s="35" t="s">
        <v>25</v>
      </c>
      <c r="F687" s="35" t="s">
        <v>25</v>
      </c>
      <c r="G687" s="35" t="s">
        <v>25</v>
      </c>
      <c r="H687" s="35" t="s">
        <v>25</v>
      </c>
      <c r="I687" s="55">
        <v>44531</v>
      </c>
      <c r="J687" s="56">
        <f>EFEITO!$J$687*EFEITO!$Y$525</f>
        <v>0</v>
      </c>
      <c r="K687" s="56">
        <f ca="1">EFEITO!$L$687*EFEITO!$Z$525</f>
        <v>6008.4876008192032</v>
      </c>
      <c r="L687" s="56">
        <f>EFEITO!$N$687*EFEITO!$AA$525</f>
        <v>2916.8721869352476</v>
      </c>
      <c r="M687" s="56">
        <f>$J$687-EFEITO!$K$687*EFEITO!$Y$687</f>
        <v>0</v>
      </c>
      <c r="N687" s="56">
        <f ca="1">$K$687-EFEITO!$M$687*EFEITO!$Z$687</f>
        <v>360.5092560491521</v>
      </c>
      <c r="O687" s="56">
        <f>$L$687-EFEITO!$O$687*EFEITO!$AA$687</f>
        <v>175.01233121611494</v>
      </c>
      <c r="P687" s="39"/>
      <c r="Q687" s="39"/>
      <c r="R687" s="39"/>
      <c r="S687" s="39"/>
      <c r="T687" s="39"/>
      <c r="U687" s="39"/>
      <c r="V687" s="39"/>
      <c r="W687" s="39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35" t="s">
        <v>21</v>
      </c>
      <c r="B688" s="35" t="s">
        <v>43</v>
      </c>
      <c r="C688" s="35" t="s">
        <v>23</v>
      </c>
      <c r="D688" s="35" t="s">
        <v>44</v>
      </c>
      <c r="E688" s="35" t="s">
        <v>25</v>
      </c>
      <c r="F688" s="35" t="s">
        <v>25</v>
      </c>
      <c r="G688" s="35" t="s">
        <v>25</v>
      </c>
      <c r="H688" s="35" t="s">
        <v>25</v>
      </c>
      <c r="I688" s="55">
        <v>44562</v>
      </c>
      <c r="J688" s="56">
        <f>EFEITO!$J$688*EFEITO!$Y$525</f>
        <v>0</v>
      </c>
      <c r="K688" s="56">
        <f ca="1">EFEITO!$L$688*EFEITO!$Z$525</f>
        <v>562761.09987226664</v>
      </c>
      <c r="L688" s="56">
        <f>EFEITO!$N$688*EFEITO!$AA$525</f>
        <v>273197.23517157621</v>
      </c>
      <c r="M688" s="56">
        <f>$J$688-EFEITO!$K$688*EFEITO!$Y$688</f>
        <v>0</v>
      </c>
      <c r="N688" s="56">
        <f ca="1">$K$688-EFEITO!$M$688*EFEITO!$Z$688</f>
        <v>33765.665992336115</v>
      </c>
      <c r="O688" s="56">
        <f>$L$688-EFEITO!$O$688*EFEITO!$AA$688</f>
        <v>16391.834110294585</v>
      </c>
      <c r="P688" s="39"/>
      <c r="Q688" s="39"/>
      <c r="R688" s="39"/>
      <c r="S688" s="39"/>
      <c r="T688" s="39"/>
      <c r="U688" s="39"/>
      <c r="V688" s="39"/>
      <c r="W688" s="39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35" t="s">
        <v>28</v>
      </c>
      <c r="B689" s="35" t="s">
        <v>43</v>
      </c>
      <c r="C689" s="35" t="s">
        <v>23</v>
      </c>
      <c r="D689" s="35" t="s">
        <v>44</v>
      </c>
      <c r="E689" s="35" t="s">
        <v>25</v>
      </c>
      <c r="F689" s="35" t="s">
        <v>25</v>
      </c>
      <c r="G689" s="35" t="s">
        <v>25</v>
      </c>
      <c r="H689" s="35" t="s">
        <v>25</v>
      </c>
      <c r="I689" s="55">
        <v>44562</v>
      </c>
      <c r="J689" s="56">
        <f>EFEITO!$J$689*EFEITO!$Y$525</f>
        <v>0</v>
      </c>
      <c r="K689" s="56">
        <f ca="1">EFEITO!$L$689*EFEITO!$Z$525</f>
        <v>8392.7927736089805</v>
      </c>
      <c r="L689" s="56">
        <f>EFEITO!$N$689*EFEITO!$AA$525</f>
        <v>4074.3537206789683</v>
      </c>
      <c r="M689" s="56">
        <f>$J$689-EFEITO!$K$689*EFEITO!$Y$689</f>
        <v>0</v>
      </c>
      <c r="N689" s="56">
        <f ca="1">$K$689-EFEITO!$M$689*EFEITO!$Z$689</f>
        <v>503.5675664165401</v>
      </c>
      <c r="O689" s="56">
        <f>$L$689-EFEITO!$O$689*EFEITO!$AA$689</f>
        <v>244.46122324073804</v>
      </c>
      <c r="P689" s="39"/>
      <c r="Q689" s="39"/>
      <c r="R689" s="39"/>
      <c r="S689" s="39"/>
      <c r="T689" s="39"/>
      <c r="U689" s="39"/>
      <c r="V689" s="39"/>
      <c r="W689" s="39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35" t="s">
        <v>21</v>
      </c>
      <c r="B690" s="35" t="s">
        <v>43</v>
      </c>
      <c r="C690" s="35" t="s">
        <v>23</v>
      </c>
      <c r="D690" s="35" t="s">
        <v>44</v>
      </c>
      <c r="E690" s="35" t="s">
        <v>25</v>
      </c>
      <c r="F690" s="35" t="s">
        <v>25</v>
      </c>
      <c r="G690" s="35" t="s">
        <v>25</v>
      </c>
      <c r="H690" s="35" t="s">
        <v>25</v>
      </c>
      <c r="I690" s="55">
        <v>44593</v>
      </c>
      <c r="J690" s="56">
        <f>EFEITO!$J$690*EFEITO!$Y$525</f>
        <v>0</v>
      </c>
      <c r="K690" s="56">
        <f ca="1">EFEITO!$L$690*EFEITO!$Z$525</f>
        <v>592111.77121179458</v>
      </c>
      <c r="L690" s="56">
        <f>EFEITO!$N$690*EFEITO!$AA$525</f>
        <v>287445.77200578293</v>
      </c>
      <c r="M690" s="56">
        <f>$J$690-EFEITO!$K$690*EFEITO!$Y$690</f>
        <v>0</v>
      </c>
      <c r="N690" s="56">
        <f ca="1">$K$690-EFEITO!$M$690*EFEITO!$Z$690</f>
        <v>35526.70627270767</v>
      </c>
      <c r="O690" s="56">
        <f>$L$690-EFEITO!$O$690*EFEITO!$AA$690</f>
        <v>17246.746320346952</v>
      </c>
      <c r="P690" s="39"/>
      <c r="Q690" s="39"/>
      <c r="R690" s="39"/>
      <c r="S690" s="39"/>
      <c r="T690" s="39"/>
      <c r="U690" s="39"/>
      <c r="V690" s="39"/>
      <c r="W690" s="39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35" t="s">
        <v>28</v>
      </c>
      <c r="B691" s="35" t="s">
        <v>43</v>
      </c>
      <c r="C691" s="35" t="s">
        <v>23</v>
      </c>
      <c r="D691" s="35" t="s">
        <v>44</v>
      </c>
      <c r="E691" s="35" t="s">
        <v>25</v>
      </c>
      <c r="F691" s="35" t="s">
        <v>25</v>
      </c>
      <c r="G691" s="35" t="s">
        <v>25</v>
      </c>
      <c r="H691" s="35" t="s">
        <v>25</v>
      </c>
      <c r="I691" s="55">
        <v>44593</v>
      </c>
      <c r="J691" s="56">
        <f>EFEITO!$J$691*EFEITO!$Y$525</f>
        <v>0</v>
      </c>
      <c r="K691" s="56">
        <f ca="1">EFEITO!$L$691*EFEITO!$Z$525</f>
        <v>5819.5171948884317</v>
      </c>
      <c r="L691" s="56">
        <f>EFEITO!$N$691*EFEITO!$AA$525</f>
        <v>2825.1348716850375</v>
      </c>
      <c r="M691" s="56">
        <f>$J$691-EFEITO!$K$691*EFEITO!$Y$691</f>
        <v>0</v>
      </c>
      <c r="N691" s="56">
        <f ca="1">$K$691-EFEITO!$M$691*EFEITO!$Z$691</f>
        <v>349.17103169330585</v>
      </c>
      <c r="O691" s="56">
        <f>$L$691-EFEITO!$O$691*EFEITO!$AA$691</f>
        <v>169.50809230110235</v>
      </c>
      <c r="P691" s="39"/>
      <c r="Q691" s="39"/>
      <c r="R691" s="39"/>
      <c r="S691" s="39"/>
      <c r="T691" s="39"/>
      <c r="U691" s="39"/>
      <c r="V691" s="39"/>
      <c r="W691" s="39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35" t="s">
        <v>21</v>
      </c>
      <c r="B692" s="35" t="s">
        <v>43</v>
      </c>
      <c r="C692" s="35" t="s">
        <v>23</v>
      </c>
      <c r="D692" s="35" t="s">
        <v>44</v>
      </c>
      <c r="E692" s="35" t="s">
        <v>25</v>
      </c>
      <c r="F692" s="35" t="s">
        <v>25</v>
      </c>
      <c r="G692" s="35" t="s">
        <v>25</v>
      </c>
      <c r="H692" s="35" t="s">
        <v>25</v>
      </c>
      <c r="I692" s="55">
        <v>44621</v>
      </c>
      <c r="J692" s="56">
        <f>EFEITO!$J$692*EFEITO!$Y$525</f>
        <v>0</v>
      </c>
      <c r="K692" s="56">
        <f ca="1">EFEITO!$L$692*EFEITO!$Z$525</f>
        <v>537190.80078607809</v>
      </c>
      <c r="L692" s="56">
        <f>EFEITO!$N$692*EFEITO!$AA$525</f>
        <v>260783.91268990046</v>
      </c>
      <c r="M692" s="56">
        <f>$J$692-EFEITO!$K$692*EFEITO!$Y$692</f>
        <v>0</v>
      </c>
      <c r="N692" s="56">
        <f ca="1">$K$692-EFEITO!$M$692*EFEITO!$Z$692</f>
        <v>32231.448047164711</v>
      </c>
      <c r="O692" s="56">
        <f>$L$692-EFEITO!$O$692*EFEITO!$AA$692</f>
        <v>15647.034761394054</v>
      </c>
      <c r="P692" s="39"/>
      <c r="Q692" s="39"/>
      <c r="R692" s="39"/>
      <c r="S692" s="39"/>
      <c r="T692" s="39"/>
      <c r="U692" s="39"/>
      <c r="V692" s="39"/>
      <c r="W692" s="39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35" t="s">
        <v>28</v>
      </c>
      <c r="B693" s="35" t="s">
        <v>43</v>
      </c>
      <c r="C693" s="35" t="s">
        <v>23</v>
      </c>
      <c r="D693" s="35" t="s">
        <v>44</v>
      </c>
      <c r="E693" s="35" t="s">
        <v>25</v>
      </c>
      <c r="F693" s="35" t="s">
        <v>25</v>
      </c>
      <c r="G693" s="35" t="s">
        <v>25</v>
      </c>
      <c r="H693" s="35" t="s">
        <v>25</v>
      </c>
      <c r="I693" s="55">
        <v>44621</v>
      </c>
      <c r="J693" s="56">
        <f>EFEITO!$J$693*EFEITO!$Y$525</f>
        <v>0</v>
      </c>
      <c r="K693" s="56">
        <f ca="1">EFEITO!$L$693*EFEITO!$Z$525</f>
        <v>5465.1976837682369</v>
      </c>
      <c r="L693" s="56">
        <f>EFEITO!$N$693*EFEITO!$AA$525</f>
        <v>2653.1274055908939</v>
      </c>
      <c r="M693" s="56">
        <f>$J$693-EFEITO!$K$693*EFEITO!$Y$693</f>
        <v>0</v>
      </c>
      <c r="N693" s="56">
        <f ca="1">$K$693-EFEITO!$M$693*EFEITO!$Z$693</f>
        <v>327.91186102609481</v>
      </c>
      <c r="O693" s="56">
        <f>$L$693-EFEITO!$O$693*EFEITO!$AA$693</f>
        <v>159.18764433545357</v>
      </c>
      <c r="P693" s="39"/>
      <c r="Q693" s="39"/>
      <c r="R693" s="39"/>
      <c r="S693" s="39"/>
      <c r="T693" s="39"/>
      <c r="U693" s="39"/>
      <c r="V693" s="39"/>
      <c r="W693" s="39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35" t="s">
        <v>21</v>
      </c>
      <c r="B694" s="35" t="s">
        <v>43</v>
      </c>
      <c r="C694" s="35" t="s">
        <v>23</v>
      </c>
      <c r="D694" s="35" t="s">
        <v>44</v>
      </c>
      <c r="E694" s="35" t="s">
        <v>25</v>
      </c>
      <c r="F694" s="35" t="s">
        <v>25</v>
      </c>
      <c r="G694" s="35" t="s">
        <v>25</v>
      </c>
      <c r="H694" s="35" t="s">
        <v>25</v>
      </c>
      <c r="I694" s="55">
        <v>44652</v>
      </c>
      <c r="J694" s="56">
        <f>EFEITO!$J$694*EFEITO!$Y$525</f>
        <v>0</v>
      </c>
      <c r="K694" s="56">
        <f ca="1">EFEITO!$L$694*EFEITO!$Z$525</f>
        <v>567344.59635081189</v>
      </c>
      <c r="L694" s="56">
        <f>EFEITO!$N$694*EFEITO!$AA$525</f>
        <v>275422.33311392053</v>
      </c>
      <c r="M694" s="56">
        <f>$J$694-EFEITO!$K$694*EFEITO!$Y$694</f>
        <v>0</v>
      </c>
      <c r="N694" s="56">
        <f ca="1">$K$694-EFEITO!$M$694*EFEITO!$Z$694</f>
        <v>34040.675781048834</v>
      </c>
      <c r="O694" s="56">
        <f>$L$694-EFEITO!$O$694*EFEITO!$AA$694</f>
        <v>16525.339986835228</v>
      </c>
      <c r="P694" s="39"/>
      <c r="Q694" s="39"/>
      <c r="R694" s="39"/>
      <c r="S694" s="39"/>
      <c r="T694" s="39"/>
      <c r="U694" s="39"/>
      <c r="V694" s="39"/>
      <c r="W694" s="39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35" t="s">
        <v>28</v>
      </c>
      <c r="B695" s="35" t="s">
        <v>43</v>
      </c>
      <c r="C695" s="35" t="s">
        <v>23</v>
      </c>
      <c r="D695" s="35" t="s">
        <v>44</v>
      </c>
      <c r="E695" s="35" t="s">
        <v>25</v>
      </c>
      <c r="F695" s="35" t="s">
        <v>25</v>
      </c>
      <c r="G695" s="35" t="s">
        <v>25</v>
      </c>
      <c r="H695" s="35" t="s">
        <v>25</v>
      </c>
      <c r="I695" s="55">
        <v>44652</v>
      </c>
      <c r="J695" s="56">
        <f>EFEITO!$J$695*EFEITO!$Y$525</f>
        <v>0</v>
      </c>
      <c r="K695" s="56">
        <f ca="1">EFEITO!$L$695*EFEITO!$Z$525</f>
        <v>13147.905233050622</v>
      </c>
      <c r="L695" s="56">
        <f>EFEITO!$N$695*EFEITO!$AA$525</f>
        <v>6382.7641227913946</v>
      </c>
      <c r="M695" s="56">
        <f>$J$695-EFEITO!$K$695*EFEITO!$Y$695</f>
        <v>0</v>
      </c>
      <c r="N695" s="56">
        <f ca="1">$K$695-EFEITO!$M$695*EFEITO!$Z$695</f>
        <v>788.87431398303852</v>
      </c>
      <c r="O695" s="56">
        <f>$L$695-EFEITO!$O$695*EFEITO!$AA$695</f>
        <v>382.96584736748355</v>
      </c>
      <c r="P695" s="39"/>
      <c r="Q695" s="39"/>
      <c r="R695" s="39"/>
      <c r="S695" s="39"/>
      <c r="T695" s="39"/>
      <c r="U695" s="39"/>
      <c r="V695" s="39"/>
      <c r="W695" s="39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35" t="s">
        <v>21</v>
      </c>
      <c r="B696" s="35" t="s">
        <v>43</v>
      </c>
      <c r="C696" s="35" t="s">
        <v>23</v>
      </c>
      <c r="D696" s="35" t="s">
        <v>44</v>
      </c>
      <c r="E696" s="35" t="s">
        <v>25</v>
      </c>
      <c r="F696" s="35" t="s">
        <v>25</v>
      </c>
      <c r="G696" s="35" t="s">
        <v>25</v>
      </c>
      <c r="H696" s="35" t="s">
        <v>25</v>
      </c>
      <c r="I696" s="55">
        <v>44682</v>
      </c>
      <c r="J696" s="56">
        <f>EFEITO!$J$696*EFEITO!$Y$525</f>
        <v>0</v>
      </c>
      <c r="K696" s="56">
        <f ca="1">EFEITO!$L$696*EFEITO!$Z$525</f>
        <v>614132.12624371215</v>
      </c>
      <c r="L696" s="56">
        <f>EFEITO!$N$696*EFEITO!$AA$525</f>
        <v>298135.74349382968</v>
      </c>
      <c r="M696" s="56">
        <f>$J$696-EFEITO!$K$696*EFEITO!$Y$696</f>
        <v>0</v>
      </c>
      <c r="N696" s="56">
        <f ca="1">$K$696-EFEITO!$M$696*EFEITO!$Z$696</f>
        <v>36847.927574622794</v>
      </c>
      <c r="O696" s="56">
        <f>$L$696-EFEITO!$O$696*EFEITO!$AA$696</f>
        <v>17888.144609629759</v>
      </c>
      <c r="P696" s="39"/>
      <c r="Q696" s="39"/>
      <c r="R696" s="39"/>
      <c r="S696" s="39"/>
      <c r="T696" s="39"/>
      <c r="U696" s="39"/>
      <c r="V696" s="39"/>
      <c r="W696" s="39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35" t="s">
        <v>28</v>
      </c>
      <c r="B697" s="35" t="s">
        <v>43</v>
      </c>
      <c r="C697" s="35" t="s">
        <v>23</v>
      </c>
      <c r="D697" s="35" t="s">
        <v>44</v>
      </c>
      <c r="E697" s="35" t="s">
        <v>25</v>
      </c>
      <c r="F697" s="35" t="s">
        <v>25</v>
      </c>
      <c r="G697" s="35" t="s">
        <v>25</v>
      </c>
      <c r="H697" s="35" t="s">
        <v>25</v>
      </c>
      <c r="I697" s="55">
        <v>44682</v>
      </c>
      <c r="J697" s="56">
        <f>EFEITO!$J$697*EFEITO!$Y$525</f>
        <v>0</v>
      </c>
      <c r="K697" s="56">
        <f ca="1">EFEITO!$L$697*EFEITO!$Z$525</f>
        <v>11839.092345035207</v>
      </c>
      <c r="L697" s="56">
        <f>EFEITO!$N$697*EFEITO!$AA$525</f>
        <v>5747.389605178334</v>
      </c>
      <c r="M697" s="56">
        <f>$J$697-EFEITO!$K$697*EFEITO!$Y$697</f>
        <v>0</v>
      </c>
      <c r="N697" s="56">
        <f ca="1">$K$697-EFEITO!$M$697*EFEITO!$Z$697</f>
        <v>710.34554070211379</v>
      </c>
      <c r="O697" s="56">
        <f>$L$697-EFEITO!$O$697*EFEITO!$AA$697</f>
        <v>344.84337631070048</v>
      </c>
      <c r="P697" s="39"/>
      <c r="Q697" s="39"/>
      <c r="R697" s="39"/>
      <c r="S697" s="39"/>
      <c r="T697" s="39"/>
      <c r="U697" s="39"/>
      <c r="V697" s="39"/>
      <c r="W697" s="39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35" t="s">
        <v>21</v>
      </c>
      <c r="B698" s="35" t="s">
        <v>43</v>
      </c>
      <c r="C698" s="35" t="s">
        <v>23</v>
      </c>
      <c r="D698" s="35" t="s">
        <v>44</v>
      </c>
      <c r="E698" s="35" t="s">
        <v>25</v>
      </c>
      <c r="F698" s="35" t="s">
        <v>25</v>
      </c>
      <c r="G698" s="35" t="s">
        <v>25</v>
      </c>
      <c r="H698" s="35" t="s">
        <v>25</v>
      </c>
      <c r="I698" s="55">
        <v>44713</v>
      </c>
      <c r="J698" s="56">
        <f>EFEITO!$J$698*EFEITO!$Y$525</f>
        <v>0</v>
      </c>
      <c r="K698" s="56">
        <f ca="1">EFEITO!$L$698*EFEITO!$Z$525</f>
        <v>560689.65641745913</v>
      </c>
      <c r="L698" s="56">
        <f>EFEITO!$N$698*EFEITO!$AA$525</f>
        <v>272191.6350602748</v>
      </c>
      <c r="M698" s="56">
        <f>$J$698-EFEITO!$K$698*EFEITO!$Y$698</f>
        <v>0</v>
      </c>
      <c r="N698" s="56">
        <f ca="1">$K$698-EFEITO!$M$698*EFEITO!$Z$698</f>
        <v>33641.379385047592</v>
      </c>
      <c r="O698" s="56">
        <f>$L$698-EFEITO!$O$698*EFEITO!$AA$698</f>
        <v>16331.498103616497</v>
      </c>
      <c r="P698" s="39"/>
      <c r="Q698" s="39"/>
      <c r="R698" s="39"/>
      <c r="S698" s="39"/>
      <c r="T698" s="39"/>
      <c r="U698" s="39"/>
      <c r="V698" s="39"/>
      <c r="W698" s="39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35" t="s">
        <v>28</v>
      </c>
      <c r="B699" s="35" t="s">
        <v>43</v>
      </c>
      <c r="C699" s="35" t="s">
        <v>23</v>
      </c>
      <c r="D699" s="35" t="s">
        <v>44</v>
      </c>
      <c r="E699" s="35" t="s">
        <v>25</v>
      </c>
      <c r="F699" s="35" t="s">
        <v>25</v>
      </c>
      <c r="G699" s="35" t="s">
        <v>25</v>
      </c>
      <c r="H699" s="35" t="s">
        <v>25</v>
      </c>
      <c r="I699" s="55">
        <v>44713</v>
      </c>
      <c r="J699" s="56">
        <f>EFEITO!$J$699*EFEITO!$Y$525</f>
        <v>0</v>
      </c>
      <c r="K699" s="56">
        <f ca="1">EFEITO!$L$699*EFEITO!$Z$525</f>
        <v>11106.83202205347</v>
      </c>
      <c r="L699" s="56">
        <f>EFEITO!$N$699*EFEITO!$AA$525</f>
        <v>5391.9075085837694</v>
      </c>
      <c r="M699" s="56">
        <f>$J$699-EFEITO!$K$699*EFEITO!$Y$699</f>
        <v>0</v>
      </c>
      <c r="N699" s="56">
        <f ca="1">$K$699-EFEITO!$M$699*EFEITO!$Z$699</f>
        <v>666.40992132320935</v>
      </c>
      <c r="O699" s="56">
        <f>$L$699-EFEITO!$O$699*EFEITO!$AA$699</f>
        <v>323.51445051502651</v>
      </c>
      <c r="P699" s="39"/>
      <c r="Q699" s="39"/>
      <c r="R699" s="39"/>
      <c r="S699" s="39"/>
      <c r="T699" s="39"/>
      <c r="U699" s="39"/>
      <c r="V699" s="39"/>
      <c r="W699" s="39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35" t="s">
        <v>21</v>
      </c>
      <c r="B700" s="35" t="s">
        <v>43</v>
      </c>
      <c r="C700" s="35" t="s">
        <v>23</v>
      </c>
      <c r="D700" s="35" t="s">
        <v>44</v>
      </c>
      <c r="E700" s="35" t="s">
        <v>25</v>
      </c>
      <c r="F700" s="35" t="s">
        <v>25</v>
      </c>
      <c r="G700" s="35" t="s">
        <v>25</v>
      </c>
      <c r="H700" s="35" t="s">
        <v>25</v>
      </c>
      <c r="I700" s="55">
        <v>44743</v>
      </c>
      <c r="J700" s="56">
        <f>EFEITO!$J$700*EFEITO!$Y$525</f>
        <v>0</v>
      </c>
      <c r="K700" s="56">
        <f ca="1">EFEITO!$L$700*EFEITO!$Z$525</f>
        <v>546231.0100269448</v>
      </c>
      <c r="L700" s="56">
        <f>EFEITO!$N$700*EFEITO!$AA$525</f>
        <v>265172.56032481679</v>
      </c>
      <c r="M700" s="56">
        <f>$J$700-EFEITO!$K$700*EFEITO!$Y$700</f>
        <v>0</v>
      </c>
      <c r="N700" s="56">
        <f ca="1">$K$700-EFEITO!$M$700*EFEITO!$Z$700</f>
        <v>32773.860601616674</v>
      </c>
      <c r="O700" s="56">
        <f>$L$700-EFEITO!$O$700*EFEITO!$AA$700</f>
        <v>15910.353619489033</v>
      </c>
      <c r="P700" s="39"/>
      <c r="Q700" s="39"/>
      <c r="R700" s="39"/>
      <c r="S700" s="39"/>
      <c r="T700" s="39"/>
      <c r="U700" s="39"/>
      <c r="V700" s="39"/>
      <c r="W700" s="39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35" t="s">
        <v>28</v>
      </c>
      <c r="B701" s="35" t="s">
        <v>43</v>
      </c>
      <c r="C701" s="35" t="s">
        <v>23</v>
      </c>
      <c r="D701" s="35" t="s">
        <v>44</v>
      </c>
      <c r="E701" s="35" t="s">
        <v>25</v>
      </c>
      <c r="F701" s="35" t="s">
        <v>25</v>
      </c>
      <c r="G701" s="35" t="s">
        <v>25</v>
      </c>
      <c r="H701" s="35" t="s">
        <v>25</v>
      </c>
      <c r="I701" s="55">
        <v>44743</v>
      </c>
      <c r="J701" s="56">
        <f>EFEITO!$J$701*EFEITO!$Y$525</f>
        <v>0</v>
      </c>
      <c r="K701" s="56">
        <f ca="1">EFEITO!$L$701*EFEITO!$Z$525</f>
        <v>12092.659777483128</v>
      </c>
      <c r="L701" s="56">
        <f>EFEITO!$N$701*EFEITO!$AA$525</f>
        <v>5870.486104723258</v>
      </c>
      <c r="M701" s="56">
        <f>$J$701-EFEITO!$K$701*EFEITO!$Y$701</f>
        <v>0</v>
      </c>
      <c r="N701" s="56">
        <f ca="1">$K$701-EFEITO!$M$701*EFEITO!$Z$701</f>
        <v>725.55958664898753</v>
      </c>
      <c r="O701" s="56">
        <f>$L$701-EFEITO!$O$701*EFEITO!$AA$701</f>
        <v>352.2291662833959</v>
      </c>
      <c r="P701" s="39"/>
      <c r="Q701" s="39"/>
      <c r="R701" s="39"/>
      <c r="S701" s="39"/>
      <c r="T701" s="39"/>
      <c r="U701" s="39"/>
      <c r="V701" s="39"/>
      <c r="W701" s="39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35" t="s">
        <v>21</v>
      </c>
      <c r="B702" s="35" t="s">
        <v>43</v>
      </c>
      <c r="C702" s="35" t="s">
        <v>23</v>
      </c>
      <c r="D702" s="35" t="s">
        <v>44</v>
      </c>
      <c r="E702" s="35" t="s">
        <v>25</v>
      </c>
      <c r="F702" s="35" t="s">
        <v>25</v>
      </c>
      <c r="G702" s="35" t="s">
        <v>25</v>
      </c>
      <c r="H702" s="35" t="s">
        <v>25</v>
      </c>
      <c r="I702" s="55">
        <v>44774</v>
      </c>
      <c r="J702" s="56">
        <f>EFEITO!$J$702*EFEITO!$Y$525</f>
        <v>0</v>
      </c>
      <c r="K702" s="56">
        <f ca="1">EFEITO!$L$702*EFEITO!$Z$525</f>
        <v>637805.97232752398</v>
      </c>
      <c r="L702" s="56">
        <f>EFEITO!$N$702*EFEITO!$AA$525</f>
        <v>309628.41649031587</v>
      </c>
      <c r="M702" s="56">
        <f>$J$702-EFEITO!$K$702*EFEITO!$Y$702</f>
        <v>0</v>
      </c>
      <c r="N702" s="56">
        <f ca="1">$K$702-EFEITO!$M$702*EFEITO!$Z$702</f>
        <v>38268.358339651488</v>
      </c>
      <c r="O702" s="56">
        <f>$L$702-EFEITO!$O$702*EFEITO!$AA$702</f>
        <v>18577.704989418969</v>
      </c>
      <c r="P702" s="39"/>
      <c r="Q702" s="39"/>
      <c r="R702" s="39"/>
      <c r="S702" s="39"/>
      <c r="T702" s="39"/>
      <c r="U702" s="39"/>
      <c r="V702" s="39"/>
      <c r="W702" s="39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35" t="s">
        <v>28</v>
      </c>
      <c r="B703" s="35" t="s">
        <v>43</v>
      </c>
      <c r="C703" s="35" t="s">
        <v>23</v>
      </c>
      <c r="D703" s="35" t="s">
        <v>44</v>
      </c>
      <c r="E703" s="35" t="s">
        <v>25</v>
      </c>
      <c r="F703" s="35" t="s">
        <v>25</v>
      </c>
      <c r="G703" s="35" t="s">
        <v>25</v>
      </c>
      <c r="H703" s="35" t="s">
        <v>25</v>
      </c>
      <c r="I703" s="55">
        <v>44774</v>
      </c>
      <c r="J703" s="56">
        <f>EFEITO!$J$703*EFEITO!$Y$525</f>
        <v>0</v>
      </c>
      <c r="K703" s="56">
        <f ca="1">EFEITO!$L$703*EFEITO!$Z$525</f>
        <v>11974.071206414328</v>
      </c>
      <c r="L703" s="56">
        <f>EFEITO!$N$703*EFEITO!$AA$525</f>
        <v>5812.9162589284833</v>
      </c>
      <c r="M703" s="56">
        <f>$J$703-EFEITO!$K$703*EFEITO!$Y$703</f>
        <v>0</v>
      </c>
      <c r="N703" s="56">
        <f ca="1">$K$703-EFEITO!$M$703*EFEITO!$Z$703</f>
        <v>718.4442723848606</v>
      </c>
      <c r="O703" s="56">
        <f>$L$703-EFEITO!$O$703*EFEITO!$AA$703</f>
        <v>348.77497553570902</v>
      </c>
      <c r="P703" s="39"/>
      <c r="Q703" s="39"/>
      <c r="R703" s="39"/>
      <c r="S703" s="39"/>
      <c r="T703" s="39"/>
      <c r="U703" s="39"/>
      <c r="V703" s="39"/>
      <c r="W703" s="39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35" t="s">
        <v>21</v>
      </c>
      <c r="B704" s="35" t="s">
        <v>43</v>
      </c>
      <c r="C704" s="35" t="s">
        <v>23</v>
      </c>
      <c r="D704" s="35" t="s">
        <v>44</v>
      </c>
      <c r="E704" s="35" t="s">
        <v>25</v>
      </c>
      <c r="F704" s="35" t="s">
        <v>25</v>
      </c>
      <c r="G704" s="35" t="s">
        <v>25</v>
      </c>
      <c r="H704" s="35" t="s">
        <v>25</v>
      </c>
      <c r="I704" s="55">
        <v>44805</v>
      </c>
      <c r="J704" s="56">
        <f>EFEITO!$J$704*EFEITO!$Y$525</f>
        <v>0</v>
      </c>
      <c r="K704" s="56">
        <f ca="1">EFEITO!$L$704*EFEITO!$Z$525</f>
        <v>742355.77767817117</v>
      </c>
      <c r="L704" s="56">
        <f>EFEITO!$N$704*EFEITO!$AA$525</f>
        <v>360383.0222475481</v>
      </c>
      <c r="M704" s="56">
        <f>$J$704-EFEITO!$K$704*EFEITO!$Y$704</f>
        <v>0</v>
      </c>
      <c r="N704" s="56">
        <f ca="1">$K$704-EFEITO!$M$704*EFEITO!$Z$704</f>
        <v>44541.346660690266</v>
      </c>
      <c r="O704" s="56">
        <f>$L$704-EFEITO!$O$704*EFEITO!$AA$704</f>
        <v>21622.981334852928</v>
      </c>
      <c r="P704" s="39"/>
      <c r="Q704" s="39"/>
      <c r="R704" s="39"/>
      <c r="S704" s="39"/>
      <c r="T704" s="39"/>
      <c r="U704" s="39"/>
      <c r="V704" s="39"/>
      <c r="W704" s="39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35" t="s">
        <v>28</v>
      </c>
      <c r="B705" s="35" t="s">
        <v>43</v>
      </c>
      <c r="C705" s="35" t="s">
        <v>23</v>
      </c>
      <c r="D705" s="35" t="s">
        <v>44</v>
      </c>
      <c r="E705" s="35" t="s">
        <v>25</v>
      </c>
      <c r="F705" s="35" t="s">
        <v>25</v>
      </c>
      <c r="G705" s="35" t="s">
        <v>25</v>
      </c>
      <c r="H705" s="35" t="s">
        <v>25</v>
      </c>
      <c r="I705" s="55">
        <v>44805</v>
      </c>
      <c r="J705" s="56">
        <f>EFEITO!$J$705*EFEITO!$Y$525</f>
        <v>0</v>
      </c>
      <c r="K705" s="56">
        <f ca="1">EFEITO!$L$705*EFEITO!$Z$525</f>
        <v>13216.840865826389</v>
      </c>
      <c r="L705" s="56">
        <f>EFEITO!$N$705*EFEITO!$AA$525</f>
        <v>6416.22952095665</v>
      </c>
      <c r="M705" s="56">
        <f>$J$705-EFEITO!$K$705*EFEITO!$Y$705</f>
        <v>0</v>
      </c>
      <c r="N705" s="56">
        <f ca="1">$K$705-EFEITO!$M$705*EFEITO!$Z$705</f>
        <v>793.01045194958533</v>
      </c>
      <c r="O705" s="56">
        <f>$L$705-EFEITO!$O$705*EFEITO!$AA$705</f>
        <v>384.97377125739877</v>
      </c>
      <c r="P705" s="39"/>
      <c r="Q705" s="39"/>
      <c r="R705" s="39"/>
      <c r="S705" s="39"/>
      <c r="T705" s="39"/>
      <c r="U705" s="39"/>
      <c r="V705" s="39"/>
      <c r="W705" s="39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35" t="s">
        <v>57</v>
      </c>
      <c r="B706" s="35" t="s">
        <v>43</v>
      </c>
      <c r="C706" s="35" t="s">
        <v>23</v>
      </c>
      <c r="D706" s="35" t="s">
        <v>44</v>
      </c>
      <c r="E706" s="35" t="s">
        <v>25</v>
      </c>
      <c r="F706" s="35" t="s">
        <v>25</v>
      </c>
      <c r="G706" s="35" t="s">
        <v>25</v>
      </c>
      <c r="H706" s="35" t="s">
        <v>25</v>
      </c>
      <c r="I706" s="55">
        <v>44835</v>
      </c>
      <c r="J706" s="56">
        <f>EFEITO!$J$706*EFEITO!$Y$525</f>
        <v>0</v>
      </c>
      <c r="K706" s="56">
        <f ca="1">EFEITO!$L$706*EFEITO!$Z$525</f>
        <v>742355.77767817117</v>
      </c>
      <c r="L706" s="56">
        <f>EFEITO!$N$706*EFEITO!$AA$525</f>
        <v>360383.0222475481</v>
      </c>
      <c r="M706" s="56">
        <f>$J$706-EFEITO!$K$706*EFEITO!$Y$706</f>
        <v>0</v>
      </c>
      <c r="N706" s="56">
        <f ca="1">$K$706-EFEITO!$M$706*EFEITO!$Z$706</f>
        <v>44541.346660690266</v>
      </c>
      <c r="O706" s="56">
        <f>$L$706-EFEITO!$O$706*EFEITO!$AA$706</f>
        <v>21622.981334852928</v>
      </c>
      <c r="P706" s="39"/>
      <c r="Q706" s="39"/>
      <c r="R706" s="39"/>
      <c r="S706" s="39"/>
      <c r="T706" s="39"/>
      <c r="U706" s="39"/>
      <c r="V706" s="39"/>
      <c r="W706" s="39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35" t="s">
        <v>57</v>
      </c>
      <c r="B707" s="35" t="s">
        <v>43</v>
      </c>
      <c r="C707" s="35" t="s">
        <v>23</v>
      </c>
      <c r="D707" s="35" t="s">
        <v>44</v>
      </c>
      <c r="E707" s="35" t="s">
        <v>25</v>
      </c>
      <c r="F707" s="35" t="s">
        <v>25</v>
      </c>
      <c r="G707" s="35" t="s">
        <v>25</v>
      </c>
      <c r="H707" s="35" t="s">
        <v>25</v>
      </c>
      <c r="I707" s="55">
        <v>44835</v>
      </c>
      <c r="J707" s="56">
        <f>EFEITO!$J$707*EFEITO!$Y$525</f>
        <v>0</v>
      </c>
      <c r="K707" s="56">
        <f ca="1">EFEITO!$L$707*EFEITO!$Z$525</f>
        <v>13216.840865826389</v>
      </c>
      <c r="L707" s="56">
        <f>EFEITO!$N$707*EFEITO!$AA$525</f>
        <v>6416.22952095665</v>
      </c>
      <c r="M707" s="56">
        <f>$J$707-EFEITO!$K$707*EFEITO!$Y$707</f>
        <v>0</v>
      </c>
      <c r="N707" s="56">
        <f ca="1">$K$707-EFEITO!$M$707*EFEITO!$Z$707</f>
        <v>793.01045194958533</v>
      </c>
      <c r="O707" s="56">
        <f>$L$707-EFEITO!$O$707*EFEITO!$AA$707</f>
        <v>384.97377125739877</v>
      </c>
      <c r="P707" s="39"/>
      <c r="Q707" s="39"/>
      <c r="R707" s="39"/>
      <c r="S707" s="39"/>
      <c r="T707" s="39"/>
      <c r="U707" s="39"/>
      <c r="V707" s="39"/>
      <c r="W707" s="39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35" t="s">
        <v>21</v>
      </c>
      <c r="B708" s="35" t="s">
        <v>37</v>
      </c>
      <c r="C708" s="35" t="s">
        <v>33</v>
      </c>
      <c r="D708" s="35" t="s">
        <v>41</v>
      </c>
      <c r="E708" s="35" t="s">
        <v>25</v>
      </c>
      <c r="F708" s="35" t="s">
        <v>25</v>
      </c>
      <c r="G708" s="35" t="s">
        <v>25</v>
      </c>
      <c r="H708" s="35" t="s">
        <v>35</v>
      </c>
      <c r="I708" s="55">
        <v>44501</v>
      </c>
      <c r="J708" s="56">
        <f>EFEITO!$J$708*EFEITO!$Y$708</f>
        <v>0</v>
      </c>
      <c r="K708" s="56">
        <f ca="1">EFEITO!$L$708*EFEITO!$Z$708</f>
        <v>3027.6917771986964</v>
      </c>
      <c r="L708" s="56">
        <f>EFEITO!$N$708*EFEITO!$AA$708</f>
        <v>1732.2258135492618</v>
      </c>
      <c r="M708" s="56">
        <f>$J$708-EFEITO!$K$708*EFEITO!$Y$708</f>
        <v>0</v>
      </c>
      <c r="N708" s="56">
        <f ca="1">$K$708-EFEITO!$M$708*EFEITO!$Z$708</f>
        <v>0</v>
      </c>
      <c r="O708" s="56">
        <f>$L$708-EFEITO!$O$708*EFEITO!$AA$708</f>
        <v>0</v>
      </c>
      <c r="P708" s="39"/>
      <c r="Q708" s="39"/>
      <c r="R708" s="39"/>
      <c r="S708" s="39"/>
      <c r="T708" s="39"/>
      <c r="U708" s="39"/>
      <c r="V708" s="39"/>
      <c r="W708" s="39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35" t="s">
        <v>21</v>
      </c>
      <c r="B709" s="35" t="s">
        <v>37</v>
      </c>
      <c r="C709" s="35" t="s">
        <v>33</v>
      </c>
      <c r="D709" s="35" t="s">
        <v>41</v>
      </c>
      <c r="E709" s="35" t="s">
        <v>25</v>
      </c>
      <c r="F709" s="35" t="s">
        <v>25</v>
      </c>
      <c r="G709" s="35" t="s">
        <v>25</v>
      </c>
      <c r="H709" s="35" t="s">
        <v>35</v>
      </c>
      <c r="I709" s="55">
        <v>44531</v>
      </c>
      <c r="J709" s="56">
        <f>EFEITO!$J$709*EFEITO!$Y$709</f>
        <v>0</v>
      </c>
      <c r="K709" s="56">
        <f ca="1">EFEITO!$L$709*EFEITO!$Z$709</f>
        <v>2673.9622204839943</v>
      </c>
      <c r="L709" s="56">
        <f>EFEITO!$N$709*EFEITO!$AA$709</f>
        <v>1529.8473965085852</v>
      </c>
      <c r="M709" s="56">
        <f>$J$709-EFEITO!$K$709*EFEITO!$Y$709</f>
        <v>0</v>
      </c>
      <c r="N709" s="56">
        <f ca="1">$K$709-EFEITO!$M$709*EFEITO!$Z$709</f>
        <v>0</v>
      </c>
      <c r="O709" s="56">
        <f>$L$709-EFEITO!$O$709*EFEITO!$AA$709</f>
        <v>0</v>
      </c>
      <c r="P709" s="39"/>
      <c r="Q709" s="39"/>
      <c r="R709" s="39"/>
      <c r="S709" s="39"/>
      <c r="T709" s="39"/>
      <c r="U709" s="39"/>
      <c r="V709" s="39"/>
      <c r="W709" s="39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35" t="s">
        <v>21</v>
      </c>
      <c r="B710" s="35" t="s">
        <v>37</v>
      </c>
      <c r="C710" s="35" t="s">
        <v>33</v>
      </c>
      <c r="D710" s="35" t="s">
        <v>41</v>
      </c>
      <c r="E710" s="35" t="s">
        <v>25</v>
      </c>
      <c r="F710" s="35" t="s">
        <v>25</v>
      </c>
      <c r="G710" s="35" t="s">
        <v>25</v>
      </c>
      <c r="H710" s="35" t="s">
        <v>35</v>
      </c>
      <c r="I710" s="55">
        <v>44562</v>
      </c>
      <c r="J710" s="56">
        <f>EFEITO!$J$710*EFEITO!$Y$710</f>
        <v>0</v>
      </c>
      <c r="K710" s="56">
        <f ca="1">EFEITO!$L$710*EFEITO!$Z$710</f>
        <v>3010.1996562622553</v>
      </c>
      <c r="L710" s="56">
        <f>EFEITO!$N$710*EFEITO!$AA$710</f>
        <v>1722.2180896296679</v>
      </c>
      <c r="M710" s="56">
        <f>$J$710-EFEITO!$K$710*EFEITO!$Y$710</f>
        <v>0</v>
      </c>
      <c r="N710" s="56">
        <f ca="1">$K$710-EFEITO!$M$710*EFEITO!$Z$710</f>
        <v>0</v>
      </c>
      <c r="O710" s="56">
        <f>$L$710-EFEITO!$O$710*EFEITO!$AA$710</f>
        <v>0</v>
      </c>
      <c r="P710" s="39"/>
      <c r="Q710" s="39"/>
      <c r="R710" s="39"/>
      <c r="S710" s="39"/>
      <c r="T710" s="39"/>
      <c r="U710" s="39"/>
      <c r="V710" s="39"/>
      <c r="W710" s="39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35" t="s">
        <v>21</v>
      </c>
      <c r="B711" s="35" t="s">
        <v>37</v>
      </c>
      <c r="C711" s="35" t="s">
        <v>33</v>
      </c>
      <c r="D711" s="35" t="s">
        <v>41</v>
      </c>
      <c r="E711" s="35" t="s">
        <v>25</v>
      </c>
      <c r="F711" s="35" t="s">
        <v>25</v>
      </c>
      <c r="G711" s="35" t="s">
        <v>25</v>
      </c>
      <c r="H711" s="35" t="s">
        <v>35</v>
      </c>
      <c r="I711" s="55">
        <v>44593</v>
      </c>
      <c r="J711" s="56">
        <f>EFEITO!$J$711*EFEITO!$Y$711</f>
        <v>0</v>
      </c>
      <c r="K711" s="56">
        <f ca="1">EFEITO!$L$711*EFEITO!$Z$711</f>
        <v>2774.2503805195911</v>
      </c>
      <c r="L711" s="56">
        <f>EFEITO!$N$711*EFEITO!$AA$711</f>
        <v>1587.2250136475902</v>
      </c>
      <c r="M711" s="56">
        <f>$J$711-EFEITO!$K$711*EFEITO!$Y$711</f>
        <v>0</v>
      </c>
      <c r="N711" s="56">
        <f ca="1">$K$711-EFEITO!$M$711*EFEITO!$Z$711</f>
        <v>0</v>
      </c>
      <c r="O711" s="56">
        <f>$L$711-EFEITO!$O$711*EFEITO!$AA$711</f>
        <v>0</v>
      </c>
      <c r="P711" s="39"/>
      <c r="Q711" s="39"/>
      <c r="R711" s="39"/>
      <c r="S711" s="39"/>
      <c r="T711" s="39"/>
      <c r="U711" s="39"/>
      <c r="V711" s="39"/>
      <c r="W711" s="39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35" t="s">
        <v>21</v>
      </c>
      <c r="B712" s="35" t="s">
        <v>37</v>
      </c>
      <c r="C712" s="35" t="s">
        <v>33</v>
      </c>
      <c r="D712" s="35" t="s">
        <v>41</v>
      </c>
      <c r="E712" s="35" t="s">
        <v>25</v>
      </c>
      <c r="F712" s="35" t="s">
        <v>25</v>
      </c>
      <c r="G712" s="35" t="s">
        <v>25</v>
      </c>
      <c r="H712" s="35" t="s">
        <v>35</v>
      </c>
      <c r="I712" s="55">
        <v>44621</v>
      </c>
      <c r="J712" s="56">
        <f>EFEITO!$J$712*EFEITO!$Y$712</f>
        <v>0</v>
      </c>
      <c r="K712" s="56">
        <f ca="1">EFEITO!$L$712*EFEITO!$Z$712</f>
        <v>2440.7339413314439</v>
      </c>
      <c r="L712" s="56">
        <f>EFEITO!$N$712*EFEITO!$AA$712</f>
        <v>1396.4110775806669</v>
      </c>
      <c r="M712" s="56">
        <f>$J$712-EFEITO!$K$712*EFEITO!$Y$712</f>
        <v>0</v>
      </c>
      <c r="N712" s="56">
        <f ca="1">$K$712-EFEITO!$M$712*EFEITO!$Z$712</f>
        <v>0</v>
      </c>
      <c r="O712" s="56">
        <f>$L$712-EFEITO!$O$712*EFEITO!$AA$712</f>
        <v>0</v>
      </c>
      <c r="P712" s="39"/>
      <c r="Q712" s="39"/>
      <c r="R712" s="39"/>
      <c r="S712" s="39"/>
      <c r="T712" s="39"/>
      <c r="U712" s="39"/>
      <c r="V712" s="39"/>
      <c r="W712" s="39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35" t="s">
        <v>21</v>
      </c>
      <c r="B713" s="35" t="s">
        <v>37</v>
      </c>
      <c r="C713" s="35" t="s">
        <v>33</v>
      </c>
      <c r="D713" s="35" t="s">
        <v>41</v>
      </c>
      <c r="E713" s="35" t="s">
        <v>25</v>
      </c>
      <c r="F713" s="35" t="s">
        <v>25</v>
      </c>
      <c r="G713" s="35" t="s">
        <v>25</v>
      </c>
      <c r="H713" s="35" t="s">
        <v>35</v>
      </c>
      <c r="I713" s="55">
        <v>44652</v>
      </c>
      <c r="J713" s="56">
        <f>EFEITO!$J$713*EFEITO!$Y$713</f>
        <v>0</v>
      </c>
      <c r="K713" s="56">
        <f ca="1">EFEITO!$L$713*EFEITO!$Z$713</f>
        <v>2997.7608147074525</v>
      </c>
      <c r="L713" s="56">
        <f>EFEITO!$N$713*EFEITO!$AA$713</f>
        <v>1715.1014859535121</v>
      </c>
      <c r="M713" s="56">
        <f>$J$713-EFEITO!$K$713*EFEITO!$Y$713</f>
        <v>0</v>
      </c>
      <c r="N713" s="56">
        <f ca="1">$K$713-EFEITO!$M$713*EFEITO!$Z$713</f>
        <v>0</v>
      </c>
      <c r="O713" s="56">
        <f>$L$713-EFEITO!$O$713*EFEITO!$AA$713</f>
        <v>0</v>
      </c>
      <c r="P713" s="39"/>
      <c r="Q713" s="39"/>
      <c r="R713" s="39"/>
      <c r="S713" s="39"/>
      <c r="T713" s="39"/>
      <c r="U713" s="39"/>
      <c r="V713" s="39"/>
      <c r="W713" s="39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35" t="s">
        <v>21</v>
      </c>
      <c r="B714" s="35" t="s">
        <v>37</v>
      </c>
      <c r="C714" s="35" t="s">
        <v>33</v>
      </c>
      <c r="D714" s="35" t="s">
        <v>41</v>
      </c>
      <c r="E714" s="35" t="s">
        <v>25</v>
      </c>
      <c r="F714" s="35" t="s">
        <v>25</v>
      </c>
      <c r="G714" s="35" t="s">
        <v>25</v>
      </c>
      <c r="H714" s="35" t="s">
        <v>35</v>
      </c>
      <c r="I714" s="55">
        <v>44682</v>
      </c>
      <c r="J714" s="56">
        <f>EFEITO!$J$714*EFEITO!$Y$714</f>
        <v>0</v>
      </c>
      <c r="K714" s="56">
        <f ca="1">EFEITO!$L$714*EFEITO!$Z$714</f>
        <v>3438.5622623057734</v>
      </c>
      <c r="L714" s="56">
        <f>EFEITO!$N$714*EFEITO!$AA$714</f>
        <v>1967.2961287272783</v>
      </c>
      <c r="M714" s="56">
        <f>$J$714-EFEITO!$K$714*EFEITO!$Y$714</f>
        <v>0</v>
      </c>
      <c r="N714" s="56">
        <f ca="1">$K$714-EFEITO!$M$714*EFEITO!$Z$714</f>
        <v>0</v>
      </c>
      <c r="O714" s="56">
        <f>$L$714-EFEITO!$O$714*EFEITO!$AA$714</f>
        <v>0</v>
      </c>
      <c r="P714" s="39"/>
      <c r="Q714" s="39"/>
      <c r="R714" s="39"/>
      <c r="S714" s="39"/>
      <c r="T714" s="39"/>
      <c r="U714" s="39"/>
      <c r="V714" s="39"/>
      <c r="W714" s="39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35" t="s">
        <v>21</v>
      </c>
      <c r="B715" s="35" t="s">
        <v>37</v>
      </c>
      <c r="C715" s="35" t="s">
        <v>33</v>
      </c>
      <c r="D715" s="35" t="s">
        <v>41</v>
      </c>
      <c r="E715" s="35" t="s">
        <v>25</v>
      </c>
      <c r="F715" s="35" t="s">
        <v>25</v>
      </c>
      <c r="G715" s="35" t="s">
        <v>25</v>
      </c>
      <c r="H715" s="35" t="s">
        <v>35</v>
      </c>
      <c r="I715" s="55">
        <v>44713</v>
      </c>
      <c r="J715" s="56">
        <f>EFEITO!$J$715*EFEITO!$Y$715</f>
        <v>0</v>
      </c>
      <c r="K715" s="56">
        <f ca="1">EFEITO!$L$715*EFEITO!$Z$715</f>
        <v>2228.8849211012102</v>
      </c>
      <c r="L715" s="56">
        <f>EFEITO!$N$715*EFEITO!$AA$715</f>
        <v>1275.206421221141</v>
      </c>
      <c r="M715" s="56">
        <f>$J$715-EFEITO!$K$715*EFEITO!$Y$715</f>
        <v>0</v>
      </c>
      <c r="N715" s="56">
        <f ca="1">$K$715-EFEITO!$M$715*EFEITO!$Z$715</f>
        <v>0</v>
      </c>
      <c r="O715" s="56">
        <f>$L$715-EFEITO!$O$715*EFEITO!$AA$715</f>
        <v>0</v>
      </c>
      <c r="P715" s="39"/>
      <c r="Q715" s="39"/>
      <c r="R715" s="39"/>
      <c r="S715" s="39"/>
      <c r="T715" s="39"/>
      <c r="U715" s="39"/>
      <c r="V715" s="39"/>
      <c r="W715" s="39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35" t="s">
        <v>28</v>
      </c>
      <c r="B716" s="35" t="s">
        <v>37</v>
      </c>
      <c r="C716" s="35" t="s">
        <v>33</v>
      </c>
      <c r="D716" s="35" t="s">
        <v>41</v>
      </c>
      <c r="E716" s="35" t="s">
        <v>25</v>
      </c>
      <c r="F716" s="35" t="s">
        <v>25</v>
      </c>
      <c r="G716" s="35" t="s">
        <v>25</v>
      </c>
      <c r="H716" s="35" t="s">
        <v>35</v>
      </c>
      <c r="I716" s="55">
        <v>44713</v>
      </c>
      <c r="J716" s="56">
        <f>EFEITO!$J$716*EFEITO!$Y$716</f>
        <v>0</v>
      </c>
      <c r="K716" s="56">
        <f ca="1">EFEITO!$L$716*EFEITO!$Z$716</f>
        <v>120.11256376356364</v>
      </c>
      <c r="L716" s="56">
        <f>EFEITO!$N$716*EFEITO!$AA$716</f>
        <v>68.719704247878013</v>
      </c>
      <c r="M716" s="56">
        <f>$J$716-EFEITO!$K$716*EFEITO!$Y$716</f>
        <v>0</v>
      </c>
      <c r="N716" s="56">
        <f ca="1">$K$716-EFEITO!$M$716*EFEITO!$Z$716</f>
        <v>0</v>
      </c>
      <c r="O716" s="56">
        <f>$L$716-EFEITO!$O$716*EFEITO!$AA$716</f>
        <v>0</v>
      </c>
      <c r="P716" s="39"/>
      <c r="Q716" s="39"/>
      <c r="R716" s="39"/>
      <c r="S716" s="39"/>
      <c r="T716" s="39"/>
      <c r="U716" s="39"/>
      <c r="V716" s="39"/>
      <c r="W716" s="39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35" t="s">
        <v>21</v>
      </c>
      <c r="B717" s="35" t="s">
        <v>37</v>
      </c>
      <c r="C717" s="35" t="s">
        <v>33</v>
      </c>
      <c r="D717" s="35" t="s">
        <v>41</v>
      </c>
      <c r="E717" s="35" t="s">
        <v>25</v>
      </c>
      <c r="F717" s="35" t="s">
        <v>25</v>
      </c>
      <c r="G717" s="35" t="s">
        <v>25</v>
      </c>
      <c r="H717" s="35" t="s">
        <v>35</v>
      </c>
      <c r="I717" s="55">
        <v>44743</v>
      </c>
      <c r="J717" s="56">
        <f>EFEITO!$J$717*EFEITO!$Y$717</f>
        <v>0</v>
      </c>
      <c r="K717" s="56">
        <f ca="1">EFEITO!$L$717*EFEITO!$Z$717</f>
        <v>2460.1696312608228</v>
      </c>
      <c r="L717" s="56">
        <f>EFEITO!$N$717*EFEITO!$AA$717</f>
        <v>1407.5307708246601</v>
      </c>
      <c r="M717" s="56">
        <f>$J$717-EFEITO!$K$717*EFEITO!$Y$717</f>
        <v>0</v>
      </c>
      <c r="N717" s="56">
        <f ca="1">$K$717-EFEITO!$M$717*EFEITO!$Z$717</f>
        <v>0</v>
      </c>
      <c r="O717" s="56">
        <f>$L$717-EFEITO!$O$717*EFEITO!$AA$717</f>
        <v>0</v>
      </c>
      <c r="P717" s="39"/>
      <c r="Q717" s="39"/>
      <c r="R717" s="39"/>
      <c r="S717" s="39"/>
      <c r="T717" s="39"/>
      <c r="U717" s="39"/>
      <c r="V717" s="39"/>
      <c r="W717" s="39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35" t="s">
        <v>21</v>
      </c>
      <c r="B718" s="35" t="s">
        <v>37</v>
      </c>
      <c r="C718" s="35" t="s">
        <v>33</v>
      </c>
      <c r="D718" s="35" t="s">
        <v>41</v>
      </c>
      <c r="E718" s="35" t="s">
        <v>25</v>
      </c>
      <c r="F718" s="35" t="s">
        <v>25</v>
      </c>
      <c r="G718" s="35" t="s">
        <v>25</v>
      </c>
      <c r="H718" s="35" t="s">
        <v>35</v>
      </c>
      <c r="I718" s="55">
        <v>44774</v>
      </c>
      <c r="J718" s="56">
        <f>EFEITO!$J$718*EFEITO!$Y$718</f>
        <v>0</v>
      </c>
      <c r="K718" s="56">
        <f ca="1">EFEITO!$L$718*EFEITO!$Z$718</f>
        <v>2177.1859858890616</v>
      </c>
      <c r="L718" s="56">
        <f>EFEITO!$N$718*EFEITO!$AA$718</f>
        <v>1245.6280371921191</v>
      </c>
      <c r="M718" s="56">
        <f>$J$718-EFEITO!$K$718*EFEITO!$Y$718</f>
        <v>0</v>
      </c>
      <c r="N718" s="56">
        <f ca="1">$K$718-EFEITO!$M$718*EFEITO!$Z$718</f>
        <v>0</v>
      </c>
      <c r="O718" s="56">
        <f>$L$718-EFEITO!$O$718*EFEITO!$AA$718</f>
        <v>0</v>
      </c>
      <c r="P718" s="39"/>
      <c r="Q718" s="39"/>
      <c r="R718" s="39"/>
      <c r="S718" s="39"/>
      <c r="T718" s="39"/>
      <c r="U718" s="39"/>
      <c r="V718" s="39"/>
      <c r="W718" s="39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35" t="s">
        <v>21</v>
      </c>
      <c r="B719" s="35" t="s">
        <v>37</v>
      </c>
      <c r="C719" s="35" t="s">
        <v>33</v>
      </c>
      <c r="D719" s="35" t="s">
        <v>41</v>
      </c>
      <c r="E719" s="35" t="s">
        <v>25</v>
      </c>
      <c r="F719" s="35" t="s">
        <v>25</v>
      </c>
      <c r="G719" s="35" t="s">
        <v>25</v>
      </c>
      <c r="H719" s="35" t="s">
        <v>35</v>
      </c>
      <c r="I719" s="55">
        <v>44805</v>
      </c>
      <c r="J719" s="56">
        <f>EFEITO!$J$719*EFEITO!$Y$719</f>
        <v>0</v>
      </c>
      <c r="K719" s="56">
        <f ca="1">EFEITO!$L$719*EFEITO!$Z$719</f>
        <v>2705.4480381695889</v>
      </c>
      <c r="L719" s="56">
        <f>EFEITO!$N$719*EFEITO!$AA$719</f>
        <v>1547.8612995638543</v>
      </c>
      <c r="M719" s="56">
        <f>$J$719-EFEITO!$K$719*EFEITO!$Y$719</f>
        <v>0</v>
      </c>
      <c r="N719" s="56">
        <f ca="1">$K$719-EFEITO!$M$719*EFEITO!$Z$719</f>
        <v>0</v>
      </c>
      <c r="O719" s="56">
        <f>$L$719-EFEITO!$O$719*EFEITO!$AA$719</f>
        <v>0</v>
      </c>
      <c r="P719" s="39"/>
      <c r="Q719" s="39"/>
      <c r="R719" s="39"/>
      <c r="S719" s="39"/>
      <c r="T719" s="39"/>
      <c r="U719" s="39"/>
      <c r="V719" s="39"/>
      <c r="W719" s="39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35" t="s">
        <v>57</v>
      </c>
      <c r="B720" s="35" t="s">
        <v>37</v>
      </c>
      <c r="C720" s="35" t="s">
        <v>33</v>
      </c>
      <c r="D720" s="35" t="s">
        <v>41</v>
      </c>
      <c r="E720" s="35" t="s">
        <v>25</v>
      </c>
      <c r="F720" s="35" t="s">
        <v>25</v>
      </c>
      <c r="G720" s="35" t="s">
        <v>25</v>
      </c>
      <c r="H720" s="35" t="s">
        <v>35</v>
      </c>
      <c r="I720" s="55">
        <v>44835</v>
      </c>
      <c r="J720" s="56">
        <f>EFEITO!$J$720*EFEITO!$Y$720</f>
        <v>0</v>
      </c>
      <c r="K720" s="56">
        <f ca="1">EFEITO!$L$720*EFEITO!$Z$720</f>
        <v>2705.4480381695889</v>
      </c>
      <c r="L720" s="56">
        <f>EFEITO!$N$720*EFEITO!$AA$720</f>
        <v>1547.8612995638543</v>
      </c>
      <c r="M720" s="56">
        <f>$J$720-EFEITO!$K$720*EFEITO!$Y$720</f>
        <v>0</v>
      </c>
      <c r="N720" s="56">
        <f ca="1">$K$720-EFEITO!$M$720*EFEITO!$Z$720</f>
        <v>0</v>
      </c>
      <c r="O720" s="56">
        <f>$L$720-EFEITO!$O$720*EFEITO!$AA$720</f>
        <v>0</v>
      </c>
      <c r="P720" s="39"/>
      <c r="Q720" s="39"/>
      <c r="R720" s="39"/>
      <c r="S720" s="39"/>
      <c r="T720" s="39"/>
      <c r="U720" s="39"/>
      <c r="V720" s="39"/>
      <c r="W720" s="39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35" t="s">
        <v>21</v>
      </c>
      <c r="B721" s="35" t="s">
        <v>37</v>
      </c>
      <c r="C721" s="35" t="s">
        <v>33</v>
      </c>
      <c r="D721" s="35" t="s">
        <v>41</v>
      </c>
      <c r="E721" s="35" t="s">
        <v>25</v>
      </c>
      <c r="F721" s="35" t="s">
        <v>25</v>
      </c>
      <c r="G721" s="35" t="s">
        <v>25</v>
      </c>
      <c r="H721" s="35" t="s">
        <v>36</v>
      </c>
      <c r="I721" s="55">
        <v>44501</v>
      </c>
      <c r="J721" s="56">
        <f>EFEITO!$J$721*EFEITO!$Y$721</f>
        <v>0</v>
      </c>
      <c r="K721" s="56">
        <f ca="1">EFEITO!$L$721*EFEITO!$Z$721</f>
        <v>430.29387315203047</v>
      </c>
      <c r="L721" s="56">
        <f>EFEITO!$N$721*EFEITO!$AA$721</f>
        <v>118.98071771072732</v>
      </c>
      <c r="M721" s="56">
        <f>$J$721-EFEITO!$K$721*EFEITO!$Y$721</f>
        <v>0</v>
      </c>
      <c r="N721" s="56">
        <f ca="1">$K$721-EFEITO!$M$721*EFEITO!$Z$721</f>
        <v>0</v>
      </c>
      <c r="O721" s="56">
        <f>$L$721-EFEITO!$O$721*EFEITO!$AA$721</f>
        <v>0</v>
      </c>
      <c r="P721" s="39"/>
      <c r="Q721" s="39"/>
      <c r="R721" s="39"/>
      <c r="S721" s="39"/>
      <c r="T721" s="39"/>
      <c r="U721" s="39"/>
      <c r="V721" s="39"/>
      <c r="W721" s="39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35" t="s">
        <v>21</v>
      </c>
      <c r="B722" s="35" t="s">
        <v>37</v>
      </c>
      <c r="C722" s="35" t="s">
        <v>33</v>
      </c>
      <c r="D722" s="35" t="s">
        <v>41</v>
      </c>
      <c r="E722" s="35" t="s">
        <v>25</v>
      </c>
      <c r="F722" s="35" t="s">
        <v>25</v>
      </c>
      <c r="G722" s="35" t="s">
        <v>25</v>
      </c>
      <c r="H722" s="35" t="s">
        <v>36</v>
      </c>
      <c r="I722" s="55">
        <v>44531</v>
      </c>
      <c r="J722" s="56">
        <f>EFEITO!$J$722*EFEITO!$Y$722</f>
        <v>0</v>
      </c>
      <c r="K722" s="56">
        <f ca="1">EFEITO!$L$722*EFEITO!$Z$722</f>
        <v>379.6237535098287</v>
      </c>
      <c r="L722" s="56">
        <f>EFEITO!$N$722*EFEITO!$AA$722</f>
        <v>104.96990422329587</v>
      </c>
      <c r="M722" s="56">
        <f>$J$722-EFEITO!$K$722*EFEITO!$Y$722</f>
        <v>0</v>
      </c>
      <c r="N722" s="56">
        <f ca="1">$K$722-EFEITO!$M$722*EFEITO!$Z$722</f>
        <v>0</v>
      </c>
      <c r="O722" s="56">
        <f>$L$722-EFEITO!$O$722*EFEITO!$AA$722</f>
        <v>0</v>
      </c>
      <c r="P722" s="39"/>
      <c r="Q722" s="39"/>
      <c r="R722" s="39"/>
      <c r="S722" s="39"/>
      <c r="T722" s="39"/>
      <c r="U722" s="39"/>
      <c r="V722" s="39"/>
      <c r="W722" s="39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35" t="s">
        <v>21</v>
      </c>
      <c r="B723" s="35" t="s">
        <v>37</v>
      </c>
      <c r="C723" s="35" t="s">
        <v>33</v>
      </c>
      <c r="D723" s="35" t="s">
        <v>41</v>
      </c>
      <c r="E723" s="35" t="s">
        <v>25</v>
      </c>
      <c r="F723" s="35" t="s">
        <v>25</v>
      </c>
      <c r="G723" s="35" t="s">
        <v>25</v>
      </c>
      <c r="H723" s="35" t="s">
        <v>36</v>
      </c>
      <c r="I723" s="55">
        <v>44562</v>
      </c>
      <c r="J723" s="56">
        <f>EFEITO!$J$723*EFEITO!$Y$723</f>
        <v>0</v>
      </c>
      <c r="K723" s="56">
        <f ca="1">EFEITO!$L$723*EFEITO!$Z$723</f>
        <v>471.31254143381278</v>
      </c>
      <c r="L723" s="56">
        <f>EFEITO!$N$723*EFEITO!$AA$723</f>
        <v>130.32280481960038</v>
      </c>
      <c r="M723" s="56">
        <f>$J$723-EFEITO!$K$723*EFEITO!$Y$723</f>
        <v>0</v>
      </c>
      <c r="N723" s="56">
        <f ca="1">$K$723-EFEITO!$M$723*EFEITO!$Z$723</f>
        <v>0</v>
      </c>
      <c r="O723" s="56">
        <f>$L$723-EFEITO!$O$723*EFEITO!$AA$723</f>
        <v>0</v>
      </c>
      <c r="P723" s="39"/>
      <c r="Q723" s="39"/>
      <c r="R723" s="39"/>
      <c r="S723" s="39"/>
      <c r="T723" s="39"/>
      <c r="U723" s="39"/>
      <c r="V723" s="39"/>
      <c r="W723" s="39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35" t="s">
        <v>21</v>
      </c>
      <c r="B724" s="35" t="s">
        <v>37</v>
      </c>
      <c r="C724" s="35" t="s">
        <v>33</v>
      </c>
      <c r="D724" s="35" t="s">
        <v>41</v>
      </c>
      <c r="E724" s="35" t="s">
        <v>25</v>
      </c>
      <c r="F724" s="35" t="s">
        <v>25</v>
      </c>
      <c r="G724" s="35" t="s">
        <v>25</v>
      </c>
      <c r="H724" s="35" t="s">
        <v>36</v>
      </c>
      <c r="I724" s="55">
        <v>44593</v>
      </c>
      <c r="J724" s="56">
        <f>EFEITO!$J$724*EFEITO!$Y$724</f>
        <v>0</v>
      </c>
      <c r="K724" s="56">
        <f ca="1">EFEITO!$L$724*EFEITO!$Z$724</f>
        <v>461.66109007339338</v>
      </c>
      <c r="L724" s="56">
        <f>EFEITO!$N$724*EFEITO!$AA$724</f>
        <v>127.654078441042</v>
      </c>
      <c r="M724" s="56">
        <f>$J$724-EFEITO!$K$724*EFEITO!$Y$724</f>
        <v>0</v>
      </c>
      <c r="N724" s="56">
        <f ca="1">$K$724-EFEITO!$M$724*EFEITO!$Z$724</f>
        <v>0</v>
      </c>
      <c r="O724" s="56">
        <f>$L$724-EFEITO!$O$724*EFEITO!$AA$724</f>
        <v>0</v>
      </c>
      <c r="P724" s="39"/>
      <c r="Q724" s="39"/>
      <c r="R724" s="39"/>
      <c r="S724" s="39"/>
      <c r="T724" s="39"/>
      <c r="U724" s="39"/>
      <c r="V724" s="39"/>
      <c r="W724" s="39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35" t="s">
        <v>21</v>
      </c>
      <c r="B725" s="35" t="s">
        <v>37</v>
      </c>
      <c r="C725" s="35" t="s">
        <v>33</v>
      </c>
      <c r="D725" s="35" t="s">
        <v>41</v>
      </c>
      <c r="E725" s="35" t="s">
        <v>25</v>
      </c>
      <c r="F725" s="35" t="s">
        <v>25</v>
      </c>
      <c r="G725" s="35" t="s">
        <v>25</v>
      </c>
      <c r="H725" s="35" t="s">
        <v>36</v>
      </c>
      <c r="I725" s="55">
        <v>44621</v>
      </c>
      <c r="J725" s="56">
        <f>EFEITO!$J$725*EFEITO!$Y$725</f>
        <v>0</v>
      </c>
      <c r="K725" s="56">
        <f ca="1">EFEITO!$L$725*EFEITO!$Z$725</f>
        <v>350.66939942857061</v>
      </c>
      <c r="L725" s="56">
        <f>EFEITO!$N$725*EFEITO!$AA$725</f>
        <v>96.963725087620759</v>
      </c>
      <c r="M725" s="56">
        <f>$J$725-EFEITO!$K$725*EFEITO!$Y$725</f>
        <v>0</v>
      </c>
      <c r="N725" s="56">
        <f ca="1">$K$725-EFEITO!$M$725*EFEITO!$Z$725</f>
        <v>0</v>
      </c>
      <c r="O725" s="56">
        <f>$L$725-EFEITO!$O$725*EFEITO!$AA$725</f>
        <v>0</v>
      </c>
      <c r="P725" s="39"/>
      <c r="Q725" s="39"/>
      <c r="R725" s="39"/>
      <c r="S725" s="39"/>
      <c r="T725" s="39"/>
      <c r="U725" s="39"/>
      <c r="V725" s="39"/>
      <c r="W725" s="39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35" t="s">
        <v>21</v>
      </c>
      <c r="B726" s="35" t="s">
        <v>37</v>
      </c>
      <c r="C726" s="35" t="s">
        <v>33</v>
      </c>
      <c r="D726" s="35" t="s">
        <v>41</v>
      </c>
      <c r="E726" s="35" t="s">
        <v>25</v>
      </c>
      <c r="F726" s="35" t="s">
        <v>25</v>
      </c>
      <c r="G726" s="35" t="s">
        <v>25</v>
      </c>
      <c r="H726" s="35" t="s">
        <v>36</v>
      </c>
      <c r="I726" s="55">
        <v>44652</v>
      </c>
      <c r="J726" s="56">
        <f>EFEITO!$J$726*EFEITO!$Y$726</f>
        <v>0</v>
      </c>
      <c r="K726" s="56">
        <f ca="1">EFEITO!$L$726*EFEITO!$Z$726</f>
        <v>493.02830699475635</v>
      </c>
      <c r="L726" s="56">
        <f>EFEITO!$N$726*EFEITO!$AA$726</f>
        <v>136.3274391713567</v>
      </c>
      <c r="M726" s="56">
        <f>$J$726-EFEITO!$K$726*EFEITO!$Y$726</f>
        <v>0</v>
      </c>
      <c r="N726" s="56">
        <f ca="1">$K$726-EFEITO!$M$726*EFEITO!$Z$726</f>
        <v>0</v>
      </c>
      <c r="O726" s="56">
        <f>$L$726-EFEITO!$O$726*EFEITO!$AA$726</f>
        <v>0</v>
      </c>
      <c r="P726" s="39"/>
      <c r="Q726" s="39"/>
      <c r="R726" s="39"/>
      <c r="S726" s="39"/>
      <c r="T726" s="39"/>
      <c r="U726" s="39"/>
      <c r="V726" s="39"/>
      <c r="W726" s="39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35" t="s">
        <v>21</v>
      </c>
      <c r="B727" s="35" t="s">
        <v>37</v>
      </c>
      <c r="C727" s="35" t="s">
        <v>33</v>
      </c>
      <c r="D727" s="35" t="s">
        <v>41</v>
      </c>
      <c r="E727" s="35" t="s">
        <v>25</v>
      </c>
      <c r="F727" s="35" t="s">
        <v>25</v>
      </c>
      <c r="G727" s="35" t="s">
        <v>25</v>
      </c>
      <c r="H727" s="35" t="s">
        <v>36</v>
      </c>
      <c r="I727" s="55">
        <v>44682</v>
      </c>
      <c r="J727" s="56">
        <f>EFEITO!$J$727*EFEITO!$Y$727</f>
        <v>0</v>
      </c>
      <c r="K727" s="56">
        <f ca="1">EFEITO!$L$727*EFEITO!$Z$727</f>
        <v>455.22678916644713</v>
      </c>
      <c r="L727" s="56">
        <f>EFEITO!$N$727*EFEITO!$AA$727</f>
        <v>125.87492752200309</v>
      </c>
      <c r="M727" s="56">
        <f>$J$727-EFEITO!$K$727*EFEITO!$Y$727</f>
        <v>0</v>
      </c>
      <c r="N727" s="56">
        <f ca="1">$K$727-EFEITO!$M$727*EFEITO!$Z$727</f>
        <v>0</v>
      </c>
      <c r="O727" s="56">
        <f>$L$727-EFEITO!$O$727*EFEITO!$AA$727</f>
        <v>0</v>
      </c>
      <c r="P727" s="39"/>
      <c r="Q727" s="39"/>
      <c r="R727" s="39"/>
      <c r="S727" s="39"/>
      <c r="T727" s="39"/>
      <c r="U727" s="39"/>
      <c r="V727" s="39"/>
      <c r="W727" s="39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35" t="s">
        <v>21</v>
      </c>
      <c r="B728" s="35" t="s">
        <v>37</v>
      </c>
      <c r="C728" s="35" t="s">
        <v>33</v>
      </c>
      <c r="D728" s="35" t="s">
        <v>41</v>
      </c>
      <c r="E728" s="35" t="s">
        <v>25</v>
      </c>
      <c r="F728" s="35" t="s">
        <v>25</v>
      </c>
      <c r="G728" s="35" t="s">
        <v>25</v>
      </c>
      <c r="H728" s="35" t="s">
        <v>36</v>
      </c>
      <c r="I728" s="55">
        <v>44713</v>
      </c>
      <c r="J728" s="56">
        <f>EFEITO!$J$728*EFEITO!$Y$728</f>
        <v>0</v>
      </c>
      <c r="K728" s="56">
        <f ca="1">EFEITO!$L$728*EFEITO!$Z$728</f>
        <v>341.82223568151949</v>
      </c>
      <c r="L728" s="56">
        <f>EFEITO!$N$728*EFEITO!$AA$728</f>
        <v>94.51739257394226</v>
      </c>
      <c r="M728" s="56">
        <f>$J$728-EFEITO!$K$728*EFEITO!$Y$728</f>
        <v>0</v>
      </c>
      <c r="N728" s="56">
        <f ca="1">$K$728-EFEITO!$M$728*EFEITO!$Z$728</f>
        <v>0</v>
      </c>
      <c r="O728" s="56">
        <f>$L$728-EFEITO!$O$728*EFEITO!$AA$728</f>
        <v>0</v>
      </c>
      <c r="P728" s="39"/>
      <c r="Q728" s="39"/>
      <c r="R728" s="39"/>
      <c r="S728" s="39"/>
      <c r="T728" s="39"/>
      <c r="U728" s="39"/>
      <c r="V728" s="39"/>
      <c r="W728" s="39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35" t="s">
        <v>28</v>
      </c>
      <c r="B729" s="35" t="s">
        <v>37</v>
      </c>
      <c r="C729" s="35" t="s">
        <v>33</v>
      </c>
      <c r="D729" s="35" t="s">
        <v>41</v>
      </c>
      <c r="E729" s="35" t="s">
        <v>25</v>
      </c>
      <c r="F729" s="35" t="s">
        <v>25</v>
      </c>
      <c r="G729" s="35" t="s">
        <v>25</v>
      </c>
      <c r="H729" s="35" t="s">
        <v>36</v>
      </c>
      <c r="I729" s="55">
        <v>44713</v>
      </c>
      <c r="J729" s="56">
        <f>EFEITO!$J$729*EFEITO!$Y$729</f>
        <v>0</v>
      </c>
      <c r="K729" s="56">
        <f ca="1">EFEITO!$L$729*EFEITO!$Z$729</f>
        <v>40.214380668414066</v>
      </c>
      <c r="L729" s="56">
        <f>EFEITO!$N$729*EFEITO!$AA$729</f>
        <v>11.119693243993208</v>
      </c>
      <c r="M729" s="56">
        <f>$J$729-EFEITO!$K$729*EFEITO!$Y$729</f>
        <v>0</v>
      </c>
      <c r="N729" s="56">
        <f ca="1">$K$729-EFEITO!$M$729*EFEITO!$Z$729</f>
        <v>0</v>
      </c>
      <c r="O729" s="56">
        <f>$L$729-EFEITO!$O$729*EFEITO!$AA$729</f>
        <v>0</v>
      </c>
      <c r="P729" s="39"/>
      <c r="Q729" s="39"/>
      <c r="R729" s="39"/>
      <c r="S729" s="39"/>
      <c r="T729" s="39"/>
      <c r="U729" s="39"/>
      <c r="V729" s="39"/>
      <c r="W729" s="39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35" t="s">
        <v>21</v>
      </c>
      <c r="B730" s="35" t="s">
        <v>37</v>
      </c>
      <c r="C730" s="35" t="s">
        <v>33</v>
      </c>
      <c r="D730" s="35" t="s">
        <v>41</v>
      </c>
      <c r="E730" s="35" t="s">
        <v>25</v>
      </c>
      <c r="F730" s="35" t="s">
        <v>25</v>
      </c>
      <c r="G730" s="35" t="s">
        <v>25</v>
      </c>
      <c r="H730" s="35" t="s">
        <v>36</v>
      </c>
      <c r="I730" s="55">
        <v>44743</v>
      </c>
      <c r="J730" s="56">
        <f>EFEITO!$J$730*EFEITO!$Y$730</f>
        <v>0</v>
      </c>
      <c r="K730" s="56">
        <f ca="1">EFEITO!$L$730*EFEITO!$Z$730</f>
        <v>336.99651000130979</v>
      </c>
      <c r="L730" s="56">
        <f>EFEITO!$N$730*EFEITO!$AA$730</f>
        <v>93.183029384663072</v>
      </c>
      <c r="M730" s="56">
        <f>$J$730-EFEITO!$K$730*EFEITO!$Y$730</f>
        <v>0</v>
      </c>
      <c r="N730" s="56">
        <f ca="1">$K$730-EFEITO!$M$730*EFEITO!$Z$730</f>
        <v>0</v>
      </c>
      <c r="O730" s="56">
        <f>$L$730-EFEITO!$O$730*EFEITO!$AA$730</f>
        <v>0</v>
      </c>
      <c r="P730" s="39"/>
      <c r="Q730" s="39"/>
      <c r="R730" s="39"/>
      <c r="S730" s="39"/>
      <c r="T730" s="39"/>
      <c r="U730" s="39"/>
      <c r="V730" s="39"/>
      <c r="W730" s="39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35" t="s">
        <v>28</v>
      </c>
      <c r="B731" s="35" t="s">
        <v>37</v>
      </c>
      <c r="C731" s="35" t="s">
        <v>33</v>
      </c>
      <c r="D731" s="35" t="s">
        <v>41</v>
      </c>
      <c r="E731" s="35" t="s">
        <v>25</v>
      </c>
      <c r="F731" s="35" t="s">
        <v>25</v>
      </c>
      <c r="G731" s="35" t="s">
        <v>25</v>
      </c>
      <c r="H731" s="35" t="s">
        <v>36</v>
      </c>
      <c r="I731" s="55">
        <v>44743</v>
      </c>
      <c r="J731" s="56">
        <f>EFEITO!$J$731*EFEITO!$Y$731</f>
        <v>0</v>
      </c>
      <c r="K731" s="56">
        <f ca="1">EFEITO!$L$731*EFEITO!$Z$731</f>
        <v>37.801517828309215</v>
      </c>
      <c r="L731" s="56">
        <f>EFEITO!$N$731*EFEITO!$AA$731</f>
        <v>10.452511649353614</v>
      </c>
      <c r="M731" s="56">
        <f>$J$731-EFEITO!$K$731*EFEITO!$Y$731</f>
        <v>0</v>
      </c>
      <c r="N731" s="56">
        <f ca="1">$K$731-EFEITO!$M$731*EFEITO!$Z$731</f>
        <v>0</v>
      </c>
      <c r="O731" s="56">
        <f>$L$731-EFEITO!$O$731*EFEITO!$AA$731</f>
        <v>0</v>
      </c>
      <c r="P731" s="39"/>
      <c r="Q731" s="39"/>
      <c r="R731" s="39"/>
      <c r="S731" s="39"/>
      <c r="T731" s="39"/>
      <c r="U731" s="39"/>
      <c r="V731" s="39"/>
      <c r="W731" s="39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35" t="s">
        <v>21</v>
      </c>
      <c r="B732" s="35" t="s">
        <v>37</v>
      </c>
      <c r="C732" s="35" t="s">
        <v>33</v>
      </c>
      <c r="D732" s="35" t="s">
        <v>41</v>
      </c>
      <c r="E732" s="35" t="s">
        <v>25</v>
      </c>
      <c r="F732" s="35" t="s">
        <v>25</v>
      </c>
      <c r="G732" s="35" t="s">
        <v>25</v>
      </c>
      <c r="H732" s="35" t="s">
        <v>36</v>
      </c>
      <c r="I732" s="55">
        <v>44774</v>
      </c>
      <c r="J732" s="56">
        <f>EFEITO!$J$732*EFEITO!$Y$732</f>
        <v>0</v>
      </c>
      <c r="K732" s="56">
        <f ca="1">EFEITO!$L$732*EFEITO!$Z$732</f>
        <v>316.88931966710282</v>
      </c>
      <c r="L732" s="56">
        <f>EFEITO!$N$732*EFEITO!$AA$732</f>
        <v>87.623182762666474</v>
      </c>
      <c r="M732" s="56">
        <f>$J$732-EFEITO!$K$732*EFEITO!$Y$732</f>
        <v>0</v>
      </c>
      <c r="N732" s="56">
        <f ca="1">$K$732-EFEITO!$M$732*EFEITO!$Z$732</f>
        <v>0</v>
      </c>
      <c r="O732" s="56">
        <f>$L$732-EFEITO!$O$732*EFEITO!$AA$732</f>
        <v>0</v>
      </c>
      <c r="P732" s="39"/>
      <c r="Q732" s="39"/>
      <c r="R732" s="39"/>
      <c r="S732" s="39"/>
      <c r="T732" s="39"/>
      <c r="U732" s="39"/>
      <c r="V732" s="39"/>
      <c r="W732" s="39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35" t="s">
        <v>21</v>
      </c>
      <c r="B733" s="35" t="s">
        <v>37</v>
      </c>
      <c r="C733" s="35" t="s">
        <v>33</v>
      </c>
      <c r="D733" s="35" t="s">
        <v>41</v>
      </c>
      <c r="E733" s="35" t="s">
        <v>25</v>
      </c>
      <c r="F733" s="35" t="s">
        <v>25</v>
      </c>
      <c r="G733" s="35" t="s">
        <v>25</v>
      </c>
      <c r="H733" s="35" t="s">
        <v>36</v>
      </c>
      <c r="I733" s="55">
        <v>44805</v>
      </c>
      <c r="J733" s="56">
        <f>EFEITO!$J$733*EFEITO!$Y$733</f>
        <v>0</v>
      </c>
      <c r="K733" s="56">
        <f ca="1">EFEITO!$L$733*EFEITO!$Z$733</f>
        <v>398.92665623066745</v>
      </c>
      <c r="L733" s="56">
        <f>EFEITO!$N$733*EFEITO!$AA$733</f>
        <v>110.30735698041261</v>
      </c>
      <c r="M733" s="56">
        <f>$J$733-EFEITO!$K$733*EFEITO!$Y$733</f>
        <v>0</v>
      </c>
      <c r="N733" s="56">
        <f ca="1">$K$733-EFEITO!$M$733*EFEITO!$Z$733</f>
        <v>0</v>
      </c>
      <c r="O733" s="56">
        <f>$L$733-EFEITO!$O$733*EFEITO!$AA$733</f>
        <v>0</v>
      </c>
      <c r="P733" s="39"/>
      <c r="Q733" s="39"/>
      <c r="R733" s="39"/>
      <c r="S733" s="39"/>
      <c r="T733" s="39"/>
      <c r="U733" s="39"/>
      <c r="V733" s="39"/>
      <c r="W733" s="39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35" t="s">
        <v>57</v>
      </c>
      <c r="B734" s="35" t="s">
        <v>37</v>
      </c>
      <c r="C734" s="35" t="s">
        <v>33</v>
      </c>
      <c r="D734" s="35" t="s">
        <v>41</v>
      </c>
      <c r="E734" s="35" t="s">
        <v>25</v>
      </c>
      <c r="F734" s="35" t="s">
        <v>25</v>
      </c>
      <c r="G734" s="35" t="s">
        <v>25</v>
      </c>
      <c r="H734" s="35" t="s">
        <v>36</v>
      </c>
      <c r="I734" s="55">
        <v>44835</v>
      </c>
      <c r="J734" s="56">
        <f>EFEITO!$J$734*EFEITO!$Y$734</f>
        <v>0</v>
      </c>
      <c r="K734" s="56">
        <f ca="1">EFEITO!$L$734*EFEITO!$Z$734</f>
        <v>398.92665623066745</v>
      </c>
      <c r="L734" s="56">
        <f>EFEITO!$N$734*EFEITO!$AA$734</f>
        <v>110.30735698041261</v>
      </c>
      <c r="M734" s="56">
        <f>$J$734-EFEITO!$K$734*EFEITO!$Y$734</f>
        <v>0</v>
      </c>
      <c r="N734" s="56">
        <f ca="1">$K$734-EFEITO!$M$734*EFEITO!$Z$734</f>
        <v>0</v>
      </c>
      <c r="O734" s="56">
        <f>$L$734-EFEITO!$O$734*EFEITO!$AA$734</f>
        <v>0</v>
      </c>
      <c r="P734" s="39"/>
      <c r="Q734" s="39"/>
      <c r="R734" s="39"/>
      <c r="S734" s="39"/>
      <c r="T734" s="39"/>
      <c r="U734" s="39"/>
      <c r="V734" s="39"/>
      <c r="W734" s="39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35" t="s">
        <v>21</v>
      </c>
      <c r="B735" s="35" t="s">
        <v>37</v>
      </c>
      <c r="C735" s="35" t="s">
        <v>33</v>
      </c>
      <c r="D735" s="35" t="s">
        <v>41</v>
      </c>
      <c r="E735" s="35" t="s">
        <v>25</v>
      </c>
      <c r="F735" s="35" t="s">
        <v>25</v>
      </c>
      <c r="G735" s="35" t="s">
        <v>25</v>
      </c>
      <c r="H735" s="35" t="s">
        <v>34</v>
      </c>
      <c r="I735" s="55">
        <v>44501</v>
      </c>
      <c r="J735" s="56">
        <f>EFEITO!$J$735*EFEITO!$Y$735</f>
        <v>0</v>
      </c>
      <c r="K735" s="56">
        <f ca="1">EFEITO!$L$735*EFEITO!$Z$735</f>
        <v>788.03057074994479</v>
      </c>
      <c r="L735" s="56">
        <f>EFEITO!$N$735*EFEITO!$AA$735</f>
        <v>233.82140998926624</v>
      </c>
      <c r="M735" s="56">
        <f>$J$735-EFEITO!$K$735*EFEITO!$Y$735</f>
        <v>0</v>
      </c>
      <c r="N735" s="56">
        <f ca="1">$K$735-EFEITO!$M$735*EFEITO!$Z$735</f>
        <v>0</v>
      </c>
      <c r="O735" s="56">
        <f>$L$735-EFEITO!$O$735*EFEITO!$AA$735</f>
        <v>0</v>
      </c>
      <c r="P735" s="39"/>
      <c r="Q735" s="39"/>
      <c r="R735" s="39"/>
      <c r="S735" s="39"/>
      <c r="T735" s="39"/>
      <c r="U735" s="39"/>
      <c r="V735" s="39"/>
      <c r="W735" s="39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35" t="s">
        <v>21</v>
      </c>
      <c r="B736" s="35" t="s">
        <v>37</v>
      </c>
      <c r="C736" s="35" t="s">
        <v>33</v>
      </c>
      <c r="D736" s="35" t="s">
        <v>41</v>
      </c>
      <c r="E736" s="35" t="s">
        <v>25</v>
      </c>
      <c r="F736" s="35" t="s">
        <v>25</v>
      </c>
      <c r="G736" s="35" t="s">
        <v>25</v>
      </c>
      <c r="H736" s="35" t="s">
        <v>34</v>
      </c>
      <c r="I736" s="55">
        <v>44531</v>
      </c>
      <c r="J736" s="56">
        <f>EFEITO!$J$736*EFEITO!$Y$736</f>
        <v>0</v>
      </c>
      <c r="K736" s="56">
        <f ca="1">EFEITO!$L$736*EFEITO!$Z$736</f>
        <v>741.67583129406557</v>
      </c>
      <c r="L736" s="56">
        <f>EFEITO!$N$736*EFEITO!$AA$736</f>
        <v>220.06720940166232</v>
      </c>
      <c r="M736" s="56">
        <f>$J$736-EFEITO!$K$736*EFEITO!$Y$736</f>
        <v>0</v>
      </c>
      <c r="N736" s="56">
        <f ca="1">$K$736-EFEITO!$M$736*EFEITO!$Z$736</f>
        <v>0</v>
      </c>
      <c r="O736" s="56">
        <f>$L$736-EFEITO!$O$736*EFEITO!$AA$736</f>
        <v>0</v>
      </c>
      <c r="P736" s="39"/>
      <c r="Q736" s="39"/>
      <c r="R736" s="39"/>
      <c r="S736" s="39"/>
      <c r="T736" s="39"/>
      <c r="U736" s="39"/>
      <c r="V736" s="39"/>
      <c r="W736" s="39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35" t="s">
        <v>21</v>
      </c>
      <c r="B737" s="35" t="s">
        <v>37</v>
      </c>
      <c r="C737" s="35" t="s">
        <v>33</v>
      </c>
      <c r="D737" s="35" t="s">
        <v>41</v>
      </c>
      <c r="E737" s="35" t="s">
        <v>25</v>
      </c>
      <c r="F737" s="35" t="s">
        <v>25</v>
      </c>
      <c r="G737" s="35" t="s">
        <v>25</v>
      </c>
      <c r="H737" s="35" t="s">
        <v>34</v>
      </c>
      <c r="I737" s="55">
        <v>44562</v>
      </c>
      <c r="J737" s="56">
        <f>EFEITO!$J$737*EFEITO!$Y$737</f>
        <v>0</v>
      </c>
      <c r="K737" s="56">
        <f ca="1">EFEITO!$L$737*EFEITO!$Z$737</f>
        <v>901.47769626038576</v>
      </c>
      <c r="L737" s="56">
        <f>EFEITO!$N$737*EFEITO!$AA$737</f>
        <v>267.48300616419158</v>
      </c>
      <c r="M737" s="56">
        <f>$J$737-EFEITO!$K$737*EFEITO!$Y$737</f>
        <v>0</v>
      </c>
      <c r="N737" s="56">
        <f ca="1">$K$737-EFEITO!$M$737*EFEITO!$Z$737</f>
        <v>0</v>
      </c>
      <c r="O737" s="56">
        <f>$L$737-EFEITO!$O$737*EFEITO!$AA$737</f>
        <v>0</v>
      </c>
      <c r="P737" s="39"/>
      <c r="Q737" s="39"/>
      <c r="R737" s="39"/>
      <c r="S737" s="39"/>
      <c r="T737" s="39"/>
      <c r="U737" s="39"/>
      <c r="V737" s="39"/>
      <c r="W737" s="39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35" t="s">
        <v>21</v>
      </c>
      <c r="B738" s="35" t="s">
        <v>37</v>
      </c>
      <c r="C738" s="35" t="s">
        <v>33</v>
      </c>
      <c r="D738" s="35" t="s">
        <v>41</v>
      </c>
      <c r="E738" s="35" t="s">
        <v>25</v>
      </c>
      <c r="F738" s="35" t="s">
        <v>25</v>
      </c>
      <c r="G738" s="35" t="s">
        <v>25</v>
      </c>
      <c r="H738" s="35" t="s">
        <v>34</v>
      </c>
      <c r="I738" s="55">
        <v>44593</v>
      </c>
      <c r="J738" s="56">
        <f>EFEITO!$J$738*EFEITO!$Y$738</f>
        <v>0</v>
      </c>
      <c r="K738" s="56">
        <f ca="1">EFEITO!$L$738*EFEITO!$Z$738</f>
        <v>878.30032653244609</v>
      </c>
      <c r="L738" s="56">
        <f>EFEITO!$N$738*EFEITO!$AA$738</f>
        <v>260.60590587038962</v>
      </c>
      <c r="M738" s="56">
        <f>$J$738-EFEITO!$K$738*EFEITO!$Y$738</f>
        <v>0</v>
      </c>
      <c r="N738" s="56">
        <f ca="1">$K$738-EFEITO!$M$738*EFEITO!$Z$738</f>
        <v>0</v>
      </c>
      <c r="O738" s="56">
        <f>$L$738-EFEITO!$O$738*EFEITO!$AA$738</f>
        <v>0</v>
      </c>
      <c r="P738" s="39"/>
      <c r="Q738" s="39"/>
      <c r="R738" s="39"/>
      <c r="S738" s="39"/>
      <c r="T738" s="39"/>
      <c r="U738" s="39"/>
      <c r="V738" s="39"/>
      <c r="W738" s="39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35" t="s">
        <v>21</v>
      </c>
      <c r="B739" s="35" t="s">
        <v>37</v>
      </c>
      <c r="C739" s="35" t="s">
        <v>33</v>
      </c>
      <c r="D739" s="35" t="s">
        <v>41</v>
      </c>
      <c r="E739" s="35" t="s">
        <v>25</v>
      </c>
      <c r="F739" s="35" t="s">
        <v>25</v>
      </c>
      <c r="G739" s="35" t="s">
        <v>25</v>
      </c>
      <c r="H739" s="35" t="s">
        <v>34</v>
      </c>
      <c r="I739" s="55">
        <v>44621</v>
      </c>
      <c r="J739" s="56">
        <f>EFEITO!$J$739*EFEITO!$Y$739</f>
        <v>0</v>
      </c>
      <c r="K739" s="56">
        <f ca="1">EFEITO!$L$739*EFEITO!$Z$739</f>
        <v>729.47721564778169</v>
      </c>
      <c r="L739" s="56">
        <f>EFEITO!$N$739*EFEITO!$AA$739</f>
        <v>216.44768293124025</v>
      </c>
      <c r="M739" s="56">
        <f>$J$739-EFEITO!$K$739*EFEITO!$Y$739</f>
        <v>0</v>
      </c>
      <c r="N739" s="56">
        <f ca="1">$K$739-EFEITO!$M$739*EFEITO!$Z$739</f>
        <v>0</v>
      </c>
      <c r="O739" s="56">
        <f>$L$739-EFEITO!$O$739*EFEITO!$AA$739</f>
        <v>0</v>
      </c>
      <c r="P739" s="39"/>
      <c r="Q739" s="39"/>
      <c r="R739" s="39"/>
      <c r="S739" s="39"/>
      <c r="T739" s="39"/>
      <c r="U739" s="39"/>
      <c r="V739" s="39"/>
      <c r="W739" s="39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35" t="s">
        <v>21</v>
      </c>
      <c r="B740" s="35" t="s">
        <v>37</v>
      </c>
      <c r="C740" s="35" t="s">
        <v>33</v>
      </c>
      <c r="D740" s="35" t="s">
        <v>41</v>
      </c>
      <c r="E740" s="35" t="s">
        <v>25</v>
      </c>
      <c r="F740" s="35" t="s">
        <v>25</v>
      </c>
      <c r="G740" s="35" t="s">
        <v>25</v>
      </c>
      <c r="H740" s="35" t="s">
        <v>34</v>
      </c>
      <c r="I740" s="55">
        <v>44652</v>
      </c>
      <c r="J740" s="56">
        <f>EFEITO!$J$740*EFEITO!$Y$740</f>
        <v>0</v>
      </c>
      <c r="K740" s="56">
        <f ca="1">EFEITO!$L$740*EFEITO!$Z$740</f>
        <v>1008.8255139476846</v>
      </c>
      <c r="L740" s="56">
        <f>EFEITO!$N$740*EFEITO!$AA$740</f>
        <v>299.33483910390584</v>
      </c>
      <c r="M740" s="56">
        <f>$J$740-EFEITO!$K$740*EFEITO!$Y$740</f>
        <v>0</v>
      </c>
      <c r="N740" s="56">
        <f ca="1">$K$740-EFEITO!$M$740*EFEITO!$Z$740</f>
        <v>0</v>
      </c>
      <c r="O740" s="56">
        <f>$L$740-EFEITO!$O$740*EFEITO!$AA$740</f>
        <v>0</v>
      </c>
      <c r="P740" s="39"/>
      <c r="Q740" s="39"/>
      <c r="R740" s="39"/>
      <c r="S740" s="39"/>
      <c r="T740" s="39"/>
      <c r="U740" s="39"/>
      <c r="V740" s="39"/>
      <c r="W740" s="39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35" t="s">
        <v>21</v>
      </c>
      <c r="B741" s="35" t="s">
        <v>37</v>
      </c>
      <c r="C741" s="35" t="s">
        <v>33</v>
      </c>
      <c r="D741" s="35" t="s">
        <v>41</v>
      </c>
      <c r="E741" s="35" t="s">
        <v>25</v>
      </c>
      <c r="F741" s="35" t="s">
        <v>25</v>
      </c>
      <c r="G741" s="35" t="s">
        <v>25</v>
      </c>
      <c r="H741" s="35" t="s">
        <v>34</v>
      </c>
      <c r="I741" s="55">
        <v>44682</v>
      </c>
      <c r="J741" s="56">
        <f>EFEITO!$J$741*EFEITO!$Y$741</f>
        <v>0</v>
      </c>
      <c r="K741" s="56">
        <f ca="1">EFEITO!$L$741*EFEITO!$Z$741</f>
        <v>917.33589660055486</v>
      </c>
      <c r="L741" s="56">
        <f>EFEITO!$N$741*EFEITO!$AA$741</f>
        <v>272.18839057574024</v>
      </c>
      <c r="M741" s="56">
        <f>$J$741-EFEITO!$K$741*EFEITO!$Y$741</f>
        <v>0</v>
      </c>
      <c r="N741" s="56">
        <f ca="1">$K$741-EFEITO!$M$741*EFEITO!$Z$741</f>
        <v>0</v>
      </c>
      <c r="O741" s="56">
        <f>$L$741-EFEITO!$O$741*EFEITO!$AA$741</f>
        <v>0</v>
      </c>
      <c r="P741" s="39"/>
      <c r="Q741" s="39"/>
      <c r="R741" s="39"/>
      <c r="S741" s="39"/>
      <c r="T741" s="39"/>
      <c r="U741" s="39"/>
      <c r="V741" s="39"/>
      <c r="W741" s="39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35" t="s">
        <v>21</v>
      </c>
      <c r="B742" s="35" t="s">
        <v>37</v>
      </c>
      <c r="C742" s="35" t="s">
        <v>33</v>
      </c>
      <c r="D742" s="35" t="s">
        <v>41</v>
      </c>
      <c r="E742" s="35" t="s">
        <v>25</v>
      </c>
      <c r="F742" s="35" t="s">
        <v>25</v>
      </c>
      <c r="G742" s="35" t="s">
        <v>25</v>
      </c>
      <c r="H742" s="35" t="s">
        <v>34</v>
      </c>
      <c r="I742" s="55">
        <v>44713</v>
      </c>
      <c r="J742" s="56">
        <f>EFEITO!$J$742*EFEITO!$Y$742</f>
        <v>0</v>
      </c>
      <c r="K742" s="56">
        <f ca="1">EFEITO!$L$742*EFEITO!$Z$742</f>
        <v>730.69707721241002</v>
      </c>
      <c r="L742" s="56">
        <f>EFEITO!$N$742*EFEITO!$AA$742</f>
        <v>216.80963557828247</v>
      </c>
      <c r="M742" s="56">
        <f>$J$742-EFEITO!$K$742*EFEITO!$Y$742</f>
        <v>0</v>
      </c>
      <c r="N742" s="56">
        <f ca="1">$K$742-EFEITO!$M$742*EFEITO!$Z$742</f>
        <v>0</v>
      </c>
      <c r="O742" s="56">
        <f>$L$742-EFEITO!$O$742*EFEITO!$AA$742</f>
        <v>0</v>
      </c>
      <c r="P742" s="39"/>
      <c r="Q742" s="39"/>
      <c r="R742" s="39"/>
      <c r="S742" s="39"/>
      <c r="T742" s="39"/>
      <c r="U742" s="39"/>
      <c r="V742" s="39"/>
      <c r="W742" s="39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35" t="s">
        <v>28</v>
      </c>
      <c r="B743" s="35" t="s">
        <v>37</v>
      </c>
      <c r="C743" s="35" t="s">
        <v>33</v>
      </c>
      <c r="D743" s="35" t="s">
        <v>41</v>
      </c>
      <c r="E743" s="35" t="s">
        <v>25</v>
      </c>
      <c r="F743" s="35" t="s">
        <v>25</v>
      </c>
      <c r="G743" s="35" t="s">
        <v>25</v>
      </c>
      <c r="H743" s="35" t="s">
        <v>34</v>
      </c>
      <c r="I743" s="55">
        <v>44713</v>
      </c>
      <c r="J743" s="56">
        <f>EFEITO!$J$743*EFEITO!$Y$743</f>
        <v>0</v>
      </c>
      <c r="K743" s="56">
        <f ca="1">EFEITO!$L$743*EFEITO!$Z$743</f>
        <v>78.071140136217437</v>
      </c>
      <c r="L743" s="56">
        <f>EFEITO!$N$743*EFEITO!$AA$743</f>
        <v>23.1649694107013</v>
      </c>
      <c r="M743" s="56">
        <f>$J$743-EFEITO!$K$743*EFEITO!$Y$743</f>
        <v>0</v>
      </c>
      <c r="N743" s="56">
        <f ca="1">$K$743-EFEITO!$M$743*EFEITO!$Z$743</f>
        <v>0</v>
      </c>
      <c r="O743" s="56">
        <f>$L$743-EFEITO!$O$743*EFEITO!$AA$743</f>
        <v>0</v>
      </c>
      <c r="P743" s="39"/>
      <c r="Q743" s="39"/>
      <c r="R743" s="39"/>
      <c r="S743" s="39"/>
      <c r="T743" s="39"/>
      <c r="U743" s="39"/>
      <c r="V743" s="39"/>
      <c r="W743" s="39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35" t="s">
        <v>21</v>
      </c>
      <c r="B744" s="35" t="s">
        <v>37</v>
      </c>
      <c r="C744" s="35" t="s">
        <v>33</v>
      </c>
      <c r="D744" s="35" t="s">
        <v>41</v>
      </c>
      <c r="E744" s="35" t="s">
        <v>25</v>
      </c>
      <c r="F744" s="35" t="s">
        <v>25</v>
      </c>
      <c r="G744" s="35" t="s">
        <v>25</v>
      </c>
      <c r="H744" s="35" t="s">
        <v>34</v>
      </c>
      <c r="I744" s="55">
        <v>44743</v>
      </c>
      <c r="J744" s="56">
        <f>EFEITO!$J$744*EFEITO!$Y$744</f>
        <v>0</v>
      </c>
      <c r="K744" s="56">
        <f ca="1">EFEITO!$L$744*EFEITO!$Z$744</f>
        <v>691.66150714430125</v>
      </c>
      <c r="L744" s="56">
        <f>EFEITO!$N$744*EFEITO!$AA$744</f>
        <v>205.22715087293179</v>
      </c>
      <c r="M744" s="56">
        <f>$J$744-EFEITO!$K$744*EFEITO!$Y$744</f>
        <v>0</v>
      </c>
      <c r="N744" s="56">
        <f ca="1">$K$744-EFEITO!$M$744*EFEITO!$Z$744</f>
        <v>0</v>
      </c>
      <c r="O744" s="56">
        <f>$L$744-EFEITO!$O$744*EFEITO!$AA$744</f>
        <v>0</v>
      </c>
      <c r="P744" s="39"/>
      <c r="Q744" s="39"/>
      <c r="R744" s="39"/>
      <c r="S744" s="39"/>
      <c r="T744" s="39"/>
      <c r="U744" s="39"/>
      <c r="V744" s="39"/>
      <c r="W744" s="39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35" t="s">
        <v>28</v>
      </c>
      <c r="B745" s="35" t="s">
        <v>37</v>
      </c>
      <c r="C745" s="35" t="s">
        <v>33</v>
      </c>
      <c r="D745" s="35" t="s">
        <v>41</v>
      </c>
      <c r="E745" s="35" t="s">
        <v>25</v>
      </c>
      <c r="F745" s="35" t="s">
        <v>25</v>
      </c>
      <c r="G745" s="35" t="s">
        <v>25</v>
      </c>
      <c r="H745" s="35" t="s">
        <v>34</v>
      </c>
      <c r="I745" s="55">
        <v>44743</v>
      </c>
      <c r="J745" s="56">
        <f>EFEITO!$J$745*EFEITO!$Y$745</f>
        <v>0</v>
      </c>
      <c r="K745" s="56">
        <f ca="1">EFEITO!$L$745*EFEITO!$Z$745</f>
        <v>39.035570068108719</v>
      </c>
      <c r="L745" s="56">
        <f>EFEITO!$N$745*EFEITO!$AA$745</f>
        <v>11.58248470535065</v>
      </c>
      <c r="M745" s="56">
        <f>$J$745-EFEITO!$K$745*EFEITO!$Y$745</f>
        <v>0</v>
      </c>
      <c r="N745" s="56">
        <f ca="1">$K$745-EFEITO!$M$745*EFEITO!$Z$745</f>
        <v>0</v>
      </c>
      <c r="O745" s="56">
        <f>$L$745-EFEITO!$O$745*EFEITO!$AA$745</f>
        <v>0</v>
      </c>
      <c r="P745" s="39"/>
      <c r="Q745" s="39"/>
      <c r="R745" s="39"/>
      <c r="S745" s="39"/>
      <c r="T745" s="39"/>
      <c r="U745" s="39"/>
      <c r="V745" s="39"/>
      <c r="W745" s="39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35" t="s">
        <v>21</v>
      </c>
      <c r="B746" s="35" t="s">
        <v>37</v>
      </c>
      <c r="C746" s="35" t="s">
        <v>33</v>
      </c>
      <c r="D746" s="35" t="s">
        <v>41</v>
      </c>
      <c r="E746" s="35" t="s">
        <v>25</v>
      </c>
      <c r="F746" s="35" t="s">
        <v>25</v>
      </c>
      <c r="G746" s="35" t="s">
        <v>25</v>
      </c>
      <c r="H746" s="35" t="s">
        <v>34</v>
      </c>
      <c r="I746" s="55">
        <v>44774</v>
      </c>
      <c r="J746" s="56">
        <f>EFEITO!$J$746*EFEITO!$Y$746</f>
        <v>0</v>
      </c>
      <c r="K746" s="56">
        <f ca="1">EFEITO!$L$746*EFEITO!$Z$746</f>
        <v>639.20745986528027</v>
      </c>
      <c r="L746" s="56">
        <f>EFEITO!$N$746*EFEITO!$AA$746</f>
        <v>189.66318705011687</v>
      </c>
      <c r="M746" s="56">
        <f>$J$746-EFEITO!$K$746*EFEITO!$Y$746</f>
        <v>0</v>
      </c>
      <c r="N746" s="56">
        <f ca="1">$K$746-EFEITO!$M$746*EFEITO!$Z$746</f>
        <v>0</v>
      </c>
      <c r="O746" s="56">
        <f>$L$746-EFEITO!$O$746*EFEITO!$AA$746</f>
        <v>0</v>
      </c>
      <c r="P746" s="39"/>
      <c r="Q746" s="39"/>
      <c r="R746" s="39"/>
      <c r="S746" s="39"/>
      <c r="T746" s="39"/>
      <c r="U746" s="39"/>
      <c r="V746" s="39"/>
      <c r="W746" s="39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35" t="s">
        <v>21</v>
      </c>
      <c r="B747" s="35" t="s">
        <v>37</v>
      </c>
      <c r="C747" s="35" t="s">
        <v>33</v>
      </c>
      <c r="D747" s="35" t="s">
        <v>41</v>
      </c>
      <c r="E747" s="35" t="s">
        <v>25</v>
      </c>
      <c r="F747" s="35" t="s">
        <v>25</v>
      </c>
      <c r="G747" s="35" t="s">
        <v>25</v>
      </c>
      <c r="H747" s="35" t="s">
        <v>34</v>
      </c>
      <c r="I747" s="55">
        <v>44805</v>
      </c>
      <c r="J747" s="56">
        <f>EFEITO!$J$747*EFEITO!$Y$747</f>
        <v>0</v>
      </c>
      <c r="K747" s="56">
        <f ca="1">EFEITO!$L$747*EFEITO!$Z$747</f>
        <v>795.34974013771512</v>
      </c>
      <c r="L747" s="56">
        <f>EFEITO!$N$747*EFEITO!$AA$747</f>
        <v>235.99312587151948</v>
      </c>
      <c r="M747" s="56">
        <f>$J$747-EFEITO!$K$747*EFEITO!$Y$747</f>
        <v>0</v>
      </c>
      <c r="N747" s="56">
        <f ca="1">$K$747-EFEITO!$M$747*EFEITO!$Z$747</f>
        <v>0</v>
      </c>
      <c r="O747" s="56">
        <f>$L$747-EFEITO!$O$747*EFEITO!$AA$747</f>
        <v>0</v>
      </c>
      <c r="P747" s="39"/>
      <c r="Q747" s="39"/>
      <c r="R747" s="39"/>
      <c r="S747" s="39"/>
      <c r="T747" s="39"/>
      <c r="U747" s="39"/>
      <c r="V747" s="39"/>
      <c r="W747" s="39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35" t="s">
        <v>57</v>
      </c>
      <c r="B748" s="35" t="s">
        <v>37</v>
      </c>
      <c r="C748" s="35" t="s">
        <v>33</v>
      </c>
      <c r="D748" s="35" t="s">
        <v>41</v>
      </c>
      <c r="E748" s="35" t="s">
        <v>25</v>
      </c>
      <c r="F748" s="35" t="s">
        <v>25</v>
      </c>
      <c r="G748" s="35" t="s">
        <v>25</v>
      </c>
      <c r="H748" s="35" t="s">
        <v>34</v>
      </c>
      <c r="I748" s="55">
        <v>44835</v>
      </c>
      <c r="J748" s="56">
        <f>EFEITO!$J$748*EFEITO!$Y$748</f>
        <v>0</v>
      </c>
      <c r="K748" s="56">
        <f ca="1">EFEITO!$L$748*EFEITO!$Z$748</f>
        <v>795.34974013771512</v>
      </c>
      <c r="L748" s="56">
        <f>EFEITO!$N$748*EFEITO!$AA$748</f>
        <v>235.99312587151948</v>
      </c>
      <c r="M748" s="56">
        <f>$J$748-EFEITO!$K$748*EFEITO!$Y$748</f>
        <v>0</v>
      </c>
      <c r="N748" s="56">
        <f ca="1">$K$748-EFEITO!$M$748*EFEITO!$Z$748</f>
        <v>0</v>
      </c>
      <c r="O748" s="56">
        <f>$L$748-EFEITO!$O$748*EFEITO!$AA$748</f>
        <v>0</v>
      </c>
      <c r="P748" s="39"/>
      <c r="Q748" s="39"/>
      <c r="R748" s="39"/>
      <c r="S748" s="39"/>
      <c r="T748" s="39"/>
      <c r="U748" s="39"/>
      <c r="V748" s="39"/>
      <c r="W748" s="39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35" t="s">
        <v>21</v>
      </c>
      <c r="B749" s="35" t="s">
        <v>37</v>
      </c>
      <c r="C749" s="35" t="s">
        <v>33</v>
      </c>
      <c r="D749" s="35" t="s">
        <v>46</v>
      </c>
      <c r="E749" s="35" t="s">
        <v>25</v>
      </c>
      <c r="F749" s="35" t="s">
        <v>25</v>
      </c>
      <c r="G749" s="35" t="s">
        <v>25</v>
      </c>
      <c r="H749" s="35" t="s">
        <v>35</v>
      </c>
      <c r="I749" s="55">
        <v>44501</v>
      </c>
      <c r="J749" s="56">
        <f>EFEITO!$J$749*EFEITO!$Y$749</f>
        <v>0</v>
      </c>
      <c r="K749" s="56">
        <f ca="1">EFEITO!$L$749*EFEITO!$Z$749</f>
        <v>2644.0312579927504</v>
      </c>
      <c r="L749" s="56">
        <f>EFEITO!$N$749*EFEITO!$AA$749</f>
        <v>1512.7230689128357</v>
      </c>
      <c r="M749" s="56">
        <f>$J$749-EFEITO!$K$749*EFEITO!$Y$749</f>
        <v>0</v>
      </c>
      <c r="N749" s="56">
        <f ca="1">$K$749-EFEITO!$M$749*EFEITO!$Z$749</f>
        <v>0</v>
      </c>
      <c r="O749" s="56">
        <f>$L$749-EFEITO!$O$749*EFEITO!$AA$749</f>
        <v>0</v>
      </c>
      <c r="P749" s="39"/>
      <c r="Q749" s="39"/>
      <c r="R749" s="39"/>
      <c r="S749" s="39"/>
      <c r="T749" s="39"/>
      <c r="U749" s="39"/>
      <c r="V749" s="39"/>
      <c r="W749" s="39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35" t="s">
        <v>21</v>
      </c>
      <c r="B750" s="35" t="s">
        <v>37</v>
      </c>
      <c r="C750" s="35" t="s">
        <v>33</v>
      </c>
      <c r="D750" s="35" t="s">
        <v>46</v>
      </c>
      <c r="E750" s="35" t="s">
        <v>25</v>
      </c>
      <c r="F750" s="35" t="s">
        <v>25</v>
      </c>
      <c r="G750" s="35" t="s">
        <v>25</v>
      </c>
      <c r="H750" s="35" t="s">
        <v>35</v>
      </c>
      <c r="I750" s="55">
        <v>44531</v>
      </c>
      <c r="J750" s="56">
        <f>EFEITO!$J$750*EFEITO!$Y$750</f>
        <v>0</v>
      </c>
      <c r="K750" s="56">
        <f ca="1">EFEITO!$L$750*EFEITO!$Z$750</f>
        <v>2344.7216330803103</v>
      </c>
      <c r="L750" s="56">
        <f>EFEITO!$N$750*EFEITO!$AA$750</f>
        <v>1341.4797929553406</v>
      </c>
      <c r="M750" s="56">
        <f>$J$750-EFEITO!$K$750*EFEITO!$Y$750</f>
        <v>0</v>
      </c>
      <c r="N750" s="56">
        <f ca="1">$K$750-EFEITO!$M$750*EFEITO!$Z$750</f>
        <v>0</v>
      </c>
      <c r="O750" s="56">
        <f>$L$750-EFEITO!$O$750*EFEITO!$AA$750</f>
        <v>0</v>
      </c>
      <c r="P750" s="39"/>
      <c r="Q750" s="39"/>
      <c r="R750" s="39"/>
      <c r="S750" s="39"/>
      <c r="T750" s="39"/>
      <c r="U750" s="39"/>
      <c r="V750" s="39"/>
      <c r="W750" s="39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35" t="s">
        <v>21</v>
      </c>
      <c r="B751" s="35" t="s">
        <v>37</v>
      </c>
      <c r="C751" s="35" t="s">
        <v>33</v>
      </c>
      <c r="D751" s="35" t="s">
        <v>46</v>
      </c>
      <c r="E751" s="35" t="s">
        <v>25</v>
      </c>
      <c r="F751" s="35" t="s">
        <v>25</v>
      </c>
      <c r="G751" s="35" t="s">
        <v>25</v>
      </c>
      <c r="H751" s="35" t="s">
        <v>35</v>
      </c>
      <c r="I751" s="55">
        <v>44562</v>
      </c>
      <c r="J751" s="56">
        <f>EFEITO!$J$751*EFEITO!$Y$751</f>
        <v>0</v>
      </c>
      <c r="K751" s="56">
        <f ca="1">EFEITO!$L$751*EFEITO!$Z$751</f>
        <v>2442.6775103243817</v>
      </c>
      <c r="L751" s="56">
        <f>EFEITO!$N$751*EFEITO!$AA$751</f>
        <v>1397.5230469050662</v>
      </c>
      <c r="M751" s="56">
        <f>$J$751-EFEITO!$K$751*EFEITO!$Y$751</f>
        <v>0</v>
      </c>
      <c r="N751" s="56">
        <f ca="1">$K$751-EFEITO!$M$751*EFEITO!$Z$751</f>
        <v>0</v>
      </c>
      <c r="O751" s="56">
        <f>$L$751-EFEITO!$O$751*EFEITO!$AA$751</f>
        <v>0</v>
      </c>
      <c r="P751" s="39"/>
      <c r="Q751" s="39"/>
      <c r="R751" s="39"/>
      <c r="S751" s="39"/>
      <c r="T751" s="39"/>
      <c r="U751" s="39"/>
      <c r="V751" s="39"/>
      <c r="W751" s="39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35" t="s">
        <v>21</v>
      </c>
      <c r="B752" s="35" t="s">
        <v>37</v>
      </c>
      <c r="C752" s="35" t="s">
        <v>33</v>
      </c>
      <c r="D752" s="35" t="s">
        <v>46</v>
      </c>
      <c r="E752" s="35" t="s">
        <v>25</v>
      </c>
      <c r="F752" s="35" t="s">
        <v>25</v>
      </c>
      <c r="G752" s="35" t="s">
        <v>25</v>
      </c>
      <c r="H752" s="35" t="s">
        <v>35</v>
      </c>
      <c r="I752" s="55">
        <v>44593</v>
      </c>
      <c r="J752" s="56">
        <f>EFEITO!$J$752*EFEITO!$Y$752</f>
        <v>0</v>
      </c>
      <c r="K752" s="56">
        <f ca="1">EFEITO!$L$752*EFEITO!$Z$752</f>
        <v>2233.1607728856739</v>
      </c>
      <c r="L752" s="56">
        <f>EFEITO!$N$752*EFEITO!$AA$752</f>
        <v>1277.6527537348195</v>
      </c>
      <c r="M752" s="56">
        <f>$J$752-EFEITO!$K$752*EFEITO!$Y$752</f>
        <v>0</v>
      </c>
      <c r="N752" s="56">
        <f ca="1">$K$752-EFEITO!$M$752*EFEITO!$Z$752</f>
        <v>0</v>
      </c>
      <c r="O752" s="56">
        <f>$L$752-EFEITO!$O$752*EFEITO!$AA$752</f>
        <v>0</v>
      </c>
      <c r="P752" s="39"/>
      <c r="Q752" s="39"/>
      <c r="R752" s="39"/>
      <c r="S752" s="39"/>
      <c r="T752" s="39"/>
      <c r="U752" s="39"/>
      <c r="V752" s="39"/>
      <c r="W752" s="39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35" t="s">
        <v>21</v>
      </c>
      <c r="B753" s="35" t="s">
        <v>37</v>
      </c>
      <c r="C753" s="35" t="s">
        <v>33</v>
      </c>
      <c r="D753" s="35" t="s">
        <v>46</v>
      </c>
      <c r="E753" s="35" t="s">
        <v>25</v>
      </c>
      <c r="F753" s="35" t="s">
        <v>25</v>
      </c>
      <c r="G753" s="35" t="s">
        <v>25</v>
      </c>
      <c r="H753" s="35" t="s">
        <v>35</v>
      </c>
      <c r="I753" s="55">
        <v>44621</v>
      </c>
      <c r="J753" s="56">
        <f>EFEITO!$J$753*EFEITO!$Y$753</f>
        <v>0</v>
      </c>
      <c r="K753" s="56">
        <f ca="1">EFEITO!$L$753*EFEITO!$Z$753</f>
        <v>1898.0894785031758</v>
      </c>
      <c r="L753" s="56">
        <f>EFEITO!$N$753*EFEITO!$AA$753</f>
        <v>1085.9492422083765</v>
      </c>
      <c r="M753" s="56">
        <f>$J$753-EFEITO!$K$753*EFEITO!$Y$753</f>
        <v>0</v>
      </c>
      <c r="N753" s="56">
        <f ca="1">$K$753-EFEITO!$M$753*EFEITO!$Z$753</f>
        <v>0</v>
      </c>
      <c r="O753" s="56">
        <f>$L$753-EFEITO!$O$753*EFEITO!$AA$753</f>
        <v>0</v>
      </c>
      <c r="P753" s="39"/>
      <c r="Q753" s="39"/>
      <c r="R753" s="39"/>
      <c r="S753" s="39"/>
      <c r="T753" s="39"/>
      <c r="U753" s="39"/>
      <c r="V753" s="39"/>
      <c r="W753" s="39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35" t="s">
        <v>21</v>
      </c>
      <c r="B754" s="35" t="s">
        <v>37</v>
      </c>
      <c r="C754" s="35" t="s">
        <v>33</v>
      </c>
      <c r="D754" s="35" t="s">
        <v>46</v>
      </c>
      <c r="E754" s="35" t="s">
        <v>25</v>
      </c>
      <c r="F754" s="35" t="s">
        <v>25</v>
      </c>
      <c r="G754" s="35" t="s">
        <v>25</v>
      </c>
      <c r="H754" s="35" t="s">
        <v>35</v>
      </c>
      <c r="I754" s="55">
        <v>44652</v>
      </c>
      <c r="J754" s="56">
        <f>EFEITO!$J$754*EFEITO!$Y$754</f>
        <v>0</v>
      </c>
      <c r="K754" s="56">
        <f ca="1">EFEITO!$L$754*EFEITO!$Z$754</f>
        <v>2698.4511897950124</v>
      </c>
      <c r="L754" s="56">
        <f>EFEITO!$N$754*EFEITO!$AA$754</f>
        <v>1543.858209996017</v>
      </c>
      <c r="M754" s="56">
        <f>$J$754-EFEITO!$K$754*EFEITO!$Y$754</f>
        <v>0</v>
      </c>
      <c r="N754" s="56">
        <f ca="1">$K$754-EFEITO!$M$754*EFEITO!$Z$754</f>
        <v>0</v>
      </c>
      <c r="O754" s="56">
        <f>$L$754-EFEITO!$O$754*EFEITO!$AA$754</f>
        <v>0</v>
      </c>
      <c r="P754" s="39"/>
      <c r="Q754" s="39"/>
      <c r="R754" s="39"/>
      <c r="S754" s="39"/>
      <c r="T754" s="39"/>
      <c r="U754" s="39"/>
      <c r="V754" s="39"/>
      <c r="W754" s="39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35" t="s">
        <v>21</v>
      </c>
      <c r="B755" s="35" t="s">
        <v>37</v>
      </c>
      <c r="C755" s="35" t="s">
        <v>33</v>
      </c>
      <c r="D755" s="35" t="s">
        <v>46</v>
      </c>
      <c r="E755" s="35" t="s">
        <v>25</v>
      </c>
      <c r="F755" s="35" t="s">
        <v>25</v>
      </c>
      <c r="G755" s="35" t="s">
        <v>25</v>
      </c>
      <c r="H755" s="35" t="s">
        <v>35</v>
      </c>
      <c r="I755" s="55">
        <v>44682</v>
      </c>
      <c r="J755" s="56">
        <f>EFEITO!$J$755*EFEITO!$Y$755</f>
        <v>0</v>
      </c>
      <c r="K755" s="56">
        <f ca="1">EFEITO!$L$755*EFEITO!$Z$755</f>
        <v>2588.8338985933137</v>
      </c>
      <c r="L755" s="56">
        <f>EFEITO!$N$755*EFEITO!$AA$755</f>
        <v>1481.1431400998952</v>
      </c>
      <c r="M755" s="56">
        <f>$J$755-EFEITO!$K$755*EFEITO!$Y$755</f>
        <v>0</v>
      </c>
      <c r="N755" s="56">
        <f ca="1">$K$755-EFEITO!$M$755*EFEITO!$Z$755</f>
        <v>0</v>
      </c>
      <c r="O755" s="56">
        <f>$L$755-EFEITO!$O$755*EFEITO!$AA$755</f>
        <v>0</v>
      </c>
      <c r="P755" s="39"/>
      <c r="Q755" s="39"/>
      <c r="R755" s="39"/>
      <c r="S755" s="39"/>
      <c r="T755" s="39"/>
      <c r="U755" s="39"/>
      <c r="V755" s="39"/>
      <c r="W755" s="39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35" t="s">
        <v>21</v>
      </c>
      <c r="B756" s="35" t="s">
        <v>37</v>
      </c>
      <c r="C756" s="35" t="s">
        <v>33</v>
      </c>
      <c r="D756" s="35" t="s">
        <v>46</v>
      </c>
      <c r="E756" s="35" t="s">
        <v>25</v>
      </c>
      <c r="F756" s="35" t="s">
        <v>25</v>
      </c>
      <c r="G756" s="35" t="s">
        <v>25</v>
      </c>
      <c r="H756" s="35" t="s">
        <v>35</v>
      </c>
      <c r="I756" s="55">
        <v>44713</v>
      </c>
      <c r="J756" s="56">
        <f>EFEITO!$J$756*EFEITO!$Y$756</f>
        <v>0</v>
      </c>
      <c r="K756" s="56">
        <f ca="1">EFEITO!$L$756*EFEITO!$Z$756</f>
        <v>1696.3470170362193</v>
      </c>
      <c r="L756" s="56">
        <f>EFEITO!$N$756*EFEITO!$AA$756</f>
        <v>970.52682633572704</v>
      </c>
      <c r="M756" s="56">
        <f>$J$756-EFEITO!$K$756*EFEITO!$Y$756</f>
        <v>0</v>
      </c>
      <c r="N756" s="56">
        <f ca="1">$K$756-EFEITO!$M$756*EFEITO!$Z$756</f>
        <v>0</v>
      </c>
      <c r="O756" s="56">
        <f>$L$756-EFEITO!$O$756*EFEITO!$AA$756</f>
        <v>0</v>
      </c>
      <c r="P756" s="39"/>
      <c r="Q756" s="39"/>
      <c r="R756" s="39"/>
      <c r="S756" s="39"/>
      <c r="T756" s="39"/>
      <c r="U756" s="39"/>
      <c r="V756" s="39"/>
      <c r="W756" s="39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35" t="s">
        <v>21</v>
      </c>
      <c r="B757" s="35" t="s">
        <v>37</v>
      </c>
      <c r="C757" s="35" t="s">
        <v>33</v>
      </c>
      <c r="D757" s="35" t="s">
        <v>46</v>
      </c>
      <c r="E757" s="35" t="s">
        <v>25</v>
      </c>
      <c r="F757" s="35" t="s">
        <v>25</v>
      </c>
      <c r="G757" s="35" t="s">
        <v>25</v>
      </c>
      <c r="H757" s="35" t="s">
        <v>35</v>
      </c>
      <c r="I757" s="55">
        <v>44743</v>
      </c>
      <c r="J757" s="56">
        <f>EFEITO!$J$757*EFEITO!$Y$757</f>
        <v>0</v>
      </c>
      <c r="K757" s="56">
        <f ca="1">EFEITO!$L$757*EFEITO!$Z$757</f>
        <v>1659.8079199689862</v>
      </c>
      <c r="L757" s="56">
        <f>EFEITO!$N$757*EFEITO!$AA$757</f>
        <v>949.62180303701973</v>
      </c>
      <c r="M757" s="56">
        <f>$J$757-EFEITO!$K$757*EFEITO!$Y$757</f>
        <v>0</v>
      </c>
      <c r="N757" s="56">
        <f ca="1">$K$757-EFEITO!$M$757*EFEITO!$Z$757</f>
        <v>0</v>
      </c>
      <c r="O757" s="56">
        <f>$L$757-EFEITO!$O$757*EFEITO!$AA$757</f>
        <v>0</v>
      </c>
      <c r="P757" s="39"/>
      <c r="Q757" s="39"/>
      <c r="R757" s="39"/>
      <c r="S757" s="39"/>
      <c r="T757" s="39"/>
      <c r="U757" s="39"/>
      <c r="V757" s="39"/>
      <c r="W757" s="39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35" t="s">
        <v>21</v>
      </c>
      <c r="B758" s="35" t="s">
        <v>37</v>
      </c>
      <c r="C758" s="35" t="s">
        <v>33</v>
      </c>
      <c r="D758" s="35" t="s">
        <v>46</v>
      </c>
      <c r="E758" s="35" t="s">
        <v>25</v>
      </c>
      <c r="F758" s="35" t="s">
        <v>25</v>
      </c>
      <c r="G758" s="35" t="s">
        <v>25</v>
      </c>
      <c r="H758" s="35" t="s">
        <v>35</v>
      </c>
      <c r="I758" s="55">
        <v>44774</v>
      </c>
      <c r="J758" s="56">
        <f>EFEITO!$J$758*EFEITO!$Y$758</f>
        <v>0</v>
      </c>
      <c r="K758" s="56">
        <f ca="1">EFEITO!$L$758*EFEITO!$Z$758</f>
        <v>1479.8334312229347</v>
      </c>
      <c r="L758" s="56">
        <f>EFEITO!$N$758*EFEITO!$AA$758</f>
        <v>846.65344359764276</v>
      </c>
      <c r="M758" s="56">
        <f>$J$758-EFEITO!$K$758*EFEITO!$Y$758</f>
        <v>0</v>
      </c>
      <c r="N758" s="56">
        <f ca="1">$K$758-EFEITO!$M$758*EFEITO!$Z$758</f>
        <v>0</v>
      </c>
      <c r="O758" s="56">
        <f>$L$758-EFEITO!$O$758*EFEITO!$AA$758</f>
        <v>0</v>
      </c>
      <c r="P758" s="39"/>
      <c r="Q758" s="39"/>
      <c r="R758" s="39"/>
      <c r="S758" s="39"/>
      <c r="T758" s="39"/>
      <c r="U758" s="39"/>
      <c r="V758" s="39"/>
      <c r="W758" s="39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35" t="s">
        <v>21</v>
      </c>
      <c r="B759" s="35" t="s">
        <v>37</v>
      </c>
      <c r="C759" s="35" t="s">
        <v>33</v>
      </c>
      <c r="D759" s="35" t="s">
        <v>46</v>
      </c>
      <c r="E759" s="35" t="s">
        <v>25</v>
      </c>
      <c r="F759" s="35" t="s">
        <v>25</v>
      </c>
      <c r="G759" s="35" t="s">
        <v>25</v>
      </c>
      <c r="H759" s="35" t="s">
        <v>35</v>
      </c>
      <c r="I759" s="55">
        <v>44805</v>
      </c>
      <c r="J759" s="56">
        <f>EFEITO!$J$759*EFEITO!$Y$759</f>
        <v>0</v>
      </c>
      <c r="K759" s="56">
        <f ca="1">EFEITO!$L$759*EFEITO!$Z$759</f>
        <v>1994.1017867543092</v>
      </c>
      <c r="L759" s="56">
        <f>EFEITO!$N$759*EFEITO!$AA$759</f>
        <v>1140.880526833703</v>
      </c>
      <c r="M759" s="56">
        <f>$J$759-EFEITO!$K$759*EFEITO!$Y$759</f>
        <v>0</v>
      </c>
      <c r="N759" s="56">
        <f ca="1">$K$759-EFEITO!$M$759*EFEITO!$Z$759</f>
        <v>0</v>
      </c>
      <c r="O759" s="56">
        <f>$L$759-EFEITO!$O$759*EFEITO!$AA$759</f>
        <v>0</v>
      </c>
      <c r="P759" s="39"/>
      <c r="Q759" s="39"/>
      <c r="R759" s="39"/>
      <c r="S759" s="39"/>
      <c r="T759" s="39"/>
      <c r="U759" s="39"/>
      <c r="V759" s="39"/>
      <c r="W759" s="39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35" t="s">
        <v>57</v>
      </c>
      <c r="B760" s="35" t="s">
        <v>37</v>
      </c>
      <c r="C760" s="35" t="s">
        <v>33</v>
      </c>
      <c r="D760" s="35" t="s">
        <v>46</v>
      </c>
      <c r="E760" s="35" t="s">
        <v>25</v>
      </c>
      <c r="F760" s="35" t="s">
        <v>25</v>
      </c>
      <c r="G760" s="35" t="s">
        <v>25</v>
      </c>
      <c r="H760" s="35" t="s">
        <v>35</v>
      </c>
      <c r="I760" s="55">
        <v>44835</v>
      </c>
      <c r="J760" s="56">
        <f>EFEITO!$J$760*EFEITO!$Y$760</f>
        <v>0</v>
      </c>
      <c r="K760" s="56">
        <f ca="1">EFEITO!$L$760*EFEITO!$Z$760</f>
        <v>1994.1017867543092</v>
      </c>
      <c r="L760" s="56">
        <f>EFEITO!$N$760*EFEITO!$AA$760</f>
        <v>1140.880526833703</v>
      </c>
      <c r="M760" s="56">
        <f>$J$760-EFEITO!$K$760*EFEITO!$Y$760</f>
        <v>0</v>
      </c>
      <c r="N760" s="56">
        <f ca="1">$K$760-EFEITO!$M$760*EFEITO!$Z$760</f>
        <v>0</v>
      </c>
      <c r="O760" s="56">
        <f>$L$760-EFEITO!$O$760*EFEITO!$AA$760</f>
        <v>0</v>
      </c>
      <c r="P760" s="39"/>
      <c r="Q760" s="39"/>
      <c r="R760" s="39"/>
      <c r="S760" s="39"/>
      <c r="T760" s="39"/>
      <c r="U760" s="39"/>
      <c r="V760" s="39"/>
      <c r="W760" s="39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35" t="s">
        <v>21</v>
      </c>
      <c r="B761" s="35" t="s">
        <v>37</v>
      </c>
      <c r="C761" s="35" t="s">
        <v>33</v>
      </c>
      <c r="D761" s="35" t="s">
        <v>46</v>
      </c>
      <c r="E761" s="35" t="s">
        <v>25</v>
      </c>
      <c r="F761" s="35" t="s">
        <v>25</v>
      </c>
      <c r="G761" s="35" t="s">
        <v>25</v>
      </c>
      <c r="H761" s="35" t="s">
        <v>36</v>
      </c>
      <c r="I761" s="55">
        <v>44501</v>
      </c>
      <c r="J761" s="56">
        <f>EFEITO!$J$761*EFEITO!$Y$761</f>
        <v>0</v>
      </c>
      <c r="K761" s="56">
        <f ca="1">EFEITO!$L$761*EFEITO!$Z$761</f>
        <v>290.3478284259495</v>
      </c>
      <c r="L761" s="56">
        <f>EFEITO!$N$761*EFEITO!$AA$761</f>
        <v>80.284185221630949</v>
      </c>
      <c r="M761" s="56">
        <f>$J$761-EFEITO!$K$761*EFEITO!$Y$761</f>
        <v>0</v>
      </c>
      <c r="N761" s="56">
        <f ca="1">$K$761-EFEITO!$M$761*EFEITO!$Z$761</f>
        <v>0</v>
      </c>
      <c r="O761" s="56">
        <f>$L$761-EFEITO!$O$761*EFEITO!$AA$761</f>
        <v>0</v>
      </c>
      <c r="P761" s="39"/>
      <c r="Q761" s="39"/>
      <c r="R761" s="39"/>
      <c r="S761" s="39"/>
      <c r="T761" s="39"/>
      <c r="U761" s="39"/>
      <c r="V761" s="39"/>
      <c r="W761" s="39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35" t="s">
        <v>21</v>
      </c>
      <c r="B762" s="35" t="s">
        <v>37</v>
      </c>
      <c r="C762" s="35" t="s">
        <v>33</v>
      </c>
      <c r="D762" s="35" t="s">
        <v>46</v>
      </c>
      <c r="E762" s="35" t="s">
        <v>25</v>
      </c>
      <c r="F762" s="35" t="s">
        <v>25</v>
      </c>
      <c r="G762" s="35" t="s">
        <v>25</v>
      </c>
      <c r="H762" s="35" t="s">
        <v>36</v>
      </c>
      <c r="I762" s="55">
        <v>44531</v>
      </c>
      <c r="J762" s="56">
        <f>EFEITO!$J$762*EFEITO!$Y$762</f>
        <v>0</v>
      </c>
      <c r="K762" s="56">
        <f ca="1">EFEITO!$L$762*EFEITO!$Z$762</f>
        <v>238.87342117037952</v>
      </c>
      <c r="L762" s="56">
        <f>EFEITO!$N$762*EFEITO!$AA$762</f>
        <v>66.050977869319652</v>
      </c>
      <c r="M762" s="56">
        <f>$J$762-EFEITO!$K$762*EFEITO!$Y$762</f>
        <v>0</v>
      </c>
      <c r="N762" s="56">
        <f ca="1">$K$762-EFEITO!$M$762*EFEITO!$Z$762</f>
        <v>0</v>
      </c>
      <c r="O762" s="56">
        <f>$L$762-EFEITO!$O$762*EFEITO!$AA$762</f>
        <v>0</v>
      </c>
      <c r="P762" s="39"/>
      <c r="Q762" s="39"/>
      <c r="R762" s="39"/>
      <c r="S762" s="39"/>
      <c r="T762" s="39"/>
      <c r="U762" s="39"/>
      <c r="V762" s="39"/>
      <c r="W762" s="39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35" t="s">
        <v>21</v>
      </c>
      <c r="B763" s="35" t="s">
        <v>37</v>
      </c>
      <c r="C763" s="35" t="s">
        <v>33</v>
      </c>
      <c r="D763" s="35" t="s">
        <v>46</v>
      </c>
      <c r="E763" s="35" t="s">
        <v>25</v>
      </c>
      <c r="F763" s="35" t="s">
        <v>25</v>
      </c>
      <c r="G763" s="35" t="s">
        <v>25</v>
      </c>
      <c r="H763" s="35" t="s">
        <v>36</v>
      </c>
      <c r="I763" s="55">
        <v>44562</v>
      </c>
      <c r="J763" s="56">
        <f>EFEITO!$J$763*EFEITO!$Y$763</f>
        <v>0</v>
      </c>
      <c r="K763" s="56">
        <f ca="1">EFEITO!$L$763*EFEITO!$Z$763</f>
        <v>254.15488582437686</v>
      </c>
      <c r="L763" s="56">
        <f>EFEITO!$N$763*EFEITO!$AA$763</f>
        <v>70.276461302037063</v>
      </c>
      <c r="M763" s="56">
        <f>$J$763-EFEITO!$K$763*EFEITO!$Y$763</f>
        <v>0</v>
      </c>
      <c r="N763" s="56">
        <f ca="1">$K$763-EFEITO!$M$763*EFEITO!$Z$763</f>
        <v>0</v>
      </c>
      <c r="O763" s="56">
        <f>$L$763-EFEITO!$O$763*EFEITO!$AA$763</f>
        <v>0</v>
      </c>
      <c r="P763" s="39"/>
      <c r="Q763" s="39"/>
      <c r="R763" s="39"/>
      <c r="S763" s="39"/>
      <c r="T763" s="39"/>
      <c r="U763" s="39"/>
      <c r="V763" s="39"/>
      <c r="W763" s="39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35" t="s">
        <v>21</v>
      </c>
      <c r="B764" s="35" t="s">
        <v>37</v>
      </c>
      <c r="C764" s="35" t="s">
        <v>33</v>
      </c>
      <c r="D764" s="35" t="s">
        <v>46</v>
      </c>
      <c r="E764" s="35" t="s">
        <v>25</v>
      </c>
      <c r="F764" s="35" t="s">
        <v>25</v>
      </c>
      <c r="G764" s="35" t="s">
        <v>25</v>
      </c>
      <c r="H764" s="35" t="s">
        <v>36</v>
      </c>
      <c r="I764" s="55">
        <v>44593</v>
      </c>
      <c r="J764" s="56">
        <f>EFEITO!$J$764*EFEITO!$Y$764</f>
        <v>0</v>
      </c>
      <c r="K764" s="56">
        <f ca="1">EFEITO!$L$764*EFEITO!$Z$764</f>
        <v>256.56774866448171</v>
      </c>
      <c r="L764" s="56">
        <f>EFEITO!$N$764*EFEITO!$AA$764</f>
        <v>70.943642896676664</v>
      </c>
      <c r="M764" s="56">
        <f>$J$764-EFEITO!$K$764*EFEITO!$Y$764</f>
        <v>0</v>
      </c>
      <c r="N764" s="56">
        <f ca="1">$K$764-EFEITO!$M$764*EFEITO!$Z$764</f>
        <v>0</v>
      </c>
      <c r="O764" s="56">
        <f>$L$764-EFEITO!$O$764*EFEITO!$AA$764</f>
        <v>0</v>
      </c>
      <c r="P764" s="39"/>
      <c r="Q764" s="39"/>
      <c r="R764" s="39"/>
      <c r="S764" s="39"/>
      <c r="T764" s="39"/>
      <c r="U764" s="39"/>
      <c r="V764" s="39"/>
      <c r="W764" s="39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35" t="s">
        <v>21</v>
      </c>
      <c r="B765" s="35" t="s">
        <v>37</v>
      </c>
      <c r="C765" s="35" t="s">
        <v>33</v>
      </c>
      <c r="D765" s="35" t="s">
        <v>46</v>
      </c>
      <c r="E765" s="35" t="s">
        <v>25</v>
      </c>
      <c r="F765" s="35" t="s">
        <v>25</v>
      </c>
      <c r="G765" s="35" t="s">
        <v>25</v>
      </c>
      <c r="H765" s="35" t="s">
        <v>36</v>
      </c>
      <c r="I765" s="55">
        <v>44621</v>
      </c>
      <c r="J765" s="56">
        <f>EFEITO!$J$765*EFEITO!$Y$765</f>
        <v>0</v>
      </c>
      <c r="K765" s="56">
        <f ca="1">EFEITO!$L$765*EFEITO!$Z$765</f>
        <v>223.5919565163822</v>
      </c>
      <c r="L765" s="56">
        <f>EFEITO!$N$765*EFEITO!$AA$765</f>
        <v>61.825494436602234</v>
      </c>
      <c r="M765" s="56">
        <f>$J$765-EFEITO!$K$765*EFEITO!$Y$765</f>
        <v>0</v>
      </c>
      <c r="N765" s="56">
        <f ca="1">$K$765-EFEITO!$M$765*EFEITO!$Z$765</f>
        <v>0</v>
      </c>
      <c r="O765" s="56">
        <f>$L$765-EFEITO!$O$765*EFEITO!$AA$765</f>
        <v>0</v>
      </c>
      <c r="P765" s="39"/>
      <c r="Q765" s="39"/>
      <c r="R765" s="39"/>
      <c r="S765" s="39"/>
      <c r="T765" s="39"/>
      <c r="U765" s="39"/>
      <c r="V765" s="39"/>
      <c r="W765" s="39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35" t="s">
        <v>21</v>
      </c>
      <c r="B766" s="35" t="s">
        <v>37</v>
      </c>
      <c r="C766" s="35" t="s">
        <v>33</v>
      </c>
      <c r="D766" s="35" t="s">
        <v>46</v>
      </c>
      <c r="E766" s="35" t="s">
        <v>25</v>
      </c>
      <c r="F766" s="35" t="s">
        <v>25</v>
      </c>
      <c r="G766" s="35" t="s">
        <v>25</v>
      </c>
      <c r="H766" s="35" t="s">
        <v>36</v>
      </c>
      <c r="I766" s="55">
        <v>44652</v>
      </c>
      <c r="J766" s="56">
        <f>EFEITO!$J$766*EFEITO!$Y$766</f>
        <v>0</v>
      </c>
      <c r="K766" s="56">
        <f ca="1">EFEITO!$L$766*EFEITO!$Z$766</f>
        <v>303.216430239842</v>
      </c>
      <c r="L766" s="56">
        <f>EFEITO!$N$766*EFEITO!$AA$766</f>
        <v>83.842487059708787</v>
      </c>
      <c r="M766" s="56">
        <f>$J$766-EFEITO!$K$766*EFEITO!$Y$766</f>
        <v>0</v>
      </c>
      <c r="N766" s="56">
        <f ca="1">$K$766-EFEITO!$M$766*EFEITO!$Z$766</f>
        <v>0</v>
      </c>
      <c r="O766" s="56">
        <f>$L$766-EFEITO!$O$766*EFEITO!$AA$766</f>
        <v>0</v>
      </c>
      <c r="P766" s="39"/>
      <c r="Q766" s="39"/>
      <c r="R766" s="39"/>
      <c r="S766" s="39"/>
      <c r="T766" s="39"/>
      <c r="U766" s="39"/>
      <c r="V766" s="39"/>
      <c r="W766" s="39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35" t="s">
        <v>21</v>
      </c>
      <c r="B767" s="35" t="s">
        <v>37</v>
      </c>
      <c r="C767" s="35" t="s">
        <v>33</v>
      </c>
      <c r="D767" s="35" t="s">
        <v>46</v>
      </c>
      <c r="E767" s="35" t="s">
        <v>25</v>
      </c>
      <c r="F767" s="35" t="s">
        <v>25</v>
      </c>
      <c r="G767" s="35" t="s">
        <v>25</v>
      </c>
      <c r="H767" s="35" t="s">
        <v>36</v>
      </c>
      <c r="I767" s="55">
        <v>44682</v>
      </c>
      <c r="J767" s="56">
        <f>EFEITO!$J$767*EFEITO!$Y$767</f>
        <v>0</v>
      </c>
      <c r="K767" s="56">
        <f ca="1">EFEITO!$L$767*EFEITO!$Z$767</f>
        <v>246.91629730406231</v>
      </c>
      <c r="L767" s="56">
        <f>EFEITO!$N$767*EFEITO!$AA$767</f>
        <v>68.274916518118289</v>
      </c>
      <c r="M767" s="56">
        <f>$J$767-EFEITO!$K$767*EFEITO!$Y$767</f>
        <v>0</v>
      </c>
      <c r="N767" s="56">
        <f ca="1">$K$767-EFEITO!$M$767*EFEITO!$Z$767</f>
        <v>0</v>
      </c>
      <c r="O767" s="56">
        <f>$L$767-EFEITO!$O$767*EFEITO!$AA$767</f>
        <v>0</v>
      </c>
      <c r="P767" s="39"/>
      <c r="Q767" s="39"/>
      <c r="R767" s="39"/>
      <c r="S767" s="39"/>
      <c r="T767" s="39"/>
      <c r="U767" s="39"/>
      <c r="V767" s="39"/>
      <c r="W767" s="39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35" t="s">
        <v>21</v>
      </c>
      <c r="B768" s="35" t="s">
        <v>37</v>
      </c>
      <c r="C768" s="35" t="s">
        <v>33</v>
      </c>
      <c r="D768" s="35" t="s">
        <v>46</v>
      </c>
      <c r="E768" s="35" t="s">
        <v>25</v>
      </c>
      <c r="F768" s="35" t="s">
        <v>25</v>
      </c>
      <c r="G768" s="35" t="s">
        <v>25</v>
      </c>
      <c r="H768" s="35" t="s">
        <v>36</v>
      </c>
      <c r="I768" s="55">
        <v>44713</v>
      </c>
      <c r="J768" s="56">
        <f>EFEITO!$J$768*EFEITO!$Y$768</f>
        <v>0</v>
      </c>
      <c r="K768" s="56">
        <f ca="1">EFEITO!$L$768*EFEITO!$Z$768</f>
        <v>192.2247395950192</v>
      </c>
      <c r="L768" s="56">
        <f>EFEITO!$N$768*EFEITO!$AA$768</f>
        <v>53.152133706287529</v>
      </c>
      <c r="M768" s="56">
        <f>$J$768-EFEITO!$K$768*EFEITO!$Y$768</f>
        <v>0</v>
      </c>
      <c r="N768" s="56">
        <f ca="1">$K$768-EFEITO!$M$768*EFEITO!$Z$768</f>
        <v>0</v>
      </c>
      <c r="O768" s="56">
        <f>$L$768-EFEITO!$O$768*EFEITO!$AA$768</f>
        <v>0</v>
      </c>
      <c r="P768" s="39"/>
      <c r="Q768" s="39"/>
      <c r="R768" s="39"/>
      <c r="S768" s="39"/>
      <c r="T768" s="39"/>
      <c r="U768" s="39"/>
      <c r="V768" s="39"/>
      <c r="W768" s="39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35" t="s">
        <v>21</v>
      </c>
      <c r="B769" s="35" t="s">
        <v>37</v>
      </c>
      <c r="C769" s="35" t="s">
        <v>33</v>
      </c>
      <c r="D769" s="35" t="s">
        <v>46</v>
      </c>
      <c r="E769" s="35" t="s">
        <v>25</v>
      </c>
      <c r="F769" s="35" t="s">
        <v>25</v>
      </c>
      <c r="G769" s="35" t="s">
        <v>25</v>
      </c>
      <c r="H769" s="35" t="s">
        <v>36</v>
      </c>
      <c r="I769" s="55">
        <v>44743</v>
      </c>
      <c r="J769" s="56">
        <f>EFEITO!$J$769*EFEITO!$Y$769</f>
        <v>0</v>
      </c>
      <c r="K769" s="56">
        <f ca="1">EFEITO!$L$769*EFEITO!$Z$769</f>
        <v>216.35336799606765</v>
      </c>
      <c r="L769" s="56">
        <f>EFEITO!$N$769*EFEITO!$AA$769</f>
        <v>59.82394965268346</v>
      </c>
      <c r="M769" s="56">
        <f>$J$769-EFEITO!$K$769*EFEITO!$Y$769</f>
        <v>0</v>
      </c>
      <c r="N769" s="56">
        <f ca="1">$K$769-EFEITO!$M$769*EFEITO!$Z$769</f>
        <v>0</v>
      </c>
      <c r="O769" s="56">
        <f>$L$769-EFEITO!$O$769*EFEITO!$AA$769</f>
        <v>0</v>
      </c>
      <c r="P769" s="39"/>
      <c r="Q769" s="39"/>
      <c r="R769" s="39"/>
      <c r="S769" s="39"/>
      <c r="T769" s="39"/>
      <c r="U769" s="39"/>
      <c r="V769" s="39"/>
      <c r="W769" s="39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35" t="s">
        <v>21</v>
      </c>
      <c r="B770" s="35" t="s">
        <v>37</v>
      </c>
      <c r="C770" s="35" t="s">
        <v>33</v>
      </c>
      <c r="D770" s="35" t="s">
        <v>46</v>
      </c>
      <c r="E770" s="35" t="s">
        <v>25</v>
      </c>
      <c r="F770" s="35" t="s">
        <v>25</v>
      </c>
      <c r="G770" s="35" t="s">
        <v>25</v>
      </c>
      <c r="H770" s="35" t="s">
        <v>36</v>
      </c>
      <c r="I770" s="55">
        <v>44774</v>
      </c>
      <c r="J770" s="56">
        <f>EFEITO!$J$770*EFEITO!$Y$770</f>
        <v>0</v>
      </c>
      <c r="K770" s="56">
        <f ca="1">EFEITO!$L$770*EFEITO!$Z$770</f>
        <v>213.13621754259452</v>
      </c>
      <c r="L770" s="56">
        <f>EFEITO!$N$770*EFEITO!$AA$770</f>
        <v>58.934374193163997</v>
      </c>
      <c r="M770" s="56">
        <f>$J$770-EFEITO!$K$770*EFEITO!$Y$770</f>
        <v>0</v>
      </c>
      <c r="N770" s="56">
        <f ca="1">$K$770-EFEITO!$M$770*EFEITO!$Z$770</f>
        <v>0</v>
      </c>
      <c r="O770" s="56">
        <f>$L$770-EFEITO!$O$770*EFEITO!$AA$770</f>
        <v>0</v>
      </c>
      <c r="P770" s="39"/>
      <c r="Q770" s="39"/>
      <c r="R770" s="39"/>
      <c r="S770" s="39"/>
      <c r="T770" s="39"/>
      <c r="U770" s="39"/>
      <c r="V770" s="39"/>
      <c r="W770" s="39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35" t="s">
        <v>21</v>
      </c>
      <c r="B771" s="35" t="s">
        <v>37</v>
      </c>
      <c r="C771" s="35" t="s">
        <v>33</v>
      </c>
      <c r="D771" s="35" t="s">
        <v>46</v>
      </c>
      <c r="E771" s="35" t="s">
        <v>25</v>
      </c>
      <c r="F771" s="35" t="s">
        <v>25</v>
      </c>
      <c r="G771" s="35" t="s">
        <v>25</v>
      </c>
      <c r="H771" s="35" t="s">
        <v>36</v>
      </c>
      <c r="I771" s="55">
        <v>44805</v>
      </c>
      <c r="J771" s="56">
        <f>EFEITO!$J$771*EFEITO!$Y$771</f>
        <v>0</v>
      </c>
      <c r="K771" s="56">
        <f ca="1">EFEITO!$L$771*EFEITO!$Z$771</f>
        <v>222.78766890301392</v>
      </c>
      <c r="L771" s="56">
        <f>EFEITO!$N$771*EFEITO!$AA$771</f>
        <v>61.603100571722372</v>
      </c>
      <c r="M771" s="56">
        <f>$J$771-EFEITO!$K$771*EFEITO!$Y$771</f>
        <v>0</v>
      </c>
      <c r="N771" s="56">
        <f ca="1">$K$771-EFEITO!$M$771*EFEITO!$Z$771</f>
        <v>0</v>
      </c>
      <c r="O771" s="56">
        <f>$L$771-EFEITO!$O$771*EFEITO!$AA$771</f>
        <v>0</v>
      </c>
      <c r="P771" s="39"/>
      <c r="Q771" s="39"/>
      <c r="R771" s="39"/>
      <c r="S771" s="39"/>
      <c r="T771" s="39"/>
      <c r="U771" s="39"/>
      <c r="V771" s="39"/>
      <c r="W771" s="39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35" t="s">
        <v>57</v>
      </c>
      <c r="B772" s="35" t="s">
        <v>37</v>
      </c>
      <c r="C772" s="35" t="s">
        <v>33</v>
      </c>
      <c r="D772" s="35" t="s">
        <v>46</v>
      </c>
      <c r="E772" s="35" t="s">
        <v>25</v>
      </c>
      <c r="F772" s="35" t="s">
        <v>25</v>
      </c>
      <c r="G772" s="35" t="s">
        <v>25</v>
      </c>
      <c r="H772" s="35" t="s">
        <v>36</v>
      </c>
      <c r="I772" s="55">
        <v>44835</v>
      </c>
      <c r="J772" s="56">
        <f>EFEITO!$J$772*EFEITO!$Y$772</f>
        <v>0</v>
      </c>
      <c r="K772" s="56">
        <f ca="1">EFEITO!$L$772*EFEITO!$Z$772</f>
        <v>222.78766890301392</v>
      </c>
      <c r="L772" s="56">
        <f>EFEITO!$N$772*EFEITO!$AA$772</f>
        <v>61.603100571722372</v>
      </c>
      <c r="M772" s="56">
        <f>$J$772-EFEITO!$K$772*EFEITO!$Y$772</f>
        <v>0</v>
      </c>
      <c r="N772" s="56">
        <f ca="1">$K$772-EFEITO!$M$772*EFEITO!$Z$772</f>
        <v>0</v>
      </c>
      <c r="O772" s="56">
        <f>$L$772-EFEITO!$O$772*EFEITO!$AA$772</f>
        <v>0</v>
      </c>
      <c r="P772" s="39"/>
      <c r="Q772" s="39"/>
      <c r="R772" s="39"/>
      <c r="S772" s="39"/>
      <c r="T772" s="39"/>
      <c r="U772" s="39"/>
      <c r="V772" s="39"/>
      <c r="W772" s="39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35" t="s">
        <v>21</v>
      </c>
      <c r="B773" s="35" t="s">
        <v>37</v>
      </c>
      <c r="C773" s="35" t="s">
        <v>33</v>
      </c>
      <c r="D773" s="35" t="s">
        <v>46</v>
      </c>
      <c r="E773" s="35" t="s">
        <v>25</v>
      </c>
      <c r="F773" s="35" t="s">
        <v>25</v>
      </c>
      <c r="G773" s="35" t="s">
        <v>25</v>
      </c>
      <c r="H773" s="35" t="s">
        <v>34</v>
      </c>
      <c r="I773" s="55">
        <v>44501</v>
      </c>
      <c r="J773" s="56">
        <f>EFEITO!$J$773*EFEITO!$Y$773</f>
        <v>0</v>
      </c>
      <c r="K773" s="56">
        <f ca="1">EFEITO!$L$773*EFEITO!$Z$773</f>
        <v>257.39079013659187</v>
      </c>
      <c r="L773" s="56">
        <f>EFEITO!$N$773*EFEITO!$AA$773</f>
        <v>76.372008525905841</v>
      </c>
      <c r="M773" s="56">
        <f>$J$773-EFEITO!$K$773*EFEITO!$Y$773</f>
        <v>0</v>
      </c>
      <c r="N773" s="56">
        <f ca="1">$K$773-EFEITO!$M$773*EFEITO!$Z$773</f>
        <v>0</v>
      </c>
      <c r="O773" s="56">
        <f>$L$773-EFEITO!$O$773*EFEITO!$AA$773</f>
        <v>0</v>
      </c>
      <c r="P773" s="39"/>
      <c r="Q773" s="39"/>
      <c r="R773" s="39"/>
      <c r="S773" s="39"/>
      <c r="T773" s="39"/>
      <c r="U773" s="39"/>
      <c r="V773" s="39"/>
      <c r="W773" s="39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35" t="s">
        <v>21</v>
      </c>
      <c r="B774" s="35" t="s">
        <v>37</v>
      </c>
      <c r="C774" s="35" t="s">
        <v>33</v>
      </c>
      <c r="D774" s="35" t="s">
        <v>46</v>
      </c>
      <c r="E774" s="35" t="s">
        <v>25</v>
      </c>
      <c r="F774" s="35" t="s">
        <v>25</v>
      </c>
      <c r="G774" s="35" t="s">
        <v>25</v>
      </c>
      <c r="H774" s="35" t="s">
        <v>34</v>
      </c>
      <c r="I774" s="55">
        <v>44531</v>
      </c>
      <c r="J774" s="56">
        <f>EFEITO!$J$774*EFEITO!$Y$774</f>
        <v>0</v>
      </c>
      <c r="K774" s="56">
        <f ca="1">EFEITO!$L$774*EFEITO!$Z$774</f>
        <v>243.97231292567949</v>
      </c>
      <c r="L774" s="56">
        <f>EFEITO!$N$774*EFEITO!$AA$774</f>
        <v>72.390529408441566</v>
      </c>
      <c r="M774" s="56">
        <f>$J$774-EFEITO!$K$774*EFEITO!$Y$774</f>
        <v>0</v>
      </c>
      <c r="N774" s="56">
        <f ca="1">$K$774-EFEITO!$M$774*EFEITO!$Z$774</f>
        <v>0</v>
      </c>
      <c r="O774" s="56">
        <f>$L$774-EFEITO!$O$774*EFEITO!$AA$774</f>
        <v>0</v>
      </c>
      <c r="P774" s="39"/>
      <c r="Q774" s="39"/>
      <c r="R774" s="39"/>
      <c r="S774" s="39"/>
      <c r="T774" s="39"/>
      <c r="U774" s="39"/>
      <c r="V774" s="39"/>
      <c r="W774" s="39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35" t="s">
        <v>21</v>
      </c>
      <c r="B775" s="35" t="s">
        <v>37</v>
      </c>
      <c r="C775" s="35" t="s">
        <v>33</v>
      </c>
      <c r="D775" s="35" t="s">
        <v>46</v>
      </c>
      <c r="E775" s="35" t="s">
        <v>25</v>
      </c>
      <c r="F775" s="35" t="s">
        <v>25</v>
      </c>
      <c r="G775" s="35" t="s">
        <v>25</v>
      </c>
      <c r="H775" s="35" t="s">
        <v>34</v>
      </c>
      <c r="I775" s="55">
        <v>44562</v>
      </c>
      <c r="J775" s="56">
        <f>EFEITO!$J$775*EFEITO!$Y$775</f>
        <v>0</v>
      </c>
      <c r="K775" s="56">
        <f ca="1">EFEITO!$L$775*EFEITO!$Z$775</f>
        <v>259.83051326584865</v>
      </c>
      <c r="L775" s="56">
        <f>EFEITO!$N$775*EFEITO!$AA$775</f>
        <v>77.095913819990258</v>
      </c>
      <c r="M775" s="56">
        <f>$J$775-EFEITO!$K$775*EFEITO!$Y$775</f>
        <v>0</v>
      </c>
      <c r="N775" s="56">
        <f ca="1">$K$775-EFEITO!$M$775*EFEITO!$Z$775</f>
        <v>0</v>
      </c>
      <c r="O775" s="56">
        <f>$L$775-EFEITO!$O$775*EFEITO!$AA$775</f>
        <v>0</v>
      </c>
      <c r="P775" s="39"/>
      <c r="Q775" s="39"/>
      <c r="R775" s="39"/>
      <c r="S775" s="39"/>
      <c r="T775" s="39"/>
      <c r="U775" s="39"/>
      <c r="V775" s="39"/>
      <c r="W775" s="39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35" t="s">
        <v>21</v>
      </c>
      <c r="B776" s="35" t="s">
        <v>37</v>
      </c>
      <c r="C776" s="35" t="s">
        <v>33</v>
      </c>
      <c r="D776" s="35" t="s">
        <v>46</v>
      </c>
      <c r="E776" s="35" t="s">
        <v>25</v>
      </c>
      <c r="F776" s="35" t="s">
        <v>25</v>
      </c>
      <c r="G776" s="35" t="s">
        <v>25</v>
      </c>
      <c r="H776" s="35" t="s">
        <v>34</v>
      </c>
      <c r="I776" s="55">
        <v>44593</v>
      </c>
      <c r="J776" s="56">
        <f>EFEITO!$J$776*EFEITO!$Y$776</f>
        <v>0</v>
      </c>
      <c r="K776" s="56">
        <f ca="1">EFEITO!$L$776*EFEITO!$Z$776</f>
        <v>341.5612380959513</v>
      </c>
      <c r="L776" s="56">
        <f>EFEITO!$N$776*EFEITO!$AA$776</f>
        <v>101.34674117181819</v>
      </c>
      <c r="M776" s="56">
        <f>$J$776-EFEITO!$K$776*EFEITO!$Y$776</f>
        <v>0</v>
      </c>
      <c r="N776" s="56">
        <f ca="1">$K$776-EFEITO!$M$776*EFEITO!$Z$776</f>
        <v>0</v>
      </c>
      <c r="O776" s="56">
        <f>$L$776-EFEITO!$O$776*EFEITO!$AA$776</f>
        <v>0</v>
      </c>
      <c r="P776" s="39"/>
      <c r="Q776" s="39"/>
      <c r="R776" s="39"/>
      <c r="S776" s="39"/>
      <c r="T776" s="39"/>
      <c r="U776" s="39"/>
      <c r="V776" s="39"/>
      <c r="W776" s="39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35" t="s">
        <v>21</v>
      </c>
      <c r="B777" s="35" t="s">
        <v>37</v>
      </c>
      <c r="C777" s="35" t="s">
        <v>33</v>
      </c>
      <c r="D777" s="35" t="s">
        <v>46</v>
      </c>
      <c r="E777" s="35" t="s">
        <v>25</v>
      </c>
      <c r="F777" s="35" t="s">
        <v>25</v>
      </c>
      <c r="G777" s="35" t="s">
        <v>25</v>
      </c>
      <c r="H777" s="35" t="s">
        <v>34</v>
      </c>
      <c r="I777" s="55">
        <v>44621</v>
      </c>
      <c r="J777" s="56">
        <f>EFEITO!$J$777*EFEITO!$Y$777</f>
        <v>0</v>
      </c>
      <c r="K777" s="56">
        <f ca="1">EFEITO!$L$777*EFEITO!$Z$777</f>
        <v>215.91549693922633</v>
      </c>
      <c r="L777" s="56">
        <f>EFEITO!$N$777*EFEITO!$AA$777</f>
        <v>64.065618526470772</v>
      </c>
      <c r="M777" s="56">
        <f>$J$777-EFEITO!$K$777*EFEITO!$Y$777</f>
        <v>0</v>
      </c>
      <c r="N777" s="56">
        <f ca="1">$K$777-EFEITO!$M$777*EFEITO!$Z$777</f>
        <v>0</v>
      </c>
      <c r="O777" s="56">
        <f>$L$777-EFEITO!$O$777*EFEITO!$AA$777</f>
        <v>0</v>
      </c>
      <c r="P777" s="39"/>
      <c r="Q777" s="39"/>
      <c r="R777" s="39"/>
      <c r="S777" s="39"/>
      <c r="T777" s="39"/>
      <c r="U777" s="39"/>
      <c r="V777" s="39"/>
      <c r="W777" s="39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35" t="s">
        <v>21</v>
      </c>
      <c r="B778" s="35" t="s">
        <v>37</v>
      </c>
      <c r="C778" s="35" t="s">
        <v>33</v>
      </c>
      <c r="D778" s="35" t="s">
        <v>46</v>
      </c>
      <c r="E778" s="35" t="s">
        <v>25</v>
      </c>
      <c r="F778" s="35" t="s">
        <v>25</v>
      </c>
      <c r="G778" s="35" t="s">
        <v>25</v>
      </c>
      <c r="H778" s="35" t="s">
        <v>34</v>
      </c>
      <c r="I778" s="55">
        <v>44652</v>
      </c>
      <c r="J778" s="56">
        <f>EFEITO!$J$778*EFEITO!$Y$778</f>
        <v>0</v>
      </c>
      <c r="K778" s="56">
        <f ca="1">EFEITO!$L$778*EFEITO!$Z$778</f>
        <v>251.29148231344985</v>
      </c>
      <c r="L778" s="56">
        <f>EFEITO!$N$778*EFEITO!$AA$778</f>
        <v>74.562245290694804</v>
      </c>
      <c r="M778" s="56">
        <f>$J$778-EFEITO!$K$778*EFEITO!$Y$778</f>
        <v>0</v>
      </c>
      <c r="N778" s="56">
        <f ca="1">$K$778-EFEITO!$M$778*EFEITO!$Z$778</f>
        <v>0</v>
      </c>
      <c r="O778" s="56">
        <f>$L$778-EFEITO!$O$778*EFEITO!$AA$778</f>
        <v>0</v>
      </c>
      <c r="P778" s="39"/>
      <c r="Q778" s="39"/>
      <c r="R778" s="39"/>
      <c r="S778" s="39"/>
      <c r="T778" s="39"/>
      <c r="U778" s="39"/>
      <c r="V778" s="39"/>
      <c r="W778" s="39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35" t="s">
        <v>21</v>
      </c>
      <c r="B779" s="35" t="s">
        <v>37</v>
      </c>
      <c r="C779" s="35" t="s">
        <v>33</v>
      </c>
      <c r="D779" s="35" t="s">
        <v>46</v>
      </c>
      <c r="E779" s="35" t="s">
        <v>25</v>
      </c>
      <c r="F779" s="35" t="s">
        <v>25</v>
      </c>
      <c r="G779" s="35" t="s">
        <v>25</v>
      </c>
      <c r="H779" s="35" t="s">
        <v>34</v>
      </c>
      <c r="I779" s="55">
        <v>44682</v>
      </c>
      <c r="J779" s="56">
        <f>EFEITO!$J$779*EFEITO!$Y$779</f>
        <v>0</v>
      </c>
      <c r="K779" s="56">
        <f ca="1">EFEITO!$L$779*EFEITO!$Z$779</f>
        <v>239.09286666716591</v>
      </c>
      <c r="L779" s="56">
        <f>EFEITO!$N$779*EFEITO!$AA$779</f>
        <v>70.942718820272731</v>
      </c>
      <c r="M779" s="56">
        <f>$J$779-EFEITO!$K$779*EFEITO!$Y$779</f>
        <v>0</v>
      </c>
      <c r="N779" s="56">
        <f ca="1">$K$779-EFEITO!$M$779*EFEITO!$Z$779</f>
        <v>0</v>
      </c>
      <c r="O779" s="56">
        <f>$L$779-EFEITO!$O$779*EFEITO!$AA$779</f>
        <v>0</v>
      </c>
      <c r="P779" s="39"/>
      <c r="Q779" s="39"/>
      <c r="R779" s="39"/>
      <c r="S779" s="39"/>
      <c r="T779" s="39"/>
      <c r="U779" s="39"/>
      <c r="V779" s="39"/>
      <c r="W779" s="39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35" t="s">
        <v>21</v>
      </c>
      <c r="B780" s="35" t="s">
        <v>37</v>
      </c>
      <c r="C780" s="35" t="s">
        <v>33</v>
      </c>
      <c r="D780" s="35" t="s">
        <v>46</v>
      </c>
      <c r="E780" s="35" t="s">
        <v>25</v>
      </c>
      <c r="F780" s="35" t="s">
        <v>25</v>
      </c>
      <c r="G780" s="35" t="s">
        <v>25</v>
      </c>
      <c r="H780" s="35" t="s">
        <v>34</v>
      </c>
      <c r="I780" s="55">
        <v>44713</v>
      </c>
      <c r="J780" s="56">
        <f>EFEITO!$J$780*EFEITO!$Y$780</f>
        <v>0</v>
      </c>
      <c r="K780" s="56">
        <f ca="1">EFEITO!$L$780*EFEITO!$Z$780</f>
        <v>223.23466632699672</v>
      </c>
      <c r="L780" s="56">
        <f>EFEITO!$N$780*EFEITO!$AA$780</f>
        <v>66.237334408724024</v>
      </c>
      <c r="M780" s="56">
        <f>$J$780-EFEITO!$K$780*EFEITO!$Y$780</f>
        <v>0</v>
      </c>
      <c r="N780" s="56">
        <f ca="1">$K$780-EFEITO!$M$780*EFEITO!$Z$780</f>
        <v>0</v>
      </c>
      <c r="O780" s="56">
        <f>$L$780-EFEITO!$O$780*EFEITO!$AA$780</f>
        <v>0</v>
      </c>
      <c r="P780" s="39"/>
      <c r="Q780" s="39"/>
      <c r="R780" s="39"/>
      <c r="S780" s="39"/>
      <c r="T780" s="39"/>
      <c r="U780" s="39"/>
      <c r="V780" s="39"/>
      <c r="W780" s="39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35" t="s">
        <v>21</v>
      </c>
      <c r="B781" s="35" t="s">
        <v>37</v>
      </c>
      <c r="C781" s="35" t="s">
        <v>33</v>
      </c>
      <c r="D781" s="35" t="s">
        <v>46</v>
      </c>
      <c r="E781" s="35" t="s">
        <v>25</v>
      </c>
      <c r="F781" s="35" t="s">
        <v>25</v>
      </c>
      <c r="G781" s="35" t="s">
        <v>25</v>
      </c>
      <c r="H781" s="35" t="s">
        <v>34</v>
      </c>
      <c r="I781" s="55">
        <v>44743</v>
      </c>
      <c r="J781" s="56">
        <f>EFEITO!$J$781*EFEITO!$Y$781</f>
        <v>0</v>
      </c>
      <c r="K781" s="56">
        <f ca="1">EFEITO!$L$781*EFEITO!$Z$781</f>
        <v>237.87300510253752</v>
      </c>
      <c r="L781" s="56">
        <f>EFEITO!$N$781*EFEITO!$AA$781</f>
        <v>70.580766173230515</v>
      </c>
      <c r="M781" s="56">
        <f>$J$781-EFEITO!$K$781*EFEITO!$Y$781</f>
        <v>0</v>
      </c>
      <c r="N781" s="56">
        <f ca="1">$K$781-EFEITO!$M$781*EFEITO!$Z$781</f>
        <v>0</v>
      </c>
      <c r="O781" s="56">
        <f>$L$781-EFEITO!$O$781*EFEITO!$AA$781</f>
        <v>0</v>
      </c>
      <c r="P781" s="39"/>
      <c r="Q781" s="39"/>
      <c r="R781" s="39"/>
      <c r="S781" s="39"/>
      <c r="T781" s="39"/>
      <c r="U781" s="39"/>
      <c r="V781" s="39"/>
      <c r="W781" s="39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35" t="s">
        <v>21</v>
      </c>
      <c r="B782" s="35" t="s">
        <v>37</v>
      </c>
      <c r="C782" s="35" t="s">
        <v>33</v>
      </c>
      <c r="D782" s="35" t="s">
        <v>46</v>
      </c>
      <c r="E782" s="35" t="s">
        <v>25</v>
      </c>
      <c r="F782" s="35" t="s">
        <v>25</v>
      </c>
      <c r="G782" s="35" t="s">
        <v>25</v>
      </c>
      <c r="H782" s="35" t="s">
        <v>34</v>
      </c>
      <c r="I782" s="55">
        <v>44774</v>
      </c>
      <c r="J782" s="56">
        <f>EFEITO!$J$782*EFEITO!$Y$782</f>
        <v>0</v>
      </c>
      <c r="K782" s="56">
        <f ca="1">EFEITO!$L$782*EFEITO!$Z$782</f>
        <v>272.02912891213265</v>
      </c>
      <c r="L782" s="56">
        <f>EFEITO!$N$782*EFEITO!$AA$782</f>
        <v>80.715440290412332</v>
      </c>
      <c r="M782" s="56">
        <f>$J$782-EFEITO!$K$782*EFEITO!$Y$782</f>
        <v>0</v>
      </c>
      <c r="N782" s="56">
        <f ca="1">$K$782-EFEITO!$M$782*EFEITO!$Z$782</f>
        <v>0</v>
      </c>
      <c r="O782" s="56">
        <f>$L$782-EFEITO!$O$782*EFEITO!$AA$782</f>
        <v>0</v>
      </c>
      <c r="P782" s="39"/>
      <c r="Q782" s="39"/>
      <c r="R782" s="39"/>
      <c r="S782" s="39"/>
      <c r="T782" s="39"/>
      <c r="U782" s="39"/>
      <c r="V782" s="39"/>
      <c r="W782" s="39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35" t="s">
        <v>21</v>
      </c>
      <c r="B783" s="35" t="s">
        <v>37</v>
      </c>
      <c r="C783" s="35" t="s">
        <v>33</v>
      </c>
      <c r="D783" s="35" t="s">
        <v>46</v>
      </c>
      <c r="E783" s="35" t="s">
        <v>25</v>
      </c>
      <c r="F783" s="35" t="s">
        <v>25</v>
      </c>
      <c r="G783" s="35" t="s">
        <v>25</v>
      </c>
      <c r="H783" s="35" t="s">
        <v>34</v>
      </c>
      <c r="I783" s="55">
        <v>44805</v>
      </c>
      <c r="J783" s="56">
        <f>EFEITO!$J$783*EFEITO!$Y$783</f>
        <v>0</v>
      </c>
      <c r="K783" s="56">
        <f ca="1">EFEITO!$L$783*EFEITO!$Z$783</f>
        <v>246.41203605493629</v>
      </c>
      <c r="L783" s="56">
        <f>EFEITO!$N$783*EFEITO!$AA$783</f>
        <v>73.114434702525983</v>
      </c>
      <c r="M783" s="56">
        <f>$J$783-EFEITO!$K$783*EFEITO!$Y$783</f>
        <v>0</v>
      </c>
      <c r="N783" s="56">
        <f ca="1">$K$783-EFEITO!$M$783*EFEITO!$Z$783</f>
        <v>0</v>
      </c>
      <c r="O783" s="56">
        <f>$L$783-EFEITO!$O$783*EFEITO!$AA$783</f>
        <v>0</v>
      </c>
      <c r="P783" s="39"/>
      <c r="Q783" s="39"/>
      <c r="R783" s="39"/>
      <c r="S783" s="39"/>
      <c r="T783" s="39"/>
      <c r="U783" s="39"/>
      <c r="V783" s="39"/>
      <c r="W783" s="39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35" t="s">
        <v>57</v>
      </c>
      <c r="B784" s="35" t="s">
        <v>37</v>
      </c>
      <c r="C784" s="35" t="s">
        <v>33</v>
      </c>
      <c r="D784" s="35" t="s">
        <v>46</v>
      </c>
      <c r="E784" s="35" t="s">
        <v>25</v>
      </c>
      <c r="F784" s="35" t="s">
        <v>25</v>
      </c>
      <c r="G784" s="35" t="s">
        <v>25</v>
      </c>
      <c r="H784" s="35" t="s">
        <v>34</v>
      </c>
      <c r="I784" s="55">
        <v>44835</v>
      </c>
      <c r="J784" s="56">
        <f>EFEITO!$J$784*EFEITO!$Y$784</f>
        <v>0</v>
      </c>
      <c r="K784" s="56">
        <f ca="1">EFEITO!$L$784*EFEITO!$Z$784</f>
        <v>246.41203605493629</v>
      </c>
      <c r="L784" s="56">
        <f>EFEITO!$N$784*EFEITO!$AA$784</f>
        <v>73.114434702525983</v>
      </c>
      <c r="M784" s="56">
        <f>$J$784-EFEITO!$K$784*EFEITO!$Y$784</f>
        <v>0</v>
      </c>
      <c r="N784" s="56">
        <f ca="1">$K$784-EFEITO!$M$784*EFEITO!$Z$784</f>
        <v>0</v>
      </c>
      <c r="O784" s="56">
        <f>$L$784-EFEITO!$O$784*EFEITO!$AA$784</f>
        <v>0</v>
      </c>
      <c r="P784" s="39"/>
      <c r="Q784" s="39"/>
      <c r="R784" s="39"/>
      <c r="S784" s="39"/>
      <c r="T784" s="39"/>
      <c r="U784" s="39"/>
      <c r="V784" s="39"/>
      <c r="W784" s="39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35" t="s">
        <v>21</v>
      </c>
      <c r="B785" s="35" t="s">
        <v>37</v>
      </c>
      <c r="C785" s="35" t="s">
        <v>23</v>
      </c>
      <c r="D785" s="35" t="s">
        <v>41</v>
      </c>
      <c r="E785" s="35" t="s">
        <v>25</v>
      </c>
      <c r="F785" s="35" t="s">
        <v>25</v>
      </c>
      <c r="G785" s="35" t="s">
        <v>25</v>
      </c>
      <c r="H785" s="35" t="s">
        <v>25</v>
      </c>
      <c r="I785" s="55">
        <v>44501</v>
      </c>
      <c r="J785" s="56">
        <f>EFEITO!$J$785*EFEITO!$Y$785</f>
        <v>0</v>
      </c>
      <c r="K785" s="56">
        <f ca="1">EFEITO!$L$785*EFEITO!$Z$785</f>
        <v>681098.99591279111</v>
      </c>
      <c r="L785" s="56">
        <f>EFEITO!$N$785*EFEITO!$AA$785</f>
        <v>330645.38860938628</v>
      </c>
      <c r="M785" s="56">
        <f>$J$785-EFEITO!$K$785*EFEITO!$Y$785</f>
        <v>0</v>
      </c>
      <c r="N785" s="56">
        <f ca="1">$K$785-EFEITO!$M$785*EFEITO!$Z$785</f>
        <v>0</v>
      </c>
      <c r="O785" s="56">
        <f>$L$785-EFEITO!$O$785*EFEITO!$AA$785</f>
        <v>0</v>
      </c>
      <c r="P785" s="39"/>
      <c r="Q785" s="39"/>
      <c r="R785" s="39"/>
      <c r="S785" s="39"/>
      <c r="T785" s="39"/>
      <c r="U785" s="39"/>
      <c r="V785" s="39"/>
      <c r="W785" s="39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35" t="s">
        <v>28</v>
      </c>
      <c r="B786" s="35" t="s">
        <v>37</v>
      </c>
      <c r="C786" s="35" t="s">
        <v>23</v>
      </c>
      <c r="D786" s="35" t="s">
        <v>41</v>
      </c>
      <c r="E786" s="35" t="s">
        <v>25</v>
      </c>
      <c r="F786" s="35" t="s">
        <v>25</v>
      </c>
      <c r="G786" s="35" t="s">
        <v>25</v>
      </c>
      <c r="H786" s="35" t="s">
        <v>25</v>
      </c>
      <c r="I786" s="55">
        <v>44501</v>
      </c>
      <c r="J786" s="56">
        <f>EFEITO!$J$786*EFEITO!$Y$786</f>
        <v>0</v>
      </c>
      <c r="K786" s="56">
        <f ca="1">EFEITO!$L$786*EFEITO!$Z$786</f>
        <v>61685.821717620835</v>
      </c>
      <c r="L786" s="56">
        <f>EFEITO!$N$786*EFEITO!$AA$786</f>
        <v>29945.914787581933</v>
      </c>
      <c r="M786" s="56">
        <f>$J$786-EFEITO!$K$786*EFEITO!$Y$786</f>
        <v>0</v>
      </c>
      <c r="N786" s="56">
        <f ca="1">$K$786-EFEITO!$M$786*EFEITO!$Z$786</f>
        <v>0</v>
      </c>
      <c r="O786" s="56">
        <f>$L$786-EFEITO!$O$786*EFEITO!$AA$786</f>
        <v>0</v>
      </c>
      <c r="P786" s="39"/>
      <c r="Q786" s="39"/>
      <c r="R786" s="39"/>
      <c r="S786" s="39"/>
      <c r="T786" s="39"/>
      <c r="U786" s="39"/>
      <c r="V786" s="39"/>
      <c r="W786" s="39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35" t="s">
        <v>21</v>
      </c>
      <c r="B787" s="35" t="s">
        <v>37</v>
      </c>
      <c r="C787" s="35" t="s">
        <v>23</v>
      </c>
      <c r="D787" s="35" t="s">
        <v>41</v>
      </c>
      <c r="E787" s="35" t="s">
        <v>25</v>
      </c>
      <c r="F787" s="35" t="s">
        <v>25</v>
      </c>
      <c r="G787" s="35" t="s">
        <v>25</v>
      </c>
      <c r="H787" s="35" t="s">
        <v>25</v>
      </c>
      <c r="I787" s="55">
        <v>44531</v>
      </c>
      <c r="J787" s="56">
        <f>EFEITO!$J$787*EFEITO!$Y$787</f>
        <v>0</v>
      </c>
      <c r="K787" s="56">
        <f ca="1">EFEITO!$L$787*EFEITO!$Z$787</f>
        <v>646540.55086083931</v>
      </c>
      <c r="L787" s="56">
        <f>EFEITO!$N$787*EFEITO!$AA$787</f>
        <v>313868.6930592407</v>
      </c>
      <c r="M787" s="56">
        <f>$J$787-EFEITO!$K$787*EFEITO!$Y$787</f>
        <v>0</v>
      </c>
      <c r="N787" s="56">
        <f ca="1">$K$787-EFEITO!$M$787*EFEITO!$Z$787</f>
        <v>0</v>
      </c>
      <c r="O787" s="56">
        <f>$L$787-EFEITO!$O$787*EFEITO!$AA$787</f>
        <v>0</v>
      </c>
      <c r="P787" s="39"/>
      <c r="Q787" s="39"/>
      <c r="R787" s="39"/>
      <c r="S787" s="39"/>
      <c r="T787" s="39"/>
      <c r="U787" s="39"/>
      <c r="V787" s="39"/>
      <c r="W787" s="39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35" t="s">
        <v>28</v>
      </c>
      <c r="B788" s="35" t="s">
        <v>37</v>
      </c>
      <c r="C788" s="35" t="s">
        <v>23</v>
      </c>
      <c r="D788" s="35" t="s">
        <v>41</v>
      </c>
      <c r="E788" s="35" t="s">
        <v>25</v>
      </c>
      <c r="F788" s="35" t="s">
        <v>25</v>
      </c>
      <c r="G788" s="35" t="s">
        <v>25</v>
      </c>
      <c r="H788" s="35" t="s">
        <v>25</v>
      </c>
      <c r="I788" s="55">
        <v>44531</v>
      </c>
      <c r="J788" s="56">
        <f>EFEITO!$J$788*EFEITO!$Y$788</f>
        <v>0</v>
      </c>
      <c r="K788" s="56">
        <f ca="1">EFEITO!$L$788*EFEITO!$Z$788</f>
        <v>65353.3902082364</v>
      </c>
      <c r="L788" s="56">
        <f>EFEITO!$N$788*EFEITO!$AA$788</f>
        <v>31726.367579478865</v>
      </c>
      <c r="M788" s="56">
        <f>$J$788-EFEITO!$K$788*EFEITO!$Y$788</f>
        <v>0</v>
      </c>
      <c r="N788" s="56">
        <f ca="1">$K$788-EFEITO!$M$788*EFEITO!$Z$788</f>
        <v>0</v>
      </c>
      <c r="O788" s="56">
        <f>$L$788-EFEITO!$O$788*EFEITO!$AA$788</f>
        <v>0</v>
      </c>
      <c r="P788" s="39"/>
      <c r="Q788" s="39"/>
      <c r="R788" s="39"/>
      <c r="S788" s="39"/>
      <c r="T788" s="39"/>
      <c r="U788" s="39"/>
      <c r="V788" s="39"/>
      <c r="W788" s="39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35" t="s">
        <v>21</v>
      </c>
      <c r="B789" s="35" t="s">
        <v>37</v>
      </c>
      <c r="C789" s="35" t="s">
        <v>23</v>
      </c>
      <c r="D789" s="35" t="s">
        <v>41</v>
      </c>
      <c r="E789" s="35" t="s">
        <v>25</v>
      </c>
      <c r="F789" s="35" t="s">
        <v>25</v>
      </c>
      <c r="G789" s="35" t="s">
        <v>25</v>
      </c>
      <c r="H789" s="35" t="s">
        <v>25</v>
      </c>
      <c r="I789" s="55">
        <v>44562</v>
      </c>
      <c r="J789" s="56">
        <f>EFEITO!$J$789*EFEITO!$Y$789</f>
        <v>0</v>
      </c>
      <c r="K789" s="56">
        <f ca="1">EFEITO!$L$789*EFEITO!$Z$789</f>
        <v>657940.4798390303</v>
      </c>
      <c r="L789" s="56">
        <f>EFEITO!$N$789*EFEITO!$AA$789</f>
        <v>319402.88701596763</v>
      </c>
      <c r="M789" s="56">
        <f>$J$789-EFEITO!$K$789*EFEITO!$Y$789</f>
        <v>0</v>
      </c>
      <c r="N789" s="56">
        <f ca="1">$K$789-EFEITO!$M$789*EFEITO!$Z$789</f>
        <v>0</v>
      </c>
      <c r="O789" s="56">
        <f>$L$789-EFEITO!$O$789*EFEITO!$AA$789</f>
        <v>0</v>
      </c>
      <c r="P789" s="39"/>
      <c r="Q789" s="39"/>
      <c r="R789" s="39"/>
      <c r="S789" s="39"/>
      <c r="T789" s="39"/>
      <c r="U789" s="39"/>
      <c r="V789" s="39"/>
      <c r="W789" s="39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35" t="s">
        <v>28</v>
      </c>
      <c r="B790" s="35" t="s">
        <v>37</v>
      </c>
      <c r="C790" s="35" t="s">
        <v>23</v>
      </c>
      <c r="D790" s="35" t="s">
        <v>41</v>
      </c>
      <c r="E790" s="35" t="s">
        <v>25</v>
      </c>
      <c r="F790" s="35" t="s">
        <v>25</v>
      </c>
      <c r="G790" s="35" t="s">
        <v>25</v>
      </c>
      <c r="H790" s="35" t="s">
        <v>25</v>
      </c>
      <c r="I790" s="55">
        <v>44562</v>
      </c>
      <c r="J790" s="56">
        <f>EFEITO!$J$790*EFEITO!$Y$790</f>
        <v>0</v>
      </c>
      <c r="K790" s="56">
        <f ca="1">EFEITO!$L$790*EFEITO!$Z$790</f>
        <v>69191.128477662089</v>
      </c>
      <c r="L790" s="56">
        <f>EFEITO!$N$790*EFEITO!$AA$790</f>
        <v>33589.430759853669</v>
      </c>
      <c r="M790" s="56">
        <f>$J$790-EFEITO!$K$790*EFEITO!$Y$790</f>
        <v>0</v>
      </c>
      <c r="N790" s="56">
        <f ca="1">$K$790-EFEITO!$M$790*EFEITO!$Z$790</f>
        <v>0</v>
      </c>
      <c r="O790" s="56">
        <f>$L$790-EFEITO!$O$790*EFEITO!$AA$790</f>
        <v>0</v>
      </c>
      <c r="P790" s="39"/>
      <c r="Q790" s="39"/>
      <c r="R790" s="39"/>
      <c r="S790" s="39"/>
      <c r="T790" s="39"/>
      <c r="U790" s="39"/>
      <c r="V790" s="39"/>
      <c r="W790" s="39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35" t="s">
        <v>21</v>
      </c>
      <c r="B791" s="35" t="s">
        <v>37</v>
      </c>
      <c r="C791" s="35" t="s">
        <v>23</v>
      </c>
      <c r="D791" s="35" t="s">
        <v>41</v>
      </c>
      <c r="E791" s="35" t="s">
        <v>25</v>
      </c>
      <c r="F791" s="35" t="s">
        <v>25</v>
      </c>
      <c r="G791" s="35" t="s">
        <v>25</v>
      </c>
      <c r="H791" s="35" t="s">
        <v>25</v>
      </c>
      <c r="I791" s="55">
        <v>44593</v>
      </c>
      <c r="J791" s="56">
        <f>EFEITO!$J$791*EFEITO!$Y$791</f>
        <v>0</v>
      </c>
      <c r="K791" s="56">
        <f ca="1">EFEITO!$L$791*EFEITO!$Z$791</f>
        <v>645409.62082942715</v>
      </c>
      <c r="L791" s="56">
        <f>EFEITO!$N$791*EFEITO!$AA$791</f>
        <v>313319.67331031983</v>
      </c>
      <c r="M791" s="56">
        <f>$J$791-EFEITO!$K$791*EFEITO!$Y$791</f>
        <v>0</v>
      </c>
      <c r="N791" s="56">
        <f ca="1">$K$791-EFEITO!$M$791*EFEITO!$Z$791</f>
        <v>0</v>
      </c>
      <c r="O791" s="56">
        <f>$L$791-EFEITO!$O$791*EFEITO!$AA$791</f>
        <v>0</v>
      </c>
      <c r="P791" s="39"/>
      <c r="Q791" s="39"/>
      <c r="R791" s="39"/>
      <c r="S791" s="39"/>
      <c r="T791" s="39"/>
      <c r="U791" s="39"/>
      <c r="V791" s="39"/>
      <c r="W791" s="39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35" t="s">
        <v>28</v>
      </c>
      <c r="B792" s="35" t="s">
        <v>37</v>
      </c>
      <c r="C792" s="35" t="s">
        <v>23</v>
      </c>
      <c r="D792" s="35" t="s">
        <v>41</v>
      </c>
      <c r="E792" s="35" t="s">
        <v>25</v>
      </c>
      <c r="F792" s="35" t="s">
        <v>25</v>
      </c>
      <c r="G792" s="35" t="s">
        <v>25</v>
      </c>
      <c r="H792" s="35" t="s">
        <v>25</v>
      </c>
      <c r="I792" s="55">
        <v>44593</v>
      </c>
      <c r="J792" s="56">
        <f>EFEITO!$J$792*EFEITO!$Y$792</f>
        <v>0</v>
      </c>
      <c r="K792" s="56">
        <f ca="1">EFEITO!$L$792*EFEITO!$Z$792</f>
        <v>56725.830629300166</v>
      </c>
      <c r="L792" s="56">
        <f>EFEITO!$N$792*EFEITO!$AA$792</f>
        <v>27538.044286027314</v>
      </c>
      <c r="M792" s="56">
        <f>$J$792-EFEITO!$K$792*EFEITO!$Y$792</f>
        <v>0</v>
      </c>
      <c r="N792" s="56">
        <f ca="1">$K$792-EFEITO!$M$792*EFEITO!$Z$792</f>
        <v>0</v>
      </c>
      <c r="O792" s="56">
        <f>$L$792-EFEITO!$O$792*EFEITO!$AA$792</f>
        <v>0</v>
      </c>
      <c r="P792" s="39"/>
      <c r="Q792" s="39"/>
      <c r="R792" s="39"/>
      <c r="S792" s="39"/>
      <c r="T792" s="39"/>
      <c r="U792" s="39"/>
      <c r="V792" s="39"/>
      <c r="W792" s="39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35" t="s">
        <v>21</v>
      </c>
      <c r="B793" s="35" t="s">
        <v>37</v>
      </c>
      <c r="C793" s="35" t="s">
        <v>23</v>
      </c>
      <c r="D793" s="35" t="s">
        <v>41</v>
      </c>
      <c r="E793" s="35" t="s">
        <v>25</v>
      </c>
      <c r="F793" s="35" t="s">
        <v>25</v>
      </c>
      <c r="G793" s="35" t="s">
        <v>25</v>
      </c>
      <c r="H793" s="35" t="s">
        <v>25</v>
      </c>
      <c r="I793" s="55">
        <v>44621</v>
      </c>
      <c r="J793" s="56">
        <f>EFEITO!$J$793*EFEITO!$Y$793</f>
        <v>0</v>
      </c>
      <c r="K793" s="56">
        <f ca="1">EFEITO!$L$793*EFEITO!$Z$793</f>
        <v>593481.80665479263</v>
      </c>
      <c r="L793" s="56">
        <f>EFEITO!$N$793*EFEITO!$AA$793</f>
        <v>288110.86754134693</v>
      </c>
      <c r="M793" s="56">
        <f>$J$793-EFEITO!$K$793*EFEITO!$Y$793</f>
        <v>0</v>
      </c>
      <c r="N793" s="56">
        <f ca="1">$K$793-EFEITO!$M$793*EFEITO!$Z$793</f>
        <v>0</v>
      </c>
      <c r="O793" s="56">
        <f>$L$793-EFEITO!$O$793*EFEITO!$AA$793</f>
        <v>0</v>
      </c>
      <c r="P793" s="39"/>
      <c r="Q793" s="39"/>
      <c r="R793" s="39"/>
      <c r="S793" s="39"/>
      <c r="T793" s="39"/>
      <c r="U793" s="39"/>
      <c r="V793" s="39"/>
      <c r="W793" s="39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35" t="s">
        <v>28</v>
      </c>
      <c r="B794" s="35" t="s">
        <v>37</v>
      </c>
      <c r="C794" s="35" t="s">
        <v>23</v>
      </c>
      <c r="D794" s="35" t="s">
        <v>41</v>
      </c>
      <c r="E794" s="35" t="s">
        <v>25</v>
      </c>
      <c r="F794" s="35" t="s">
        <v>25</v>
      </c>
      <c r="G794" s="35" t="s">
        <v>25</v>
      </c>
      <c r="H794" s="35" t="s">
        <v>25</v>
      </c>
      <c r="I794" s="55">
        <v>44621</v>
      </c>
      <c r="J794" s="56">
        <f>EFEITO!$J$794*EFEITO!$Y$794</f>
        <v>0</v>
      </c>
      <c r="K794" s="56">
        <f ca="1">EFEITO!$L$794*EFEITO!$Z$794</f>
        <v>55028.471447457705</v>
      </c>
      <c r="L794" s="56">
        <f>EFEITO!$N$794*EFEITO!$AA$794</f>
        <v>26714.046615119179</v>
      </c>
      <c r="M794" s="56">
        <f>$J$794-EFEITO!$K$794*EFEITO!$Y$794</f>
        <v>0</v>
      </c>
      <c r="N794" s="56">
        <f ca="1">$K$794-EFEITO!$M$794*EFEITO!$Z$794</f>
        <v>0</v>
      </c>
      <c r="O794" s="56">
        <f>$L$794-EFEITO!$O$794*EFEITO!$AA$794</f>
        <v>0</v>
      </c>
      <c r="P794" s="39"/>
      <c r="Q794" s="39"/>
      <c r="R794" s="39"/>
      <c r="S794" s="39"/>
      <c r="T794" s="39"/>
      <c r="U794" s="39"/>
      <c r="V794" s="39"/>
      <c r="W794" s="39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35" t="s">
        <v>21</v>
      </c>
      <c r="B795" s="35" t="s">
        <v>37</v>
      </c>
      <c r="C795" s="35" t="s">
        <v>23</v>
      </c>
      <c r="D795" s="35" t="s">
        <v>41</v>
      </c>
      <c r="E795" s="35" t="s">
        <v>25</v>
      </c>
      <c r="F795" s="35" t="s">
        <v>25</v>
      </c>
      <c r="G795" s="35" t="s">
        <v>25</v>
      </c>
      <c r="H795" s="35" t="s">
        <v>25</v>
      </c>
      <c r="I795" s="55">
        <v>44652</v>
      </c>
      <c r="J795" s="56">
        <f>EFEITO!$J$795*EFEITO!$Y$795</f>
        <v>0</v>
      </c>
      <c r="K795" s="56">
        <f ca="1">EFEITO!$L$795*EFEITO!$Z$795</f>
        <v>718018.12483679131</v>
      </c>
      <c r="L795" s="56">
        <f>EFEITO!$N$795*EFEITO!$AA$795</f>
        <v>348568.09852886922</v>
      </c>
      <c r="M795" s="56">
        <f>$J$795-EFEITO!$K$795*EFEITO!$Y$795</f>
        <v>0</v>
      </c>
      <c r="N795" s="56">
        <f ca="1">$K$795-EFEITO!$M$795*EFEITO!$Z$795</f>
        <v>0</v>
      </c>
      <c r="O795" s="56">
        <f>$L$795-EFEITO!$O$795*EFEITO!$AA$795</f>
        <v>0</v>
      </c>
      <c r="P795" s="39"/>
      <c r="Q795" s="39"/>
      <c r="R795" s="39"/>
      <c r="S795" s="39"/>
      <c r="T795" s="39"/>
      <c r="U795" s="39"/>
      <c r="V795" s="39"/>
      <c r="W795" s="39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35" t="s">
        <v>28</v>
      </c>
      <c r="B796" s="35" t="s">
        <v>37</v>
      </c>
      <c r="C796" s="35" t="s">
        <v>23</v>
      </c>
      <c r="D796" s="35" t="s">
        <v>41</v>
      </c>
      <c r="E796" s="35" t="s">
        <v>25</v>
      </c>
      <c r="F796" s="35" t="s">
        <v>25</v>
      </c>
      <c r="G796" s="35" t="s">
        <v>25</v>
      </c>
      <c r="H796" s="35" t="s">
        <v>25</v>
      </c>
      <c r="I796" s="55">
        <v>44652</v>
      </c>
      <c r="J796" s="56">
        <f>EFEITO!$J$796*EFEITO!$Y$796</f>
        <v>0</v>
      </c>
      <c r="K796" s="56">
        <f ca="1">EFEITO!$L$796*EFEITO!$Z$796</f>
        <v>60926.565622363269</v>
      </c>
      <c r="L796" s="56">
        <f>EFEITO!$N$796*EFEITO!$AA$796</f>
        <v>29577.327360237341</v>
      </c>
      <c r="M796" s="56">
        <f>$J$796-EFEITO!$K$796*EFEITO!$Y$796</f>
        <v>0</v>
      </c>
      <c r="N796" s="56">
        <f ca="1">$K$796-EFEITO!$M$796*EFEITO!$Z$796</f>
        <v>0</v>
      </c>
      <c r="O796" s="56">
        <f>$L$796-EFEITO!$O$796*EFEITO!$AA$796</f>
        <v>0</v>
      </c>
      <c r="P796" s="39"/>
      <c r="Q796" s="39"/>
      <c r="R796" s="39"/>
      <c r="S796" s="39"/>
      <c r="T796" s="39"/>
      <c r="U796" s="39"/>
      <c r="V796" s="39"/>
      <c r="W796" s="39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35" t="s">
        <v>21</v>
      </c>
      <c r="B797" s="35" t="s">
        <v>37</v>
      </c>
      <c r="C797" s="35" t="s">
        <v>23</v>
      </c>
      <c r="D797" s="35" t="s">
        <v>41</v>
      </c>
      <c r="E797" s="35" t="s">
        <v>25</v>
      </c>
      <c r="F797" s="35" t="s">
        <v>25</v>
      </c>
      <c r="G797" s="35" t="s">
        <v>25</v>
      </c>
      <c r="H797" s="35" t="s">
        <v>25</v>
      </c>
      <c r="I797" s="55">
        <v>44682</v>
      </c>
      <c r="J797" s="56">
        <f>EFEITO!$J$797*EFEITO!$Y$797</f>
        <v>0</v>
      </c>
      <c r="K797" s="56">
        <f ca="1">EFEITO!$L$797*EFEITO!$Z$797</f>
        <v>670267.4243544786</v>
      </c>
      <c r="L797" s="56">
        <f>EFEITO!$N$797*EFEITO!$AA$797</f>
        <v>325387.1086697001</v>
      </c>
      <c r="M797" s="56">
        <f>$J$797-EFEITO!$K$797*EFEITO!$Y$797</f>
        <v>0</v>
      </c>
      <c r="N797" s="56">
        <f ca="1">$K$797-EFEITO!$M$797*EFEITO!$Z$797</f>
        <v>0</v>
      </c>
      <c r="O797" s="56">
        <f>$L$797-EFEITO!$O$797*EFEITO!$AA$797</f>
        <v>0</v>
      </c>
      <c r="P797" s="39"/>
      <c r="Q797" s="39"/>
      <c r="R797" s="39"/>
      <c r="S797" s="39"/>
      <c r="T797" s="39"/>
      <c r="U797" s="39"/>
      <c r="V797" s="39"/>
      <c r="W797" s="39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35" t="s">
        <v>28</v>
      </c>
      <c r="B798" s="35" t="s">
        <v>37</v>
      </c>
      <c r="C798" s="35" t="s">
        <v>23</v>
      </c>
      <c r="D798" s="35" t="s">
        <v>41</v>
      </c>
      <c r="E798" s="35" t="s">
        <v>25</v>
      </c>
      <c r="F798" s="35" t="s">
        <v>25</v>
      </c>
      <c r="G798" s="35" t="s">
        <v>25</v>
      </c>
      <c r="H798" s="35" t="s">
        <v>25</v>
      </c>
      <c r="I798" s="55">
        <v>44682</v>
      </c>
      <c r="J798" s="56">
        <f>EFEITO!$J$798*EFEITO!$Y$798</f>
        <v>0</v>
      </c>
      <c r="K798" s="56">
        <f ca="1">EFEITO!$L$798*EFEITO!$Z$798</f>
        <v>69835.170473385326</v>
      </c>
      <c r="L798" s="56">
        <f>EFEITO!$N$798*EFEITO!$AA$798</f>
        <v>33902.086507747241</v>
      </c>
      <c r="M798" s="56">
        <f>$J$798-EFEITO!$K$798*EFEITO!$Y$798</f>
        <v>0</v>
      </c>
      <c r="N798" s="56">
        <f ca="1">$K$798-EFEITO!$M$798*EFEITO!$Z$798</f>
        <v>0</v>
      </c>
      <c r="O798" s="56">
        <f>$L$798-EFEITO!$O$798*EFEITO!$AA$798</f>
        <v>0</v>
      </c>
      <c r="P798" s="39"/>
      <c r="Q798" s="39"/>
      <c r="R798" s="39"/>
      <c r="S798" s="39"/>
      <c r="T798" s="39"/>
      <c r="U798" s="39"/>
      <c r="V798" s="39"/>
      <c r="W798" s="39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35" t="s">
        <v>21</v>
      </c>
      <c r="B799" s="35" t="s">
        <v>37</v>
      </c>
      <c r="C799" s="35" t="s">
        <v>23</v>
      </c>
      <c r="D799" s="35" t="s">
        <v>41</v>
      </c>
      <c r="E799" s="35" t="s">
        <v>25</v>
      </c>
      <c r="F799" s="35" t="s">
        <v>25</v>
      </c>
      <c r="G799" s="35" t="s">
        <v>25</v>
      </c>
      <c r="H799" s="35" t="s">
        <v>25</v>
      </c>
      <c r="I799" s="55">
        <v>44713</v>
      </c>
      <c r="J799" s="56">
        <f>EFEITO!$J$799*EFEITO!$Y$799</f>
        <v>0</v>
      </c>
      <c r="K799" s="56">
        <f ca="1">EFEITO!$L$799*EFEITO!$Z$799</f>
        <v>574414.59628290555</v>
      </c>
      <c r="L799" s="56">
        <f>EFEITO!$N$799*EFEITO!$AA$799</f>
        <v>278854.52562784811</v>
      </c>
      <c r="M799" s="56">
        <f>$J$799-EFEITO!$K$799*EFEITO!$Y$799</f>
        <v>0</v>
      </c>
      <c r="N799" s="56">
        <f ca="1">$K$799-EFEITO!$M$799*EFEITO!$Z$799</f>
        <v>0</v>
      </c>
      <c r="O799" s="56">
        <f>$L$799-EFEITO!$O$799*EFEITO!$AA$799</f>
        <v>0</v>
      </c>
      <c r="P799" s="39"/>
      <c r="Q799" s="39"/>
      <c r="R799" s="39"/>
      <c r="S799" s="39"/>
      <c r="T799" s="39"/>
      <c r="U799" s="39"/>
      <c r="V799" s="39"/>
      <c r="W799" s="39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35" t="s">
        <v>28</v>
      </c>
      <c r="B800" s="35" t="s">
        <v>37</v>
      </c>
      <c r="C800" s="35" t="s">
        <v>23</v>
      </c>
      <c r="D800" s="35" t="s">
        <v>41</v>
      </c>
      <c r="E800" s="35" t="s">
        <v>25</v>
      </c>
      <c r="F800" s="35" t="s">
        <v>25</v>
      </c>
      <c r="G800" s="35" t="s">
        <v>25</v>
      </c>
      <c r="H800" s="35" t="s">
        <v>25</v>
      </c>
      <c r="I800" s="55">
        <v>44713</v>
      </c>
      <c r="J800" s="56">
        <f>EFEITO!$J$800*EFEITO!$Y$800</f>
        <v>0</v>
      </c>
      <c r="K800" s="56">
        <f ca="1">EFEITO!$L$800*EFEITO!$Z$800</f>
        <v>59594.131433606512</v>
      </c>
      <c r="L800" s="56">
        <f>EFEITO!$N$800*EFEITO!$AA$800</f>
        <v>28930.485678218003</v>
      </c>
      <c r="M800" s="56">
        <f>$J$800-EFEITO!$K$800*EFEITO!$Y$800</f>
        <v>0</v>
      </c>
      <c r="N800" s="56">
        <f ca="1">$K$800-EFEITO!$M$800*EFEITO!$Z$800</f>
        <v>0</v>
      </c>
      <c r="O800" s="56">
        <f>$L$800-EFEITO!$O$800*EFEITO!$AA$800</f>
        <v>0</v>
      </c>
      <c r="P800" s="39"/>
      <c r="Q800" s="39"/>
      <c r="R800" s="39"/>
      <c r="S800" s="39"/>
      <c r="T800" s="39"/>
      <c r="U800" s="39"/>
      <c r="V800" s="39"/>
      <c r="W800" s="39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35" t="s">
        <v>21</v>
      </c>
      <c r="B801" s="35" t="s">
        <v>37</v>
      </c>
      <c r="C801" s="35" t="s">
        <v>23</v>
      </c>
      <c r="D801" s="35" t="s">
        <v>41</v>
      </c>
      <c r="E801" s="35" t="s">
        <v>25</v>
      </c>
      <c r="F801" s="35" t="s">
        <v>25</v>
      </c>
      <c r="G801" s="35" t="s">
        <v>25</v>
      </c>
      <c r="H801" s="35" t="s">
        <v>25</v>
      </c>
      <c r="I801" s="55">
        <v>44743</v>
      </c>
      <c r="J801" s="56">
        <f>EFEITO!$J$801*EFEITO!$Y$801</f>
        <v>0</v>
      </c>
      <c r="K801" s="56">
        <f ca="1">EFEITO!$L$801*EFEITO!$Z$801</f>
        <v>587209.62820692209</v>
      </c>
      <c r="L801" s="56">
        <f>EFEITO!$N$801*EFEITO!$AA$801</f>
        <v>285065.98435583548</v>
      </c>
      <c r="M801" s="56">
        <f>$J$801-EFEITO!$K$801*EFEITO!$Y$801</f>
        <v>0</v>
      </c>
      <c r="N801" s="56">
        <f ca="1">$K$801-EFEITO!$M$801*EFEITO!$Z$801</f>
        <v>0</v>
      </c>
      <c r="O801" s="56">
        <f>$L$801-EFEITO!$O$801*EFEITO!$AA$801</f>
        <v>0</v>
      </c>
      <c r="P801" s="39"/>
      <c r="Q801" s="39"/>
      <c r="R801" s="39"/>
      <c r="S801" s="39"/>
      <c r="T801" s="39"/>
      <c r="U801" s="39"/>
      <c r="V801" s="39"/>
      <c r="W801" s="39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35" t="s">
        <v>28</v>
      </c>
      <c r="B802" s="35" t="s">
        <v>37</v>
      </c>
      <c r="C802" s="35" t="s">
        <v>23</v>
      </c>
      <c r="D802" s="35" t="s">
        <v>41</v>
      </c>
      <c r="E802" s="35" t="s">
        <v>25</v>
      </c>
      <c r="F802" s="35" t="s">
        <v>25</v>
      </c>
      <c r="G802" s="35" t="s">
        <v>25</v>
      </c>
      <c r="H802" s="35" t="s">
        <v>25</v>
      </c>
      <c r="I802" s="55">
        <v>44743</v>
      </c>
      <c r="J802" s="56">
        <f>EFEITO!$J$802*EFEITO!$Y$802</f>
        <v>0</v>
      </c>
      <c r="K802" s="56">
        <f ca="1">EFEITO!$L$802*EFEITO!$Z$802</f>
        <v>64518.931604496189</v>
      </c>
      <c r="L802" s="56">
        <f>EFEITO!$N$802*EFEITO!$AA$802</f>
        <v>31321.272445044902</v>
      </c>
      <c r="M802" s="56">
        <f>$J$802-EFEITO!$K$802*EFEITO!$Y$802</f>
        <v>0</v>
      </c>
      <c r="N802" s="56">
        <f ca="1">$K$802-EFEITO!$M$802*EFEITO!$Z$802</f>
        <v>0</v>
      </c>
      <c r="O802" s="56">
        <f>$L$802-EFEITO!$O$802*EFEITO!$AA$802</f>
        <v>0</v>
      </c>
      <c r="P802" s="39"/>
      <c r="Q802" s="39"/>
      <c r="R802" s="39"/>
      <c r="S802" s="39"/>
      <c r="T802" s="39"/>
      <c r="U802" s="39"/>
      <c r="V802" s="39"/>
      <c r="W802" s="39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35" t="s">
        <v>21</v>
      </c>
      <c r="B803" s="35" t="s">
        <v>37</v>
      </c>
      <c r="C803" s="35" t="s">
        <v>23</v>
      </c>
      <c r="D803" s="35" t="s">
        <v>41</v>
      </c>
      <c r="E803" s="35" t="s">
        <v>25</v>
      </c>
      <c r="F803" s="35" t="s">
        <v>25</v>
      </c>
      <c r="G803" s="35" t="s">
        <v>25</v>
      </c>
      <c r="H803" s="35" t="s">
        <v>25</v>
      </c>
      <c r="I803" s="55">
        <v>44774</v>
      </c>
      <c r="J803" s="56">
        <f>EFEITO!$J$803*EFEITO!$Y$803</f>
        <v>0</v>
      </c>
      <c r="K803" s="56">
        <f ca="1">EFEITO!$L$803*EFEITO!$Z$803</f>
        <v>547189.84201009863</v>
      </c>
      <c r="L803" s="56">
        <f>EFEITO!$N$803*EFEITO!$AA$803</f>
        <v>265638.03359020618</v>
      </c>
      <c r="M803" s="56">
        <f>$J$803-EFEITO!$K$803*EFEITO!$Y$803</f>
        <v>0</v>
      </c>
      <c r="N803" s="56">
        <f ca="1">$K$803-EFEITO!$M$803*EFEITO!$Z$803</f>
        <v>0</v>
      </c>
      <c r="O803" s="56">
        <f>$L$803-EFEITO!$O$803*EFEITO!$AA$803</f>
        <v>0</v>
      </c>
      <c r="P803" s="39"/>
      <c r="Q803" s="39"/>
      <c r="R803" s="39"/>
      <c r="S803" s="39"/>
      <c r="T803" s="39"/>
      <c r="U803" s="39"/>
      <c r="V803" s="39"/>
      <c r="W803" s="39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35" t="s">
        <v>28</v>
      </c>
      <c r="B804" s="35" t="s">
        <v>37</v>
      </c>
      <c r="C804" s="35" t="s">
        <v>23</v>
      </c>
      <c r="D804" s="35" t="s">
        <v>41</v>
      </c>
      <c r="E804" s="35" t="s">
        <v>25</v>
      </c>
      <c r="F804" s="35" t="s">
        <v>25</v>
      </c>
      <c r="G804" s="35" t="s">
        <v>25</v>
      </c>
      <c r="H804" s="35" t="s">
        <v>25</v>
      </c>
      <c r="I804" s="55">
        <v>44774</v>
      </c>
      <c r="J804" s="56">
        <f>EFEITO!$J$804*EFEITO!$Y$804</f>
        <v>0</v>
      </c>
      <c r="K804" s="56">
        <f ca="1">EFEITO!$L$804*EFEITO!$Z$804</f>
        <v>56044.66944669767</v>
      </c>
      <c r="L804" s="56">
        <f>EFEITO!$N$804*EFEITO!$AA$804</f>
        <v>27207.368708352453</v>
      </c>
      <c r="M804" s="56">
        <f>$J$804-EFEITO!$K$804*EFEITO!$Y$804</f>
        <v>0</v>
      </c>
      <c r="N804" s="56">
        <f ca="1">$K$804-EFEITO!$M$804*EFEITO!$Z$804</f>
        <v>0</v>
      </c>
      <c r="O804" s="56">
        <f>$L$804-EFEITO!$O$804*EFEITO!$AA$804</f>
        <v>0</v>
      </c>
      <c r="P804" s="39"/>
      <c r="Q804" s="39"/>
      <c r="R804" s="39"/>
      <c r="S804" s="39"/>
      <c r="T804" s="39"/>
      <c r="U804" s="39"/>
      <c r="V804" s="39"/>
      <c r="W804" s="39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35" t="s">
        <v>21</v>
      </c>
      <c r="B805" s="35" t="s">
        <v>37</v>
      </c>
      <c r="C805" s="35" t="s">
        <v>23</v>
      </c>
      <c r="D805" s="35" t="s">
        <v>41</v>
      </c>
      <c r="E805" s="35" t="s">
        <v>25</v>
      </c>
      <c r="F805" s="35" t="s">
        <v>25</v>
      </c>
      <c r="G805" s="35" t="s">
        <v>25</v>
      </c>
      <c r="H805" s="35" t="s">
        <v>25</v>
      </c>
      <c r="I805" s="55">
        <v>44805</v>
      </c>
      <c r="J805" s="56">
        <f>EFEITO!$J$805*EFEITO!$Y$805</f>
        <v>0</v>
      </c>
      <c r="K805" s="56">
        <f ca="1">EFEITO!$L$805*EFEITO!$Z$805</f>
        <v>653147.28405798529</v>
      </c>
      <c r="L805" s="56">
        <f>EFEITO!$N$805*EFEITO!$AA$805</f>
        <v>317075.98873654712</v>
      </c>
      <c r="M805" s="56">
        <f>$J$805-EFEITO!$K$805*EFEITO!$Y$805</f>
        <v>0</v>
      </c>
      <c r="N805" s="56">
        <f ca="1">$K$805-EFEITO!$M$805*EFEITO!$Z$805</f>
        <v>0</v>
      </c>
      <c r="O805" s="56">
        <f>$L$805-EFEITO!$O$805*EFEITO!$AA$805</f>
        <v>0</v>
      </c>
      <c r="P805" s="39"/>
      <c r="Q805" s="39"/>
      <c r="R805" s="39"/>
      <c r="S805" s="39"/>
      <c r="T805" s="39"/>
      <c r="U805" s="39"/>
      <c r="V805" s="39"/>
      <c r="W805" s="39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35" t="s">
        <v>28</v>
      </c>
      <c r="B806" s="35" t="s">
        <v>37</v>
      </c>
      <c r="C806" s="35" t="s">
        <v>23</v>
      </c>
      <c r="D806" s="35" t="s">
        <v>41</v>
      </c>
      <c r="E806" s="35" t="s">
        <v>25</v>
      </c>
      <c r="F806" s="35" t="s">
        <v>25</v>
      </c>
      <c r="G806" s="35" t="s">
        <v>25</v>
      </c>
      <c r="H806" s="35" t="s">
        <v>25</v>
      </c>
      <c r="I806" s="55">
        <v>44805</v>
      </c>
      <c r="J806" s="56">
        <f>EFEITO!$J$806*EFEITO!$Y$806</f>
        <v>0</v>
      </c>
      <c r="K806" s="56">
        <f ca="1">EFEITO!$L$806*EFEITO!$Z$806</f>
        <v>63011.989030670702</v>
      </c>
      <c r="L806" s="56">
        <f>EFEITO!$N$806*EFEITO!$AA$806</f>
        <v>30589.714160677155</v>
      </c>
      <c r="M806" s="56">
        <f>$J$806-EFEITO!$K$806*EFEITO!$Y$806</f>
        <v>0</v>
      </c>
      <c r="N806" s="56">
        <f ca="1">$K$806-EFEITO!$M$806*EFEITO!$Z$806</f>
        <v>0</v>
      </c>
      <c r="O806" s="56">
        <f>$L$806-EFEITO!$O$806*EFEITO!$AA$806</f>
        <v>0</v>
      </c>
      <c r="P806" s="39"/>
      <c r="Q806" s="39"/>
      <c r="R806" s="39"/>
      <c r="S806" s="39"/>
      <c r="T806" s="39"/>
      <c r="U806" s="39"/>
      <c r="V806" s="39"/>
      <c r="W806" s="39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35" t="s">
        <v>57</v>
      </c>
      <c r="B807" s="35" t="s">
        <v>37</v>
      </c>
      <c r="C807" s="35" t="s">
        <v>23</v>
      </c>
      <c r="D807" s="35" t="s">
        <v>41</v>
      </c>
      <c r="E807" s="35" t="s">
        <v>25</v>
      </c>
      <c r="F807" s="35" t="s">
        <v>25</v>
      </c>
      <c r="G807" s="35" t="s">
        <v>25</v>
      </c>
      <c r="H807" s="35" t="s">
        <v>25</v>
      </c>
      <c r="I807" s="55">
        <v>44835</v>
      </c>
      <c r="J807" s="56">
        <f>EFEITO!$J$807*EFEITO!$Y$807</f>
        <v>0</v>
      </c>
      <c r="K807" s="56">
        <f ca="1">EFEITO!$L$807*EFEITO!$Z$807</f>
        <v>653147.28405798529</v>
      </c>
      <c r="L807" s="56">
        <f>EFEITO!$N$807*EFEITO!$AA$807</f>
        <v>317075.98873654712</v>
      </c>
      <c r="M807" s="56">
        <f>$J$807-EFEITO!$K$807*EFEITO!$Y$807</f>
        <v>0</v>
      </c>
      <c r="N807" s="56">
        <f ca="1">$K$807-EFEITO!$M$807*EFEITO!$Z$807</f>
        <v>0</v>
      </c>
      <c r="O807" s="56">
        <f>$L$807-EFEITO!$O$807*EFEITO!$AA$807</f>
        <v>0</v>
      </c>
      <c r="P807" s="39"/>
      <c r="Q807" s="39"/>
      <c r="R807" s="39"/>
      <c r="S807" s="39"/>
      <c r="T807" s="39"/>
      <c r="U807" s="39"/>
      <c r="V807" s="39"/>
      <c r="W807" s="39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35" t="s">
        <v>57</v>
      </c>
      <c r="B808" s="35" t="s">
        <v>37</v>
      </c>
      <c r="C808" s="35" t="s">
        <v>23</v>
      </c>
      <c r="D808" s="35" t="s">
        <v>41</v>
      </c>
      <c r="E808" s="35" t="s">
        <v>25</v>
      </c>
      <c r="F808" s="35" t="s">
        <v>25</v>
      </c>
      <c r="G808" s="35" t="s">
        <v>25</v>
      </c>
      <c r="H808" s="35" t="s">
        <v>25</v>
      </c>
      <c r="I808" s="55">
        <v>44835</v>
      </c>
      <c r="J808" s="56">
        <f>EFEITO!$J$808*EFEITO!$Y$808</f>
        <v>0</v>
      </c>
      <c r="K808" s="56">
        <f ca="1">EFEITO!$L$808*EFEITO!$Z$808</f>
        <v>63011.989030670702</v>
      </c>
      <c r="L808" s="56">
        <f>EFEITO!$N$808*EFEITO!$AA$808</f>
        <v>30589.714160677155</v>
      </c>
      <c r="M808" s="56">
        <f>$J$808-EFEITO!$K$808*EFEITO!$Y$808</f>
        <v>0</v>
      </c>
      <c r="N808" s="56">
        <f ca="1">$K$808-EFEITO!$M$808*EFEITO!$Z$808</f>
        <v>0</v>
      </c>
      <c r="O808" s="56">
        <f>$L$808-EFEITO!$O$808*EFEITO!$AA$808</f>
        <v>0</v>
      </c>
      <c r="P808" s="39"/>
      <c r="Q808" s="39"/>
      <c r="R808" s="39"/>
      <c r="S808" s="39"/>
      <c r="T808" s="39"/>
      <c r="U808" s="39"/>
      <c r="V808" s="39"/>
      <c r="W808" s="39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35" t="s">
        <v>21</v>
      </c>
      <c r="B809" s="35" t="s">
        <v>37</v>
      </c>
      <c r="C809" s="35" t="s">
        <v>23</v>
      </c>
      <c r="D809" s="35" t="s">
        <v>52</v>
      </c>
      <c r="E809" s="35" t="s">
        <v>25</v>
      </c>
      <c r="F809" s="35" t="s">
        <v>25</v>
      </c>
      <c r="G809" s="35" t="s">
        <v>25</v>
      </c>
      <c r="H809" s="35" t="s">
        <v>25</v>
      </c>
      <c r="I809" s="55">
        <v>44501</v>
      </c>
      <c r="J809" s="56">
        <f>EFEITO!$J$809*EFEITO!$Y$809</f>
        <v>0</v>
      </c>
      <c r="K809" s="56">
        <f ca="1">EFEITO!$L$809*EFEITO!$Z$809</f>
        <v>7569.9037865584041</v>
      </c>
      <c r="L809" s="56">
        <f>EFEITO!$N$809*EFEITO!$AA$809</f>
        <v>3674.8751565664465</v>
      </c>
      <c r="M809" s="56">
        <f>$J$809-EFEITO!$K$809*EFEITO!$Y$809</f>
        <v>0</v>
      </c>
      <c r="N809" s="56">
        <f ca="1">$K$809-EFEITO!$M$809*EFEITO!$Z$809</f>
        <v>0</v>
      </c>
      <c r="O809" s="56">
        <f>$L$809-EFEITO!$O$809*EFEITO!$AA$809</f>
        <v>0</v>
      </c>
      <c r="P809" s="39"/>
      <c r="Q809" s="39"/>
      <c r="R809" s="39"/>
      <c r="S809" s="39"/>
      <c r="T809" s="39"/>
      <c r="U809" s="39"/>
      <c r="V809" s="39"/>
      <c r="W809" s="39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35" t="s">
        <v>21</v>
      </c>
      <c r="B810" s="35" t="s">
        <v>37</v>
      </c>
      <c r="C810" s="35" t="s">
        <v>23</v>
      </c>
      <c r="D810" s="35" t="s">
        <v>52</v>
      </c>
      <c r="E810" s="35" t="s">
        <v>25</v>
      </c>
      <c r="F810" s="35" t="s">
        <v>25</v>
      </c>
      <c r="G810" s="35" t="s">
        <v>25</v>
      </c>
      <c r="H810" s="35" t="s">
        <v>25</v>
      </c>
      <c r="I810" s="55">
        <v>44531</v>
      </c>
      <c r="J810" s="56">
        <f>EFEITO!$J$810*EFEITO!$Y$810</f>
        <v>0</v>
      </c>
      <c r="K810" s="56">
        <f ca="1">EFEITO!$L$810*EFEITO!$Z$810</f>
        <v>7477.8289204033599</v>
      </c>
      <c r="L810" s="56">
        <f>EFEITO!$N$810*EFEITO!$AA$810</f>
        <v>3630.176617758309</v>
      </c>
      <c r="M810" s="56">
        <f>$J$810-EFEITO!$K$810*EFEITO!$Y$810</f>
        <v>0</v>
      </c>
      <c r="N810" s="56">
        <f ca="1">$K$810-EFEITO!$M$810*EFEITO!$Z$810</f>
        <v>0</v>
      </c>
      <c r="O810" s="56">
        <f>$L$810-EFEITO!$O$810*EFEITO!$AA$810</f>
        <v>0</v>
      </c>
      <c r="P810" s="39"/>
      <c r="Q810" s="39"/>
      <c r="R810" s="39"/>
      <c r="S810" s="39"/>
      <c r="T810" s="39"/>
      <c r="U810" s="39"/>
      <c r="V810" s="39"/>
      <c r="W810" s="39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35" t="s">
        <v>21</v>
      </c>
      <c r="B811" s="35" t="s">
        <v>37</v>
      </c>
      <c r="C811" s="35" t="s">
        <v>23</v>
      </c>
      <c r="D811" s="35" t="s">
        <v>52</v>
      </c>
      <c r="E811" s="35" t="s">
        <v>25</v>
      </c>
      <c r="F811" s="35" t="s">
        <v>25</v>
      </c>
      <c r="G811" s="35" t="s">
        <v>25</v>
      </c>
      <c r="H811" s="35" t="s">
        <v>25</v>
      </c>
      <c r="I811" s="55">
        <v>44562</v>
      </c>
      <c r="J811" s="56">
        <f>EFEITO!$J$811*EFEITO!$Y$811</f>
        <v>0</v>
      </c>
      <c r="K811" s="56">
        <f ca="1">EFEITO!$L$811*EFEITO!$Z$811</f>
        <v>6701.2184001113401</v>
      </c>
      <c r="L811" s="56">
        <f>EFEITO!$N$811*EFEITO!$AA$811</f>
        <v>3253.1643349315532</v>
      </c>
      <c r="M811" s="56">
        <f>$J$811-EFEITO!$K$811*EFEITO!$Y$811</f>
        <v>0</v>
      </c>
      <c r="N811" s="56">
        <f ca="1">$K$811-EFEITO!$M$811*EFEITO!$Z$811</f>
        <v>0</v>
      </c>
      <c r="O811" s="56">
        <f>$L$811-EFEITO!$O$811*EFEITO!$AA$811</f>
        <v>0</v>
      </c>
      <c r="P811" s="39"/>
      <c r="Q811" s="39"/>
      <c r="R811" s="39"/>
      <c r="S811" s="39"/>
      <c r="T811" s="39"/>
      <c r="U811" s="39"/>
      <c r="V811" s="39"/>
      <c r="W811" s="39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35" t="s">
        <v>21</v>
      </c>
      <c r="B812" s="35" t="s">
        <v>37</v>
      </c>
      <c r="C812" s="35" t="s">
        <v>23</v>
      </c>
      <c r="D812" s="35" t="s">
        <v>52</v>
      </c>
      <c r="E812" s="35" t="s">
        <v>25</v>
      </c>
      <c r="F812" s="35" t="s">
        <v>25</v>
      </c>
      <c r="G812" s="35" t="s">
        <v>25</v>
      </c>
      <c r="H812" s="35" t="s">
        <v>25</v>
      </c>
      <c r="I812" s="55">
        <v>44593</v>
      </c>
      <c r="J812" s="56">
        <f>EFEITO!$J$812*EFEITO!$Y$812</f>
        <v>0</v>
      </c>
      <c r="K812" s="56">
        <f ca="1">EFEITO!$L$812*EFEITO!$Z$812</f>
        <v>7389.128525782794</v>
      </c>
      <c r="L812" s="56">
        <f>EFEITO!$N$812*EFEITO!$AA$812</f>
        <v>3587.1162452939243</v>
      </c>
      <c r="M812" s="56">
        <f>$J$812-EFEITO!$K$812*EFEITO!$Y$812</f>
        <v>0</v>
      </c>
      <c r="N812" s="56">
        <f ca="1">$K$812-EFEITO!$M$812*EFEITO!$Z$812</f>
        <v>0</v>
      </c>
      <c r="O812" s="56">
        <f>$L$812-EFEITO!$O$812*EFEITO!$AA$812</f>
        <v>0</v>
      </c>
      <c r="P812" s="39"/>
      <c r="Q812" s="39"/>
      <c r="R812" s="39"/>
      <c r="S812" s="39"/>
      <c r="T812" s="39"/>
      <c r="U812" s="39"/>
      <c r="V812" s="39"/>
      <c r="W812" s="39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35" t="s">
        <v>21</v>
      </c>
      <c r="B813" s="35" t="s">
        <v>37</v>
      </c>
      <c r="C813" s="35" t="s">
        <v>23</v>
      </c>
      <c r="D813" s="35" t="s">
        <v>52</v>
      </c>
      <c r="E813" s="35" t="s">
        <v>25</v>
      </c>
      <c r="F813" s="35" t="s">
        <v>25</v>
      </c>
      <c r="G813" s="35" t="s">
        <v>25</v>
      </c>
      <c r="H813" s="35" t="s">
        <v>25</v>
      </c>
      <c r="I813" s="55">
        <v>44621</v>
      </c>
      <c r="J813" s="56">
        <f>EFEITO!$J$813*EFEITO!$Y$813</f>
        <v>0</v>
      </c>
      <c r="K813" s="56">
        <f ca="1">EFEITO!$L$813*EFEITO!$Z$813</f>
        <v>6843.9103392835541</v>
      </c>
      <c r="L813" s="56">
        <f>EFEITO!$N$813*EFEITO!$AA$813</f>
        <v>3322.4353688959973</v>
      </c>
      <c r="M813" s="56">
        <f>$J$813-EFEITO!$K$813*EFEITO!$Y$813</f>
        <v>0</v>
      </c>
      <c r="N813" s="56">
        <f ca="1">$K$813-EFEITO!$M$813*EFEITO!$Z$813</f>
        <v>0</v>
      </c>
      <c r="O813" s="56">
        <f>$L$813-EFEITO!$O$813*EFEITO!$AA$813</f>
        <v>0</v>
      </c>
      <c r="P813" s="39"/>
      <c r="Q813" s="39"/>
      <c r="R813" s="39"/>
      <c r="S813" s="39"/>
      <c r="T813" s="39"/>
      <c r="U813" s="39"/>
      <c r="V813" s="39"/>
      <c r="W813" s="39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35" t="s">
        <v>21</v>
      </c>
      <c r="B814" s="35" t="s">
        <v>37</v>
      </c>
      <c r="C814" s="35" t="s">
        <v>23</v>
      </c>
      <c r="D814" s="35" t="s">
        <v>52</v>
      </c>
      <c r="E814" s="35" t="s">
        <v>25</v>
      </c>
      <c r="F814" s="35" t="s">
        <v>25</v>
      </c>
      <c r="G814" s="35" t="s">
        <v>25</v>
      </c>
      <c r="H814" s="35" t="s">
        <v>25</v>
      </c>
      <c r="I814" s="55">
        <v>44652</v>
      </c>
      <c r="J814" s="56">
        <f>EFEITO!$J$814*EFEITO!$Y$814</f>
        <v>0</v>
      </c>
      <c r="K814" s="56">
        <f ca="1">EFEITO!$L$814*EFEITO!$Z$814</f>
        <v>8338.3191616952627</v>
      </c>
      <c r="L814" s="56">
        <f>EFEITO!$N$814*EFEITO!$AA$814</f>
        <v>4047.9090354155151</v>
      </c>
      <c r="M814" s="56">
        <f>$J$814-EFEITO!$K$814*EFEITO!$Y$814</f>
        <v>0</v>
      </c>
      <c r="N814" s="56">
        <f ca="1">$K$814-EFEITO!$M$814*EFEITO!$Z$814</f>
        <v>0</v>
      </c>
      <c r="O814" s="56">
        <f>$L$814-EFEITO!$O$814*EFEITO!$AA$814</f>
        <v>0</v>
      </c>
      <c r="P814" s="39"/>
      <c r="Q814" s="39"/>
      <c r="R814" s="39"/>
      <c r="S814" s="39"/>
      <c r="T814" s="39"/>
      <c r="U814" s="39"/>
      <c r="V814" s="39"/>
      <c r="W814" s="39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35" t="s">
        <v>21</v>
      </c>
      <c r="B815" s="35" t="s">
        <v>37</v>
      </c>
      <c r="C815" s="35" t="s">
        <v>23</v>
      </c>
      <c r="D815" s="35" t="s">
        <v>52</v>
      </c>
      <c r="E815" s="35" t="s">
        <v>25</v>
      </c>
      <c r="F815" s="35" t="s">
        <v>25</v>
      </c>
      <c r="G815" s="35" t="s">
        <v>25</v>
      </c>
      <c r="H815" s="35" t="s">
        <v>25</v>
      </c>
      <c r="I815" s="55">
        <v>44682</v>
      </c>
      <c r="J815" s="56">
        <f>EFEITO!$J$815*EFEITO!$Y$815</f>
        <v>0</v>
      </c>
      <c r="K815" s="56">
        <f ca="1">EFEITO!$L$815*EFEITO!$Z$815</f>
        <v>7658.6041811789701</v>
      </c>
      <c r="L815" s="56">
        <f>EFEITO!$N$815*EFEITO!$AA$815</f>
        <v>3717.9355290308313</v>
      </c>
      <c r="M815" s="56">
        <f>$J$815-EFEITO!$K$815*EFEITO!$Y$815</f>
        <v>0</v>
      </c>
      <c r="N815" s="56">
        <f ca="1">$K$815-EFEITO!$M$815*EFEITO!$Z$815</f>
        <v>0</v>
      </c>
      <c r="O815" s="56">
        <f>$L$815-EFEITO!$O$815*EFEITO!$AA$815</f>
        <v>0</v>
      </c>
      <c r="P815" s="39"/>
      <c r="Q815" s="39"/>
      <c r="R815" s="39"/>
      <c r="S815" s="39"/>
      <c r="T815" s="39"/>
      <c r="U815" s="39"/>
      <c r="V815" s="39"/>
      <c r="W815" s="39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35" t="s">
        <v>21</v>
      </c>
      <c r="B816" s="35" t="s">
        <v>37</v>
      </c>
      <c r="C816" s="35" t="s">
        <v>23</v>
      </c>
      <c r="D816" s="35" t="s">
        <v>52</v>
      </c>
      <c r="E816" s="35" t="s">
        <v>25</v>
      </c>
      <c r="F816" s="35" t="s">
        <v>25</v>
      </c>
      <c r="G816" s="35" t="s">
        <v>25</v>
      </c>
      <c r="H816" s="35" t="s">
        <v>25</v>
      </c>
      <c r="I816" s="55">
        <v>44713</v>
      </c>
      <c r="J816" s="56">
        <f>EFEITO!$J$816*EFEITO!$Y$816</f>
        <v>0</v>
      </c>
      <c r="K816" s="56">
        <f ca="1">EFEITO!$L$816*EFEITO!$Z$816</f>
        <v>6173.8367060086275</v>
      </c>
      <c r="L816" s="56">
        <f>EFEITO!$N$816*EFEITO!$AA$816</f>
        <v>2997.1423377791816</v>
      </c>
      <c r="M816" s="56">
        <f>$J$816-EFEITO!$K$816*EFEITO!$Y$816</f>
        <v>0</v>
      </c>
      <c r="N816" s="56">
        <f ca="1">$K$816-EFEITO!$M$816*EFEITO!$Z$816</f>
        <v>0</v>
      </c>
      <c r="O816" s="56">
        <f>$L$816-EFEITO!$O$816*EFEITO!$AA$816</f>
        <v>0</v>
      </c>
      <c r="P816" s="39"/>
      <c r="Q816" s="39"/>
      <c r="R816" s="39"/>
      <c r="S816" s="39"/>
      <c r="T816" s="39"/>
      <c r="U816" s="39"/>
      <c r="V816" s="39"/>
      <c r="W816" s="39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35" t="s">
        <v>21</v>
      </c>
      <c r="B817" s="35" t="s">
        <v>37</v>
      </c>
      <c r="C817" s="35" t="s">
        <v>23</v>
      </c>
      <c r="D817" s="35" t="s">
        <v>52</v>
      </c>
      <c r="E817" s="35" t="s">
        <v>25</v>
      </c>
      <c r="F817" s="35" t="s">
        <v>25</v>
      </c>
      <c r="G817" s="35" t="s">
        <v>25</v>
      </c>
      <c r="H817" s="35" t="s">
        <v>25</v>
      </c>
      <c r="I817" s="55">
        <v>44743</v>
      </c>
      <c r="J817" s="56">
        <f>EFEITO!$J$817*EFEITO!$Y$817</f>
        <v>0</v>
      </c>
      <c r="K817" s="56">
        <f ca="1">EFEITO!$L$817*EFEITO!$Z$817</f>
        <v>6465.969527422013</v>
      </c>
      <c r="L817" s="56">
        <f>EFEITO!$N$817*EFEITO!$AA$817</f>
        <v>3138.9607383955777</v>
      </c>
      <c r="M817" s="56">
        <f>$J$817-EFEITO!$K$817*EFEITO!$Y$817</f>
        <v>0</v>
      </c>
      <c r="N817" s="56">
        <f ca="1">$K$817-EFEITO!$M$817*EFEITO!$Z$817</f>
        <v>0</v>
      </c>
      <c r="O817" s="56">
        <f>$L$817-EFEITO!$O$817*EFEITO!$AA$817</f>
        <v>0</v>
      </c>
      <c r="P817" s="39"/>
      <c r="Q817" s="39"/>
      <c r="R817" s="39"/>
      <c r="S817" s="39"/>
      <c r="T817" s="39"/>
      <c r="U817" s="39"/>
      <c r="V817" s="39"/>
      <c r="W817" s="39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35" t="s">
        <v>21</v>
      </c>
      <c r="B818" s="35" t="s">
        <v>37</v>
      </c>
      <c r="C818" s="35" t="s">
        <v>23</v>
      </c>
      <c r="D818" s="35" t="s">
        <v>52</v>
      </c>
      <c r="E818" s="35" t="s">
        <v>25</v>
      </c>
      <c r="F818" s="35" t="s">
        <v>25</v>
      </c>
      <c r="G818" s="35" t="s">
        <v>25</v>
      </c>
      <c r="H818" s="35" t="s">
        <v>25</v>
      </c>
      <c r="I818" s="55">
        <v>44774</v>
      </c>
      <c r="J818" s="56">
        <f>EFEITO!$J$818*EFEITO!$Y$818</f>
        <v>0</v>
      </c>
      <c r="K818" s="56">
        <f ca="1">EFEITO!$L$818*EFEITO!$Z$818</f>
        <v>6174.3187733706955</v>
      </c>
      <c r="L818" s="56">
        <f>EFEITO!$N$818*EFEITO!$AA$818</f>
        <v>2997.3763615425746</v>
      </c>
      <c r="M818" s="56">
        <f>$J$818-EFEITO!$K$818*EFEITO!$Y$818</f>
        <v>0</v>
      </c>
      <c r="N818" s="56">
        <f ca="1">$K$818-EFEITO!$M$818*EFEITO!$Z$818</f>
        <v>0</v>
      </c>
      <c r="O818" s="56">
        <f>$L$818-EFEITO!$O$818*EFEITO!$AA$818</f>
        <v>0</v>
      </c>
      <c r="P818" s="39"/>
      <c r="Q818" s="39"/>
      <c r="R818" s="39"/>
      <c r="S818" s="39"/>
      <c r="T818" s="39"/>
      <c r="U818" s="39"/>
      <c r="V818" s="39"/>
      <c r="W818" s="39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35" t="s">
        <v>21</v>
      </c>
      <c r="B819" s="35" t="s">
        <v>37</v>
      </c>
      <c r="C819" s="35" t="s">
        <v>23</v>
      </c>
      <c r="D819" s="35" t="s">
        <v>52</v>
      </c>
      <c r="E819" s="35" t="s">
        <v>25</v>
      </c>
      <c r="F819" s="35" t="s">
        <v>25</v>
      </c>
      <c r="G819" s="35" t="s">
        <v>25</v>
      </c>
      <c r="H819" s="35" t="s">
        <v>25</v>
      </c>
      <c r="I819" s="55">
        <v>44805</v>
      </c>
      <c r="J819" s="56">
        <f>EFEITO!$J$819*EFEITO!$Y$819</f>
        <v>0</v>
      </c>
      <c r="K819" s="56">
        <f ca="1">EFEITO!$L$819*EFEITO!$Z$819</f>
        <v>7758.8741924891747</v>
      </c>
      <c r="L819" s="56">
        <f>EFEITO!$N$819*EFEITO!$AA$819</f>
        <v>3766.6124718166566</v>
      </c>
      <c r="M819" s="56">
        <f>$J$819-EFEITO!$K$819*EFEITO!$Y$819</f>
        <v>0</v>
      </c>
      <c r="N819" s="56">
        <f ca="1">$K$819-EFEITO!$M$819*EFEITO!$Z$819</f>
        <v>0</v>
      </c>
      <c r="O819" s="56">
        <f>$L$819-EFEITO!$O$819*EFEITO!$AA$819</f>
        <v>0</v>
      </c>
      <c r="P819" s="39"/>
      <c r="Q819" s="39"/>
      <c r="R819" s="39"/>
      <c r="S819" s="39"/>
      <c r="T819" s="39"/>
      <c r="U819" s="39"/>
      <c r="V819" s="39"/>
      <c r="W819" s="39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35" t="s">
        <v>57</v>
      </c>
      <c r="B820" s="35" t="s">
        <v>37</v>
      </c>
      <c r="C820" s="35" t="s">
        <v>23</v>
      </c>
      <c r="D820" s="35" t="s">
        <v>52</v>
      </c>
      <c r="E820" s="35" t="s">
        <v>25</v>
      </c>
      <c r="F820" s="35" t="s">
        <v>25</v>
      </c>
      <c r="G820" s="35" t="s">
        <v>25</v>
      </c>
      <c r="H820" s="35" t="s">
        <v>25</v>
      </c>
      <c r="I820" s="55">
        <v>44835</v>
      </c>
      <c r="J820" s="56">
        <f>EFEITO!$J$820*EFEITO!$Y$820</f>
        <v>0</v>
      </c>
      <c r="K820" s="56">
        <f ca="1">EFEITO!$L$820*EFEITO!$Z$820</f>
        <v>7758.8741924891747</v>
      </c>
      <c r="L820" s="56">
        <f>EFEITO!$N$820*EFEITO!$AA$820</f>
        <v>3766.6124718166566</v>
      </c>
      <c r="M820" s="56">
        <f>$J$820-EFEITO!$K$820*EFEITO!$Y$820</f>
        <v>0</v>
      </c>
      <c r="N820" s="56">
        <f ca="1">$K$820-EFEITO!$M$820*EFEITO!$Z$820</f>
        <v>0</v>
      </c>
      <c r="O820" s="56">
        <f>$L$820-EFEITO!$O$820*EFEITO!$AA$820</f>
        <v>0</v>
      </c>
      <c r="P820" s="39"/>
      <c r="Q820" s="39"/>
      <c r="R820" s="39"/>
      <c r="S820" s="39"/>
      <c r="T820" s="39"/>
      <c r="U820" s="39"/>
      <c r="V820" s="39"/>
      <c r="W820" s="39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35" t="s">
        <v>21</v>
      </c>
      <c r="B821" s="35" t="s">
        <v>37</v>
      </c>
      <c r="C821" s="35" t="s">
        <v>23</v>
      </c>
      <c r="D821" s="35" t="s">
        <v>38</v>
      </c>
      <c r="E821" s="35" t="s">
        <v>25</v>
      </c>
      <c r="F821" s="35" t="s">
        <v>25</v>
      </c>
      <c r="G821" s="35" t="s">
        <v>25</v>
      </c>
      <c r="H821" s="35" t="s">
        <v>25</v>
      </c>
      <c r="I821" s="55">
        <v>44501</v>
      </c>
      <c r="J821" s="56">
        <f>EFEITO!$J$821*EFEITO!$Y$821</f>
        <v>0</v>
      </c>
      <c r="K821" s="56">
        <f ca="1">EFEITO!$L$821*EFEITO!$Z$821</f>
        <v>23459.808175053477</v>
      </c>
      <c r="L821" s="56">
        <f>EFEITO!$N$821*EFEITO!$AA$821</f>
        <v>11388.766445539459</v>
      </c>
      <c r="M821" s="56">
        <f>$J$821-EFEITO!$K$821*EFEITO!$Y$821</f>
        <v>0</v>
      </c>
      <c r="N821" s="56">
        <f ca="1">$K$821-EFEITO!$M$821*EFEITO!$Z$821</f>
        <v>0</v>
      </c>
      <c r="O821" s="56">
        <f>$L$821-EFEITO!$O$821*EFEITO!$AA$821</f>
        <v>0</v>
      </c>
      <c r="P821" s="39"/>
      <c r="Q821" s="39"/>
      <c r="R821" s="39"/>
      <c r="S821" s="39"/>
      <c r="T821" s="39"/>
      <c r="U821" s="39"/>
      <c r="V821" s="39"/>
      <c r="W821" s="39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35" t="s">
        <v>28</v>
      </c>
      <c r="B822" s="35" t="s">
        <v>37</v>
      </c>
      <c r="C822" s="35" t="s">
        <v>23</v>
      </c>
      <c r="D822" s="35" t="s">
        <v>38</v>
      </c>
      <c r="E822" s="35" t="s">
        <v>25</v>
      </c>
      <c r="F822" s="35" t="s">
        <v>25</v>
      </c>
      <c r="G822" s="35" t="s">
        <v>25</v>
      </c>
      <c r="H822" s="35" t="s">
        <v>25</v>
      </c>
      <c r="I822" s="55">
        <v>44501</v>
      </c>
      <c r="J822" s="56">
        <f>EFEITO!$J$822*EFEITO!$Y$822</f>
        <v>0</v>
      </c>
      <c r="K822" s="56">
        <f ca="1">EFEITO!$L$822*EFEITO!$Z$822</f>
        <v>766.00503832651748</v>
      </c>
      <c r="L822" s="56">
        <f>EFEITO!$N$822*EFEITO!$AA$822</f>
        <v>371.86376003210114</v>
      </c>
      <c r="M822" s="56">
        <f>$J$822-EFEITO!$K$822*EFEITO!$Y$822</f>
        <v>0</v>
      </c>
      <c r="N822" s="56">
        <f ca="1">$K$822-EFEITO!$M$822*EFEITO!$Z$822</f>
        <v>0</v>
      </c>
      <c r="O822" s="56">
        <f>$L$822-EFEITO!$O$822*EFEITO!$AA$822</f>
        <v>0</v>
      </c>
      <c r="P822" s="39"/>
      <c r="Q822" s="39"/>
      <c r="R822" s="39"/>
      <c r="S822" s="39"/>
      <c r="T822" s="39"/>
      <c r="U822" s="39"/>
      <c r="V822" s="39"/>
      <c r="W822" s="39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35" t="s">
        <v>21</v>
      </c>
      <c r="B823" s="35" t="s">
        <v>37</v>
      </c>
      <c r="C823" s="35" t="s">
        <v>23</v>
      </c>
      <c r="D823" s="35" t="s">
        <v>38</v>
      </c>
      <c r="E823" s="35" t="s">
        <v>25</v>
      </c>
      <c r="F823" s="35" t="s">
        <v>25</v>
      </c>
      <c r="G823" s="35" t="s">
        <v>25</v>
      </c>
      <c r="H823" s="35" t="s">
        <v>25</v>
      </c>
      <c r="I823" s="55">
        <v>44531</v>
      </c>
      <c r="J823" s="56">
        <f>EFEITO!$J$823*EFEITO!$Y$823</f>
        <v>0</v>
      </c>
      <c r="K823" s="56">
        <f ca="1">EFEITO!$L$823*EFEITO!$Z$823</f>
        <v>20742.394455074507</v>
      </c>
      <c r="L823" s="56">
        <f>EFEITO!$N$823*EFEITO!$AA$823</f>
        <v>10069.574491290905</v>
      </c>
      <c r="M823" s="56">
        <f>$J$823-EFEITO!$K$823*EFEITO!$Y$823</f>
        <v>0</v>
      </c>
      <c r="N823" s="56">
        <f ca="1">$K$823-EFEITO!$M$823*EFEITO!$Z$823</f>
        <v>0</v>
      </c>
      <c r="O823" s="56">
        <f>$L$823-EFEITO!$O$823*EFEITO!$AA$823</f>
        <v>0</v>
      </c>
      <c r="P823" s="39"/>
      <c r="Q823" s="39"/>
      <c r="R823" s="39"/>
      <c r="S823" s="39"/>
      <c r="T823" s="39"/>
      <c r="U823" s="39"/>
      <c r="V823" s="39"/>
      <c r="W823" s="39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35" t="s">
        <v>28</v>
      </c>
      <c r="B824" s="35" t="s">
        <v>37</v>
      </c>
      <c r="C824" s="35" t="s">
        <v>23</v>
      </c>
      <c r="D824" s="35" t="s">
        <v>38</v>
      </c>
      <c r="E824" s="35" t="s">
        <v>25</v>
      </c>
      <c r="F824" s="35" t="s">
        <v>25</v>
      </c>
      <c r="G824" s="35" t="s">
        <v>25</v>
      </c>
      <c r="H824" s="35" t="s">
        <v>25</v>
      </c>
      <c r="I824" s="55">
        <v>44531</v>
      </c>
      <c r="J824" s="56">
        <f>EFEITO!$J$824*EFEITO!$Y$824</f>
        <v>0</v>
      </c>
      <c r="K824" s="56">
        <f ca="1">EFEITO!$L$824*EFEITO!$Z$824</f>
        <v>963.17058941244932</v>
      </c>
      <c r="L824" s="56">
        <f>EFEITO!$N$824*EFEITO!$AA$824</f>
        <v>467.57947925999878</v>
      </c>
      <c r="M824" s="56">
        <f>$J$824-EFEITO!$K$824*EFEITO!$Y$824</f>
        <v>0</v>
      </c>
      <c r="N824" s="56">
        <f ca="1">$K$824-EFEITO!$M$824*EFEITO!$Z$824</f>
        <v>0</v>
      </c>
      <c r="O824" s="56">
        <f>$L$824-EFEITO!$O$824*EFEITO!$AA$824</f>
        <v>0</v>
      </c>
      <c r="P824" s="39"/>
      <c r="Q824" s="39"/>
      <c r="R824" s="39"/>
      <c r="S824" s="39"/>
      <c r="T824" s="39"/>
      <c r="U824" s="39"/>
      <c r="V824" s="39"/>
      <c r="W824" s="39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35" t="s">
        <v>21</v>
      </c>
      <c r="B825" s="35" t="s">
        <v>37</v>
      </c>
      <c r="C825" s="35" t="s">
        <v>23</v>
      </c>
      <c r="D825" s="35" t="s">
        <v>38</v>
      </c>
      <c r="E825" s="35" t="s">
        <v>25</v>
      </c>
      <c r="F825" s="35" t="s">
        <v>25</v>
      </c>
      <c r="G825" s="35" t="s">
        <v>25</v>
      </c>
      <c r="H825" s="35" t="s">
        <v>25</v>
      </c>
      <c r="I825" s="55">
        <v>44562</v>
      </c>
      <c r="J825" s="56">
        <f>EFEITO!$J$825*EFEITO!$Y$825</f>
        <v>0</v>
      </c>
      <c r="K825" s="56">
        <f ca="1">EFEITO!$L$825*EFEITO!$Z$825</f>
        <v>21382.09784453913</v>
      </c>
      <c r="L825" s="56">
        <f>EFEITO!$N$825*EFEITO!$AA$825</f>
        <v>10380.124025313937</v>
      </c>
      <c r="M825" s="56">
        <f>$J$825-EFEITO!$K$825*EFEITO!$Y$825</f>
        <v>0</v>
      </c>
      <c r="N825" s="56">
        <f ca="1">$K$825-EFEITO!$M$825*EFEITO!$Z$825</f>
        <v>0</v>
      </c>
      <c r="O825" s="56">
        <f>$L$825-EFEITO!$O$825*EFEITO!$AA$825</f>
        <v>0</v>
      </c>
      <c r="P825" s="39"/>
      <c r="Q825" s="39"/>
      <c r="R825" s="39"/>
      <c r="S825" s="39"/>
      <c r="T825" s="39"/>
      <c r="U825" s="39"/>
      <c r="V825" s="39"/>
      <c r="W825" s="39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35" t="s">
        <v>28</v>
      </c>
      <c r="B826" s="35" t="s">
        <v>37</v>
      </c>
      <c r="C826" s="35" t="s">
        <v>23</v>
      </c>
      <c r="D826" s="35" t="s">
        <v>38</v>
      </c>
      <c r="E826" s="35" t="s">
        <v>25</v>
      </c>
      <c r="F826" s="35" t="s">
        <v>25</v>
      </c>
      <c r="G826" s="35" t="s">
        <v>25</v>
      </c>
      <c r="H826" s="35" t="s">
        <v>25</v>
      </c>
      <c r="I826" s="55">
        <v>44562</v>
      </c>
      <c r="J826" s="56">
        <f>EFEITO!$J$826*EFEITO!$Y$826</f>
        <v>0</v>
      </c>
      <c r="K826" s="56">
        <f ca="1">EFEITO!$L$826*EFEITO!$Z$826</f>
        <v>953.52924217108341</v>
      </c>
      <c r="L826" s="56">
        <f>EFEITO!$N$826*EFEITO!$AA$826</f>
        <v>462.89900399213093</v>
      </c>
      <c r="M826" s="56">
        <f>$J$826-EFEITO!$K$826*EFEITO!$Y$826</f>
        <v>0</v>
      </c>
      <c r="N826" s="56">
        <f ca="1">$K$826-EFEITO!$M$826*EFEITO!$Z$826</f>
        <v>0</v>
      </c>
      <c r="O826" s="56">
        <f>$L$826-EFEITO!$O$826*EFEITO!$AA$826</f>
        <v>0</v>
      </c>
      <c r="P826" s="39"/>
      <c r="Q826" s="39"/>
      <c r="R826" s="39"/>
      <c r="S826" s="39"/>
      <c r="T826" s="39"/>
      <c r="U826" s="39"/>
      <c r="V826" s="39"/>
      <c r="W826" s="39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35" t="s">
        <v>21</v>
      </c>
      <c r="B827" s="35" t="s">
        <v>37</v>
      </c>
      <c r="C827" s="35" t="s">
        <v>23</v>
      </c>
      <c r="D827" s="35" t="s">
        <v>38</v>
      </c>
      <c r="E827" s="35" t="s">
        <v>25</v>
      </c>
      <c r="F827" s="35" t="s">
        <v>25</v>
      </c>
      <c r="G827" s="35" t="s">
        <v>25</v>
      </c>
      <c r="H827" s="35" t="s">
        <v>25</v>
      </c>
      <c r="I827" s="55">
        <v>44593</v>
      </c>
      <c r="J827" s="56">
        <f>EFEITO!$J$827*EFEITO!$Y$827</f>
        <v>0</v>
      </c>
      <c r="K827" s="56">
        <f ca="1">EFEITO!$L$827*EFEITO!$Z$827</f>
        <v>21407.647414728752</v>
      </c>
      <c r="L827" s="56">
        <f>EFEITO!$N$827*EFEITO!$AA$827</f>
        <v>10392.527284773787</v>
      </c>
      <c r="M827" s="56">
        <f>$J$827-EFEITO!$K$827*EFEITO!$Y$827</f>
        <v>0</v>
      </c>
      <c r="N827" s="56">
        <f ca="1">$K$827-EFEITO!$M$827*EFEITO!$Z$827</f>
        <v>0</v>
      </c>
      <c r="O827" s="56">
        <f>$L$827-EFEITO!$O$827*EFEITO!$AA$827</f>
        <v>0</v>
      </c>
      <c r="P827" s="39"/>
      <c r="Q827" s="39"/>
      <c r="R827" s="39"/>
      <c r="S827" s="39"/>
      <c r="T827" s="39"/>
      <c r="U827" s="39"/>
      <c r="V827" s="39"/>
      <c r="W827" s="39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35" t="s">
        <v>28</v>
      </c>
      <c r="B828" s="35" t="s">
        <v>37</v>
      </c>
      <c r="C828" s="35" t="s">
        <v>23</v>
      </c>
      <c r="D828" s="35" t="s">
        <v>38</v>
      </c>
      <c r="E828" s="35" t="s">
        <v>25</v>
      </c>
      <c r="F828" s="35" t="s">
        <v>25</v>
      </c>
      <c r="G828" s="35" t="s">
        <v>25</v>
      </c>
      <c r="H828" s="35" t="s">
        <v>25</v>
      </c>
      <c r="I828" s="55">
        <v>44593</v>
      </c>
      <c r="J828" s="56">
        <f>EFEITO!$J$828*EFEITO!$Y$828</f>
        <v>0</v>
      </c>
      <c r="K828" s="56">
        <f ca="1">EFEITO!$L$828*EFEITO!$Z$828</f>
        <v>343.23196179262453</v>
      </c>
      <c r="L828" s="56">
        <f>EFEITO!$N$828*EFEITO!$AA$828</f>
        <v>166.62491953609566</v>
      </c>
      <c r="M828" s="56">
        <f>$J$828-EFEITO!$K$828*EFEITO!$Y$828</f>
        <v>0</v>
      </c>
      <c r="N828" s="56">
        <f ca="1">$K$828-EFEITO!$M$828*EFEITO!$Z$828</f>
        <v>0</v>
      </c>
      <c r="O828" s="56">
        <f>$L$828-EFEITO!$O$828*EFEITO!$AA$828</f>
        <v>0</v>
      </c>
      <c r="P828" s="39"/>
      <c r="Q828" s="39"/>
      <c r="R828" s="39"/>
      <c r="S828" s="39"/>
      <c r="T828" s="39"/>
      <c r="U828" s="39"/>
      <c r="V828" s="39"/>
      <c r="W828" s="39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35" t="s">
        <v>21</v>
      </c>
      <c r="B829" s="35" t="s">
        <v>37</v>
      </c>
      <c r="C829" s="35" t="s">
        <v>23</v>
      </c>
      <c r="D829" s="35" t="s">
        <v>38</v>
      </c>
      <c r="E829" s="35" t="s">
        <v>25</v>
      </c>
      <c r="F829" s="35" t="s">
        <v>25</v>
      </c>
      <c r="G829" s="35" t="s">
        <v>25</v>
      </c>
      <c r="H829" s="35" t="s">
        <v>25</v>
      </c>
      <c r="I829" s="55">
        <v>44621</v>
      </c>
      <c r="J829" s="56">
        <f>EFEITO!$J$829*EFEITO!$Y$829</f>
        <v>0</v>
      </c>
      <c r="K829" s="56">
        <f ca="1">EFEITO!$L$829*EFEITO!$Z$829</f>
        <v>21100.570505091251</v>
      </c>
      <c r="L829" s="56">
        <f>EFEITO!$N$829*EFEITO!$AA$829</f>
        <v>10243.454147492195</v>
      </c>
      <c r="M829" s="56">
        <f>$J$829-EFEITO!$K$829*EFEITO!$Y$829</f>
        <v>0</v>
      </c>
      <c r="N829" s="56">
        <f ca="1">$K$829-EFEITO!$M$829*EFEITO!$Z$829</f>
        <v>0</v>
      </c>
      <c r="O829" s="56">
        <f>$L$829-EFEITO!$O$829*EFEITO!$AA$829</f>
        <v>0</v>
      </c>
      <c r="P829" s="39"/>
      <c r="Q829" s="39"/>
      <c r="R829" s="39"/>
      <c r="S829" s="39"/>
      <c r="T829" s="39"/>
      <c r="U829" s="39"/>
      <c r="V829" s="39"/>
      <c r="W829" s="39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35" t="s">
        <v>28</v>
      </c>
      <c r="B830" s="35" t="s">
        <v>37</v>
      </c>
      <c r="C830" s="35" t="s">
        <v>23</v>
      </c>
      <c r="D830" s="35" t="s">
        <v>38</v>
      </c>
      <c r="E830" s="35" t="s">
        <v>25</v>
      </c>
      <c r="F830" s="35" t="s">
        <v>25</v>
      </c>
      <c r="G830" s="35" t="s">
        <v>25</v>
      </c>
      <c r="H830" s="35" t="s">
        <v>25</v>
      </c>
      <c r="I830" s="55">
        <v>44621</v>
      </c>
      <c r="J830" s="56">
        <f>EFEITO!$J$830*EFEITO!$Y$830</f>
        <v>0</v>
      </c>
      <c r="K830" s="56">
        <f ca="1">EFEITO!$L$830*EFEITO!$Z$830</f>
        <v>289.24041724097577</v>
      </c>
      <c r="L830" s="56">
        <f>EFEITO!$N$830*EFEITO!$AA$830</f>
        <v>140.41425803603568</v>
      </c>
      <c r="M830" s="56">
        <f>$J$830-EFEITO!$K$830*EFEITO!$Y$830</f>
        <v>0</v>
      </c>
      <c r="N830" s="56">
        <f ca="1">$K$830-EFEITO!$M$830*EFEITO!$Z$830</f>
        <v>0</v>
      </c>
      <c r="O830" s="56">
        <f>$L$830-EFEITO!$O$830*EFEITO!$AA$830</f>
        <v>0</v>
      </c>
      <c r="P830" s="39"/>
      <c r="Q830" s="39"/>
      <c r="R830" s="39"/>
      <c r="S830" s="39"/>
      <c r="T830" s="39"/>
      <c r="U830" s="39"/>
      <c r="V830" s="39"/>
      <c r="W830" s="39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35" t="s">
        <v>21</v>
      </c>
      <c r="B831" s="35" t="s">
        <v>37</v>
      </c>
      <c r="C831" s="35" t="s">
        <v>23</v>
      </c>
      <c r="D831" s="35" t="s">
        <v>38</v>
      </c>
      <c r="E831" s="35" t="s">
        <v>25</v>
      </c>
      <c r="F831" s="35" t="s">
        <v>25</v>
      </c>
      <c r="G831" s="35" t="s">
        <v>25</v>
      </c>
      <c r="H831" s="35" t="s">
        <v>25</v>
      </c>
      <c r="I831" s="55">
        <v>44652</v>
      </c>
      <c r="J831" s="56">
        <f>EFEITO!$J$831*EFEITO!$Y$831</f>
        <v>0</v>
      </c>
      <c r="K831" s="56">
        <f ca="1">EFEITO!$L$831*EFEITO!$Z$831</f>
        <v>23087.170104174686</v>
      </c>
      <c r="L831" s="56">
        <f>EFEITO!$N$831*EFEITO!$AA$831</f>
        <v>11207.866076436369</v>
      </c>
      <c r="M831" s="56">
        <f>$J$831-EFEITO!$K$831*EFEITO!$Y$831</f>
        <v>0</v>
      </c>
      <c r="N831" s="56">
        <f ca="1">$K$831-EFEITO!$M$831*EFEITO!$Z$831</f>
        <v>0</v>
      </c>
      <c r="O831" s="56">
        <f>$L$831-EFEITO!$O$831*EFEITO!$AA$831</f>
        <v>0</v>
      </c>
      <c r="P831" s="39"/>
      <c r="Q831" s="39"/>
      <c r="R831" s="39"/>
      <c r="S831" s="39"/>
      <c r="T831" s="39"/>
      <c r="U831" s="39"/>
      <c r="V831" s="39"/>
      <c r="W831" s="39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35" t="s">
        <v>28</v>
      </c>
      <c r="B832" s="35" t="s">
        <v>37</v>
      </c>
      <c r="C832" s="35" t="s">
        <v>23</v>
      </c>
      <c r="D832" s="35" t="s">
        <v>38</v>
      </c>
      <c r="E832" s="35" t="s">
        <v>25</v>
      </c>
      <c r="F832" s="35" t="s">
        <v>25</v>
      </c>
      <c r="G832" s="35" t="s">
        <v>25</v>
      </c>
      <c r="H832" s="35" t="s">
        <v>25</v>
      </c>
      <c r="I832" s="55">
        <v>44652</v>
      </c>
      <c r="J832" s="56">
        <f>EFEITO!$J$832*EFEITO!$Y$832</f>
        <v>0</v>
      </c>
      <c r="K832" s="56">
        <f ca="1">EFEITO!$L$832*EFEITO!$Z$832</f>
        <v>228.49992962037084</v>
      </c>
      <c r="L832" s="56">
        <f>EFEITO!$N$832*EFEITO!$AA$832</f>
        <v>110.92726384846817</v>
      </c>
      <c r="M832" s="56">
        <f>$J$832-EFEITO!$K$832*EFEITO!$Y$832</f>
        <v>0</v>
      </c>
      <c r="N832" s="56">
        <f ca="1">$K$832-EFEITO!$M$832*EFEITO!$Z$832</f>
        <v>0</v>
      </c>
      <c r="O832" s="56">
        <f>$L$832-EFEITO!$O$832*EFEITO!$AA$832</f>
        <v>0</v>
      </c>
      <c r="P832" s="39"/>
      <c r="Q832" s="39"/>
      <c r="R832" s="39"/>
      <c r="S832" s="39"/>
      <c r="T832" s="39"/>
      <c r="U832" s="39"/>
      <c r="V832" s="39"/>
      <c r="W832" s="39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35" t="s">
        <v>21</v>
      </c>
      <c r="B833" s="35" t="s">
        <v>37</v>
      </c>
      <c r="C833" s="35" t="s">
        <v>23</v>
      </c>
      <c r="D833" s="35" t="s">
        <v>38</v>
      </c>
      <c r="E833" s="35" t="s">
        <v>25</v>
      </c>
      <c r="F833" s="35" t="s">
        <v>25</v>
      </c>
      <c r="G833" s="35" t="s">
        <v>25</v>
      </c>
      <c r="H833" s="35" t="s">
        <v>25</v>
      </c>
      <c r="I833" s="55">
        <v>44682</v>
      </c>
      <c r="J833" s="56">
        <f>EFEITO!$J$833*EFEITO!$Y$833</f>
        <v>0</v>
      </c>
      <c r="K833" s="56">
        <f ca="1">EFEITO!$L$833*EFEITO!$Z$833</f>
        <v>20223.207906126958</v>
      </c>
      <c r="L833" s="56">
        <f>EFEITO!$N$833*EFEITO!$AA$833</f>
        <v>9817.5308981162216</v>
      </c>
      <c r="M833" s="56">
        <f>$J$833-EFEITO!$K$833*EFEITO!$Y$833</f>
        <v>0</v>
      </c>
      <c r="N833" s="56">
        <f ca="1">$K$833-EFEITO!$M$833*EFEITO!$Z$833</f>
        <v>0</v>
      </c>
      <c r="O833" s="56">
        <f>$L$833-EFEITO!$O$833*EFEITO!$AA$833</f>
        <v>0</v>
      </c>
      <c r="P833" s="39"/>
      <c r="Q833" s="39"/>
      <c r="R833" s="39"/>
      <c r="S833" s="39"/>
      <c r="T833" s="39"/>
      <c r="U833" s="39"/>
      <c r="V833" s="39"/>
      <c r="W833" s="39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35" t="s">
        <v>28</v>
      </c>
      <c r="B834" s="35" t="s">
        <v>37</v>
      </c>
      <c r="C834" s="35" t="s">
        <v>23</v>
      </c>
      <c r="D834" s="35" t="s">
        <v>38</v>
      </c>
      <c r="E834" s="35" t="s">
        <v>25</v>
      </c>
      <c r="F834" s="35" t="s">
        <v>25</v>
      </c>
      <c r="G834" s="35" t="s">
        <v>25</v>
      </c>
      <c r="H834" s="35" t="s">
        <v>25</v>
      </c>
      <c r="I834" s="55">
        <v>44682</v>
      </c>
      <c r="J834" s="56">
        <f>EFEITO!$J$834*EFEITO!$Y$834</f>
        <v>0</v>
      </c>
      <c r="K834" s="56">
        <f ca="1">EFEITO!$L$834*EFEITO!$Z$834</f>
        <v>897.60942817116154</v>
      </c>
      <c r="L834" s="56">
        <f>EFEITO!$N$834*EFEITO!$AA$834</f>
        <v>435.75224743849736</v>
      </c>
      <c r="M834" s="56">
        <f>$J$834-EFEITO!$K$834*EFEITO!$Y$834</f>
        <v>0</v>
      </c>
      <c r="N834" s="56">
        <f ca="1">$K$834-EFEITO!$M$834*EFEITO!$Z$834</f>
        <v>0</v>
      </c>
      <c r="O834" s="56">
        <f>$L$834-EFEITO!$O$834*EFEITO!$AA$834</f>
        <v>0</v>
      </c>
      <c r="P834" s="39"/>
      <c r="Q834" s="39"/>
      <c r="R834" s="39"/>
      <c r="S834" s="39"/>
      <c r="T834" s="39"/>
      <c r="U834" s="39"/>
      <c r="V834" s="39"/>
      <c r="W834" s="39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35" t="s">
        <v>21</v>
      </c>
      <c r="B835" s="35" t="s">
        <v>37</v>
      </c>
      <c r="C835" s="35" t="s">
        <v>23</v>
      </c>
      <c r="D835" s="35" t="s">
        <v>38</v>
      </c>
      <c r="E835" s="35" t="s">
        <v>25</v>
      </c>
      <c r="F835" s="35" t="s">
        <v>25</v>
      </c>
      <c r="G835" s="35" t="s">
        <v>25</v>
      </c>
      <c r="H835" s="35" t="s">
        <v>25</v>
      </c>
      <c r="I835" s="55">
        <v>44713</v>
      </c>
      <c r="J835" s="56">
        <f>EFEITO!$J$835*EFEITO!$Y$835</f>
        <v>0</v>
      </c>
      <c r="K835" s="56">
        <f ca="1">EFEITO!$L$835*EFEITO!$Z$835</f>
        <v>23288.192194157164</v>
      </c>
      <c r="L835" s="56">
        <f>EFEITO!$N$835*EFEITO!$AA$835</f>
        <v>11305.453985771412</v>
      </c>
      <c r="M835" s="56">
        <f>$J$835-EFEITO!$K$835*EFEITO!$Y$835</f>
        <v>0</v>
      </c>
      <c r="N835" s="56">
        <f ca="1">$K$835-EFEITO!$M$835*EFEITO!$Z$835</f>
        <v>0</v>
      </c>
      <c r="O835" s="56">
        <f>$L$835-EFEITO!$O$835*EFEITO!$AA$835</f>
        <v>0</v>
      </c>
      <c r="P835" s="39"/>
      <c r="Q835" s="39"/>
      <c r="R835" s="39"/>
      <c r="S835" s="39"/>
      <c r="T835" s="39"/>
      <c r="U835" s="39"/>
      <c r="V835" s="39"/>
      <c r="W835" s="39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35" t="s">
        <v>28</v>
      </c>
      <c r="B836" s="35" t="s">
        <v>37</v>
      </c>
      <c r="C836" s="35" t="s">
        <v>23</v>
      </c>
      <c r="D836" s="35" t="s">
        <v>38</v>
      </c>
      <c r="E836" s="35" t="s">
        <v>25</v>
      </c>
      <c r="F836" s="35" t="s">
        <v>25</v>
      </c>
      <c r="G836" s="35" t="s">
        <v>25</v>
      </c>
      <c r="H836" s="35" t="s">
        <v>25</v>
      </c>
      <c r="I836" s="55">
        <v>44713</v>
      </c>
      <c r="J836" s="56">
        <f>EFEITO!$J$836*EFEITO!$Y$836</f>
        <v>0</v>
      </c>
      <c r="K836" s="56">
        <f ca="1">EFEITO!$L$836*EFEITO!$Z$836</f>
        <v>698.0335402748882</v>
      </c>
      <c r="L836" s="56">
        <f>EFEITO!$N$836*EFEITO!$AA$836</f>
        <v>338.86640939363275</v>
      </c>
      <c r="M836" s="56">
        <f>$J$836-EFEITO!$K$836*EFEITO!$Y$836</f>
        <v>0</v>
      </c>
      <c r="N836" s="56">
        <f ca="1">$K$836-EFEITO!$M$836*EFEITO!$Z$836</f>
        <v>0</v>
      </c>
      <c r="O836" s="56">
        <f>$L$836-EFEITO!$O$836*EFEITO!$AA$836</f>
        <v>0</v>
      </c>
      <c r="P836" s="39"/>
      <c r="Q836" s="39"/>
      <c r="R836" s="39"/>
      <c r="S836" s="39"/>
      <c r="T836" s="39"/>
      <c r="U836" s="39"/>
      <c r="V836" s="39"/>
      <c r="W836" s="39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35" t="s">
        <v>21</v>
      </c>
      <c r="B837" s="35" t="s">
        <v>37</v>
      </c>
      <c r="C837" s="35" t="s">
        <v>23</v>
      </c>
      <c r="D837" s="35" t="s">
        <v>38</v>
      </c>
      <c r="E837" s="35" t="s">
        <v>25</v>
      </c>
      <c r="F837" s="35" t="s">
        <v>25</v>
      </c>
      <c r="G837" s="35" t="s">
        <v>25</v>
      </c>
      <c r="H837" s="35" t="s">
        <v>25</v>
      </c>
      <c r="I837" s="55">
        <v>44743</v>
      </c>
      <c r="J837" s="56">
        <f>EFEITO!$J$837*EFEITO!$Y$837</f>
        <v>0</v>
      </c>
      <c r="K837" s="56">
        <f ca="1">EFEITO!$L$837*EFEITO!$Z$837</f>
        <v>28556.706394201537</v>
      </c>
      <c r="L837" s="56">
        <f>EFEITO!$N$837*EFEITO!$AA$837</f>
        <v>13863.099695897801</v>
      </c>
      <c r="M837" s="56">
        <f>$J$837-EFEITO!$K$837*EFEITO!$Y$837</f>
        <v>0</v>
      </c>
      <c r="N837" s="56">
        <f ca="1">$K$837-EFEITO!$M$837*EFEITO!$Z$837</f>
        <v>0</v>
      </c>
      <c r="O837" s="56">
        <f>$L$837-EFEITO!$O$837*EFEITO!$AA$837</f>
        <v>0</v>
      </c>
      <c r="P837" s="39"/>
      <c r="Q837" s="39"/>
      <c r="R837" s="39"/>
      <c r="S837" s="39"/>
      <c r="T837" s="39"/>
      <c r="U837" s="39"/>
      <c r="V837" s="39"/>
      <c r="W837" s="39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35" t="s">
        <v>28</v>
      </c>
      <c r="B838" s="35" t="s">
        <v>37</v>
      </c>
      <c r="C838" s="35" t="s">
        <v>23</v>
      </c>
      <c r="D838" s="35" t="s">
        <v>38</v>
      </c>
      <c r="E838" s="35" t="s">
        <v>25</v>
      </c>
      <c r="F838" s="35" t="s">
        <v>25</v>
      </c>
      <c r="G838" s="35" t="s">
        <v>25</v>
      </c>
      <c r="H838" s="35" t="s">
        <v>25</v>
      </c>
      <c r="I838" s="55">
        <v>44743</v>
      </c>
      <c r="J838" s="56">
        <f>EFEITO!$J$838*EFEITO!$Y$838</f>
        <v>0</v>
      </c>
      <c r="K838" s="56">
        <f ca="1">EFEITO!$L$838*EFEITO!$Z$838</f>
        <v>887.96808092979563</v>
      </c>
      <c r="L838" s="56">
        <f>EFEITO!$N$838*EFEITO!$AA$838</f>
        <v>431.07177217062952</v>
      </c>
      <c r="M838" s="56">
        <f>$J$838-EFEITO!$K$838*EFEITO!$Y$838</f>
        <v>0</v>
      </c>
      <c r="N838" s="56">
        <f ca="1">$K$838-EFEITO!$M$838*EFEITO!$Z$838</f>
        <v>0</v>
      </c>
      <c r="O838" s="56">
        <f>$L$838-EFEITO!$O$838*EFEITO!$AA$838</f>
        <v>0</v>
      </c>
      <c r="P838" s="39"/>
      <c r="Q838" s="39"/>
      <c r="R838" s="39"/>
      <c r="S838" s="39"/>
      <c r="T838" s="39"/>
      <c r="U838" s="39"/>
      <c r="V838" s="39"/>
      <c r="W838" s="39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35" t="s">
        <v>21</v>
      </c>
      <c r="B839" s="35" t="s">
        <v>37</v>
      </c>
      <c r="C839" s="35" t="s">
        <v>23</v>
      </c>
      <c r="D839" s="35" t="s">
        <v>38</v>
      </c>
      <c r="E839" s="35" t="s">
        <v>25</v>
      </c>
      <c r="F839" s="35" t="s">
        <v>25</v>
      </c>
      <c r="G839" s="35" t="s">
        <v>25</v>
      </c>
      <c r="H839" s="35" t="s">
        <v>25</v>
      </c>
      <c r="I839" s="55">
        <v>44774</v>
      </c>
      <c r="J839" s="56">
        <f>EFEITO!$J$839*EFEITO!$Y$839</f>
        <v>0</v>
      </c>
      <c r="K839" s="56">
        <f ca="1">EFEITO!$L$839*EFEITO!$Z$839</f>
        <v>25185.609331257961</v>
      </c>
      <c r="L839" s="56">
        <f>EFEITO!$N$839*EFEITO!$AA$839</f>
        <v>12226.571518487804</v>
      </c>
      <c r="M839" s="56">
        <f>$J$839-EFEITO!$K$839*EFEITO!$Y$839</f>
        <v>0</v>
      </c>
      <c r="N839" s="56">
        <f ca="1">$K$839-EFEITO!$M$839*EFEITO!$Z$839</f>
        <v>0</v>
      </c>
      <c r="O839" s="56">
        <f>$L$839-EFEITO!$O$839*EFEITO!$AA$839</f>
        <v>0</v>
      </c>
      <c r="P839" s="39"/>
      <c r="Q839" s="39"/>
      <c r="R839" s="39"/>
      <c r="S839" s="39"/>
      <c r="T839" s="39"/>
      <c r="U839" s="39"/>
      <c r="V839" s="39"/>
      <c r="W839" s="39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35" t="s">
        <v>28</v>
      </c>
      <c r="B840" s="35" t="s">
        <v>37</v>
      </c>
      <c r="C840" s="35" t="s">
        <v>23</v>
      </c>
      <c r="D840" s="35" t="s">
        <v>38</v>
      </c>
      <c r="E840" s="35" t="s">
        <v>25</v>
      </c>
      <c r="F840" s="35" t="s">
        <v>25</v>
      </c>
      <c r="G840" s="35" t="s">
        <v>25</v>
      </c>
      <c r="H840" s="35" t="s">
        <v>25</v>
      </c>
      <c r="I840" s="55">
        <v>44774</v>
      </c>
      <c r="J840" s="56">
        <f>EFEITO!$J$840*EFEITO!$Y$840</f>
        <v>0</v>
      </c>
      <c r="K840" s="56">
        <f ca="1">EFEITO!$L$840*EFEITO!$Z$840</f>
        <v>548.59265803371727</v>
      </c>
      <c r="L840" s="56">
        <f>EFEITO!$N$840*EFEITO!$AA$840</f>
        <v>266.31904274168096</v>
      </c>
      <c r="M840" s="56">
        <f>$J$840-EFEITO!$K$840*EFEITO!$Y$840</f>
        <v>0</v>
      </c>
      <c r="N840" s="56">
        <f ca="1">$K$840-EFEITO!$M$840*EFEITO!$Z$840</f>
        <v>0</v>
      </c>
      <c r="O840" s="56">
        <f>$L$840-EFEITO!$O$840*EFEITO!$AA$840</f>
        <v>0</v>
      </c>
      <c r="P840" s="39"/>
      <c r="Q840" s="39"/>
      <c r="R840" s="39"/>
      <c r="S840" s="39"/>
      <c r="T840" s="39"/>
      <c r="U840" s="39"/>
      <c r="V840" s="39"/>
      <c r="W840" s="39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35" t="s">
        <v>21</v>
      </c>
      <c r="B841" s="35" t="s">
        <v>37</v>
      </c>
      <c r="C841" s="35" t="s">
        <v>23</v>
      </c>
      <c r="D841" s="35" t="s">
        <v>38</v>
      </c>
      <c r="E841" s="35" t="s">
        <v>25</v>
      </c>
      <c r="F841" s="35" t="s">
        <v>25</v>
      </c>
      <c r="G841" s="35" t="s">
        <v>25</v>
      </c>
      <c r="H841" s="35" t="s">
        <v>25</v>
      </c>
      <c r="I841" s="55">
        <v>44805</v>
      </c>
      <c r="J841" s="56">
        <f>EFEITO!$J$841*EFEITO!$Y$841</f>
        <v>0</v>
      </c>
      <c r="K841" s="56">
        <f ca="1">EFEITO!$L$841*EFEITO!$Z$841</f>
        <v>27304.777454910178</v>
      </c>
      <c r="L841" s="56">
        <f>EFEITO!$N$841*EFEITO!$AA$841</f>
        <v>13255.33998236516</v>
      </c>
      <c r="M841" s="56">
        <f>$J$841-EFEITO!$K$841*EFEITO!$Y$841</f>
        <v>0</v>
      </c>
      <c r="N841" s="56">
        <f ca="1">$K$841-EFEITO!$M$841*EFEITO!$Z$841</f>
        <v>0</v>
      </c>
      <c r="O841" s="56">
        <f>$L$841-EFEITO!$O$841*EFEITO!$AA$841</f>
        <v>0</v>
      </c>
      <c r="P841" s="39"/>
      <c r="Q841" s="39"/>
      <c r="R841" s="39"/>
      <c r="S841" s="39"/>
      <c r="T841" s="39"/>
      <c r="U841" s="39"/>
      <c r="V841" s="39"/>
      <c r="W841" s="39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35" t="s">
        <v>28</v>
      </c>
      <c r="B842" s="35" t="s">
        <v>37</v>
      </c>
      <c r="C842" s="35" t="s">
        <v>23</v>
      </c>
      <c r="D842" s="35" t="s">
        <v>38</v>
      </c>
      <c r="E842" s="35" t="s">
        <v>25</v>
      </c>
      <c r="F842" s="35" t="s">
        <v>25</v>
      </c>
      <c r="G842" s="35" t="s">
        <v>25</v>
      </c>
      <c r="H842" s="35" t="s">
        <v>25</v>
      </c>
      <c r="I842" s="55">
        <v>44805</v>
      </c>
      <c r="J842" s="56">
        <f>EFEITO!$J$842*EFEITO!$Y$842</f>
        <v>0</v>
      </c>
      <c r="K842" s="56">
        <f ca="1">EFEITO!$L$842*EFEITO!$Z$842</f>
        <v>910.62524694700539</v>
      </c>
      <c r="L842" s="56">
        <f>EFEITO!$N$842*EFEITO!$AA$842</f>
        <v>442.07088905011898</v>
      </c>
      <c r="M842" s="56">
        <f>$J$842-EFEITO!$K$842*EFEITO!$Y$842</f>
        <v>0</v>
      </c>
      <c r="N842" s="56">
        <f ca="1">$K$842-EFEITO!$M$842*EFEITO!$Z$842</f>
        <v>0</v>
      </c>
      <c r="O842" s="56">
        <f>$L$842-EFEITO!$O$842*EFEITO!$AA$842</f>
        <v>0</v>
      </c>
      <c r="P842" s="39"/>
      <c r="Q842" s="39"/>
      <c r="R842" s="39"/>
      <c r="S842" s="39"/>
      <c r="T842" s="39"/>
      <c r="U842" s="39"/>
      <c r="V842" s="39"/>
      <c r="W842" s="39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35" t="s">
        <v>57</v>
      </c>
      <c r="B843" s="35" t="s">
        <v>37</v>
      </c>
      <c r="C843" s="35" t="s">
        <v>23</v>
      </c>
      <c r="D843" s="35" t="s">
        <v>38</v>
      </c>
      <c r="E843" s="35" t="s">
        <v>25</v>
      </c>
      <c r="F843" s="35" t="s">
        <v>25</v>
      </c>
      <c r="G843" s="35" t="s">
        <v>25</v>
      </c>
      <c r="H843" s="35" t="s">
        <v>25</v>
      </c>
      <c r="I843" s="55">
        <v>44835</v>
      </c>
      <c r="J843" s="56">
        <f>EFEITO!$J$843*EFEITO!$Y$843</f>
        <v>0</v>
      </c>
      <c r="K843" s="56">
        <f ca="1">EFEITO!$L$843*EFEITO!$Z$843</f>
        <v>27304.777454910178</v>
      </c>
      <c r="L843" s="56">
        <f>EFEITO!$N$843*EFEITO!$AA$843</f>
        <v>13255.33998236516</v>
      </c>
      <c r="M843" s="56">
        <f>$J$843-EFEITO!$K$843*EFEITO!$Y$843</f>
        <v>0</v>
      </c>
      <c r="N843" s="56">
        <f ca="1">$K$843-EFEITO!$M$843*EFEITO!$Z$843</f>
        <v>0</v>
      </c>
      <c r="O843" s="56">
        <f>$L$843-EFEITO!$O$843*EFEITO!$AA$843</f>
        <v>0</v>
      </c>
      <c r="P843" s="39"/>
      <c r="Q843" s="39"/>
      <c r="R843" s="39"/>
      <c r="S843" s="39"/>
      <c r="T843" s="39"/>
      <c r="U843" s="39"/>
      <c r="V843" s="39"/>
      <c r="W843" s="39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35" t="s">
        <v>57</v>
      </c>
      <c r="B844" s="35" t="s">
        <v>37</v>
      </c>
      <c r="C844" s="35" t="s">
        <v>23</v>
      </c>
      <c r="D844" s="35" t="s">
        <v>38</v>
      </c>
      <c r="E844" s="35" t="s">
        <v>25</v>
      </c>
      <c r="F844" s="35" t="s">
        <v>25</v>
      </c>
      <c r="G844" s="35" t="s">
        <v>25</v>
      </c>
      <c r="H844" s="35" t="s">
        <v>25</v>
      </c>
      <c r="I844" s="55">
        <v>44835</v>
      </c>
      <c r="J844" s="56">
        <f>EFEITO!$J$844*EFEITO!$Y$844</f>
        <v>0</v>
      </c>
      <c r="K844" s="56">
        <f ca="1">EFEITO!$L$844*EFEITO!$Z$844</f>
        <v>910.62524694700539</v>
      </c>
      <c r="L844" s="56">
        <f>EFEITO!$N$844*EFEITO!$AA$844</f>
        <v>442.07088905011898</v>
      </c>
      <c r="M844" s="56">
        <f>$J$844-EFEITO!$K$844*EFEITO!$Y$844</f>
        <v>0</v>
      </c>
      <c r="N844" s="56">
        <f ca="1">$K$844-EFEITO!$M$844*EFEITO!$Z$844</f>
        <v>0</v>
      </c>
      <c r="O844" s="56">
        <f>$L$844-EFEITO!$O$844*EFEITO!$AA$844</f>
        <v>0</v>
      </c>
      <c r="P844" s="39"/>
      <c r="Q844" s="39"/>
      <c r="R844" s="39"/>
      <c r="S844" s="39"/>
      <c r="T844" s="39"/>
      <c r="U844" s="39"/>
      <c r="V844" s="39"/>
      <c r="W844" s="39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35" t="s">
        <v>21</v>
      </c>
      <c r="B845" s="35" t="s">
        <v>37</v>
      </c>
      <c r="C845" s="35" t="s">
        <v>23</v>
      </c>
      <c r="D845" s="35" t="s">
        <v>46</v>
      </c>
      <c r="E845" s="35" t="s">
        <v>25</v>
      </c>
      <c r="F845" s="35" t="s">
        <v>25</v>
      </c>
      <c r="G845" s="35" t="s">
        <v>25</v>
      </c>
      <c r="H845" s="35" t="s">
        <v>25</v>
      </c>
      <c r="I845" s="55">
        <v>44501</v>
      </c>
      <c r="J845" s="56">
        <f>EFEITO!$J$845*EFEITO!$Y$845</f>
        <v>0</v>
      </c>
      <c r="K845" s="56">
        <f ca="1">EFEITO!$L$845*EFEITO!$Z$845</f>
        <v>190058.43196695897</v>
      </c>
      <c r="L845" s="56">
        <f>EFEITO!$N$845*EFEITO!$AA$845</f>
        <v>92265.506884188857</v>
      </c>
      <c r="M845" s="56">
        <f>$J$845-EFEITO!$K$845*EFEITO!$Y$845</f>
        <v>0</v>
      </c>
      <c r="N845" s="56">
        <f ca="1">$K$845-EFEITO!$M$845*EFEITO!$Z$845</f>
        <v>0</v>
      </c>
      <c r="O845" s="56">
        <f>$L$845-EFEITO!$O$845*EFEITO!$AA$845</f>
        <v>0</v>
      </c>
      <c r="P845" s="39"/>
      <c r="Q845" s="39"/>
      <c r="R845" s="39"/>
      <c r="S845" s="39"/>
      <c r="T845" s="39"/>
      <c r="U845" s="39"/>
      <c r="V845" s="39"/>
      <c r="W845" s="39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35" t="s">
        <v>21</v>
      </c>
      <c r="B846" s="35" t="s">
        <v>37</v>
      </c>
      <c r="C846" s="35" t="s">
        <v>23</v>
      </c>
      <c r="D846" s="35" t="s">
        <v>46</v>
      </c>
      <c r="E846" s="35" t="s">
        <v>25</v>
      </c>
      <c r="F846" s="35" t="s">
        <v>25</v>
      </c>
      <c r="G846" s="35" t="s">
        <v>25</v>
      </c>
      <c r="H846" s="35" t="s">
        <v>25</v>
      </c>
      <c r="I846" s="55">
        <v>44531</v>
      </c>
      <c r="J846" s="56">
        <f>EFEITO!$J$846*EFEITO!$Y$846</f>
        <v>0</v>
      </c>
      <c r="K846" s="56">
        <f ca="1">EFEITO!$L$846*EFEITO!$Z$846</f>
        <v>189344.49020373583</v>
      </c>
      <c r="L846" s="56">
        <f>EFEITO!$N$846*EFEITO!$AA$846</f>
        <v>91918.917690603252</v>
      </c>
      <c r="M846" s="56">
        <f>$J$846-EFEITO!$K$846*EFEITO!$Y$846</f>
        <v>0</v>
      </c>
      <c r="N846" s="56">
        <f ca="1">$K$846-EFEITO!$M$846*EFEITO!$Z$846</f>
        <v>0</v>
      </c>
      <c r="O846" s="56">
        <f>$L$846-EFEITO!$O$846*EFEITO!$AA$846</f>
        <v>0</v>
      </c>
      <c r="P846" s="39"/>
      <c r="Q846" s="39"/>
      <c r="R846" s="39"/>
      <c r="S846" s="39"/>
      <c r="T846" s="39"/>
      <c r="U846" s="39"/>
      <c r="V846" s="39"/>
      <c r="W846" s="39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35" t="s">
        <v>21</v>
      </c>
      <c r="B847" s="35" t="s">
        <v>37</v>
      </c>
      <c r="C847" s="35" t="s">
        <v>23</v>
      </c>
      <c r="D847" s="35" t="s">
        <v>46</v>
      </c>
      <c r="E847" s="35" t="s">
        <v>25</v>
      </c>
      <c r="F847" s="35" t="s">
        <v>25</v>
      </c>
      <c r="G847" s="35" t="s">
        <v>25</v>
      </c>
      <c r="H847" s="35" t="s">
        <v>25</v>
      </c>
      <c r="I847" s="55">
        <v>44562</v>
      </c>
      <c r="J847" s="56">
        <f>EFEITO!$J$847*EFEITO!$Y$847</f>
        <v>0</v>
      </c>
      <c r="K847" s="56">
        <f ca="1">EFEITO!$L$847*EFEITO!$Z$847</f>
        <v>162047.9078939808</v>
      </c>
      <c r="L847" s="56">
        <f>EFEITO!$N$847*EFEITO!$AA$847</f>
        <v>78667.556112215767</v>
      </c>
      <c r="M847" s="56">
        <f>$J$847-EFEITO!$K$847*EFEITO!$Y$847</f>
        <v>0</v>
      </c>
      <c r="N847" s="56">
        <f ca="1">$K$847-EFEITO!$M$847*EFEITO!$Z$847</f>
        <v>0</v>
      </c>
      <c r="O847" s="56">
        <f>$L$847-EFEITO!$O$847*EFEITO!$AA$847</f>
        <v>0</v>
      </c>
      <c r="P847" s="39"/>
      <c r="Q847" s="39"/>
      <c r="R847" s="39"/>
      <c r="S847" s="39"/>
      <c r="T847" s="39"/>
      <c r="U847" s="39"/>
      <c r="V847" s="39"/>
      <c r="W847" s="39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35" t="s">
        <v>21</v>
      </c>
      <c r="B848" s="35" t="s">
        <v>37</v>
      </c>
      <c r="C848" s="35" t="s">
        <v>23</v>
      </c>
      <c r="D848" s="35" t="s">
        <v>46</v>
      </c>
      <c r="E848" s="35" t="s">
        <v>25</v>
      </c>
      <c r="F848" s="35" t="s">
        <v>25</v>
      </c>
      <c r="G848" s="35" t="s">
        <v>25</v>
      </c>
      <c r="H848" s="35" t="s">
        <v>25</v>
      </c>
      <c r="I848" s="55">
        <v>44593</v>
      </c>
      <c r="J848" s="56">
        <f>EFEITO!$J$848*EFEITO!$Y$848</f>
        <v>0</v>
      </c>
      <c r="K848" s="56">
        <f ca="1">EFEITO!$L$848*EFEITO!$Z$848</f>
        <v>175963.74643480623</v>
      </c>
      <c r="L848" s="56">
        <f>EFEITO!$N$848*EFEITO!$AA$848</f>
        <v>85423.120090092838</v>
      </c>
      <c r="M848" s="56">
        <f>$J$848-EFEITO!$K$848*EFEITO!$Y$848</f>
        <v>0</v>
      </c>
      <c r="N848" s="56">
        <f ca="1">$K$848-EFEITO!$M$848*EFEITO!$Z$848</f>
        <v>0</v>
      </c>
      <c r="O848" s="56">
        <f>$L$848-EFEITO!$O$848*EFEITO!$AA$848</f>
        <v>0</v>
      </c>
      <c r="P848" s="39"/>
      <c r="Q848" s="39"/>
      <c r="R848" s="39"/>
      <c r="S848" s="39"/>
      <c r="T848" s="39"/>
      <c r="U848" s="39"/>
      <c r="V848" s="39"/>
      <c r="W848" s="39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35" t="s">
        <v>21</v>
      </c>
      <c r="B849" s="35" t="s">
        <v>37</v>
      </c>
      <c r="C849" s="35" t="s">
        <v>23</v>
      </c>
      <c r="D849" s="35" t="s">
        <v>46</v>
      </c>
      <c r="E849" s="35" t="s">
        <v>25</v>
      </c>
      <c r="F849" s="35" t="s">
        <v>25</v>
      </c>
      <c r="G849" s="35" t="s">
        <v>25</v>
      </c>
      <c r="H849" s="35" t="s">
        <v>25</v>
      </c>
      <c r="I849" s="55">
        <v>44621</v>
      </c>
      <c r="J849" s="56">
        <f>EFEITO!$J$849*EFEITO!$Y$849</f>
        <v>0</v>
      </c>
      <c r="K849" s="56">
        <f ca="1">EFEITO!$L$849*EFEITO!$Z$849</f>
        <v>171222.61392886456</v>
      </c>
      <c r="L849" s="56">
        <f>EFEITO!$N$849*EFEITO!$AA$849</f>
        <v>83121.496377118834</v>
      </c>
      <c r="M849" s="56">
        <f>$J$849-EFEITO!$K$849*EFEITO!$Y$849</f>
        <v>0</v>
      </c>
      <c r="N849" s="56">
        <f ca="1">$K$849-EFEITO!$M$849*EFEITO!$Z$849</f>
        <v>0</v>
      </c>
      <c r="O849" s="56">
        <f>$L$849-EFEITO!$O$849*EFEITO!$AA$849</f>
        <v>0</v>
      </c>
      <c r="P849" s="39"/>
      <c r="Q849" s="39"/>
      <c r="R849" s="39"/>
      <c r="S849" s="39"/>
      <c r="T849" s="39"/>
      <c r="U849" s="39"/>
      <c r="V849" s="39"/>
      <c r="W849" s="39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35" t="s">
        <v>21</v>
      </c>
      <c r="B850" s="35" t="s">
        <v>37</v>
      </c>
      <c r="C850" s="35" t="s">
        <v>23</v>
      </c>
      <c r="D850" s="35" t="s">
        <v>46</v>
      </c>
      <c r="E850" s="35" t="s">
        <v>25</v>
      </c>
      <c r="F850" s="35" t="s">
        <v>25</v>
      </c>
      <c r="G850" s="35" t="s">
        <v>25</v>
      </c>
      <c r="H850" s="35" t="s">
        <v>25</v>
      </c>
      <c r="I850" s="55">
        <v>44652</v>
      </c>
      <c r="J850" s="56">
        <f>EFEITO!$J$850*EFEITO!$Y$850</f>
        <v>0</v>
      </c>
      <c r="K850" s="56">
        <f ca="1">EFEITO!$L$850*EFEITO!$Z$850</f>
        <v>229297.75110459386</v>
      </c>
      <c r="L850" s="56">
        <f>EFEITO!$N$850*EFEITO!$AA$850</f>
        <v>111314.57317688424</v>
      </c>
      <c r="M850" s="56">
        <f>$J$850-EFEITO!$K$850*EFEITO!$Y$850</f>
        <v>0</v>
      </c>
      <c r="N850" s="56">
        <f ca="1">$K$850-EFEITO!$M$850*EFEITO!$Z$850</f>
        <v>0</v>
      </c>
      <c r="O850" s="56">
        <f>$L$850-EFEITO!$O$850*EFEITO!$AA$850</f>
        <v>0</v>
      </c>
      <c r="P850" s="39"/>
      <c r="Q850" s="39"/>
      <c r="R850" s="39"/>
      <c r="S850" s="39"/>
      <c r="T850" s="39"/>
      <c r="U850" s="39"/>
      <c r="V850" s="39"/>
      <c r="W850" s="39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35" t="s">
        <v>21</v>
      </c>
      <c r="B851" s="35" t="s">
        <v>37</v>
      </c>
      <c r="C851" s="35" t="s">
        <v>23</v>
      </c>
      <c r="D851" s="35" t="s">
        <v>46</v>
      </c>
      <c r="E851" s="35" t="s">
        <v>25</v>
      </c>
      <c r="F851" s="35" t="s">
        <v>25</v>
      </c>
      <c r="G851" s="35" t="s">
        <v>25</v>
      </c>
      <c r="H851" s="35" t="s">
        <v>25</v>
      </c>
      <c r="I851" s="55">
        <v>44682</v>
      </c>
      <c r="J851" s="56">
        <f>EFEITO!$J$851*EFEITO!$Y$851</f>
        <v>0</v>
      </c>
      <c r="K851" s="56">
        <f ca="1">EFEITO!$L$851*EFEITO!$Z$851</f>
        <v>201881.13402168386</v>
      </c>
      <c r="L851" s="56">
        <f>EFEITO!$N$851*EFEITO!$AA$851</f>
        <v>98004.939681411808</v>
      </c>
      <c r="M851" s="56">
        <f>$J$851-EFEITO!$K$851*EFEITO!$Y$851</f>
        <v>0</v>
      </c>
      <c r="N851" s="56">
        <f ca="1">$K$851-EFEITO!$M$851*EFEITO!$Z$851</f>
        <v>0</v>
      </c>
      <c r="O851" s="56">
        <f>$L$851-EFEITO!$O$851*EFEITO!$AA$851</f>
        <v>0</v>
      </c>
      <c r="P851" s="39"/>
      <c r="Q851" s="39"/>
      <c r="R851" s="39"/>
      <c r="S851" s="39"/>
      <c r="T851" s="39"/>
      <c r="U851" s="39"/>
      <c r="V851" s="39"/>
      <c r="W851" s="39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35" t="s">
        <v>28</v>
      </c>
      <c r="B852" s="35" t="s">
        <v>37</v>
      </c>
      <c r="C852" s="35" t="s">
        <v>23</v>
      </c>
      <c r="D852" s="35" t="s">
        <v>46</v>
      </c>
      <c r="E852" s="35" t="s">
        <v>25</v>
      </c>
      <c r="F852" s="35" t="s">
        <v>25</v>
      </c>
      <c r="G852" s="35" t="s">
        <v>25</v>
      </c>
      <c r="H852" s="35" t="s">
        <v>25</v>
      </c>
      <c r="I852" s="55">
        <v>44682</v>
      </c>
      <c r="J852" s="56">
        <f>EFEITO!$J$852*EFEITO!$Y$852</f>
        <v>0</v>
      </c>
      <c r="K852" s="56">
        <f ca="1">EFEITO!$L$852*EFEITO!$Z$852</f>
        <v>51.581207741307345</v>
      </c>
      <c r="L852" s="56">
        <f>EFEITO!$N$852*EFEITO!$AA$852</f>
        <v>25.040542683093026</v>
      </c>
      <c r="M852" s="56">
        <f>$J$852-EFEITO!$K$852*EFEITO!$Y$852</f>
        <v>0</v>
      </c>
      <c r="N852" s="56">
        <f ca="1">$K$852-EFEITO!$M$852*EFEITO!$Z$852</f>
        <v>0</v>
      </c>
      <c r="O852" s="56">
        <f>$L$852-EFEITO!$O$852*EFEITO!$AA$852</f>
        <v>0</v>
      </c>
      <c r="P852" s="39"/>
      <c r="Q852" s="39"/>
      <c r="R852" s="39"/>
      <c r="S852" s="39"/>
      <c r="T852" s="39"/>
      <c r="U852" s="39"/>
      <c r="V852" s="39"/>
      <c r="W852" s="39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35" t="s">
        <v>21</v>
      </c>
      <c r="B853" s="35" t="s">
        <v>37</v>
      </c>
      <c r="C853" s="35" t="s">
        <v>23</v>
      </c>
      <c r="D853" s="35" t="s">
        <v>46</v>
      </c>
      <c r="E853" s="35" t="s">
        <v>25</v>
      </c>
      <c r="F853" s="35" t="s">
        <v>25</v>
      </c>
      <c r="G853" s="35" t="s">
        <v>25</v>
      </c>
      <c r="H853" s="35" t="s">
        <v>25</v>
      </c>
      <c r="I853" s="55">
        <v>44713</v>
      </c>
      <c r="J853" s="56">
        <f>EFEITO!$J$853*EFEITO!$Y$853</f>
        <v>0</v>
      </c>
      <c r="K853" s="56">
        <f ca="1">EFEITO!$L$853*EFEITO!$Z$853</f>
        <v>151720.0967290297</v>
      </c>
      <c r="L853" s="56">
        <f>EFEITO!$N$853*EFEITO!$AA$853</f>
        <v>73653.83100527573</v>
      </c>
      <c r="M853" s="56">
        <f>$J$853-EFEITO!$K$853*EFEITO!$Y$853</f>
        <v>0</v>
      </c>
      <c r="N853" s="56">
        <f ca="1">$K$853-EFEITO!$M$853*EFEITO!$Z$853</f>
        <v>0</v>
      </c>
      <c r="O853" s="56">
        <f>$L$853-EFEITO!$O$853*EFEITO!$AA$853</f>
        <v>0</v>
      </c>
      <c r="P853" s="39"/>
      <c r="Q853" s="39"/>
      <c r="R853" s="39"/>
      <c r="S853" s="39"/>
      <c r="T853" s="39"/>
      <c r="U853" s="39"/>
      <c r="V853" s="39"/>
      <c r="W853" s="39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35" t="s">
        <v>28</v>
      </c>
      <c r="B854" s="35" t="s">
        <v>37</v>
      </c>
      <c r="C854" s="35" t="s">
        <v>23</v>
      </c>
      <c r="D854" s="35" t="s">
        <v>46</v>
      </c>
      <c r="E854" s="35" t="s">
        <v>25</v>
      </c>
      <c r="F854" s="35" t="s">
        <v>25</v>
      </c>
      <c r="G854" s="35" t="s">
        <v>25</v>
      </c>
      <c r="H854" s="35" t="s">
        <v>25</v>
      </c>
      <c r="I854" s="55">
        <v>44713</v>
      </c>
      <c r="J854" s="56">
        <f>EFEITO!$J$854*EFEITO!$Y$854</f>
        <v>0</v>
      </c>
      <c r="K854" s="56">
        <f ca="1">EFEITO!$L$854*EFEITO!$Z$854</f>
        <v>637.29305265428331</v>
      </c>
      <c r="L854" s="56">
        <f>EFEITO!$N$854*EFEITO!$AA$854</f>
        <v>309.37941520606529</v>
      </c>
      <c r="M854" s="56">
        <f>$J$854-EFEITO!$K$854*EFEITO!$Y$854</f>
        <v>0</v>
      </c>
      <c r="N854" s="56">
        <f ca="1">$K$854-EFEITO!$M$854*EFEITO!$Z$854</f>
        <v>0</v>
      </c>
      <c r="O854" s="56">
        <f>$L$854-EFEITO!$O$854*EFEITO!$AA$854</f>
        <v>0</v>
      </c>
      <c r="P854" s="39"/>
      <c r="Q854" s="39"/>
      <c r="R854" s="39"/>
      <c r="S854" s="39"/>
      <c r="T854" s="39"/>
      <c r="U854" s="39"/>
      <c r="V854" s="39"/>
      <c r="W854" s="39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35" t="s">
        <v>21</v>
      </c>
      <c r="B855" s="35" t="s">
        <v>37</v>
      </c>
      <c r="C855" s="35" t="s">
        <v>23</v>
      </c>
      <c r="D855" s="35" t="s">
        <v>46</v>
      </c>
      <c r="E855" s="35" t="s">
        <v>25</v>
      </c>
      <c r="F855" s="35" t="s">
        <v>25</v>
      </c>
      <c r="G855" s="35" t="s">
        <v>25</v>
      </c>
      <c r="H855" s="35" t="s">
        <v>25</v>
      </c>
      <c r="I855" s="55">
        <v>44743</v>
      </c>
      <c r="J855" s="56">
        <f>EFEITO!$J$855*EFEITO!$Y$855</f>
        <v>0</v>
      </c>
      <c r="K855" s="56">
        <f ca="1">EFEITO!$L$855*EFEITO!$Z$855</f>
        <v>142683.2619596975</v>
      </c>
      <c r="L855" s="56">
        <f>EFEITO!$N$855*EFEITO!$AA$855</f>
        <v>69266.821536703195</v>
      </c>
      <c r="M855" s="56">
        <f>$J$855-EFEITO!$K$855*EFEITO!$Y$855</f>
        <v>0</v>
      </c>
      <c r="N855" s="56">
        <f ca="1">$K$855-EFEITO!$M$855*EFEITO!$Z$855</f>
        <v>0</v>
      </c>
      <c r="O855" s="56">
        <f>$L$855-EFEITO!$O$855*EFEITO!$AA$855</f>
        <v>0</v>
      </c>
      <c r="P855" s="39"/>
      <c r="Q855" s="39"/>
      <c r="R855" s="39"/>
      <c r="S855" s="39"/>
      <c r="T855" s="39"/>
      <c r="U855" s="39"/>
      <c r="V855" s="39"/>
      <c r="W855" s="39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35" t="s">
        <v>28</v>
      </c>
      <c r="B856" s="35" t="s">
        <v>37</v>
      </c>
      <c r="C856" s="35" t="s">
        <v>23</v>
      </c>
      <c r="D856" s="35" t="s">
        <v>46</v>
      </c>
      <c r="E856" s="35" t="s">
        <v>25</v>
      </c>
      <c r="F856" s="35" t="s">
        <v>25</v>
      </c>
      <c r="G856" s="35" t="s">
        <v>25</v>
      </c>
      <c r="H856" s="35" t="s">
        <v>25</v>
      </c>
      <c r="I856" s="55">
        <v>44743</v>
      </c>
      <c r="J856" s="56">
        <f>EFEITO!$J$856*EFEITO!$Y$856</f>
        <v>0</v>
      </c>
      <c r="K856" s="56">
        <f ca="1">EFEITO!$L$856*EFEITO!$Z$856</f>
        <v>1074.0460826881567</v>
      </c>
      <c r="L856" s="56">
        <f>EFEITO!$N$856*EFEITO!$AA$856</f>
        <v>521.40494484047917</v>
      </c>
      <c r="M856" s="56">
        <f>$J$856-EFEITO!$K$856*EFEITO!$Y$856</f>
        <v>0</v>
      </c>
      <c r="N856" s="56">
        <f ca="1">$K$856-EFEITO!$M$856*EFEITO!$Z$856</f>
        <v>0</v>
      </c>
      <c r="O856" s="56">
        <f>$L$856-EFEITO!$O$856*EFEITO!$AA$856</f>
        <v>0</v>
      </c>
      <c r="P856" s="39"/>
      <c r="Q856" s="39"/>
      <c r="R856" s="39"/>
      <c r="S856" s="39"/>
      <c r="T856" s="39"/>
      <c r="U856" s="39"/>
      <c r="V856" s="39"/>
      <c r="W856" s="39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35" t="s">
        <v>21</v>
      </c>
      <c r="B857" s="35" t="s">
        <v>37</v>
      </c>
      <c r="C857" s="35" t="s">
        <v>23</v>
      </c>
      <c r="D857" s="35" t="s">
        <v>46</v>
      </c>
      <c r="E857" s="35" t="s">
        <v>25</v>
      </c>
      <c r="F857" s="35" t="s">
        <v>25</v>
      </c>
      <c r="G857" s="35" t="s">
        <v>25</v>
      </c>
      <c r="H857" s="35" t="s">
        <v>25</v>
      </c>
      <c r="I857" s="55">
        <v>44774</v>
      </c>
      <c r="J857" s="56">
        <f>EFEITO!$J$857*EFEITO!$Y$857</f>
        <v>0</v>
      </c>
      <c r="K857" s="56">
        <f ca="1">EFEITO!$L$857*EFEITO!$Z$857</f>
        <v>134363.26135776081</v>
      </c>
      <c r="L857" s="56">
        <f>EFEITO!$N$857*EFEITO!$AA$857</f>
        <v>65227.805404296618</v>
      </c>
      <c r="M857" s="56">
        <f>$J$857-EFEITO!$K$857*EFEITO!$Y$857</f>
        <v>0</v>
      </c>
      <c r="N857" s="56">
        <f ca="1">$K$857-EFEITO!$M$857*EFEITO!$Z$857</f>
        <v>0</v>
      </c>
      <c r="O857" s="56">
        <f>$L$857-EFEITO!$O$857*EFEITO!$AA$857</f>
        <v>0</v>
      </c>
      <c r="P857" s="39"/>
      <c r="Q857" s="39"/>
      <c r="R857" s="39"/>
      <c r="S857" s="39"/>
      <c r="T857" s="39"/>
      <c r="U857" s="39"/>
      <c r="V857" s="39"/>
      <c r="W857" s="39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35" t="s">
        <v>28</v>
      </c>
      <c r="B858" s="35" t="s">
        <v>37</v>
      </c>
      <c r="C858" s="35" t="s">
        <v>23</v>
      </c>
      <c r="D858" s="35" t="s">
        <v>46</v>
      </c>
      <c r="E858" s="35" t="s">
        <v>25</v>
      </c>
      <c r="F858" s="35" t="s">
        <v>25</v>
      </c>
      <c r="G858" s="35" t="s">
        <v>25</v>
      </c>
      <c r="H858" s="35" t="s">
        <v>25</v>
      </c>
      <c r="I858" s="55">
        <v>44774</v>
      </c>
      <c r="J858" s="56">
        <f>EFEITO!$J$858*EFEITO!$Y$858</f>
        <v>0</v>
      </c>
      <c r="K858" s="56">
        <f ca="1">EFEITO!$L$858*EFEITO!$Z$858</f>
        <v>1075.9743521364298</v>
      </c>
      <c r="L858" s="56">
        <f>EFEITO!$N$858*EFEITO!$AA$858</f>
        <v>522.34103989405276</v>
      </c>
      <c r="M858" s="56">
        <f>$J$858-EFEITO!$K$858*EFEITO!$Y$858</f>
        <v>0</v>
      </c>
      <c r="N858" s="56">
        <f ca="1">$K$858-EFEITO!$M$858*EFEITO!$Z$858</f>
        <v>0</v>
      </c>
      <c r="O858" s="56">
        <f>$L$858-EFEITO!$O$858*EFEITO!$AA$858</f>
        <v>0</v>
      </c>
      <c r="P858" s="39"/>
      <c r="Q858" s="39"/>
      <c r="R858" s="39"/>
      <c r="S858" s="39"/>
      <c r="T858" s="39"/>
      <c r="U858" s="39"/>
      <c r="V858" s="39"/>
      <c r="W858" s="39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35" t="s">
        <v>21</v>
      </c>
      <c r="B859" s="35" t="s">
        <v>37</v>
      </c>
      <c r="C859" s="35" t="s">
        <v>23</v>
      </c>
      <c r="D859" s="35" t="s">
        <v>46</v>
      </c>
      <c r="E859" s="35" t="s">
        <v>25</v>
      </c>
      <c r="F859" s="35" t="s">
        <v>25</v>
      </c>
      <c r="G859" s="35" t="s">
        <v>25</v>
      </c>
      <c r="H859" s="35" t="s">
        <v>25</v>
      </c>
      <c r="I859" s="55">
        <v>44805</v>
      </c>
      <c r="J859" s="56">
        <f>EFEITO!$J$859*EFEITO!$Y$859</f>
        <v>0</v>
      </c>
      <c r="K859" s="56">
        <f ca="1">EFEITO!$L$859*EFEITO!$Z$859</f>
        <v>201960.67513642512</v>
      </c>
      <c r="L859" s="56">
        <f>EFEITO!$N$859*EFEITO!$AA$859</f>
        <v>98043.553602371729</v>
      </c>
      <c r="M859" s="56">
        <f>$J$859-EFEITO!$K$859*EFEITO!$Y$859</f>
        <v>0</v>
      </c>
      <c r="N859" s="56">
        <f ca="1">$K$859-EFEITO!$M$859*EFEITO!$Z$859</f>
        <v>0</v>
      </c>
      <c r="O859" s="56">
        <f>$L$859-EFEITO!$O$859*EFEITO!$AA$859</f>
        <v>0</v>
      </c>
      <c r="P859" s="39"/>
      <c r="Q859" s="39"/>
      <c r="R859" s="39"/>
      <c r="S859" s="39"/>
      <c r="T859" s="39"/>
      <c r="U859" s="39"/>
      <c r="V859" s="39"/>
      <c r="W859" s="39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35" t="s">
        <v>28</v>
      </c>
      <c r="B860" s="35" t="s">
        <v>37</v>
      </c>
      <c r="C860" s="35" t="s">
        <v>23</v>
      </c>
      <c r="D860" s="35" t="s">
        <v>46</v>
      </c>
      <c r="E860" s="35" t="s">
        <v>25</v>
      </c>
      <c r="F860" s="35" t="s">
        <v>25</v>
      </c>
      <c r="G860" s="35" t="s">
        <v>25</v>
      </c>
      <c r="H860" s="35" t="s">
        <v>25</v>
      </c>
      <c r="I860" s="55">
        <v>44805</v>
      </c>
      <c r="J860" s="56">
        <f>EFEITO!$J$860*EFEITO!$Y$860</f>
        <v>0</v>
      </c>
      <c r="K860" s="56">
        <f ca="1">EFEITO!$L$860*EFEITO!$Z$860</f>
        <v>300.32796656854651</v>
      </c>
      <c r="L860" s="56">
        <f>EFEITO!$N$860*EFEITO!$AA$860</f>
        <v>145.79680459408371</v>
      </c>
      <c r="M860" s="56">
        <f>$J$860-EFEITO!$K$860*EFEITO!$Y$860</f>
        <v>0</v>
      </c>
      <c r="N860" s="56">
        <f ca="1">$K$860-EFEITO!$M$860*EFEITO!$Z$860</f>
        <v>0</v>
      </c>
      <c r="O860" s="56">
        <f>$L$860-EFEITO!$O$860*EFEITO!$AA$860</f>
        <v>0</v>
      </c>
      <c r="P860" s="39"/>
      <c r="Q860" s="39"/>
      <c r="R860" s="39"/>
      <c r="S860" s="39"/>
      <c r="T860" s="39"/>
      <c r="U860" s="39"/>
      <c r="V860" s="39"/>
      <c r="W860" s="39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35" t="s">
        <v>57</v>
      </c>
      <c r="B861" s="35" t="s">
        <v>37</v>
      </c>
      <c r="C861" s="35" t="s">
        <v>23</v>
      </c>
      <c r="D861" s="35" t="s">
        <v>46</v>
      </c>
      <c r="E861" s="35" t="s">
        <v>25</v>
      </c>
      <c r="F861" s="35" t="s">
        <v>25</v>
      </c>
      <c r="G861" s="35" t="s">
        <v>25</v>
      </c>
      <c r="H861" s="35" t="s">
        <v>25</v>
      </c>
      <c r="I861" s="55">
        <v>44835</v>
      </c>
      <c r="J861" s="56">
        <f>EFEITO!$J$861*EFEITO!$Y$861</f>
        <v>0</v>
      </c>
      <c r="K861" s="56">
        <f ca="1">EFEITO!$L$861*EFEITO!$Z$861</f>
        <v>201960.67513642512</v>
      </c>
      <c r="L861" s="56">
        <f>EFEITO!$N$861*EFEITO!$AA$861</f>
        <v>98043.553602371729</v>
      </c>
      <c r="M861" s="56">
        <f>$J$861-EFEITO!$K$861*EFEITO!$Y$861</f>
        <v>0</v>
      </c>
      <c r="N861" s="56">
        <f ca="1">$K$861-EFEITO!$M$861*EFEITO!$Z$861</f>
        <v>0</v>
      </c>
      <c r="O861" s="56">
        <f>$L$861-EFEITO!$O$861*EFEITO!$AA$861</f>
        <v>0</v>
      </c>
      <c r="P861" s="39"/>
      <c r="Q861" s="39"/>
      <c r="R861" s="39"/>
      <c r="S861" s="39"/>
      <c r="T861" s="39"/>
      <c r="U861" s="39"/>
      <c r="V861" s="39"/>
      <c r="W861" s="39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35" t="s">
        <v>57</v>
      </c>
      <c r="B862" s="35" t="s">
        <v>37</v>
      </c>
      <c r="C862" s="35" t="s">
        <v>23</v>
      </c>
      <c r="D862" s="35" t="s">
        <v>46</v>
      </c>
      <c r="E862" s="35" t="s">
        <v>25</v>
      </c>
      <c r="F862" s="35" t="s">
        <v>25</v>
      </c>
      <c r="G862" s="35" t="s">
        <v>25</v>
      </c>
      <c r="H862" s="35" t="s">
        <v>25</v>
      </c>
      <c r="I862" s="55">
        <v>44835</v>
      </c>
      <c r="J862" s="56">
        <f>EFEITO!$J$862*EFEITO!$Y$862</f>
        <v>0</v>
      </c>
      <c r="K862" s="56">
        <f ca="1">EFEITO!$L$862*EFEITO!$Z$862</f>
        <v>300.32796656854651</v>
      </c>
      <c r="L862" s="56">
        <f>EFEITO!$N$862*EFEITO!$AA$862</f>
        <v>145.79680459408371</v>
      </c>
      <c r="M862" s="56">
        <f>$J$862-EFEITO!$K$862*EFEITO!$Y$862</f>
        <v>0</v>
      </c>
      <c r="N862" s="56">
        <f ca="1">$K$862-EFEITO!$M$862*EFEITO!$Z$862</f>
        <v>0</v>
      </c>
      <c r="O862" s="56">
        <f>$L$862-EFEITO!$O$862*EFEITO!$AA$862</f>
        <v>0</v>
      </c>
      <c r="P862" s="39"/>
      <c r="Q862" s="39"/>
      <c r="R862" s="39"/>
      <c r="S862" s="39"/>
      <c r="T862" s="39"/>
      <c r="U862" s="39"/>
      <c r="V862" s="39"/>
      <c r="W862" s="39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35" t="s">
        <v>21</v>
      </c>
      <c r="B863" s="35" t="s">
        <v>37</v>
      </c>
      <c r="C863" s="35" t="s">
        <v>23</v>
      </c>
      <c r="D863" s="35" t="s">
        <v>50</v>
      </c>
      <c r="E863" s="35" t="s">
        <v>51</v>
      </c>
      <c r="F863" s="35" t="s">
        <v>25</v>
      </c>
      <c r="G863" s="35" t="s">
        <v>25</v>
      </c>
      <c r="H863" s="35" t="s">
        <v>25</v>
      </c>
      <c r="I863" s="55">
        <v>44501</v>
      </c>
      <c r="J863" s="56">
        <f>EFEITO!$J$863*EFEITO!$Y$862</f>
        <v>0</v>
      </c>
      <c r="K863" s="56">
        <f ca="1">EFEITO!$L$863*EFEITO!$Z$862</f>
        <v>65783.876362563387</v>
      </c>
      <c r="L863" s="56">
        <f>EFEITO!$N$863*EFEITO!$AA$862</f>
        <v>31935.350800189164</v>
      </c>
      <c r="M863" s="56">
        <f>$J$863-EFEITO!$K$863*EFEITO!$Y$863</f>
        <v>0</v>
      </c>
      <c r="N863" s="56">
        <f ca="1">$K$863-EFEITO!$M$863*EFEITO!$Z$863</f>
        <v>1973.5162908769053</v>
      </c>
      <c r="O863" s="56">
        <f>$L$863-EFEITO!$O$863*EFEITO!$AA$863</f>
        <v>958.06052400567933</v>
      </c>
      <c r="P863" s="39"/>
      <c r="Q863" s="39"/>
      <c r="R863" s="39"/>
      <c r="S863" s="39"/>
      <c r="T863" s="39"/>
      <c r="U863" s="39"/>
      <c r="V863" s="39"/>
      <c r="W863" s="39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35" t="s">
        <v>21</v>
      </c>
      <c r="B864" s="35" t="s">
        <v>37</v>
      </c>
      <c r="C864" s="35" t="s">
        <v>23</v>
      </c>
      <c r="D864" s="35" t="s">
        <v>50</v>
      </c>
      <c r="E864" s="35" t="s">
        <v>51</v>
      </c>
      <c r="F864" s="35" t="s">
        <v>25</v>
      </c>
      <c r="G864" s="35" t="s">
        <v>25</v>
      </c>
      <c r="H864" s="35" t="s">
        <v>25</v>
      </c>
      <c r="I864" s="55">
        <v>44531</v>
      </c>
      <c r="J864" s="56">
        <f>EFEITO!$J$864*EFEITO!$Y$862</f>
        <v>0</v>
      </c>
      <c r="K864" s="56">
        <f ca="1">EFEITO!$L$864*EFEITO!$Z$862</f>
        <v>61189.292334690486</v>
      </c>
      <c r="L864" s="56">
        <f>EFEITO!$N$864*EFEITO!$AA$862</f>
        <v>29704.870311286741</v>
      </c>
      <c r="M864" s="56">
        <f>$J$864-EFEITO!$K$864*EFEITO!$Y$864</f>
        <v>0</v>
      </c>
      <c r="N864" s="56">
        <f ca="1">$K$864-EFEITO!$M$864*EFEITO!$Z$864</f>
        <v>1835.6787700407149</v>
      </c>
      <c r="O864" s="56">
        <f>$L$864-EFEITO!$O$864*EFEITO!$AA$864</f>
        <v>891.14610933860604</v>
      </c>
      <c r="P864" s="39"/>
      <c r="Q864" s="39"/>
      <c r="R864" s="39"/>
      <c r="S864" s="39"/>
      <c r="T864" s="39"/>
      <c r="U864" s="39"/>
      <c r="V864" s="39"/>
      <c r="W864" s="39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35" t="s">
        <v>21</v>
      </c>
      <c r="B865" s="35" t="s">
        <v>37</v>
      </c>
      <c r="C865" s="35" t="s">
        <v>23</v>
      </c>
      <c r="D865" s="35" t="s">
        <v>50</v>
      </c>
      <c r="E865" s="35" t="s">
        <v>51</v>
      </c>
      <c r="F865" s="35" t="s">
        <v>25</v>
      </c>
      <c r="G865" s="35" t="s">
        <v>25</v>
      </c>
      <c r="H865" s="35" t="s">
        <v>25</v>
      </c>
      <c r="I865" s="55">
        <v>44562</v>
      </c>
      <c r="J865" s="56">
        <f>EFEITO!$J$865*EFEITO!$Y$862</f>
        <v>0</v>
      </c>
      <c r="K865" s="56">
        <f ca="1">EFEITO!$L$865*EFEITO!$Z$862</f>
        <v>61685.339650258764</v>
      </c>
      <c r="L865" s="56">
        <f>EFEITO!$N$865*EFEITO!$AA$862</f>
        <v>29945.680763818538</v>
      </c>
      <c r="M865" s="56">
        <f>$J$865-EFEITO!$K$865*EFEITO!$Y$865</f>
        <v>0</v>
      </c>
      <c r="N865" s="56">
        <f ca="1">$K$865-EFEITO!$M$865*EFEITO!$Z$865</f>
        <v>1850.5601895077707</v>
      </c>
      <c r="O865" s="56">
        <f>$L$865-EFEITO!$O$865*EFEITO!$AA$865</f>
        <v>898.37042291455873</v>
      </c>
      <c r="P865" s="39"/>
      <c r="Q865" s="39"/>
      <c r="R865" s="39"/>
      <c r="S865" s="39"/>
      <c r="T865" s="39"/>
      <c r="U865" s="39"/>
      <c r="V865" s="39"/>
      <c r="W865" s="39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35" t="s">
        <v>21</v>
      </c>
      <c r="B866" s="35" t="s">
        <v>37</v>
      </c>
      <c r="C866" s="35" t="s">
        <v>23</v>
      </c>
      <c r="D866" s="35" t="s">
        <v>50</v>
      </c>
      <c r="E866" s="35" t="s">
        <v>51</v>
      </c>
      <c r="F866" s="35" t="s">
        <v>25</v>
      </c>
      <c r="G866" s="35" t="s">
        <v>25</v>
      </c>
      <c r="H866" s="35" t="s">
        <v>25</v>
      </c>
      <c r="I866" s="55">
        <v>44593</v>
      </c>
      <c r="J866" s="56">
        <f>EFEITO!$J$866*EFEITO!$Y$862</f>
        <v>0</v>
      </c>
      <c r="K866" s="56">
        <f ca="1">EFEITO!$L$866*EFEITO!$Z$862</f>
        <v>57825.426282177941</v>
      </c>
      <c r="L866" s="56">
        <f>EFEITO!$N$866*EFEITO!$AA$862</f>
        <v>28071.852490327645</v>
      </c>
      <c r="M866" s="56">
        <f>$J$866-EFEITO!$K$866*EFEITO!$Y$866</f>
        <v>0</v>
      </c>
      <c r="N866" s="56">
        <f ca="1">$K$866-EFEITO!$M$866*EFEITO!$Z$866</f>
        <v>1734.7627884653339</v>
      </c>
      <c r="O866" s="56">
        <f>$L$866-EFEITO!$O$866*EFEITO!$AA$866</f>
        <v>842.15557470983185</v>
      </c>
      <c r="P866" s="39"/>
      <c r="Q866" s="39"/>
      <c r="R866" s="39"/>
      <c r="S866" s="39"/>
      <c r="T866" s="39"/>
      <c r="U866" s="39"/>
      <c r="V866" s="39"/>
      <c r="W866" s="39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35" t="s">
        <v>21</v>
      </c>
      <c r="B867" s="35" t="s">
        <v>37</v>
      </c>
      <c r="C867" s="35" t="s">
        <v>23</v>
      </c>
      <c r="D867" s="35" t="s">
        <v>50</v>
      </c>
      <c r="E867" s="35" t="s">
        <v>51</v>
      </c>
      <c r="F867" s="35" t="s">
        <v>25</v>
      </c>
      <c r="G867" s="35" t="s">
        <v>25</v>
      </c>
      <c r="H867" s="35" t="s">
        <v>25</v>
      </c>
      <c r="I867" s="55">
        <v>44621</v>
      </c>
      <c r="J867" s="56">
        <f>EFEITO!$J$867*EFEITO!$Y$862</f>
        <v>0</v>
      </c>
      <c r="K867" s="56">
        <f ca="1">EFEITO!$L$867*EFEITO!$Z$862</f>
        <v>54589.308080613489</v>
      </c>
      <c r="L867" s="56">
        <f>EFEITO!$N$867*EFEITO!$AA$862</f>
        <v>26500.850966667796</v>
      </c>
      <c r="M867" s="56">
        <f>$J$867-EFEITO!$K$867*EFEITO!$Y$867</f>
        <v>0</v>
      </c>
      <c r="N867" s="56">
        <f ca="1">$K$867-EFEITO!$M$867*EFEITO!$Z$867</f>
        <v>1637.6792424184096</v>
      </c>
      <c r="O867" s="56">
        <f>$L$867-EFEITO!$O$867*EFEITO!$AA$867</f>
        <v>795.02552900003502</v>
      </c>
      <c r="P867" s="39"/>
      <c r="Q867" s="39"/>
      <c r="R867" s="39"/>
      <c r="S867" s="39"/>
      <c r="T867" s="39"/>
      <c r="U867" s="39"/>
      <c r="V867" s="39"/>
      <c r="W867" s="39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35" t="s">
        <v>21</v>
      </c>
      <c r="B868" s="35" t="s">
        <v>37</v>
      </c>
      <c r="C868" s="35" t="s">
        <v>23</v>
      </c>
      <c r="D868" s="35" t="s">
        <v>50</v>
      </c>
      <c r="E868" s="35" t="s">
        <v>51</v>
      </c>
      <c r="F868" s="35" t="s">
        <v>25</v>
      </c>
      <c r="G868" s="35" t="s">
        <v>25</v>
      </c>
      <c r="H868" s="35" t="s">
        <v>25</v>
      </c>
      <c r="I868" s="55">
        <v>44652</v>
      </c>
      <c r="J868" s="56">
        <f>EFEITO!$J$868*EFEITO!$Y$862</f>
        <v>0</v>
      </c>
      <c r="K868" s="56">
        <f ca="1">EFEITO!$L$868*EFEITO!$Z$862</f>
        <v>62051.228778068595</v>
      </c>
      <c r="L868" s="56">
        <f>EFEITO!$N$868*EFEITO!$AA$862</f>
        <v>30123.304800234124</v>
      </c>
      <c r="M868" s="56">
        <f>$J$868-EFEITO!$K$868*EFEITO!$Y$868</f>
        <v>0</v>
      </c>
      <c r="N868" s="56">
        <f ca="1">$K$868-EFEITO!$M$868*EFEITO!$Z$868</f>
        <v>1861.5368633420585</v>
      </c>
      <c r="O868" s="56">
        <f>$L$868-EFEITO!$O$868*EFEITO!$AA$868</f>
        <v>903.69914400702692</v>
      </c>
      <c r="P868" s="39"/>
      <c r="Q868" s="39"/>
      <c r="R868" s="39"/>
      <c r="S868" s="39"/>
      <c r="T868" s="39"/>
      <c r="U868" s="39"/>
      <c r="V868" s="39"/>
      <c r="W868" s="39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35" t="s">
        <v>21</v>
      </c>
      <c r="B869" s="35" t="s">
        <v>37</v>
      </c>
      <c r="C869" s="35" t="s">
        <v>23</v>
      </c>
      <c r="D869" s="35" t="s">
        <v>50</v>
      </c>
      <c r="E869" s="35" t="s">
        <v>51</v>
      </c>
      <c r="F869" s="35" t="s">
        <v>25</v>
      </c>
      <c r="G869" s="35" t="s">
        <v>25</v>
      </c>
      <c r="H869" s="35" t="s">
        <v>25</v>
      </c>
      <c r="I869" s="55">
        <v>44682</v>
      </c>
      <c r="J869" s="56">
        <f>EFEITO!$J$869*EFEITO!$Y$862</f>
        <v>0</v>
      </c>
      <c r="K869" s="56">
        <f ca="1">EFEITO!$L$869*EFEITO!$Z$862</f>
        <v>66028.766582494078</v>
      </c>
      <c r="L869" s="56">
        <f>EFEITO!$N$869*EFEITO!$AA$862</f>
        <v>32054.234871993009</v>
      </c>
      <c r="M869" s="56">
        <f>$J$869-EFEITO!$K$869*EFEITO!$Y$869</f>
        <v>0</v>
      </c>
      <c r="N869" s="56">
        <f ca="1">$K$869-EFEITO!$M$869*EFEITO!$Z$869</f>
        <v>1980.8629974748183</v>
      </c>
      <c r="O869" s="56">
        <f>$L$869-EFEITO!$O$869*EFEITO!$AA$869</f>
        <v>961.62704615979237</v>
      </c>
      <c r="P869" s="39"/>
      <c r="Q869" s="39"/>
      <c r="R869" s="39"/>
      <c r="S869" s="39"/>
      <c r="T869" s="39"/>
      <c r="U869" s="39"/>
      <c r="V869" s="39"/>
      <c r="W869" s="39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35" t="s">
        <v>21</v>
      </c>
      <c r="B870" s="35" t="s">
        <v>37</v>
      </c>
      <c r="C870" s="35" t="s">
        <v>23</v>
      </c>
      <c r="D870" s="35" t="s">
        <v>50</v>
      </c>
      <c r="E870" s="35" t="s">
        <v>51</v>
      </c>
      <c r="F870" s="35" t="s">
        <v>25</v>
      </c>
      <c r="G870" s="35" t="s">
        <v>25</v>
      </c>
      <c r="H870" s="35" t="s">
        <v>25</v>
      </c>
      <c r="I870" s="55">
        <v>44713</v>
      </c>
      <c r="J870" s="56">
        <f>EFEITO!$J$870*EFEITO!$Y$862</f>
        <v>0</v>
      </c>
      <c r="K870" s="56">
        <f ca="1">EFEITO!$L$870*EFEITO!$Z$862</f>
        <v>58468.504143177051</v>
      </c>
      <c r="L870" s="56">
        <f>EFEITO!$N$870*EFEITO!$AA$862</f>
        <v>28384.040190694432</v>
      </c>
      <c r="M870" s="56">
        <f>$J$870-EFEITO!$K$870*EFEITO!$Y$870</f>
        <v>0</v>
      </c>
      <c r="N870" s="56">
        <f ca="1">$K$870-EFEITO!$M$870*EFEITO!$Z$870</f>
        <v>1754.0551242953152</v>
      </c>
      <c r="O870" s="56">
        <f>$L$870-EFEITO!$O$870*EFEITO!$AA$870</f>
        <v>851.52120572083368</v>
      </c>
      <c r="P870" s="39"/>
      <c r="Q870" s="39"/>
      <c r="R870" s="39"/>
      <c r="S870" s="39"/>
      <c r="T870" s="39"/>
      <c r="U870" s="39"/>
      <c r="V870" s="39"/>
      <c r="W870" s="39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35" t="s">
        <v>21</v>
      </c>
      <c r="B871" s="35" t="s">
        <v>37</v>
      </c>
      <c r="C871" s="35" t="s">
        <v>23</v>
      </c>
      <c r="D871" s="35" t="s">
        <v>50</v>
      </c>
      <c r="E871" s="35" t="s">
        <v>51</v>
      </c>
      <c r="F871" s="35" t="s">
        <v>25</v>
      </c>
      <c r="G871" s="35" t="s">
        <v>25</v>
      </c>
      <c r="H871" s="35" t="s">
        <v>25</v>
      </c>
      <c r="I871" s="55">
        <v>44743</v>
      </c>
      <c r="J871" s="56">
        <f>EFEITO!$J$871*EFEITO!$Y$862</f>
        <v>0</v>
      </c>
      <c r="K871" s="56">
        <f ca="1">EFEITO!$L$871*EFEITO!$Z$862</f>
        <v>64929.652996978373</v>
      </c>
      <c r="L871" s="56">
        <f>EFEITO!$N$871*EFEITO!$AA$862</f>
        <v>31520.660691456073</v>
      </c>
      <c r="M871" s="56">
        <f>$J$871-EFEITO!$K$871*EFEITO!$Y$871</f>
        <v>0</v>
      </c>
      <c r="N871" s="56">
        <f ca="1">$K$871-EFEITO!$M$871*EFEITO!$Z$871</f>
        <v>1947.889589909355</v>
      </c>
      <c r="O871" s="56">
        <f>$L$871-EFEITO!$O$871*EFEITO!$AA$871</f>
        <v>945.61982074368279</v>
      </c>
      <c r="P871" s="39"/>
      <c r="Q871" s="39"/>
      <c r="R871" s="39"/>
      <c r="S871" s="39"/>
      <c r="T871" s="39"/>
      <c r="U871" s="39"/>
      <c r="V871" s="39"/>
      <c r="W871" s="39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35" t="s">
        <v>21</v>
      </c>
      <c r="B872" s="35" t="s">
        <v>37</v>
      </c>
      <c r="C872" s="35" t="s">
        <v>23</v>
      </c>
      <c r="D872" s="35" t="s">
        <v>50</v>
      </c>
      <c r="E872" s="35" t="s">
        <v>51</v>
      </c>
      <c r="F872" s="35" t="s">
        <v>25</v>
      </c>
      <c r="G872" s="35" t="s">
        <v>25</v>
      </c>
      <c r="H872" s="35" t="s">
        <v>25</v>
      </c>
      <c r="I872" s="55">
        <v>44774</v>
      </c>
      <c r="J872" s="56">
        <f>EFEITO!$J$872*EFEITO!$Y$862</f>
        <v>0</v>
      </c>
      <c r="K872" s="56">
        <f ca="1">EFEITO!$L$872*EFEITO!$Z$862</f>
        <v>65250.709860115858</v>
      </c>
      <c r="L872" s="56">
        <f>EFEITO!$N$872*EFEITO!$AA$862</f>
        <v>31676.520517876073</v>
      </c>
      <c r="M872" s="56">
        <f>$J$872-EFEITO!$K$872*EFEITO!$Y$872</f>
        <v>0</v>
      </c>
      <c r="N872" s="56">
        <f ca="1">$K$872-EFEITO!$M$872*EFEITO!$Z$872</f>
        <v>1957.5212958034826</v>
      </c>
      <c r="O872" s="56">
        <f>$L$872-EFEITO!$O$872*EFEITO!$AA$872</f>
        <v>950.29561553628446</v>
      </c>
      <c r="P872" s="39"/>
      <c r="Q872" s="39"/>
      <c r="R872" s="39"/>
      <c r="S872" s="39"/>
      <c r="T872" s="39"/>
      <c r="U872" s="39"/>
      <c r="V872" s="39"/>
      <c r="W872" s="39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35" t="s">
        <v>21</v>
      </c>
      <c r="B873" s="35" t="s">
        <v>37</v>
      </c>
      <c r="C873" s="35" t="s">
        <v>23</v>
      </c>
      <c r="D873" s="35" t="s">
        <v>50</v>
      </c>
      <c r="E873" s="35" t="s">
        <v>51</v>
      </c>
      <c r="F873" s="35" t="s">
        <v>25</v>
      </c>
      <c r="G873" s="35" t="s">
        <v>25</v>
      </c>
      <c r="H873" s="35" t="s">
        <v>25</v>
      </c>
      <c r="I873" s="55">
        <v>44805</v>
      </c>
      <c r="J873" s="56">
        <f>EFEITO!$J$873*EFEITO!$Y$862</f>
        <v>0</v>
      </c>
      <c r="K873" s="56">
        <f ca="1">EFEITO!$L$873*EFEITO!$Z$862</f>
        <v>67806.631013801947</v>
      </c>
      <c r="L873" s="56">
        <f>EFEITO!$N$873*EFEITO!$AA$862</f>
        <v>32917.314511387842</v>
      </c>
      <c r="M873" s="56">
        <f>$J$873-EFEITO!$K$873*EFEITO!$Y$873</f>
        <v>0</v>
      </c>
      <c r="N873" s="56">
        <f ca="1">$K$873-EFEITO!$M$873*EFEITO!$Z$873</f>
        <v>2034.1989304140589</v>
      </c>
      <c r="O873" s="56">
        <f>$L$873-EFEITO!$O$873*EFEITO!$AA$873</f>
        <v>987.51943534164093</v>
      </c>
      <c r="P873" s="39"/>
      <c r="Q873" s="39"/>
      <c r="R873" s="39"/>
      <c r="S873" s="39"/>
      <c r="T873" s="39"/>
      <c r="U873" s="39"/>
      <c r="V873" s="39"/>
      <c r="W873" s="39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35" t="s">
        <v>57</v>
      </c>
      <c r="B874" s="35" t="s">
        <v>37</v>
      </c>
      <c r="C874" s="35" t="s">
        <v>23</v>
      </c>
      <c r="D874" s="35" t="s">
        <v>50</v>
      </c>
      <c r="E874" s="35" t="s">
        <v>51</v>
      </c>
      <c r="F874" s="35" t="s">
        <v>25</v>
      </c>
      <c r="G874" s="35" t="s">
        <v>25</v>
      </c>
      <c r="H874" s="35" t="s">
        <v>25</v>
      </c>
      <c r="I874" s="55">
        <v>44835</v>
      </c>
      <c r="J874" s="56">
        <f>EFEITO!$J$874*EFEITO!$Y$862</f>
        <v>0</v>
      </c>
      <c r="K874" s="56">
        <f ca="1">EFEITO!$L$874*EFEITO!$Z$862</f>
        <v>67806.631013801947</v>
      </c>
      <c r="L874" s="56">
        <f>EFEITO!$N$874*EFEITO!$AA$862</f>
        <v>32917.314511387842</v>
      </c>
      <c r="M874" s="56">
        <f>$J$874-EFEITO!$K$874*EFEITO!$Y$874</f>
        <v>0</v>
      </c>
      <c r="N874" s="56">
        <f ca="1">$K$874-EFEITO!$M$874*EFEITO!$Z$874</f>
        <v>2034.1989304140589</v>
      </c>
      <c r="O874" s="56">
        <f>$L$874-EFEITO!$O$874*EFEITO!$AA$874</f>
        <v>987.51943534164093</v>
      </c>
      <c r="P874" s="39"/>
      <c r="Q874" s="39"/>
      <c r="R874" s="39"/>
      <c r="S874" s="39"/>
      <c r="T874" s="39"/>
      <c r="U874" s="39"/>
      <c r="V874" s="39"/>
      <c r="W874" s="39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35" t="s">
        <v>21</v>
      </c>
      <c r="B875" s="35" t="s">
        <v>47</v>
      </c>
      <c r="C875" s="35" t="s">
        <v>23</v>
      </c>
      <c r="D875" s="35" t="s">
        <v>48</v>
      </c>
      <c r="E875" s="35" t="s">
        <v>49</v>
      </c>
      <c r="F875" s="35" t="s">
        <v>25</v>
      </c>
      <c r="G875" s="35" t="s">
        <v>25</v>
      </c>
      <c r="H875" s="35" t="s">
        <v>25</v>
      </c>
      <c r="I875" s="55">
        <v>44501</v>
      </c>
      <c r="J875" s="56">
        <f>EFEITO!$J$875*EFEITO!$Y$875</f>
        <v>0</v>
      </c>
      <c r="K875" s="56">
        <f ca="1">EFEITO!$L$875*EFEITO!$Z$875</f>
        <v>102980.29043322529</v>
      </c>
      <c r="L875" s="56">
        <f>EFEITO!$N$875*EFEITO!$AA$875</f>
        <v>49992.671188376029</v>
      </c>
      <c r="M875" s="56">
        <f>$J$875-EFEITO!$K$875*EFEITO!$Y$875</f>
        <v>0</v>
      </c>
      <c r="N875" s="56">
        <f ca="1">$K$875-EFEITO!$M$875*EFEITO!$Z$875</f>
        <v>0</v>
      </c>
      <c r="O875" s="56">
        <f>$L$875-EFEITO!$O$875*EFEITO!$AA$875</f>
        <v>0</v>
      </c>
      <c r="P875" s="39"/>
      <c r="Q875" s="39"/>
      <c r="R875" s="39"/>
      <c r="S875" s="39"/>
      <c r="T875" s="39"/>
      <c r="U875" s="39"/>
      <c r="V875" s="39"/>
      <c r="W875" s="39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35" t="s">
        <v>21</v>
      </c>
      <c r="B876" s="35" t="s">
        <v>47</v>
      </c>
      <c r="C876" s="35" t="s">
        <v>23</v>
      </c>
      <c r="D876" s="35" t="s">
        <v>48</v>
      </c>
      <c r="E876" s="35" t="s">
        <v>49</v>
      </c>
      <c r="F876" s="35" t="s">
        <v>25</v>
      </c>
      <c r="G876" s="35" t="s">
        <v>25</v>
      </c>
      <c r="H876" s="35" t="s">
        <v>25</v>
      </c>
      <c r="I876" s="55">
        <v>44531</v>
      </c>
      <c r="J876" s="56">
        <f>EFEITO!$J$876*EFEITO!$Y$876</f>
        <v>0</v>
      </c>
      <c r="K876" s="56">
        <f ca="1">EFEITO!$L$876*EFEITO!$Z$876</f>
        <v>103976.67546388424</v>
      </c>
      <c r="L876" s="56">
        <f>EFEITO!$N$876*EFEITO!$AA$876</f>
        <v>50476.374904933829</v>
      </c>
      <c r="M876" s="56">
        <f>$J$876-EFEITO!$K$876*EFEITO!$Y$876</f>
        <v>0</v>
      </c>
      <c r="N876" s="56">
        <f ca="1">$K$876-EFEITO!$M$876*EFEITO!$Z$876</f>
        <v>0</v>
      </c>
      <c r="O876" s="56">
        <f>$L$876-EFEITO!$O$876*EFEITO!$AA$876</f>
        <v>0</v>
      </c>
      <c r="P876" s="39"/>
      <c r="Q876" s="39"/>
      <c r="R876" s="39"/>
      <c r="S876" s="39"/>
      <c r="T876" s="39"/>
      <c r="U876" s="39"/>
      <c r="V876" s="39"/>
      <c r="W876" s="39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35" t="s">
        <v>21</v>
      </c>
      <c r="B877" s="35" t="s">
        <v>47</v>
      </c>
      <c r="C877" s="35" t="s">
        <v>23</v>
      </c>
      <c r="D877" s="35" t="s">
        <v>48</v>
      </c>
      <c r="E877" s="35" t="s">
        <v>49</v>
      </c>
      <c r="F877" s="35" t="s">
        <v>25</v>
      </c>
      <c r="G877" s="35" t="s">
        <v>25</v>
      </c>
      <c r="H877" s="35" t="s">
        <v>25</v>
      </c>
      <c r="I877" s="55">
        <v>44562</v>
      </c>
      <c r="J877" s="56">
        <f>EFEITO!$J$877*EFEITO!$Y$877</f>
        <v>0</v>
      </c>
      <c r="K877" s="56">
        <f ca="1">EFEITO!$L$877*EFEITO!$Z$877</f>
        <v>105664.00764459568</v>
      </c>
      <c r="L877" s="56">
        <f>EFEITO!$N$877*EFEITO!$AA$877</f>
        <v>51295.504881563385</v>
      </c>
      <c r="M877" s="56">
        <f>$J$877-EFEITO!$K$877*EFEITO!$Y$877</f>
        <v>0</v>
      </c>
      <c r="N877" s="56">
        <f ca="1">$K$877-EFEITO!$M$877*EFEITO!$Z$877</f>
        <v>0</v>
      </c>
      <c r="O877" s="56">
        <f>$L$877-EFEITO!$O$877*EFEITO!$AA$877</f>
        <v>0</v>
      </c>
      <c r="P877" s="39"/>
      <c r="Q877" s="39"/>
      <c r="R877" s="39"/>
      <c r="S877" s="39"/>
      <c r="T877" s="39"/>
      <c r="U877" s="39"/>
      <c r="V877" s="39"/>
      <c r="W877" s="39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35" t="s">
        <v>21</v>
      </c>
      <c r="B878" s="35" t="s">
        <v>47</v>
      </c>
      <c r="C878" s="35" t="s">
        <v>23</v>
      </c>
      <c r="D878" s="35" t="s">
        <v>48</v>
      </c>
      <c r="E878" s="35" t="s">
        <v>49</v>
      </c>
      <c r="F878" s="35" t="s">
        <v>25</v>
      </c>
      <c r="G878" s="35" t="s">
        <v>25</v>
      </c>
      <c r="H878" s="35" t="s">
        <v>25</v>
      </c>
      <c r="I878" s="55">
        <v>44593</v>
      </c>
      <c r="J878" s="56">
        <f>EFEITO!$J$878*EFEITO!$Y$878</f>
        <v>0</v>
      </c>
      <c r="K878" s="56">
        <f ca="1">EFEITO!$L$878*EFEITO!$Z$878</f>
        <v>98753.47559587429</v>
      </c>
      <c r="L878" s="56">
        <f>EFEITO!$N$878*EFEITO!$AA$878</f>
        <v>47940.727428566424</v>
      </c>
      <c r="M878" s="56">
        <f>$J$878-EFEITO!$K$878*EFEITO!$Y$878</f>
        <v>0</v>
      </c>
      <c r="N878" s="56">
        <f ca="1">$K$878-EFEITO!$M$878*EFEITO!$Z$878</f>
        <v>0</v>
      </c>
      <c r="O878" s="56">
        <f>$L$878-EFEITO!$O$878*EFEITO!$AA$878</f>
        <v>0</v>
      </c>
      <c r="P878" s="39"/>
      <c r="Q878" s="39"/>
      <c r="R878" s="39"/>
      <c r="S878" s="39"/>
      <c r="T878" s="39"/>
      <c r="U878" s="39"/>
      <c r="V878" s="39"/>
      <c r="W878" s="39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35" t="s">
        <v>21</v>
      </c>
      <c r="B879" s="35" t="s">
        <v>47</v>
      </c>
      <c r="C879" s="35" t="s">
        <v>23</v>
      </c>
      <c r="D879" s="35" t="s">
        <v>48</v>
      </c>
      <c r="E879" s="35" t="s">
        <v>49</v>
      </c>
      <c r="F879" s="35" t="s">
        <v>25</v>
      </c>
      <c r="G879" s="35" t="s">
        <v>25</v>
      </c>
      <c r="H879" s="35" t="s">
        <v>25</v>
      </c>
      <c r="I879" s="55">
        <v>44621</v>
      </c>
      <c r="J879" s="56">
        <f>EFEITO!$J$879*EFEITO!$Y$879</f>
        <v>0</v>
      </c>
      <c r="K879" s="56">
        <f ca="1">EFEITO!$L$879*EFEITO!$Z$879</f>
        <v>113611.49069249407</v>
      </c>
      <c r="L879" s="56">
        <f>EFEITO!$N$879*EFEITO!$AA$879</f>
        <v>55153.679150807708</v>
      </c>
      <c r="M879" s="56">
        <f>$J$879-EFEITO!$K$879*EFEITO!$Y$879</f>
        <v>0</v>
      </c>
      <c r="N879" s="56">
        <f ca="1">$K$879-EFEITO!$M$879*EFEITO!$Z$879</f>
        <v>0</v>
      </c>
      <c r="O879" s="56">
        <f>$L$879-EFEITO!$O$879*EFEITO!$AA$879</f>
        <v>0</v>
      </c>
      <c r="P879" s="39"/>
      <c r="Q879" s="39"/>
      <c r="R879" s="39"/>
      <c r="S879" s="39"/>
      <c r="T879" s="39"/>
      <c r="U879" s="39"/>
      <c r="V879" s="39"/>
      <c r="W879" s="39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35" t="s">
        <v>21</v>
      </c>
      <c r="B880" s="35" t="s">
        <v>47</v>
      </c>
      <c r="C880" s="35" t="s">
        <v>23</v>
      </c>
      <c r="D880" s="35" t="s">
        <v>48</v>
      </c>
      <c r="E880" s="35" t="s">
        <v>49</v>
      </c>
      <c r="F880" s="35" t="s">
        <v>25</v>
      </c>
      <c r="G880" s="35" t="s">
        <v>25</v>
      </c>
      <c r="H880" s="35" t="s">
        <v>25</v>
      </c>
      <c r="I880" s="55">
        <v>44652</v>
      </c>
      <c r="J880" s="56">
        <f>EFEITO!$J$880*EFEITO!$Y$880</f>
        <v>0</v>
      </c>
      <c r="K880" s="56">
        <f ca="1">EFEITO!$L$880*EFEITO!$Z$880</f>
        <v>114229.2600169846</v>
      </c>
      <c r="L880" s="56">
        <f>EFEITO!$N$880*EFEITO!$AA$880</f>
        <v>55453.580603596347</v>
      </c>
      <c r="M880" s="56">
        <f>$J$880-EFEITO!$K$880*EFEITO!$Y$880</f>
        <v>0</v>
      </c>
      <c r="N880" s="56">
        <f ca="1">$K$880-EFEITO!$M$880*EFEITO!$Z$880</f>
        <v>0</v>
      </c>
      <c r="O880" s="56">
        <f>$L$880-EFEITO!$O$880*EFEITO!$AA$880</f>
        <v>0</v>
      </c>
      <c r="P880" s="39"/>
      <c r="Q880" s="39"/>
      <c r="R880" s="39"/>
      <c r="S880" s="39"/>
      <c r="T880" s="39"/>
      <c r="U880" s="39"/>
      <c r="V880" s="39"/>
      <c r="W880" s="39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35" t="s">
        <v>21</v>
      </c>
      <c r="B881" s="35" t="s">
        <v>47</v>
      </c>
      <c r="C881" s="35" t="s">
        <v>23</v>
      </c>
      <c r="D881" s="35" t="s">
        <v>48</v>
      </c>
      <c r="E881" s="35" t="s">
        <v>49</v>
      </c>
      <c r="F881" s="35" t="s">
        <v>25</v>
      </c>
      <c r="G881" s="35" t="s">
        <v>25</v>
      </c>
      <c r="H881" s="35" t="s">
        <v>25</v>
      </c>
      <c r="I881" s="55">
        <v>44682</v>
      </c>
      <c r="J881" s="56">
        <f>EFEITO!$J$881*EFEITO!$Y$881</f>
        <v>0</v>
      </c>
      <c r="K881" s="56">
        <f ca="1">EFEITO!$L$881*EFEITO!$Z$881</f>
        <v>121409.70158172803</v>
      </c>
      <c r="L881" s="56">
        <f>EFEITO!$N$881*EFEITO!$AA$881</f>
        <v>58939.387961717264</v>
      </c>
      <c r="M881" s="56">
        <f>$J$881-EFEITO!$K$881*EFEITO!$Y$881</f>
        <v>0</v>
      </c>
      <c r="N881" s="56">
        <f ca="1">$K$881-EFEITO!$M$881*EFEITO!$Z$881</f>
        <v>0</v>
      </c>
      <c r="O881" s="56">
        <f>$L$881-EFEITO!$O$881*EFEITO!$AA$881</f>
        <v>0</v>
      </c>
      <c r="P881" s="39"/>
      <c r="Q881" s="39"/>
      <c r="R881" s="39"/>
      <c r="S881" s="39"/>
      <c r="T881" s="39"/>
      <c r="U881" s="39"/>
      <c r="V881" s="39"/>
      <c r="W881" s="39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35" t="s">
        <v>21</v>
      </c>
      <c r="B882" s="35" t="s">
        <v>47</v>
      </c>
      <c r="C882" s="35" t="s">
        <v>23</v>
      </c>
      <c r="D882" s="35" t="s">
        <v>48</v>
      </c>
      <c r="E882" s="35" t="s">
        <v>49</v>
      </c>
      <c r="F882" s="35" t="s">
        <v>25</v>
      </c>
      <c r="G882" s="35" t="s">
        <v>25</v>
      </c>
      <c r="H882" s="35" t="s">
        <v>25</v>
      </c>
      <c r="I882" s="55">
        <v>44713</v>
      </c>
      <c r="J882" s="56">
        <f>EFEITO!$J$882*EFEITO!$Y$882</f>
        <v>0</v>
      </c>
      <c r="K882" s="56">
        <f ca="1">EFEITO!$L$882*EFEITO!$Z$882</f>
        <v>119394.39487123342</v>
      </c>
      <c r="L882" s="56">
        <f>EFEITO!$N$882*EFEITO!$AA$882</f>
        <v>57961.039917663016</v>
      </c>
      <c r="M882" s="56">
        <f>$J$882-EFEITO!$K$882*EFEITO!$Y$882</f>
        <v>0</v>
      </c>
      <c r="N882" s="56">
        <f ca="1">$K$882-EFEITO!$M$882*EFEITO!$Z$882</f>
        <v>0</v>
      </c>
      <c r="O882" s="56">
        <f>$L$882-EFEITO!$O$882*EFEITO!$AA$882</f>
        <v>0</v>
      </c>
      <c r="P882" s="39"/>
      <c r="Q882" s="39"/>
      <c r="R882" s="39"/>
      <c r="S882" s="39"/>
      <c r="T882" s="39"/>
      <c r="U882" s="39"/>
      <c r="V882" s="39"/>
      <c r="W882" s="39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35" t="s">
        <v>21</v>
      </c>
      <c r="B883" s="35" t="s">
        <v>47</v>
      </c>
      <c r="C883" s="35" t="s">
        <v>23</v>
      </c>
      <c r="D883" s="35" t="s">
        <v>48</v>
      </c>
      <c r="E883" s="35" t="s">
        <v>49</v>
      </c>
      <c r="F883" s="35" t="s">
        <v>25</v>
      </c>
      <c r="G883" s="35" t="s">
        <v>25</v>
      </c>
      <c r="H883" s="35" t="s">
        <v>25</v>
      </c>
      <c r="I883" s="55">
        <v>44743</v>
      </c>
      <c r="J883" s="56">
        <f>EFEITO!$J$883*EFEITO!$Y$883</f>
        <v>0</v>
      </c>
      <c r="K883" s="56">
        <f ca="1">EFEITO!$L$883*EFEITO!$Z$883</f>
        <v>124033.76295704246</v>
      </c>
      <c r="L883" s="56">
        <f>EFEITO!$N$883*EFEITO!$AA$883</f>
        <v>60213.261214184691</v>
      </c>
      <c r="M883" s="56">
        <f>$J$883-EFEITO!$K$883*EFEITO!$Y$883</f>
        <v>0</v>
      </c>
      <c r="N883" s="56">
        <f ca="1">$K$883-EFEITO!$M$883*EFEITO!$Z$883</f>
        <v>0</v>
      </c>
      <c r="O883" s="56">
        <f>$L$883-EFEITO!$O$883*EFEITO!$AA$883</f>
        <v>0</v>
      </c>
      <c r="P883" s="39"/>
      <c r="Q883" s="39"/>
      <c r="R883" s="39"/>
      <c r="S883" s="39"/>
      <c r="T883" s="39"/>
      <c r="U883" s="39"/>
      <c r="V883" s="39"/>
      <c r="W883" s="39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35" t="s">
        <v>21</v>
      </c>
      <c r="B884" s="35" t="s">
        <v>47</v>
      </c>
      <c r="C884" s="35" t="s">
        <v>23</v>
      </c>
      <c r="D884" s="35" t="s">
        <v>48</v>
      </c>
      <c r="E884" s="35" t="s">
        <v>49</v>
      </c>
      <c r="F884" s="35" t="s">
        <v>25</v>
      </c>
      <c r="G884" s="35" t="s">
        <v>25</v>
      </c>
      <c r="H884" s="35" t="s">
        <v>25</v>
      </c>
      <c r="I884" s="55">
        <v>44774</v>
      </c>
      <c r="J884" s="56">
        <f>EFEITO!$J$884*EFEITO!$Y$884</f>
        <v>0</v>
      </c>
      <c r="K884" s="56">
        <f ca="1">EFEITO!$L$884*EFEITO!$Z$884</f>
        <v>121704.79911741814</v>
      </c>
      <c r="L884" s="56">
        <f>EFEITO!$N$884*EFEITO!$AA$884</f>
        <v>59082.645608478531</v>
      </c>
      <c r="M884" s="56">
        <f>$J$884-EFEITO!$K$884*EFEITO!$Y$884</f>
        <v>0</v>
      </c>
      <c r="N884" s="56">
        <f ca="1">$K$884-EFEITO!$M$884*EFEITO!$Z$884</f>
        <v>0</v>
      </c>
      <c r="O884" s="56">
        <f>$L$884-EFEITO!$O$884*EFEITO!$AA$884</f>
        <v>0</v>
      </c>
      <c r="P884" s="39"/>
      <c r="Q884" s="39"/>
      <c r="R884" s="39"/>
      <c r="S884" s="39"/>
      <c r="T884" s="39"/>
      <c r="U884" s="39"/>
      <c r="V884" s="39"/>
      <c r="W884" s="39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35" t="s">
        <v>21</v>
      </c>
      <c r="B885" s="35" t="s">
        <v>47</v>
      </c>
      <c r="C885" s="35" t="s">
        <v>23</v>
      </c>
      <c r="D885" s="35" t="s">
        <v>48</v>
      </c>
      <c r="E885" s="35" t="s">
        <v>49</v>
      </c>
      <c r="F885" s="35" t="s">
        <v>25</v>
      </c>
      <c r="G885" s="35" t="s">
        <v>25</v>
      </c>
      <c r="H885" s="35" t="s">
        <v>25</v>
      </c>
      <c r="I885" s="55">
        <v>44805</v>
      </c>
      <c r="J885" s="56">
        <f>EFEITO!$J$885*EFEITO!$Y$885</f>
        <v>0</v>
      </c>
      <c r="K885" s="56">
        <f ca="1">EFEITO!$L$885*EFEITO!$Z$885</f>
        <v>113815.38108328085</v>
      </c>
      <c r="L885" s="56">
        <f>EFEITO!$N$885*EFEITO!$AA$885</f>
        <v>55252.659501534945</v>
      </c>
      <c r="M885" s="56">
        <f>$J$885-EFEITO!$K$885*EFEITO!$Y$885</f>
        <v>0</v>
      </c>
      <c r="N885" s="56">
        <f ca="1">$K$885-EFEITO!$M$885*EFEITO!$Z$885</f>
        <v>0</v>
      </c>
      <c r="O885" s="56">
        <f>$L$885-EFEITO!$O$885*EFEITO!$AA$885</f>
        <v>0</v>
      </c>
      <c r="P885" s="39"/>
      <c r="Q885" s="39"/>
      <c r="R885" s="39"/>
      <c r="S885" s="39"/>
      <c r="T885" s="39"/>
      <c r="U885" s="39"/>
      <c r="V885" s="39"/>
      <c r="W885" s="39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35" t="s">
        <v>57</v>
      </c>
      <c r="B886" s="35" t="s">
        <v>47</v>
      </c>
      <c r="C886" s="35" t="s">
        <v>23</v>
      </c>
      <c r="D886" s="35" t="s">
        <v>48</v>
      </c>
      <c r="E886" s="35" t="s">
        <v>49</v>
      </c>
      <c r="F886" s="35" t="s">
        <v>25</v>
      </c>
      <c r="G886" s="35" t="s">
        <v>25</v>
      </c>
      <c r="H886" s="35" t="s">
        <v>25</v>
      </c>
      <c r="I886" s="55">
        <v>44835</v>
      </c>
      <c r="J886" s="56">
        <f>EFEITO!$J$886*EFEITO!$Y$886</f>
        <v>0</v>
      </c>
      <c r="K886" s="56">
        <f ca="1">EFEITO!$L$886*EFEITO!$Z$886</f>
        <v>113815.38108328085</v>
      </c>
      <c r="L886" s="56">
        <f>EFEITO!$N$886*EFEITO!$AA$886</f>
        <v>55252.659501534945</v>
      </c>
      <c r="M886" s="56">
        <f>$J$886-EFEITO!$K$886*EFEITO!$Y$886</f>
        <v>0</v>
      </c>
      <c r="N886" s="56">
        <f ca="1">$K$886-EFEITO!$M$886*EFEITO!$Z$886</f>
        <v>0</v>
      </c>
      <c r="O886" s="56">
        <f>$L$886-EFEITO!$O$886*EFEITO!$AA$886</f>
        <v>0</v>
      </c>
      <c r="P886" s="39"/>
      <c r="Q886" s="39"/>
      <c r="R886" s="39"/>
      <c r="S886" s="39"/>
      <c r="T886" s="39"/>
      <c r="U886" s="39"/>
      <c r="V886" s="39"/>
      <c r="W886" s="39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EEEAD-D386-4401-BCE9-B015CB26D497}">
  <sheetPr codeName="Planilha22"/>
  <dimension ref="A1:BD127"/>
  <sheetViews>
    <sheetView showGridLines="0" topLeftCell="C47" workbookViewId="0">
      <selection activeCell="L65" sqref="L65:BD127"/>
    </sheetView>
  </sheetViews>
  <sheetFormatPr defaultRowHeight="11.25" customHeight="1" x14ac:dyDescent="0.3"/>
  <cols>
    <col min="1" max="1" width="9" style="9" bestFit="1" customWidth="1"/>
    <col min="2" max="2" width="22.77734375" style="9" bestFit="1" customWidth="1"/>
    <col min="3" max="3" width="32.109375" style="9" bestFit="1" customWidth="1"/>
    <col min="4" max="4" width="54.5546875" style="9" bestFit="1" customWidth="1"/>
    <col min="5" max="5" width="63.88671875" style="9" bestFit="1" customWidth="1"/>
    <col min="6" max="6" width="73.33203125" style="9" bestFit="1" customWidth="1"/>
    <col min="7" max="7" width="74.109375" style="9" bestFit="1" customWidth="1"/>
    <col min="8" max="8" width="7.21875" style="9" bestFit="1" customWidth="1"/>
    <col min="9" max="9" width="8.44140625" style="9" bestFit="1" customWidth="1"/>
    <col min="10" max="10" width="8.88671875" style="9"/>
    <col min="11" max="11" width="14.109375" style="9" bestFit="1" customWidth="1"/>
    <col min="12" max="12" width="13" style="9" bestFit="1" customWidth="1"/>
    <col min="13" max="13" width="7.6640625" style="9" bestFit="1" customWidth="1"/>
    <col min="14" max="14" width="8.44140625" style="9" bestFit="1" customWidth="1"/>
    <col min="15" max="15" width="4" style="9" bestFit="1" customWidth="1"/>
    <col min="16" max="16" width="4.33203125" style="9" bestFit="1" customWidth="1"/>
    <col min="17" max="17" width="9.6640625" style="9" bestFit="1" customWidth="1"/>
    <col min="18" max="19" width="8.44140625" style="9" bestFit="1" customWidth="1"/>
    <col min="20" max="20" width="9.6640625" style="9" bestFit="1" customWidth="1"/>
    <col min="21" max="21" width="8.44140625" style="9" bestFit="1" customWidth="1"/>
    <col min="22" max="23" width="9.5546875" style="9" bestFit="1" customWidth="1"/>
    <col min="24" max="24" width="5" style="9" bestFit="1" customWidth="1"/>
    <col min="25" max="25" width="7.44140625" style="9" bestFit="1" customWidth="1"/>
    <col min="26" max="26" width="9.5546875" style="9" bestFit="1" customWidth="1"/>
    <col min="27" max="27" width="11.33203125" style="9" bestFit="1" customWidth="1"/>
    <col min="28" max="28" width="7.77734375" style="9" bestFit="1" customWidth="1"/>
    <col min="29" max="29" width="7.109375" style="9" bestFit="1" customWidth="1"/>
    <col min="30" max="30" width="14.88671875" style="9" bestFit="1" customWidth="1"/>
    <col min="31" max="31" width="17.5546875" style="9" bestFit="1" customWidth="1"/>
    <col min="32" max="32" width="18.5546875" style="9" bestFit="1" customWidth="1"/>
    <col min="33" max="33" width="3.88671875" style="9" bestFit="1" customWidth="1"/>
    <col min="34" max="34" width="8.88671875" style="9"/>
    <col min="35" max="35" width="13" style="9" bestFit="1" customWidth="1"/>
    <col min="36" max="36" width="7.6640625" style="9" bestFit="1" customWidth="1"/>
    <col min="37" max="37" width="8.44140625" style="9" bestFit="1" customWidth="1"/>
    <col min="38" max="38" width="4" style="9" bestFit="1" customWidth="1"/>
    <col min="39" max="39" width="4.33203125" style="9" bestFit="1" customWidth="1"/>
    <col min="40" max="40" width="9.6640625" style="9" bestFit="1" customWidth="1"/>
    <col min="41" max="42" width="8.44140625" style="9" bestFit="1" customWidth="1"/>
    <col min="43" max="43" width="9.6640625" style="9" bestFit="1" customWidth="1"/>
    <col min="44" max="44" width="8.44140625" style="9" bestFit="1" customWidth="1"/>
    <col min="45" max="46" width="9.5546875" style="9" bestFit="1" customWidth="1"/>
    <col min="47" max="47" width="5" style="9" bestFit="1" customWidth="1"/>
    <col min="48" max="48" width="7.44140625" style="9" bestFit="1" customWidth="1"/>
    <col min="49" max="49" width="9.5546875" style="9" bestFit="1" customWidth="1"/>
    <col min="50" max="50" width="11.33203125" style="9" bestFit="1" customWidth="1"/>
    <col min="51" max="51" width="7.77734375" style="9" bestFit="1" customWidth="1"/>
    <col min="52" max="52" width="7.109375" style="9" bestFit="1" customWidth="1"/>
    <col min="53" max="53" width="14.88671875" style="9" bestFit="1" customWidth="1"/>
    <col min="54" max="54" width="17.5546875" style="9" bestFit="1" customWidth="1"/>
    <col min="55" max="55" width="18.5546875" style="9" bestFit="1" customWidth="1"/>
    <col min="56" max="56" width="3.88671875" style="9" bestFit="1" customWidth="1"/>
    <col min="57" max="16384" width="8.88671875" style="9"/>
  </cols>
  <sheetData>
    <row r="1" spans="1:56" ht="11.25" customHeight="1" x14ac:dyDescent="0.3">
      <c r="A1" s="139" t="s">
        <v>69</v>
      </c>
      <c r="B1" s="139" t="s">
        <v>70</v>
      </c>
      <c r="C1" s="139" t="s">
        <v>71</v>
      </c>
      <c r="D1" s="139" t="s">
        <v>72</v>
      </c>
      <c r="E1" s="139" t="s">
        <v>73</v>
      </c>
      <c r="F1" s="139" t="s">
        <v>15</v>
      </c>
      <c r="G1" s="139" t="s">
        <v>75</v>
      </c>
      <c r="H1" s="139" t="s">
        <v>76</v>
      </c>
      <c r="I1" s="139" t="s">
        <v>716</v>
      </c>
      <c r="J1" s="131"/>
      <c r="L1" s="138" t="s">
        <v>1009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I1" s="138" t="s">
        <v>1010</v>
      </c>
      <c r="AJ1" s="138"/>
      <c r="AK1" s="138"/>
      <c r="AL1" s="138"/>
      <c r="AM1" s="138"/>
      <c r="AN1" s="138"/>
      <c r="AO1" s="138"/>
      <c r="AP1" s="138"/>
      <c r="AQ1" s="138"/>
      <c r="AR1" s="138"/>
      <c r="AS1" s="138"/>
      <c r="AT1" s="138"/>
      <c r="AU1" s="138"/>
      <c r="AV1" s="138"/>
      <c r="AW1" s="138"/>
      <c r="AX1" s="138"/>
      <c r="AY1" s="138"/>
      <c r="AZ1" s="138"/>
      <c r="BA1" s="138"/>
      <c r="BB1" s="138"/>
      <c r="BC1" s="138"/>
      <c r="BD1" s="138"/>
    </row>
    <row r="2" spans="1:56" ht="11.25" customHeight="1" x14ac:dyDescent="0.3">
      <c r="A2" s="139"/>
      <c r="B2" s="139"/>
      <c r="C2" s="139"/>
      <c r="D2" s="139"/>
      <c r="E2" s="139"/>
      <c r="F2" s="139"/>
      <c r="G2" s="139"/>
      <c r="H2" s="139"/>
      <c r="I2" s="139"/>
      <c r="J2" s="131"/>
      <c r="L2" s="138" t="s">
        <v>615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I2" s="138" t="s">
        <v>615</v>
      </c>
      <c r="AJ2" s="138"/>
      <c r="AK2" s="138"/>
      <c r="AL2" s="138"/>
      <c r="AM2" s="138"/>
      <c r="AN2" s="138"/>
      <c r="AO2" s="138"/>
      <c r="AP2" s="138"/>
      <c r="AQ2" s="138"/>
      <c r="AR2" s="138"/>
      <c r="AS2" s="138"/>
      <c r="AT2" s="138"/>
      <c r="AU2" s="138"/>
      <c r="AV2" s="138"/>
      <c r="AW2" s="138"/>
      <c r="AX2" s="138"/>
      <c r="AY2" s="138"/>
      <c r="AZ2" s="138"/>
      <c r="BA2" s="138"/>
      <c r="BB2" s="138"/>
      <c r="BC2" s="138"/>
      <c r="BD2" s="138"/>
    </row>
    <row r="3" spans="1:56" ht="11.25" customHeight="1" x14ac:dyDescent="0.3">
      <c r="A3" s="139"/>
      <c r="B3" s="139"/>
      <c r="C3" s="139"/>
      <c r="D3" s="139"/>
      <c r="E3" s="139"/>
      <c r="F3" s="139"/>
      <c r="G3" s="139"/>
      <c r="H3" s="139"/>
      <c r="I3" s="139"/>
      <c r="J3" s="131"/>
      <c r="L3" s="138" t="s">
        <v>616</v>
      </c>
      <c r="M3" s="138"/>
      <c r="N3" s="138"/>
      <c r="O3" s="138"/>
      <c r="P3" s="138"/>
      <c r="Q3" s="138"/>
      <c r="R3" s="138"/>
      <c r="S3" s="138"/>
      <c r="T3" s="138" t="s">
        <v>625</v>
      </c>
      <c r="U3" s="138"/>
      <c r="V3" s="138"/>
      <c r="W3" s="138"/>
      <c r="X3" s="138"/>
      <c r="Y3" s="138"/>
      <c r="Z3" s="138"/>
      <c r="AA3" s="10" t="s">
        <v>633</v>
      </c>
      <c r="AB3" s="138" t="s">
        <v>635</v>
      </c>
      <c r="AC3" s="138"/>
      <c r="AD3" s="138" t="s">
        <v>638</v>
      </c>
      <c r="AE3" s="138"/>
      <c r="AF3" s="138"/>
      <c r="AG3" s="138"/>
      <c r="AI3" s="138" t="s">
        <v>616</v>
      </c>
      <c r="AJ3" s="138"/>
      <c r="AK3" s="138"/>
      <c r="AL3" s="138"/>
      <c r="AM3" s="138"/>
      <c r="AN3" s="138"/>
      <c r="AO3" s="138"/>
      <c r="AP3" s="138"/>
      <c r="AQ3" s="138" t="s">
        <v>625</v>
      </c>
      <c r="AR3" s="138"/>
      <c r="AS3" s="138"/>
      <c r="AT3" s="138"/>
      <c r="AU3" s="138"/>
      <c r="AV3" s="138"/>
      <c r="AW3" s="138"/>
      <c r="AX3" s="10" t="s">
        <v>633</v>
      </c>
      <c r="AY3" s="138" t="s">
        <v>635</v>
      </c>
      <c r="AZ3" s="138"/>
      <c r="BA3" s="138" t="s">
        <v>638</v>
      </c>
      <c r="BB3" s="138"/>
      <c r="BC3" s="138"/>
      <c r="BD3" s="138"/>
    </row>
    <row r="4" spans="1:56" ht="11.25" customHeight="1" x14ac:dyDescent="0.3">
      <c r="A4" s="139"/>
      <c r="B4" s="139"/>
      <c r="C4" s="139"/>
      <c r="D4" s="139"/>
      <c r="E4" s="139"/>
      <c r="F4" s="139"/>
      <c r="G4" s="139"/>
      <c r="H4" s="139"/>
      <c r="I4" s="139"/>
      <c r="J4" s="131"/>
      <c r="L4" s="10" t="s">
        <v>701</v>
      </c>
      <c r="M4" s="10" t="s">
        <v>617</v>
      </c>
      <c r="N4" s="10" t="s">
        <v>618</v>
      </c>
      <c r="O4" s="10" t="s">
        <v>619</v>
      </c>
      <c r="P4" s="10" t="s">
        <v>620</v>
      </c>
      <c r="Q4" s="10" t="s">
        <v>621</v>
      </c>
      <c r="R4" s="10" t="s">
        <v>622</v>
      </c>
      <c r="S4" s="10" t="s">
        <v>623</v>
      </c>
      <c r="T4" s="10" t="s">
        <v>626</v>
      </c>
      <c r="U4" s="10" t="s">
        <v>627</v>
      </c>
      <c r="V4" s="10" t="s">
        <v>628</v>
      </c>
      <c r="W4" s="10" t="s">
        <v>629</v>
      </c>
      <c r="X4" s="10" t="s">
        <v>630</v>
      </c>
      <c r="Y4" s="10" t="s">
        <v>631</v>
      </c>
      <c r="Z4" s="10" t="s">
        <v>632</v>
      </c>
      <c r="AA4" s="10" t="s">
        <v>634</v>
      </c>
      <c r="AB4" s="10" t="s">
        <v>636</v>
      </c>
      <c r="AC4" s="10" t="s">
        <v>637</v>
      </c>
      <c r="AD4" s="10" t="s">
        <v>639</v>
      </c>
      <c r="AE4" s="10" t="s">
        <v>640</v>
      </c>
      <c r="AF4" s="10" t="s">
        <v>641</v>
      </c>
      <c r="AG4" s="10" t="s">
        <v>642</v>
      </c>
      <c r="AI4" s="10" t="s">
        <v>701</v>
      </c>
      <c r="AJ4" s="10" t="s">
        <v>617</v>
      </c>
      <c r="AK4" s="10" t="s">
        <v>618</v>
      </c>
      <c r="AL4" s="10" t="s">
        <v>619</v>
      </c>
      <c r="AM4" s="10" t="s">
        <v>620</v>
      </c>
      <c r="AN4" s="10" t="s">
        <v>621</v>
      </c>
      <c r="AO4" s="10" t="s">
        <v>622</v>
      </c>
      <c r="AP4" s="10" t="s">
        <v>623</v>
      </c>
      <c r="AQ4" s="10" t="s">
        <v>626</v>
      </c>
      <c r="AR4" s="10" t="s">
        <v>627</v>
      </c>
      <c r="AS4" s="10" t="s">
        <v>628</v>
      </c>
      <c r="AT4" s="10" t="s">
        <v>629</v>
      </c>
      <c r="AU4" s="10" t="s">
        <v>630</v>
      </c>
      <c r="AV4" s="10" t="s">
        <v>631</v>
      </c>
      <c r="AW4" s="10" t="s">
        <v>632</v>
      </c>
      <c r="AX4" s="10" t="s">
        <v>634</v>
      </c>
      <c r="AY4" s="10" t="s">
        <v>636</v>
      </c>
      <c r="AZ4" s="10" t="s">
        <v>637</v>
      </c>
      <c r="BA4" s="10" t="s">
        <v>639</v>
      </c>
      <c r="BB4" s="10" t="s">
        <v>640</v>
      </c>
      <c r="BC4" s="10" t="s">
        <v>641</v>
      </c>
      <c r="BD4" s="10" t="s">
        <v>642</v>
      </c>
    </row>
    <row r="5" spans="1:56" ht="11.25" customHeight="1" x14ac:dyDescent="0.3">
      <c r="A5" s="137" t="s">
        <v>45</v>
      </c>
      <c r="B5" s="137" t="s">
        <v>42</v>
      </c>
      <c r="C5" s="137" t="s">
        <v>25</v>
      </c>
      <c r="D5" s="137" t="s">
        <v>25</v>
      </c>
      <c r="E5" s="137" t="s">
        <v>25</v>
      </c>
      <c r="F5" s="137" t="s">
        <v>25</v>
      </c>
      <c r="G5" s="18" t="s">
        <v>85</v>
      </c>
      <c r="H5" s="18" t="s">
        <v>84</v>
      </c>
      <c r="I5" s="18">
        <f>'MERCADO TUSD'!$U$2</f>
        <v>4216</v>
      </c>
      <c r="J5" s="15"/>
      <c r="L5" s="13">
        <f>('TUSD BE'!$L$5+'TUSD BF'!$L$5+'TUSD CVA'!$L$5)*1</f>
        <v>0</v>
      </c>
      <c r="M5" s="13">
        <f>('TUSD BE'!$M$5+'TUSD BF'!$M$5+'TUSD CVA'!$M$5)*1</f>
        <v>0</v>
      </c>
      <c r="N5" s="13">
        <f ca="1">('TUSD BE'!$N$5+'TUSD BF'!$N$5+'TUSD CVA'!$N$5)*1</f>
        <v>0</v>
      </c>
      <c r="O5" s="13">
        <f>('TUSD BE'!$O$5+'TUSD BF'!$O$5+'TUSD CVA'!$O$5)*1</f>
        <v>0</v>
      </c>
      <c r="P5" s="13">
        <f>('TUSD BE'!$P$5+'TUSD BF'!$P$5+'TUSD CVA'!$P$5)*1</f>
        <v>0</v>
      </c>
      <c r="Q5" s="13">
        <f>('TUSD BE'!$Q$5+'TUSD BF'!$Q$5+'TUSD CVA'!$Q$5)*1</f>
        <v>0</v>
      </c>
      <c r="R5" s="13">
        <f>('TUSD BE'!$R$5+'TUSD BF'!$R$5+'TUSD CVA'!$R$5)*1</f>
        <v>0</v>
      </c>
      <c r="S5" s="13">
        <f>('TUSD BE'!$S$5+'TUSD BF'!$S$5+'TUSD CVA'!$S$5)*1</f>
        <v>0</v>
      </c>
      <c r="T5" s="13">
        <f>('TUSD BE'!$U$5+'TUSD BF'!$U$5+'TUSD CVA'!$U$5)*1</f>
        <v>8.3620524094406754</v>
      </c>
      <c r="U5" s="13">
        <f>('TUSD BE'!$V$5+'TUSD BF'!$V$5+'TUSD CVA'!$V$5)*1</f>
        <v>3.8798306370005018</v>
      </c>
      <c r="V5" s="13">
        <f>('TUSD BE'!$W$5+'TUSD BF'!$W$5+'TUSD CVA'!$W$5)*1</f>
        <v>0</v>
      </c>
      <c r="W5" s="13">
        <f>('TUSD BE'!$X$5+'TUSD BF'!$X$5+'TUSD CVA'!$X$5)*1</f>
        <v>0</v>
      </c>
      <c r="X5" s="13">
        <f>('TUSD BE'!$Y$5+'TUSD BF'!$Y$5+'TUSD CVA'!$Y$5)*1</f>
        <v>0</v>
      </c>
      <c r="Y5" s="13">
        <f>('TUSD BE'!$Z$5+'TUSD BF'!$Z$5+'TUSD CVA'!$Z$5)*1</f>
        <v>0</v>
      </c>
      <c r="Z5" s="13">
        <f>('TUSD BE'!$AA$5+'TUSD BF'!$AA$5+'TUSD CVA'!$AA$5)*1</f>
        <v>0</v>
      </c>
      <c r="AA5" s="13">
        <f>('TUSD BE'!$AC$5+'TUSD BF'!$AC$5+'TUSD CVA'!$AC$5)*1</f>
        <v>41.058527153040046</v>
      </c>
      <c r="AB5" s="13">
        <f ca="1">('TUSD BE'!$AE$5+'TUSD BF'!$AE$5+'TUSD CVA'!$AE$5)*1</f>
        <v>-2.2609563594644144</v>
      </c>
      <c r="AC5" s="13">
        <f ca="1">('TUSD BE'!$AF$5+'TUSD BF'!$AF$5+'TUSD CVA'!$AF$5)*1</f>
        <v>0</v>
      </c>
      <c r="AD5" s="13">
        <f>('TUSD BE'!$AH$5+'TUSD BF'!$AH$5+'TUSD CVA'!$AH$5)*1</f>
        <v>0</v>
      </c>
      <c r="AE5" s="13">
        <f>('TUSD BE'!$AI$5+'TUSD BF'!$AI$5+'TUSD CVA'!$AI$5)*1</f>
        <v>0</v>
      </c>
      <c r="AF5" s="13">
        <f ca="1">('TUSD BE'!$AJ$5+'TUSD BF'!$AJ$5+'TUSD CVA'!$AJ$5)*1</f>
        <v>0</v>
      </c>
      <c r="AG5" s="13">
        <f ca="1">('TUSD BE'!$AK$5+'TUSD BF'!$AK$5+'TUSD CVA'!$AK$5)*1</f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6.5751895821139899</v>
      </c>
      <c r="AR5" s="13">
        <v>3.4610371022370798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38.514316573920702</v>
      </c>
      <c r="AY5" s="13">
        <v>-2.8168611102488401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</row>
    <row r="6" spans="1:56" ht="11.25" customHeight="1" x14ac:dyDescent="0.3">
      <c r="A6" s="137"/>
      <c r="B6" s="137"/>
      <c r="C6" s="137"/>
      <c r="D6" s="137"/>
      <c r="E6" s="137"/>
      <c r="F6" s="137"/>
      <c r="G6" s="18" t="s">
        <v>86</v>
      </c>
      <c r="H6" s="18" t="s">
        <v>84</v>
      </c>
      <c r="I6" s="18">
        <f>'MERCADO TUSD'!$U$3</f>
        <v>4234</v>
      </c>
      <c r="J6" s="15"/>
      <c r="L6" s="13">
        <f>('TUSD BE'!$L$6+'TUSD BF'!$L$6+'TUSD CVA'!$L$6)*1</f>
        <v>0</v>
      </c>
      <c r="M6" s="13">
        <f>('TUSD BE'!$M$6+'TUSD BF'!$M$6+'TUSD CVA'!$M$6)*1</f>
        <v>0</v>
      </c>
      <c r="N6" s="13">
        <f ca="1">('TUSD BE'!$N$6+'TUSD BF'!$N$6+'TUSD CVA'!$N$6)*1</f>
        <v>0</v>
      </c>
      <c r="O6" s="13">
        <f>('TUSD BE'!$O$6+'TUSD BF'!$O$6+'TUSD CVA'!$O$6)*1</f>
        <v>0</v>
      </c>
      <c r="P6" s="13">
        <f>('TUSD BE'!$P$6+'TUSD BF'!$P$6+'TUSD CVA'!$P$6)*1</f>
        <v>0</v>
      </c>
      <c r="Q6" s="13">
        <f>('TUSD BE'!$Q$6+'TUSD BF'!$Q$6+'TUSD CVA'!$Q$6)*1</f>
        <v>0</v>
      </c>
      <c r="R6" s="13">
        <f>('TUSD BE'!$R$6+'TUSD BF'!$R$6+'TUSD CVA'!$R$6)*1</f>
        <v>0</v>
      </c>
      <c r="S6" s="13">
        <f>('TUSD BE'!$S$6+'TUSD BF'!$S$6+'TUSD CVA'!$S$6)*1</f>
        <v>0</v>
      </c>
      <c r="T6" s="13">
        <f>('TUSD BE'!$U$6+'TUSD BF'!$U$6+'TUSD CVA'!$U$6)*1</f>
        <v>4.8240742378063306</v>
      </c>
      <c r="U6" s="13">
        <f>('TUSD BE'!$V$6+'TUSD BF'!$V$6+'TUSD CVA'!$V$6)*1</f>
        <v>2.3184137423859066</v>
      </c>
      <c r="V6" s="13">
        <f>('TUSD BE'!$W$6+'TUSD BF'!$W$6+'TUSD CVA'!$W$6)*1</f>
        <v>0</v>
      </c>
      <c r="W6" s="13">
        <f>('TUSD BE'!$X$6+'TUSD BF'!$X$6+'TUSD CVA'!$X$6)*1</f>
        <v>0</v>
      </c>
      <c r="X6" s="13">
        <f>('TUSD BE'!$Y$6+'TUSD BF'!$Y$6+'TUSD CVA'!$Y$6)*1</f>
        <v>0</v>
      </c>
      <c r="Y6" s="13">
        <f>('TUSD BE'!$Z$6+'TUSD BF'!$Z$6+'TUSD CVA'!$Z$6)*1</f>
        <v>0</v>
      </c>
      <c r="Z6" s="13">
        <f>('TUSD BE'!$AA$6+'TUSD BF'!$AA$6+'TUSD CVA'!$AA$6)*1</f>
        <v>0</v>
      </c>
      <c r="AA6" s="13">
        <f>('TUSD BE'!$AC$6+'TUSD BF'!$AC$6+'TUSD CVA'!$AC$6)*1</f>
        <v>15.166333705263506</v>
      </c>
      <c r="AB6" s="13">
        <f ca="1">('TUSD BE'!$AE$6+'TUSD BF'!$AE$6+'TUSD CVA'!$AE$6)*1</f>
        <v>-0.93948305983127323</v>
      </c>
      <c r="AC6" s="13">
        <f ca="1">('TUSD BE'!$AF$6+'TUSD BF'!$AF$6+'TUSD CVA'!$AF$6)*1</f>
        <v>0</v>
      </c>
      <c r="AD6" s="13">
        <f>('TUSD BE'!$AH$6+'TUSD BF'!$AH$6+'TUSD CVA'!$AH$6)*1</f>
        <v>0</v>
      </c>
      <c r="AE6" s="13">
        <f>('TUSD BE'!$AI$6+'TUSD BF'!$AI$6+'TUSD CVA'!$AI$6)*1</f>
        <v>0</v>
      </c>
      <c r="AF6" s="13">
        <f ca="1">('TUSD BE'!$AJ$6+'TUSD BF'!$AJ$6+'TUSD CVA'!$AJ$6)*1</f>
        <v>0</v>
      </c>
      <c r="AG6" s="13">
        <f ca="1">('TUSD BE'!$AK$6+'TUSD BF'!$AK$6+'TUSD CVA'!$AK$6)*1</f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3.79323174726315</v>
      </c>
      <c r="AR6" s="13">
        <v>2.0681614048332202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14.2265448395899</v>
      </c>
      <c r="AY6" s="13">
        <v>-1.1655399274907099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</row>
    <row r="7" spans="1:56" ht="11.25" customHeight="1" x14ac:dyDescent="0.3">
      <c r="A7" s="137"/>
      <c r="B7" s="137"/>
      <c r="C7" s="137"/>
      <c r="D7" s="137"/>
      <c r="E7" s="137"/>
      <c r="F7" s="137"/>
      <c r="G7" s="18" t="s">
        <v>83</v>
      </c>
      <c r="H7" s="18" t="s">
        <v>79</v>
      </c>
      <c r="I7" s="18">
        <f>'MERCADO TUSD'!$U$4</f>
        <v>1760.1130000000001</v>
      </c>
      <c r="J7" s="15"/>
      <c r="L7" s="13">
        <f>('TUSD BE'!$L$7+'TUSD BF'!$L$7+'TUSD CVA'!$L$7)*1</f>
        <v>11.871615084795975</v>
      </c>
      <c r="M7" s="13">
        <f>('TUSD BE'!$M$7+'TUSD BF'!$M$7+'TUSD CVA'!$M$7)*1</f>
        <v>0.50301435172055564</v>
      </c>
      <c r="N7" s="13">
        <f ca="1">('TUSD BE'!$N$7+'TUSD BF'!$N$7+'TUSD CVA'!$N$7)*1</f>
        <v>0.31108784116322424</v>
      </c>
      <c r="O7" s="13">
        <f>('TUSD BE'!$O$7+'TUSD BF'!$O$7+'TUSD CVA'!$O$7)*1</f>
        <v>0</v>
      </c>
      <c r="P7" s="13">
        <f>('TUSD BE'!$P$7+'TUSD BF'!$P$7+'TUSD CVA'!$P$7)*1</f>
        <v>0</v>
      </c>
      <c r="Q7" s="13">
        <f>('TUSD BE'!$Q$7+'TUSD BF'!$Q$7+'TUSD CVA'!$Q$7)*1</f>
        <v>104.27805831027618</v>
      </c>
      <c r="R7" s="13">
        <f>('TUSD BE'!$R$7+'TUSD BF'!$R$7+'TUSD CVA'!$R$7)*1</f>
        <v>20.465299872876649</v>
      </c>
      <c r="S7" s="13">
        <f>('TUSD BE'!$S$7+'TUSD BF'!$S$7+'TUSD CVA'!$S$7)*1</f>
        <v>0</v>
      </c>
      <c r="T7" s="13">
        <f>('TUSD BE'!$U$7+'TUSD BF'!$U$7+'TUSD CVA'!$U$7)*1</f>
        <v>0</v>
      </c>
      <c r="U7" s="13">
        <f>('TUSD BE'!$V$7+'TUSD BF'!$V$7+'TUSD CVA'!$V$7)*1</f>
        <v>0</v>
      </c>
      <c r="V7" s="13">
        <f>('TUSD BE'!$W$7+'TUSD BF'!$W$7+'TUSD CVA'!$W$7)*1</f>
        <v>0</v>
      </c>
      <c r="W7" s="13">
        <f>('TUSD BE'!$X$7+'TUSD BF'!$X$7+'TUSD CVA'!$X$7)*1</f>
        <v>0</v>
      </c>
      <c r="X7" s="13">
        <f>('TUSD BE'!$Y$7+'TUSD BF'!$Y$7+'TUSD CVA'!$Y$7)*1</f>
        <v>0</v>
      </c>
      <c r="Y7" s="13">
        <f>('TUSD BE'!$Z$7+'TUSD BF'!$Z$7+'TUSD CVA'!$Z$7)*1</f>
        <v>0</v>
      </c>
      <c r="Z7" s="13">
        <f>('TUSD BE'!$AA$7+'TUSD BF'!$AA$7+'TUSD CVA'!$AA$7)*1</f>
        <v>0</v>
      </c>
      <c r="AA7" s="13">
        <f>('TUSD BE'!$AC$7+'TUSD BF'!$AC$7+'TUSD CVA'!$AC$7)*1</f>
        <v>0</v>
      </c>
      <c r="AB7" s="13">
        <f ca="1">('TUSD BE'!$AE$7+'TUSD BF'!$AE$7+'TUSD CVA'!$AE$7)*1</f>
        <v>-5.1129232277829155</v>
      </c>
      <c r="AC7" s="13">
        <f ca="1">('TUSD BE'!$AF$7+'TUSD BF'!$AF$7+'TUSD CVA'!$AF$7)*1</f>
        <v>0</v>
      </c>
      <c r="AD7" s="13">
        <f>('TUSD BE'!$AH$7+'TUSD BF'!$AH$7+'TUSD CVA'!$AH$7)*1</f>
        <v>11.75523632306191</v>
      </c>
      <c r="AE7" s="13">
        <f>('TUSD BE'!$AI$7+'TUSD BF'!$AI$7+'TUSD CVA'!$AI$7)*1</f>
        <v>0.34591302766983184</v>
      </c>
      <c r="AF7" s="13">
        <f ca="1">('TUSD BE'!$AJ$7+'TUSD BF'!$AJ$7+'TUSD CVA'!$AJ$7)*1</f>
        <v>1.0588085166344599</v>
      </c>
      <c r="AG7" s="13">
        <f ca="1">('TUSD BE'!$AK$7+'TUSD BF'!$AK$7+'TUSD CVA'!$AK$7)*1</f>
        <v>0.24626383593209816</v>
      </c>
      <c r="AI7" s="13">
        <v>11.2311595167272</v>
      </c>
      <c r="AJ7" s="13">
        <v>0.42237586216956402</v>
      </c>
      <c r="AK7" s="13">
        <v>0.27742885089611402</v>
      </c>
      <c r="AL7" s="13">
        <v>0</v>
      </c>
      <c r="AM7" s="13">
        <v>0</v>
      </c>
      <c r="AN7" s="13">
        <v>50.793105269410098</v>
      </c>
      <c r="AO7" s="13">
        <v>12.752028686941999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-4.9256107647854002</v>
      </c>
      <c r="AZ7" s="13">
        <v>0</v>
      </c>
      <c r="BA7" s="13">
        <v>12.7019415598152</v>
      </c>
      <c r="BB7" s="13">
        <v>0.33667092899372197</v>
      </c>
      <c r="BC7" s="13">
        <v>1.0421067446391099</v>
      </c>
      <c r="BD7" s="13">
        <v>0.36191835299306602</v>
      </c>
    </row>
    <row r="8" spans="1:56" ht="11.25" customHeight="1" x14ac:dyDescent="0.3">
      <c r="A8" s="137"/>
      <c r="B8" s="137"/>
      <c r="C8" s="137"/>
      <c r="D8" s="137"/>
      <c r="E8" s="17" t="s">
        <v>87</v>
      </c>
      <c r="F8" s="17" t="s">
        <v>25</v>
      </c>
      <c r="G8" s="18" t="s">
        <v>83</v>
      </c>
      <c r="H8" s="18" t="s">
        <v>79</v>
      </c>
      <c r="I8" s="18">
        <f>'MERCADO TUSD'!$U$5</f>
        <v>0</v>
      </c>
      <c r="J8" s="15"/>
      <c r="L8" s="13">
        <f>('TUSD BE'!$L$8+'TUSD BF'!$L$8+'TUSD CVA'!$L$8)*1</f>
        <v>0</v>
      </c>
      <c r="M8" s="13">
        <f>('TUSD BE'!$M$8+'TUSD BF'!$M$8+'TUSD CVA'!$M$8)*1</f>
        <v>0.50301435172055564</v>
      </c>
      <c r="N8" s="13">
        <f ca="1">('TUSD BE'!$N$8+'TUSD BF'!$N$8+'TUSD CVA'!$N$8)*1</f>
        <v>0.2993505448062781</v>
      </c>
      <c r="O8" s="13">
        <f>('TUSD BE'!$O$8+'TUSD BF'!$O$8+'TUSD CVA'!$O$8)*1</f>
        <v>0</v>
      </c>
      <c r="P8" s="13">
        <f>('TUSD BE'!$P$8+'TUSD BF'!$P$8+'TUSD CVA'!$P$8)*1</f>
        <v>0</v>
      </c>
      <c r="Q8" s="13">
        <f>('TUSD BE'!$Q$8+'TUSD BF'!$Q$8+'TUSD CVA'!$Q$8)*1</f>
        <v>0</v>
      </c>
      <c r="R8" s="13">
        <f>('TUSD BE'!$R$8+'TUSD BF'!$R$8+'TUSD CVA'!$R$8)*1</f>
        <v>0</v>
      </c>
      <c r="S8" s="13">
        <f>('TUSD BE'!$S$8+'TUSD BF'!$S$8+'TUSD CVA'!$S$8)*1</f>
        <v>0</v>
      </c>
      <c r="T8" s="13">
        <f>('TUSD BE'!$U$8+'TUSD BF'!$U$8+'TUSD CVA'!$U$8)*1</f>
        <v>0</v>
      </c>
      <c r="U8" s="13">
        <f>('TUSD BE'!$V$8+'TUSD BF'!$V$8+'TUSD CVA'!$V$8)*1</f>
        <v>0</v>
      </c>
      <c r="V8" s="13">
        <f>('TUSD BE'!$W$8+'TUSD BF'!$W$8+'TUSD CVA'!$W$8)*1</f>
        <v>0</v>
      </c>
      <c r="W8" s="13">
        <f>('TUSD BE'!$X$8+'TUSD BF'!$X$8+'TUSD CVA'!$X$8)*1</f>
        <v>0</v>
      </c>
      <c r="X8" s="13">
        <f>('TUSD BE'!$Y$8+'TUSD BF'!$Y$8+'TUSD CVA'!$Y$8)*1</f>
        <v>0</v>
      </c>
      <c r="Y8" s="13">
        <f>('TUSD BE'!$Z$8+'TUSD BF'!$Z$8+'TUSD CVA'!$Z$8)*1</f>
        <v>0</v>
      </c>
      <c r="Z8" s="13">
        <f>('TUSD BE'!$AA$8+'TUSD BF'!$AA$8+'TUSD CVA'!$AA$8)*1</f>
        <v>0</v>
      </c>
      <c r="AA8" s="13">
        <f>('TUSD BE'!$AC$8+'TUSD BF'!$AC$8+'TUSD CVA'!$AC$8)*1</f>
        <v>0</v>
      </c>
      <c r="AB8" s="13">
        <f ca="1">('TUSD BE'!$AE$8+'TUSD BF'!$AE$8+'TUSD CVA'!$AE$8)*1</f>
        <v>-0.5968285265562624</v>
      </c>
      <c r="AC8" s="13">
        <f ca="1">('TUSD BE'!$AF$8+'TUSD BF'!$AF$8+'TUSD CVA'!$AF$8)*1</f>
        <v>0</v>
      </c>
      <c r="AD8" s="13">
        <f>('TUSD BE'!$AH$8+'TUSD BF'!$AH$8+'TUSD CVA'!$AH$8)*1</f>
        <v>11.75523632306191</v>
      </c>
      <c r="AE8" s="13">
        <f>('TUSD BE'!$AI$8+'TUSD BF'!$AI$8+'TUSD CVA'!$AI$8)*1</f>
        <v>0.34591302766983184</v>
      </c>
      <c r="AF8" s="13">
        <f ca="1">('TUSD BE'!$AJ$8+'TUSD BF'!$AJ$8+'TUSD CVA'!$AJ$8)*1</f>
        <v>1.0588085166344599</v>
      </c>
      <c r="AG8" s="13">
        <f ca="1">('TUSD BE'!$AK$8+'TUSD BF'!$AK$8+'TUSD CVA'!$AK$8)*1</f>
        <v>0.24626383593209816</v>
      </c>
      <c r="AI8" s="13">
        <v>0</v>
      </c>
      <c r="AJ8" s="13">
        <v>0.42237586216956402</v>
      </c>
      <c r="AK8" s="13">
        <v>0.26681783146418803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-0.73975596434364399</v>
      </c>
      <c r="AZ8" s="13">
        <v>0</v>
      </c>
      <c r="BA8" s="13">
        <v>12.7019415598152</v>
      </c>
      <c r="BB8" s="13">
        <v>0.33667092899372197</v>
      </c>
      <c r="BC8" s="13">
        <v>1.0421067446391099</v>
      </c>
      <c r="BD8" s="13">
        <v>0.36191835299306602</v>
      </c>
    </row>
    <row r="9" spans="1:56" ht="11.25" customHeight="1" x14ac:dyDescent="0.3">
      <c r="A9" s="137"/>
      <c r="B9" s="17" t="s">
        <v>60</v>
      </c>
      <c r="C9" s="17" t="s">
        <v>25</v>
      </c>
      <c r="D9" s="17" t="s">
        <v>25</v>
      </c>
      <c r="E9" s="17" t="s">
        <v>25</v>
      </c>
      <c r="F9" s="17" t="s">
        <v>25</v>
      </c>
      <c r="G9" s="18" t="s">
        <v>9</v>
      </c>
      <c r="H9" s="18" t="s">
        <v>84</v>
      </c>
      <c r="I9" s="18">
        <f>'MERCADO TUSD'!$U$6</f>
        <v>36120</v>
      </c>
      <c r="J9" s="15"/>
      <c r="L9" s="13">
        <f>('TUSD BE'!$L$9+'TUSD BF'!$L$9+'TUSD CVA'!$L$9)*1</f>
        <v>0</v>
      </c>
      <c r="M9" s="13">
        <f>('TUSD BE'!$M$9+'TUSD BF'!$M$9+'TUSD CVA'!$M$9)*1</f>
        <v>6.962197168624E-2</v>
      </c>
      <c r="N9" s="13">
        <f ca="1">('TUSD BE'!$N$9+'TUSD BF'!$N$9+'TUSD CVA'!$N$9)*1</f>
        <v>0.20446370253800089</v>
      </c>
      <c r="O9" s="13">
        <f>('TUSD BE'!$O$9+'TUSD BF'!$O$9+'TUSD CVA'!$O$9)*1</f>
        <v>0</v>
      </c>
      <c r="P9" s="13">
        <f>('TUSD BE'!$P$9+'TUSD BF'!$P$9+'TUSD CVA'!$P$9)*1</f>
        <v>0</v>
      </c>
      <c r="Q9" s="13">
        <f>('TUSD BE'!$Q$9+'TUSD BF'!$Q$9+'TUSD CVA'!$Q$9)*1</f>
        <v>0</v>
      </c>
      <c r="R9" s="13">
        <f>('TUSD BE'!$R$9+'TUSD BF'!$R$9+'TUSD CVA'!$R$9)*1</f>
        <v>0</v>
      </c>
      <c r="S9" s="13">
        <f>('TUSD BE'!$S$9+'TUSD BF'!$S$9+'TUSD CVA'!$S$9)*1</f>
        <v>0</v>
      </c>
      <c r="T9" s="13">
        <f>('TUSD BE'!$U$9+'TUSD BF'!$U$9+'TUSD CVA'!$U$9)*1</f>
        <v>0</v>
      </c>
      <c r="U9" s="13">
        <f>('TUSD BE'!$V$9+'TUSD BF'!$V$9+'TUSD CVA'!$V$9)*1</f>
        <v>0</v>
      </c>
      <c r="V9" s="13">
        <f>('TUSD BE'!$W$9+'TUSD BF'!$W$9+'TUSD CVA'!$W$9)*1</f>
        <v>0</v>
      </c>
      <c r="W9" s="13">
        <f>('TUSD BE'!$X$9+'TUSD BF'!$X$9+'TUSD CVA'!$X$9)*1</f>
        <v>0</v>
      </c>
      <c r="X9" s="13">
        <f>('TUSD BE'!$Y$9+'TUSD BF'!$Y$9+'TUSD CVA'!$Y$9)*1</f>
        <v>0</v>
      </c>
      <c r="Y9" s="13">
        <f>('TUSD BE'!$Z$9+'TUSD BF'!$Z$9+'TUSD CVA'!$Z$9)*1</f>
        <v>0</v>
      </c>
      <c r="Z9" s="13">
        <f>('TUSD BE'!$AA$9+'TUSD BF'!$AA$9+'TUSD CVA'!$AA$9)*1</f>
        <v>0</v>
      </c>
      <c r="AA9" s="13">
        <f>('TUSD BE'!$AC$9+'TUSD BF'!$AC$9+'TUSD CVA'!$AC$9)*1</f>
        <v>12.717205935462069</v>
      </c>
      <c r="AB9" s="13">
        <f ca="1">('TUSD BE'!$AE$9+'TUSD BF'!$AE$9+'TUSD CVA'!$AE$9)*1</f>
        <v>-0.56148140367372812</v>
      </c>
      <c r="AC9" s="13">
        <f ca="1">('TUSD BE'!$AF$9+'TUSD BF'!$AF$9+'TUSD CVA'!$AF$9)*1</f>
        <v>0</v>
      </c>
      <c r="AD9" s="13">
        <f>('TUSD BE'!$AH$9+'TUSD BF'!$AH$9+'TUSD CVA'!$AH$9)*1</f>
        <v>6.9490556313345723E-3</v>
      </c>
      <c r="AE9" s="13">
        <f>('TUSD BE'!$AI$9+'TUSD BF'!$AI$9+'TUSD CVA'!$AI$9)*1</f>
        <v>0</v>
      </c>
      <c r="AF9" s="13">
        <f ca="1">('TUSD BE'!$AJ$9+'TUSD BF'!$AJ$9+'TUSD CVA'!$AJ$9)*1</f>
        <v>0</v>
      </c>
      <c r="AG9" s="13">
        <f ca="1">('TUSD BE'!$AK$9+'TUSD BF'!$AK$9+'TUSD CVA'!$AK$9)*1</f>
        <v>0</v>
      </c>
      <c r="AI9" s="13">
        <v>0</v>
      </c>
      <c r="AJ9" s="13">
        <v>6.8028247182393795E-2</v>
      </c>
      <c r="AK9" s="13">
        <v>0.18484395850414601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11.9291784020525</v>
      </c>
      <c r="AY9" s="13">
        <v>-0.70697121049650102</v>
      </c>
      <c r="AZ9" s="13">
        <v>0</v>
      </c>
      <c r="BA9" s="13">
        <v>7.5086962183781398E-3</v>
      </c>
      <c r="BB9" s="13">
        <v>0</v>
      </c>
      <c r="BC9" s="13">
        <v>0</v>
      </c>
      <c r="BD9" s="13">
        <v>0</v>
      </c>
    </row>
    <row r="10" spans="1:56" ht="11.25" customHeight="1" x14ac:dyDescent="0.3">
      <c r="A10" s="137"/>
      <c r="B10" s="137" t="s">
        <v>40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18" t="s">
        <v>9</v>
      </c>
      <c r="H10" s="18" t="s">
        <v>84</v>
      </c>
      <c r="I10" s="18">
        <f>'MERCADO TUSD'!$U$7</f>
        <v>685</v>
      </c>
      <c r="J10" s="15"/>
      <c r="L10" s="13">
        <f>('TUSD BE'!$L$10+'TUSD BF'!$L$10+'TUSD CVA'!$L$10)*1</f>
        <v>0</v>
      </c>
      <c r="M10" s="13">
        <f>('TUSD BE'!$M$10+'TUSD BF'!$M$10+'TUSD CVA'!$M$10)*1</f>
        <v>0</v>
      </c>
      <c r="N10" s="13">
        <f ca="1">('TUSD BE'!$N$10+'TUSD BF'!$N$10+'TUSD CVA'!$N$10)*1</f>
        <v>0</v>
      </c>
      <c r="O10" s="13">
        <f>('TUSD BE'!$O$10+'TUSD BF'!$O$10+'TUSD CVA'!$O$10)*1</f>
        <v>0</v>
      </c>
      <c r="P10" s="13">
        <f>('TUSD BE'!$P$10+'TUSD BF'!$P$10+'TUSD CVA'!$P$10)*1</f>
        <v>0</v>
      </c>
      <c r="Q10" s="13">
        <f>('TUSD BE'!$Q$10+'TUSD BF'!$Q$10+'TUSD CVA'!$Q$10)*1</f>
        <v>0</v>
      </c>
      <c r="R10" s="13">
        <f>('TUSD BE'!$R$10+'TUSD BF'!$R$10+'TUSD CVA'!$R$10)*1</f>
        <v>0</v>
      </c>
      <c r="S10" s="13">
        <f>('TUSD BE'!$S$10+'TUSD BF'!$S$10+'TUSD CVA'!$S$10)*1</f>
        <v>0</v>
      </c>
      <c r="T10" s="13">
        <f>('TUSD BE'!$U$10+'TUSD BF'!$U$10+'TUSD CVA'!$U$10)*1</f>
        <v>4.8240742378063306</v>
      </c>
      <c r="U10" s="13">
        <f>('TUSD BE'!$V$10+'TUSD BF'!$V$10+'TUSD CVA'!$V$10)*1</f>
        <v>2.3184137423859066</v>
      </c>
      <c r="V10" s="13">
        <f>('TUSD BE'!$W$10+'TUSD BF'!$W$10+'TUSD CVA'!$W$10)*1</f>
        <v>0</v>
      </c>
      <c r="W10" s="13">
        <f>('TUSD BE'!$X$10+'TUSD BF'!$X$10+'TUSD CVA'!$X$10)*1</f>
        <v>0</v>
      </c>
      <c r="X10" s="13">
        <f>('TUSD BE'!$Y$10+'TUSD BF'!$Y$10+'TUSD CVA'!$Y$10)*1</f>
        <v>0</v>
      </c>
      <c r="Y10" s="13">
        <f>('TUSD BE'!$Z$10+'TUSD BF'!$Z$10+'TUSD CVA'!$Z$10)*1</f>
        <v>0</v>
      </c>
      <c r="Z10" s="13">
        <f>('TUSD BE'!$AA$10+'TUSD BF'!$AA$10+'TUSD CVA'!$AA$10)*1</f>
        <v>0</v>
      </c>
      <c r="AA10" s="13">
        <f>('TUSD BE'!$AC$10+'TUSD BF'!$AC$10+'TUSD CVA'!$AC$10)*1</f>
        <v>15.166333705263506</v>
      </c>
      <c r="AB10" s="13">
        <f ca="1">('TUSD BE'!$AE$10+'TUSD BF'!$AE$10+'TUSD CVA'!$AE$10)*1</f>
        <v>-0.93948305983127323</v>
      </c>
      <c r="AC10" s="13">
        <f ca="1">('TUSD BE'!$AF$10+'TUSD BF'!$AF$10+'TUSD CVA'!$AF$10)*1</f>
        <v>0</v>
      </c>
      <c r="AD10" s="13">
        <f>('TUSD BE'!$AH$10+'TUSD BF'!$AH$10+'TUSD CVA'!$AH$10)*1</f>
        <v>0</v>
      </c>
      <c r="AE10" s="13">
        <f>('TUSD BE'!$AI$10+'TUSD BF'!$AI$10+'TUSD CVA'!$AI$10)*1</f>
        <v>0</v>
      </c>
      <c r="AF10" s="13">
        <f ca="1">('TUSD BE'!$AJ$10+'TUSD BF'!$AJ$10+'TUSD CVA'!$AJ$10)*1</f>
        <v>0</v>
      </c>
      <c r="AG10" s="13">
        <f ca="1">('TUSD BE'!$AK$10+'TUSD BF'!$AK$10+'TUSD CVA'!$AK$10)*1</f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3.79323174726315</v>
      </c>
      <c r="AR10" s="13">
        <v>2.0681614048332202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14.2265448395899</v>
      </c>
      <c r="AY10" s="13">
        <v>-1.1655399274907099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</row>
    <row r="11" spans="1:56" ht="11.25" customHeight="1" x14ac:dyDescent="0.3">
      <c r="A11" s="137"/>
      <c r="B11" s="137"/>
      <c r="C11" s="137"/>
      <c r="D11" s="137"/>
      <c r="E11" s="137"/>
      <c r="F11" s="137"/>
      <c r="G11" s="18" t="s">
        <v>80</v>
      </c>
      <c r="H11" s="18" t="s">
        <v>79</v>
      </c>
      <c r="I11" s="18">
        <f>'MERCADO TUSD'!$U$8</f>
        <v>5.4909999999999997</v>
      </c>
      <c r="J11" s="15"/>
      <c r="L11" s="13">
        <f>('TUSD BE'!$L$11+'TUSD BF'!$L$11+'TUSD CVA'!$L$11)*1</f>
        <v>11.871615084795975</v>
      </c>
      <c r="M11" s="13">
        <f>('TUSD BE'!$M$11+'TUSD BF'!$M$11+'TUSD CVA'!$M$11)*1</f>
        <v>0.50301435172055564</v>
      </c>
      <c r="N11" s="13">
        <f ca="1">('TUSD BE'!$N$11+'TUSD BF'!$N$11+'TUSD CVA'!$N$11)*1</f>
        <v>13.142236485057476</v>
      </c>
      <c r="O11" s="13">
        <f>('TUSD BE'!$O$11+'TUSD BF'!$O$11+'TUSD CVA'!$O$11)*1</f>
        <v>0</v>
      </c>
      <c r="P11" s="13">
        <f>('TUSD BE'!$P$11+'TUSD BF'!$P$11+'TUSD CVA'!$P$11)*1</f>
        <v>0</v>
      </c>
      <c r="Q11" s="13">
        <f>('TUSD BE'!$Q$11+'TUSD BF'!$Q$11+'TUSD CVA'!$Q$11)*1</f>
        <v>104.27805831027618</v>
      </c>
      <c r="R11" s="13">
        <f>('TUSD BE'!$R$11+'TUSD BF'!$R$11+'TUSD CVA'!$R$11)*1</f>
        <v>20.465299872876649</v>
      </c>
      <c r="S11" s="13">
        <f>('TUSD BE'!$S$11+'TUSD BF'!$S$11+'TUSD CVA'!$S$11)*1</f>
        <v>0</v>
      </c>
      <c r="T11" s="13">
        <f>('TUSD BE'!$U$11+'TUSD BF'!$U$11+'TUSD CVA'!$U$11)*1</f>
        <v>201.10723675753559</v>
      </c>
      <c r="U11" s="13">
        <f>('TUSD BE'!$V$11+'TUSD BF'!$V$11+'TUSD CVA'!$V$11)*1</f>
        <v>93.309257410759528</v>
      </c>
      <c r="V11" s="13">
        <f>('TUSD BE'!$W$11+'TUSD BF'!$W$11+'TUSD CVA'!$W$11)*1</f>
        <v>0</v>
      </c>
      <c r="W11" s="13">
        <f>('TUSD BE'!$X$11+'TUSD BF'!$X$11+'TUSD CVA'!$X$11)*1</f>
        <v>0</v>
      </c>
      <c r="X11" s="13">
        <f>('TUSD BE'!$Y$11+'TUSD BF'!$Y$11+'TUSD CVA'!$Y$11)*1</f>
        <v>0</v>
      </c>
      <c r="Y11" s="13">
        <f>('TUSD BE'!$Z$11+'TUSD BF'!$Z$11+'TUSD CVA'!$Z$11)*1</f>
        <v>0</v>
      </c>
      <c r="Z11" s="13">
        <f>('TUSD BE'!$AA$11+'TUSD BF'!$AA$11+'TUSD CVA'!$AA$11)*1</f>
        <v>0</v>
      </c>
      <c r="AA11" s="13">
        <f>('TUSD BE'!$AC$11+'TUSD BF'!$AC$11+'TUSD CVA'!$AC$11)*1</f>
        <v>987.45803265912139</v>
      </c>
      <c r="AB11" s="13">
        <f ca="1">('TUSD BE'!$AE$11+'TUSD BF'!$AE$11+'TUSD CVA'!$AE$11)*1</f>
        <v>-60.043198301429882</v>
      </c>
      <c r="AC11" s="13">
        <f ca="1">('TUSD BE'!$AF$11+'TUSD BF'!$AF$11+'TUSD CVA'!$AF$11)*1</f>
        <v>0</v>
      </c>
      <c r="AD11" s="13">
        <f>('TUSD BE'!$AH$11+'TUSD BF'!$AH$11+'TUSD CVA'!$AH$11)*1</f>
        <v>11.75523632306191</v>
      </c>
      <c r="AE11" s="13">
        <f>('TUSD BE'!$AI$11+'TUSD BF'!$AI$11+'TUSD CVA'!$AI$11)*1</f>
        <v>0.34591302766983184</v>
      </c>
      <c r="AF11" s="13">
        <f ca="1">('TUSD BE'!$AJ$11+'TUSD BF'!$AJ$11+'TUSD CVA'!$AJ$11)*1</f>
        <v>1.0588085166344599</v>
      </c>
      <c r="AG11" s="13">
        <f ca="1">('TUSD BE'!$AK$11+'TUSD BF'!$AK$11+'TUSD CVA'!$AK$11)*1</f>
        <v>0.24626383593209816</v>
      </c>
      <c r="AI11" s="13">
        <v>11.2311595167272</v>
      </c>
      <c r="AJ11" s="13">
        <v>0.42237586216956402</v>
      </c>
      <c r="AK11" s="13">
        <v>11.877337676041799</v>
      </c>
      <c r="AL11" s="13">
        <v>0</v>
      </c>
      <c r="AM11" s="13">
        <v>0</v>
      </c>
      <c r="AN11" s="13">
        <v>50.793105269410098</v>
      </c>
      <c r="AO11" s="13">
        <v>12.752028686941999</v>
      </c>
      <c r="AP11" s="13">
        <v>0</v>
      </c>
      <c r="AQ11" s="13">
        <v>158.13321219118399</v>
      </c>
      <c r="AR11" s="13">
        <v>83.237345156514095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926.26974006003604</v>
      </c>
      <c r="AY11" s="13">
        <v>-73.335837488277605</v>
      </c>
      <c r="AZ11" s="13">
        <v>0</v>
      </c>
      <c r="BA11" s="13">
        <v>12.7019415598152</v>
      </c>
      <c r="BB11" s="13">
        <v>0.33667092899372197</v>
      </c>
      <c r="BC11" s="13">
        <v>1.0421067446391099</v>
      </c>
      <c r="BD11" s="13">
        <v>0.36191835299306602</v>
      </c>
    </row>
    <row r="12" spans="1:56" ht="11.25" customHeight="1" x14ac:dyDescent="0.3">
      <c r="A12" s="137"/>
      <c r="B12" s="137"/>
      <c r="C12" s="137"/>
      <c r="D12" s="137"/>
      <c r="E12" s="137"/>
      <c r="F12" s="137"/>
      <c r="G12" s="18" t="s">
        <v>81</v>
      </c>
      <c r="H12" s="18" t="s">
        <v>79</v>
      </c>
      <c r="I12" s="18">
        <f>'MERCADO TUSD'!$U$9</f>
        <v>46.585999999999999</v>
      </c>
      <c r="J12" s="15"/>
      <c r="L12" s="13">
        <f>('TUSD BE'!$L$12+'TUSD BF'!$L$12+'TUSD CVA'!$L$12)*1</f>
        <v>11.871615084795975</v>
      </c>
      <c r="M12" s="13">
        <f>('TUSD BE'!$M$12+'TUSD BF'!$M$12+'TUSD CVA'!$M$12)*1</f>
        <v>0.50301435172055564</v>
      </c>
      <c r="N12" s="13">
        <f ca="1">('TUSD BE'!$N$12+'TUSD BF'!$N$12+'TUSD CVA'!$N$12)*1</f>
        <v>0.31108784116322424</v>
      </c>
      <c r="O12" s="13">
        <f>('TUSD BE'!$O$12+'TUSD BF'!$O$12+'TUSD CVA'!$O$12)*1</f>
        <v>0</v>
      </c>
      <c r="P12" s="13">
        <f>('TUSD BE'!$P$12+'TUSD BF'!$P$12+'TUSD CVA'!$P$12)*1</f>
        <v>0</v>
      </c>
      <c r="Q12" s="13">
        <f>('TUSD BE'!$Q$12+'TUSD BF'!$Q$12+'TUSD CVA'!$Q$12)*1</f>
        <v>104.27805831027618</v>
      </c>
      <c r="R12" s="13">
        <f>('TUSD BE'!$R$12+'TUSD BF'!$R$12+'TUSD CVA'!$R$12)*1</f>
        <v>20.465299872876649</v>
      </c>
      <c r="S12" s="13">
        <f>('TUSD BE'!$S$12+'TUSD BF'!$S$12+'TUSD CVA'!$S$12)*1</f>
        <v>0</v>
      </c>
      <c r="T12" s="13">
        <f>('TUSD BE'!$U$12+'TUSD BF'!$U$12+'TUSD CVA'!$U$12)*1</f>
        <v>0</v>
      </c>
      <c r="U12" s="13">
        <f>('TUSD BE'!$V$12+'TUSD BF'!$V$12+'TUSD CVA'!$V$12)*1</f>
        <v>0</v>
      </c>
      <c r="V12" s="13">
        <f>('TUSD BE'!$W$12+'TUSD BF'!$W$12+'TUSD CVA'!$W$12)*1</f>
        <v>0</v>
      </c>
      <c r="W12" s="13">
        <f>('TUSD BE'!$X$12+'TUSD BF'!$X$12+'TUSD CVA'!$X$12)*1</f>
        <v>0</v>
      </c>
      <c r="X12" s="13">
        <f>('TUSD BE'!$Y$12+'TUSD BF'!$Y$12+'TUSD CVA'!$Y$12)*1</f>
        <v>0</v>
      </c>
      <c r="Y12" s="13">
        <f>('TUSD BE'!$Z$12+'TUSD BF'!$Z$12+'TUSD CVA'!$Z$12)*1</f>
        <v>0</v>
      </c>
      <c r="Z12" s="13">
        <f>('TUSD BE'!$AA$12+'TUSD BF'!$AA$12+'TUSD CVA'!$AA$12)*1</f>
        <v>0</v>
      </c>
      <c r="AA12" s="13">
        <f>('TUSD BE'!$AC$12+'TUSD BF'!$AC$12+'TUSD CVA'!$AC$12)*1</f>
        <v>0</v>
      </c>
      <c r="AB12" s="13">
        <f ca="1">('TUSD BE'!$AE$12+'TUSD BF'!$AE$12+'TUSD CVA'!$AE$12)*1</f>
        <v>-5.1129232277829155</v>
      </c>
      <c r="AC12" s="13">
        <f ca="1">('TUSD BE'!$AF$12+'TUSD BF'!$AF$12+'TUSD CVA'!$AF$12)*1</f>
        <v>0</v>
      </c>
      <c r="AD12" s="13">
        <f>('TUSD BE'!$AH$12+'TUSD BF'!$AH$12+'TUSD CVA'!$AH$12)*1</f>
        <v>11.75523632306191</v>
      </c>
      <c r="AE12" s="13">
        <f>('TUSD BE'!$AI$12+'TUSD BF'!$AI$12+'TUSD CVA'!$AI$12)*1</f>
        <v>0.34591302766983184</v>
      </c>
      <c r="AF12" s="13">
        <f ca="1">('TUSD BE'!$AJ$12+'TUSD BF'!$AJ$12+'TUSD CVA'!$AJ$12)*1</f>
        <v>1.0588085166344599</v>
      </c>
      <c r="AG12" s="13">
        <f ca="1">('TUSD BE'!$AK$12+'TUSD BF'!$AK$12+'TUSD CVA'!$AK$12)*1</f>
        <v>0.24626383593209816</v>
      </c>
      <c r="AI12" s="13">
        <v>11.2311595167272</v>
      </c>
      <c r="AJ12" s="13">
        <v>0.42237586216956402</v>
      </c>
      <c r="AK12" s="13">
        <v>0.27742885089611402</v>
      </c>
      <c r="AL12" s="13">
        <v>0</v>
      </c>
      <c r="AM12" s="13">
        <v>0</v>
      </c>
      <c r="AN12" s="13">
        <v>50.793105269410098</v>
      </c>
      <c r="AO12" s="13">
        <v>12.752028686941999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-4.9256107647854002</v>
      </c>
      <c r="AZ12" s="13">
        <v>0</v>
      </c>
      <c r="BA12" s="13">
        <v>12.7019415598152</v>
      </c>
      <c r="BB12" s="13">
        <v>0.33667092899372197</v>
      </c>
      <c r="BC12" s="13">
        <v>1.0421067446391099</v>
      </c>
      <c r="BD12" s="13">
        <v>0.36191835299306602</v>
      </c>
    </row>
    <row r="13" spans="1:56" ht="11.25" customHeight="1" x14ac:dyDescent="0.3">
      <c r="A13" s="137"/>
      <c r="B13" s="137"/>
      <c r="C13" s="137"/>
      <c r="D13" s="137"/>
      <c r="E13" s="137" t="s">
        <v>87</v>
      </c>
      <c r="F13" s="137" t="s">
        <v>25</v>
      </c>
      <c r="G13" s="18" t="s">
        <v>80</v>
      </c>
      <c r="H13" s="18" t="s">
        <v>79</v>
      </c>
      <c r="I13" s="18">
        <f>'MERCADO TUSD'!$U$10</f>
        <v>0</v>
      </c>
      <c r="J13" s="15"/>
      <c r="L13" s="13">
        <f>('TUSD BE'!$L$13+'TUSD BF'!$L$13+'TUSD CVA'!$L$13)*1</f>
        <v>0</v>
      </c>
      <c r="M13" s="13">
        <f>('TUSD BE'!$M$13+'TUSD BF'!$M$13+'TUSD CVA'!$M$13)*1</f>
        <v>0.50301435172055564</v>
      </c>
      <c r="N13" s="13">
        <f ca="1">('TUSD BE'!$N$13+'TUSD BF'!$N$13+'TUSD CVA'!$N$13)*1</f>
        <v>13.130499188700528</v>
      </c>
      <c r="O13" s="13">
        <f>('TUSD BE'!$O$13+'TUSD BF'!$O$13+'TUSD CVA'!$O$13)*1</f>
        <v>0</v>
      </c>
      <c r="P13" s="13">
        <f>('TUSD BE'!$P$13+'TUSD BF'!$P$13+'TUSD CVA'!$P$13)*1</f>
        <v>0</v>
      </c>
      <c r="Q13" s="13">
        <f>('TUSD BE'!$Q$13+'TUSD BF'!$Q$13+'TUSD CVA'!$Q$13)*1</f>
        <v>0</v>
      </c>
      <c r="R13" s="13">
        <f>('TUSD BE'!$R$13+'TUSD BF'!$R$13+'TUSD CVA'!$R$13)*1</f>
        <v>0</v>
      </c>
      <c r="S13" s="13">
        <f>('TUSD BE'!$S$13+'TUSD BF'!$S$13+'TUSD CVA'!$S$13)*1</f>
        <v>0</v>
      </c>
      <c r="T13" s="13">
        <f>('TUSD BE'!$U$13+'TUSD BF'!$U$13+'TUSD CVA'!$U$13)*1</f>
        <v>201.10723675753559</v>
      </c>
      <c r="U13" s="13">
        <f>('TUSD BE'!$V$13+'TUSD BF'!$V$13+'TUSD CVA'!$V$13)*1</f>
        <v>93.309257410759528</v>
      </c>
      <c r="V13" s="13">
        <f>('TUSD BE'!$W$13+'TUSD BF'!$W$13+'TUSD CVA'!$W$13)*1</f>
        <v>0</v>
      </c>
      <c r="W13" s="13">
        <f>('TUSD BE'!$X$13+'TUSD BF'!$X$13+'TUSD CVA'!$X$13)*1</f>
        <v>0</v>
      </c>
      <c r="X13" s="13">
        <f>('TUSD BE'!$Y$13+'TUSD BF'!$Y$13+'TUSD CVA'!$Y$13)*1</f>
        <v>0</v>
      </c>
      <c r="Y13" s="13">
        <f>('TUSD BE'!$Z$13+'TUSD BF'!$Z$13+'TUSD CVA'!$Z$13)*1</f>
        <v>0</v>
      </c>
      <c r="Z13" s="13">
        <f>('TUSD BE'!$AA$13+'TUSD BF'!$AA$13+'TUSD CVA'!$AA$13)*1</f>
        <v>0</v>
      </c>
      <c r="AA13" s="13">
        <f>('TUSD BE'!$AC$13+'TUSD BF'!$AC$13+'TUSD CVA'!$AC$13)*1</f>
        <v>987.45803265912139</v>
      </c>
      <c r="AB13" s="13">
        <f ca="1">('TUSD BE'!$AE$13+'TUSD BF'!$AE$13+'TUSD CVA'!$AE$13)*1</f>
        <v>-55.527103600203233</v>
      </c>
      <c r="AC13" s="13">
        <f ca="1">('TUSD BE'!$AF$13+'TUSD BF'!$AF$13+'TUSD CVA'!$AF$13)*1</f>
        <v>0</v>
      </c>
      <c r="AD13" s="13">
        <f>('TUSD BE'!$AH$13+'TUSD BF'!$AH$13+'TUSD CVA'!$AH$13)*1</f>
        <v>11.75523632306191</v>
      </c>
      <c r="AE13" s="13">
        <f>('TUSD BE'!$AI$13+'TUSD BF'!$AI$13+'TUSD CVA'!$AI$13)*1</f>
        <v>0.34591302766983184</v>
      </c>
      <c r="AF13" s="13">
        <f ca="1">('TUSD BE'!$AJ$13+'TUSD BF'!$AJ$13+'TUSD CVA'!$AJ$13)*1</f>
        <v>1.0588085166344599</v>
      </c>
      <c r="AG13" s="13">
        <f ca="1">('TUSD BE'!$AK$13+'TUSD BF'!$AK$13+'TUSD CVA'!$AK$13)*1</f>
        <v>0.24626383593209816</v>
      </c>
      <c r="AI13" s="13">
        <v>0</v>
      </c>
      <c r="AJ13" s="13">
        <v>0.42237586216956402</v>
      </c>
      <c r="AK13" s="13">
        <v>11.866726656609901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158.13321219118399</v>
      </c>
      <c r="AR13" s="13">
        <v>83.237345156514095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926.26974006003604</v>
      </c>
      <c r="AY13" s="13">
        <v>-69.149982687835902</v>
      </c>
      <c r="AZ13" s="13">
        <v>0</v>
      </c>
      <c r="BA13" s="13">
        <v>12.7019415598152</v>
      </c>
      <c r="BB13" s="13">
        <v>0.33667092899372197</v>
      </c>
      <c r="BC13" s="13">
        <v>1.0421067446391099</v>
      </c>
      <c r="BD13" s="13">
        <v>0.36191835299306602</v>
      </c>
    </row>
    <row r="14" spans="1:56" ht="11.25" customHeight="1" x14ac:dyDescent="0.3">
      <c r="A14" s="137"/>
      <c r="B14" s="137"/>
      <c r="C14" s="137"/>
      <c r="D14" s="137"/>
      <c r="E14" s="137"/>
      <c r="F14" s="137"/>
      <c r="G14" s="18" t="s">
        <v>81</v>
      </c>
      <c r="H14" s="18" t="s">
        <v>79</v>
      </c>
      <c r="I14" s="18">
        <f>'MERCADO TUSD'!$U$11</f>
        <v>0</v>
      </c>
      <c r="J14" s="15"/>
      <c r="L14" s="13">
        <f>('TUSD BE'!$L$14+'TUSD BF'!$L$14+'TUSD CVA'!$L$14)*1</f>
        <v>0</v>
      </c>
      <c r="M14" s="13">
        <f>('TUSD BE'!$M$14+'TUSD BF'!$M$14+'TUSD CVA'!$M$14)*1</f>
        <v>0.50301435172055564</v>
      </c>
      <c r="N14" s="13">
        <f ca="1">('TUSD BE'!$N$14+'TUSD BF'!$N$14+'TUSD CVA'!$N$14)*1</f>
        <v>0.2993505448062781</v>
      </c>
      <c r="O14" s="13">
        <f>('TUSD BE'!$O$14+'TUSD BF'!$O$14+'TUSD CVA'!$O$14)*1</f>
        <v>0</v>
      </c>
      <c r="P14" s="13">
        <f>('TUSD BE'!$P$14+'TUSD BF'!$P$14+'TUSD CVA'!$P$14)*1</f>
        <v>0</v>
      </c>
      <c r="Q14" s="13">
        <f>('TUSD BE'!$Q$14+'TUSD BF'!$Q$14+'TUSD CVA'!$Q$14)*1</f>
        <v>0</v>
      </c>
      <c r="R14" s="13">
        <f>('TUSD BE'!$R$14+'TUSD BF'!$R$14+'TUSD CVA'!$R$14)*1</f>
        <v>0</v>
      </c>
      <c r="S14" s="13">
        <f>('TUSD BE'!$S$14+'TUSD BF'!$S$14+'TUSD CVA'!$S$14)*1</f>
        <v>0</v>
      </c>
      <c r="T14" s="13">
        <f>('TUSD BE'!$U$14+'TUSD BF'!$U$14+'TUSD CVA'!$U$14)*1</f>
        <v>0</v>
      </c>
      <c r="U14" s="13">
        <f>('TUSD BE'!$V$14+'TUSD BF'!$V$14+'TUSD CVA'!$V$14)*1</f>
        <v>0</v>
      </c>
      <c r="V14" s="13">
        <f>('TUSD BE'!$W$14+'TUSD BF'!$W$14+'TUSD CVA'!$W$14)*1</f>
        <v>0</v>
      </c>
      <c r="W14" s="13">
        <f>('TUSD BE'!$X$14+'TUSD BF'!$X$14+'TUSD CVA'!$X$14)*1</f>
        <v>0</v>
      </c>
      <c r="X14" s="13">
        <f>('TUSD BE'!$Y$14+'TUSD BF'!$Y$14+'TUSD CVA'!$Y$14)*1</f>
        <v>0</v>
      </c>
      <c r="Y14" s="13">
        <f>('TUSD BE'!$Z$14+'TUSD BF'!$Z$14+'TUSD CVA'!$Z$14)*1</f>
        <v>0</v>
      </c>
      <c r="Z14" s="13">
        <f>('TUSD BE'!$AA$14+'TUSD BF'!$AA$14+'TUSD CVA'!$AA$14)*1</f>
        <v>0</v>
      </c>
      <c r="AA14" s="13">
        <f>('TUSD BE'!$AC$14+'TUSD BF'!$AC$14+'TUSD CVA'!$AC$14)*1</f>
        <v>0</v>
      </c>
      <c r="AB14" s="13">
        <f ca="1">('TUSD BE'!$AE$14+'TUSD BF'!$AE$14+'TUSD CVA'!$AE$14)*1</f>
        <v>-0.5968285265562624</v>
      </c>
      <c r="AC14" s="13">
        <f ca="1">('TUSD BE'!$AF$14+'TUSD BF'!$AF$14+'TUSD CVA'!$AF$14)*1</f>
        <v>0</v>
      </c>
      <c r="AD14" s="13">
        <f>('TUSD BE'!$AH$14+'TUSD BF'!$AH$14+'TUSD CVA'!$AH$14)*1</f>
        <v>11.75523632306191</v>
      </c>
      <c r="AE14" s="13">
        <f>('TUSD BE'!$AI$14+'TUSD BF'!$AI$14+'TUSD CVA'!$AI$14)*1</f>
        <v>0.34591302766983184</v>
      </c>
      <c r="AF14" s="13">
        <f ca="1">('TUSD BE'!$AJ$14+'TUSD BF'!$AJ$14+'TUSD CVA'!$AJ$14)*1</f>
        <v>1.0588085166344599</v>
      </c>
      <c r="AG14" s="13">
        <f ca="1">('TUSD BE'!$AK$14+'TUSD BF'!$AK$14+'TUSD CVA'!$AK$14)*1</f>
        <v>0.24626383593209816</v>
      </c>
      <c r="AI14" s="13">
        <v>0</v>
      </c>
      <c r="AJ14" s="13">
        <v>0.42237586216956402</v>
      </c>
      <c r="AK14" s="13">
        <v>0.26681783146418803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-0.73975596434364399</v>
      </c>
      <c r="AZ14" s="13">
        <v>0</v>
      </c>
      <c r="BA14" s="13">
        <v>12.7019415598152</v>
      </c>
      <c r="BB14" s="13">
        <v>0.33667092899372197</v>
      </c>
      <c r="BC14" s="13">
        <v>1.0421067446391099</v>
      </c>
      <c r="BD14" s="13">
        <v>0.36191835299306602</v>
      </c>
    </row>
    <row r="15" spans="1:56" ht="11.25" customHeight="1" x14ac:dyDescent="0.3">
      <c r="A15" s="137"/>
      <c r="B15" s="137" t="s">
        <v>23</v>
      </c>
      <c r="C15" s="137" t="s">
        <v>25</v>
      </c>
      <c r="D15" s="137" t="s">
        <v>25</v>
      </c>
      <c r="E15" s="137" t="s">
        <v>25</v>
      </c>
      <c r="F15" s="137" t="s">
        <v>25</v>
      </c>
      <c r="G15" s="18" t="s">
        <v>9</v>
      </c>
      <c r="H15" s="18" t="s">
        <v>84</v>
      </c>
      <c r="I15" s="18">
        <f>'MERCADO TUSD'!$U$12</f>
        <v>0</v>
      </c>
      <c r="J15" s="15"/>
      <c r="L15" s="13">
        <f>('TUSD BE'!$L$15+'TUSD BF'!$L$15+'TUSD CVA'!$L$15)*1</f>
        <v>0</v>
      </c>
      <c r="M15" s="13">
        <f>('TUSD BE'!$M$15+'TUSD BF'!$M$15+'TUSD CVA'!$M$15)*1</f>
        <v>0</v>
      </c>
      <c r="N15" s="13">
        <f ca="1">('TUSD BE'!$N$15+'TUSD BF'!$N$15+'TUSD CVA'!$N$15)*1</f>
        <v>0</v>
      </c>
      <c r="O15" s="13">
        <f>('TUSD BE'!$O$15+'TUSD BF'!$O$15+'TUSD CVA'!$O$15)*1</f>
        <v>0</v>
      </c>
      <c r="P15" s="13">
        <f>('TUSD BE'!$P$15+'TUSD BF'!$P$15+'TUSD CVA'!$P$15)*1</f>
        <v>0</v>
      </c>
      <c r="Q15" s="13">
        <f>('TUSD BE'!$Q$15+'TUSD BF'!$Q$15+'TUSD CVA'!$Q$15)*1</f>
        <v>0</v>
      </c>
      <c r="R15" s="13">
        <f>('TUSD BE'!$R$15+'TUSD BF'!$R$15+'TUSD CVA'!$R$15)*1</f>
        <v>0</v>
      </c>
      <c r="S15" s="13">
        <f>('TUSD BE'!$S$15+'TUSD BF'!$S$15+'TUSD CVA'!$S$15)*1</f>
        <v>0</v>
      </c>
      <c r="T15" s="13">
        <f>('TUSD BE'!$U$15+'TUSD BF'!$U$15+'TUSD CVA'!$U$15)*1</f>
        <v>10.84472998335692</v>
      </c>
      <c r="U15" s="13">
        <f>('TUSD BE'!$V$15+'TUSD BF'!$V$15+'TUSD CVA'!$V$15)*1</f>
        <v>5.1118659924825556</v>
      </c>
      <c r="V15" s="13">
        <f>('TUSD BE'!$W$15+'TUSD BF'!$W$15+'TUSD CVA'!$W$15)*1</f>
        <v>0</v>
      </c>
      <c r="W15" s="13">
        <f>('TUSD BE'!$X$15+'TUSD BF'!$X$15+'TUSD CVA'!$X$15)*1</f>
        <v>0</v>
      </c>
      <c r="X15" s="13">
        <f>('TUSD BE'!$Y$15+'TUSD BF'!$Y$15+'TUSD CVA'!$Y$15)*1</f>
        <v>0</v>
      </c>
      <c r="Y15" s="13">
        <f>('TUSD BE'!$Z$15+'TUSD BF'!$Z$15+'TUSD CVA'!$Z$15)*1</f>
        <v>0</v>
      </c>
      <c r="Z15" s="13">
        <f>('TUSD BE'!$AA$15+'TUSD BF'!$AA$15+'TUSD CVA'!$AA$15)*1</f>
        <v>0</v>
      </c>
      <c r="AA15" s="13">
        <f>('TUSD BE'!$AC$15+'TUSD BF'!$AC$15+'TUSD CVA'!$AC$15)*1</f>
        <v>44.728479121626641</v>
      </c>
      <c r="AB15" s="13">
        <f ca="1">('TUSD BE'!$AE$15+'TUSD BF'!$AE$15+'TUSD CVA'!$AE$15)*1</f>
        <v>-2.5673699869641209</v>
      </c>
      <c r="AC15" s="13">
        <f ca="1">('TUSD BE'!$AF$15+'TUSD BF'!$AF$15+'TUSD CVA'!$AF$15)*1</f>
        <v>0</v>
      </c>
      <c r="AD15" s="13">
        <f>('TUSD BE'!$AH$15+'TUSD BF'!$AH$15+'TUSD CVA'!$AH$15)*1</f>
        <v>0</v>
      </c>
      <c r="AE15" s="13">
        <f>('TUSD BE'!$AI$15+'TUSD BF'!$AI$15+'TUSD CVA'!$AI$15)*1</f>
        <v>0</v>
      </c>
      <c r="AF15" s="13">
        <f ca="1">('TUSD BE'!$AJ$15+'TUSD BF'!$AJ$15+'TUSD CVA'!$AJ$15)*1</f>
        <v>0</v>
      </c>
      <c r="AG15" s="13">
        <f ca="1">('TUSD BE'!$AK$15+'TUSD BF'!$AK$15+'TUSD CVA'!$AK$15)*1</f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8.5273509559571394</v>
      </c>
      <c r="AR15" s="13">
        <v>4.5600850957051202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41.956858275486901</v>
      </c>
      <c r="AY15" s="13">
        <v>-3.1936779051840598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</row>
    <row r="16" spans="1:56" ht="11.25" customHeight="1" x14ac:dyDescent="0.3">
      <c r="A16" s="137"/>
      <c r="B16" s="137"/>
      <c r="C16" s="137"/>
      <c r="D16" s="137"/>
      <c r="E16" s="137"/>
      <c r="F16" s="137"/>
      <c r="G16" s="18" t="s">
        <v>83</v>
      </c>
      <c r="H16" s="18" t="s">
        <v>79</v>
      </c>
      <c r="I16" s="18">
        <f>'MERCADO TUSD'!$U$13</f>
        <v>0</v>
      </c>
      <c r="J16" s="15"/>
      <c r="L16" s="13">
        <f>('TUSD BE'!$L$16+'TUSD BF'!$L$16+'TUSD CVA'!$L$16)*1</f>
        <v>11.871615084795975</v>
      </c>
      <c r="M16" s="13">
        <f>('TUSD BE'!$M$16+'TUSD BF'!$M$16+'TUSD CVA'!$M$16)*1</f>
        <v>0.50301435172055564</v>
      </c>
      <c r="N16" s="13">
        <f ca="1">('TUSD BE'!$N$16+'TUSD BF'!$N$16+'TUSD CVA'!$N$16)*1</f>
        <v>0.31108784116322424</v>
      </c>
      <c r="O16" s="13">
        <f>('TUSD BE'!$O$16+'TUSD BF'!$O$16+'TUSD CVA'!$O$16)*1</f>
        <v>0</v>
      </c>
      <c r="P16" s="13">
        <f>('TUSD BE'!$P$16+'TUSD BF'!$P$16+'TUSD CVA'!$P$16)*1</f>
        <v>0</v>
      </c>
      <c r="Q16" s="13">
        <f>('TUSD BE'!$Q$16+'TUSD BF'!$Q$16+'TUSD CVA'!$Q$16)*1</f>
        <v>104.27805831027618</v>
      </c>
      <c r="R16" s="13">
        <f>('TUSD BE'!$R$16+'TUSD BF'!$R$16+'TUSD CVA'!$R$16)*1</f>
        <v>20.465299872876649</v>
      </c>
      <c r="S16" s="13">
        <f>('TUSD BE'!$S$16+'TUSD BF'!$S$16+'TUSD CVA'!$S$16)*1</f>
        <v>0</v>
      </c>
      <c r="T16" s="13">
        <f>('TUSD BE'!$U$16+'TUSD BF'!$U$16+'TUSD CVA'!$U$16)*1</f>
        <v>0</v>
      </c>
      <c r="U16" s="13">
        <f>('TUSD BE'!$V$16+'TUSD BF'!$V$16+'TUSD CVA'!$V$16)*1</f>
        <v>0</v>
      </c>
      <c r="V16" s="13">
        <f>('TUSD BE'!$W$16+'TUSD BF'!$W$16+'TUSD CVA'!$W$16)*1</f>
        <v>0</v>
      </c>
      <c r="W16" s="13">
        <f>('TUSD BE'!$X$16+'TUSD BF'!$X$16+'TUSD CVA'!$X$16)*1</f>
        <v>0</v>
      </c>
      <c r="X16" s="13">
        <f>('TUSD BE'!$Y$16+'TUSD BF'!$Y$16+'TUSD CVA'!$Y$16)*1</f>
        <v>0</v>
      </c>
      <c r="Y16" s="13">
        <f>('TUSD BE'!$Z$16+'TUSD BF'!$Z$16+'TUSD CVA'!$Z$16)*1</f>
        <v>0</v>
      </c>
      <c r="Z16" s="13">
        <f>('TUSD BE'!$AA$16+'TUSD BF'!$AA$16+'TUSD CVA'!$AA$16)*1</f>
        <v>0</v>
      </c>
      <c r="AA16" s="13">
        <f>('TUSD BE'!$AC$16+'TUSD BF'!$AC$16+'TUSD CVA'!$AC$16)*1</f>
        <v>0</v>
      </c>
      <c r="AB16" s="13">
        <f ca="1">('TUSD BE'!$AE$16+'TUSD BF'!$AE$16+'TUSD CVA'!$AE$16)*1</f>
        <v>-5.1129232277829155</v>
      </c>
      <c r="AC16" s="13">
        <f ca="1">('TUSD BE'!$AF$16+'TUSD BF'!$AF$16+'TUSD CVA'!$AF$16)*1</f>
        <v>0</v>
      </c>
      <c r="AD16" s="13">
        <f>('TUSD BE'!$AH$16+'TUSD BF'!$AH$16+'TUSD CVA'!$AH$16)*1</f>
        <v>11.75523632306191</v>
      </c>
      <c r="AE16" s="13">
        <f>('TUSD BE'!$AI$16+'TUSD BF'!$AI$16+'TUSD CVA'!$AI$16)*1</f>
        <v>0.34591302766983184</v>
      </c>
      <c r="AF16" s="13">
        <f ca="1">('TUSD BE'!$AJ$16+'TUSD BF'!$AJ$16+'TUSD CVA'!$AJ$16)*1</f>
        <v>1.0588085166344599</v>
      </c>
      <c r="AG16" s="13">
        <f ca="1">('TUSD BE'!$AK$16+'TUSD BF'!$AK$16+'TUSD CVA'!$AK$16)*1</f>
        <v>0.24626383593209816</v>
      </c>
      <c r="AI16" s="13">
        <v>11.2311595167272</v>
      </c>
      <c r="AJ16" s="13">
        <v>0.42237586216956402</v>
      </c>
      <c r="AK16" s="13">
        <v>0.27742885089611402</v>
      </c>
      <c r="AL16" s="13">
        <v>0</v>
      </c>
      <c r="AM16" s="13">
        <v>0</v>
      </c>
      <c r="AN16" s="13">
        <v>50.793105269410098</v>
      </c>
      <c r="AO16" s="13">
        <v>12.752028686941999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-4.9256107647854002</v>
      </c>
      <c r="AZ16" s="13">
        <v>0</v>
      </c>
      <c r="BA16" s="13">
        <v>12.7019415598152</v>
      </c>
      <c r="BB16" s="13">
        <v>0.33667092899372197</v>
      </c>
      <c r="BC16" s="13">
        <v>1.0421067446391099</v>
      </c>
      <c r="BD16" s="13">
        <v>0.36191835299306602</v>
      </c>
    </row>
    <row r="17" spans="1:56" ht="11.25" customHeight="1" x14ac:dyDescent="0.3">
      <c r="A17" s="137" t="s">
        <v>39</v>
      </c>
      <c r="B17" s="137" t="s">
        <v>42</v>
      </c>
      <c r="C17" s="137" t="s">
        <v>25</v>
      </c>
      <c r="D17" s="137" t="s">
        <v>25</v>
      </c>
      <c r="E17" s="137" t="s">
        <v>25</v>
      </c>
      <c r="F17" s="137" t="s">
        <v>25</v>
      </c>
      <c r="G17" s="18" t="s">
        <v>85</v>
      </c>
      <c r="H17" s="18" t="s">
        <v>84</v>
      </c>
      <c r="I17" s="18">
        <f>'MERCADO TUSD'!$U$14</f>
        <v>6798</v>
      </c>
      <c r="J17" s="15"/>
      <c r="L17" s="13">
        <f>('TUSD BE'!$L$17+'TUSD BF'!$L$17+'TUSD CVA'!$L$17)*1</f>
        <v>0</v>
      </c>
      <c r="M17" s="13">
        <f>('TUSD BE'!$M$17+'TUSD BF'!$M$17+'TUSD CVA'!$M$17)*1</f>
        <v>0</v>
      </c>
      <c r="N17" s="13">
        <f ca="1">('TUSD BE'!$N$17+'TUSD BF'!$N$17+'TUSD CVA'!$N$17)*1</f>
        <v>0</v>
      </c>
      <c r="O17" s="13">
        <f>('TUSD BE'!$O$17+'TUSD BF'!$O$17+'TUSD CVA'!$O$17)*1</f>
        <v>0</v>
      </c>
      <c r="P17" s="13">
        <f>('TUSD BE'!$P$17+'TUSD BF'!$P$17+'TUSD CVA'!$P$17)*1</f>
        <v>0</v>
      </c>
      <c r="Q17" s="13">
        <f>('TUSD BE'!$Q$17+'TUSD BF'!$Q$17+'TUSD CVA'!$Q$17)*1</f>
        <v>0</v>
      </c>
      <c r="R17" s="13">
        <f>('TUSD BE'!$R$17+'TUSD BF'!$R$17+'TUSD CVA'!$R$17)*1</f>
        <v>0</v>
      </c>
      <c r="S17" s="13">
        <f>('TUSD BE'!$S$17+'TUSD BF'!$S$17+'TUSD CVA'!$S$17)*1</f>
        <v>0</v>
      </c>
      <c r="T17" s="13">
        <f>('TUSD BE'!$U$17+'TUSD BF'!$U$17+'TUSD CVA'!$U$17)*1</f>
        <v>8.3620524094406754</v>
      </c>
      <c r="U17" s="13">
        <f>('TUSD BE'!$V$17+'TUSD BF'!$V$17+'TUSD CVA'!$V$17)*1</f>
        <v>3.8798306370005018</v>
      </c>
      <c r="V17" s="13">
        <f>('TUSD BE'!$W$17+'TUSD BF'!$W$17+'TUSD CVA'!$W$17)*1</f>
        <v>0</v>
      </c>
      <c r="W17" s="13">
        <f>('TUSD BE'!$X$17+'TUSD BF'!$X$17+'TUSD CVA'!$X$17)*1</f>
        <v>0</v>
      </c>
      <c r="X17" s="13">
        <f>('TUSD BE'!$Y$17+'TUSD BF'!$Y$17+'TUSD CVA'!$Y$17)*1</f>
        <v>0</v>
      </c>
      <c r="Y17" s="13">
        <f>('TUSD BE'!$Z$17+'TUSD BF'!$Z$17+'TUSD CVA'!$Z$17)*1</f>
        <v>0</v>
      </c>
      <c r="Z17" s="13">
        <f>('TUSD BE'!$AA$17+'TUSD BF'!$AA$17+'TUSD CVA'!$AA$17)*1</f>
        <v>0</v>
      </c>
      <c r="AA17" s="13">
        <f>('TUSD BE'!$AC$17+'TUSD BF'!$AC$17+'TUSD CVA'!$AC$17)*1</f>
        <v>41.058527153040046</v>
      </c>
      <c r="AB17" s="13">
        <f ca="1">('TUSD BE'!$AE$17+'TUSD BF'!$AE$17+'TUSD CVA'!$AE$17)*1</f>
        <v>-2.2609563594644144</v>
      </c>
      <c r="AC17" s="13">
        <f ca="1">('TUSD BE'!$AF$17+'TUSD BF'!$AF$17+'TUSD CVA'!$AF$17)*1</f>
        <v>0</v>
      </c>
      <c r="AD17" s="13">
        <f>('TUSD BE'!$AH$17+'TUSD BF'!$AH$17+'TUSD CVA'!$AH$17)*1</f>
        <v>0</v>
      </c>
      <c r="AE17" s="13">
        <f>('TUSD BE'!$AI$17+'TUSD BF'!$AI$17+'TUSD CVA'!$AI$17)*1</f>
        <v>0</v>
      </c>
      <c r="AF17" s="13">
        <f ca="1">('TUSD BE'!$AJ$17+'TUSD BF'!$AJ$17+'TUSD CVA'!$AJ$17)*1</f>
        <v>0</v>
      </c>
      <c r="AG17" s="13">
        <f ca="1">('TUSD BE'!$AK$17+'TUSD BF'!$AK$17+'TUSD CVA'!$AK$17)*1</f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6.5751895821139899</v>
      </c>
      <c r="AR17" s="13">
        <v>3.4610371022370798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38.514316573920702</v>
      </c>
      <c r="AY17" s="13">
        <v>-2.8168611102488401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</row>
    <row r="18" spans="1:56" ht="11.25" customHeight="1" x14ac:dyDescent="0.3">
      <c r="A18" s="137"/>
      <c r="B18" s="137"/>
      <c r="C18" s="137"/>
      <c r="D18" s="137"/>
      <c r="E18" s="137"/>
      <c r="F18" s="137"/>
      <c r="G18" s="18" t="s">
        <v>86</v>
      </c>
      <c r="H18" s="18" t="s">
        <v>84</v>
      </c>
      <c r="I18" s="18">
        <f>'MERCADO TUSD'!$U$15</f>
        <v>6877</v>
      </c>
      <c r="J18" s="15"/>
      <c r="L18" s="13">
        <f>('TUSD BE'!$L$18+'TUSD BF'!$L$18+'TUSD CVA'!$L$18)*1</f>
        <v>0</v>
      </c>
      <c r="M18" s="13">
        <f>('TUSD BE'!$M$18+'TUSD BF'!$M$18+'TUSD CVA'!$M$18)*1</f>
        <v>0</v>
      </c>
      <c r="N18" s="13">
        <f ca="1">('TUSD BE'!$N$18+'TUSD BF'!$N$18+'TUSD CVA'!$N$18)*1</f>
        <v>0</v>
      </c>
      <c r="O18" s="13">
        <f>('TUSD BE'!$O$18+'TUSD BF'!$O$18+'TUSD CVA'!$O$18)*1</f>
        <v>0</v>
      </c>
      <c r="P18" s="13">
        <f>('TUSD BE'!$P$18+'TUSD BF'!$P$18+'TUSD CVA'!$P$18)*1</f>
        <v>0</v>
      </c>
      <c r="Q18" s="13">
        <f>('TUSD BE'!$Q$18+'TUSD BF'!$Q$18+'TUSD CVA'!$Q$18)*1</f>
        <v>0</v>
      </c>
      <c r="R18" s="13">
        <f>('TUSD BE'!$R$18+'TUSD BF'!$R$18+'TUSD CVA'!$R$18)*1</f>
        <v>0</v>
      </c>
      <c r="S18" s="13">
        <f>('TUSD BE'!$S$18+'TUSD BF'!$S$18+'TUSD CVA'!$S$18)*1</f>
        <v>0</v>
      </c>
      <c r="T18" s="13">
        <f>('TUSD BE'!$U$18+'TUSD BF'!$U$18+'TUSD CVA'!$U$18)*1</f>
        <v>4.8240742378063306</v>
      </c>
      <c r="U18" s="13">
        <f>('TUSD BE'!$V$18+'TUSD BF'!$V$18+'TUSD CVA'!$V$18)*1</f>
        <v>2.3184137423859066</v>
      </c>
      <c r="V18" s="13">
        <f>('TUSD BE'!$W$18+'TUSD BF'!$W$18+'TUSD CVA'!$W$18)*1</f>
        <v>0</v>
      </c>
      <c r="W18" s="13">
        <f>('TUSD BE'!$X$18+'TUSD BF'!$X$18+'TUSD CVA'!$X$18)*1</f>
        <v>0</v>
      </c>
      <c r="X18" s="13">
        <f>('TUSD BE'!$Y$18+'TUSD BF'!$Y$18+'TUSD CVA'!$Y$18)*1</f>
        <v>0</v>
      </c>
      <c r="Y18" s="13">
        <f>('TUSD BE'!$Z$18+'TUSD BF'!$Z$18+'TUSD CVA'!$Z$18)*1</f>
        <v>0</v>
      </c>
      <c r="Z18" s="13">
        <f>('TUSD BE'!$AA$18+'TUSD BF'!$AA$18+'TUSD CVA'!$AA$18)*1</f>
        <v>0</v>
      </c>
      <c r="AA18" s="13">
        <f>('TUSD BE'!$AC$18+'TUSD BF'!$AC$18+'TUSD CVA'!$AC$18)*1</f>
        <v>15.166333705263506</v>
      </c>
      <c r="AB18" s="13">
        <f ca="1">('TUSD BE'!$AE$18+'TUSD BF'!$AE$18+'TUSD CVA'!$AE$18)*1</f>
        <v>-0.93948305983127323</v>
      </c>
      <c r="AC18" s="13">
        <f ca="1">('TUSD BE'!$AF$18+'TUSD BF'!$AF$18+'TUSD CVA'!$AF$18)*1</f>
        <v>0</v>
      </c>
      <c r="AD18" s="13">
        <f>('TUSD BE'!$AH$18+'TUSD BF'!$AH$18+'TUSD CVA'!$AH$18)*1</f>
        <v>0</v>
      </c>
      <c r="AE18" s="13">
        <f>('TUSD BE'!$AI$18+'TUSD BF'!$AI$18+'TUSD CVA'!$AI$18)*1</f>
        <v>0</v>
      </c>
      <c r="AF18" s="13">
        <f ca="1">('TUSD BE'!$AJ$18+'TUSD BF'!$AJ$18+'TUSD CVA'!$AJ$18)*1</f>
        <v>0</v>
      </c>
      <c r="AG18" s="13">
        <f ca="1">('TUSD BE'!$AK$18+'TUSD BF'!$AK$18+'TUSD CVA'!$AK$18)*1</f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3.79323174726315</v>
      </c>
      <c r="AR18" s="13">
        <v>2.0681614048332202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14.2265448395899</v>
      </c>
      <c r="AY18" s="13">
        <v>-1.1655399274907099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</row>
    <row r="19" spans="1:56" ht="11.25" customHeight="1" x14ac:dyDescent="0.3">
      <c r="A19" s="137"/>
      <c r="B19" s="137"/>
      <c r="C19" s="137"/>
      <c r="D19" s="137"/>
      <c r="E19" s="137"/>
      <c r="F19" s="137"/>
      <c r="G19" s="18" t="s">
        <v>83</v>
      </c>
      <c r="H19" s="18" t="s">
        <v>79</v>
      </c>
      <c r="I19" s="18">
        <f>'MERCADO TUSD'!$U$16</f>
        <v>3550.4059999999995</v>
      </c>
      <c r="J19" s="15"/>
      <c r="L19" s="13">
        <f>('TUSD BE'!$L$19+'TUSD BF'!$L$19+'TUSD CVA'!$L$19)*1</f>
        <v>11.871615084795975</v>
      </c>
      <c r="M19" s="13">
        <f>('TUSD BE'!$M$19+'TUSD BF'!$M$19+'TUSD CVA'!$M$19)*1</f>
        <v>0.50301435172055564</v>
      </c>
      <c r="N19" s="13">
        <f ca="1">('TUSD BE'!$N$19+'TUSD BF'!$N$19+'TUSD CVA'!$N$19)*1</f>
        <v>0.31108784116322424</v>
      </c>
      <c r="O19" s="13">
        <f>('TUSD BE'!$O$19+'TUSD BF'!$O$19+'TUSD CVA'!$O$19)*1</f>
        <v>0</v>
      </c>
      <c r="P19" s="13">
        <f>('TUSD BE'!$P$19+'TUSD BF'!$P$19+'TUSD CVA'!$P$19)*1</f>
        <v>0</v>
      </c>
      <c r="Q19" s="13">
        <f>('TUSD BE'!$Q$19+'TUSD BF'!$Q$19+'TUSD CVA'!$Q$19)*1</f>
        <v>104.27805831027618</v>
      </c>
      <c r="R19" s="13">
        <f>('TUSD BE'!$R$19+'TUSD BF'!$R$19+'TUSD CVA'!$R$19)*1</f>
        <v>20.465299872876649</v>
      </c>
      <c r="S19" s="13">
        <f>('TUSD BE'!$S$19+'TUSD BF'!$S$19+'TUSD CVA'!$S$19)*1</f>
        <v>0</v>
      </c>
      <c r="T19" s="13">
        <f>('TUSD BE'!$U$19+'TUSD BF'!$U$19+'TUSD CVA'!$U$19)*1</f>
        <v>0</v>
      </c>
      <c r="U19" s="13">
        <f>('TUSD BE'!$V$19+'TUSD BF'!$V$19+'TUSD CVA'!$V$19)*1</f>
        <v>0</v>
      </c>
      <c r="V19" s="13">
        <f>('TUSD BE'!$W$19+'TUSD BF'!$W$19+'TUSD CVA'!$W$19)*1</f>
        <v>0</v>
      </c>
      <c r="W19" s="13">
        <f>('TUSD BE'!$X$19+'TUSD BF'!$X$19+'TUSD CVA'!$X$19)*1</f>
        <v>0</v>
      </c>
      <c r="X19" s="13">
        <f>('TUSD BE'!$Y$19+'TUSD BF'!$Y$19+'TUSD CVA'!$Y$19)*1</f>
        <v>0</v>
      </c>
      <c r="Y19" s="13">
        <f>('TUSD BE'!$Z$19+'TUSD BF'!$Z$19+'TUSD CVA'!$Z$19)*1</f>
        <v>0</v>
      </c>
      <c r="Z19" s="13">
        <f>('TUSD BE'!$AA$19+'TUSD BF'!$AA$19+'TUSD CVA'!$AA$19)*1</f>
        <v>0</v>
      </c>
      <c r="AA19" s="13">
        <f>('TUSD BE'!$AC$19+'TUSD BF'!$AC$19+'TUSD CVA'!$AC$19)*1</f>
        <v>0</v>
      </c>
      <c r="AB19" s="13">
        <f ca="1">('TUSD BE'!$AE$19+'TUSD BF'!$AE$19+'TUSD CVA'!$AE$19)*1</f>
        <v>-5.1129232277829155</v>
      </c>
      <c r="AC19" s="13">
        <f ca="1">('TUSD BE'!$AF$19+'TUSD BF'!$AF$19+'TUSD CVA'!$AF$19)*1</f>
        <v>0</v>
      </c>
      <c r="AD19" s="13">
        <f>('TUSD BE'!$AH$19+'TUSD BF'!$AH$19+'TUSD CVA'!$AH$19)*1</f>
        <v>11.75523632306191</v>
      </c>
      <c r="AE19" s="13">
        <f>('TUSD BE'!$AI$19+'TUSD BF'!$AI$19+'TUSD CVA'!$AI$19)*1</f>
        <v>0.34591302766983184</v>
      </c>
      <c r="AF19" s="13">
        <f ca="1">('TUSD BE'!$AJ$19+'TUSD BF'!$AJ$19+'TUSD CVA'!$AJ$19)*1</f>
        <v>1.0588085166344599</v>
      </c>
      <c r="AG19" s="13">
        <f ca="1">('TUSD BE'!$AK$19+'TUSD BF'!$AK$19+'TUSD CVA'!$AK$19)*1</f>
        <v>0.24626383593209816</v>
      </c>
      <c r="AI19" s="13">
        <v>11.2311595167272</v>
      </c>
      <c r="AJ19" s="13">
        <v>0.42237586216956402</v>
      </c>
      <c r="AK19" s="13">
        <v>0.27742885089611402</v>
      </c>
      <c r="AL19" s="13">
        <v>0</v>
      </c>
      <c r="AM19" s="13">
        <v>0</v>
      </c>
      <c r="AN19" s="13">
        <v>50.793105269410098</v>
      </c>
      <c r="AO19" s="13">
        <v>12.752028686941999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-4.9256107647854002</v>
      </c>
      <c r="AZ19" s="13">
        <v>0</v>
      </c>
      <c r="BA19" s="13">
        <v>12.7019415598152</v>
      </c>
      <c r="BB19" s="13">
        <v>0.33667092899372197</v>
      </c>
      <c r="BC19" s="13">
        <v>1.0421067446391099</v>
      </c>
      <c r="BD19" s="13">
        <v>0.36191835299306602</v>
      </c>
    </row>
    <row r="20" spans="1:56" ht="11.25" customHeight="1" x14ac:dyDescent="0.3">
      <c r="A20" s="137"/>
      <c r="B20" s="137"/>
      <c r="C20" s="137"/>
      <c r="D20" s="137"/>
      <c r="E20" s="17" t="s">
        <v>87</v>
      </c>
      <c r="F20" s="17" t="s">
        <v>25</v>
      </c>
      <c r="G20" s="18" t="s">
        <v>83</v>
      </c>
      <c r="H20" s="18" t="s">
        <v>79</v>
      </c>
      <c r="I20" s="18">
        <f>'MERCADO TUSD'!$U$17</f>
        <v>0</v>
      </c>
      <c r="J20" s="15"/>
      <c r="L20" s="13">
        <f>('TUSD BE'!$L$20+'TUSD BF'!$L$20+'TUSD CVA'!$L$20)*1</f>
        <v>0</v>
      </c>
      <c r="M20" s="13">
        <f>('TUSD BE'!$M$20+'TUSD BF'!$M$20+'TUSD CVA'!$M$20)*1</f>
        <v>0.50301435172055564</v>
      </c>
      <c r="N20" s="13">
        <f ca="1">('TUSD BE'!$N$20+'TUSD BF'!$N$20+'TUSD CVA'!$N$20)*1</f>
        <v>0.2993505448062781</v>
      </c>
      <c r="O20" s="13">
        <f>('TUSD BE'!$O$20+'TUSD BF'!$O$20+'TUSD CVA'!$O$20)*1</f>
        <v>0</v>
      </c>
      <c r="P20" s="13">
        <f>('TUSD BE'!$P$20+'TUSD BF'!$P$20+'TUSD CVA'!$P$20)*1</f>
        <v>0</v>
      </c>
      <c r="Q20" s="13">
        <f>('TUSD BE'!$Q$20+'TUSD BF'!$Q$20+'TUSD CVA'!$Q$20)*1</f>
        <v>0</v>
      </c>
      <c r="R20" s="13">
        <f>('TUSD BE'!$R$20+'TUSD BF'!$R$20+'TUSD CVA'!$R$20)*1</f>
        <v>0</v>
      </c>
      <c r="S20" s="13">
        <f>('TUSD BE'!$S$20+'TUSD BF'!$S$20+'TUSD CVA'!$S$20)*1</f>
        <v>0</v>
      </c>
      <c r="T20" s="13">
        <f>('TUSD BE'!$U$20+'TUSD BF'!$U$20+'TUSD CVA'!$U$20)*1</f>
        <v>0</v>
      </c>
      <c r="U20" s="13">
        <f>('TUSD BE'!$V$20+'TUSD BF'!$V$20+'TUSD CVA'!$V$20)*1</f>
        <v>0</v>
      </c>
      <c r="V20" s="13">
        <f>('TUSD BE'!$W$20+'TUSD BF'!$W$20+'TUSD CVA'!$W$20)*1</f>
        <v>0</v>
      </c>
      <c r="W20" s="13">
        <f>('TUSD BE'!$X$20+'TUSD BF'!$X$20+'TUSD CVA'!$X$20)*1</f>
        <v>0</v>
      </c>
      <c r="X20" s="13">
        <f>('TUSD BE'!$Y$20+'TUSD BF'!$Y$20+'TUSD CVA'!$Y$20)*1</f>
        <v>0</v>
      </c>
      <c r="Y20" s="13">
        <f>('TUSD BE'!$Z$20+'TUSD BF'!$Z$20+'TUSD CVA'!$Z$20)*1</f>
        <v>0</v>
      </c>
      <c r="Z20" s="13">
        <f>('TUSD BE'!$AA$20+'TUSD BF'!$AA$20+'TUSD CVA'!$AA$20)*1</f>
        <v>0</v>
      </c>
      <c r="AA20" s="13">
        <f>('TUSD BE'!$AC$20+'TUSD BF'!$AC$20+'TUSD CVA'!$AC$20)*1</f>
        <v>0</v>
      </c>
      <c r="AB20" s="13">
        <f ca="1">('TUSD BE'!$AE$20+'TUSD BF'!$AE$20+'TUSD CVA'!$AE$20)*1</f>
        <v>-0.5968285265562624</v>
      </c>
      <c r="AC20" s="13">
        <f ca="1">('TUSD BE'!$AF$20+'TUSD BF'!$AF$20+'TUSD CVA'!$AF$20)*1</f>
        <v>0</v>
      </c>
      <c r="AD20" s="13">
        <f>('TUSD BE'!$AH$20+'TUSD BF'!$AH$20+'TUSD CVA'!$AH$20)*1</f>
        <v>11.75523632306191</v>
      </c>
      <c r="AE20" s="13">
        <f>('TUSD BE'!$AI$20+'TUSD BF'!$AI$20+'TUSD CVA'!$AI$20)*1</f>
        <v>0.34591302766983184</v>
      </c>
      <c r="AF20" s="13">
        <f ca="1">('TUSD BE'!$AJ$20+'TUSD BF'!$AJ$20+'TUSD CVA'!$AJ$20)*1</f>
        <v>1.0588085166344599</v>
      </c>
      <c r="AG20" s="13">
        <f ca="1">('TUSD BE'!$AK$20+'TUSD BF'!$AK$20+'TUSD CVA'!$AK$20)*1</f>
        <v>0.24626383593209816</v>
      </c>
      <c r="AI20" s="13">
        <v>0</v>
      </c>
      <c r="AJ20" s="13">
        <v>0.42237586216956402</v>
      </c>
      <c r="AK20" s="13">
        <v>0.26681783146418803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-0.73975596434364399</v>
      </c>
      <c r="AZ20" s="13">
        <v>0</v>
      </c>
      <c r="BA20" s="13">
        <v>12.7019415598152</v>
      </c>
      <c r="BB20" s="13">
        <v>0.33667092899372197</v>
      </c>
      <c r="BC20" s="13">
        <v>1.0421067446391099</v>
      </c>
      <c r="BD20" s="13">
        <v>0.36191835299306602</v>
      </c>
    </row>
    <row r="21" spans="1:56" ht="11.25" customHeight="1" x14ac:dyDescent="0.3">
      <c r="A21" s="137"/>
      <c r="B21" s="17" t="s">
        <v>60</v>
      </c>
      <c r="C21" s="17" t="s">
        <v>25</v>
      </c>
      <c r="D21" s="17" t="s">
        <v>25</v>
      </c>
      <c r="E21" s="17" t="s">
        <v>25</v>
      </c>
      <c r="F21" s="17" t="s">
        <v>25</v>
      </c>
      <c r="G21" s="18" t="s">
        <v>9</v>
      </c>
      <c r="H21" s="18" t="s">
        <v>84</v>
      </c>
      <c r="I21" s="18">
        <f>'MERCADO TUSD'!$U$18</f>
        <v>0</v>
      </c>
      <c r="J21" s="15"/>
      <c r="L21" s="13">
        <f>('TUSD BE'!$L$21+'TUSD BF'!$L$21+'TUSD CVA'!$L$21)*1</f>
        <v>0</v>
      </c>
      <c r="M21" s="13">
        <f>('TUSD BE'!$M$21+'TUSD BF'!$M$21+'TUSD CVA'!$M$21)*1</f>
        <v>6.962197168624E-2</v>
      </c>
      <c r="N21" s="13">
        <f ca="1">('TUSD BE'!$N$21+'TUSD BF'!$N$21+'TUSD CVA'!$N$21)*1</f>
        <v>0.20446370253800089</v>
      </c>
      <c r="O21" s="13">
        <f>('TUSD BE'!$O$21+'TUSD BF'!$O$21+'TUSD CVA'!$O$21)*1</f>
        <v>0</v>
      </c>
      <c r="P21" s="13">
        <f>('TUSD BE'!$P$21+'TUSD BF'!$P$21+'TUSD CVA'!$P$21)*1</f>
        <v>0</v>
      </c>
      <c r="Q21" s="13">
        <f>('TUSD BE'!$Q$21+'TUSD BF'!$Q$21+'TUSD CVA'!$Q$21)*1</f>
        <v>0</v>
      </c>
      <c r="R21" s="13">
        <f>('TUSD BE'!$R$21+'TUSD BF'!$R$21+'TUSD CVA'!$R$21)*1</f>
        <v>0</v>
      </c>
      <c r="S21" s="13">
        <f>('TUSD BE'!$S$21+'TUSD BF'!$S$21+'TUSD CVA'!$S$21)*1</f>
        <v>0</v>
      </c>
      <c r="T21" s="13">
        <f>('TUSD BE'!$U$21+'TUSD BF'!$U$21+'TUSD CVA'!$U$21)*1</f>
        <v>0</v>
      </c>
      <c r="U21" s="13">
        <f>('TUSD BE'!$V$21+'TUSD BF'!$V$21+'TUSD CVA'!$V$21)*1</f>
        <v>0</v>
      </c>
      <c r="V21" s="13">
        <f>('TUSD BE'!$W$21+'TUSD BF'!$W$21+'TUSD CVA'!$W$21)*1</f>
        <v>0</v>
      </c>
      <c r="W21" s="13">
        <f>('TUSD BE'!$X$21+'TUSD BF'!$X$21+'TUSD CVA'!$X$21)*1</f>
        <v>0</v>
      </c>
      <c r="X21" s="13">
        <f>('TUSD BE'!$Y$21+'TUSD BF'!$Y$21+'TUSD CVA'!$Y$21)*1</f>
        <v>0</v>
      </c>
      <c r="Y21" s="13">
        <f>('TUSD BE'!$Z$21+'TUSD BF'!$Z$21+'TUSD CVA'!$Z$21)*1</f>
        <v>0</v>
      </c>
      <c r="Z21" s="13">
        <f>('TUSD BE'!$AA$21+'TUSD BF'!$AA$21+'TUSD CVA'!$AA$21)*1</f>
        <v>0</v>
      </c>
      <c r="AA21" s="13">
        <f>('TUSD BE'!$AC$21+'TUSD BF'!$AC$21+'TUSD CVA'!$AC$21)*1</f>
        <v>12.717205935462069</v>
      </c>
      <c r="AB21" s="13">
        <f ca="1">('TUSD BE'!$AE$21+'TUSD BF'!$AE$21+'TUSD CVA'!$AE$21)*1</f>
        <v>-0.56148140367372812</v>
      </c>
      <c r="AC21" s="13">
        <f ca="1">('TUSD BE'!$AF$21+'TUSD BF'!$AF$21+'TUSD CVA'!$AF$21)*1</f>
        <v>0</v>
      </c>
      <c r="AD21" s="13">
        <f>('TUSD BE'!$AH$21+'TUSD BF'!$AH$21+'TUSD CVA'!$AH$21)*1</f>
        <v>6.9490556313345723E-3</v>
      </c>
      <c r="AE21" s="13">
        <f>('TUSD BE'!$AI$21+'TUSD BF'!$AI$21+'TUSD CVA'!$AI$21)*1</f>
        <v>0</v>
      </c>
      <c r="AF21" s="13">
        <f ca="1">('TUSD BE'!$AJ$21+'TUSD BF'!$AJ$21+'TUSD CVA'!$AJ$21)*1</f>
        <v>0</v>
      </c>
      <c r="AG21" s="13">
        <f ca="1">('TUSD BE'!$AK$21+'TUSD BF'!$AK$21+'TUSD CVA'!$AK$21)*1</f>
        <v>0</v>
      </c>
      <c r="AI21" s="13">
        <v>0</v>
      </c>
      <c r="AJ21" s="13">
        <v>6.8028247182393795E-2</v>
      </c>
      <c r="AK21" s="13">
        <v>0.18484395850414601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11.9291784020525</v>
      </c>
      <c r="AY21" s="13">
        <v>-0.70697121049650102</v>
      </c>
      <c r="AZ21" s="13">
        <v>0</v>
      </c>
      <c r="BA21" s="13">
        <v>7.5086962183781398E-3</v>
      </c>
      <c r="BB21" s="13">
        <v>0</v>
      </c>
      <c r="BC21" s="13">
        <v>0</v>
      </c>
      <c r="BD21" s="13">
        <v>0</v>
      </c>
    </row>
    <row r="22" spans="1:56" ht="11.25" customHeight="1" x14ac:dyDescent="0.3">
      <c r="A22" s="137"/>
      <c r="B22" s="137" t="s">
        <v>40</v>
      </c>
      <c r="C22" s="137" t="s">
        <v>25</v>
      </c>
      <c r="D22" s="137" t="s">
        <v>25</v>
      </c>
      <c r="E22" s="137" t="s">
        <v>25</v>
      </c>
      <c r="F22" s="137" t="s">
        <v>25</v>
      </c>
      <c r="G22" s="18" t="s">
        <v>9</v>
      </c>
      <c r="H22" s="18" t="s">
        <v>84</v>
      </c>
      <c r="I22" s="18">
        <f>'MERCADO TUSD'!$U$19</f>
        <v>125381</v>
      </c>
      <c r="J22" s="15"/>
      <c r="L22" s="13">
        <f>('TUSD BE'!$L$22+'TUSD BF'!$L$22+'TUSD CVA'!$L$22)*1</f>
        <v>0</v>
      </c>
      <c r="M22" s="13">
        <f>('TUSD BE'!$M$22+'TUSD BF'!$M$22+'TUSD CVA'!$M$22)*1</f>
        <v>0</v>
      </c>
      <c r="N22" s="13">
        <f ca="1">('TUSD BE'!$N$22+'TUSD BF'!$N$22+'TUSD CVA'!$N$22)*1</f>
        <v>0</v>
      </c>
      <c r="O22" s="13">
        <f>('TUSD BE'!$O$22+'TUSD BF'!$O$22+'TUSD CVA'!$O$22)*1</f>
        <v>0</v>
      </c>
      <c r="P22" s="13">
        <f>('TUSD BE'!$P$22+'TUSD BF'!$P$22+'TUSD CVA'!$P$22)*1</f>
        <v>0</v>
      </c>
      <c r="Q22" s="13">
        <f>('TUSD BE'!$Q$22+'TUSD BF'!$Q$22+'TUSD CVA'!$Q$22)*1</f>
        <v>0</v>
      </c>
      <c r="R22" s="13">
        <f>('TUSD BE'!$R$22+'TUSD BF'!$R$22+'TUSD CVA'!$R$22)*1</f>
        <v>0</v>
      </c>
      <c r="S22" s="13">
        <f>('TUSD BE'!$S$22+'TUSD BF'!$S$22+'TUSD CVA'!$S$22)*1</f>
        <v>0</v>
      </c>
      <c r="T22" s="13">
        <f>('TUSD BE'!$U$22+'TUSD BF'!$U$22+'TUSD CVA'!$U$22)*1</f>
        <v>4.8240742378063306</v>
      </c>
      <c r="U22" s="13">
        <f>('TUSD BE'!$V$22+'TUSD BF'!$V$22+'TUSD CVA'!$V$22)*1</f>
        <v>2.3184137423859066</v>
      </c>
      <c r="V22" s="13">
        <f>('TUSD BE'!$W$22+'TUSD BF'!$W$22+'TUSD CVA'!$W$22)*1</f>
        <v>0</v>
      </c>
      <c r="W22" s="13">
        <f>('TUSD BE'!$X$22+'TUSD BF'!$X$22+'TUSD CVA'!$X$22)*1</f>
        <v>0</v>
      </c>
      <c r="X22" s="13">
        <f>('TUSD BE'!$Y$22+'TUSD BF'!$Y$22+'TUSD CVA'!$Y$22)*1</f>
        <v>0</v>
      </c>
      <c r="Y22" s="13">
        <f>('TUSD BE'!$Z$22+'TUSD BF'!$Z$22+'TUSD CVA'!$Z$22)*1</f>
        <v>0</v>
      </c>
      <c r="Z22" s="13">
        <f>('TUSD BE'!$AA$22+'TUSD BF'!$AA$22+'TUSD CVA'!$AA$22)*1</f>
        <v>0</v>
      </c>
      <c r="AA22" s="13">
        <f>('TUSD BE'!$AC$22+'TUSD BF'!$AC$22+'TUSD CVA'!$AC$22)*1</f>
        <v>15.166333705263506</v>
      </c>
      <c r="AB22" s="13">
        <f ca="1">('TUSD BE'!$AE$22+'TUSD BF'!$AE$22+'TUSD CVA'!$AE$22)*1</f>
        <v>-0.93948305983127323</v>
      </c>
      <c r="AC22" s="13">
        <f ca="1">('TUSD BE'!$AF$22+'TUSD BF'!$AF$22+'TUSD CVA'!$AF$22)*1</f>
        <v>0</v>
      </c>
      <c r="AD22" s="13">
        <f>('TUSD BE'!$AH$22+'TUSD BF'!$AH$22+'TUSD CVA'!$AH$22)*1</f>
        <v>0</v>
      </c>
      <c r="AE22" s="13">
        <f>('TUSD BE'!$AI$22+'TUSD BF'!$AI$22+'TUSD CVA'!$AI$22)*1</f>
        <v>0</v>
      </c>
      <c r="AF22" s="13">
        <f ca="1">('TUSD BE'!$AJ$22+'TUSD BF'!$AJ$22+'TUSD CVA'!$AJ$22)*1</f>
        <v>0</v>
      </c>
      <c r="AG22" s="13">
        <f ca="1">('TUSD BE'!$AK$22+'TUSD BF'!$AK$22+'TUSD CVA'!$AK$22)*1</f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3.79323174726315</v>
      </c>
      <c r="AR22" s="13">
        <v>2.0681614048332202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14.2265448395899</v>
      </c>
      <c r="AY22" s="13">
        <v>-1.1655399274907099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</row>
    <row r="23" spans="1:56" ht="11.25" customHeight="1" x14ac:dyDescent="0.3">
      <c r="A23" s="137"/>
      <c r="B23" s="137"/>
      <c r="C23" s="137"/>
      <c r="D23" s="137"/>
      <c r="E23" s="137"/>
      <c r="F23" s="137"/>
      <c r="G23" s="18" t="s">
        <v>80</v>
      </c>
      <c r="H23" s="18" t="s">
        <v>79</v>
      </c>
      <c r="I23" s="18">
        <f>'MERCADO TUSD'!$U$20</f>
        <v>1113.1679999999999</v>
      </c>
      <c r="J23" s="15"/>
      <c r="L23" s="13">
        <f>('TUSD BE'!$L$23+'TUSD BF'!$L$23+'TUSD CVA'!$L$23)*1</f>
        <v>11.871615084795975</v>
      </c>
      <c r="M23" s="13">
        <f>('TUSD BE'!$M$23+'TUSD BF'!$M$23+'TUSD CVA'!$M$23)*1</f>
        <v>0.50301435172055564</v>
      </c>
      <c r="N23" s="13">
        <f ca="1">('TUSD BE'!$N$23+'TUSD BF'!$N$23+'TUSD CVA'!$N$23)*1</f>
        <v>13.142236485057476</v>
      </c>
      <c r="O23" s="13">
        <f>('TUSD BE'!$O$23+'TUSD BF'!$O$23+'TUSD CVA'!$O$23)*1</f>
        <v>0</v>
      </c>
      <c r="P23" s="13">
        <f>('TUSD BE'!$P$23+'TUSD BF'!$P$23+'TUSD CVA'!$P$23)*1</f>
        <v>0</v>
      </c>
      <c r="Q23" s="13">
        <f>('TUSD BE'!$Q$23+'TUSD BF'!$Q$23+'TUSD CVA'!$Q$23)*1</f>
        <v>104.27805831027618</v>
      </c>
      <c r="R23" s="13">
        <f>('TUSD BE'!$R$23+'TUSD BF'!$R$23+'TUSD CVA'!$R$23)*1</f>
        <v>20.465299872876649</v>
      </c>
      <c r="S23" s="13">
        <f>('TUSD BE'!$S$23+'TUSD BF'!$S$23+'TUSD CVA'!$S$23)*1</f>
        <v>0</v>
      </c>
      <c r="T23" s="13">
        <f>('TUSD BE'!$U$23+'TUSD BF'!$U$23+'TUSD CVA'!$U$23)*1</f>
        <v>201.10723675753559</v>
      </c>
      <c r="U23" s="13">
        <f>('TUSD BE'!$V$23+'TUSD BF'!$V$23+'TUSD CVA'!$V$23)*1</f>
        <v>93.309257410759528</v>
      </c>
      <c r="V23" s="13">
        <f>('TUSD BE'!$W$23+'TUSD BF'!$W$23+'TUSD CVA'!$W$23)*1</f>
        <v>0</v>
      </c>
      <c r="W23" s="13">
        <f>('TUSD BE'!$X$23+'TUSD BF'!$X$23+'TUSD CVA'!$X$23)*1</f>
        <v>0</v>
      </c>
      <c r="X23" s="13">
        <f>('TUSD BE'!$Y$23+'TUSD BF'!$Y$23+'TUSD CVA'!$Y$23)*1</f>
        <v>0</v>
      </c>
      <c r="Y23" s="13">
        <f>('TUSD BE'!$Z$23+'TUSD BF'!$Z$23+'TUSD CVA'!$Z$23)*1</f>
        <v>0</v>
      </c>
      <c r="Z23" s="13">
        <f>('TUSD BE'!$AA$23+'TUSD BF'!$AA$23+'TUSD CVA'!$AA$23)*1</f>
        <v>0</v>
      </c>
      <c r="AA23" s="13">
        <f>('TUSD BE'!$AC$23+'TUSD BF'!$AC$23+'TUSD CVA'!$AC$23)*1</f>
        <v>987.45803265912139</v>
      </c>
      <c r="AB23" s="13">
        <f ca="1">('TUSD BE'!$AE$23+'TUSD BF'!$AE$23+'TUSD CVA'!$AE$23)*1</f>
        <v>-60.043198301429882</v>
      </c>
      <c r="AC23" s="13">
        <f ca="1">('TUSD BE'!$AF$23+'TUSD BF'!$AF$23+'TUSD CVA'!$AF$23)*1</f>
        <v>0</v>
      </c>
      <c r="AD23" s="13">
        <f>('TUSD BE'!$AH$23+'TUSD BF'!$AH$23+'TUSD CVA'!$AH$23)*1</f>
        <v>11.75523632306191</v>
      </c>
      <c r="AE23" s="13">
        <f>('TUSD BE'!$AI$23+'TUSD BF'!$AI$23+'TUSD CVA'!$AI$23)*1</f>
        <v>0.34591302766983184</v>
      </c>
      <c r="AF23" s="13">
        <f ca="1">('TUSD BE'!$AJ$23+'TUSD BF'!$AJ$23+'TUSD CVA'!$AJ$23)*1</f>
        <v>1.0588085166344599</v>
      </c>
      <c r="AG23" s="13">
        <f ca="1">('TUSD BE'!$AK$23+'TUSD BF'!$AK$23+'TUSD CVA'!$AK$23)*1</f>
        <v>0.24626383593209816</v>
      </c>
      <c r="AI23" s="13">
        <v>11.2311595167272</v>
      </c>
      <c r="AJ23" s="13">
        <v>0.42237586216956402</v>
      </c>
      <c r="AK23" s="13">
        <v>11.877337676041799</v>
      </c>
      <c r="AL23" s="13">
        <v>0</v>
      </c>
      <c r="AM23" s="13">
        <v>0</v>
      </c>
      <c r="AN23" s="13">
        <v>50.793105269410098</v>
      </c>
      <c r="AO23" s="13">
        <v>12.752028686941999</v>
      </c>
      <c r="AP23" s="13">
        <v>0</v>
      </c>
      <c r="AQ23" s="13">
        <v>158.13321219118399</v>
      </c>
      <c r="AR23" s="13">
        <v>83.237345156514095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926.26974006003604</v>
      </c>
      <c r="AY23" s="13">
        <v>-73.335837488277605</v>
      </c>
      <c r="AZ23" s="13">
        <v>0</v>
      </c>
      <c r="BA23" s="13">
        <v>12.7019415598152</v>
      </c>
      <c r="BB23" s="13">
        <v>0.33667092899372197</v>
      </c>
      <c r="BC23" s="13">
        <v>1.0421067446391099</v>
      </c>
      <c r="BD23" s="13">
        <v>0.36191835299306602</v>
      </c>
    </row>
    <row r="24" spans="1:56" ht="11.25" customHeight="1" x14ac:dyDescent="0.3">
      <c r="A24" s="137"/>
      <c r="B24" s="137"/>
      <c r="C24" s="137"/>
      <c r="D24" s="137"/>
      <c r="E24" s="137"/>
      <c r="F24" s="137"/>
      <c r="G24" s="18" t="s">
        <v>81</v>
      </c>
      <c r="H24" s="18" t="s">
        <v>79</v>
      </c>
      <c r="I24" s="18">
        <f>'MERCADO TUSD'!$U$21</f>
        <v>23039.734000000004</v>
      </c>
      <c r="J24" s="15"/>
      <c r="L24" s="13">
        <f>('TUSD BE'!$L$24+'TUSD BF'!$L$24+'TUSD CVA'!$L$24)*1</f>
        <v>11.871615084795975</v>
      </c>
      <c r="M24" s="13">
        <f>('TUSD BE'!$M$24+'TUSD BF'!$M$24+'TUSD CVA'!$M$24)*1</f>
        <v>0.50301435172055564</v>
      </c>
      <c r="N24" s="13">
        <f ca="1">('TUSD BE'!$N$24+'TUSD BF'!$N$24+'TUSD CVA'!$N$24)*1</f>
        <v>0.31108784116322424</v>
      </c>
      <c r="O24" s="13">
        <f>('TUSD BE'!$O$24+'TUSD BF'!$O$24+'TUSD CVA'!$O$24)*1</f>
        <v>0</v>
      </c>
      <c r="P24" s="13">
        <f>('TUSD BE'!$P$24+'TUSD BF'!$P$24+'TUSD CVA'!$P$24)*1</f>
        <v>0</v>
      </c>
      <c r="Q24" s="13">
        <f>('TUSD BE'!$Q$24+'TUSD BF'!$Q$24+'TUSD CVA'!$Q$24)*1</f>
        <v>104.27805831027618</v>
      </c>
      <c r="R24" s="13">
        <f>('TUSD BE'!$R$24+'TUSD BF'!$R$24+'TUSD CVA'!$R$24)*1</f>
        <v>20.465299872876649</v>
      </c>
      <c r="S24" s="13">
        <f>('TUSD BE'!$S$24+'TUSD BF'!$S$24+'TUSD CVA'!$S$24)*1</f>
        <v>0</v>
      </c>
      <c r="T24" s="13">
        <f>('TUSD BE'!$U$24+'TUSD BF'!$U$24+'TUSD CVA'!$U$24)*1</f>
        <v>0</v>
      </c>
      <c r="U24" s="13">
        <f>('TUSD BE'!$V$24+'TUSD BF'!$V$24+'TUSD CVA'!$V$24)*1</f>
        <v>0</v>
      </c>
      <c r="V24" s="13">
        <f>('TUSD BE'!$W$24+'TUSD BF'!$W$24+'TUSD CVA'!$W$24)*1</f>
        <v>0</v>
      </c>
      <c r="W24" s="13">
        <f>('TUSD BE'!$X$24+'TUSD BF'!$X$24+'TUSD CVA'!$X$24)*1</f>
        <v>0</v>
      </c>
      <c r="X24" s="13">
        <f>('TUSD BE'!$Y$24+'TUSD BF'!$Y$24+'TUSD CVA'!$Y$24)*1</f>
        <v>0</v>
      </c>
      <c r="Y24" s="13">
        <f>('TUSD BE'!$Z$24+'TUSD BF'!$Z$24+'TUSD CVA'!$Z$24)*1</f>
        <v>0</v>
      </c>
      <c r="Z24" s="13">
        <f>('TUSD BE'!$AA$24+'TUSD BF'!$AA$24+'TUSD CVA'!$AA$24)*1</f>
        <v>0</v>
      </c>
      <c r="AA24" s="13">
        <f>('TUSD BE'!$AC$24+'TUSD BF'!$AC$24+'TUSD CVA'!$AC$24)*1</f>
        <v>0</v>
      </c>
      <c r="AB24" s="13">
        <f ca="1">('TUSD BE'!$AE$24+'TUSD BF'!$AE$24+'TUSD CVA'!$AE$24)*1</f>
        <v>-5.1129232277829155</v>
      </c>
      <c r="AC24" s="13">
        <f ca="1">('TUSD BE'!$AF$24+'TUSD BF'!$AF$24+'TUSD CVA'!$AF$24)*1</f>
        <v>0</v>
      </c>
      <c r="AD24" s="13">
        <f>('TUSD BE'!$AH$24+'TUSD BF'!$AH$24+'TUSD CVA'!$AH$24)*1</f>
        <v>11.75523632306191</v>
      </c>
      <c r="AE24" s="13">
        <f>('TUSD BE'!$AI$24+'TUSD BF'!$AI$24+'TUSD CVA'!$AI$24)*1</f>
        <v>0.34591302766983184</v>
      </c>
      <c r="AF24" s="13">
        <f ca="1">('TUSD BE'!$AJ$24+'TUSD BF'!$AJ$24+'TUSD CVA'!$AJ$24)*1</f>
        <v>1.0588085166344599</v>
      </c>
      <c r="AG24" s="13">
        <f ca="1">('TUSD BE'!$AK$24+'TUSD BF'!$AK$24+'TUSD CVA'!$AK$24)*1</f>
        <v>0.24626383593209816</v>
      </c>
      <c r="AI24" s="13">
        <v>11.2311595167272</v>
      </c>
      <c r="AJ24" s="13">
        <v>0.42237586216956402</v>
      </c>
      <c r="AK24" s="13">
        <v>0.27742885089611402</v>
      </c>
      <c r="AL24" s="13">
        <v>0</v>
      </c>
      <c r="AM24" s="13">
        <v>0</v>
      </c>
      <c r="AN24" s="13">
        <v>50.793105269410098</v>
      </c>
      <c r="AO24" s="13">
        <v>12.752028686941999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-4.9256107647854002</v>
      </c>
      <c r="AZ24" s="13">
        <v>0</v>
      </c>
      <c r="BA24" s="13">
        <v>12.7019415598152</v>
      </c>
      <c r="BB24" s="13">
        <v>0.33667092899372197</v>
      </c>
      <c r="BC24" s="13">
        <v>1.0421067446391099</v>
      </c>
      <c r="BD24" s="13">
        <v>0.36191835299306602</v>
      </c>
    </row>
    <row r="25" spans="1:56" ht="11.25" customHeight="1" x14ac:dyDescent="0.3">
      <c r="A25" s="137"/>
      <c r="B25" s="137"/>
      <c r="C25" s="137"/>
      <c r="D25" s="137"/>
      <c r="E25" s="137" t="s">
        <v>87</v>
      </c>
      <c r="F25" s="137" t="s">
        <v>25</v>
      </c>
      <c r="G25" s="18" t="s">
        <v>80</v>
      </c>
      <c r="H25" s="18" t="s">
        <v>79</v>
      </c>
      <c r="I25" s="18">
        <f>'MERCADO TUSD'!$U$22</f>
        <v>0</v>
      </c>
      <c r="J25" s="15"/>
      <c r="L25" s="13">
        <f>('TUSD BE'!$L$25+'TUSD BF'!$L$25+'TUSD CVA'!$L$25)*1</f>
        <v>0</v>
      </c>
      <c r="M25" s="13">
        <f>('TUSD BE'!$M$25+'TUSD BF'!$M$25+'TUSD CVA'!$M$25)*1</f>
        <v>0.50301435172055564</v>
      </c>
      <c r="N25" s="13">
        <f ca="1">('TUSD BE'!$N$25+'TUSD BF'!$N$25+'TUSD CVA'!$N$25)*1</f>
        <v>13.130499188700528</v>
      </c>
      <c r="O25" s="13">
        <f>('TUSD BE'!$O$25+'TUSD BF'!$O$25+'TUSD CVA'!$O$25)*1</f>
        <v>0</v>
      </c>
      <c r="P25" s="13">
        <f>('TUSD BE'!$P$25+'TUSD BF'!$P$25+'TUSD CVA'!$P$25)*1</f>
        <v>0</v>
      </c>
      <c r="Q25" s="13">
        <f>('TUSD BE'!$Q$25+'TUSD BF'!$Q$25+'TUSD CVA'!$Q$25)*1</f>
        <v>0</v>
      </c>
      <c r="R25" s="13">
        <f>('TUSD BE'!$R$25+'TUSD BF'!$R$25+'TUSD CVA'!$R$25)*1</f>
        <v>0</v>
      </c>
      <c r="S25" s="13">
        <f>('TUSD BE'!$S$25+'TUSD BF'!$S$25+'TUSD CVA'!$S$25)*1</f>
        <v>0</v>
      </c>
      <c r="T25" s="13">
        <f>('TUSD BE'!$U$25+'TUSD BF'!$U$25+'TUSD CVA'!$U$25)*1</f>
        <v>201.10723675753559</v>
      </c>
      <c r="U25" s="13">
        <f>('TUSD BE'!$V$25+'TUSD BF'!$V$25+'TUSD CVA'!$V$25)*1</f>
        <v>93.309257410759528</v>
      </c>
      <c r="V25" s="13">
        <f>('TUSD BE'!$W$25+'TUSD BF'!$W$25+'TUSD CVA'!$W$25)*1</f>
        <v>0</v>
      </c>
      <c r="W25" s="13">
        <f>('TUSD BE'!$X$25+'TUSD BF'!$X$25+'TUSD CVA'!$X$25)*1</f>
        <v>0</v>
      </c>
      <c r="X25" s="13">
        <f>('TUSD BE'!$Y$25+'TUSD BF'!$Y$25+'TUSD CVA'!$Y$25)*1</f>
        <v>0</v>
      </c>
      <c r="Y25" s="13">
        <f>('TUSD BE'!$Z$25+'TUSD BF'!$Z$25+'TUSD CVA'!$Z$25)*1</f>
        <v>0</v>
      </c>
      <c r="Z25" s="13">
        <f>('TUSD BE'!$AA$25+'TUSD BF'!$AA$25+'TUSD CVA'!$AA$25)*1</f>
        <v>0</v>
      </c>
      <c r="AA25" s="13">
        <f>('TUSD BE'!$AC$25+'TUSD BF'!$AC$25+'TUSD CVA'!$AC$25)*1</f>
        <v>987.45803265912139</v>
      </c>
      <c r="AB25" s="13">
        <f ca="1">('TUSD BE'!$AE$25+'TUSD BF'!$AE$25+'TUSD CVA'!$AE$25)*1</f>
        <v>-55.527103600203233</v>
      </c>
      <c r="AC25" s="13">
        <f ca="1">('TUSD BE'!$AF$25+'TUSD BF'!$AF$25+'TUSD CVA'!$AF$25)*1</f>
        <v>0</v>
      </c>
      <c r="AD25" s="13">
        <f>('TUSD BE'!$AH$25+'TUSD BF'!$AH$25+'TUSD CVA'!$AH$25)*1</f>
        <v>11.75523632306191</v>
      </c>
      <c r="AE25" s="13">
        <f>('TUSD BE'!$AI$25+'TUSD BF'!$AI$25+'TUSD CVA'!$AI$25)*1</f>
        <v>0.34591302766983184</v>
      </c>
      <c r="AF25" s="13">
        <f ca="1">('TUSD BE'!$AJ$25+'TUSD BF'!$AJ$25+'TUSD CVA'!$AJ$25)*1</f>
        <v>1.0588085166344599</v>
      </c>
      <c r="AG25" s="13">
        <f ca="1">('TUSD BE'!$AK$25+'TUSD BF'!$AK$25+'TUSD CVA'!$AK$25)*1</f>
        <v>0.24626383593209816</v>
      </c>
      <c r="AI25" s="13">
        <v>0</v>
      </c>
      <c r="AJ25" s="13">
        <v>0.42237586216956402</v>
      </c>
      <c r="AK25" s="13">
        <v>11.866726656609901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158.13321219118399</v>
      </c>
      <c r="AR25" s="13">
        <v>83.237345156514095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926.26974006003604</v>
      </c>
      <c r="AY25" s="13">
        <v>-69.149982687835902</v>
      </c>
      <c r="AZ25" s="13">
        <v>0</v>
      </c>
      <c r="BA25" s="13">
        <v>12.7019415598152</v>
      </c>
      <c r="BB25" s="13">
        <v>0.33667092899372197</v>
      </c>
      <c r="BC25" s="13">
        <v>1.0421067446391099</v>
      </c>
      <c r="BD25" s="13">
        <v>0.36191835299306602</v>
      </c>
    </row>
    <row r="26" spans="1:56" ht="11.25" customHeight="1" x14ac:dyDescent="0.3">
      <c r="A26" s="137"/>
      <c r="B26" s="137"/>
      <c r="C26" s="137"/>
      <c r="D26" s="137"/>
      <c r="E26" s="137"/>
      <c r="F26" s="137"/>
      <c r="G26" s="18" t="s">
        <v>81</v>
      </c>
      <c r="H26" s="18" t="s">
        <v>79</v>
      </c>
      <c r="I26" s="18">
        <f>'MERCADO TUSD'!$U$23</f>
        <v>0</v>
      </c>
      <c r="J26" s="15"/>
      <c r="L26" s="13">
        <f>('TUSD BE'!$L$26+'TUSD BF'!$L$26+'TUSD CVA'!$L$26)*1</f>
        <v>0</v>
      </c>
      <c r="M26" s="13">
        <f>('TUSD BE'!$M$26+'TUSD BF'!$M$26+'TUSD CVA'!$M$26)*1</f>
        <v>0.50301435172055564</v>
      </c>
      <c r="N26" s="13">
        <f ca="1">('TUSD BE'!$N$26+'TUSD BF'!$N$26+'TUSD CVA'!$N$26)*1</f>
        <v>0.2993505448062781</v>
      </c>
      <c r="O26" s="13">
        <f>('TUSD BE'!$O$26+'TUSD BF'!$O$26+'TUSD CVA'!$O$26)*1</f>
        <v>0</v>
      </c>
      <c r="P26" s="13">
        <f>('TUSD BE'!$P$26+'TUSD BF'!$P$26+'TUSD CVA'!$P$26)*1</f>
        <v>0</v>
      </c>
      <c r="Q26" s="13">
        <f>('TUSD BE'!$Q$26+'TUSD BF'!$Q$26+'TUSD CVA'!$Q$26)*1</f>
        <v>0</v>
      </c>
      <c r="R26" s="13">
        <f>('TUSD BE'!$R$26+'TUSD BF'!$R$26+'TUSD CVA'!$R$26)*1</f>
        <v>0</v>
      </c>
      <c r="S26" s="13">
        <f>('TUSD BE'!$S$26+'TUSD BF'!$S$26+'TUSD CVA'!$S$26)*1</f>
        <v>0</v>
      </c>
      <c r="T26" s="13">
        <f>('TUSD BE'!$U$26+'TUSD BF'!$U$26+'TUSD CVA'!$U$26)*1</f>
        <v>0</v>
      </c>
      <c r="U26" s="13">
        <f>('TUSD BE'!$V$26+'TUSD BF'!$V$26+'TUSD CVA'!$V$26)*1</f>
        <v>0</v>
      </c>
      <c r="V26" s="13">
        <f>('TUSD BE'!$W$26+'TUSD BF'!$W$26+'TUSD CVA'!$W$26)*1</f>
        <v>0</v>
      </c>
      <c r="W26" s="13">
        <f>('TUSD BE'!$X$26+'TUSD BF'!$X$26+'TUSD CVA'!$X$26)*1</f>
        <v>0</v>
      </c>
      <c r="X26" s="13">
        <f>('TUSD BE'!$Y$26+'TUSD BF'!$Y$26+'TUSD CVA'!$Y$26)*1</f>
        <v>0</v>
      </c>
      <c r="Y26" s="13">
        <f>('TUSD BE'!$Z$26+'TUSD BF'!$Z$26+'TUSD CVA'!$Z$26)*1</f>
        <v>0</v>
      </c>
      <c r="Z26" s="13">
        <f>('TUSD BE'!$AA$26+'TUSD BF'!$AA$26+'TUSD CVA'!$AA$26)*1</f>
        <v>0</v>
      </c>
      <c r="AA26" s="13">
        <f>('TUSD BE'!$AC$26+'TUSD BF'!$AC$26+'TUSD CVA'!$AC$26)*1</f>
        <v>0</v>
      </c>
      <c r="AB26" s="13">
        <f ca="1">('TUSD BE'!$AE$26+'TUSD BF'!$AE$26+'TUSD CVA'!$AE$26)*1</f>
        <v>-0.5968285265562624</v>
      </c>
      <c r="AC26" s="13">
        <f ca="1">('TUSD BE'!$AF$26+'TUSD BF'!$AF$26+'TUSD CVA'!$AF$26)*1</f>
        <v>0</v>
      </c>
      <c r="AD26" s="13">
        <f>('TUSD BE'!$AH$26+'TUSD BF'!$AH$26+'TUSD CVA'!$AH$26)*1</f>
        <v>11.75523632306191</v>
      </c>
      <c r="AE26" s="13">
        <f>('TUSD BE'!$AI$26+'TUSD BF'!$AI$26+'TUSD CVA'!$AI$26)*1</f>
        <v>0.34591302766983184</v>
      </c>
      <c r="AF26" s="13">
        <f ca="1">('TUSD BE'!$AJ$26+'TUSD BF'!$AJ$26+'TUSD CVA'!$AJ$26)*1</f>
        <v>1.0588085166344599</v>
      </c>
      <c r="AG26" s="13">
        <f ca="1">('TUSD BE'!$AK$26+'TUSD BF'!$AK$26+'TUSD CVA'!$AK$26)*1</f>
        <v>0.24626383593209816</v>
      </c>
      <c r="AI26" s="13">
        <v>0</v>
      </c>
      <c r="AJ26" s="13">
        <v>0.42237586216956402</v>
      </c>
      <c r="AK26" s="13">
        <v>0.26681783146418803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-0.73975596434364399</v>
      </c>
      <c r="AZ26" s="13">
        <v>0</v>
      </c>
      <c r="BA26" s="13">
        <v>12.7019415598152</v>
      </c>
      <c r="BB26" s="13">
        <v>0.33667092899372197</v>
      </c>
      <c r="BC26" s="13">
        <v>1.0421067446391099</v>
      </c>
      <c r="BD26" s="13">
        <v>0.36191835299306602</v>
      </c>
    </row>
    <row r="27" spans="1:56" ht="11.25" customHeight="1" x14ac:dyDescent="0.3">
      <c r="A27" s="137" t="s">
        <v>88</v>
      </c>
      <c r="B27" s="137" t="s">
        <v>60</v>
      </c>
      <c r="C27" s="137" t="s">
        <v>25</v>
      </c>
      <c r="D27" s="137" t="s">
        <v>25</v>
      </c>
      <c r="E27" s="17" t="s">
        <v>89</v>
      </c>
      <c r="F27" s="17" t="s">
        <v>25</v>
      </c>
      <c r="G27" s="18" t="s">
        <v>9</v>
      </c>
      <c r="H27" s="18" t="s">
        <v>84</v>
      </c>
      <c r="I27" s="18">
        <f>'MERCADO TUSD'!$U$24+0.00000001</f>
        <v>1E-8</v>
      </c>
      <c r="J27" s="15"/>
      <c r="L27" s="13">
        <f>('TUSD BE'!$L$27+'TUSD BF'!$L$27+'TUSD CVA'!$L$27)*1</f>
        <v>0</v>
      </c>
      <c r="M27" s="13">
        <f>('TUSD BE'!$M$27+'TUSD BF'!$M$27+'TUSD CVA'!$M$27)*1</f>
        <v>2.0966847381014637E-2</v>
      </c>
      <c r="N27" s="13">
        <f ca="1">('TUSD BE'!$N$27+'TUSD BF'!$N$27+'TUSD CVA'!$N$27)*1</f>
        <v>6.1386059946828053E-2</v>
      </c>
      <c r="O27" s="13">
        <f>('TUSD BE'!$O$27+'TUSD BF'!$O$27+'TUSD CVA'!$O$27)*1</f>
        <v>0</v>
      </c>
      <c r="P27" s="13">
        <f>('TUSD BE'!$P$27+'TUSD BF'!$P$27+'TUSD CVA'!$P$27)*1</f>
        <v>0</v>
      </c>
      <c r="Q27" s="13">
        <f>('TUSD BE'!$Q$27+'TUSD BF'!$Q$27+'TUSD CVA'!$Q$27)*1</f>
        <v>0</v>
      </c>
      <c r="R27" s="13">
        <f>('TUSD BE'!$R$27+'TUSD BF'!$R$27+'TUSD CVA'!$R$27)*1</f>
        <v>0</v>
      </c>
      <c r="S27" s="13">
        <f>('TUSD BE'!$S$27+'TUSD BF'!$S$27+'TUSD CVA'!$S$27)*1</f>
        <v>0</v>
      </c>
      <c r="T27" s="13">
        <f>('TUSD BE'!$U$27+'TUSD BF'!$U$27+'TUSD CVA'!$U$27)*1</f>
        <v>0</v>
      </c>
      <c r="U27" s="13">
        <f>('TUSD BE'!$V$27+'TUSD BF'!$V$27+'TUSD CVA'!$V$27)*1</f>
        <v>0</v>
      </c>
      <c r="V27" s="13">
        <f>('TUSD BE'!$W$27+'TUSD BF'!$W$27+'TUSD CVA'!$W$27)*1</f>
        <v>0</v>
      </c>
      <c r="W27" s="13">
        <f>('TUSD BE'!$X$27+'TUSD BF'!$X$27+'TUSD CVA'!$X$27)*1</f>
        <v>0</v>
      </c>
      <c r="X27" s="13">
        <f>('TUSD BE'!$Y$27+'TUSD BF'!$Y$27+'TUSD CVA'!$Y$27)*1</f>
        <v>0</v>
      </c>
      <c r="Y27" s="13">
        <f>('TUSD BE'!$Z$27+'TUSD BF'!$Z$27+'TUSD CVA'!$Z$27)*1</f>
        <v>0</v>
      </c>
      <c r="Z27" s="13">
        <f>('TUSD BE'!$AA$27+'TUSD BF'!$AA$27+'TUSD CVA'!$AA$27)*1</f>
        <v>0</v>
      </c>
      <c r="AA27" s="13">
        <f>('TUSD BE'!$AC$27+'TUSD BF'!$AC$27+'TUSD CVA'!$AC$27)*1</f>
        <v>5.881178167805543</v>
      </c>
      <c r="AB27" s="13">
        <f ca="1">('TUSD BE'!$AE$27+'TUSD BF'!$AE$27+'TUSD CVA'!$AE$27)*1</f>
        <v>-0.25761151370032465</v>
      </c>
      <c r="AC27" s="13">
        <f ca="1">('TUSD BE'!$AF$27+'TUSD BF'!$AF$27+'TUSD CVA'!$AF$27)*1</f>
        <v>0</v>
      </c>
      <c r="AD27" s="13">
        <f>('TUSD BE'!$AH$27+'TUSD BF'!$AH$27+'TUSD CVA'!$AH$27)*1</f>
        <v>0</v>
      </c>
      <c r="AE27" s="13">
        <f>('TUSD BE'!$AI$27+'TUSD BF'!$AI$27+'TUSD CVA'!$AI$27)*1</f>
        <v>0</v>
      </c>
      <c r="AF27" s="13">
        <f ca="1">('TUSD BE'!$AJ$27+'TUSD BF'!$AJ$27+'TUSD CVA'!$AJ$27)*1</f>
        <v>0</v>
      </c>
      <c r="AG27" s="13">
        <f ca="1">('TUSD BE'!$AK$27+'TUSD BF'!$AK$27+'TUSD CVA'!$AK$27)*1</f>
        <v>0</v>
      </c>
      <c r="AI27" s="13">
        <v>0</v>
      </c>
      <c r="AJ27" s="13">
        <v>2.0486892883458601E-2</v>
      </c>
      <c r="AK27" s="13">
        <v>5.5495631628971601E-2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5.5167482491081596</v>
      </c>
      <c r="AY27" s="13">
        <v>-0.324418708481297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</row>
    <row r="28" spans="1:56" ht="11.25" customHeight="1" x14ac:dyDescent="0.3">
      <c r="A28" s="137"/>
      <c r="B28" s="137"/>
      <c r="C28" s="137"/>
      <c r="D28" s="137"/>
      <c r="E28" s="17" t="s">
        <v>90</v>
      </c>
      <c r="F28" s="17" t="s">
        <v>25</v>
      </c>
      <c r="G28" s="18" t="s">
        <v>9</v>
      </c>
      <c r="H28" s="18" t="s">
        <v>84</v>
      </c>
      <c r="I28" s="18">
        <f>'MERCADO TUSD'!$U$25+0.00000001</f>
        <v>1E-8</v>
      </c>
      <c r="J28" s="15"/>
      <c r="L28" s="13">
        <f>('TUSD BE'!$L$28+'TUSD BF'!$L$28+'TUSD CVA'!$L$28)*1</f>
        <v>0</v>
      </c>
      <c r="M28" s="13">
        <f>('TUSD BE'!$M$28+'TUSD BF'!$M$28+'TUSD CVA'!$M$28)*1</f>
        <v>2.0966847381014637E-2</v>
      </c>
      <c r="N28" s="13">
        <f ca="1">('TUSD BE'!$N$28+'TUSD BF'!$N$28+'TUSD CVA'!$N$28)*1</f>
        <v>6.1386059946828053E-2</v>
      </c>
      <c r="O28" s="13">
        <f>('TUSD BE'!$O$28+'TUSD BF'!$O$28+'TUSD CVA'!$O$28)*1</f>
        <v>0</v>
      </c>
      <c r="P28" s="13">
        <f>('TUSD BE'!$P$28+'TUSD BF'!$P$28+'TUSD CVA'!$P$28)*1</f>
        <v>0</v>
      </c>
      <c r="Q28" s="13">
        <f>('TUSD BE'!$Q$28+'TUSD BF'!$Q$28+'TUSD CVA'!$Q$28)*1</f>
        <v>0</v>
      </c>
      <c r="R28" s="13">
        <f>('TUSD BE'!$R$28+'TUSD BF'!$R$28+'TUSD CVA'!$R$28)*1</f>
        <v>0</v>
      </c>
      <c r="S28" s="13">
        <f>('TUSD BE'!$S$28+'TUSD BF'!$S$28+'TUSD CVA'!$S$28)*1</f>
        <v>0</v>
      </c>
      <c r="T28" s="13">
        <f>('TUSD BE'!$U$28+'TUSD BF'!$U$28+'TUSD CVA'!$U$28)*1</f>
        <v>0</v>
      </c>
      <c r="U28" s="13">
        <f>('TUSD BE'!$V$28+'TUSD BF'!$V$28+'TUSD CVA'!$V$28)*1</f>
        <v>0</v>
      </c>
      <c r="V28" s="13">
        <f>('TUSD BE'!$W$28+'TUSD BF'!$W$28+'TUSD CVA'!$W$28)*1</f>
        <v>0</v>
      </c>
      <c r="W28" s="13">
        <f>('TUSD BE'!$X$28+'TUSD BF'!$X$28+'TUSD CVA'!$X$28)*1</f>
        <v>0</v>
      </c>
      <c r="X28" s="13">
        <f>('TUSD BE'!$Y$28+'TUSD BF'!$Y$28+'TUSD CVA'!$Y$28)*1</f>
        <v>0</v>
      </c>
      <c r="Y28" s="13">
        <f>('TUSD BE'!$Z$28+'TUSD BF'!$Z$28+'TUSD CVA'!$Z$28)*1</f>
        <v>0</v>
      </c>
      <c r="Z28" s="13">
        <f>('TUSD BE'!$AA$28+'TUSD BF'!$AA$28+'TUSD CVA'!$AA$28)*1</f>
        <v>0</v>
      </c>
      <c r="AA28" s="13">
        <f>('TUSD BE'!$AC$28+'TUSD BF'!$AC$28+'TUSD CVA'!$AC$28)*1</f>
        <v>21.697173755018426</v>
      </c>
      <c r="AB28" s="13">
        <f ca="1">('TUSD BE'!$AE$28+'TUSD BF'!$AE$28+'TUSD CVA'!$AE$28)*1</f>
        <v>-0.9408391582045954</v>
      </c>
      <c r="AC28" s="13">
        <f ca="1">('TUSD BE'!$AF$28+'TUSD BF'!$AF$28+'TUSD CVA'!$AF$28)*1</f>
        <v>0</v>
      </c>
      <c r="AD28" s="13">
        <f>('TUSD BE'!$AH$28+'TUSD BF'!$AH$28+'TUSD CVA'!$AH$28)*1</f>
        <v>0</v>
      </c>
      <c r="AE28" s="13">
        <f>('TUSD BE'!$AI$28+'TUSD BF'!$AI$28+'TUSD CVA'!$AI$28)*1</f>
        <v>0</v>
      </c>
      <c r="AF28" s="13">
        <f ca="1">('TUSD BE'!$AJ$28+'TUSD BF'!$AJ$28+'TUSD CVA'!$AJ$28)*1</f>
        <v>0</v>
      </c>
      <c r="AG28" s="13">
        <f ca="1">('TUSD BE'!$AK$28+'TUSD BF'!$AK$28+'TUSD CVA'!$AK$28)*1</f>
        <v>0</v>
      </c>
      <c r="AI28" s="13">
        <v>0</v>
      </c>
      <c r="AJ28" s="13">
        <v>2.0486892883458601E-2</v>
      </c>
      <c r="AK28" s="13">
        <v>5.5495631628971601E-2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20.3526983723835</v>
      </c>
      <c r="AY28" s="13">
        <v>-1.18509904617104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</row>
    <row r="29" spans="1:56" ht="11.25" customHeight="1" x14ac:dyDescent="0.3">
      <c r="A29" s="137" t="s">
        <v>22</v>
      </c>
      <c r="B29" s="137" t="s">
        <v>33</v>
      </c>
      <c r="C29" s="137" t="s">
        <v>24</v>
      </c>
      <c r="D29" s="137" t="s">
        <v>24</v>
      </c>
      <c r="E29" s="137" t="s">
        <v>25</v>
      </c>
      <c r="F29" s="137" t="s">
        <v>25</v>
      </c>
      <c r="G29" s="18" t="s">
        <v>80</v>
      </c>
      <c r="H29" s="18" t="s">
        <v>79</v>
      </c>
      <c r="I29" s="18">
        <f>'MERCADO TUSD'!$U$26</f>
        <v>5.2</v>
      </c>
      <c r="J29" s="15"/>
      <c r="L29" s="13">
        <f>('TUSD BE'!$L$29+'TUSD BF'!$L$29+'TUSD CVA'!$L$29)*1</f>
        <v>14.13287510094759</v>
      </c>
      <c r="M29" s="13">
        <f>('TUSD BE'!$M$29+'TUSD BF'!$M$29+'TUSD CVA'!$M$29)*1</f>
        <v>1.0202288368783829</v>
      </c>
      <c r="N29" s="13">
        <f ca="1">('TUSD BE'!$N$29+'TUSD BF'!$N$29+'TUSD CVA'!$N$29)*1</f>
        <v>10.792243078578958</v>
      </c>
      <c r="O29" s="13">
        <f>('TUSD BE'!$O$29+'TUSD BF'!$O$29+'TUSD CVA'!$O$29)*1</f>
        <v>0</v>
      </c>
      <c r="P29" s="13">
        <f>('TUSD BE'!$P$29+'TUSD BF'!$P$29+'TUSD CVA'!$P$29)*1</f>
        <v>0</v>
      </c>
      <c r="Q29" s="13">
        <f>('TUSD BE'!$Q$29+'TUSD BF'!$Q$29+'TUSD CVA'!$Q$29)*1</f>
        <v>124.14054560747164</v>
      </c>
      <c r="R29" s="13">
        <f>('TUSD BE'!$R$29+'TUSD BF'!$R$29+'TUSD CVA'!$R$29)*1</f>
        <v>20.465299872876649</v>
      </c>
      <c r="S29" s="13">
        <f>('TUSD BE'!$S$29+'TUSD BF'!$S$29+'TUSD CVA'!$S$29)*1</f>
        <v>0</v>
      </c>
      <c r="T29" s="13">
        <f>('TUSD BE'!$U$29+'TUSD BF'!$U$29+'TUSD CVA'!$U$29)*1</f>
        <v>135.65349530903475</v>
      </c>
      <c r="U29" s="13">
        <f>('TUSD BE'!$V$29+'TUSD BF'!$V$29+'TUSD CVA'!$V$29)*1</f>
        <v>63.914362186199533</v>
      </c>
      <c r="V29" s="13">
        <f>('TUSD BE'!$W$29+'TUSD BF'!$W$29+'TUSD CVA'!$W$29)*1</f>
        <v>0</v>
      </c>
      <c r="W29" s="13">
        <f>('TUSD BE'!$X$29+'TUSD BF'!$X$29+'TUSD CVA'!$X$29)*1</f>
        <v>0</v>
      </c>
      <c r="X29" s="13">
        <f>('TUSD BE'!$Y$29+'TUSD BF'!$Y$29+'TUSD CVA'!$Y$29)*1</f>
        <v>0</v>
      </c>
      <c r="Y29" s="13">
        <f>('TUSD BE'!$Z$29+'TUSD BF'!$Z$29+'TUSD CVA'!$Z$29)*1</f>
        <v>0</v>
      </c>
      <c r="Z29" s="13">
        <f>('TUSD BE'!$AA$29+'TUSD BF'!$AA$29+'TUSD CVA'!$AA$29)*1</f>
        <v>0</v>
      </c>
      <c r="AA29" s="13">
        <f>('TUSD BE'!$AC$29+'TUSD BF'!$AC$29+'TUSD CVA'!$AC$29)*1</f>
        <v>812.43140989897654</v>
      </c>
      <c r="AB29" s="13">
        <f ca="1">('TUSD BE'!$AE$29+'TUSD BF'!$AE$29+'TUSD CVA'!$AE$29)*1</f>
        <v>-49.936423679398871</v>
      </c>
      <c r="AC29" s="13">
        <f ca="1">('TUSD BE'!$AF$29+'TUSD BF'!$AF$29+'TUSD CVA'!$AF$29)*1</f>
        <v>0</v>
      </c>
      <c r="AD29" s="13">
        <f>('TUSD BE'!$AH$29+'TUSD BF'!$AH$29+'TUSD CVA'!$AH$29)*1</f>
        <v>24.295181389723755</v>
      </c>
      <c r="AE29" s="13">
        <f>('TUSD BE'!$AI$29+'TUSD BF'!$AI$29+'TUSD CVA'!$AI$29)*1</f>
        <v>0.71491712470465141</v>
      </c>
      <c r="AF29" s="13">
        <f ca="1">('TUSD BE'!$AJ$29+'TUSD BF'!$AJ$29+'TUSD CVA'!$AJ$29)*1</f>
        <v>1.6300561171196377</v>
      </c>
      <c r="AG29" s="13">
        <f ca="1">('TUSD BE'!$AK$29+'TUSD BF'!$AK$29+'TUSD CVA'!$AK$29)*1</f>
        <v>0.37912792150787922</v>
      </c>
      <c r="AI29" s="13">
        <v>12.9093787548588</v>
      </c>
      <c r="AJ29" s="13">
        <v>0.949114874977946</v>
      </c>
      <c r="AK29" s="13">
        <v>9.7542471125904395</v>
      </c>
      <c r="AL29" s="13">
        <v>0</v>
      </c>
      <c r="AM29" s="13">
        <v>0</v>
      </c>
      <c r="AN29" s="13">
        <v>58.3828796200117</v>
      </c>
      <c r="AO29" s="13">
        <v>12.752028686941999</v>
      </c>
      <c r="AP29" s="13">
        <v>0</v>
      </c>
      <c r="AQ29" s="13">
        <v>106.666091703314</v>
      </c>
      <c r="AR29" s="13">
        <v>57.0153698933808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762.08872273512998</v>
      </c>
      <c r="AY29" s="13">
        <v>-60.476791289777701</v>
      </c>
      <c r="AZ29" s="13">
        <v>0</v>
      </c>
      <c r="BA29" s="13">
        <v>26.251788200290299</v>
      </c>
      <c r="BB29" s="13">
        <v>0.69581598053477101</v>
      </c>
      <c r="BC29" s="13">
        <v>1.7652713629510499</v>
      </c>
      <c r="BD29" s="13">
        <v>0.61306973354856997</v>
      </c>
    </row>
    <row r="30" spans="1:56" ht="11.25" customHeight="1" x14ac:dyDescent="0.3">
      <c r="A30" s="137"/>
      <c r="B30" s="137"/>
      <c r="C30" s="137"/>
      <c r="D30" s="137"/>
      <c r="E30" s="137"/>
      <c r="F30" s="137"/>
      <c r="G30" s="18" t="s">
        <v>91</v>
      </c>
      <c r="H30" s="18" t="s">
        <v>79</v>
      </c>
      <c r="I30" s="18">
        <f>'MERCADO TUSD'!$U$27</f>
        <v>3.3950000000000005</v>
      </c>
      <c r="J30" s="15"/>
      <c r="L30" s="13">
        <f>('TUSD BE'!$L$30+'TUSD BF'!$L$30+'TUSD CVA'!$L$30)*1</f>
        <v>14.13287510094759</v>
      </c>
      <c r="M30" s="13">
        <f>('TUSD BE'!$M$30+'TUSD BF'!$M$30+'TUSD CVA'!$M$30)*1</f>
        <v>1.0202288368783829</v>
      </c>
      <c r="N30" s="13">
        <f ca="1">('TUSD BE'!$N$30+'TUSD BF'!$N$30+'TUSD CVA'!$N$30)*1</f>
        <v>6.7174364193085108</v>
      </c>
      <c r="O30" s="13">
        <f>('TUSD BE'!$O$30+'TUSD BF'!$O$30+'TUSD CVA'!$O$30)*1</f>
        <v>0</v>
      </c>
      <c r="P30" s="13">
        <f>('TUSD BE'!$P$30+'TUSD BF'!$P$30+'TUSD CVA'!$P$30)*1</f>
        <v>0</v>
      </c>
      <c r="Q30" s="13">
        <f>('TUSD BE'!$Q$30+'TUSD BF'!$Q$30+'TUSD CVA'!$Q$30)*1</f>
        <v>124.14054560747164</v>
      </c>
      <c r="R30" s="13">
        <f>('TUSD BE'!$R$30+'TUSD BF'!$R$30+'TUSD CVA'!$R$30)*1</f>
        <v>20.465299872876649</v>
      </c>
      <c r="S30" s="13">
        <f>('TUSD BE'!$S$30+'TUSD BF'!$S$30+'TUSD CVA'!$S$30)*1</f>
        <v>0</v>
      </c>
      <c r="T30" s="13">
        <f>('TUSD BE'!$U$30+'TUSD BF'!$U$30+'TUSD CVA'!$U$30)*1</f>
        <v>81.39206899407894</v>
      </c>
      <c r="U30" s="13">
        <f>('TUSD BE'!$V$30+'TUSD BF'!$V$30+'TUSD CVA'!$V$30)*1</f>
        <v>38.348642127627137</v>
      </c>
      <c r="V30" s="13">
        <f>('TUSD BE'!$W$30+'TUSD BF'!$W$30+'TUSD CVA'!$W$30)*1</f>
        <v>0</v>
      </c>
      <c r="W30" s="13">
        <f>('TUSD BE'!$X$30+'TUSD BF'!$X$30+'TUSD CVA'!$X$30)*1</f>
        <v>0</v>
      </c>
      <c r="X30" s="13">
        <f>('TUSD BE'!$Y$30+'TUSD BF'!$Y$30+'TUSD CVA'!$Y$30)*1</f>
        <v>0</v>
      </c>
      <c r="Y30" s="13">
        <f>('TUSD BE'!$Z$30+'TUSD BF'!$Z$30+'TUSD CVA'!$Z$30)*1</f>
        <v>0</v>
      </c>
      <c r="Z30" s="13">
        <f>('TUSD BE'!$AA$30+'TUSD BF'!$AA$30+'TUSD CVA'!$AA$30)*1</f>
        <v>0</v>
      </c>
      <c r="AA30" s="13">
        <f>('TUSD BE'!$AC$30+'TUSD BF'!$AC$30+'TUSD CVA'!$AC$30)*1</f>
        <v>487.45889106380361</v>
      </c>
      <c r="AB30" s="13">
        <f ca="1">('TUSD BE'!$AE$30+'TUSD BF'!$AE$30+'TUSD CVA'!$AE$30)*1</f>
        <v>-32.54448022462261</v>
      </c>
      <c r="AC30" s="13">
        <f ca="1">('TUSD BE'!$AF$30+'TUSD BF'!$AF$30+'TUSD CVA'!$AF$30)*1</f>
        <v>0</v>
      </c>
      <c r="AD30" s="13">
        <f>('TUSD BE'!$AH$30+'TUSD BF'!$AH$30+'TUSD CVA'!$AH$30)*1</f>
        <v>24.295181389723755</v>
      </c>
      <c r="AE30" s="13">
        <f>('TUSD BE'!$AI$30+'TUSD BF'!$AI$30+'TUSD CVA'!$AI$30)*1</f>
        <v>0.71491712470465141</v>
      </c>
      <c r="AF30" s="13">
        <f ca="1">('TUSD BE'!$AJ$30+'TUSD BF'!$AJ$30+'TUSD CVA'!$AJ$30)*1</f>
        <v>1.6300561171196377</v>
      </c>
      <c r="AG30" s="13">
        <f ca="1">('TUSD BE'!$AK$30+'TUSD BF'!$AK$30+'TUSD CVA'!$AK$30)*1</f>
        <v>0.37912792150787922</v>
      </c>
      <c r="AI30" s="13">
        <v>12.9093787548588</v>
      </c>
      <c r="AJ30" s="13">
        <v>0.949114874977946</v>
      </c>
      <c r="AK30" s="13">
        <v>6.0704470850592998</v>
      </c>
      <c r="AL30" s="13">
        <v>0</v>
      </c>
      <c r="AM30" s="13">
        <v>0</v>
      </c>
      <c r="AN30" s="13">
        <v>58.3828796200117</v>
      </c>
      <c r="AO30" s="13">
        <v>12.752028686941999</v>
      </c>
      <c r="AP30" s="13">
        <v>0</v>
      </c>
      <c r="AQ30" s="13">
        <v>63.999632854772798</v>
      </c>
      <c r="AR30" s="13">
        <v>34.209244073277297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457.25327596934</v>
      </c>
      <c r="AY30" s="13">
        <v>-38.781029635068897</v>
      </c>
      <c r="AZ30" s="13">
        <v>0</v>
      </c>
      <c r="BA30" s="13">
        <v>26.251788200290299</v>
      </c>
      <c r="BB30" s="13">
        <v>0.69581598053477101</v>
      </c>
      <c r="BC30" s="13">
        <v>1.7652713629510499</v>
      </c>
      <c r="BD30" s="13">
        <v>0.61306973354856997</v>
      </c>
    </row>
    <row r="31" spans="1:56" ht="11.25" customHeight="1" x14ac:dyDescent="0.3">
      <c r="A31" s="137"/>
      <c r="B31" s="137"/>
      <c r="C31" s="137"/>
      <c r="D31" s="137"/>
      <c r="E31" s="137"/>
      <c r="F31" s="137"/>
      <c r="G31" s="18" t="s">
        <v>81</v>
      </c>
      <c r="H31" s="18" t="s">
        <v>79</v>
      </c>
      <c r="I31" s="18">
        <f>'MERCADO TUSD'!$U$28</f>
        <v>48.124000000000009</v>
      </c>
      <c r="J31" s="15"/>
      <c r="L31" s="13">
        <f>('TUSD BE'!$L$31+'TUSD BF'!$L$31+'TUSD CVA'!$L$31)*1</f>
        <v>14.13287510094759</v>
      </c>
      <c r="M31" s="13">
        <f>('TUSD BE'!$M$31+'TUSD BF'!$M$31+'TUSD CVA'!$M$31)*1</f>
        <v>1.0202288368783829</v>
      </c>
      <c r="N31" s="13">
        <f ca="1">('TUSD BE'!$N$31+'TUSD BF'!$N$31+'TUSD CVA'!$N$31)*1</f>
        <v>2.6426285863084309</v>
      </c>
      <c r="O31" s="13">
        <f>('TUSD BE'!$O$31+'TUSD BF'!$O$31+'TUSD CVA'!$O$31)*1</f>
        <v>0</v>
      </c>
      <c r="P31" s="13">
        <f>('TUSD BE'!$P$31+'TUSD BF'!$P$31+'TUSD CVA'!$P$31)*1</f>
        <v>0</v>
      </c>
      <c r="Q31" s="13">
        <f>('TUSD BE'!$Q$31+'TUSD BF'!$Q$31+'TUSD CVA'!$Q$31)*1</f>
        <v>124.14054560747164</v>
      </c>
      <c r="R31" s="13">
        <f>('TUSD BE'!$R$31+'TUSD BF'!$R$31+'TUSD CVA'!$R$31)*1</f>
        <v>20.465299872876649</v>
      </c>
      <c r="S31" s="13">
        <f>('TUSD BE'!$S$31+'TUSD BF'!$S$31+'TUSD CVA'!$S$31)*1</f>
        <v>0</v>
      </c>
      <c r="T31" s="13">
        <f>('TUSD BE'!$U$31+'TUSD BF'!$U$31+'TUSD CVA'!$U$31)*1</f>
        <v>27.130642679123113</v>
      </c>
      <c r="U31" s="13">
        <f>('TUSD BE'!$V$31+'TUSD BF'!$V$31+'TUSD CVA'!$V$31)*1</f>
        <v>12.782922069054736</v>
      </c>
      <c r="V31" s="13">
        <f>('TUSD BE'!$W$31+'TUSD BF'!$W$31+'TUSD CVA'!$W$31)*1</f>
        <v>0</v>
      </c>
      <c r="W31" s="13">
        <f>('TUSD BE'!$X$31+'TUSD BF'!$X$31+'TUSD CVA'!$X$31)*1</f>
        <v>0</v>
      </c>
      <c r="X31" s="13">
        <f>('TUSD BE'!$Y$31+'TUSD BF'!$Y$31+'TUSD CVA'!$Y$31)*1</f>
        <v>0</v>
      </c>
      <c r="Y31" s="13">
        <f>('TUSD BE'!$Z$31+'TUSD BF'!$Z$31+'TUSD CVA'!$Z$31)*1</f>
        <v>0</v>
      </c>
      <c r="Z31" s="13">
        <f>('TUSD BE'!$AA$31+'TUSD BF'!$AA$31+'TUSD CVA'!$AA$31)*1</f>
        <v>0</v>
      </c>
      <c r="AA31" s="13">
        <f>('TUSD BE'!$AC$31+'TUSD BF'!$AC$31+'TUSD CVA'!$AC$31)*1</f>
        <v>162.48625941758647</v>
      </c>
      <c r="AB31" s="13">
        <f ca="1">('TUSD BE'!$AE$31+'TUSD BF'!$AE$31+'TUSD CVA'!$AE$31)*1</f>
        <v>-15.152531845872499</v>
      </c>
      <c r="AC31" s="13">
        <f ca="1">('TUSD BE'!$AF$31+'TUSD BF'!$AF$31+'TUSD CVA'!$AF$31)*1</f>
        <v>0</v>
      </c>
      <c r="AD31" s="13">
        <f>('TUSD BE'!$AH$31+'TUSD BF'!$AH$31+'TUSD CVA'!$AH$31)*1</f>
        <v>24.295181389723755</v>
      </c>
      <c r="AE31" s="13">
        <f>('TUSD BE'!$AI$31+'TUSD BF'!$AI$31+'TUSD CVA'!$AI$31)*1</f>
        <v>0.71491712470465141</v>
      </c>
      <c r="AF31" s="13">
        <f ca="1">('TUSD BE'!$AJ$31+'TUSD BF'!$AJ$31+'TUSD CVA'!$AJ$31)*1</f>
        <v>1.6300561171196377</v>
      </c>
      <c r="AG31" s="13">
        <f ca="1">('TUSD BE'!$AK$31+'TUSD BF'!$AK$31+'TUSD CVA'!$AK$31)*1</f>
        <v>0.37912792150787922</v>
      </c>
      <c r="AI31" s="13">
        <v>12.9093787548588</v>
      </c>
      <c r="AJ31" s="13">
        <v>0.949114874977946</v>
      </c>
      <c r="AK31" s="13">
        <v>2.3866459964262199</v>
      </c>
      <c r="AL31" s="13">
        <v>0</v>
      </c>
      <c r="AM31" s="13">
        <v>0</v>
      </c>
      <c r="AN31" s="13">
        <v>58.3828796200117</v>
      </c>
      <c r="AO31" s="13">
        <v>12.752028686941999</v>
      </c>
      <c r="AP31" s="13">
        <v>0</v>
      </c>
      <c r="AQ31" s="13">
        <v>21.3331740062318</v>
      </c>
      <c r="AR31" s="13">
        <v>11.403118253173901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152.41772338289499</v>
      </c>
      <c r="AY31" s="13">
        <v>-17.085261780563201</v>
      </c>
      <c r="AZ31" s="13">
        <v>0</v>
      </c>
      <c r="BA31" s="13">
        <v>26.251788200290299</v>
      </c>
      <c r="BB31" s="13">
        <v>0.69581598053477101</v>
      </c>
      <c r="BC31" s="13">
        <v>1.7652713629510499</v>
      </c>
      <c r="BD31" s="13">
        <v>0.61306973354856997</v>
      </c>
    </row>
    <row r="32" spans="1:56" ht="11.25" customHeight="1" x14ac:dyDescent="0.3">
      <c r="A32" s="137"/>
      <c r="B32" s="137" t="s">
        <v>23</v>
      </c>
      <c r="C32" s="137" t="s">
        <v>24</v>
      </c>
      <c r="D32" s="17" t="s">
        <v>24</v>
      </c>
      <c r="E32" s="17" t="s">
        <v>25</v>
      </c>
      <c r="F32" s="17" t="s">
        <v>25</v>
      </c>
      <c r="G32" s="18" t="s">
        <v>83</v>
      </c>
      <c r="H32" s="18" t="s">
        <v>79</v>
      </c>
      <c r="I32" s="18">
        <f>'MERCADO TUSD'!$U$29</f>
        <v>46756.356999999996</v>
      </c>
      <c r="J32" s="15"/>
      <c r="L32" s="13">
        <f>('TUSD BE'!$L$32+'TUSD BF'!$L$32+'TUSD CVA'!$L$32)*1</f>
        <v>14.13287510094759</v>
      </c>
      <c r="M32" s="13">
        <f>('TUSD BE'!$M$32+'TUSD BF'!$M$32+'TUSD CVA'!$M$32)*1</f>
        <v>1.0202288368783829</v>
      </c>
      <c r="N32" s="13">
        <f ca="1">('TUSD BE'!$N$32+'TUSD BF'!$N$32+'TUSD CVA'!$N$32)*1</f>
        <v>3.7396925496587388</v>
      </c>
      <c r="O32" s="13">
        <f>('TUSD BE'!$O$32+'TUSD BF'!$O$32+'TUSD CVA'!$O$32)*1</f>
        <v>0</v>
      </c>
      <c r="P32" s="13">
        <f>('TUSD BE'!$P$32+'TUSD BF'!$P$32+'TUSD CVA'!$P$32)*1</f>
        <v>0</v>
      </c>
      <c r="Q32" s="13">
        <f>('TUSD BE'!$Q$32+'TUSD BF'!$Q$32+'TUSD CVA'!$Q$32)*1</f>
        <v>124.14054560747164</v>
      </c>
      <c r="R32" s="13">
        <f>('TUSD BE'!$R$32+'TUSD BF'!$R$32+'TUSD CVA'!$R$32)*1</f>
        <v>20.465299872876649</v>
      </c>
      <c r="S32" s="13">
        <f>('TUSD BE'!$S$32+'TUSD BF'!$S$32+'TUSD CVA'!$S$32)*1</f>
        <v>0</v>
      </c>
      <c r="T32" s="13">
        <f>('TUSD BE'!$U$32+'TUSD BF'!$U$32+'TUSD CVA'!$U$32)*1</f>
        <v>41.73953701816454</v>
      </c>
      <c r="U32" s="13">
        <f>('TUSD BE'!$V$32+'TUSD BF'!$V$32+'TUSD CVA'!$V$32)*1</f>
        <v>19.665986229493026</v>
      </c>
      <c r="V32" s="13">
        <f>('TUSD BE'!$W$32+'TUSD BF'!$W$32+'TUSD CVA'!$W$32)*1</f>
        <v>0</v>
      </c>
      <c r="W32" s="13">
        <f>('TUSD BE'!$X$32+'TUSD BF'!$X$32+'TUSD CVA'!$X$32)*1</f>
        <v>0</v>
      </c>
      <c r="X32" s="13">
        <f>('TUSD BE'!$Y$32+'TUSD BF'!$Y$32+'TUSD CVA'!$Y$32)*1</f>
        <v>0</v>
      </c>
      <c r="Y32" s="13">
        <f>('TUSD BE'!$Z$32+'TUSD BF'!$Z$32+'TUSD CVA'!$Z$32)*1</f>
        <v>0</v>
      </c>
      <c r="Z32" s="13">
        <f>('TUSD BE'!$AA$32+'TUSD BF'!$AA$32+'TUSD CVA'!$AA$32)*1</f>
        <v>0</v>
      </c>
      <c r="AA32" s="13">
        <f>('TUSD BE'!$AC$32+'TUSD BF'!$AC$32+'TUSD CVA'!$AC$32)*1</f>
        <v>249.97889535353124</v>
      </c>
      <c r="AB32" s="13">
        <f ca="1">('TUSD BE'!$AE$32+'TUSD BF'!$AE$32+'TUSD CVA'!$AE$32)*1</f>
        <v>-19.834981053784773</v>
      </c>
      <c r="AC32" s="13">
        <f ca="1">('TUSD BE'!$AF$32+'TUSD BF'!$AF$32+'TUSD CVA'!$AF$32)*1</f>
        <v>0</v>
      </c>
      <c r="AD32" s="13">
        <f>('TUSD BE'!$AH$32+'TUSD BF'!$AH$32+'TUSD CVA'!$AH$32)*1</f>
        <v>24.295181389723755</v>
      </c>
      <c r="AE32" s="13">
        <f>('TUSD BE'!$AI$32+'TUSD BF'!$AI$32+'TUSD CVA'!$AI$32)*1</f>
        <v>0.71491712470465141</v>
      </c>
      <c r="AF32" s="13">
        <f ca="1">('TUSD BE'!$AJ$32+'TUSD BF'!$AJ$32+'TUSD CVA'!$AJ$32)*1</f>
        <v>1.6300561171196377</v>
      </c>
      <c r="AG32" s="13">
        <f ca="1">('TUSD BE'!$AK$32+'TUSD BF'!$AK$32+'TUSD CVA'!$AK$32)*1</f>
        <v>0.37912792150787922</v>
      </c>
      <c r="AI32" s="13">
        <v>12.9093787548588</v>
      </c>
      <c r="AJ32" s="13">
        <v>0.949114874977946</v>
      </c>
      <c r="AK32" s="13">
        <v>3.3784388828933398</v>
      </c>
      <c r="AL32" s="13">
        <v>0</v>
      </c>
      <c r="AM32" s="13">
        <v>0</v>
      </c>
      <c r="AN32" s="13">
        <v>58.3828796200117</v>
      </c>
      <c r="AO32" s="13">
        <v>12.752028686941999</v>
      </c>
      <c r="AP32" s="13">
        <v>0</v>
      </c>
      <c r="AQ32" s="13">
        <v>32.820335908711897</v>
      </c>
      <c r="AR32" s="13">
        <v>17.543216279404302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234.48883776465499</v>
      </c>
      <c r="AY32" s="13">
        <v>-22.9264317846593</v>
      </c>
      <c r="AZ32" s="13">
        <v>0</v>
      </c>
      <c r="BA32" s="13">
        <v>26.251788200290299</v>
      </c>
      <c r="BB32" s="13">
        <v>0.69581598053477101</v>
      </c>
      <c r="BC32" s="13">
        <v>1.7652713629510499</v>
      </c>
      <c r="BD32" s="13">
        <v>0.61306973354856997</v>
      </c>
    </row>
    <row r="33" spans="1:56" ht="11.25" customHeight="1" x14ac:dyDescent="0.3">
      <c r="A33" s="137"/>
      <c r="B33" s="137"/>
      <c r="C33" s="137"/>
      <c r="D33" s="17" t="s">
        <v>29</v>
      </c>
      <c r="E33" s="17" t="s">
        <v>25</v>
      </c>
      <c r="F33" s="17" t="s">
        <v>25</v>
      </c>
      <c r="G33" s="18" t="s">
        <v>83</v>
      </c>
      <c r="H33" s="18" t="s">
        <v>79</v>
      </c>
      <c r="I33" s="18">
        <f>'MERCADO TUSD'!$U$30</f>
        <v>1110.3100000000002</v>
      </c>
      <c r="J33" s="15"/>
      <c r="L33" s="13">
        <f>('TUSD BE'!$L$33+'TUSD BF'!$L$33+'TUSD CVA'!$L$33)*(1 - 0.65)</f>
        <v>0</v>
      </c>
      <c r="M33" s="13">
        <f>('TUSD BE'!$M$33+'TUSD BF'!$M$33+'TUSD CVA'!$M$33)*(1 - 0.65)</f>
        <v>0.35708009290743403</v>
      </c>
      <c r="N33" s="13">
        <f ca="1">('TUSD BE'!$N$33+'TUSD BF'!$N$33+'TUSD CVA'!$N$33)*(1 - 0.65)</f>
        <v>1.3047843386556273</v>
      </c>
      <c r="O33" s="13">
        <f>('TUSD BE'!$O$33+'TUSD BF'!$O$33+'TUSD CVA'!$O$33)*(1 - 0.65)</f>
        <v>0</v>
      </c>
      <c r="P33" s="13">
        <v>0</v>
      </c>
      <c r="Q33" s="13">
        <f>('TUSD BE'!$Q$33+'TUSD BF'!$Q$33+'TUSD CVA'!$Q$33)*(1 - 0.65)</f>
        <v>0</v>
      </c>
      <c r="R33" s="13">
        <v>0</v>
      </c>
      <c r="S33" s="13">
        <f>('TUSD BE'!$S$33+'TUSD BF'!$S$33+'TUSD CVA'!$S$33)*(1 - 0.65)</f>
        <v>0</v>
      </c>
      <c r="T33" s="13">
        <f>('TUSD BE'!$U$33+'TUSD BF'!$U$33+'TUSD CVA'!$U$33)*(1 - 0.65)</f>
        <v>14.608837956357588</v>
      </c>
      <c r="U33" s="13">
        <f>('TUSD BE'!$V$33+'TUSD BF'!$V$33+'TUSD CVA'!$V$33)*(1 - 0.65)</f>
        <v>6.8830951803225586</v>
      </c>
      <c r="V33" s="13">
        <f>('TUSD BE'!$W$33+'TUSD BF'!$W$33+'TUSD CVA'!$W$33)*(1 - 0.65)</f>
        <v>0</v>
      </c>
      <c r="W33" s="13">
        <f>('TUSD BE'!$X$33+'TUSD BF'!$X$33+'TUSD CVA'!$X$33)*(1 - 0.65)</f>
        <v>0</v>
      </c>
      <c r="X33" s="13">
        <f>('TUSD BE'!$Y$33+'TUSD BF'!$Y$33+'TUSD CVA'!$Y$33)*(1 - 0.65)</f>
        <v>0</v>
      </c>
      <c r="Y33" s="13">
        <f>('TUSD BE'!$Z$33+'TUSD BF'!$Z$33+'TUSD CVA'!$Z$33)*(1 - 0.65)</f>
        <v>0</v>
      </c>
      <c r="Z33" s="13">
        <f>('TUSD BE'!$AA$33+'TUSD BF'!$AA$33+'TUSD CVA'!$AA$33)*(1 - 0.65)</f>
        <v>0</v>
      </c>
      <c r="AA33" s="13">
        <f>('TUSD BE'!$AC$33+'TUSD BF'!$AC$33+'TUSD CVA'!$AC$33)*(1 - 0.65)</f>
        <v>87.492613373735935</v>
      </c>
      <c r="AB33" s="13">
        <f ca="1">('TUSD BE'!$AE$33+'TUSD BF'!$AE$33+'TUSD CVA'!$AE$33)*(1 - 0.65)</f>
        <v>-5.1031918864631809</v>
      </c>
      <c r="AC33" s="13">
        <f ca="1">('TUSD BE'!$AF$33+'TUSD BF'!$AF$33+'TUSD CVA'!$AF$33)*(1 - 0.65)</f>
        <v>0</v>
      </c>
      <c r="AD33" s="13">
        <f>('TUSD BE'!$AH$33+'TUSD BF'!$AH$33+'TUSD CVA'!$AH$33)*(1 - 0.65)</f>
        <v>8.5033134864033144</v>
      </c>
      <c r="AE33" s="13">
        <f>('TUSD BE'!$AI$33+'TUSD BF'!$AI$33+'TUSD CVA'!$AI$33)*(1 - 0.65)</f>
        <v>0.25022099364662798</v>
      </c>
      <c r="AF33" s="13">
        <f ca="1">('TUSD BE'!$AJ$33+'TUSD BF'!$AJ$33+'TUSD CVA'!$AJ$33)*(1 - 0.65)</f>
        <v>0.57051964099187313</v>
      </c>
      <c r="AG33" s="13">
        <f ca="1">('TUSD BE'!$AK$33+'TUSD BF'!$AK$33+'TUSD CVA'!$AK$33)*(1 - 0.65)</f>
        <v>0.13269477252775772</v>
      </c>
      <c r="AI33" s="13">
        <v>0</v>
      </c>
      <c r="AJ33" s="13">
        <v>0.33219020624228102</v>
      </c>
      <c r="AK33" s="13">
        <v>1.1787397522115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11.4871175680492</v>
      </c>
      <c r="AR33" s="13">
        <v>6.1401256977915102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82.071093217629297</v>
      </c>
      <c r="AY33" s="13">
        <v>-6.3683860160102403</v>
      </c>
      <c r="AZ33" s="13">
        <v>0</v>
      </c>
      <c r="BA33" s="13">
        <v>9.1881258701016009</v>
      </c>
      <c r="BB33" s="13">
        <v>0.24353559318717</v>
      </c>
      <c r="BC33" s="13">
        <v>0.61784497703286601</v>
      </c>
      <c r="BD33" s="13">
        <v>0.21457440674199901</v>
      </c>
    </row>
    <row r="34" spans="1:56" ht="11.25" customHeight="1" x14ac:dyDescent="0.3">
      <c r="A34" s="137"/>
      <c r="B34" s="137"/>
      <c r="C34" s="137"/>
      <c r="D34" s="17" t="s">
        <v>30</v>
      </c>
      <c r="E34" s="17" t="s">
        <v>25</v>
      </c>
      <c r="F34" s="17" t="s">
        <v>25</v>
      </c>
      <c r="G34" s="18" t="s">
        <v>83</v>
      </c>
      <c r="H34" s="18" t="s">
        <v>79</v>
      </c>
      <c r="I34" s="18">
        <f>'MERCADO TUSD'!$U$31</f>
        <v>2263.0230000000001</v>
      </c>
      <c r="J34" s="15"/>
      <c r="L34" s="13">
        <f>('TUSD BE'!$L$34+'TUSD BF'!$L$34+'TUSD CVA'!$L$34)*(1 - 0.4)</f>
        <v>0</v>
      </c>
      <c r="M34" s="13">
        <f>('TUSD BE'!$M$34+'TUSD BF'!$M$34+'TUSD CVA'!$M$34)*(1 - 0.4)</f>
        <v>0.61213730212702977</v>
      </c>
      <c r="N34" s="13">
        <f ca="1">('TUSD BE'!$N$34+'TUSD BF'!$N$34+'TUSD CVA'!$N$34)*(1 - 0.4)</f>
        <v>2.2367731519810752</v>
      </c>
      <c r="O34" s="13">
        <f>('TUSD BE'!$O$34+'TUSD BF'!$O$34+'TUSD CVA'!$O$34)*(1 - 0.4)</f>
        <v>0</v>
      </c>
      <c r="P34" s="13">
        <v>0</v>
      </c>
      <c r="Q34" s="13">
        <f>('TUSD BE'!$Q$34+'TUSD BF'!$Q$34+'TUSD CVA'!$Q$34)*(1 - 0.4)</f>
        <v>0</v>
      </c>
      <c r="R34" s="13">
        <v>0</v>
      </c>
      <c r="S34" s="13">
        <f>('TUSD BE'!$S$34+'TUSD BF'!$S$34+'TUSD CVA'!$S$34)*(1 - 0.4)</f>
        <v>0</v>
      </c>
      <c r="T34" s="13">
        <f>('TUSD BE'!$U$34+'TUSD BF'!$U$34+'TUSD CVA'!$U$34)*(1 - 0.4)</f>
        <v>25.043722210898725</v>
      </c>
      <c r="U34" s="13">
        <f>('TUSD BE'!$V$34+'TUSD BF'!$V$34+'TUSD CVA'!$V$34)*(1 - 0.4)</f>
        <v>11.799591737695815</v>
      </c>
      <c r="V34" s="13">
        <f>('TUSD BE'!$W$34+'TUSD BF'!$W$34+'TUSD CVA'!$W$34)*(1 - 0.4)</f>
        <v>0</v>
      </c>
      <c r="W34" s="13">
        <f>('TUSD BE'!$X$34+'TUSD BF'!$X$34+'TUSD CVA'!$X$34)*(1 - 0.4)</f>
        <v>0</v>
      </c>
      <c r="X34" s="13">
        <f>('TUSD BE'!$Y$34+'TUSD BF'!$Y$34+'TUSD CVA'!$Y$34)*(1 - 0.4)</f>
        <v>0</v>
      </c>
      <c r="Y34" s="13">
        <f>('TUSD BE'!$Z$34+'TUSD BF'!$Z$34+'TUSD CVA'!$Z$34)*(1 - 0.4)</f>
        <v>0</v>
      </c>
      <c r="Z34" s="13">
        <f>('TUSD BE'!$AA$34+'TUSD BF'!$AA$34+'TUSD CVA'!$AA$34)*(1 - 0.4)</f>
        <v>0</v>
      </c>
      <c r="AA34" s="13">
        <f>('TUSD BE'!$AC$34+'TUSD BF'!$AC$34+'TUSD CVA'!$AC$34)*(1 - 0.4)</f>
        <v>149.98733721211875</v>
      </c>
      <c r="AB34" s="13">
        <f ca="1">('TUSD BE'!$AE$34+'TUSD BF'!$AE$34+'TUSD CVA'!$AE$34)*(1 - 0.4)</f>
        <v>-8.7483289482225963</v>
      </c>
      <c r="AC34" s="13">
        <f ca="1">('TUSD BE'!$AF$34+'TUSD BF'!$AF$34+'TUSD CVA'!$AF$34)*(1 - 0.4)</f>
        <v>0</v>
      </c>
      <c r="AD34" s="13">
        <f>('TUSD BE'!$AH$34+'TUSD BF'!$AH$34+'TUSD CVA'!$AH$34)*(1 - 0.4)</f>
        <v>14.577108833834252</v>
      </c>
      <c r="AE34" s="13">
        <f>('TUSD BE'!$AI$34+'TUSD BF'!$AI$34+'TUSD CVA'!$AI$34)*(1 - 0.4)</f>
        <v>0.42895027482279086</v>
      </c>
      <c r="AF34" s="13">
        <f ca="1">('TUSD BE'!$AJ$34+'TUSD BF'!$AJ$34+'TUSD CVA'!$AJ$34)*(1 - 0.4)</f>
        <v>0.97803367027178256</v>
      </c>
      <c r="AG34" s="13">
        <f ca="1">('TUSD BE'!$AK$34+'TUSD BF'!$AK$34+'TUSD CVA'!$AK$34)*(1 - 0.4)</f>
        <v>0.22747675290472752</v>
      </c>
      <c r="AI34" s="13">
        <v>0</v>
      </c>
      <c r="AJ34" s="13">
        <v>0.56946892498676804</v>
      </c>
      <c r="AK34" s="13">
        <v>2.02069671807685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19.692201545227199</v>
      </c>
      <c r="AR34" s="13">
        <v>10.5259297676426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140.69330265879299</v>
      </c>
      <c r="AY34" s="13">
        <v>-10.9172331703033</v>
      </c>
      <c r="AZ34" s="13">
        <v>0</v>
      </c>
      <c r="BA34" s="13">
        <v>15.751072920174201</v>
      </c>
      <c r="BB34" s="13">
        <v>0.41748958832086203</v>
      </c>
      <c r="BC34" s="13">
        <v>1.05916281777063</v>
      </c>
      <c r="BD34" s="13">
        <v>0.36784184012914201</v>
      </c>
    </row>
    <row r="35" spans="1:56" ht="11.25" customHeight="1" x14ac:dyDescent="0.3">
      <c r="A35" s="137"/>
      <c r="B35" s="137"/>
      <c r="C35" s="137"/>
      <c r="D35" s="17" t="s">
        <v>31</v>
      </c>
      <c r="E35" s="17" t="s">
        <v>25</v>
      </c>
      <c r="F35" s="17" t="s">
        <v>25</v>
      </c>
      <c r="G35" s="18" t="s">
        <v>83</v>
      </c>
      <c r="H35" s="18" t="s">
        <v>79</v>
      </c>
      <c r="I35" s="18">
        <f>'MERCADO TUSD'!$U$32</f>
        <v>1590.454</v>
      </c>
      <c r="J35" s="15"/>
      <c r="L35" s="13">
        <f>('TUSD BE'!$L$35+'TUSD BF'!$L$35+'TUSD CVA'!$L$35)*(1 - 0.1)</f>
        <v>0</v>
      </c>
      <c r="M35" s="13">
        <f>('TUSD BE'!$M$35+'TUSD BF'!$M$35+'TUSD CVA'!$M$35)*(1 - 0.1)</f>
        <v>0.91820595319054465</v>
      </c>
      <c r="N35" s="13">
        <f ca="1">('TUSD BE'!$N$35+'TUSD BF'!$N$35+'TUSD CVA'!$N$35)*(1 - 0.1)</f>
        <v>3.3551597279716128</v>
      </c>
      <c r="O35" s="13">
        <f>('TUSD BE'!$O$35+'TUSD BF'!$O$35+'TUSD CVA'!$O$35)*(1 - 0.1)</f>
        <v>0</v>
      </c>
      <c r="P35" s="13">
        <v>0</v>
      </c>
      <c r="Q35" s="13">
        <f>('TUSD BE'!$Q$35+'TUSD BF'!$Q$35+'TUSD CVA'!$Q$35)*(1 - 0.1)</f>
        <v>0</v>
      </c>
      <c r="R35" s="13">
        <v>0</v>
      </c>
      <c r="S35" s="13">
        <f>('TUSD BE'!$S$35+'TUSD BF'!$S$35+'TUSD CVA'!$S$35)*(1 - 0.1)</f>
        <v>0</v>
      </c>
      <c r="T35" s="13">
        <f>('TUSD BE'!$U$35+'TUSD BF'!$U$35+'TUSD CVA'!$U$35)*(1 - 0.1)</f>
        <v>37.565583316348089</v>
      </c>
      <c r="U35" s="13">
        <f>('TUSD BE'!$V$35+'TUSD BF'!$V$35+'TUSD CVA'!$V$35)*(1 - 0.1)</f>
        <v>17.699387606543723</v>
      </c>
      <c r="V35" s="13">
        <f>('TUSD BE'!$W$35+'TUSD BF'!$W$35+'TUSD CVA'!$W$35)*(1 - 0.1)</f>
        <v>0</v>
      </c>
      <c r="W35" s="13">
        <f>('TUSD BE'!$X$35+'TUSD BF'!$X$35+'TUSD CVA'!$X$35)*(1 - 0.1)</f>
        <v>0</v>
      </c>
      <c r="X35" s="13">
        <f>('TUSD BE'!$Y$35+'TUSD BF'!$Y$35+'TUSD CVA'!$Y$35)*(1 - 0.1)</f>
        <v>0</v>
      </c>
      <c r="Y35" s="13">
        <f>('TUSD BE'!$Z$35+'TUSD BF'!$Z$35+'TUSD CVA'!$Z$35)*(1 - 0.1)</f>
        <v>0</v>
      </c>
      <c r="Z35" s="13">
        <f>('TUSD BE'!$AA$35+'TUSD BF'!$AA$35+'TUSD CVA'!$AA$35)*(1 - 0.1)</f>
        <v>0</v>
      </c>
      <c r="AA35" s="13">
        <f>('TUSD BE'!$AC$35+'TUSD BF'!$AC$35+'TUSD CVA'!$AC$35)*(1 - 0.1)</f>
        <v>224.98100581817812</v>
      </c>
      <c r="AB35" s="13">
        <f ca="1">('TUSD BE'!$AE$35+'TUSD BF'!$AE$35+'TUSD CVA'!$AE$35)*(1 - 0.1)</f>
        <v>-13.122493422333894</v>
      </c>
      <c r="AC35" s="13">
        <f ca="1">('TUSD BE'!$AF$35+'TUSD BF'!$AF$35+'TUSD CVA'!$AF$35)*(1 - 0.1)</f>
        <v>0</v>
      </c>
      <c r="AD35" s="13">
        <f>('TUSD BE'!$AH$35+'TUSD BF'!$AH$35+'TUSD CVA'!$AH$35)*(1 - 0.1)</f>
        <v>21.865663250751378</v>
      </c>
      <c r="AE35" s="13">
        <f>('TUSD BE'!$AI$35+'TUSD BF'!$AI$35+'TUSD CVA'!$AI$35)*(1 - 0.1)</f>
        <v>0.64342541223418626</v>
      </c>
      <c r="AF35" s="13">
        <f ca="1">('TUSD BE'!$AJ$35+'TUSD BF'!$AJ$35+'TUSD CVA'!$AJ$35)*(1 - 0.1)</f>
        <v>1.4670505054076739</v>
      </c>
      <c r="AG35" s="13">
        <f ca="1">('TUSD BE'!$AK$35+'TUSD BF'!$AK$35+'TUSD CVA'!$AK$35)*(1 - 0.1)</f>
        <v>0.34121512935709131</v>
      </c>
      <c r="AI35" s="13">
        <v>0</v>
      </c>
      <c r="AJ35" s="13">
        <v>0.85420338748015201</v>
      </c>
      <c r="AK35" s="13">
        <v>3.0310450771152699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29.538302317840699</v>
      </c>
      <c r="AR35" s="13">
        <v>15.788894651463901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211.03995398819001</v>
      </c>
      <c r="AY35" s="13">
        <v>-16.375849755454901</v>
      </c>
      <c r="AZ35" s="13">
        <v>0</v>
      </c>
      <c r="BA35" s="13">
        <v>23.6266093802613</v>
      </c>
      <c r="BB35" s="13">
        <v>0.62623438248129404</v>
      </c>
      <c r="BC35" s="13">
        <v>1.58874422665594</v>
      </c>
      <c r="BD35" s="13">
        <v>0.55176276019371295</v>
      </c>
    </row>
    <row r="36" spans="1:56" ht="11.25" customHeight="1" x14ac:dyDescent="0.3">
      <c r="A36" s="137"/>
      <c r="B36" s="137"/>
      <c r="C36" s="137"/>
      <c r="D36" s="17" t="s">
        <v>32</v>
      </c>
      <c r="E36" s="17" t="s">
        <v>25</v>
      </c>
      <c r="F36" s="17" t="s">
        <v>25</v>
      </c>
      <c r="G36" s="18" t="s">
        <v>83</v>
      </c>
      <c r="H36" s="18" t="s">
        <v>79</v>
      </c>
      <c r="I36" s="18">
        <f>'MERCADO TUSD'!$U$33</f>
        <v>284.12699999999995</v>
      </c>
      <c r="J36" s="15"/>
      <c r="L36" s="13">
        <f>('TUSD BE'!$L$36+'TUSD BF'!$L$36+'TUSD CVA'!$L$36)*1</f>
        <v>0</v>
      </c>
      <c r="M36" s="13">
        <f>('TUSD BE'!$M$36+'TUSD BF'!$M$36+'TUSD CVA'!$M$36)*1</f>
        <v>1.0202288368783829</v>
      </c>
      <c r="N36" s="13">
        <f ca="1">('TUSD BE'!$N$36+'TUSD BF'!$N$36+'TUSD CVA'!$N$36)*1</f>
        <v>3.7279552533017921</v>
      </c>
      <c r="O36" s="13">
        <f>('TUSD BE'!$O$36+'TUSD BF'!$O$36+'TUSD CVA'!$O$36)*1</f>
        <v>0</v>
      </c>
      <c r="P36" s="13">
        <v>0</v>
      </c>
      <c r="Q36" s="13">
        <f>('TUSD BE'!$Q$36+'TUSD BF'!$Q$36+'TUSD CVA'!$Q$36)*1</f>
        <v>0</v>
      </c>
      <c r="R36" s="13">
        <v>0</v>
      </c>
      <c r="S36" s="13">
        <f>('TUSD BE'!$S$36+'TUSD BF'!$S$36+'TUSD CVA'!$S$36)*1</f>
        <v>0</v>
      </c>
      <c r="T36" s="13">
        <f>('TUSD BE'!$U$36+'TUSD BF'!$U$36+'TUSD CVA'!$U$36)*1</f>
        <v>41.73953701816454</v>
      </c>
      <c r="U36" s="13">
        <f>('TUSD BE'!$V$36+'TUSD BF'!$V$36+'TUSD CVA'!$V$36)*1</f>
        <v>19.665986229493026</v>
      </c>
      <c r="V36" s="13">
        <f>('TUSD BE'!$W$36+'TUSD BF'!$W$36+'TUSD CVA'!$W$36)*1</f>
        <v>0</v>
      </c>
      <c r="W36" s="13">
        <f>('TUSD BE'!$X$36+'TUSD BF'!$X$36+'TUSD CVA'!$X$36)*1</f>
        <v>0</v>
      </c>
      <c r="X36" s="13">
        <f>('TUSD BE'!$Y$36+'TUSD BF'!$Y$36+'TUSD CVA'!$Y$36)*1</f>
        <v>0</v>
      </c>
      <c r="Y36" s="13">
        <f>('TUSD BE'!$Z$36+'TUSD BF'!$Z$36+'TUSD CVA'!$Z$36)*1</f>
        <v>0</v>
      </c>
      <c r="Z36" s="13">
        <f>('TUSD BE'!$AA$36+'TUSD BF'!$AA$36+'TUSD CVA'!$AA$36)*1</f>
        <v>0</v>
      </c>
      <c r="AA36" s="13">
        <f>('TUSD BE'!$AC$36+'TUSD BF'!$AC$36+'TUSD CVA'!$AC$36)*1</f>
        <v>249.97889535353124</v>
      </c>
      <c r="AB36" s="13">
        <f ca="1">('TUSD BE'!$AE$36+'TUSD BF'!$AE$36+'TUSD CVA'!$AE$36)*1</f>
        <v>-14.58054824703766</v>
      </c>
      <c r="AC36" s="13">
        <f ca="1">('TUSD BE'!$AF$36+'TUSD BF'!$AF$36+'TUSD CVA'!$AF$36)*1</f>
        <v>0</v>
      </c>
      <c r="AD36" s="13">
        <f>('TUSD BE'!$AH$36+'TUSD BF'!$AH$36+'TUSD CVA'!$AH$36)*1</f>
        <v>24.295181389723755</v>
      </c>
      <c r="AE36" s="13">
        <f>('TUSD BE'!$AI$36+'TUSD BF'!$AI$36+'TUSD CVA'!$AI$36)*1</f>
        <v>0.71491712470465141</v>
      </c>
      <c r="AF36" s="13">
        <f ca="1">('TUSD BE'!$AJ$36+'TUSD BF'!$AJ$36+'TUSD CVA'!$AJ$36)*1</f>
        <v>1.6300561171196377</v>
      </c>
      <c r="AG36" s="13">
        <f ca="1">('TUSD BE'!$AK$36+'TUSD BF'!$AK$36+'TUSD CVA'!$AK$36)*1</f>
        <v>0.37912792150787922</v>
      </c>
      <c r="AI36" s="13">
        <v>0</v>
      </c>
      <c r="AJ36" s="13">
        <v>0.949114874977946</v>
      </c>
      <c r="AK36" s="13">
        <v>3.3678278634614198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32.820335908711897</v>
      </c>
      <c r="AR36" s="13">
        <v>17.543216279404302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234.48883776465499</v>
      </c>
      <c r="AY36" s="13">
        <v>-18.1953886171721</v>
      </c>
      <c r="AZ36" s="13">
        <v>0</v>
      </c>
      <c r="BA36" s="13">
        <v>26.251788200290299</v>
      </c>
      <c r="BB36" s="13">
        <v>0.69581598053477101</v>
      </c>
      <c r="BC36" s="13">
        <v>1.7652713629510499</v>
      </c>
      <c r="BD36" s="13">
        <v>0.61306973354856997</v>
      </c>
    </row>
    <row r="37" spans="1:56" ht="11.25" customHeight="1" x14ac:dyDescent="0.3">
      <c r="A37" s="137"/>
      <c r="B37" s="137" t="s">
        <v>93</v>
      </c>
      <c r="C37" s="137" t="s">
        <v>24</v>
      </c>
      <c r="D37" s="17" t="s">
        <v>24</v>
      </c>
      <c r="E37" s="17" t="s">
        <v>25</v>
      </c>
      <c r="F37" s="17" t="s">
        <v>25</v>
      </c>
      <c r="G37" s="18" t="s">
        <v>83</v>
      </c>
      <c r="H37" s="18" t="s">
        <v>79</v>
      </c>
      <c r="I37" s="18">
        <f>'MERCADO TUSD'!$U$34</f>
        <v>0</v>
      </c>
      <c r="J37" s="15"/>
      <c r="L37" s="13">
        <f>('TUSD BE'!$L$37+'TUSD BF'!$L$37+'TUSD CVA'!$L$37)*1</f>
        <v>14.13287510094759</v>
      </c>
      <c r="M37" s="13">
        <f>('TUSD BE'!$M$37+'TUSD BF'!$M$37+'TUSD CVA'!$M$37)*1</f>
        <v>1.0202288368783829</v>
      </c>
      <c r="N37" s="13">
        <f ca="1">('TUSD BE'!$N$37+'TUSD BF'!$N$37+'TUSD CVA'!$N$37)*1</f>
        <v>3.7396925496587388</v>
      </c>
      <c r="O37" s="13">
        <f>('TUSD BE'!$O$37+'TUSD BF'!$O$37+'TUSD CVA'!$O$37)*1</f>
        <v>0</v>
      </c>
      <c r="P37" s="13">
        <f>('TUSD BE'!$P$37+'TUSD BF'!$P$37+'TUSD CVA'!$P$37)*1</f>
        <v>0</v>
      </c>
      <c r="Q37" s="13">
        <f>('TUSD BE'!$Q$37+'TUSD BF'!$Q$37+'TUSD CVA'!$Q$37)*1</f>
        <v>124.14054560747164</v>
      </c>
      <c r="R37" s="13">
        <f>('TUSD BE'!$R$37+'TUSD BF'!$R$37+'TUSD CVA'!$R$37)*1</f>
        <v>20.465299872876649</v>
      </c>
      <c r="S37" s="13">
        <f>('TUSD BE'!$S$37+'TUSD BF'!$S$37+'TUSD CVA'!$S$37)*1</f>
        <v>0</v>
      </c>
      <c r="T37" s="13">
        <f>('TUSD BE'!$U$37+'TUSD BF'!$U$37+'TUSD CVA'!$U$37)*1</f>
        <v>41.73953701816454</v>
      </c>
      <c r="U37" s="13">
        <f>('TUSD BE'!$V$37+'TUSD BF'!$V$37+'TUSD CVA'!$V$37)*1</f>
        <v>19.665986229493026</v>
      </c>
      <c r="V37" s="13">
        <f>('TUSD BE'!$W$37+'TUSD BF'!$W$37+'TUSD CVA'!$W$37)*1</f>
        <v>0</v>
      </c>
      <c r="W37" s="13">
        <f>('TUSD BE'!$X$37+'TUSD BF'!$X$37+'TUSD CVA'!$X$37)*1</f>
        <v>0</v>
      </c>
      <c r="X37" s="13">
        <f>('TUSD BE'!$Y$37+'TUSD BF'!$Y$37+'TUSD CVA'!$Y$37)*1</f>
        <v>0</v>
      </c>
      <c r="Y37" s="13">
        <f>('TUSD BE'!$Z$37+'TUSD BF'!$Z$37+'TUSD CVA'!$Z$37)*1</f>
        <v>0</v>
      </c>
      <c r="Z37" s="13">
        <f>('TUSD BE'!$AA$37+'TUSD BF'!$AA$37+'TUSD CVA'!$AA$37)*1</f>
        <v>0</v>
      </c>
      <c r="AA37" s="13">
        <f>('TUSD BE'!$AC$37+'TUSD BF'!$AC$37+'TUSD CVA'!$AC$37)*1</f>
        <v>249.97889535353124</v>
      </c>
      <c r="AB37" s="13">
        <f ca="1">('TUSD BE'!$AE$37+'TUSD BF'!$AE$37+'TUSD CVA'!$AE$37)*1</f>
        <v>-19.834981053784773</v>
      </c>
      <c r="AC37" s="13">
        <f ca="1">('TUSD BE'!$AF$37+'TUSD BF'!$AF$37+'TUSD CVA'!$AF$37)*1</f>
        <v>0</v>
      </c>
      <c r="AD37" s="13">
        <f>('TUSD BE'!$AH$37+'TUSD BF'!$AH$37+'TUSD CVA'!$AH$37)*1</f>
        <v>24.295181389723755</v>
      </c>
      <c r="AE37" s="13">
        <f>('TUSD BE'!$AI$37+'TUSD BF'!$AI$37+'TUSD CVA'!$AI$37)*1</f>
        <v>0.71491712470465141</v>
      </c>
      <c r="AF37" s="13">
        <f ca="1">('TUSD BE'!$AJ$37+'TUSD BF'!$AJ$37+'TUSD CVA'!$AJ$37)*1</f>
        <v>1.6300561171196377</v>
      </c>
      <c r="AG37" s="13">
        <f ca="1">('TUSD BE'!$AK$37+'TUSD BF'!$AK$37+'TUSD CVA'!$AK$37)*1</f>
        <v>0.37912792150787922</v>
      </c>
      <c r="AI37" s="13">
        <v>12.9093787548588</v>
      </c>
      <c r="AJ37" s="13">
        <v>0.949114874977946</v>
      </c>
      <c r="AK37" s="13">
        <v>3.3784388828933398</v>
      </c>
      <c r="AL37" s="13">
        <v>0</v>
      </c>
      <c r="AM37" s="13">
        <v>0</v>
      </c>
      <c r="AN37" s="13">
        <v>58.3828796200117</v>
      </c>
      <c r="AO37" s="13">
        <v>12.752028686941999</v>
      </c>
      <c r="AP37" s="13">
        <v>0</v>
      </c>
      <c r="AQ37" s="13">
        <v>32.820335908711897</v>
      </c>
      <c r="AR37" s="13">
        <v>17.543216279404302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234.48883776465499</v>
      </c>
      <c r="AY37" s="13">
        <v>-22.9264317846593</v>
      </c>
      <c r="AZ37" s="13">
        <v>0</v>
      </c>
      <c r="BA37" s="13">
        <v>26.251788200290299</v>
      </c>
      <c r="BB37" s="13">
        <v>0.69581598053477101</v>
      </c>
      <c r="BC37" s="13">
        <v>1.7652713629510499</v>
      </c>
      <c r="BD37" s="13">
        <v>0.61306973354856997</v>
      </c>
    </row>
    <row r="38" spans="1:56" ht="11.25" customHeight="1" x14ac:dyDescent="0.3">
      <c r="A38" s="137"/>
      <c r="B38" s="137"/>
      <c r="C38" s="137"/>
      <c r="D38" s="17" t="s">
        <v>29</v>
      </c>
      <c r="E38" s="17" t="s">
        <v>25</v>
      </c>
      <c r="F38" s="17" t="s">
        <v>25</v>
      </c>
      <c r="G38" s="18" t="s">
        <v>83</v>
      </c>
      <c r="H38" s="18" t="s">
        <v>79</v>
      </c>
      <c r="I38" s="18">
        <f>'MERCADO TUSD'!$U$35</f>
        <v>0</v>
      </c>
      <c r="J38" s="15"/>
      <c r="L38" s="13">
        <f>('TUSD BE'!$L$38+'TUSD BF'!$L$38+'TUSD CVA'!$L$38)*(1 - 0.65)</f>
        <v>0</v>
      </c>
      <c r="M38" s="13">
        <f>('TUSD BE'!$M$38+'TUSD BF'!$M$38+'TUSD CVA'!$M$38)*(1 - 0.65)</f>
        <v>0.35708009290743403</v>
      </c>
      <c r="N38" s="13">
        <f ca="1">('TUSD BE'!$N$38+'TUSD BF'!$N$38+'TUSD CVA'!$N$38)*(1 - 0.65)</f>
        <v>1.3047843386556273</v>
      </c>
      <c r="O38" s="13">
        <f>('TUSD BE'!$O$38+'TUSD BF'!$O$38+'TUSD CVA'!$O$38)*(1 - 0.65)</f>
        <v>0</v>
      </c>
      <c r="P38" s="13">
        <v>0</v>
      </c>
      <c r="Q38" s="13">
        <f>('TUSD BE'!$Q$38+'TUSD BF'!$Q$38+'TUSD CVA'!$Q$38)*(1 - 0.65)</f>
        <v>0</v>
      </c>
      <c r="R38" s="13">
        <v>0</v>
      </c>
      <c r="S38" s="13">
        <f>('TUSD BE'!$S$38+'TUSD BF'!$S$38+'TUSD CVA'!$S$38)*(1 - 0.65)</f>
        <v>0</v>
      </c>
      <c r="T38" s="13">
        <f>('TUSD BE'!$U$38+'TUSD BF'!$U$38+'TUSD CVA'!$U$38)*(1 - 0.65)</f>
        <v>14.608837956357588</v>
      </c>
      <c r="U38" s="13">
        <f>('TUSD BE'!$V$38+'TUSD BF'!$V$38+'TUSD CVA'!$V$38)*(1 - 0.65)</f>
        <v>6.8830951803225586</v>
      </c>
      <c r="V38" s="13">
        <f>('TUSD BE'!$W$38+'TUSD BF'!$W$38+'TUSD CVA'!$W$38)*(1 - 0.65)</f>
        <v>0</v>
      </c>
      <c r="W38" s="13">
        <f>('TUSD BE'!$X$38+'TUSD BF'!$X$38+'TUSD CVA'!$X$38)*(1 - 0.65)</f>
        <v>0</v>
      </c>
      <c r="X38" s="13">
        <f>('TUSD BE'!$Y$38+'TUSD BF'!$Y$38+'TUSD CVA'!$Y$38)*(1 - 0.65)</f>
        <v>0</v>
      </c>
      <c r="Y38" s="13">
        <f>('TUSD BE'!$Z$38+'TUSD BF'!$Z$38+'TUSD CVA'!$Z$38)*(1 - 0.65)</f>
        <v>0</v>
      </c>
      <c r="Z38" s="13">
        <f>('TUSD BE'!$AA$38+'TUSD BF'!$AA$38+'TUSD CVA'!$AA$38)*(1 - 0.65)</f>
        <v>0</v>
      </c>
      <c r="AA38" s="13">
        <f>('TUSD BE'!$AC$38+'TUSD BF'!$AC$38+'TUSD CVA'!$AC$38)*(1 - 0.65)</f>
        <v>87.492613373735935</v>
      </c>
      <c r="AB38" s="13">
        <f ca="1">('TUSD BE'!$AE$38+'TUSD BF'!$AE$38+'TUSD CVA'!$AE$38)*(1 - 0.65)</f>
        <v>-5.1031918864631809</v>
      </c>
      <c r="AC38" s="13">
        <f ca="1">('TUSD BE'!$AF$38+'TUSD BF'!$AF$38+'TUSD CVA'!$AF$38)*(1 - 0.65)</f>
        <v>0</v>
      </c>
      <c r="AD38" s="13">
        <f>('TUSD BE'!$AH$38+'TUSD BF'!$AH$38+'TUSD CVA'!$AH$38)*(1 - 0.65)</f>
        <v>8.5033134864033144</v>
      </c>
      <c r="AE38" s="13">
        <f>('TUSD BE'!$AI$38+'TUSD BF'!$AI$38+'TUSD CVA'!$AI$38)*(1 - 0.65)</f>
        <v>0.25022099364662798</v>
      </c>
      <c r="AF38" s="13">
        <f ca="1">('TUSD BE'!$AJ$38+'TUSD BF'!$AJ$38+'TUSD CVA'!$AJ$38)*(1 - 0.65)</f>
        <v>0.57051964099187313</v>
      </c>
      <c r="AG38" s="13">
        <f ca="1">('TUSD BE'!$AK$38+'TUSD BF'!$AK$38+'TUSD CVA'!$AK$38)*(1 - 0.65)</f>
        <v>0.13269477252775772</v>
      </c>
      <c r="AI38" s="13">
        <v>0</v>
      </c>
      <c r="AJ38" s="13">
        <v>0.33219020624228102</v>
      </c>
      <c r="AK38" s="13">
        <v>1.1787397522115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11.4871175680492</v>
      </c>
      <c r="AR38" s="13">
        <v>6.1401256977915102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82.071093217629297</v>
      </c>
      <c r="AY38" s="13">
        <v>-6.3683860160102403</v>
      </c>
      <c r="AZ38" s="13">
        <v>0</v>
      </c>
      <c r="BA38" s="13">
        <v>9.1881258701016009</v>
      </c>
      <c r="BB38" s="13">
        <v>0.24353559318717</v>
      </c>
      <c r="BC38" s="13">
        <v>0.61784497703286601</v>
      </c>
      <c r="BD38" s="13">
        <v>0.21457440674199901</v>
      </c>
    </row>
    <row r="39" spans="1:56" ht="11.25" customHeight="1" x14ac:dyDescent="0.3">
      <c r="A39" s="137"/>
      <c r="B39" s="137"/>
      <c r="C39" s="137"/>
      <c r="D39" s="17" t="s">
        <v>30</v>
      </c>
      <c r="E39" s="17" t="s">
        <v>25</v>
      </c>
      <c r="F39" s="17" t="s">
        <v>25</v>
      </c>
      <c r="G39" s="18" t="s">
        <v>83</v>
      </c>
      <c r="H39" s="18" t="s">
        <v>79</v>
      </c>
      <c r="I39" s="18">
        <f>'MERCADO TUSD'!$U$36</f>
        <v>0</v>
      </c>
      <c r="J39" s="15"/>
      <c r="L39" s="13">
        <f>('TUSD BE'!$L$39+'TUSD BF'!$L$39+'TUSD CVA'!$L$39)*(1 - 0.4)</f>
        <v>0</v>
      </c>
      <c r="M39" s="13">
        <f>('TUSD BE'!$M$39+'TUSD BF'!$M$39+'TUSD CVA'!$M$39)*(1 - 0.4)</f>
        <v>0.61213730212702977</v>
      </c>
      <c r="N39" s="13">
        <f ca="1">('TUSD BE'!$N$39+'TUSD BF'!$N$39+'TUSD CVA'!$N$39)*(1 - 0.4)</f>
        <v>2.2367731519810752</v>
      </c>
      <c r="O39" s="13">
        <f>('TUSD BE'!$O$39+'TUSD BF'!$O$39+'TUSD CVA'!$O$39)*(1 - 0.4)</f>
        <v>0</v>
      </c>
      <c r="P39" s="13">
        <v>0</v>
      </c>
      <c r="Q39" s="13">
        <f>('TUSD BE'!$Q$39+'TUSD BF'!$Q$39+'TUSD CVA'!$Q$39)*(1 - 0.4)</f>
        <v>0</v>
      </c>
      <c r="R39" s="13">
        <v>0</v>
      </c>
      <c r="S39" s="13">
        <f>('TUSD BE'!$S$39+'TUSD BF'!$S$39+'TUSD CVA'!$S$39)*(1 - 0.4)</f>
        <v>0</v>
      </c>
      <c r="T39" s="13">
        <f>('TUSD BE'!$U$39+'TUSD BF'!$U$39+'TUSD CVA'!$U$39)*(1 - 0.4)</f>
        <v>25.043722210898725</v>
      </c>
      <c r="U39" s="13">
        <f>('TUSD BE'!$V$39+'TUSD BF'!$V$39+'TUSD CVA'!$V$39)*(1 - 0.4)</f>
        <v>11.799591737695815</v>
      </c>
      <c r="V39" s="13">
        <f>('TUSD BE'!$W$39+'TUSD BF'!$W$39+'TUSD CVA'!$W$39)*(1 - 0.4)</f>
        <v>0</v>
      </c>
      <c r="W39" s="13">
        <f>('TUSD BE'!$X$39+'TUSD BF'!$X$39+'TUSD CVA'!$X$39)*(1 - 0.4)</f>
        <v>0</v>
      </c>
      <c r="X39" s="13">
        <f>('TUSD BE'!$Y$39+'TUSD BF'!$Y$39+'TUSD CVA'!$Y$39)*(1 - 0.4)</f>
        <v>0</v>
      </c>
      <c r="Y39" s="13">
        <f>('TUSD BE'!$Z$39+'TUSD BF'!$Z$39+'TUSD CVA'!$Z$39)*(1 - 0.4)</f>
        <v>0</v>
      </c>
      <c r="Z39" s="13">
        <f>('TUSD BE'!$AA$39+'TUSD BF'!$AA$39+'TUSD CVA'!$AA$39)*(1 - 0.4)</f>
        <v>0</v>
      </c>
      <c r="AA39" s="13">
        <f>('TUSD BE'!$AC$39+'TUSD BF'!$AC$39+'TUSD CVA'!$AC$39)*(1 - 0.4)</f>
        <v>149.98733721211875</v>
      </c>
      <c r="AB39" s="13">
        <f ca="1">('TUSD BE'!$AE$39+'TUSD BF'!$AE$39+'TUSD CVA'!$AE$39)*(1 - 0.4)</f>
        <v>-8.7483289482225963</v>
      </c>
      <c r="AC39" s="13">
        <f ca="1">('TUSD BE'!$AF$39+'TUSD BF'!$AF$39+'TUSD CVA'!$AF$39)*(1 - 0.4)</f>
        <v>0</v>
      </c>
      <c r="AD39" s="13">
        <f>('TUSD BE'!$AH$39+'TUSD BF'!$AH$39+'TUSD CVA'!$AH$39)*(1 - 0.4)</f>
        <v>14.577108833834252</v>
      </c>
      <c r="AE39" s="13">
        <f>('TUSD BE'!$AI$39+'TUSD BF'!$AI$39+'TUSD CVA'!$AI$39)*(1 - 0.4)</f>
        <v>0.42895027482279086</v>
      </c>
      <c r="AF39" s="13">
        <f ca="1">('TUSD BE'!$AJ$39+'TUSD BF'!$AJ$39+'TUSD CVA'!$AJ$39)*(1 - 0.4)</f>
        <v>0.97803367027178256</v>
      </c>
      <c r="AG39" s="13">
        <f ca="1">('TUSD BE'!$AK$39+'TUSD BF'!$AK$39+'TUSD CVA'!$AK$39)*(1 - 0.4)</f>
        <v>0.22747675290472752</v>
      </c>
      <c r="AI39" s="13">
        <v>0</v>
      </c>
      <c r="AJ39" s="13">
        <v>0.56946892498676804</v>
      </c>
      <c r="AK39" s="13">
        <v>2.02069671807685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19.692201545227199</v>
      </c>
      <c r="AR39" s="13">
        <v>10.5259297676426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140.69330265879299</v>
      </c>
      <c r="AY39" s="13">
        <v>-10.9172331703033</v>
      </c>
      <c r="AZ39" s="13">
        <v>0</v>
      </c>
      <c r="BA39" s="13">
        <v>15.751072920174201</v>
      </c>
      <c r="BB39" s="13">
        <v>0.41748958832086203</v>
      </c>
      <c r="BC39" s="13">
        <v>1.05916281777063</v>
      </c>
      <c r="BD39" s="13">
        <v>0.36784184012914201</v>
      </c>
    </row>
    <row r="40" spans="1:56" ht="11.25" customHeight="1" x14ac:dyDescent="0.3">
      <c r="A40" s="137"/>
      <c r="B40" s="137"/>
      <c r="C40" s="137"/>
      <c r="D40" s="17" t="s">
        <v>31</v>
      </c>
      <c r="E40" s="17" t="s">
        <v>25</v>
      </c>
      <c r="F40" s="17" t="s">
        <v>25</v>
      </c>
      <c r="G40" s="18" t="s">
        <v>83</v>
      </c>
      <c r="H40" s="18" t="s">
        <v>79</v>
      </c>
      <c r="I40" s="18">
        <f>'MERCADO TUSD'!$U$37</f>
        <v>0</v>
      </c>
      <c r="J40" s="15"/>
      <c r="L40" s="13">
        <f>('TUSD BE'!$L$40+'TUSD BF'!$L$40+'TUSD CVA'!$L$40)*(1 - 0.1)</f>
        <v>0</v>
      </c>
      <c r="M40" s="13">
        <f>('TUSD BE'!$M$40+'TUSD BF'!$M$40+'TUSD CVA'!$M$40)*(1 - 0.1)</f>
        <v>0.91820595319054465</v>
      </c>
      <c r="N40" s="13">
        <f ca="1">('TUSD BE'!$N$40+'TUSD BF'!$N$40+'TUSD CVA'!$N$40)*(1 - 0.1)</f>
        <v>3.3551597279716128</v>
      </c>
      <c r="O40" s="13">
        <f>('TUSD BE'!$O$40+'TUSD BF'!$O$40+'TUSD CVA'!$O$40)*(1 - 0.1)</f>
        <v>0</v>
      </c>
      <c r="P40" s="13">
        <v>0</v>
      </c>
      <c r="Q40" s="13">
        <f>('TUSD BE'!$Q$40+'TUSD BF'!$Q$40+'TUSD CVA'!$Q$40)*(1 - 0.1)</f>
        <v>0</v>
      </c>
      <c r="R40" s="13">
        <v>0</v>
      </c>
      <c r="S40" s="13">
        <f>('TUSD BE'!$S$40+'TUSD BF'!$S$40+'TUSD CVA'!$S$40)*(1 - 0.1)</f>
        <v>0</v>
      </c>
      <c r="T40" s="13">
        <f>('TUSD BE'!$U$40+'TUSD BF'!$U$40+'TUSD CVA'!$U$40)*(1 - 0.1)</f>
        <v>37.565583316348089</v>
      </c>
      <c r="U40" s="13">
        <f>('TUSD BE'!$V$40+'TUSD BF'!$V$40+'TUSD CVA'!$V$40)*(1 - 0.1)</f>
        <v>17.699387606543723</v>
      </c>
      <c r="V40" s="13">
        <f>('TUSD BE'!$W$40+'TUSD BF'!$W$40+'TUSD CVA'!$W$40)*(1 - 0.1)</f>
        <v>0</v>
      </c>
      <c r="W40" s="13">
        <f>('TUSD BE'!$X$40+'TUSD BF'!$X$40+'TUSD CVA'!$X$40)*(1 - 0.1)</f>
        <v>0</v>
      </c>
      <c r="X40" s="13">
        <f>('TUSD BE'!$Y$40+'TUSD BF'!$Y$40+'TUSD CVA'!$Y$40)*(1 - 0.1)</f>
        <v>0</v>
      </c>
      <c r="Y40" s="13">
        <f>('TUSD BE'!$Z$40+'TUSD BF'!$Z$40+'TUSD CVA'!$Z$40)*(1 - 0.1)</f>
        <v>0</v>
      </c>
      <c r="Z40" s="13">
        <f>('TUSD BE'!$AA$40+'TUSD BF'!$AA$40+'TUSD CVA'!$AA$40)*(1 - 0.1)</f>
        <v>0</v>
      </c>
      <c r="AA40" s="13">
        <f>('TUSD BE'!$AC$40+'TUSD BF'!$AC$40+'TUSD CVA'!$AC$40)*(1 - 0.1)</f>
        <v>224.98100581817812</v>
      </c>
      <c r="AB40" s="13">
        <f ca="1">('TUSD BE'!$AE$40+'TUSD BF'!$AE$40+'TUSD CVA'!$AE$40)*(1 - 0.1)</f>
        <v>-13.122493422333894</v>
      </c>
      <c r="AC40" s="13">
        <f ca="1">('TUSD BE'!$AF$40+'TUSD BF'!$AF$40+'TUSD CVA'!$AF$40)*(1 - 0.1)</f>
        <v>0</v>
      </c>
      <c r="AD40" s="13">
        <f>('TUSD BE'!$AH$40+'TUSD BF'!$AH$40+'TUSD CVA'!$AH$40)*(1 - 0.1)</f>
        <v>21.865663250751378</v>
      </c>
      <c r="AE40" s="13">
        <f>('TUSD BE'!$AI$40+'TUSD BF'!$AI$40+'TUSD CVA'!$AI$40)*(1 - 0.1)</f>
        <v>0.64342541223418626</v>
      </c>
      <c r="AF40" s="13">
        <f ca="1">('TUSD BE'!$AJ$40+'TUSD BF'!$AJ$40+'TUSD CVA'!$AJ$40)*(1 - 0.1)</f>
        <v>1.4670505054076739</v>
      </c>
      <c r="AG40" s="13">
        <f ca="1">('TUSD BE'!$AK$40+'TUSD BF'!$AK$40+'TUSD CVA'!$AK$40)*(1 - 0.1)</f>
        <v>0.34121512935709131</v>
      </c>
      <c r="AI40" s="13">
        <v>0</v>
      </c>
      <c r="AJ40" s="13">
        <v>0.85420338748015201</v>
      </c>
      <c r="AK40" s="13">
        <v>3.0310450771152699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29.538302317840699</v>
      </c>
      <c r="AR40" s="13">
        <v>15.788894651463901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211.03995398819001</v>
      </c>
      <c r="AY40" s="13">
        <v>-16.375849755454901</v>
      </c>
      <c r="AZ40" s="13">
        <v>0</v>
      </c>
      <c r="BA40" s="13">
        <v>23.6266093802613</v>
      </c>
      <c r="BB40" s="13">
        <v>0.62623438248129404</v>
      </c>
      <c r="BC40" s="13">
        <v>1.58874422665594</v>
      </c>
      <c r="BD40" s="13">
        <v>0.55176276019371295</v>
      </c>
    </row>
    <row r="41" spans="1:56" ht="11.25" customHeight="1" x14ac:dyDescent="0.3">
      <c r="A41" s="137"/>
      <c r="B41" s="137"/>
      <c r="C41" s="137"/>
      <c r="D41" s="17" t="s">
        <v>32</v>
      </c>
      <c r="E41" s="17" t="s">
        <v>25</v>
      </c>
      <c r="F41" s="17" t="s">
        <v>25</v>
      </c>
      <c r="G41" s="18" t="s">
        <v>83</v>
      </c>
      <c r="H41" s="18" t="s">
        <v>79</v>
      </c>
      <c r="I41" s="18">
        <f>'MERCADO TUSD'!$U$38</f>
        <v>0</v>
      </c>
      <c r="J41" s="15"/>
      <c r="L41" s="13">
        <f>('TUSD BE'!$L$41+'TUSD BF'!$L$41+'TUSD CVA'!$L$41)*1</f>
        <v>0</v>
      </c>
      <c r="M41" s="13">
        <f>('TUSD BE'!$M$41+'TUSD BF'!$M$41+'TUSD CVA'!$M$41)*1</f>
        <v>1.0202288368783829</v>
      </c>
      <c r="N41" s="13">
        <f ca="1">('TUSD BE'!$N$41+'TUSD BF'!$N$41+'TUSD CVA'!$N$41)*1</f>
        <v>3.7279552533017921</v>
      </c>
      <c r="O41" s="13">
        <f>('TUSD BE'!$O$41+'TUSD BF'!$O$41+'TUSD CVA'!$O$41)*1</f>
        <v>0</v>
      </c>
      <c r="P41" s="13">
        <v>0</v>
      </c>
      <c r="Q41" s="13">
        <f>('TUSD BE'!$Q$41+'TUSD BF'!$Q$41+'TUSD CVA'!$Q$41)*1</f>
        <v>0</v>
      </c>
      <c r="R41" s="13">
        <v>0</v>
      </c>
      <c r="S41" s="13">
        <f>('TUSD BE'!$S$41+'TUSD BF'!$S$41+'TUSD CVA'!$S$41)*1</f>
        <v>0</v>
      </c>
      <c r="T41" s="13">
        <f>('TUSD BE'!$U$41+'TUSD BF'!$U$41+'TUSD CVA'!$U$41)*1</f>
        <v>41.73953701816454</v>
      </c>
      <c r="U41" s="13">
        <f>('TUSD BE'!$V$41+'TUSD BF'!$V$41+'TUSD CVA'!$V$41)*1</f>
        <v>19.665986229493026</v>
      </c>
      <c r="V41" s="13">
        <f>('TUSD BE'!$W$41+'TUSD BF'!$W$41+'TUSD CVA'!$W$41)*1</f>
        <v>0</v>
      </c>
      <c r="W41" s="13">
        <f>('TUSD BE'!$X$41+'TUSD BF'!$X$41+'TUSD CVA'!$X$41)*1</f>
        <v>0</v>
      </c>
      <c r="X41" s="13">
        <f>('TUSD BE'!$Y$41+'TUSD BF'!$Y$41+'TUSD CVA'!$Y$41)*1</f>
        <v>0</v>
      </c>
      <c r="Y41" s="13">
        <f>('TUSD BE'!$Z$41+'TUSD BF'!$Z$41+'TUSD CVA'!$Z$41)*1</f>
        <v>0</v>
      </c>
      <c r="Z41" s="13">
        <f>('TUSD BE'!$AA$41+'TUSD BF'!$AA$41+'TUSD CVA'!$AA$41)*1</f>
        <v>0</v>
      </c>
      <c r="AA41" s="13">
        <f>('TUSD BE'!$AC$41+'TUSD BF'!$AC$41+'TUSD CVA'!$AC$41)*1</f>
        <v>249.97889535353124</v>
      </c>
      <c r="AB41" s="13">
        <f ca="1">('TUSD BE'!$AE$41+'TUSD BF'!$AE$41+'TUSD CVA'!$AE$41)*1</f>
        <v>-14.58054824703766</v>
      </c>
      <c r="AC41" s="13">
        <f ca="1">('TUSD BE'!$AF$41+'TUSD BF'!$AF$41+'TUSD CVA'!$AF$41)*1</f>
        <v>0</v>
      </c>
      <c r="AD41" s="13">
        <f>('TUSD BE'!$AH$41+'TUSD BF'!$AH$41+'TUSD CVA'!$AH$41)*1</f>
        <v>24.295181389723755</v>
      </c>
      <c r="AE41" s="13">
        <f>('TUSD BE'!$AI$41+'TUSD BF'!$AI$41+'TUSD CVA'!$AI$41)*1</f>
        <v>0.71491712470465141</v>
      </c>
      <c r="AF41" s="13">
        <f ca="1">('TUSD BE'!$AJ$41+'TUSD BF'!$AJ$41+'TUSD CVA'!$AJ$41)*1</f>
        <v>1.6300561171196377</v>
      </c>
      <c r="AG41" s="13">
        <f ca="1">('TUSD BE'!$AK$41+'TUSD BF'!$AK$41+'TUSD CVA'!$AK$41)*1</f>
        <v>0.37912792150787922</v>
      </c>
      <c r="AI41" s="13">
        <v>0</v>
      </c>
      <c r="AJ41" s="13">
        <v>0.949114874977946</v>
      </c>
      <c r="AK41" s="13">
        <v>3.3678278634614198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32.820335908711897</v>
      </c>
      <c r="AR41" s="13">
        <v>17.543216279404302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234.48883776465499</v>
      </c>
      <c r="AY41" s="13">
        <v>-18.1953886171721</v>
      </c>
      <c r="AZ41" s="13">
        <v>0</v>
      </c>
      <c r="BA41" s="13">
        <v>26.251788200290299</v>
      </c>
      <c r="BB41" s="13">
        <v>0.69581598053477101</v>
      </c>
      <c r="BC41" s="13">
        <v>1.7652713629510499</v>
      </c>
      <c r="BD41" s="13">
        <v>0.61306973354856997</v>
      </c>
    </row>
    <row r="42" spans="1:56" ht="11.25" customHeight="1" x14ac:dyDescent="0.3">
      <c r="A42" s="137" t="s">
        <v>43</v>
      </c>
      <c r="B42" s="137" t="s">
        <v>33</v>
      </c>
      <c r="C42" s="137" t="s">
        <v>44</v>
      </c>
      <c r="D42" s="137" t="s">
        <v>25</v>
      </c>
      <c r="E42" s="137" t="s">
        <v>25</v>
      </c>
      <c r="F42" s="137" t="s">
        <v>25</v>
      </c>
      <c r="G42" s="18" t="s">
        <v>80</v>
      </c>
      <c r="H42" s="18" t="s">
        <v>79</v>
      </c>
      <c r="I42" s="18">
        <f>'MERCADO TUSD'!$U$39</f>
        <v>0</v>
      </c>
      <c r="J42" s="15"/>
      <c r="L42" s="13">
        <f>('TUSD BE'!$L$42+'TUSD BF'!$L$42+'TUSD CVA'!$L$42)*(1 - CUSTOS!$M$38)</f>
        <v>13.284902594890735</v>
      </c>
      <c r="M42" s="13">
        <f>('TUSD BE'!$M$42+'TUSD BF'!$M$42+'TUSD CVA'!$M$42)*(1 - CUSTOS!$M$38)</f>
        <v>0.95901510666567991</v>
      </c>
      <c r="N42" s="13">
        <f ca="1">('TUSD BE'!$N$42+'TUSD BF'!$N$42+'TUSD CVA'!$N$42)*(1 - CUSTOS!$M$38)</f>
        <v>10.29202961510569</v>
      </c>
      <c r="O42" s="13">
        <f>('TUSD BE'!$O$42+'TUSD BF'!$O$42+'TUSD CVA'!$O$42)*(1 - CUSTOS!$M$38)</f>
        <v>0</v>
      </c>
      <c r="P42" s="13">
        <f>('TUSD BE'!$P$42+'TUSD BF'!$P$42+'TUSD CVA'!$P$42)*(1 - CUSTOS!$M$38)</f>
        <v>0</v>
      </c>
      <c r="Q42" s="13">
        <f>('TUSD BE'!$Q$42+'TUSD BF'!$Q$42+'TUSD CVA'!$Q$42)*(1 - CUSTOS!$M$38)</f>
        <v>116.69211287102333</v>
      </c>
      <c r="R42" s="13">
        <f>('TUSD BE'!$R$42+'TUSD BF'!$R$42+'TUSD CVA'!$R$42)*(1 - CUSTOS!$M$38)</f>
        <v>19.237381880504049</v>
      </c>
      <c r="S42" s="13">
        <f>('TUSD BE'!$S$42+'TUSD BF'!$S$42+'TUSD CVA'!$S$42)*(1 - CUSTOS!$M$38)</f>
        <v>0</v>
      </c>
      <c r="T42" s="13">
        <f>('TUSD BE'!$U$42+'TUSD BF'!$U$42+'TUSD CVA'!$U$42)*(1 - CUSTOS!$M$38)</f>
        <v>129.47607033020782</v>
      </c>
      <c r="U42" s="13">
        <f>('TUSD BE'!$V$42+'TUSD BF'!$V$42+'TUSD CVA'!$V$42)*(1 - CUSTOS!$M$38)</f>
        <v>61.003830966504943</v>
      </c>
      <c r="V42" s="13">
        <f>('TUSD BE'!$W$42+'TUSD BF'!$W$42+'TUSD CVA'!$W$42)*(1 - CUSTOS!$M$38)</f>
        <v>0</v>
      </c>
      <c r="W42" s="13">
        <f>('TUSD BE'!$X$42+'TUSD BF'!$X$42+'TUSD CVA'!$X$42)*(1 - CUSTOS!$M$38)</f>
        <v>0</v>
      </c>
      <c r="X42" s="13">
        <f>('TUSD BE'!$Y$42+'TUSD BF'!$Y$42+'TUSD CVA'!$Y$42)*(1 - CUSTOS!$M$38)</f>
        <v>0</v>
      </c>
      <c r="Y42" s="13">
        <f>('TUSD BE'!$Z$42+'TUSD BF'!$Z$42+'TUSD CVA'!$Z$42)*(1 - CUSTOS!$M$38)</f>
        <v>0</v>
      </c>
      <c r="Z42" s="13">
        <f>('TUSD BE'!$AA$42+'TUSD BF'!$AA$42+'TUSD CVA'!$AA$42)*(1 - CUSTOS!$M$38)</f>
        <v>0</v>
      </c>
      <c r="AA42" s="13">
        <f>('TUSD BE'!$AC$42+'TUSD BF'!$AC$42+'TUSD CVA'!$AC$42)*(1 - CUSTOS!$M$38)</f>
        <v>775.4345970120828</v>
      </c>
      <c r="AB42" s="13">
        <f ca="1">('TUSD BE'!$AE$42+'TUSD BF'!$AE$42+'TUSD CVA'!$AE$42)*(1 - CUSTOS!$M$38)</f>
        <v>-47.569029044279397</v>
      </c>
      <c r="AC42" s="13">
        <f ca="1">('TUSD BE'!$AF$42+'TUSD BF'!$AF$42+'TUSD CVA'!$AF$42)*(1 - CUSTOS!$M$38)</f>
        <v>0</v>
      </c>
      <c r="AD42" s="13">
        <f>('TUSD BE'!$AH$42+'TUSD BF'!$AH$42+'TUSD CVA'!$AH$42)*(1 - CUSTOS!$M$38)</f>
        <v>22.837470506340328</v>
      </c>
      <c r="AE42" s="13">
        <f>('TUSD BE'!$AI$42+'TUSD BF'!$AI$42+'TUSD CVA'!$AI$42)*(1 - CUSTOS!$M$38)</f>
        <v>0.67202209722237227</v>
      </c>
      <c r="AF42" s="13">
        <f ca="1">('TUSD BE'!$AJ$42+'TUSD BF'!$AJ$42+'TUSD CVA'!$AJ$42)*(1 - CUSTOS!$M$38)</f>
        <v>1.5322527500924594</v>
      </c>
      <c r="AG42" s="13">
        <f ca="1">('TUSD BE'!$AK$42+'TUSD BF'!$AK$42+'TUSD CVA'!$AK$42)*(1 - CUSTOS!$M$38)</f>
        <v>0.35638024621740644</v>
      </c>
      <c r="AI42" s="13">
        <v>11.360253304275799</v>
      </c>
      <c r="AJ42" s="13">
        <v>0.83522108998059297</v>
      </c>
      <c r="AK42" s="13">
        <v>8.7084209271480209</v>
      </c>
      <c r="AL42" s="13">
        <v>0</v>
      </c>
      <c r="AM42" s="13">
        <v>0</v>
      </c>
      <c r="AN42" s="13">
        <v>51.3769340656103</v>
      </c>
      <c r="AO42" s="13">
        <v>11.221785244509</v>
      </c>
      <c r="AP42" s="13">
        <v>0</v>
      </c>
      <c r="AQ42" s="13">
        <v>95.310274986049095</v>
      </c>
      <c r="AR42" s="13">
        <v>50.945451373442602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680.95564074186495</v>
      </c>
      <c r="AY42" s="13">
        <v>-53.953900415932203</v>
      </c>
      <c r="AZ42" s="13">
        <v>0</v>
      </c>
      <c r="BA42" s="13">
        <v>23.1015736162555</v>
      </c>
      <c r="BB42" s="13">
        <v>0.61231806287059798</v>
      </c>
      <c r="BC42" s="13">
        <v>1.5534387993969201</v>
      </c>
      <c r="BD42" s="13">
        <v>0.53950136552274197</v>
      </c>
    </row>
    <row r="43" spans="1:56" ht="11.25" customHeight="1" x14ac:dyDescent="0.3">
      <c r="A43" s="137"/>
      <c r="B43" s="137"/>
      <c r="C43" s="137"/>
      <c r="D43" s="137"/>
      <c r="E43" s="137"/>
      <c r="F43" s="137"/>
      <c r="G43" s="18" t="s">
        <v>91</v>
      </c>
      <c r="H43" s="18" t="s">
        <v>79</v>
      </c>
      <c r="I43" s="18">
        <f>'MERCADO TUSD'!$U$40</f>
        <v>0</v>
      </c>
      <c r="J43" s="15"/>
      <c r="L43" s="13">
        <f>('TUSD BE'!$L$43+'TUSD BF'!$L$43+'TUSD CVA'!$L$43)*(1 - CUSTOS!$M$38)</f>
        <v>13.284902594890735</v>
      </c>
      <c r="M43" s="13">
        <f>('TUSD BE'!$M$43+'TUSD BF'!$M$43+'TUSD CVA'!$M$43)*(1 - CUSTOS!$M$38)</f>
        <v>0.95901510666567991</v>
      </c>
      <c r="N43" s="13">
        <f ca="1">('TUSD BE'!$N$43+'TUSD BF'!$N$43+'TUSD CVA'!$N$43)*(1 - CUSTOS!$M$38)</f>
        <v>6.4027826862337109</v>
      </c>
      <c r="O43" s="13">
        <f>('TUSD BE'!$O$43+'TUSD BF'!$O$43+'TUSD CVA'!$O$43)*(1 - CUSTOS!$M$38)</f>
        <v>0</v>
      </c>
      <c r="P43" s="13">
        <f>('TUSD BE'!$P$43+'TUSD BF'!$P$43+'TUSD CVA'!$P$43)*(1 - CUSTOS!$M$38)</f>
        <v>0</v>
      </c>
      <c r="Q43" s="13">
        <f>('TUSD BE'!$Q$43+'TUSD BF'!$Q$43+'TUSD CVA'!$Q$43)*(1 - CUSTOS!$M$38)</f>
        <v>116.69211287102333</v>
      </c>
      <c r="R43" s="13">
        <f>('TUSD BE'!$R$43+'TUSD BF'!$R$43+'TUSD CVA'!$R$43)*(1 - CUSTOS!$M$38)</f>
        <v>19.237381880504049</v>
      </c>
      <c r="S43" s="13">
        <f>('TUSD BE'!$S$43+'TUSD BF'!$S$43+'TUSD CVA'!$S$43)*(1 - CUSTOS!$M$38)</f>
        <v>0</v>
      </c>
      <c r="T43" s="13">
        <f>('TUSD BE'!$U$43+'TUSD BF'!$U$43+'TUSD CVA'!$U$43)*(1 - CUSTOS!$M$38)</f>
        <v>77.685668697986074</v>
      </c>
      <c r="U43" s="13">
        <f>('TUSD BE'!$V$43+'TUSD BF'!$V$43+'TUSD CVA'!$V$43)*(1 - CUSTOS!$M$38)</f>
        <v>36.602321906855934</v>
      </c>
      <c r="V43" s="13">
        <f>('TUSD BE'!$W$43+'TUSD BF'!$W$43+'TUSD CVA'!$W$43)*(1 - CUSTOS!$M$38)</f>
        <v>0</v>
      </c>
      <c r="W43" s="13">
        <f>('TUSD BE'!$X$43+'TUSD BF'!$X$43+'TUSD CVA'!$X$43)*(1 - CUSTOS!$M$38)</f>
        <v>0</v>
      </c>
      <c r="X43" s="13">
        <f>('TUSD BE'!$Y$43+'TUSD BF'!$Y$43+'TUSD CVA'!$Y$43)*(1 - CUSTOS!$M$38)</f>
        <v>0</v>
      </c>
      <c r="Y43" s="13">
        <f>('TUSD BE'!$Z$43+'TUSD BF'!$Z$43+'TUSD CVA'!$Z$43)*(1 - CUSTOS!$M$38)</f>
        <v>0</v>
      </c>
      <c r="Z43" s="13">
        <f>('TUSD BE'!$AA$43+'TUSD BF'!$AA$43+'TUSD CVA'!$AA$43)*(1 - CUSTOS!$M$38)</f>
        <v>0</v>
      </c>
      <c r="AA43" s="13">
        <f>('TUSD BE'!$AC$43+'TUSD BF'!$AC$43+'TUSD CVA'!$AC$43)*(1 - CUSTOS!$M$38)</f>
        <v>465.26073699877338</v>
      </c>
      <c r="AB43" s="13">
        <f ca="1">('TUSD BE'!$AE$43+'TUSD BF'!$AE$43+'TUSD CVA'!$AE$43)*(1 - CUSTOS!$M$38)</f>
        <v>-30.969085230194032</v>
      </c>
      <c r="AC43" s="13">
        <f ca="1">('TUSD BE'!$AF$43+'TUSD BF'!$AF$43+'TUSD CVA'!$AF$43)*(1 - CUSTOS!$M$38)</f>
        <v>0</v>
      </c>
      <c r="AD43" s="13">
        <f>('TUSD BE'!$AH$43+'TUSD BF'!$AH$43+'TUSD CVA'!$AH$43)*(1 - CUSTOS!$M$38)</f>
        <v>22.837470506340328</v>
      </c>
      <c r="AE43" s="13">
        <f>('TUSD BE'!$AI$43+'TUSD BF'!$AI$43+'TUSD CVA'!$AI$43)*(1 - CUSTOS!$M$38)</f>
        <v>0.67202209722237227</v>
      </c>
      <c r="AF43" s="13">
        <f ca="1">('TUSD BE'!$AJ$43+'TUSD BF'!$AJ$43+'TUSD CVA'!$AJ$43)*(1 - CUSTOS!$M$38)</f>
        <v>1.5322527500924594</v>
      </c>
      <c r="AG43" s="13">
        <f ca="1">('TUSD BE'!$AK$43+'TUSD BF'!$AK$43+'TUSD CVA'!$AK$43)*(1 - CUSTOS!$M$38)</f>
        <v>0.35638024621740644</v>
      </c>
      <c r="AI43" s="13">
        <v>11.360253304275799</v>
      </c>
      <c r="AJ43" s="13">
        <v>0.83522108998059297</v>
      </c>
      <c r="AK43" s="13">
        <v>5.4168033289392996</v>
      </c>
      <c r="AL43" s="13">
        <v>0</v>
      </c>
      <c r="AM43" s="13">
        <v>0</v>
      </c>
      <c r="AN43" s="13">
        <v>51.3769340656103</v>
      </c>
      <c r="AO43" s="13">
        <v>11.221785244509</v>
      </c>
      <c r="AP43" s="13">
        <v>0</v>
      </c>
      <c r="AQ43" s="13">
        <v>57.186184498779099</v>
      </c>
      <c r="AR43" s="13">
        <v>30.567290304844601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408.57336582068399</v>
      </c>
      <c r="AY43" s="13">
        <v>-34.567899538250202</v>
      </c>
      <c r="AZ43" s="13">
        <v>0</v>
      </c>
      <c r="BA43" s="13">
        <v>23.1015736162555</v>
      </c>
      <c r="BB43" s="13">
        <v>0.61231806287059798</v>
      </c>
      <c r="BC43" s="13">
        <v>1.5534387993969201</v>
      </c>
      <c r="BD43" s="13">
        <v>0.53950136552274197</v>
      </c>
    </row>
    <row r="44" spans="1:56" ht="11.25" customHeight="1" x14ac:dyDescent="0.3">
      <c r="A44" s="137"/>
      <c r="B44" s="137"/>
      <c r="C44" s="137"/>
      <c r="D44" s="137"/>
      <c r="E44" s="137"/>
      <c r="F44" s="137"/>
      <c r="G44" s="18" t="s">
        <v>81</v>
      </c>
      <c r="H44" s="18" t="s">
        <v>79</v>
      </c>
      <c r="I44" s="18">
        <f>'MERCADO TUSD'!$U$41</f>
        <v>0</v>
      </c>
      <c r="J44" s="15"/>
      <c r="L44" s="13">
        <f>('TUSD BE'!$L$44+'TUSD BF'!$L$44+'TUSD CVA'!$L$44)*(1 - CUSTOS!$M$38)</f>
        <v>13.284902594890735</v>
      </c>
      <c r="M44" s="13">
        <f>('TUSD BE'!$M$44+'TUSD BF'!$M$44+'TUSD CVA'!$M$44)*(1 - CUSTOS!$M$38)</f>
        <v>0.95901510666567991</v>
      </c>
      <c r="N44" s="13">
        <f ca="1">('TUSD BE'!$N$44+'TUSD BF'!$N$44+'TUSD CVA'!$N$44)*(1 - CUSTOS!$M$38)</f>
        <v>2.5135357573617334</v>
      </c>
      <c r="O44" s="13">
        <f>('TUSD BE'!$O$44+'TUSD BF'!$O$44+'TUSD CVA'!$O$44)*(1 - CUSTOS!$M$38)</f>
        <v>0</v>
      </c>
      <c r="P44" s="13">
        <f>('TUSD BE'!$P$44+'TUSD BF'!$P$44+'TUSD CVA'!$P$44)*(1 - CUSTOS!$M$38)</f>
        <v>0</v>
      </c>
      <c r="Q44" s="13">
        <f>('TUSD BE'!$Q$44+'TUSD BF'!$Q$44+'TUSD CVA'!$Q$44)*(1 - CUSTOS!$M$38)</f>
        <v>116.69211287102333</v>
      </c>
      <c r="R44" s="13">
        <f>('TUSD BE'!$R$44+'TUSD BF'!$R$44+'TUSD CVA'!$R$44)*(1 - CUSTOS!$M$38)</f>
        <v>19.237381880504049</v>
      </c>
      <c r="S44" s="13">
        <f>('TUSD BE'!$S$44+'TUSD BF'!$S$44+'TUSD CVA'!$S$44)*(1 - CUSTOS!$M$38)</f>
        <v>0</v>
      </c>
      <c r="T44" s="13">
        <f>('TUSD BE'!$U$44+'TUSD BF'!$U$44+'TUSD CVA'!$U$44)*(1 - CUSTOS!$M$38)</f>
        <v>25.895267065764372</v>
      </c>
      <c r="U44" s="13">
        <f>('TUSD BE'!$V$44+'TUSD BF'!$V$44+'TUSD CVA'!$V$44)*(1 - CUSTOS!$M$38)</f>
        <v>12.200812847206929</v>
      </c>
      <c r="V44" s="13">
        <f>('TUSD BE'!$W$44+'TUSD BF'!$W$44+'TUSD CVA'!$W$44)*(1 - CUSTOS!$M$38)</f>
        <v>0</v>
      </c>
      <c r="W44" s="13">
        <f>('TUSD BE'!$X$44+'TUSD BF'!$X$44+'TUSD CVA'!$X$44)*(1 - CUSTOS!$M$38)</f>
        <v>0</v>
      </c>
      <c r="X44" s="13">
        <f>('TUSD BE'!$Y$44+'TUSD BF'!$Y$44+'TUSD CVA'!$Y$44)*(1 - CUSTOS!$M$38)</f>
        <v>0</v>
      </c>
      <c r="Y44" s="13">
        <f>('TUSD BE'!$Z$44+'TUSD BF'!$Z$44+'TUSD CVA'!$Z$44)*(1 - CUSTOS!$M$38)</f>
        <v>0</v>
      </c>
      <c r="Z44" s="13">
        <f>('TUSD BE'!$AA$44+'TUSD BF'!$AA$44+'TUSD CVA'!$AA$44)*(1 - CUSTOS!$M$38)</f>
        <v>0</v>
      </c>
      <c r="AA44" s="13">
        <f>('TUSD BE'!$AC$44+'TUSD BF'!$AC$44+'TUSD CVA'!$AC$44)*(1 - CUSTOS!$M$38)</f>
        <v>155.08687698546393</v>
      </c>
      <c r="AB44" s="13">
        <f ca="1">('TUSD BE'!$AE$44+'TUSD BF'!$AE$44+'TUSD CVA'!$AE$44)*(1 - CUSTOS!$M$38)</f>
        <v>-14.369141416108658</v>
      </c>
      <c r="AC44" s="13">
        <f ca="1">('TUSD BE'!$AF$44+'TUSD BF'!$AF$44+'TUSD CVA'!$AF$44)*(1 - CUSTOS!$M$38)</f>
        <v>0</v>
      </c>
      <c r="AD44" s="13">
        <f>('TUSD BE'!$AH$44+'TUSD BF'!$AH$44+'TUSD CVA'!$AH$44)*(1 - CUSTOS!$M$38)</f>
        <v>22.837470506340328</v>
      </c>
      <c r="AE44" s="13">
        <f>('TUSD BE'!$AI$44+'TUSD BF'!$AI$44+'TUSD CVA'!$AI$44)*(1 - CUSTOS!$M$38)</f>
        <v>0.67202209722237227</v>
      </c>
      <c r="AF44" s="13">
        <f ca="1">('TUSD BE'!$AJ$44+'TUSD BF'!$AJ$44+'TUSD CVA'!$AJ$44)*(1 - CUSTOS!$M$38)</f>
        <v>1.5322527500924594</v>
      </c>
      <c r="AG44" s="13">
        <f ca="1">('TUSD BE'!$AK$44+'TUSD BF'!$AK$44+'TUSD CVA'!$AK$44)*(1 - CUSTOS!$M$38)</f>
        <v>0.35638024621740644</v>
      </c>
      <c r="AI44" s="13">
        <v>11.360253304275799</v>
      </c>
      <c r="AJ44" s="13">
        <v>0.83522108998059297</v>
      </c>
      <c r="AK44" s="13">
        <v>2.1251857307305899</v>
      </c>
      <c r="AL44" s="13">
        <v>0</v>
      </c>
      <c r="AM44" s="13">
        <v>0</v>
      </c>
      <c r="AN44" s="13">
        <v>51.3769340656103</v>
      </c>
      <c r="AO44" s="13">
        <v>11.221785244509</v>
      </c>
      <c r="AP44" s="13">
        <v>0</v>
      </c>
      <c r="AQ44" s="13">
        <v>19.0620940115091</v>
      </c>
      <c r="AR44" s="13">
        <v>10.189129236246499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136.191090899502</v>
      </c>
      <c r="AY44" s="13">
        <v>-15.181898660568301</v>
      </c>
      <c r="AZ44" s="13">
        <v>0</v>
      </c>
      <c r="BA44" s="13">
        <v>23.1015736162555</v>
      </c>
      <c r="BB44" s="13">
        <v>0.61231806287059798</v>
      </c>
      <c r="BC44" s="13">
        <v>1.5534387993969201</v>
      </c>
      <c r="BD44" s="13">
        <v>0.53950136552274197</v>
      </c>
    </row>
    <row r="45" spans="1:56" ht="11.25" customHeight="1" x14ac:dyDescent="0.3">
      <c r="A45" s="137"/>
      <c r="B45" s="17" t="s">
        <v>23</v>
      </c>
      <c r="C45" s="17" t="s">
        <v>44</v>
      </c>
      <c r="D45" s="17" t="s">
        <v>25</v>
      </c>
      <c r="E45" s="17" t="s">
        <v>25</v>
      </c>
      <c r="F45" s="17" t="s">
        <v>25</v>
      </c>
      <c r="G45" s="18" t="s">
        <v>83</v>
      </c>
      <c r="H45" s="18" t="s">
        <v>79</v>
      </c>
      <c r="I45" s="18">
        <f>'MERCADO TUSD'!$U$42</f>
        <v>17613.978000000003</v>
      </c>
      <c r="J45" s="15"/>
      <c r="L45" s="13">
        <f>('TUSD BE'!$L$45+'TUSD BF'!$L$45+'TUSD CVA'!$L$45)*(1 - CUSTOS!$M$38)</f>
        <v>13.284902594890735</v>
      </c>
      <c r="M45" s="13">
        <f>('TUSD BE'!$M$45+'TUSD BF'!$M$45+'TUSD CVA'!$M$45)*(1 - CUSTOS!$M$38)</f>
        <v>0.95901510666567991</v>
      </c>
      <c r="N45" s="13">
        <f ca="1">('TUSD BE'!$N$45+'TUSD BF'!$N$45+'TUSD CVA'!$N$45)*(1 - CUSTOS!$M$38)</f>
        <v>3.5153109966792142</v>
      </c>
      <c r="O45" s="13">
        <f>('TUSD BE'!$O$45+'TUSD BF'!$O$45+'TUSD CVA'!$O$45)*(1 - CUSTOS!$M$38)</f>
        <v>0</v>
      </c>
      <c r="P45" s="13">
        <f>('TUSD BE'!$P$45+'TUSD BF'!$P$45+'TUSD CVA'!$P$45)*(1 - CUSTOS!$M$38)</f>
        <v>0</v>
      </c>
      <c r="Q45" s="13">
        <f>('TUSD BE'!$Q$45+'TUSD BF'!$Q$45+'TUSD CVA'!$Q$45)*(1 - CUSTOS!$M$38)</f>
        <v>116.69211287102333</v>
      </c>
      <c r="R45" s="13">
        <f>('TUSD BE'!$R$45+'TUSD BF'!$R$45+'TUSD CVA'!$R$45)*(1 - CUSTOS!$M$38)</f>
        <v>19.237381880504049</v>
      </c>
      <c r="S45" s="13">
        <f>('TUSD BE'!$S$45+'TUSD BF'!$S$45+'TUSD CVA'!$S$45)*(1 - CUSTOS!$M$38)</f>
        <v>0</v>
      </c>
      <c r="T45" s="13">
        <f>('TUSD BE'!$U$45+'TUSD BF'!$U$45+'TUSD CVA'!$U$45)*(1 - CUSTOS!$M$38)</f>
        <v>39.235164797074667</v>
      </c>
      <c r="U45" s="13">
        <f>('TUSD BE'!$V$45+'TUSD BF'!$V$45+'TUSD CVA'!$V$45)*(1 - CUSTOS!$M$38)</f>
        <v>18.486027055723444</v>
      </c>
      <c r="V45" s="13">
        <f>('TUSD BE'!$W$45+'TUSD BF'!$W$45+'TUSD CVA'!$W$45)*(1 - CUSTOS!$M$38)</f>
        <v>0</v>
      </c>
      <c r="W45" s="13">
        <f>('TUSD BE'!$X$45+'TUSD BF'!$X$45+'TUSD CVA'!$X$45)*(1 - CUSTOS!$M$38)</f>
        <v>0</v>
      </c>
      <c r="X45" s="13">
        <f>('TUSD BE'!$Y$45+'TUSD BF'!$Y$45+'TUSD CVA'!$Y$45)*(1 - CUSTOS!$M$38)</f>
        <v>0</v>
      </c>
      <c r="Y45" s="13">
        <f>('TUSD BE'!$Z$45+'TUSD BF'!$Z$45+'TUSD CVA'!$Z$45)*(1 - CUSTOS!$M$38)</f>
        <v>0</v>
      </c>
      <c r="Z45" s="13">
        <f>('TUSD BE'!$AA$45+'TUSD BF'!$AA$45+'TUSD CVA'!$AA$45)*(1 - CUSTOS!$M$38)</f>
        <v>0</v>
      </c>
      <c r="AA45" s="13">
        <f>('TUSD BE'!$AC$45+'TUSD BF'!$AC$45+'TUSD CVA'!$AC$45)*(1 - CUSTOS!$M$38)</f>
        <v>234.98016163231935</v>
      </c>
      <c r="AB45" s="13">
        <f ca="1">('TUSD BE'!$AE$45+'TUSD BF'!$AE$45+'TUSD CVA'!$AE$45)*(1 - CUSTOS!$M$38)</f>
        <v>-18.644882190557684</v>
      </c>
      <c r="AC45" s="13">
        <f ca="1">('TUSD BE'!$AF$45+'TUSD BF'!$AF$45+'TUSD CVA'!$AF$45)*(1 - CUSTOS!$M$38)</f>
        <v>0</v>
      </c>
      <c r="AD45" s="13">
        <f>('TUSD BE'!$AH$45+'TUSD BF'!$AH$45+'TUSD CVA'!$AH$45)*(1 - CUSTOS!$M$38)</f>
        <v>22.837470506340328</v>
      </c>
      <c r="AE45" s="13">
        <f>('TUSD BE'!$AI$45+'TUSD BF'!$AI$45+'TUSD CVA'!$AI$45)*(1 - CUSTOS!$M$38)</f>
        <v>0.67202209722237227</v>
      </c>
      <c r="AF45" s="13">
        <f ca="1">('TUSD BE'!$AJ$45+'TUSD BF'!$AJ$45+'TUSD CVA'!$AJ$45)*(1 - CUSTOS!$M$38)</f>
        <v>1.5322527500924594</v>
      </c>
      <c r="AG45" s="13">
        <f ca="1">('TUSD BE'!$AK$45+'TUSD BF'!$AK$45+'TUSD CVA'!$AK$45)*(1 - CUSTOS!$M$38)</f>
        <v>0.35638024621740644</v>
      </c>
      <c r="AI45" s="13">
        <v>11.360253304275799</v>
      </c>
      <c r="AJ45" s="13">
        <v>0.83522108998059297</v>
      </c>
      <c r="AK45" s="13">
        <v>2.9730262169461401</v>
      </c>
      <c r="AL45" s="13">
        <v>0</v>
      </c>
      <c r="AM45" s="13">
        <v>0</v>
      </c>
      <c r="AN45" s="13">
        <v>51.3769340656103</v>
      </c>
      <c r="AO45" s="13">
        <v>11.221785244509</v>
      </c>
      <c r="AP45" s="13">
        <v>0</v>
      </c>
      <c r="AQ45" s="13">
        <v>28.8818955996665</v>
      </c>
      <c r="AR45" s="13">
        <v>15.4380303258758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206.35017723289701</v>
      </c>
      <c r="AY45" s="13">
        <v>-20.1752599705002</v>
      </c>
      <c r="AZ45" s="13">
        <v>0</v>
      </c>
      <c r="BA45" s="13">
        <v>23.1015736162555</v>
      </c>
      <c r="BB45" s="13">
        <v>0.61231806287059798</v>
      </c>
      <c r="BC45" s="13">
        <v>1.5534387993969201</v>
      </c>
      <c r="BD45" s="13">
        <v>0.53950136552274197</v>
      </c>
    </row>
    <row r="46" spans="1:56" ht="11.25" customHeight="1" x14ac:dyDescent="0.3">
      <c r="A46" s="137"/>
      <c r="B46" s="137" t="s">
        <v>33</v>
      </c>
      <c r="C46" s="137" t="s">
        <v>44</v>
      </c>
      <c r="D46" s="137" t="s">
        <v>94</v>
      </c>
      <c r="E46" s="137" t="s">
        <v>25</v>
      </c>
      <c r="F46" s="137" t="s">
        <v>25</v>
      </c>
      <c r="G46" s="18" t="s">
        <v>80</v>
      </c>
      <c r="H46" s="18" t="s">
        <v>79</v>
      </c>
      <c r="I46" s="18">
        <f>'MERCADO TUSD'!$U$43</f>
        <v>0</v>
      </c>
      <c r="J46" s="15"/>
      <c r="L46" s="13">
        <f>('TUSD BE'!$L$46+'TUSD BF'!$L$46+'TUSD CVA'!$L$46)*(1 - CUSTOS!$M$39)</f>
        <v>13.284902594890735</v>
      </c>
      <c r="M46" s="13">
        <f>('TUSD BE'!$M$46+'TUSD BF'!$M$46+'TUSD CVA'!$M$46)*(1 - CUSTOS!$M$39)</f>
        <v>0.95901510666567991</v>
      </c>
      <c r="N46" s="13">
        <f ca="1">('TUSD BE'!$N$46+'TUSD BF'!$N$46+'TUSD CVA'!$N$46)*(1 - CUSTOS!$M$39)</f>
        <v>10.29202961510569</v>
      </c>
      <c r="O46" s="13">
        <f>('TUSD BE'!$O$46+'TUSD BF'!$O$46+'TUSD CVA'!$O$46)*(1 - CUSTOS!$M$39)</f>
        <v>0</v>
      </c>
      <c r="P46" s="13">
        <f>('TUSD BE'!$P$46+'TUSD BF'!$P$46+'TUSD CVA'!$P$46)*(1 - CUSTOS!$M$39)</f>
        <v>0</v>
      </c>
      <c r="Q46" s="13">
        <f>('TUSD BE'!$Q$46+'TUSD BF'!$Q$46+'TUSD CVA'!$Q$46)*(1 - CUSTOS!$M$39)</f>
        <v>116.69211287102333</v>
      </c>
      <c r="R46" s="13">
        <f>('TUSD BE'!$R$46+'TUSD BF'!$R$46+'TUSD CVA'!$R$46)*(1 - CUSTOS!$M$39)</f>
        <v>19.237381880504049</v>
      </c>
      <c r="S46" s="13">
        <f>('TUSD BE'!$S$46+'TUSD BF'!$S$46+'TUSD CVA'!$S$46)*(1 - CUSTOS!$M$39)</f>
        <v>0</v>
      </c>
      <c r="T46" s="13">
        <f>('TUSD BE'!$U$46+'TUSD BF'!$U$46+'TUSD CVA'!$U$46)*(1 - CUSTOS!$M$39)</f>
        <v>129.47607033020782</v>
      </c>
      <c r="U46" s="13">
        <f>('TUSD BE'!$V$46+'TUSD BF'!$V$46+'TUSD CVA'!$V$46)*(1 - CUSTOS!$M$39)</f>
        <v>61.003830966504943</v>
      </c>
      <c r="V46" s="13">
        <f>('TUSD BE'!$W$46+'TUSD BF'!$W$46+'TUSD CVA'!$W$46)*(1 - CUSTOS!$M$39)</f>
        <v>0</v>
      </c>
      <c r="W46" s="13">
        <f>('TUSD BE'!$X$46+'TUSD BF'!$X$46+'TUSD CVA'!$X$46)*(1 - CUSTOS!$M$39)</f>
        <v>0</v>
      </c>
      <c r="X46" s="13">
        <f>('TUSD BE'!$Y$46+'TUSD BF'!$Y$46+'TUSD CVA'!$Y$46)*(1 - CUSTOS!$M$39)</f>
        <v>0</v>
      </c>
      <c r="Y46" s="13">
        <f>('TUSD BE'!$Z$46+'TUSD BF'!$Z$46+'TUSD CVA'!$Z$46)*(1 - CUSTOS!$M$39)</f>
        <v>0</v>
      </c>
      <c r="Z46" s="13">
        <f>('TUSD BE'!$AA$46+'TUSD BF'!$AA$46+'TUSD CVA'!$AA$46)*(1 - CUSTOS!$M$39)</f>
        <v>0</v>
      </c>
      <c r="AA46" s="13">
        <f>('TUSD BE'!$AC$46+'TUSD BF'!$AC$46+'TUSD CVA'!$AC$46)*(1 - CUSTOS!$M$39)</f>
        <v>775.4345970120828</v>
      </c>
      <c r="AB46" s="13">
        <f ca="1">('TUSD BE'!$AE$46+'TUSD BF'!$AE$46+'TUSD CVA'!$AE$46)*(1 - CUSTOS!$M$39)</f>
        <v>-47.569029044279397</v>
      </c>
      <c r="AC46" s="13">
        <f ca="1">('TUSD BE'!$AF$46+'TUSD BF'!$AF$46+'TUSD CVA'!$AF$46)*(1 - CUSTOS!$M$39)</f>
        <v>0</v>
      </c>
      <c r="AD46" s="13">
        <f>('TUSD BE'!$AH$46+'TUSD BF'!$AH$46+'TUSD CVA'!$AH$46)*(1 - CUSTOS!$M$39)</f>
        <v>22.837470506340328</v>
      </c>
      <c r="AE46" s="13">
        <f>('TUSD BE'!$AI$46+'TUSD BF'!$AI$46+'TUSD CVA'!$AI$46)*(1 - CUSTOS!$M$39)</f>
        <v>0.67202209722237227</v>
      </c>
      <c r="AF46" s="13">
        <f ca="1">('TUSD BE'!$AJ$46+'TUSD BF'!$AJ$46+'TUSD CVA'!$AJ$46)*(1 - CUSTOS!$M$39)</f>
        <v>1.5322527500924594</v>
      </c>
      <c r="AG46" s="13">
        <f ca="1">('TUSD BE'!$AK$46+'TUSD BF'!$AK$46+'TUSD CVA'!$AK$46)*(1 - CUSTOS!$M$39)</f>
        <v>0.35638024621740644</v>
      </c>
      <c r="AI46" s="13">
        <v>11.360253304275799</v>
      </c>
      <c r="AJ46" s="13">
        <v>0.83522108998059297</v>
      </c>
      <c r="AK46" s="13">
        <v>8.7084209271480209</v>
      </c>
      <c r="AL46" s="13">
        <v>0</v>
      </c>
      <c r="AM46" s="13">
        <v>0</v>
      </c>
      <c r="AN46" s="13">
        <v>51.3769340656103</v>
      </c>
      <c r="AO46" s="13">
        <v>11.221785244509</v>
      </c>
      <c r="AP46" s="13">
        <v>0</v>
      </c>
      <c r="AQ46" s="13">
        <v>95.310274986049095</v>
      </c>
      <c r="AR46" s="13">
        <v>50.945451373442602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680.95564074186495</v>
      </c>
      <c r="AY46" s="13">
        <v>-53.953900415932203</v>
      </c>
      <c r="AZ46" s="13">
        <v>0</v>
      </c>
      <c r="BA46" s="13">
        <v>23.1015736162555</v>
      </c>
      <c r="BB46" s="13">
        <v>0.61231806287059798</v>
      </c>
      <c r="BC46" s="13">
        <v>1.5534387993969201</v>
      </c>
      <c r="BD46" s="13">
        <v>0.53950136552274197</v>
      </c>
    </row>
    <row r="47" spans="1:56" ht="11.25" customHeight="1" x14ac:dyDescent="0.3">
      <c r="A47" s="137"/>
      <c r="B47" s="137"/>
      <c r="C47" s="137"/>
      <c r="D47" s="137"/>
      <c r="E47" s="137"/>
      <c r="F47" s="137"/>
      <c r="G47" s="18" t="s">
        <v>91</v>
      </c>
      <c r="H47" s="18" t="s">
        <v>79</v>
      </c>
      <c r="I47" s="18">
        <f>'MERCADO TUSD'!$U$44</f>
        <v>0</v>
      </c>
      <c r="J47" s="15"/>
      <c r="L47" s="13">
        <f>('TUSD BE'!$L$47+'TUSD BF'!$L$47+'TUSD CVA'!$L$47)*(1 - CUSTOS!$M$39)</f>
        <v>13.284902594890735</v>
      </c>
      <c r="M47" s="13">
        <f>('TUSD BE'!$M$47+'TUSD BF'!$M$47+'TUSD CVA'!$M$47)*(1 - CUSTOS!$M$39)</f>
        <v>0.95901510666567991</v>
      </c>
      <c r="N47" s="13">
        <f ca="1">('TUSD BE'!$N$47+'TUSD BF'!$N$47+'TUSD CVA'!$N$47)*(1 - CUSTOS!$M$39)</f>
        <v>6.4027826862337109</v>
      </c>
      <c r="O47" s="13">
        <f>('TUSD BE'!$O$47+'TUSD BF'!$O$47+'TUSD CVA'!$O$47)*(1 - CUSTOS!$M$39)</f>
        <v>0</v>
      </c>
      <c r="P47" s="13">
        <f>('TUSD BE'!$P$47+'TUSD BF'!$P$47+'TUSD CVA'!$P$47)*(1 - CUSTOS!$M$39)</f>
        <v>0</v>
      </c>
      <c r="Q47" s="13">
        <f>('TUSD BE'!$Q$47+'TUSD BF'!$Q$47+'TUSD CVA'!$Q$47)*(1 - CUSTOS!$M$39)</f>
        <v>116.69211287102333</v>
      </c>
      <c r="R47" s="13">
        <f>('TUSD BE'!$R$47+'TUSD BF'!$R$47+'TUSD CVA'!$R$47)*(1 - CUSTOS!$M$39)</f>
        <v>19.237381880504049</v>
      </c>
      <c r="S47" s="13">
        <f>('TUSD BE'!$S$47+'TUSD BF'!$S$47+'TUSD CVA'!$S$47)*(1 - CUSTOS!$M$39)</f>
        <v>0</v>
      </c>
      <c r="T47" s="13">
        <f>('TUSD BE'!$U$47+'TUSD BF'!$U$47+'TUSD CVA'!$U$47)*(1 - CUSTOS!$M$39)</f>
        <v>77.685668697986074</v>
      </c>
      <c r="U47" s="13">
        <f>('TUSD BE'!$V$47+'TUSD BF'!$V$47+'TUSD CVA'!$V$47)*(1 - CUSTOS!$M$39)</f>
        <v>36.602321906855934</v>
      </c>
      <c r="V47" s="13">
        <f>('TUSD BE'!$W$47+'TUSD BF'!$W$47+'TUSD CVA'!$W$47)*(1 - CUSTOS!$M$39)</f>
        <v>0</v>
      </c>
      <c r="W47" s="13">
        <f>('TUSD BE'!$X$47+'TUSD BF'!$X$47+'TUSD CVA'!$X$47)*(1 - CUSTOS!$M$39)</f>
        <v>0</v>
      </c>
      <c r="X47" s="13">
        <f>('TUSD BE'!$Y$47+'TUSD BF'!$Y$47+'TUSD CVA'!$Y$47)*(1 - CUSTOS!$M$39)</f>
        <v>0</v>
      </c>
      <c r="Y47" s="13">
        <f>('TUSD BE'!$Z$47+'TUSD BF'!$Z$47+'TUSD CVA'!$Z$47)*(1 - CUSTOS!$M$39)</f>
        <v>0</v>
      </c>
      <c r="Z47" s="13">
        <f>('TUSD BE'!$AA$47+'TUSD BF'!$AA$47+'TUSD CVA'!$AA$47)*(1 - CUSTOS!$M$39)</f>
        <v>0</v>
      </c>
      <c r="AA47" s="13">
        <f>('TUSD BE'!$AC$47+'TUSD BF'!$AC$47+'TUSD CVA'!$AC$47)*(1 - CUSTOS!$M$39)</f>
        <v>465.26073699877338</v>
      </c>
      <c r="AB47" s="13">
        <f ca="1">('TUSD BE'!$AE$47+'TUSD BF'!$AE$47+'TUSD CVA'!$AE$47)*(1 - CUSTOS!$M$39)</f>
        <v>-30.969085230194032</v>
      </c>
      <c r="AC47" s="13">
        <f ca="1">('TUSD BE'!$AF$47+'TUSD BF'!$AF$47+'TUSD CVA'!$AF$47)*(1 - CUSTOS!$M$39)</f>
        <v>0</v>
      </c>
      <c r="AD47" s="13">
        <f>('TUSD BE'!$AH$47+'TUSD BF'!$AH$47+'TUSD CVA'!$AH$47)*(1 - CUSTOS!$M$39)</f>
        <v>22.837470506340328</v>
      </c>
      <c r="AE47" s="13">
        <f>('TUSD BE'!$AI$47+'TUSD BF'!$AI$47+'TUSD CVA'!$AI$47)*(1 - CUSTOS!$M$39)</f>
        <v>0.67202209722237227</v>
      </c>
      <c r="AF47" s="13">
        <f ca="1">('TUSD BE'!$AJ$47+'TUSD BF'!$AJ$47+'TUSD CVA'!$AJ$47)*(1 - CUSTOS!$M$39)</f>
        <v>1.5322527500924594</v>
      </c>
      <c r="AG47" s="13">
        <f ca="1">('TUSD BE'!$AK$47+'TUSD BF'!$AK$47+'TUSD CVA'!$AK$47)*(1 - CUSTOS!$M$39)</f>
        <v>0.35638024621740644</v>
      </c>
      <c r="AI47" s="13">
        <v>11.360253304275799</v>
      </c>
      <c r="AJ47" s="13">
        <v>0.83522108998059297</v>
      </c>
      <c r="AK47" s="13">
        <v>5.4168033289392996</v>
      </c>
      <c r="AL47" s="13">
        <v>0</v>
      </c>
      <c r="AM47" s="13">
        <v>0</v>
      </c>
      <c r="AN47" s="13">
        <v>51.3769340656103</v>
      </c>
      <c r="AO47" s="13">
        <v>11.221785244509</v>
      </c>
      <c r="AP47" s="13">
        <v>0</v>
      </c>
      <c r="AQ47" s="13">
        <v>57.186184498779099</v>
      </c>
      <c r="AR47" s="13">
        <v>30.567290304844601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408.57336582068399</v>
      </c>
      <c r="AY47" s="13">
        <v>-34.567899538250202</v>
      </c>
      <c r="AZ47" s="13">
        <v>0</v>
      </c>
      <c r="BA47" s="13">
        <v>23.1015736162555</v>
      </c>
      <c r="BB47" s="13">
        <v>0.61231806287059798</v>
      </c>
      <c r="BC47" s="13">
        <v>1.5534387993969201</v>
      </c>
      <c r="BD47" s="13">
        <v>0.53950136552274197</v>
      </c>
    </row>
    <row r="48" spans="1:56" ht="11.25" customHeight="1" x14ac:dyDescent="0.3">
      <c r="A48" s="137"/>
      <c r="B48" s="137"/>
      <c r="C48" s="137"/>
      <c r="D48" s="137"/>
      <c r="E48" s="137"/>
      <c r="F48" s="137"/>
      <c r="G48" s="18" t="s">
        <v>81</v>
      </c>
      <c r="H48" s="18" t="s">
        <v>79</v>
      </c>
      <c r="I48" s="18">
        <f>'MERCADO TUSD'!$U$45</f>
        <v>0</v>
      </c>
      <c r="J48" s="15"/>
      <c r="L48" s="13">
        <f>('TUSD BE'!$L$48+'TUSD BF'!$L$48+'TUSD CVA'!$L$48)*(1 - CUSTOS!$M$39)</f>
        <v>13.284902594890735</v>
      </c>
      <c r="M48" s="13">
        <f>('TUSD BE'!$M$48+'TUSD BF'!$M$48+'TUSD CVA'!$M$48)*(1 - CUSTOS!$M$39)</f>
        <v>0.95901510666567991</v>
      </c>
      <c r="N48" s="13">
        <f ca="1">('TUSD BE'!$N$48+'TUSD BF'!$N$48+'TUSD CVA'!$N$48)*(1 - CUSTOS!$M$39)</f>
        <v>2.5135357573617334</v>
      </c>
      <c r="O48" s="13">
        <f>('TUSD BE'!$O$48+'TUSD BF'!$O$48+'TUSD CVA'!$O$48)*(1 - CUSTOS!$M$39)</f>
        <v>0</v>
      </c>
      <c r="P48" s="13">
        <f>('TUSD BE'!$P$48+'TUSD BF'!$P$48+'TUSD CVA'!$P$48)*(1 - CUSTOS!$M$39)</f>
        <v>0</v>
      </c>
      <c r="Q48" s="13">
        <f>('TUSD BE'!$Q$48+'TUSD BF'!$Q$48+'TUSD CVA'!$Q$48)*(1 - CUSTOS!$M$39)</f>
        <v>116.69211287102333</v>
      </c>
      <c r="R48" s="13">
        <f>('TUSD BE'!$R$48+'TUSD BF'!$R$48+'TUSD CVA'!$R$48)*(1 - CUSTOS!$M$39)</f>
        <v>19.237381880504049</v>
      </c>
      <c r="S48" s="13">
        <f>('TUSD BE'!$S$48+'TUSD BF'!$S$48+'TUSD CVA'!$S$48)*(1 - CUSTOS!$M$39)</f>
        <v>0</v>
      </c>
      <c r="T48" s="13">
        <f>('TUSD BE'!$U$48+'TUSD BF'!$U$48+'TUSD CVA'!$U$48)*(1 - CUSTOS!$M$39)</f>
        <v>25.895267065764372</v>
      </c>
      <c r="U48" s="13">
        <f>('TUSD BE'!$V$48+'TUSD BF'!$V$48+'TUSD CVA'!$V$48)*(1 - CUSTOS!$M$39)</f>
        <v>12.200812847206929</v>
      </c>
      <c r="V48" s="13">
        <f>('TUSD BE'!$W$48+'TUSD BF'!$W$48+'TUSD CVA'!$W$48)*(1 - CUSTOS!$M$39)</f>
        <v>0</v>
      </c>
      <c r="W48" s="13">
        <f>('TUSD BE'!$X$48+'TUSD BF'!$X$48+'TUSD CVA'!$X$48)*(1 - CUSTOS!$M$39)</f>
        <v>0</v>
      </c>
      <c r="X48" s="13">
        <f>('TUSD BE'!$Y$48+'TUSD BF'!$Y$48+'TUSD CVA'!$Y$48)*(1 - CUSTOS!$M$39)</f>
        <v>0</v>
      </c>
      <c r="Y48" s="13">
        <f>('TUSD BE'!$Z$48+'TUSD BF'!$Z$48+'TUSD CVA'!$Z$48)*(1 - CUSTOS!$M$39)</f>
        <v>0</v>
      </c>
      <c r="Z48" s="13">
        <f>('TUSD BE'!$AA$48+'TUSD BF'!$AA$48+'TUSD CVA'!$AA$48)*(1 - CUSTOS!$M$39)</f>
        <v>0</v>
      </c>
      <c r="AA48" s="13">
        <f>('TUSD BE'!$AC$48+'TUSD BF'!$AC$48+'TUSD CVA'!$AC$48)*(1 - CUSTOS!$M$39)</f>
        <v>155.08687698546393</v>
      </c>
      <c r="AB48" s="13">
        <f ca="1">('TUSD BE'!$AE$48+'TUSD BF'!$AE$48+'TUSD CVA'!$AE$48)*(1 - CUSTOS!$M$39)</f>
        <v>-14.369141416108658</v>
      </c>
      <c r="AC48" s="13">
        <f ca="1">('TUSD BE'!$AF$48+'TUSD BF'!$AF$48+'TUSD CVA'!$AF$48)*(1 - CUSTOS!$M$39)</f>
        <v>0</v>
      </c>
      <c r="AD48" s="13">
        <f>('TUSD BE'!$AH$48+'TUSD BF'!$AH$48+'TUSD CVA'!$AH$48)*(1 - CUSTOS!$M$39)</f>
        <v>22.837470506340328</v>
      </c>
      <c r="AE48" s="13">
        <f>('TUSD BE'!$AI$48+'TUSD BF'!$AI$48+'TUSD CVA'!$AI$48)*(1 - CUSTOS!$M$39)</f>
        <v>0.67202209722237227</v>
      </c>
      <c r="AF48" s="13">
        <f ca="1">('TUSD BE'!$AJ$48+'TUSD BF'!$AJ$48+'TUSD CVA'!$AJ$48)*(1 - CUSTOS!$M$39)</f>
        <v>1.5322527500924594</v>
      </c>
      <c r="AG48" s="13">
        <f ca="1">('TUSD BE'!$AK$48+'TUSD BF'!$AK$48+'TUSD CVA'!$AK$48)*(1 - CUSTOS!$M$39)</f>
        <v>0.35638024621740644</v>
      </c>
      <c r="AI48" s="13">
        <v>11.360253304275799</v>
      </c>
      <c r="AJ48" s="13">
        <v>0.83522108998059297</v>
      </c>
      <c r="AK48" s="13">
        <v>2.1251857307305899</v>
      </c>
      <c r="AL48" s="13">
        <v>0</v>
      </c>
      <c r="AM48" s="13">
        <v>0</v>
      </c>
      <c r="AN48" s="13">
        <v>51.3769340656103</v>
      </c>
      <c r="AO48" s="13">
        <v>11.221785244509</v>
      </c>
      <c r="AP48" s="13">
        <v>0</v>
      </c>
      <c r="AQ48" s="13">
        <v>19.0620940115091</v>
      </c>
      <c r="AR48" s="13">
        <v>10.189129236246499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136.191090899502</v>
      </c>
      <c r="AY48" s="13">
        <v>-15.181898660568301</v>
      </c>
      <c r="AZ48" s="13">
        <v>0</v>
      </c>
      <c r="BA48" s="13">
        <v>23.1015736162555</v>
      </c>
      <c r="BB48" s="13">
        <v>0.61231806287059798</v>
      </c>
      <c r="BC48" s="13">
        <v>1.5534387993969201</v>
      </c>
      <c r="BD48" s="13">
        <v>0.53950136552274197</v>
      </c>
    </row>
    <row r="49" spans="1:56" ht="11.25" customHeight="1" x14ac:dyDescent="0.3">
      <c r="A49" s="137"/>
      <c r="B49" s="17" t="s">
        <v>23</v>
      </c>
      <c r="C49" s="17" t="s">
        <v>44</v>
      </c>
      <c r="D49" s="17" t="s">
        <v>94</v>
      </c>
      <c r="E49" s="17" t="s">
        <v>25</v>
      </c>
      <c r="F49" s="17" t="s">
        <v>25</v>
      </c>
      <c r="G49" s="18" t="s">
        <v>83</v>
      </c>
      <c r="H49" s="18" t="s">
        <v>79</v>
      </c>
      <c r="I49" s="18">
        <f>'MERCADO TUSD'!$U$46</f>
        <v>0</v>
      </c>
      <c r="J49" s="15"/>
      <c r="L49" s="13">
        <f>('TUSD BE'!$L$49+'TUSD BF'!$L$49+'TUSD CVA'!$L$49)*(1 - CUSTOS!$M$39)</f>
        <v>13.284902594890735</v>
      </c>
      <c r="M49" s="13">
        <f>('TUSD BE'!$M$49+'TUSD BF'!$M$49+'TUSD CVA'!$M$49)*(1 - CUSTOS!$M$39)</f>
        <v>0.95901510666567991</v>
      </c>
      <c r="N49" s="13">
        <f ca="1">('TUSD BE'!$N$49+'TUSD BF'!$N$49+'TUSD CVA'!$N$49)*(1 - CUSTOS!$M$39)</f>
        <v>3.5153109966792142</v>
      </c>
      <c r="O49" s="13">
        <f>('TUSD BE'!$O$49+'TUSD BF'!$O$49+'TUSD CVA'!$O$49)*(1 - CUSTOS!$M$39)</f>
        <v>0</v>
      </c>
      <c r="P49" s="13">
        <f>('TUSD BE'!$P$49+'TUSD BF'!$P$49+'TUSD CVA'!$P$49)*(1 - CUSTOS!$M$39)</f>
        <v>0</v>
      </c>
      <c r="Q49" s="13">
        <f>('TUSD BE'!$Q$49+'TUSD BF'!$Q$49+'TUSD CVA'!$Q$49)*(1 - CUSTOS!$M$39)</f>
        <v>116.69211287102333</v>
      </c>
      <c r="R49" s="13">
        <f>('TUSD BE'!$R$49+'TUSD BF'!$R$49+'TUSD CVA'!$R$49)*(1 - CUSTOS!$M$39)</f>
        <v>19.237381880504049</v>
      </c>
      <c r="S49" s="13">
        <f>('TUSD BE'!$S$49+'TUSD BF'!$S$49+'TUSD CVA'!$S$49)*(1 - CUSTOS!$M$39)</f>
        <v>0</v>
      </c>
      <c r="T49" s="13">
        <f>('TUSD BE'!$U$49+'TUSD BF'!$U$49+'TUSD CVA'!$U$49)*(1 - CUSTOS!$M$39)</f>
        <v>39.235164797074667</v>
      </c>
      <c r="U49" s="13">
        <f>('TUSD BE'!$V$49+'TUSD BF'!$V$49+'TUSD CVA'!$V$49)*(1 - CUSTOS!$M$39)</f>
        <v>18.486027055723444</v>
      </c>
      <c r="V49" s="13">
        <f>('TUSD BE'!$W$49+'TUSD BF'!$W$49+'TUSD CVA'!$W$49)*(1 - CUSTOS!$M$39)</f>
        <v>0</v>
      </c>
      <c r="W49" s="13">
        <f>('TUSD BE'!$X$49+'TUSD BF'!$X$49+'TUSD CVA'!$X$49)*(1 - CUSTOS!$M$39)</f>
        <v>0</v>
      </c>
      <c r="X49" s="13">
        <f>('TUSD BE'!$Y$49+'TUSD BF'!$Y$49+'TUSD CVA'!$Y$49)*(1 - CUSTOS!$M$39)</f>
        <v>0</v>
      </c>
      <c r="Y49" s="13">
        <f>('TUSD BE'!$Z$49+'TUSD BF'!$Z$49+'TUSD CVA'!$Z$49)*(1 - CUSTOS!$M$39)</f>
        <v>0</v>
      </c>
      <c r="Z49" s="13">
        <f>('TUSD BE'!$AA$49+'TUSD BF'!$AA$49+'TUSD CVA'!$AA$49)*(1 - CUSTOS!$M$39)</f>
        <v>0</v>
      </c>
      <c r="AA49" s="13">
        <f>('TUSD BE'!$AC$49+'TUSD BF'!$AC$49+'TUSD CVA'!$AC$49)*(1 - CUSTOS!$M$39)</f>
        <v>234.98016163231935</v>
      </c>
      <c r="AB49" s="13">
        <f ca="1">('TUSD BE'!$AE$49+'TUSD BF'!$AE$49+'TUSD CVA'!$AE$49)*(1 - CUSTOS!$M$39)</f>
        <v>-18.644882190557684</v>
      </c>
      <c r="AC49" s="13">
        <f ca="1">('TUSD BE'!$AF$49+'TUSD BF'!$AF$49+'TUSD CVA'!$AF$49)*(1 - CUSTOS!$M$39)</f>
        <v>0</v>
      </c>
      <c r="AD49" s="13">
        <f>('TUSD BE'!$AH$49+'TUSD BF'!$AH$49+'TUSD CVA'!$AH$49)*(1 - CUSTOS!$M$39)</f>
        <v>22.837470506340328</v>
      </c>
      <c r="AE49" s="13">
        <f>('TUSD BE'!$AI$49+'TUSD BF'!$AI$49+'TUSD CVA'!$AI$49)*(1 - CUSTOS!$M$39)</f>
        <v>0.67202209722237227</v>
      </c>
      <c r="AF49" s="13">
        <f ca="1">('TUSD BE'!$AJ$49+'TUSD BF'!$AJ$49+'TUSD CVA'!$AJ$49)*(1 - CUSTOS!$M$39)</f>
        <v>1.5322527500924594</v>
      </c>
      <c r="AG49" s="13">
        <f ca="1">('TUSD BE'!$AK$49+'TUSD BF'!$AK$49+'TUSD CVA'!$AK$49)*(1 - CUSTOS!$M$39)</f>
        <v>0.35638024621740644</v>
      </c>
      <c r="AI49" s="13">
        <v>11.360253304275799</v>
      </c>
      <c r="AJ49" s="13">
        <v>0.83522108998059297</v>
      </c>
      <c r="AK49" s="13">
        <v>2.9730262169461401</v>
      </c>
      <c r="AL49" s="13">
        <v>0</v>
      </c>
      <c r="AM49" s="13">
        <v>0</v>
      </c>
      <c r="AN49" s="13">
        <v>51.3769340656103</v>
      </c>
      <c r="AO49" s="13">
        <v>11.221785244509</v>
      </c>
      <c r="AP49" s="13">
        <v>0</v>
      </c>
      <c r="AQ49" s="13">
        <v>28.8818955996665</v>
      </c>
      <c r="AR49" s="13">
        <v>15.4380303258758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206.35017723289701</v>
      </c>
      <c r="AY49" s="13">
        <v>-20.1752599705002</v>
      </c>
      <c r="AZ49" s="13">
        <v>0</v>
      </c>
      <c r="BA49" s="13">
        <v>23.1015736162555</v>
      </c>
      <c r="BB49" s="13">
        <v>0.61231806287059798</v>
      </c>
      <c r="BC49" s="13">
        <v>1.5534387993969201</v>
      </c>
      <c r="BD49" s="13">
        <v>0.53950136552274197</v>
      </c>
    </row>
    <row r="50" spans="1:56" ht="11.25" customHeight="1" x14ac:dyDescent="0.3">
      <c r="A50" s="137"/>
      <c r="B50" s="137" t="s">
        <v>33</v>
      </c>
      <c r="C50" s="137" t="s">
        <v>44</v>
      </c>
      <c r="D50" s="137" t="s">
        <v>95</v>
      </c>
      <c r="E50" s="137" t="s">
        <v>25</v>
      </c>
      <c r="F50" s="137" t="s">
        <v>25</v>
      </c>
      <c r="G50" s="18" t="s">
        <v>80</v>
      </c>
      <c r="H50" s="18" t="s">
        <v>79</v>
      </c>
      <c r="I50" s="18">
        <f>'MERCADO TUSD'!$U$47</f>
        <v>0</v>
      </c>
      <c r="J50" s="15"/>
      <c r="L50" s="13">
        <f>('TUSD BE'!$L$50+'TUSD BF'!$L$50+'TUSD CVA'!$L$50)*(1 - CUSTOS!$M$40)</f>
        <v>13.002245092871783</v>
      </c>
      <c r="M50" s="13">
        <f>('TUSD BE'!$M$50+'TUSD BF'!$M$50+'TUSD CVA'!$M$50)*(1 - CUSTOS!$M$40)</f>
        <v>0.93861052992811234</v>
      </c>
      <c r="N50" s="13">
        <f ca="1">('TUSD BE'!$N$50+'TUSD BF'!$N$50+'TUSD CVA'!$N$50)*(1 - CUSTOS!$M$40)</f>
        <v>10.073050261592805</v>
      </c>
      <c r="O50" s="13">
        <f>('TUSD BE'!$O$50+'TUSD BF'!$O$50+'TUSD CVA'!$O$50)*(1 - CUSTOS!$M$40)</f>
        <v>0</v>
      </c>
      <c r="P50" s="13">
        <f>('TUSD BE'!$P$50+'TUSD BF'!$P$50+'TUSD CVA'!$P$50)*(1 - CUSTOS!$M$40)</f>
        <v>0</v>
      </c>
      <c r="Q50" s="13">
        <f>('TUSD BE'!$Q$50+'TUSD BF'!$Q$50+'TUSD CVA'!$Q$50)*(1 - CUSTOS!$M$40)</f>
        <v>114.20930195887391</v>
      </c>
      <c r="R50" s="13">
        <f>('TUSD BE'!$R$50+'TUSD BF'!$R$50+'TUSD CVA'!$R$50)*(1 - CUSTOS!$M$40)</f>
        <v>18.82807588304652</v>
      </c>
      <c r="S50" s="13">
        <f>('TUSD BE'!$S$50+'TUSD BF'!$S$50+'TUSD CVA'!$S$50)*(1 - CUSTOS!$M$40)</f>
        <v>0</v>
      </c>
      <c r="T50" s="13">
        <f>('TUSD BE'!$U$50+'TUSD BF'!$U$50+'TUSD CVA'!$U$50)*(1 - CUSTOS!$M$40)</f>
        <v>126.72126032318212</v>
      </c>
      <c r="U50" s="13">
        <f>('TUSD BE'!$V$50+'TUSD BF'!$V$50+'TUSD CVA'!$V$50)*(1 - CUSTOS!$M$40)</f>
        <v>59.705877116153779</v>
      </c>
      <c r="V50" s="13">
        <f>('TUSD BE'!$W$50+'TUSD BF'!$W$50+'TUSD CVA'!$W$50)*(1 - CUSTOS!$M$40)</f>
        <v>0</v>
      </c>
      <c r="W50" s="13">
        <f>('TUSD BE'!$X$50+'TUSD BF'!$X$50+'TUSD CVA'!$X$50)*(1 - CUSTOS!$M$40)</f>
        <v>0</v>
      </c>
      <c r="X50" s="13">
        <f>('TUSD BE'!$Y$50+'TUSD BF'!$Y$50+'TUSD CVA'!$Y$50)*(1 - CUSTOS!$M$40)</f>
        <v>0</v>
      </c>
      <c r="Y50" s="13">
        <f>('TUSD BE'!$Z$50+'TUSD BF'!$Z$50+'TUSD CVA'!$Z$50)*(1 - CUSTOS!$M$40)</f>
        <v>0</v>
      </c>
      <c r="Z50" s="13">
        <f>('TUSD BE'!$AA$50+'TUSD BF'!$AA$50+'TUSD CVA'!$AA$50)*(1 - CUSTOS!$M$40)</f>
        <v>0</v>
      </c>
      <c r="AA50" s="13">
        <f>('TUSD BE'!$AC$50+'TUSD BF'!$AC$50+'TUSD CVA'!$AC$50)*(1 - CUSTOS!$M$40)</f>
        <v>758.93598856501728</v>
      </c>
      <c r="AB50" s="13">
        <f ca="1">('TUSD BE'!$AE$50+'TUSD BF'!$AE$50+'TUSD CVA'!$AE$50)*(1 - CUSTOS!$M$40)</f>
        <v>-46.556922043337288</v>
      </c>
      <c r="AC50" s="13">
        <f ca="1">('TUSD BE'!$AF$50+'TUSD BF'!$AF$50+'TUSD CVA'!$AF$50)*(1 - CUSTOS!$M$40)</f>
        <v>0</v>
      </c>
      <c r="AD50" s="13">
        <f>('TUSD BE'!$AH$50+'TUSD BF'!$AH$50+'TUSD CVA'!$AH$50)*(1 - CUSTOS!$M$40)</f>
        <v>22.351566878545857</v>
      </c>
      <c r="AE50" s="13">
        <f>('TUSD BE'!$AI$50+'TUSD BF'!$AI$50+'TUSD CVA'!$AI$50)*(1 - CUSTOS!$M$40)</f>
        <v>0.65772375472827938</v>
      </c>
      <c r="AF50" s="13">
        <f ca="1">('TUSD BE'!$AJ$50+'TUSD BF'!$AJ$50+'TUSD CVA'!$AJ$50)*(1 - CUSTOS!$M$40)</f>
        <v>1.4996516277500667</v>
      </c>
      <c r="AG50" s="13">
        <f ca="1">('TUSD BE'!$AK$50+'TUSD BF'!$AK$50+'TUSD CVA'!$AK$50)*(1 - CUSTOS!$M$40)</f>
        <v>0.3487976877872489</v>
      </c>
      <c r="AI50" s="13">
        <v>10.8438781540814</v>
      </c>
      <c r="AJ50" s="13">
        <v>0.79725649498147499</v>
      </c>
      <c r="AK50" s="13">
        <v>8.3125836122776509</v>
      </c>
      <c r="AL50" s="13">
        <v>0</v>
      </c>
      <c r="AM50" s="13">
        <v>0</v>
      </c>
      <c r="AN50" s="13">
        <v>49.0416188808098</v>
      </c>
      <c r="AO50" s="13">
        <v>10.7117040970313</v>
      </c>
      <c r="AP50" s="13">
        <v>0</v>
      </c>
      <c r="AQ50" s="13">
        <v>90.977989759410505</v>
      </c>
      <c r="AR50" s="13">
        <v>48.629749038286199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650.00311161723505</v>
      </c>
      <c r="AY50" s="13">
        <v>-51.501450397026197</v>
      </c>
      <c r="AZ50" s="13">
        <v>0</v>
      </c>
      <c r="BA50" s="13">
        <v>22.0515020882439</v>
      </c>
      <c r="BB50" s="13">
        <v>0.58448542364920697</v>
      </c>
      <c r="BC50" s="13">
        <v>1.4828279448788799</v>
      </c>
      <c r="BD50" s="13">
        <v>0.51497857618079901</v>
      </c>
    </row>
    <row r="51" spans="1:56" ht="11.25" customHeight="1" x14ac:dyDescent="0.3">
      <c r="A51" s="137"/>
      <c r="B51" s="137"/>
      <c r="C51" s="137"/>
      <c r="D51" s="137"/>
      <c r="E51" s="137"/>
      <c r="F51" s="137"/>
      <c r="G51" s="18" t="s">
        <v>91</v>
      </c>
      <c r="H51" s="18" t="s">
        <v>79</v>
      </c>
      <c r="I51" s="18">
        <f>'MERCADO TUSD'!$U$48</f>
        <v>0</v>
      </c>
      <c r="J51" s="15"/>
      <c r="L51" s="13">
        <f>('TUSD BE'!$L$51+'TUSD BF'!$L$51+'TUSD CVA'!$L$51)*(1 - CUSTOS!$M$40)</f>
        <v>13.002245092871783</v>
      </c>
      <c r="M51" s="13">
        <f>('TUSD BE'!$M$51+'TUSD BF'!$M$51+'TUSD CVA'!$M$51)*(1 - CUSTOS!$M$40)</f>
        <v>0.93861052992811234</v>
      </c>
      <c r="N51" s="13">
        <f ca="1">('TUSD BE'!$N$51+'TUSD BF'!$N$51+'TUSD CVA'!$N$51)*(1 - CUSTOS!$M$40)</f>
        <v>6.2665532673776756</v>
      </c>
      <c r="O51" s="13">
        <f>('TUSD BE'!$O$51+'TUSD BF'!$O$51+'TUSD CVA'!$O$51)*(1 - CUSTOS!$M$40)</f>
        <v>0</v>
      </c>
      <c r="P51" s="13">
        <f>('TUSD BE'!$P$51+'TUSD BF'!$P$51+'TUSD CVA'!$P$51)*(1 - CUSTOS!$M$40)</f>
        <v>0</v>
      </c>
      <c r="Q51" s="13">
        <f>('TUSD BE'!$Q$51+'TUSD BF'!$Q$51+'TUSD CVA'!$Q$51)*(1 - CUSTOS!$M$40)</f>
        <v>114.20930195887391</v>
      </c>
      <c r="R51" s="13">
        <f>('TUSD BE'!$R$51+'TUSD BF'!$R$51+'TUSD CVA'!$R$51)*(1 - CUSTOS!$M$40)</f>
        <v>18.82807588304652</v>
      </c>
      <c r="S51" s="13">
        <f>('TUSD BE'!$S$51+'TUSD BF'!$S$51+'TUSD CVA'!$S$51)*(1 - CUSTOS!$M$40)</f>
        <v>0</v>
      </c>
      <c r="T51" s="13">
        <f>('TUSD BE'!$U$51+'TUSD BF'!$U$51+'TUSD CVA'!$U$51)*(1 - CUSTOS!$M$40)</f>
        <v>76.032782129943826</v>
      </c>
      <c r="U51" s="13">
        <f>('TUSD BE'!$V$51+'TUSD BF'!$V$51+'TUSD CVA'!$V$51)*(1 - CUSTOS!$M$40)</f>
        <v>35.823549100327092</v>
      </c>
      <c r="V51" s="13">
        <f>('TUSD BE'!$W$51+'TUSD BF'!$W$51+'TUSD CVA'!$W$51)*(1 - CUSTOS!$M$40)</f>
        <v>0</v>
      </c>
      <c r="W51" s="13">
        <f>('TUSD BE'!$X$51+'TUSD BF'!$X$51+'TUSD CVA'!$X$51)*(1 - CUSTOS!$M$40)</f>
        <v>0</v>
      </c>
      <c r="X51" s="13">
        <f>('TUSD BE'!$Y$51+'TUSD BF'!$Y$51+'TUSD CVA'!$Y$51)*(1 - CUSTOS!$M$40)</f>
        <v>0</v>
      </c>
      <c r="Y51" s="13">
        <f>('TUSD BE'!$Z$51+'TUSD BF'!$Z$51+'TUSD CVA'!$Z$51)*(1 - CUSTOS!$M$40)</f>
        <v>0</v>
      </c>
      <c r="Z51" s="13">
        <f>('TUSD BE'!$AA$51+'TUSD BF'!$AA$51+'TUSD CVA'!$AA$51)*(1 - CUSTOS!$M$40)</f>
        <v>0</v>
      </c>
      <c r="AA51" s="13">
        <f>('TUSD BE'!$AC$51+'TUSD BF'!$AC$51+'TUSD CVA'!$AC$51)*(1 - CUSTOS!$M$40)</f>
        <v>455.36157238177822</v>
      </c>
      <c r="AB51" s="13">
        <f ca="1">('TUSD BE'!$AE$51+'TUSD BF'!$AE$51+'TUSD CVA'!$AE$51)*(1 - CUSTOS!$M$40)</f>
        <v>-30.310168523168628</v>
      </c>
      <c r="AC51" s="13">
        <f ca="1">('TUSD BE'!$AF$51+'TUSD BF'!$AF$51+'TUSD CVA'!$AF$51)*(1 - CUSTOS!$M$40)</f>
        <v>0</v>
      </c>
      <c r="AD51" s="13">
        <f>('TUSD BE'!$AH$51+'TUSD BF'!$AH$51+'TUSD CVA'!$AH$51)*(1 - CUSTOS!$M$40)</f>
        <v>22.351566878545857</v>
      </c>
      <c r="AE51" s="13">
        <f>('TUSD BE'!$AI$51+'TUSD BF'!$AI$51+'TUSD CVA'!$AI$51)*(1 - CUSTOS!$M$40)</f>
        <v>0.65772375472827938</v>
      </c>
      <c r="AF51" s="13">
        <f ca="1">('TUSD BE'!$AJ$51+'TUSD BF'!$AJ$51+'TUSD CVA'!$AJ$51)*(1 - CUSTOS!$M$40)</f>
        <v>1.4996516277500667</v>
      </c>
      <c r="AG51" s="13">
        <f ca="1">('TUSD BE'!$AK$51+'TUSD BF'!$AK$51+'TUSD CVA'!$AK$51)*(1 - CUSTOS!$M$40)</f>
        <v>0.3487976877872489</v>
      </c>
      <c r="AI51" s="13">
        <v>10.8438781540814</v>
      </c>
      <c r="AJ51" s="13">
        <v>0.79725649498147499</v>
      </c>
      <c r="AK51" s="13">
        <v>5.1705849958057</v>
      </c>
      <c r="AL51" s="13">
        <v>0</v>
      </c>
      <c r="AM51" s="13">
        <v>0</v>
      </c>
      <c r="AN51" s="13">
        <v>49.0416188808098</v>
      </c>
      <c r="AO51" s="13">
        <v>10.7117040970313</v>
      </c>
      <c r="AP51" s="13">
        <v>0</v>
      </c>
      <c r="AQ51" s="13">
        <v>54.586812476107298</v>
      </c>
      <c r="AR51" s="13">
        <v>29.1778680182607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390.00184919247101</v>
      </c>
      <c r="AY51" s="13">
        <v>-32.996631377420698</v>
      </c>
      <c r="AZ51" s="13">
        <v>0</v>
      </c>
      <c r="BA51" s="13">
        <v>22.0515020882439</v>
      </c>
      <c r="BB51" s="13">
        <v>0.58448542364920697</v>
      </c>
      <c r="BC51" s="13">
        <v>1.4828279448788799</v>
      </c>
      <c r="BD51" s="13">
        <v>0.51497857618079901</v>
      </c>
    </row>
    <row r="52" spans="1:56" ht="11.25" customHeight="1" x14ac:dyDescent="0.3">
      <c r="A52" s="137"/>
      <c r="B52" s="137"/>
      <c r="C52" s="137"/>
      <c r="D52" s="137"/>
      <c r="E52" s="137"/>
      <c r="F52" s="137"/>
      <c r="G52" s="18" t="s">
        <v>81</v>
      </c>
      <c r="H52" s="18" t="s">
        <v>79</v>
      </c>
      <c r="I52" s="18">
        <f>'MERCADO TUSD'!$U$49</f>
        <v>0</v>
      </c>
      <c r="J52" s="15"/>
      <c r="L52" s="13">
        <f>('TUSD BE'!$L$52+'TUSD BF'!$L$52+'TUSD CVA'!$L$52)*(1 - CUSTOS!$M$40)</f>
        <v>13.002245092871783</v>
      </c>
      <c r="M52" s="13">
        <f>('TUSD BE'!$M$52+'TUSD BF'!$M$52+'TUSD CVA'!$M$52)*(1 - CUSTOS!$M$40)</f>
        <v>0.93861052992811234</v>
      </c>
      <c r="N52" s="13">
        <f ca="1">('TUSD BE'!$N$52+'TUSD BF'!$N$52+'TUSD CVA'!$N$52)*(1 - CUSTOS!$M$40)</f>
        <v>2.4600562731625479</v>
      </c>
      <c r="O52" s="13">
        <f>('TUSD BE'!$O$52+'TUSD BF'!$O$52+'TUSD CVA'!$O$52)*(1 - CUSTOS!$M$40)</f>
        <v>0</v>
      </c>
      <c r="P52" s="13">
        <f>('TUSD BE'!$P$52+'TUSD BF'!$P$52+'TUSD CVA'!$P$52)*(1 - CUSTOS!$M$40)</f>
        <v>0</v>
      </c>
      <c r="Q52" s="13">
        <f>('TUSD BE'!$Q$52+'TUSD BF'!$Q$52+'TUSD CVA'!$Q$52)*(1 - CUSTOS!$M$40)</f>
        <v>114.20930195887391</v>
      </c>
      <c r="R52" s="13">
        <f>('TUSD BE'!$R$52+'TUSD BF'!$R$52+'TUSD CVA'!$R$52)*(1 - CUSTOS!$M$40)</f>
        <v>18.82807588304652</v>
      </c>
      <c r="S52" s="13">
        <f>('TUSD BE'!$S$52+'TUSD BF'!$S$52+'TUSD CVA'!$S$52)*(1 - CUSTOS!$M$40)</f>
        <v>0</v>
      </c>
      <c r="T52" s="13">
        <f>('TUSD BE'!$U$52+'TUSD BF'!$U$52+'TUSD CVA'!$U$52)*(1 - CUSTOS!$M$40)</f>
        <v>25.344303936705558</v>
      </c>
      <c r="U52" s="13">
        <f>('TUSD BE'!$V$52+'TUSD BF'!$V$52+'TUSD CVA'!$V$52)*(1 - CUSTOS!$M$40)</f>
        <v>11.9412210845004</v>
      </c>
      <c r="V52" s="13">
        <f>('TUSD BE'!$W$52+'TUSD BF'!$W$52+'TUSD CVA'!$W$52)*(1 - CUSTOS!$M$40)</f>
        <v>0</v>
      </c>
      <c r="W52" s="13">
        <f>('TUSD BE'!$X$52+'TUSD BF'!$X$52+'TUSD CVA'!$X$52)*(1 - CUSTOS!$M$40)</f>
        <v>0</v>
      </c>
      <c r="X52" s="13">
        <f>('TUSD BE'!$Y$52+'TUSD BF'!$Y$52+'TUSD CVA'!$Y$52)*(1 - CUSTOS!$M$40)</f>
        <v>0</v>
      </c>
      <c r="Y52" s="13">
        <f>('TUSD BE'!$Z$52+'TUSD BF'!$Z$52+'TUSD CVA'!$Z$52)*(1 - CUSTOS!$M$40)</f>
        <v>0</v>
      </c>
      <c r="Z52" s="13">
        <f>('TUSD BE'!$AA$52+'TUSD BF'!$AA$52+'TUSD CVA'!$AA$52)*(1 - CUSTOS!$M$40)</f>
        <v>0</v>
      </c>
      <c r="AA52" s="13">
        <f>('TUSD BE'!$AC$52+'TUSD BF'!$AC$52+'TUSD CVA'!$AC$52)*(1 - CUSTOS!$M$40)</f>
        <v>151.78715619853918</v>
      </c>
      <c r="AB52" s="13">
        <f ca="1">('TUSD BE'!$AE$52+'TUSD BF'!$AE$52+'TUSD CVA'!$AE$52)*(1 - CUSTOS!$M$40)</f>
        <v>-14.063415002999964</v>
      </c>
      <c r="AC52" s="13">
        <f ca="1">('TUSD BE'!$AF$52+'TUSD BF'!$AF$52+'TUSD CVA'!$AF$52)*(1 - CUSTOS!$M$40)</f>
        <v>0</v>
      </c>
      <c r="AD52" s="13">
        <f>('TUSD BE'!$AH$52+'TUSD BF'!$AH$52+'TUSD CVA'!$AH$52)*(1 - CUSTOS!$M$40)</f>
        <v>22.351566878545857</v>
      </c>
      <c r="AE52" s="13">
        <f>('TUSD BE'!$AI$52+'TUSD BF'!$AI$52+'TUSD CVA'!$AI$52)*(1 - CUSTOS!$M$40)</f>
        <v>0.65772375472827938</v>
      </c>
      <c r="AF52" s="13">
        <f ca="1">('TUSD BE'!$AJ$52+'TUSD BF'!$AJ$52+'TUSD CVA'!$AJ$52)*(1 - CUSTOS!$M$40)</f>
        <v>1.4996516277500667</v>
      </c>
      <c r="AG52" s="13">
        <f ca="1">('TUSD BE'!$AK$52+'TUSD BF'!$AK$52+'TUSD CVA'!$AK$52)*(1 - CUSTOS!$M$40)</f>
        <v>0.3487976877872489</v>
      </c>
      <c r="AI52" s="13">
        <v>10.8438781540814</v>
      </c>
      <c r="AJ52" s="13">
        <v>0.79725649498147499</v>
      </c>
      <c r="AK52" s="13">
        <v>2.0285863793337402</v>
      </c>
      <c r="AL52" s="13">
        <v>0</v>
      </c>
      <c r="AM52" s="13">
        <v>0</v>
      </c>
      <c r="AN52" s="13">
        <v>49.0416188808098</v>
      </c>
      <c r="AO52" s="13">
        <v>10.7117040970313</v>
      </c>
      <c r="AP52" s="13">
        <v>0</v>
      </c>
      <c r="AQ52" s="13">
        <v>18.195635192804101</v>
      </c>
      <c r="AR52" s="13">
        <v>9.7259869982352907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130.00058676770701</v>
      </c>
      <c r="AY52" s="13">
        <v>-14.491812357815199</v>
      </c>
      <c r="AZ52" s="13">
        <v>0</v>
      </c>
      <c r="BA52" s="13">
        <v>22.0515020882439</v>
      </c>
      <c r="BB52" s="13">
        <v>0.58448542364920697</v>
      </c>
      <c r="BC52" s="13">
        <v>1.4828279448788799</v>
      </c>
      <c r="BD52" s="13">
        <v>0.51497857618079901</v>
      </c>
    </row>
    <row r="53" spans="1:56" ht="11.25" customHeight="1" x14ac:dyDescent="0.3">
      <c r="A53" s="137"/>
      <c r="B53" s="17" t="s">
        <v>23</v>
      </c>
      <c r="C53" s="17" t="s">
        <v>44</v>
      </c>
      <c r="D53" s="17" t="s">
        <v>95</v>
      </c>
      <c r="E53" s="17" t="s">
        <v>25</v>
      </c>
      <c r="F53" s="17" t="s">
        <v>25</v>
      </c>
      <c r="G53" s="18" t="s">
        <v>83</v>
      </c>
      <c r="H53" s="18" t="s">
        <v>79</v>
      </c>
      <c r="I53" s="18">
        <f>'MERCADO TUSD'!$U$50</f>
        <v>0</v>
      </c>
      <c r="J53" s="15"/>
      <c r="L53" s="13">
        <f>('TUSD BE'!$L$53+'TUSD BF'!$L$53+'TUSD CVA'!$L$53)*(1 - CUSTOS!$M$40)</f>
        <v>13.002245092871783</v>
      </c>
      <c r="M53" s="13">
        <f>('TUSD BE'!$M$53+'TUSD BF'!$M$53+'TUSD CVA'!$M$53)*(1 - CUSTOS!$M$40)</f>
        <v>0.93861052992811234</v>
      </c>
      <c r="N53" s="13">
        <f ca="1">('TUSD BE'!$N$53+'TUSD BF'!$N$53+'TUSD CVA'!$N$53)*(1 - CUSTOS!$M$40)</f>
        <v>3.4405171456860399</v>
      </c>
      <c r="O53" s="13">
        <f>('TUSD BE'!$O$53+'TUSD BF'!$O$53+'TUSD CVA'!$O$53)*(1 - CUSTOS!$M$40)</f>
        <v>0</v>
      </c>
      <c r="P53" s="13">
        <f>('TUSD BE'!$P$53+'TUSD BF'!$P$53+'TUSD CVA'!$P$53)*(1 - CUSTOS!$M$40)</f>
        <v>0</v>
      </c>
      <c r="Q53" s="13">
        <f>('TUSD BE'!$Q$53+'TUSD BF'!$Q$53+'TUSD CVA'!$Q$53)*(1 - CUSTOS!$M$40)</f>
        <v>114.20930195887391</v>
      </c>
      <c r="R53" s="13">
        <f>('TUSD BE'!$R$53+'TUSD BF'!$R$53+'TUSD CVA'!$R$53)*(1 - CUSTOS!$M$40)</f>
        <v>18.82807588304652</v>
      </c>
      <c r="S53" s="13">
        <f>('TUSD BE'!$S$53+'TUSD BF'!$S$53+'TUSD CVA'!$S$53)*(1 - CUSTOS!$M$40)</f>
        <v>0</v>
      </c>
      <c r="T53" s="13">
        <f>('TUSD BE'!$U$53+'TUSD BF'!$U$53+'TUSD CVA'!$U$53)*(1 - CUSTOS!$M$40)</f>
        <v>38.400374056711378</v>
      </c>
      <c r="U53" s="13">
        <f>('TUSD BE'!$V$53+'TUSD BF'!$V$53+'TUSD CVA'!$V$53)*(1 - CUSTOS!$M$40)</f>
        <v>18.092707331133585</v>
      </c>
      <c r="V53" s="13">
        <f>('TUSD BE'!$W$53+'TUSD BF'!$W$53+'TUSD CVA'!$W$53)*(1 - CUSTOS!$M$40)</f>
        <v>0</v>
      </c>
      <c r="W53" s="13">
        <f>('TUSD BE'!$X$53+'TUSD BF'!$X$53+'TUSD CVA'!$X$53)*(1 - CUSTOS!$M$40)</f>
        <v>0</v>
      </c>
      <c r="X53" s="13">
        <f>('TUSD BE'!$Y$53+'TUSD BF'!$Y$53+'TUSD CVA'!$Y$53)*(1 - CUSTOS!$M$40)</f>
        <v>0</v>
      </c>
      <c r="Y53" s="13">
        <f>('TUSD BE'!$Z$53+'TUSD BF'!$Z$53+'TUSD CVA'!$Z$53)*(1 - CUSTOS!$M$40)</f>
        <v>0</v>
      </c>
      <c r="Z53" s="13">
        <f>('TUSD BE'!$AA$53+'TUSD BF'!$AA$53+'TUSD CVA'!$AA$53)*(1 - CUSTOS!$M$40)</f>
        <v>0</v>
      </c>
      <c r="AA53" s="13">
        <f>('TUSD BE'!$AC$53+'TUSD BF'!$AC$53+'TUSD CVA'!$AC$53)*(1 - CUSTOS!$M$40)</f>
        <v>229.98058372524875</v>
      </c>
      <c r="AB53" s="13">
        <f ca="1">('TUSD BE'!$AE$53+'TUSD BF'!$AE$53+'TUSD CVA'!$AE$53)*(1 - CUSTOS!$M$40)</f>
        <v>-18.24818256948199</v>
      </c>
      <c r="AC53" s="13">
        <f ca="1">('TUSD BE'!$AF$53+'TUSD BF'!$AF$53+'TUSD CVA'!$AF$53)*(1 - CUSTOS!$M$40)</f>
        <v>0</v>
      </c>
      <c r="AD53" s="13">
        <f>('TUSD BE'!$AH$53+'TUSD BF'!$AH$53+'TUSD CVA'!$AH$53)*(1 - CUSTOS!$M$40)</f>
        <v>22.351566878545857</v>
      </c>
      <c r="AE53" s="13">
        <f>('TUSD BE'!$AI$53+'TUSD BF'!$AI$53+'TUSD CVA'!$AI$53)*(1 - CUSTOS!$M$40)</f>
        <v>0.65772375472827938</v>
      </c>
      <c r="AF53" s="13">
        <f ca="1">('TUSD BE'!$AJ$53+'TUSD BF'!$AJ$53+'TUSD CVA'!$AJ$53)*(1 - CUSTOS!$M$40)</f>
        <v>1.4996516277500667</v>
      </c>
      <c r="AG53" s="13">
        <f ca="1">('TUSD BE'!$AK$53+'TUSD BF'!$AK$53+'TUSD CVA'!$AK$53)*(1 - CUSTOS!$M$40)</f>
        <v>0.3487976877872489</v>
      </c>
      <c r="AI53" s="13">
        <v>10.8438781540814</v>
      </c>
      <c r="AJ53" s="13">
        <v>0.79725649498147499</v>
      </c>
      <c r="AK53" s="13">
        <v>2.83788866163041</v>
      </c>
      <c r="AL53" s="13">
        <v>0</v>
      </c>
      <c r="AM53" s="13">
        <v>0</v>
      </c>
      <c r="AN53" s="13">
        <v>49.0416188808098</v>
      </c>
      <c r="AO53" s="13">
        <v>10.7117040970313</v>
      </c>
      <c r="AP53" s="13">
        <v>0</v>
      </c>
      <c r="AQ53" s="13">
        <v>27.569082163318001</v>
      </c>
      <c r="AR53" s="13">
        <v>14.7363016746996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196.97062372230999</v>
      </c>
      <c r="AY53" s="13">
        <v>-19.258202699113799</v>
      </c>
      <c r="AZ53" s="13">
        <v>0</v>
      </c>
      <c r="BA53" s="13">
        <v>22.0515020882439</v>
      </c>
      <c r="BB53" s="13">
        <v>0.58448542364920697</v>
      </c>
      <c r="BC53" s="13">
        <v>1.4828279448788799</v>
      </c>
      <c r="BD53" s="13">
        <v>0.51497857618079901</v>
      </c>
    </row>
    <row r="54" spans="1:56" ht="11.25" customHeight="1" x14ac:dyDescent="0.3">
      <c r="A54" s="137"/>
      <c r="B54" s="137" t="s">
        <v>93</v>
      </c>
      <c r="C54" s="137" t="s">
        <v>44</v>
      </c>
      <c r="D54" s="17" t="s">
        <v>25</v>
      </c>
      <c r="E54" s="17" t="s">
        <v>25</v>
      </c>
      <c r="F54" s="17" t="s">
        <v>25</v>
      </c>
      <c r="G54" s="18" t="s">
        <v>83</v>
      </c>
      <c r="H54" s="18" t="s">
        <v>79</v>
      </c>
      <c r="I54" s="18">
        <f>'MERCADO TUSD'!$U$51</f>
        <v>0</v>
      </c>
      <c r="J54" s="15"/>
      <c r="L54" s="13">
        <f>('TUSD BE'!$L$54+'TUSD BF'!$L$54+'TUSD CVA'!$L$54)*(1 - CUSTOS!$M$38)</f>
        <v>13.284902594890735</v>
      </c>
      <c r="M54" s="13">
        <f>('TUSD BE'!$M$54+'TUSD BF'!$M$54+'TUSD CVA'!$M$54)*(1 - CUSTOS!$M$38)</f>
        <v>0.95901510666567991</v>
      </c>
      <c r="N54" s="13">
        <f ca="1">('TUSD BE'!$N$54+'TUSD BF'!$N$54+'TUSD CVA'!$N$54)*(1 - CUSTOS!$M$38)</f>
        <v>3.5153109966792142</v>
      </c>
      <c r="O54" s="13">
        <f>('TUSD BE'!$O$54+'TUSD BF'!$O$54+'TUSD CVA'!$O$54)*(1 - CUSTOS!$M$38)</f>
        <v>0</v>
      </c>
      <c r="P54" s="13">
        <f>('TUSD BE'!$P$54+'TUSD BF'!$P$54+'TUSD CVA'!$P$54)*(1 - CUSTOS!$M$38)</f>
        <v>0</v>
      </c>
      <c r="Q54" s="13">
        <f>('TUSD BE'!$Q$54+'TUSD BF'!$Q$54+'TUSD CVA'!$Q$54)*(1 - CUSTOS!$M$38)</f>
        <v>116.69211287102333</v>
      </c>
      <c r="R54" s="13">
        <f>('TUSD BE'!$R$54+'TUSD BF'!$R$54+'TUSD CVA'!$R$54)*(1 - CUSTOS!$M$38)</f>
        <v>19.237381880504049</v>
      </c>
      <c r="S54" s="13">
        <f>('TUSD BE'!$S$54+'TUSD BF'!$S$54+'TUSD CVA'!$S$54)*(1 - CUSTOS!$M$38)</f>
        <v>0</v>
      </c>
      <c r="T54" s="13">
        <f>('TUSD BE'!$U$54+'TUSD BF'!$U$54+'TUSD CVA'!$U$54)*(1 - CUSTOS!$M$38)</f>
        <v>39.235164797074667</v>
      </c>
      <c r="U54" s="13">
        <f>('TUSD BE'!$V$54+'TUSD BF'!$V$54+'TUSD CVA'!$V$54)*(1 - CUSTOS!$M$38)</f>
        <v>18.486027055723444</v>
      </c>
      <c r="V54" s="13">
        <f>('TUSD BE'!$W$54+'TUSD BF'!$W$54+'TUSD CVA'!$W$54)*(1 - CUSTOS!$M$38)</f>
        <v>0</v>
      </c>
      <c r="W54" s="13">
        <f>('TUSD BE'!$X$54+'TUSD BF'!$X$54+'TUSD CVA'!$X$54)*(1 - CUSTOS!$M$38)</f>
        <v>0</v>
      </c>
      <c r="X54" s="13">
        <f>('TUSD BE'!$Y$54+'TUSD BF'!$Y$54+'TUSD CVA'!$Y$54)*(1 - CUSTOS!$M$38)</f>
        <v>0</v>
      </c>
      <c r="Y54" s="13">
        <f>('TUSD BE'!$Z$54+'TUSD BF'!$Z$54+'TUSD CVA'!$Z$54)*(1 - CUSTOS!$M$38)</f>
        <v>0</v>
      </c>
      <c r="Z54" s="13">
        <f>('TUSD BE'!$AA$54+'TUSD BF'!$AA$54+'TUSD CVA'!$AA$54)*(1 - CUSTOS!$M$38)</f>
        <v>0</v>
      </c>
      <c r="AA54" s="13">
        <f>('TUSD BE'!$AC$54+'TUSD BF'!$AC$54+'TUSD CVA'!$AC$54)*(1 - CUSTOS!$M$38)</f>
        <v>234.98016163231935</v>
      </c>
      <c r="AB54" s="13">
        <f ca="1">('TUSD BE'!$AE$54+'TUSD BF'!$AE$54+'TUSD CVA'!$AE$54)*(1 - CUSTOS!$M$38)</f>
        <v>-18.644882190557684</v>
      </c>
      <c r="AC54" s="13">
        <f ca="1">('TUSD BE'!$AF$54+'TUSD BF'!$AF$54+'TUSD CVA'!$AF$54)*(1 - CUSTOS!$M$38)</f>
        <v>0</v>
      </c>
      <c r="AD54" s="13">
        <f>('TUSD BE'!$AH$54+'TUSD BF'!$AH$54+'TUSD CVA'!$AH$54)*(1 - CUSTOS!$M$38)</f>
        <v>22.837470506340328</v>
      </c>
      <c r="AE54" s="13">
        <f>('TUSD BE'!$AI$54+'TUSD BF'!$AI$54+'TUSD CVA'!$AI$54)*(1 - CUSTOS!$M$38)</f>
        <v>0.67202209722237227</v>
      </c>
      <c r="AF54" s="13">
        <f ca="1">('TUSD BE'!$AJ$54+'TUSD BF'!$AJ$54+'TUSD CVA'!$AJ$54)*(1 - CUSTOS!$M$38)</f>
        <v>1.5322527500924594</v>
      </c>
      <c r="AG54" s="13">
        <f ca="1">('TUSD BE'!$AK$54+'TUSD BF'!$AK$54+'TUSD CVA'!$AK$54)*(1 - CUSTOS!$M$38)</f>
        <v>0.35638024621740644</v>
      </c>
      <c r="AI54" s="13">
        <v>11.360253304275799</v>
      </c>
      <c r="AJ54" s="13">
        <v>0.83522108998059297</v>
      </c>
      <c r="AK54" s="13">
        <v>2.9730262169461401</v>
      </c>
      <c r="AL54" s="13">
        <v>0</v>
      </c>
      <c r="AM54" s="13">
        <v>0</v>
      </c>
      <c r="AN54" s="13">
        <v>51.3769340656103</v>
      </c>
      <c r="AO54" s="13">
        <v>11.221785244509</v>
      </c>
      <c r="AP54" s="13">
        <v>0</v>
      </c>
      <c r="AQ54" s="13">
        <v>28.8818955996665</v>
      </c>
      <c r="AR54" s="13">
        <v>15.4380303258758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206.35017723289701</v>
      </c>
      <c r="AY54" s="13">
        <v>-20.1752599705002</v>
      </c>
      <c r="AZ54" s="13">
        <v>0</v>
      </c>
      <c r="BA54" s="13">
        <v>23.1015736162555</v>
      </c>
      <c r="BB54" s="13">
        <v>0.61231806287059798</v>
      </c>
      <c r="BC54" s="13">
        <v>1.5534387993969201</v>
      </c>
      <c r="BD54" s="13">
        <v>0.53950136552274197</v>
      </c>
    </row>
    <row r="55" spans="1:56" ht="11.25" customHeight="1" x14ac:dyDescent="0.3">
      <c r="A55" s="137"/>
      <c r="B55" s="137"/>
      <c r="C55" s="137"/>
      <c r="D55" s="17" t="s">
        <v>94</v>
      </c>
      <c r="E55" s="17" t="s">
        <v>25</v>
      </c>
      <c r="F55" s="17" t="s">
        <v>25</v>
      </c>
      <c r="G55" s="18" t="s">
        <v>83</v>
      </c>
      <c r="H55" s="18" t="s">
        <v>79</v>
      </c>
      <c r="I55" s="18">
        <f>'MERCADO TUSD'!$U$52</f>
        <v>0</v>
      </c>
      <c r="J55" s="15"/>
      <c r="L55" s="13">
        <f>('TUSD BE'!$L$55+'TUSD BF'!$L$55+'TUSD CVA'!$L$55)*(1 - CUSTOS!$M$39)</f>
        <v>13.284902594890735</v>
      </c>
      <c r="M55" s="13">
        <f>('TUSD BE'!$M$55+'TUSD BF'!$M$55+'TUSD CVA'!$M$55)*(1 - CUSTOS!$M$39)</f>
        <v>0.95901510666567991</v>
      </c>
      <c r="N55" s="13">
        <f ca="1">('TUSD BE'!$N$55+'TUSD BF'!$N$55+'TUSD CVA'!$N$55)*(1 - CUSTOS!$M$39)</f>
        <v>3.5153109966792142</v>
      </c>
      <c r="O55" s="13">
        <f>('TUSD BE'!$O$55+'TUSD BF'!$O$55+'TUSD CVA'!$O$55)*(1 - CUSTOS!$M$39)</f>
        <v>0</v>
      </c>
      <c r="P55" s="13">
        <f>('TUSD BE'!$P$55+'TUSD BF'!$P$55+'TUSD CVA'!$P$55)*(1 - CUSTOS!$M$39)</f>
        <v>0</v>
      </c>
      <c r="Q55" s="13">
        <f>('TUSD BE'!$Q$55+'TUSD BF'!$Q$55+'TUSD CVA'!$Q$55)*(1 - CUSTOS!$M$39)</f>
        <v>116.69211287102333</v>
      </c>
      <c r="R55" s="13">
        <f>('TUSD BE'!$R$55+'TUSD BF'!$R$55+'TUSD CVA'!$R$55)*(1 - CUSTOS!$M$39)</f>
        <v>19.237381880504049</v>
      </c>
      <c r="S55" s="13">
        <f>('TUSD BE'!$S$55+'TUSD BF'!$S$55+'TUSD CVA'!$S$55)*(1 - CUSTOS!$M$39)</f>
        <v>0</v>
      </c>
      <c r="T55" s="13">
        <f>('TUSD BE'!$U$55+'TUSD BF'!$U$55+'TUSD CVA'!$U$55)*(1 - CUSTOS!$M$39)</f>
        <v>39.235164797074667</v>
      </c>
      <c r="U55" s="13">
        <f>('TUSD BE'!$V$55+'TUSD BF'!$V$55+'TUSD CVA'!$V$55)*(1 - CUSTOS!$M$39)</f>
        <v>18.486027055723444</v>
      </c>
      <c r="V55" s="13">
        <f>('TUSD BE'!$W$55+'TUSD BF'!$W$55+'TUSD CVA'!$W$55)*(1 - CUSTOS!$M$39)</f>
        <v>0</v>
      </c>
      <c r="W55" s="13">
        <f>('TUSD BE'!$X$55+'TUSD BF'!$X$55+'TUSD CVA'!$X$55)*(1 - CUSTOS!$M$39)</f>
        <v>0</v>
      </c>
      <c r="X55" s="13">
        <f>('TUSD BE'!$Y$55+'TUSD BF'!$Y$55+'TUSD CVA'!$Y$55)*(1 - CUSTOS!$M$39)</f>
        <v>0</v>
      </c>
      <c r="Y55" s="13">
        <f>('TUSD BE'!$Z$55+'TUSD BF'!$Z$55+'TUSD CVA'!$Z$55)*(1 - CUSTOS!$M$39)</f>
        <v>0</v>
      </c>
      <c r="Z55" s="13">
        <f>('TUSD BE'!$AA$55+'TUSD BF'!$AA$55+'TUSD CVA'!$AA$55)*(1 - CUSTOS!$M$39)</f>
        <v>0</v>
      </c>
      <c r="AA55" s="13">
        <f>('TUSD BE'!$AC$55+'TUSD BF'!$AC$55+'TUSD CVA'!$AC$55)*(1 - CUSTOS!$M$39)</f>
        <v>234.98016163231935</v>
      </c>
      <c r="AB55" s="13">
        <f ca="1">('TUSD BE'!$AE$55+'TUSD BF'!$AE$55+'TUSD CVA'!$AE$55)*(1 - CUSTOS!$M$39)</f>
        <v>-18.644882190557684</v>
      </c>
      <c r="AC55" s="13">
        <f ca="1">('TUSD BE'!$AF$55+'TUSD BF'!$AF$55+'TUSD CVA'!$AF$55)*(1 - CUSTOS!$M$39)</f>
        <v>0</v>
      </c>
      <c r="AD55" s="13">
        <f>('TUSD BE'!$AH$55+'TUSD BF'!$AH$55+'TUSD CVA'!$AH$55)*(1 - CUSTOS!$M$39)</f>
        <v>22.837470506340328</v>
      </c>
      <c r="AE55" s="13">
        <f>('TUSD BE'!$AI$55+'TUSD BF'!$AI$55+'TUSD CVA'!$AI$55)*(1 - CUSTOS!$M$39)</f>
        <v>0.67202209722237227</v>
      </c>
      <c r="AF55" s="13">
        <f ca="1">('TUSD BE'!$AJ$55+'TUSD BF'!$AJ$55+'TUSD CVA'!$AJ$55)*(1 - CUSTOS!$M$39)</f>
        <v>1.5322527500924594</v>
      </c>
      <c r="AG55" s="13">
        <f ca="1">('TUSD BE'!$AK$55+'TUSD BF'!$AK$55+'TUSD CVA'!$AK$55)*(1 - CUSTOS!$M$39)</f>
        <v>0.35638024621740644</v>
      </c>
      <c r="AI55" s="13">
        <v>11.360253304275799</v>
      </c>
      <c r="AJ55" s="13">
        <v>0.83522108998059297</v>
      </c>
      <c r="AK55" s="13">
        <v>2.9730262169461401</v>
      </c>
      <c r="AL55" s="13">
        <v>0</v>
      </c>
      <c r="AM55" s="13">
        <v>0</v>
      </c>
      <c r="AN55" s="13">
        <v>51.3769340656103</v>
      </c>
      <c r="AO55" s="13">
        <v>11.221785244509</v>
      </c>
      <c r="AP55" s="13">
        <v>0</v>
      </c>
      <c r="AQ55" s="13">
        <v>28.8818955996665</v>
      </c>
      <c r="AR55" s="13">
        <v>15.4380303258758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206.35017723289701</v>
      </c>
      <c r="AY55" s="13">
        <v>-20.1752599705002</v>
      </c>
      <c r="AZ55" s="13">
        <v>0</v>
      </c>
      <c r="BA55" s="13">
        <v>23.1015736162555</v>
      </c>
      <c r="BB55" s="13">
        <v>0.61231806287059798</v>
      </c>
      <c r="BC55" s="13">
        <v>1.5534387993969201</v>
      </c>
      <c r="BD55" s="13">
        <v>0.53950136552274197</v>
      </c>
    </row>
    <row r="56" spans="1:56" ht="11.25" customHeight="1" x14ac:dyDescent="0.3">
      <c r="A56" s="137"/>
      <c r="B56" s="137"/>
      <c r="C56" s="137"/>
      <c r="D56" s="17" t="s">
        <v>95</v>
      </c>
      <c r="E56" s="17" t="s">
        <v>25</v>
      </c>
      <c r="F56" s="17" t="s">
        <v>25</v>
      </c>
      <c r="G56" s="18" t="s">
        <v>83</v>
      </c>
      <c r="H56" s="18" t="s">
        <v>79</v>
      </c>
      <c r="I56" s="18">
        <f>'MERCADO TUSD'!$U$53</f>
        <v>0</v>
      </c>
      <c r="J56" s="15"/>
      <c r="L56" s="13">
        <f>('TUSD BE'!$L$56+'TUSD BF'!$L$56+'TUSD CVA'!$L$56)*(1 - CUSTOS!$M$40)</f>
        <v>13.002245092871783</v>
      </c>
      <c r="M56" s="13">
        <f>('TUSD BE'!$M$56+'TUSD BF'!$M$56+'TUSD CVA'!$M$56)*(1 - CUSTOS!$M$40)</f>
        <v>0.93861052992811234</v>
      </c>
      <c r="N56" s="13">
        <f ca="1">('TUSD BE'!$N$56+'TUSD BF'!$N$56+'TUSD CVA'!$N$56)*(1 - CUSTOS!$M$40)</f>
        <v>3.4405171456860399</v>
      </c>
      <c r="O56" s="13">
        <f>('TUSD BE'!$O$56+'TUSD BF'!$O$56+'TUSD CVA'!$O$56)*(1 - CUSTOS!$M$40)</f>
        <v>0</v>
      </c>
      <c r="P56" s="13">
        <f>('TUSD BE'!$P$56+'TUSD BF'!$P$56+'TUSD CVA'!$P$56)*(1 - CUSTOS!$M$40)</f>
        <v>0</v>
      </c>
      <c r="Q56" s="13">
        <f>('TUSD BE'!$Q$56+'TUSD BF'!$Q$56+'TUSD CVA'!$Q$56)*(1 - CUSTOS!$M$40)</f>
        <v>114.20930195887391</v>
      </c>
      <c r="R56" s="13">
        <f>('TUSD BE'!$R$56+'TUSD BF'!$R$56+'TUSD CVA'!$R$56)*(1 - CUSTOS!$M$40)</f>
        <v>18.82807588304652</v>
      </c>
      <c r="S56" s="13">
        <f>('TUSD BE'!$S$56+'TUSD BF'!$S$56+'TUSD CVA'!$S$56)*(1 - CUSTOS!$M$40)</f>
        <v>0</v>
      </c>
      <c r="T56" s="13">
        <f>('TUSD BE'!$U$56+'TUSD BF'!$U$56+'TUSD CVA'!$U$56)*(1 - CUSTOS!$M$40)</f>
        <v>38.400374056711378</v>
      </c>
      <c r="U56" s="13">
        <f>('TUSD BE'!$V$56+'TUSD BF'!$V$56+'TUSD CVA'!$V$56)*(1 - CUSTOS!$M$40)</f>
        <v>18.092707331133585</v>
      </c>
      <c r="V56" s="13">
        <f>('TUSD BE'!$W$56+'TUSD BF'!$W$56+'TUSD CVA'!$W$56)*(1 - CUSTOS!$M$40)</f>
        <v>0</v>
      </c>
      <c r="W56" s="13">
        <f>('TUSD BE'!$X$56+'TUSD BF'!$X$56+'TUSD CVA'!$X$56)*(1 - CUSTOS!$M$40)</f>
        <v>0</v>
      </c>
      <c r="X56" s="13">
        <f>('TUSD BE'!$Y$56+'TUSD BF'!$Y$56+'TUSD CVA'!$Y$56)*(1 - CUSTOS!$M$40)</f>
        <v>0</v>
      </c>
      <c r="Y56" s="13">
        <f>('TUSD BE'!$Z$56+'TUSD BF'!$Z$56+'TUSD CVA'!$Z$56)*(1 - CUSTOS!$M$40)</f>
        <v>0</v>
      </c>
      <c r="Z56" s="13">
        <f>('TUSD BE'!$AA$56+'TUSD BF'!$AA$56+'TUSD CVA'!$AA$56)*(1 - CUSTOS!$M$40)</f>
        <v>0</v>
      </c>
      <c r="AA56" s="13">
        <f>('TUSD BE'!$AC$56+'TUSD BF'!$AC$56+'TUSD CVA'!$AC$56)*(1 - CUSTOS!$M$40)</f>
        <v>229.98058372524875</v>
      </c>
      <c r="AB56" s="13">
        <f ca="1">('TUSD BE'!$AE$56+'TUSD BF'!$AE$56+'TUSD CVA'!$AE$56)*(1 - CUSTOS!$M$40)</f>
        <v>-18.24818256948199</v>
      </c>
      <c r="AC56" s="13">
        <f ca="1">('TUSD BE'!$AF$56+'TUSD BF'!$AF$56+'TUSD CVA'!$AF$56)*(1 - CUSTOS!$M$40)</f>
        <v>0</v>
      </c>
      <c r="AD56" s="13">
        <f>('TUSD BE'!$AH$56+'TUSD BF'!$AH$56+'TUSD CVA'!$AH$56)*(1 - CUSTOS!$M$40)</f>
        <v>22.351566878545857</v>
      </c>
      <c r="AE56" s="13">
        <f>('TUSD BE'!$AI$56+'TUSD BF'!$AI$56+'TUSD CVA'!$AI$56)*(1 - CUSTOS!$M$40)</f>
        <v>0.65772375472827938</v>
      </c>
      <c r="AF56" s="13">
        <f ca="1">('TUSD BE'!$AJ$56+'TUSD BF'!$AJ$56+'TUSD CVA'!$AJ$56)*(1 - CUSTOS!$M$40)</f>
        <v>1.4996516277500667</v>
      </c>
      <c r="AG56" s="13">
        <f ca="1">('TUSD BE'!$AK$56+'TUSD BF'!$AK$56+'TUSD CVA'!$AK$56)*(1 - CUSTOS!$M$40)</f>
        <v>0.3487976877872489</v>
      </c>
      <c r="AI56" s="13">
        <v>10.8438781540814</v>
      </c>
      <c r="AJ56" s="13">
        <v>0.79725649498147499</v>
      </c>
      <c r="AK56" s="13">
        <v>2.83788866163041</v>
      </c>
      <c r="AL56" s="13">
        <v>0</v>
      </c>
      <c r="AM56" s="13">
        <v>0</v>
      </c>
      <c r="AN56" s="13">
        <v>49.0416188808098</v>
      </c>
      <c r="AO56" s="13">
        <v>10.7117040970313</v>
      </c>
      <c r="AP56" s="13">
        <v>0</v>
      </c>
      <c r="AQ56" s="13">
        <v>27.569082163318001</v>
      </c>
      <c r="AR56" s="13">
        <v>14.7363016746996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196.97062372230999</v>
      </c>
      <c r="AY56" s="13">
        <v>-19.258202699113799</v>
      </c>
      <c r="AZ56" s="13">
        <v>0</v>
      </c>
      <c r="BA56" s="13">
        <v>22.0515020882439</v>
      </c>
      <c r="BB56" s="13">
        <v>0.58448542364920697</v>
      </c>
      <c r="BC56" s="13">
        <v>1.4828279448788799</v>
      </c>
      <c r="BD56" s="13">
        <v>0.51497857618079901</v>
      </c>
    </row>
    <row r="57" spans="1:56" ht="11.25" customHeight="1" x14ac:dyDescent="0.3">
      <c r="A57" s="137" t="s">
        <v>37</v>
      </c>
      <c r="B57" s="137" t="s">
        <v>33</v>
      </c>
      <c r="C57" s="137" t="s">
        <v>25</v>
      </c>
      <c r="D57" s="137" t="s">
        <v>25</v>
      </c>
      <c r="E57" s="137" t="s">
        <v>25</v>
      </c>
      <c r="F57" s="137" t="s">
        <v>25</v>
      </c>
      <c r="G57" s="18" t="s">
        <v>80</v>
      </c>
      <c r="H57" s="18" t="s">
        <v>79</v>
      </c>
      <c r="I57" s="18">
        <f>'MERCADO TUSD'!$U$54</f>
        <v>10.468</v>
      </c>
      <c r="J57" s="15"/>
      <c r="L57" s="13">
        <f>('TUSD BE'!$L$57+'TUSD BF'!$L$57+'TUSD CVA'!$L$57)*1</f>
        <v>14.13287510094759</v>
      </c>
      <c r="M57" s="13">
        <f>('TUSD BE'!$M$57+'TUSD BF'!$M$57+'TUSD CVA'!$M$57)*1</f>
        <v>1.0202288368783829</v>
      </c>
      <c r="N57" s="13">
        <f ca="1">('TUSD BE'!$N$57+'TUSD BF'!$N$57+'TUSD CVA'!$N$57)*1</f>
        <v>11.419137945651626</v>
      </c>
      <c r="O57" s="13">
        <f>('TUSD BE'!$O$57+'TUSD BF'!$O$57+'TUSD CVA'!$O$57)*1</f>
        <v>0</v>
      </c>
      <c r="P57" s="13">
        <f>('TUSD BE'!$P$57+'TUSD BF'!$P$57+'TUSD CVA'!$P$57)*1</f>
        <v>0</v>
      </c>
      <c r="Q57" s="13">
        <f>('TUSD BE'!$Q$57+'TUSD BF'!$Q$57+'TUSD CVA'!$Q$57)*1</f>
        <v>124.14054560747164</v>
      </c>
      <c r="R57" s="13">
        <f>('TUSD BE'!$R$57+'TUSD BF'!$R$57+'TUSD CVA'!$R$57)*1</f>
        <v>20.465299872876649</v>
      </c>
      <c r="S57" s="13">
        <f>('TUSD BE'!$S$57+'TUSD BF'!$S$57+'TUSD CVA'!$S$57)*1</f>
        <v>0</v>
      </c>
      <c r="T57" s="13">
        <f>('TUSD BE'!$U$57+'TUSD BF'!$U$57+'TUSD CVA'!$U$57)*1</f>
        <v>144.00151547803534</v>
      </c>
      <c r="U57" s="13">
        <f>('TUSD BE'!$V$57+'TUSD BF'!$V$57+'TUSD CVA'!$V$57)*1</f>
        <v>67.847559432098137</v>
      </c>
      <c r="V57" s="13">
        <f>('TUSD BE'!$W$57+'TUSD BF'!$W$57+'TUSD CVA'!$W$57)*1</f>
        <v>0</v>
      </c>
      <c r="W57" s="13">
        <f>('TUSD BE'!$X$57+'TUSD BF'!$X$57+'TUSD CVA'!$X$57)*1</f>
        <v>0</v>
      </c>
      <c r="X57" s="13">
        <f>('TUSD BE'!$Y$57+'TUSD BF'!$Y$57+'TUSD CVA'!$Y$57)*1</f>
        <v>0</v>
      </c>
      <c r="Y57" s="13">
        <f>('TUSD BE'!$Z$57+'TUSD BF'!$Z$57+'TUSD CVA'!$Z$57)*1</f>
        <v>0</v>
      </c>
      <c r="Z57" s="13">
        <f>('TUSD BE'!$AA$57+'TUSD BF'!$AA$57+'TUSD CVA'!$AA$57)*1</f>
        <v>0</v>
      </c>
      <c r="AA57" s="13">
        <f>('TUSD BE'!$AC$57+'TUSD BF'!$AC$57+'TUSD CVA'!$AC$57)*1</f>
        <v>862.42723409410041</v>
      </c>
      <c r="AB57" s="13">
        <f ca="1">('TUSD BE'!$AE$57+'TUSD BF'!$AE$57+'TUSD CVA'!$AE$57)*1</f>
        <v>-52.612114292718218</v>
      </c>
      <c r="AC57" s="13">
        <f ca="1">('TUSD BE'!$AF$57+'TUSD BF'!$AF$57+'TUSD CVA'!$AF$57)*1</f>
        <v>0</v>
      </c>
      <c r="AD57" s="13">
        <f>('TUSD BE'!$AH$57+'TUSD BF'!$AH$57+'TUSD CVA'!$AH$57)*1</f>
        <v>24.295181389723755</v>
      </c>
      <c r="AE57" s="13">
        <f>('TUSD BE'!$AI$57+'TUSD BF'!$AI$57+'TUSD CVA'!$AI$57)*1</f>
        <v>0.71491712470465141</v>
      </c>
      <c r="AF57" s="13">
        <f ca="1">('TUSD BE'!$AJ$57+'TUSD BF'!$AJ$57+'TUSD CVA'!$AJ$57)*1</f>
        <v>1.6300561171196377</v>
      </c>
      <c r="AG57" s="13">
        <f ca="1">('TUSD BE'!$AK$57+'TUSD BF'!$AK$57+'TUSD CVA'!$AK$57)*1</f>
        <v>0.37912792150787922</v>
      </c>
      <c r="AI57" s="13">
        <v>12.9093787548588</v>
      </c>
      <c r="AJ57" s="13">
        <v>0.949114874977946</v>
      </c>
      <c r="AK57" s="13">
        <v>10.3209869659593</v>
      </c>
      <c r="AL57" s="13">
        <v>0</v>
      </c>
      <c r="AM57" s="13">
        <v>0</v>
      </c>
      <c r="AN57" s="13">
        <v>58.3828796200117</v>
      </c>
      <c r="AO57" s="13">
        <v>12.752028686941999</v>
      </c>
      <c r="AP57" s="13">
        <v>0</v>
      </c>
      <c r="AQ57" s="13">
        <v>113.23024755391801</v>
      </c>
      <c r="AR57" s="13">
        <v>60.524013149261698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808.98653261632296</v>
      </c>
      <c r="AY57" s="13">
        <v>-63.814609128042797</v>
      </c>
      <c r="AZ57" s="13">
        <v>0</v>
      </c>
      <c r="BA57" s="13">
        <v>26.251788200290299</v>
      </c>
      <c r="BB57" s="13">
        <v>0.69581598053477101</v>
      </c>
      <c r="BC57" s="13">
        <v>1.7652713629510499</v>
      </c>
      <c r="BD57" s="13">
        <v>0.61306973354856997</v>
      </c>
    </row>
    <row r="58" spans="1:56" ht="11.25" customHeight="1" x14ac:dyDescent="0.3">
      <c r="A58" s="137"/>
      <c r="B58" s="137"/>
      <c r="C58" s="137"/>
      <c r="D58" s="137"/>
      <c r="E58" s="137"/>
      <c r="F58" s="137"/>
      <c r="G58" s="18" t="s">
        <v>91</v>
      </c>
      <c r="H58" s="18" t="s">
        <v>79</v>
      </c>
      <c r="I58" s="18">
        <f>'MERCADO TUSD'!$U$55</f>
        <v>9.6909999999999989</v>
      </c>
      <c r="J58" s="15"/>
      <c r="L58" s="13">
        <f>('TUSD BE'!$L$58+'TUSD BF'!$L$58+'TUSD CVA'!$L$58)*1</f>
        <v>14.13287510094759</v>
      </c>
      <c r="M58" s="13">
        <f>('TUSD BE'!$M$58+'TUSD BF'!$M$58+'TUSD CVA'!$M$58)*1</f>
        <v>1.0202288368783829</v>
      </c>
      <c r="N58" s="13">
        <f ca="1">('TUSD BE'!$N$58+'TUSD BF'!$N$58+'TUSD CVA'!$N$58)*1</f>
        <v>7.0935721658224766</v>
      </c>
      <c r="O58" s="13">
        <f>('TUSD BE'!$O$58+'TUSD BF'!$O$58+'TUSD CVA'!$O$58)*1</f>
        <v>0</v>
      </c>
      <c r="P58" s="13">
        <f>('TUSD BE'!$P$58+'TUSD BF'!$P$58+'TUSD CVA'!$P$58)*1</f>
        <v>0</v>
      </c>
      <c r="Q58" s="13">
        <f>('TUSD BE'!$Q$58+'TUSD BF'!$Q$58+'TUSD CVA'!$Q$58)*1</f>
        <v>124.14054560747164</v>
      </c>
      <c r="R58" s="13">
        <f>('TUSD BE'!$R$58+'TUSD BF'!$R$58+'TUSD CVA'!$R$58)*1</f>
        <v>20.465299872876649</v>
      </c>
      <c r="S58" s="13">
        <f>('TUSD BE'!$S$58+'TUSD BF'!$S$58+'TUSD CVA'!$S$58)*1</f>
        <v>0</v>
      </c>
      <c r="T58" s="13">
        <f>('TUSD BE'!$U$58+'TUSD BF'!$U$58+'TUSD CVA'!$U$58)*1</f>
        <v>86.400824712795455</v>
      </c>
      <c r="U58" s="13">
        <f>('TUSD BE'!$V$58+'TUSD BF'!$V$58+'TUSD CVA'!$V$58)*1</f>
        <v>40.708510843351462</v>
      </c>
      <c r="V58" s="13">
        <f>('TUSD BE'!$W$58+'TUSD BF'!$W$58+'TUSD CVA'!$W$58)*1</f>
        <v>0</v>
      </c>
      <c r="W58" s="13">
        <f>('TUSD BE'!$X$58+'TUSD BF'!$X$58+'TUSD CVA'!$X$58)*1</f>
        <v>0</v>
      </c>
      <c r="X58" s="13">
        <f>('TUSD BE'!$Y$58+'TUSD BF'!$Y$58+'TUSD CVA'!$Y$58)*1</f>
        <v>0</v>
      </c>
      <c r="Y58" s="13">
        <f>('TUSD BE'!$Z$58+'TUSD BF'!$Z$58+'TUSD CVA'!$Z$58)*1</f>
        <v>0</v>
      </c>
      <c r="Z58" s="13">
        <f>('TUSD BE'!$AA$58+'TUSD BF'!$AA$58+'TUSD CVA'!$AA$58)*1</f>
        <v>0</v>
      </c>
      <c r="AA58" s="13">
        <f>('TUSD BE'!$AC$58+'TUSD BF'!$AC$58+'TUSD CVA'!$AC$58)*1</f>
        <v>517.45636301866909</v>
      </c>
      <c r="AB58" s="13">
        <f ca="1">('TUSD BE'!$AE$58+'TUSD BF'!$AE$58+'TUSD CVA'!$AE$58)*1</f>
        <v>-34.149889343587439</v>
      </c>
      <c r="AC58" s="13">
        <f ca="1">('TUSD BE'!$AF$58+'TUSD BF'!$AF$58+'TUSD CVA'!$AF$58)*1</f>
        <v>0</v>
      </c>
      <c r="AD58" s="13">
        <f>('TUSD BE'!$AH$58+'TUSD BF'!$AH$58+'TUSD CVA'!$AH$58)*1</f>
        <v>24.295181389723755</v>
      </c>
      <c r="AE58" s="13">
        <f>('TUSD BE'!$AI$58+'TUSD BF'!$AI$58+'TUSD CVA'!$AI$58)*1</f>
        <v>0.71491712470465141</v>
      </c>
      <c r="AF58" s="13">
        <f ca="1">('TUSD BE'!$AJ$58+'TUSD BF'!$AJ$58+'TUSD CVA'!$AJ$58)*1</f>
        <v>1.6300561171196377</v>
      </c>
      <c r="AG58" s="13">
        <f ca="1">('TUSD BE'!$AK$58+'TUSD BF'!$AK$58+'TUSD CVA'!$AK$58)*1</f>
        <v>0.37912792150787922</v>
      </c>
      <c r="AI58" s="13">
        <v>12.9093787548588</v>
      </c>
      <c r="AJ58" s="13">
        <v>0.949114874977946</v>
      </c>
      <c r="AK58" s="13">
        <v>6.4104899359786804</v>
      </c>
      <c r="AL58" s="13">
        <v>0</v>
      </c>
      <c r="AM58" s="13">
        <v>0</v>
      </c>
      <c r="AN58" s="13">
        <v>58.3828796200117</v>
      </c>
      <c r="AO58" s="13">
        <v>12.752028686941999</v>
      </c>
      <c r="AP58" s="13">
        <v>0</v>
      </c>
      <c r="AQ58" s="13">
        <v>67.938082030704393</v>
      </c>
      <c r="AR58" s="13">
        <v>36.314385752308198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485.39194073392503</v>
      </c>
      <c r="AY58" s="13">
        <v>-40.783713904791597</v>
      </c>
      <c r="AZ58" s="13">
        <v>0</v>
      </c>
      <c r="BA58" s="13">
        <v>26.251788200290299</v>
      </c>
      <c r="BB58" s="13">
        <v>0.69581598053477101</v>
      </c>
      <c r="BC58" s="13">
        <v>1.7652713629510499</v>
      </c>
      <c r="BD58" s="13">
        <v>0.61306973354856997</v>
      </c>
    </row>
    <row r="59" spans="1:56" ht="11.25" customHeight="1" x14ac:dyDescent="0.3">
      <c r="A59" s="137"/>
      <c r="B59" s="137"/>
      <c r="C59" s="137"/>
      <c r="D59" s="137"/>
      <c r="E59" s="137"/>
      <c r="F59" s="137"/>
      <c r="G59" s="18" t="s">
        <v>81</v>
      </c>
      <c r="H59" s="18" t="s">
        <v>79</v>
      </c>
      <c r="I59" s="18">
        <f>'MERCADO TUSD'!$U$56</f>
        <v>150.328</v>
      </c>
      <c r="J59" s="15"/>
      <c r="L59" s="13">
        <f>('TUSD BE'!$L$59+'TUSD BF'!$L$59+'TUSD CVA'!$L$59)*1</f>
        <v>14.13287510094759</v>
      </c>
      <c r="M59" s="13">
        <f>('TUSD BE'!$M$59+'TUSD BF'!$M$59+'TUSD CVA'!$M$59)*1</f>
        <v>1.0202288368783829</v>
      </c>
      <c r="N59" s="13">
        <f ca="1">('TUSD BE'!$N$59+'TUSD BF'!$N$59+'TUSD CVA'!$N$59)*1</f>
        <v>2.7680075597229647</v>
      </c>
      <c r="O59" s="13">
        <f>('TUSD BE'!$O$59+'TUSD BF'!$O$59+'TUSD CVA'!$O$59)*1</f>
        <v>0</v>
      </c>
      <c r="P59" s="13">
        <f>('TUSD BE'!$P$59+'TUSD BF'!$P$59+'TUSD CVA'!$P$59)*1</f>
        <v>0</v>
      </c>
      <c r="Q59" s="13">
        <f>('TUSD BE'!$Q$59+'TUSD BF'!$Q$59+'TUSD CVA'!$Q$59)*1</f>
        <v>124.14054560747164</v>
      </c>
      <c r="R59" s="13">
        <f>('TUSD BE'!$R$59+'TUSD BF'!$R$59+'TUSD CVA'!$R$59)*1</f>
        <v>20.465299872876649</v>
      </c>
      <c r="S59" s="13">
        <f>('TUSD BE'!$S$59+'TUSD BF'!$S$59+'TUSD CVA'!$S$59)*1</f>
        <v>0</v>
      </c>
      <c r="T59" s="13">
        <f>('TUSD BE'!$U$59+'TUSD BF'!$U$59+'TUSD CVA'!$U$59)*1</f>
        <v>28.800274904265144</v>
      </c>
      <c r="U59" s="13">
        <f>('TUSD BE'!$V$59+'TUSD BF'!$V$59+'TUSD CVA'!$V$59)*1</f>
        <v>13.569462254604794</v>
      </c>
      <c r="V59" s="13">
        <f>('TUSD BE'!$W$59+'TUSD BF'!$W$59+'TUSD CVA'!$W$59)*1</f>
        <v>0</v>
      </c>
      <c r="W59" s="13">
        <f>('TUSD BE'!$X$59+'TUSD BF'!$X$59+'TUSD CVA'!$X$59)*1</f>
        <v>0</v>
      </c>
      <c r="X59" s="13">
        <f>('TUSD BE'!$Y$59+'TUSD BF'!$Y$59+'TUSD CVA'!$Y$59)*1</f>
        <v>0</v>
      </c>
      <c r="Y59" s="13">
        <f>('TUSD BE'!$Z$59+'TUSD BF'!$Z$59+'TUSD CVA'!$Z$59)*1</f>
        <v>0</v>
      </c>
      <c r="Z59" s="13">
        <f>('TUSD BE'!$AA$59+'TUSD BF'!$AA$59+'TUSD CVA'!$AA$59)*1</f>
        <v>0</v>
      </c>
      <c r="AA59" s="13">
        <f>('TUSD BE'!$AC$59+'TUSD BF'!$AC$59+'TUSD CVA'!$AC$59)*1</f>
        <v>172.48549194323778</v>
      </c>
      <c r="AB59" s="13">
        <f ca="1">('TUSD BE'!$AE$59+'TUSD BF'!$AE$59+'TUSD CVA'!$AE$59)*1</f>
        <v>-15.687670045476205</v>
      </c>
      <c r="AC59" s="13">
        <f ca="1">('TUSD BE'!$AF$59+'TUSD BF'!$AF$59+'TUSD CVA'!$AF$59)*1</f>
        <v>0</v>
      </c>
      <c r="AD59" s="13">
        <f>('TUSD BE'!$AH$59+'TUSD BF'!$AH$59+'TUSD CVA'!$AH$59)*1</f>
        <v>24.295181389723755</v>
      </c>
      <c r="AE59" s="13">
        <f>('TUSD BE'!$AI$59+'TUSD BF'!$AI$59+'TUSD CVA'!$AI$59)*1</f>
        <v>0.71491712470465141</v>
      </c>
      <c r="AF59" s="13">
        <f ca="1">('TUSD BE'!$AJ$59+'TUSD BF'!$AJ$59+'TUSD CVA'!$AJ$59)*1</f>
        <v>1.6300561171196377</v>
      </c>
      <c r="AG59" s="13">
        <f ca="1">('TUSD BE'!$AK$59+'TUSD BF'!$AK$59+'TUSD CVA'!$AK$59)*1</f>
        <v>0.37912792150787922</v>
      </c>
      <c r="AI59" s="13">
        <v>12.9093787548588</v>
      </c>
      <c r="AJ59" s="13">
        <v>0.949114874977946</v>
      </c>
      <c r="AK59" s="13">
        <v>2.4999939670999902</v>
      </c>
      <c r="AL59" s="13">
        <v>0</v>
      </c>
      <c r="AM59" s="13">
        <v>0</v>
      </c>
      <c r="AN59" s="13">
        <v>58.3828796200117</v>
      </c>
      <c r="AO59" s="13">
        <v>12.752028686941999</v>
      </c>
      <c r="AP59" s="13">
        <v>0</v>
      </c>
      <c r="AQ59" s="13">
        <v>22.6460273435681</v>
      </c>
      <c r="AR59" s="13">
        <v>12.104758355354599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161.797348851527</v>
      </c>
      <c r="AY59" s="13">
        <v>-17.7528251711019</v>
      </c>
      <c r="AZ59" s="13">
        <v>0</v>
      </c>
      <c r="BA59" s="13">
        <v>26.251788200290299</v>
      </c>
      <c r="BB59" s="13">
        <v>0.69581598053477101</v>
      </c>
      <c r="BC59" s="13">
        <v>1.7652713629510499</v>
      </c>
      <c r="BD59" s="13">
        <v>0.61306973354856997</v>
      </c>
    </row>
    <row r="60" spans="1:56" ht="11.25" customHeight="1" x14ac:dyDescent="0.3">
      <c r="A60" s="137"/>
      <c r="B60" s="17" t="s">
        <v>23</v>
      </c>
      <c r="C60" s="17" t="s">
        <v>25</v>
      </c>
      <c r="D60" s="17" t="s">
        <v>25</v>
      </c>
      <c r="E60" s="17" t="s">
        <v>25</v>
      </c>
      <c r="F60" s="17" t="s">
        <v>25</v>
      </c>
      <c r="G60" s="18" t="s">
        <v>83</v>
      </c>
      <c r="H60" s="18" t="s">
        <v>79</v>
      </c>
      <c r="I60" s="18">
        <f>'MERCADO TUSD'!$U$57</f>
        <v>24187.291000000001</v>
      </c>
      <c r="J60" s="15"/>
      <c r="L60" s="13">
        <f>('TUSD BE'!$L$60+'TUSD BF'!$L$60+'TUSD CVA'!$L$60)*1</f>
        <v>14.13287510094759</v>
      </c>
      <c r="M60" s="13">
        <f>('TUSD BE'!$M$60+'TUSD BF'!$M$60+'TUSD CVA'!$M$60)*1</f>
        <v>1.0202288368783829</v>
      </c>
      <c r="N60" s="13">
        <f ca="1">('TUSD BE'!$N$60+'TUSD BF'!$N$60+'TUSD CVA'!$N$60)*1</f>
        <v>3.7396925496587388</v>
      </c>
      <c r="O60" s="13">
        <f>('TUSD BE'!$O$60+'TUSD BF'!$O$60+'TUSD CVA'!$O$60)*1</f>
        <v>0</v>
      </c>
      <c r="P60" s="13">
        <f>('TUSD BE'!$P$60+'TUSD BF'!$P$60+'TUSD CVA'!$P$60)*1</f>
        <v>0</v>
      </c>
      <c r="Q60" s="13">
        <f>('TUSD BE'!$Q$60+'TUSD BF'!$Q$60+'TUSD CVA'!$Q$60)*1</f>
        <v>124.14054560747164</v>
      </c>
      <c r="R60" s="13">
        <f>('TUSD BE'!$R$60+'TUSD BF'!$R$60+'TUSD CVA'!$R$60)*1</f>
        <v>20.465299872876649</v>
      </c>
      <c r="S60" s="13">
        <f>('TUSD BE'!$S$60+'TUSD BF'!$S$60+'TUSD CVA'!$S$60)*1</f>
        <v>0</v>
      </c>
      <c r="T60" s="13">
        <f>('TUSD BE'!$U$60+'TUSD BF'!$U$60+'TUSD CVA'!$U$60)*1</f>
        <v>41.73953701816454</v>
      </c>
      <c r="U60" s="13">
        <f>('TUSD BE'!$V$60+'TUSD BF'!$V$60+'TUSD CVA'!$V$60)*1</f>
        <v>19.665986229493026</v>
      </c>
      <c r="V60" s="13">
        <f>('TUSD BE'!$W$60+'TUSD BF'!$W$60+'TUSD CVA'!$W$60)*1</f>
        <v>0</v>
      </c>
      <c r="W60" s="13">
        <f>('TUSD BE'!$X$60+'TUSD BF'!$X$60+'TUSD CVA'!$X$60)*1</f>
        <v>0</v>
      </c>
      <c r="X60" s="13">
        <f>('TUSD BE'!$Y$60+'TUSD BF'!$Y$60+'TUSD CVA'!$Y$60)*1</f>
        <v>0</v>
      </c>
      <c r="Y60" s="13">
        <f>('TUSD BE'!$Z$60+'TUSD BF'!$Z$60+'TUSD CVA'!$Z$60)*1</f>
        <v>0</v>
      </c>
      <c r="Z60" s="13">
        <f>('TUSD BE'!$AA$60+'TUSD BF'!$AA$60+'TUSD CVA'!$AA$60)*1</f>
        <v>0</v>
      </c>
      <c r="AA60" s="13">
        <f>('TUSD BE'!$AC$60+'TUSD BF'!$AC$60+'TUSD CVA'!$AC$60)*1</f>
        <v>249.97889535353124</v>
      </c>
      <c r="AB60" s="13">
        <f ca="1">('TUSD BE'!$AE$60+'TUSD BF'!$AE$60+'TUSD CVA'!$AE$60)*1</f>
        <v>-19.834981053784773</v>
      </c>
      <c r="AC60" s="13">
        <f ca="1">('TUSD BE'!$AF$60+'TUSD BF'!$AF$60+'TUSD CVA'!$AF$60)*1</f>
        <v>0</v>
      </c>
      <c r="AD60" s="13">
        <f>('TUSD BE'!$AH$60+'TUSD BF'!$AH$60+'TUSD CVA'!$AH$60)*1</f>
        <v>24.295181389723755</v>
      </c>
      <c r="AE60" s="13">
        <f>('TUSD BE'!$AI$60+'TUSD BF'!$AI$60+'TUSD CVA'!$AI$60)*1</f>
        <v>0.71491712470465141</v>
      </c>
      <c r="AF60" s="13">
        <f ca="1">('TUSD BE'!$AJ$60+'TUSD BF'!$AJ$60+'TUSD CVA'!$AJ$60)*1</f>
        <v>1.6300561171196377</v>
      </c>
      <c r="AG60" s="13">
        <f ca="1">('TUSD BE'!$AK$60+'TUSD BF'!$AK$60+'TUSD CVA'!$AK$60)*1</f>
        <v>0.37912792150787922</v>
      </c>
      <c r="AI60" s="13">
        <v>12.9093787548588</v>
      </c>
      <c r="AJ60" s="13">
        <v>0.949114874977946</v>
      </c>
      <c r="AK60" s="13">
        <v>3.3784388828933398</v>
      </c>
      <c r="AL60" s="13">
        <v>0</v>
      </c>
      <c r="AM60" s="13">
        <v>0</v>
      </c>
      <c r="AN60" s="13">
        <v>58.3828796200117</v>
      </c>
      <c r="AO60" s="13">
        <v>12.752028686941999</v>
      </c>
      <c r="AP60" s="13">
        <v>0</v>
      </c>
      <c r="AQ60" s="13">
        <v>32.820335908711897</v>
      </c>
      <c r="AR60" s="13">
        <v>17.543216279404302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234.48883776465499</v>
      </c>
      <c r="AY60" s="13">
        <v>-22.9264317846593</v>
      </c>
      <c r="AZ60" s="13">
        <v>0</v>
      </c>
      <c r="BA60" s="13">
        <v>26.251788200290299</v>
      </c>
      <c r="BB60" s="13">
        <v>0.69581598053477101</v>
      </c>
      <c r="BC60" s="13">
        <v>1.7652713629510499</v>
      </c>
      <c r="BD60" s="13">
        <v>0.61306973354856997</v>
      </c>
    </row>
    <row r="61" spans="1:56" ht="11.25" customHeight="1" x14ac:dyDescent="0.3">
      <c r="A61" s="137"/>
      <c r="B61" s="17" t="s">
        <v>93</v>
      </c>
      <c r="C61" s="17" t="s">
        <v>25</v>
      </c>
      <c r="D61" s="17" t="s">
        <v>25</v>
      </c>
      <c r="E61" s="17" t="s">
        <v>25</v>
      </c>
      <c r="F61" s="17" t="s">
        <v>25</v>
      </c>
      <c r="G61" s="18" t="s">
        <v>83</v>
      </c>
      <c r="H61" s="18" t="s">
        <v>79</v>
      </c>
      <c r="I61" s="18">
        <f>'MERCADO TUSD'!$U$58</f>
        <v>0</v>
      </c>
      <c r="J61" s="15"/>
      <c r="L61" s="13">
        <f>('TUSD BE'!$L$61+'TUSD BF'!$L$61+'TUSD CVA'!$L$61)*1</f>
        <v>14.13287510094759</v>
      </c>
      <c r="M61" s="13">
        <f>('TUSD BE'!$M$61+'TUSD BF'!$M$61+'TUSD CVA'!$M$61)*1</f>
        <v>1.0202288368783829</v>
      </c>
      <c r="N61" s="13">
        <f ca="1">('TUSD BE'!$N$61+'TUSD BF'!$N$61+'TUSD CVA'!$N$61)*1</f>
        <v>3.7396925496587388</v>
      </c>
      <c r="O61" s="13">
        <f>('TUSD BE'!$O$61+'TUSD BF'!$O$61+'TUSD CVA'!$O$61)*1</f>
        <v>0</v>
      </c>
      <c r="P61" s="13">
        <f>('TUSD BE'!$P$61+'TUSD BF'!$P$61+'TUSD CVA'!$P$61)*1</f>
        <v>0</v>
      </c>
      <c r="Q61" s="13">
        <f>('TUSD BE'!$Q$61+'TUSD BF'!$Q$61+'TUSD CVA'!$Q$61)*1</f>
        <v>124.14054560747164</v>
      </c>
      <c r="R61" s="13">
        <f>('TUSD BE'!$R$61+'TUSD BF'!$R$61+'TUSD CVA'!$R$61)*1</f>
        <v>20.465299872876649</v>
      </c>
      <c r="S61" s="13">
        <f>('TUSD BE'!$S$61+'TUSD BF'!$S$61+'TUSD CVA'!$S$61)*1</f>
        <v>0</v>
      </c>
      <c r="T61" s="13">
        <f>('TUSD BE'!$U$61+'TUSD BF'!$U$61+'TUSD CVA'!$U$61)*1</f>
        <v>41.73953701816454</v>
      </c>
      <c r="U61" s="13">
        <f>('TUSD BE'!$V$61+'TUSD BF'!$V$61+'TUSD CVA'!$V$61)*1</f>
        <v>19.665986229493026</v>
      </c>
      <c r="V61" s="13">
        <f>('TUSD BE'!$W$61+'TUSD BF'!$W$61+'TUSD CVA'!$W$61)*1</f>
        <v>0</v>
      </c>
      <c r="W61" s="13">
        <f>('TUSD BE'!$X$61+'TUSD BF'!$X$61+'TUSD CVA'!$X$61)*1</f>
        <v>0</v>
      </c>
      <c r="X61" s="13">
        <f>('TUSD BE'!$Y$61+'TUSD BF'!$Y$61+'TUSD CVA'!$Y$61)*1</f>
        <v>0</v>
      </c>
      <c r="Y61" s="13">
        <f>('TUSD BE'!$Z$61+'TUSD BF'!$Z$61+'TUSD CVA'!$Z$61)*1</f>
        <v>0</v>
      </c>
      <c r="Z61" s="13">
        <f>('TUSD BE'!$AA$61+'TUSD BF'!$AA$61+'TUSD CVA'!$AA$61)*1</f>
        <v>0</v>
      </c>
      <c r="AA61" s="13">
        <f>('TUSD BE'!$AC$61+'TUSD BF'!$AC$61+'TUSD CVA'!$AC$61)*1</f>
        <v>249.97889535353124</v>
      </c>
      <c r="AB61" s="13">
        <f ca="1">('TUSD BE'!$AE$61+'TUSD BF'!$AE$61+'TUSD CVA'!$AE$61)*1</f>
        <v>-19.834981053784773</v>
      </c>
      <c r="AC61" s="13">
        <f ca="1">('TUSD BE'!$AF$61+'TUSD BF'!$AF$61+'TUSD CVA'!$AF$61)*1</f>
        <v>0</v>
      </c>
      <c r="AD61" s="13">
        <f>('TUSD BE'!$AH$61+'TUSD BF'!$AH$61+'TUSD CVA'!$AH$61)*1</f>
        <v>24.295181389723755</v>
      </c>
      <c r="AE61" s="13">
        <f>('TUSD BE'!$AI$61+'TUSD BF'!$AI$61+'TUSD CVA'!$AI$61)*1</f>
        <v>0.71491712470465141</v>
      </c>
      <c r="AF61" s="13">
        <f ca="1">('TUSD BE'!$AJ$61+'TUSD BF'!$AJ$61+'TUSD CVA'!$AJ$61)*1</f>
        <v>1.6300561171196377</v>
      </c>
      <c r="AG61" s="13">
        <f ca="1">('TUSD BE'!$AK$61+'TUSD BF'!$AK$61+'TUSD CVA'!$AK$61)*1</f>
        <v>0.37912792150787922</v>
      </c>
      <c r="AI61" s="13">
        <v>12.9093787548588</v>
      </c>
      <c r="AJ61" s="13">
        <v>0.949114874977946</v>
      </c>
      <c r="AK61" s="13">
        <v>3.3784388828933398</v>
      </c>
      <c r="AL61" s="13">
        <v>0</v>
      </c>
      <c r="AM61" s="13">
        <v>0</v>
      </c>
      <c r="AN61" s="13">
        <v>58.3828796200117</v>
      </c>
      <c r="AO61" s="13">
        <v>12.752028686941999</v>
      </c>
      <c r="AP61" s="13">
        <v>0</v>
      </c>
      <c r="AQ61" s="13">
        <v>32.820335908711897</v>
      </c>
      <c r="AR61" s="13">
        <v>17.543216279404302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234.48883776465499</v>
      </c>
      <c r="AY61" s="13">
        <v>-22.9264317846593</v>
      </c>
      <c r="AZ61" s="13">
        <v>0</v>
      </c>
      <c r="BA61" s="13">
        <v>26.251788200290299</v>
      </c>
      <c r="BB61" s="13">
        <v>0.69581598053477101</v>
      </c>
      <c r="BC61" s="13">
        <v>1.7652713629510499</v>
      </c>
      <c r="BD61" s="13">
        <v>0.61306973354856997</v>
      </c>
    </row>
    <row r="62" spans="1:56" ht="11.25" customHeight="1" x14ac:dyDescent="0.3">
      <c r="A62" s="137" t="s">
        <v>47</v>
      </c>
      <c r="B62" s="137" t="s">
        <v>23</v>
      </c>
      <c r="C62" s="137" t="s">
        <v>48</v>
      </c>
      <c r="D62" s="17" t="s">
        <v>49</v>
      </c>
      <c r="E62" s="17" t="s">
        <v>25</v>
      </c>
      <c r="F62" s="17" t="s">
        <v>25</v>
      </c>
      <c r="G62" s="18" t="s">
        <v>83</v>
      </c>
      <c r="H62" s="18" t="s">
        <v>79</v>
      </c>
      <c r="I62" s="18">
        <f>'MERCADO TUSD'!$U$59</f>
        <v>5104.487000000001</v>
      </c>
      <c r="J62" s="15"/>
      <c r="L62" s="13">
        <f>('TUSD BE'!$L$62+'TUSD BF'!$L$62+'TUSD CVA'!$L$62)*1</f>
        <v>7.773081305521174</v>
      </c>
      <c r="M62" s="13">
        <f>('TUSD BE'!$M$62+'TUSD BF'!$M$62+'TUSD CVA'!$M$62)*1</f>
        <v>0.56112586028311073</v>
      </c>
      <c r="N62" s="13">
        <f ca="1">('TUSD BE'!$N$62+'TUSD BF'!$N$62+'TUSD CVA'!$N$62)*1</f>
        <v>2.0568309023123064</v>
      </c>
      <c r="O62" s="13">
        <f>('TUSD BE'!$O$62+'TUSD BF'!$O$62+'TUSD CVA'!$O$62)*1</f>
        <v>0</v>
      </c>
      <c r="P62" s="13">
        <f>('TUSD BE'!$P$62+'TUSD BF'!$P$62+'TUSD CVA'!$P$62)*1</f>
        <v>0</v>
      </c>
      <c r="Q62" s="13">
        <f>('TUSD BE'!$Q$62+'TUSD BF'!$Q$62+'TUSD CVA'!$Q$62)*1</f>
        <v>68.277300084109413</v>
      </c>
      <c r="R62" s="13">
        <f>('TUSD BE'!$R$62+'TUSD BF'!$R$62+'TUSD CVA'!$R$62)*1</f>
        <v>11.255914930082159</v>
      </c>
      <c r="S62" s="13">
        <f>('TUSD BE'!$S$62+'TUSD BF'!$S$62+'TUSD CVA'!$S$62)*1</f>
        <v>0</v>
      </c>
      <c r="T62" s="13">
        <f>('TUSD BE'!$U$62+'TUSD BF'!$U$62+'TUSD CVA'!$U$62)*1</f>
        <v>22.956745359990499</v>
      </c>
      <c r="U62" s="13">
        <f>('TUSD BE'!$V$62+'TUSD BF'!$V$62+'TUSD CVA'!$V$62)*1</f>
        <v>10.816292426221166</v>
      </c>
      <c r="V62" s="13">
        <f>('TUSD BE'!$W$62+'TUSD BF'!$W$62+'TUSD CVA'!$W$62)*1</f>
        <v>0</v>
      </c>
      <c r="W62" s="13">
        <f>('TUSD BE'!$X$62+'TUSD BF'!$X$62+'TUSD CVA'!$X$62)*1</f>
        <v>0</v>
      </c>
      <c r="X62" s="13">
        <f>('TUSD BE'!$Y$62+'TUSD BF'!$Y$62+'TUSD CVA'!$Y$62)*1</f>
        <v>0</v>
      </c>
      <c r="Y62" s="13">
        <f>('TUSD BE'!$Z$62+'TUSD BF'!$Z$62+'TUSD CVA'!$Z$62)*1</f>
        <v>0</v>
      </c>
      <c r="Z62" s="13">
        <f>('TUSD BE'!$AA$62+'TUSD BF'!$AA$62+'TUSD CVA'!$AA$62)*1</f>
        <v>0</v>
      </c>
      <c r="AA62" s="13">
        <f>('TUSD BE'!$AC$62+'TUSD BF'!$AC$62+'TUSD CVA'!$AC$62)*1</f>
        <v>137.48839244444218</v>
      </c>
      <c r="AB62" s="13">
        <f ca="1">('TUSD BE'!$AE$62+'TUSD BF'!$AE$62+'TUSD CVA'!$AE$62)*1</f>
        <v>-10.909239579581625</v>
      </c>
      <c r="AC62" s="13">
        <f ca="1">('TUSD BE'!$AF$62+'TUSD BF'!$AF$62+'TUSD CVA'!$AF$62)*1</f>
        <v>0</v>
      </c>
      <c r="AD62" s="13">
        <f>('TUSD BE'!$AH$62+'TUSD BF'!$AH$62+'TUSD CVA'!$AH$62)*1</f>
        <v>13.362349764348068</v>
      </c>
      <c r="AE62" s="13">
        <f>('TUSD BE'!$AI$62+'TUSD BF'!$AI$62+'TUSD CVA'!$AI$62)*1</f>
        <v>0.39320441858755828</v>
      </c>
      <c r="AF62" s="13">
        <f ca="1">('TUSD BE'!$AJ$62+'TUSD BF'!$AJ$62+'TUSD CVA'!$AJ$62)*1</f>
        <v>0.89653086441580077</v>
      </c>
      <c r="AG62" s="13">
        <f ca="1">('TUSD BE'!$AK$62+'TUSD BF'!$AK$62+'TUSD CVA'!$AK$62)*1</f>
        <v>0.20852035682933359</v>
      </c>
      <c r="AI62" s="13">
        <v>7.1001583151723597</v>
      </c>
      <c r="AJ62" s="13">
        <v>0.52201318123786999</v>
      </c>
      <c r="AK62" s="13">
        <v>1.85814138559134</v>
      </c>
      <c r="AL62" s="13">
        <v>0</v>
      </c>
      <c r="AM62" s="13">
        <v>0</v>
      </c>
      <c r="AN62" s="13">
        <v>32.110583791006398</v>
      </c>
      <c r="AO62" s="13">
        <v>7.0136157778181198</v>
      </c>
      <c r="AP62" s="13">
        <v>0</v>
      </c>
      <c r="AQ62" s="13">
        <v>18.051184749791599</v>
      </c>
      <c r="AR62" s="13">
        <v>9.64876895367237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128.96886077056001</v>
      </c>
      <c r="AY62" s="13">
        <v>-12.609537481562599</v>
      </c>
      <c r="AZ62" s="13">
        <v>0</v>
      </c>
      <c r="BA62" s="13">
        <v>14.438483510159701</v>
      </c>
      <c r="BB62" s="13">
        <v>0.38269878929412399</v>
      </c>
      <c r="BC62" s="13">
        <v>0.97089924962307605</v>
      </c>
      <c r="BD62" s="13">
        <v>0.337188353451713</v>
      </c>
    </row>
    <row r="63" spans="1:56" ht="11.25" customHeight="1" x14ac:dyDescent="0.3">
      <c r="A63" s="137"/>
      <c r="B63" s="137"/>
      <c r="C63" s="137"/>
      <c r="D63" s="18" t="s">
        <v>96</v>
      </c>
      <c r="E63" s="18" t="s">
        <v>25</v>
      </c>
      <c r="F63" s="18" t="s">
        <v>25</v>
      </c>
      <c r="G63" s="18" t="s">
        <v>83</v>
      </c>
      <c r="H63" s="18" t="s">
        <v>79</v>
      </c>
      <c r="I63" s="18">
        <f>'MERCADO TUSD'!$U$60</f>
        <v>0</v>
      </c>
      <c r="J63" s="15"/>
      <c r="L63" s="13">
        <f>('TUSD BE'!$L$63+'TUSD BF'!$L$63+'TUSD CVA'!$L$63)*1</f>
        <v>8.479725060568553</v>
      </c>
      <c r="M63" s="13">
        <f>('TUSD BE'!$M$63+'TUSD BF'!$M$63+'TUSD CVA'!$M$63)*1</f>
        <v>0.61213730212702977</v>
      </c>
      <c r="N63" s="13">
        <f ca="1">('TUSD BE'!$N$63+'TUSD BF'!$N$63+'TUSD CVA'!$N$63)*1</f>
        <v>2.2438155297952433</v>
      </c>
      <c r="O63" s="13">
        <f>('TUSD BE'!$O$63+'TUSD BF'!$O$63+'TUSD CVA'!$O$63)*1</f>
        <v>0</v>
      </c>
      <c r="P63" s="13">
        <f>('TUSD BE'!$P$63+'TUSD BF'!$P$63+'TUSD CVA'!$P$63)*1</f>
        <v>0</v>
      </c>
      <c r="Q63" s="13">
        <f>('TUSD BE'!$Q$63+'TUSD BF'!$Q$63+'TUSD CVA'!$Q$63)*1</f>
        <v>74.484327364482994</v>
      </c>
      <c r="R63" s="13">
        <f>('TUSD BE'!$R$63+'TUSD BF'!$R$63+'TUSD CVA'!$R$63)*1</f>
        <v>12.279179923725991</v>
      </c>
      <c r="S63" s="13">
        <f>('TUSD BE'!$S$63+'TUSD BF'!$S$63+'TUSD CVA'!$S$63)*1</f>
        <v>0</v>
      </c>
      <c r="T63" s="13">
        <f>('TUSD BE'!$U$63+'TUSD BF'!$U$63+'TUSD CVA'!$U$63)*1</f>
        <v>25.043722210898721</v>
      </c>
      <c r="U63" s="13">
        <f>('TUSD BE'!$V$63+'TUSD BF'!$V$63+'TUSD CVA'!$V$63)*1</f>
        <v>11.799591737695819</v>
      </c>
      <c r="V63" s="13">
        <f>('TUSD BE'!$W$63+'TUSD BF'!$W$63+'TUSD CVA'!$W$63)*1</f>
        <v>0</v>
      </c>
      <c r="W63" s="13">
        <f>('TUSD BE'!$X$63+'TUSD BF'!$X$63+'TUSD CVA'!$X$63)*1</f>
        <v>0</v>
      </c>
      <c r="X63" s="13">
        <f>('TUSD BE'!$Y$63+'TUSD BF'!$Y$63+'TUSD CVA'!$Y$63)*1</f>
        <v>0</v>
      </c>
      <c r="Y63" s="13">
        <f>('TUSD BE'!$Z$63+'TUSD BF'!$Z$63+'TUSD CVA'!$Z$63)*1</f>
        <v>0</v>
      </c>
      <c r="Z63" s="13">
        <f>('TUSD BE'!$AA$63+'TUSD BF'!$AA$63+'TUSD CVA'!$AA$63)*1</f>
        <v>0</v>
      </c>
      <c r="AA63" s="13">
        <f>('TUSD BE'!$AC$63+'TUSD BF'!$AC$63+'TUSD CVA'!$AC$63)*1</f>
        <v>149.98733721211875</v>
      </c>
      <c r="AB63" s="13">
        <f ca="1">('TUSD BE'!$AE$63+'TUSD BF'!$AE$63+'TUSD CVA'!$AE$63)*1</f>
        <v>-11.900988632270863</v>
      </c>
      <c r="AC63" s="13">
        <f ca="1">('TUSD BE'!$AF$63+'TUSD BF'!$AF$63+'TUSD CVA'!$AF$63)*1</f>
        <v>0</v>
      </c>
      <c r="AD63" s="13">
        <f>('TUSD BE'!$AH$63+'TUSD BF'!$AH$63+'TUSD CVA'!$AH$63)*1</f>
        <v>14.577108833834254</v>
      </c>
      <c r="AE63" s="13">
        <f>('TUSD BE'!$AI$63+'TUSD BF'!$AI$63+'TUSD CVA'!$AI$63)*1</f>
        <v>0.42895027482279086</v>
      </c>
      <c r="AF63" s="13">
        <f ca="1">('TUSD BE'!$AJ$63+'TUSD BF'!$AJ$63+'TUSD CVA'!$AJ$63)*1</f>
        <v>0.97803367027178267</v>
      </c>
      <c r="AG63" s="13">
        <f ca="1">('TUSD BE'!$AK$63+'TUSD BF'!$AK$63+'TUSD CVA'!$AK$63)*1</f>
        <v>0.22747675290472752</v>
      </c>
      <c r="AI63" s="13">
        <v>7.7456272529153001</v>
      </c>
      <c r="AJ63" s="13">
        <v>0.56946892498676804</v>
      </c>
      <c r="AK63" s="13">
        <v>2.0270633297360101</v>
      </c>
      <c r="AL63" s="13">
        <v>0</v>
      </c>
      <c r="AM63" s="13">
        <v>0</v>
      </c>
      <c r="AN63" s="13">
        <v>35.029727772007</v>
      </c>
      <c r="AO63" s="13">
        <v>7.6512172121652204</v>
      </c>
      <c r="AP63" s="13">
        <v>0</v>
      </c>
      <c r="AQ63" s="13">
        <v>19.6922015452271</v>
      </c>
      <c r="AR63" s="13">
        <v>10.5259297676426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140.69330265879299</v>
      </c>
      <c r="AY63" s="13">
        <v>-13.7558590707956</v>
      </c>
      <c r="AZ63" s="13">
        <v>0</v>
      </c>
      <c r="BA63" s="13">
        <v>15.751072920174201</v>
      </c>
      <c r="BB63" s="13">
        <v>0.41748958832086303</v>
      </c>
      <c r="BC63" s="13">
        <v>1.05916281777063</v>
      </c>
      <c r="BD63" s="13">
        <v>0.36784184012914201</v>
      </c>
    </row>
    <row r="65" spans="1:56" ht="11.25" customHeight="1" x14ac:dyDescent="0.3">
      <c r="L65" s="138" t="s">
        <v>1009</v>
      </c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8"/>
      <c r="AI65" s="138" t="s">
        <v>1010</v>
      </c>
      <c r="AJ65" s="138"/>
      <c r="AK65" s="138"/>
      <c r="AL65" s="138"/>
      <c r="AM65" s="138"/>
      <c r="AN65" s="138"/>
      <c r="AO65" s="138"/>
      <c r="AP65" s="138"/>
      <c r="AQ65" s="138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</row>
    <row r="66" spans="1:56" ht="11.25" customHeight="1" x14ac:dyDescent="0.3">
      <c r="L66" s="138" t="s">
        <v>615</v>
      </c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8"/>
      <c r="AI66" s="138" t="s">
        <v>615</v>
      </c>
      <c r="AJ66" s="138"/>
      <c r="AK66" s="138"/>
      <c r="AL66" s="138"/>
      <c r="AM66" s="138"/>
      <c r="AN66" s="138"/>
      <c r="AO66" s="138"/>
      <c r="AP66" s="138"/>
      <c r="AQ66" s="138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</row>
    <row r="67" spans="1:56" ht="11.25" customHeight="1" x14ac:dyDescent="0.3">
      <c r="L67" s="138" t="s">
        <v>616</v>
      </c>
      <c r="M67" s="138"/>
      <c r="N67" s="138"/>
      <c r="O67" s="138"/>
      <c r="P67" s="138"/>
      <c r="Q67" s="138"/>
      <c r="R67" s="138"/>
      <c r="S67" s="138"/>
      <c r="T67" s="138" t="s">
        <v>625</v>
      </c>
      <c r="U67" s="138"/>
      <c r="V67" s="138"/>
      <c r="W67" s="138"/>
      <c r="X67" s="138"/>
      <c r="Y67" s="138"/>
      <c r="Z67" s="138"/>
      <c r="AA67" s="10" t="s">
        <v>633</v>
      </c>
      <c r="AB67" s="138" t="s">
        <v>635</v>
      </c>
      <c r="AC67" s="138"/>
      <c r="AD67" s="138" t="s">
        <v>638</v>
      </c>
      <c r="AE67" s="138"/>
      <c r="AF67" s="138"/>
      <c r="AG67" s="138"/>
      <c r="AI67" s="138" t="s">
        <v>616</v>
      </c>
      <c r="AJ67" s="138"/>
      <c r="AK67" s="138"/>
      <c r="AL67" s="138"/>
      <c r="AM67" s="138"/>
      <c r="AN67" s="138"/>
      <c r="AO67" s="138"/>
      <c r="AP67" s="138"/>
      <c r="AQ67" s="138" t="s">
        <v>625</v>
      </c>
      <c r="AR67" s="138"/>
      <c r="AS67" s="138"/>
      <c r="AT67" s="138"/>
      <c r="AU67" s="138"/>
      <c r="AV67" s="138"/>
      <c r="AW67" s="138"/>
      <c r="AX67" s="10" t="s">
        <v>633</v>
      </c>
      <c r="AY67" s="138" t="s">
        <v>635</v>
      </c>
      <c r="AZ67" s="138"/>
      <c r="BA67" s="138" t="s">
        <v>638</v>
      </c>
      <c r="BB67" s="138"/>
      <c r="BC67" s="138"/>
      <c r="BD67" s="138"/>
    </row>
    <row r="68" spans="1:56" ht="11.25" customHeight="1" x14ac:dyDescent="0.3">
      <c r="L68" s="10" t="s">
        <v>701</v>
      </c>
      <c r="M68" s="10" t="s">
        <v>617</v>
      </c>
      <c r="N68" s="10" t="s">
        <v>618</v>
      </c>
      <c r="O68" s="10" t="s">
        <v>619</v>
      </c>
      <c r="P68" s="10" t="s">
        <v>620</v>
      </c>
      <c r="Q68" s="10" t="s">
        <v>621</v>
      </c>
      <c r="R68" s="10" t="s">
        <v>622</v>
      </c>
      <c r="S68" s="10" t="s">
        <v>623</v>
      </c>
      <c r="T68" s="10" t="s">
        <v>626</v>
      </c>
      <c r="U68" s="10" t="s">
        <v>627</v>
      </c>
      <c r="V68" s="10" t="s">
        <v>628</v>
      </c>
      <c r="W68" s="10" t="s">
        <v>629</v>
      </c>
      <c r="X68" s="10" t="s">
        <v>630</v>
      </c>
      <c r="Y68" s="10" t="s">
        <v>631</v>
      </c>
      <c r="Z68" s="10" t="s">
        <v>632</v>
      </c>
      <c r="AA68" s="10" t="s">
        <v>634</v>
      </c>
      <c r="AB68" s="10" t="s">
        <v>636</v>
      </c>
      <c r="AC68" s="10" t="s">
        <v>637</v>
      </c>
      <c r="AD68" s="10" t="s">
        <v>639</v>
      </c>
      <c r="AE68" s="10" t="s">
        <v>640</v>
      </c>
      <c r="AF68" s="10" t="s">
        <v>641</v>
      </c>
      <c r="AG68" s="10" t="s">
        <v>642</v>
      </c>
      <c r="AI68" s="10" t="s">
        <v>701</v>
      </c>
      <c r="AJ68" s="10" t="s">
        <v>617</v>
      </c>
      <c r="AK68" s="10" t="s">
        <v>618</v>
      </c>
      <c r="AL68" s="10" t="s">
        <v>619</v>
      </c>
      <c r="AM68" s="10" t="s">
        <v>620</v>
      </c>
      <c r="AN68" s="10" t="s">
        <v>621</v>
      </c>
      <c r="AO68" s="10" t="s">
        <v>622</v>
      </c>
      <c r="AP68" s="10" t="s">
        <v>623</v>
      </c>
      <c r="AQ68" s="10" t="s">
        <v>626</v>
      </c>
      <c r="AR68" s="10" t="s">
        <v>627</v>
      </c>
      <c r="AS68" s="10" t="s">
        <v>628</v>
      </c>
      <c r="AT68" s="10" t="s">
        <v>629</v>
      </c>
      <c r="AU68" s="10" t="s">
        <v>630</v>
      </c>
      <c r="AV68" s="10" t="s">
        <v>631</v>
      </c>
      <c r="AW68" s="10" t="s">
        <v>632</v>
      </c>
      <c r="AX68" s="10" t="s">
        <v>634</v>
      </c>
      <c r="AY68" s="10" t="s">
        <v>636</v>
      </c>
      <c r="AZ68" s="10" t="s">
        <v>637</v>
      </c>
      <c r="BA68" s="10" t="s">
        <v>639</v>
      </c>
      <c r="BB68" s="10" t="s">
        <v>640</v>
      </c>
      <c r="BC68" s="10" t="s">
        <v>641</v>
      </c>
      <c r="BD68" s="10" t="s">
        <v>642</v>
      </c>
    </row>
    <row r="69" spans="1:56" ht="11.25" customHeight="1" x14ac:dyDescent="0.3">
      <c r="A69" s="9" t="s">
        <v>45</v>
      </c>
      <c r="B69" s="9" t="s">
        <v>1011</v>
      </c>
      <c r="C69" s="9" t="s">
        <v>1012</v>
      </c>
      <c r="D69" s="9" t="s">
        <v>1013</v>
      </c>
      <c r="E69" s="9" t="s">
        <v>1014</v>
      </c>
      <c r="F69" s="9" t="s">
        <v>1015</v>
      </c>
      <c r="G69" s="9" t="s">
        <v>1016</v>
      </c>
      <c r="L69" s="13">
        <f>$I$5*$L$5</f>
        <v>0</v>
      </c>
      <c r="M69" s="13">
        <f>$I$5*$M$5</f>
        <v>0</v>
      </c>
      <c r="N69" s="13">
        <f ca="1">$I$5*$N$5</f>
        <v>0</v>
      </c>
      <c r="O69" s="13">
        <f>$I$5*$O$5</f>
        <v>0</v>
      </c>
      <c r="P69" s="13">
        <f>$I$5*$P$5</f>
        <v>0</v>
      </c>
      <c r="Q69" s="13">
        <f>$I$5*$Q$5</f>
        <v>0</v>
      </c>
      <c r="R69" s="13">
        <f>$I$5*$R$5</f>
        <v>0</v>
      </c>
      <c r="S69" s="13">
        <f>$I$5*$S$5</f>
        <v>0</v>
      </c>
      <c r="T69" s="13">
        <f>$I$5*$T$5</f>
        <v>35254.412958201887</v>
      </c>
      <c r="U69" s="13">
        <f>$I$5*$U$5</f>
        <v>16357.365965594116</v>
      </c>
      <c r="V69" s="13">
        <f>$I$5*$V$5</f>
        <v>0</v>
      </c>
      <c r="W69" s="13">
        <f>$I$5*$W$5</f>
        <v>0</v>
      </c>
      <c r="X69" s="13">
        <f>$I$5*$X$5</f>
        <v>0</v>
      </c>
      <c r="Y69" s="13">
        <f>$I$5*$Y$5</f>
        <v>0</v>
      </c>
      <c r="Z69" s="13">
        <f>$I$5*$Z$5</f>
        <v>0</v>
      </c>
      <c r="AA69" s="13">
        <f>$I$5*$AA$5</f>
        <v>173102.75047721685</v>
      </c>
      <c r="AB69" s="13">
        <f ca="1">$I$5*$AB$5</f>
        <v>-9532.1920115019711</v>
      </c>
      <c r="AC69" s="13">
        <f ca="1">$I$5*$AC$5</f>
        <v>0</v>
      </c>
      <c r="AD69" s="13">
        <f>$I$5*$AD$5</f>
        <v>0</v>
      </c>
      <c r="AE69" s="13">
        <f>$I$5*$AE$5</f>
        <v>0</v>
      </c>
      <c r="AF69" s="13">
        <f ca="1">$I$5*$AF$5</f>
        <v>0</v>
      </c>
      <c r="AG69" s="13">
        <f ca="1">$I$5*$AG$5</f>
        <v>0</v>
      </c>
      <c r="AI69" s="13">
        <f>$I$5*$AI$5</f>
        <v>0</v>
      </c>
      <c r="AJ69" s="13">
        <f>$I$5*$AJ$5</f>
        <v>0</v>
      </c>
      <c r="AK69" s="13">
        <f>$I$5*$AK$5</f>
        <v>0</v>
      </c>
      <c r="AL69" s="13">
        <f>$I$5*$AL$5</f>
        <v>0</v>
      </c>
      <c r="AM69" s="13">
        <f>$I$5*$AM$5</f>
        <v>0</v>
      </c>
      <c r="AN69" s="13">
        <f>$I$5*$AN$5</f>
        <v>0</v>
      </c>
      <c r="AO69" s="13">
        <f>$I$5*$AO$5</f>
        <v>0</v>
      </c>
      <c r="AP69" s="13">
        <f>$I$5*$AP$5</f>
        <v>0</v>
      </c>
      <c r="AQ69" s="13">
        <f>$I$5*$AQ$5</f>
        <v>27720.999278192583</v>
      </c>
      <c r="AR69" s="13">
        <f>$I$5*$AR$5</f>
        <v>14591.732423031528</v>
      </c>
      <c r="AS69" s="13">
        <f>$I$5*$AS$5</f>
        <v>0</v>
      </c>
      <c r="AT69" s="13">
        <f>$I$5*$AT$5</f>
        <v>0</v>
      </c>
      <c r="AU69" s="13">
        <f>$I$5*$AU$5</f>
        <v>0</v>
      </c>
      <c r="AV69" s="13">
        <f>$I$5*$AV$5</f>
        <v>0</v>
      </c>
      <c r="AW69" s="13">
        <f>$I$5*$AW$5</f>
        <v>0</v>
      </c>
      <c r="AX69" s="13">
        <f>$I$5*$AX$5</f>
        <v>162376.35867564968</v>
      </c>
      <c r="AY69" s="13">
        <f>$I$5*$AY$5</f>
        <v>-11875.88644080911</v>
      </c>
      <c r="AZ69" s="13">
        <f>$I$5*$AZ$5</f>
        <v>0</v>
      </c>
      <c r="BA69" s="13">
        <f>$I$5*$BA$5</f>
        <v>0</v>
      </c>
      <c r="BB69" s="13">
        <f>$I$5*$BB$5</f>
        <v>0</v>
      </c>
      <c r="BC69" s="13">
        <f>$I$5*$BC$5</f>
        <v>0</v>
      </c>
      <c r="BD69" s="13">
        <f>$I$5*$BD$5</f>
        <v>0</v>
      </c>
    </row>
    <row r="70" spans="1:56" ht="11.25" customHeight="1" x14ac:dyDescent="0.3">
      <c r="A70" s="9" t="s">
        <v>45</v>
      </c>
      <c r="B70" s="9" t="s">
        <v>1011</v>
      </c>
      <c r="C70" s="9" t="s">
        <v>1012</v>
      </c>
      <c r="D70" s="9" t="s">
        <v>1013</v>
      </c>
      <c r="E70" s="9" t="s">
        <v>1014</v>
      </c>
      <c r="F70" s="9" t="s">
        <v>1015</v>
      </c>
      <c r="G70" s="9" t="s">
        <v>1017</v>
      </c>
      <c r="L70" s="13">
        <f>$I$6*$L$6</f>
        <v>0</v>
      </c>
      <c r="M70" s="13">
        <f>$I$6*$M$6</f>
        <v>0</v>
      </c>
      <c r="N70" s="13">
        <f ca="1">$I$6*$N$6</f>
        <v>0</v>
      </c>
      <c r="O70" s="13">
        <f>$I$6*$O$6</f>
        <v>0</v>
      </c>
      <c r="P70" s="13">
        <f>$I$6*$P$6</f>
        <v>0</v>
      </c>
      <c r="Q70" s="13">
        <f>$I$6*$Q$6</f>
        <v>0</v>
      </c>
      <c r="R70" s="13">
        <f>$I$6*$R$6</f>
        <v>0</v>
      </c>
      <c r="S70" s="13">
        <f>$I$6*$S$6</f>
        <v>0</v>
      </c>
      <c r="T70" s="13">
        <f>$I$6*$T$6</f>
        <v>20425.130322872003</v>
      </c>
      <c r="U70" s="13">
        <f>$I$6*$U$6</f>
        <v>9816.1637852619278</v>
      </c>
      <c r="V70" s="13">
        <f>$I$6*$V$6</f>
        <v>0</v>
      </c>
      <c r="W70" s="13">
        <f>$I$6*$W$6</f>
        <v>0</v>
      </c>
      <c r="X70" s="13">
        <f>$I$6*$X$6</f>
        <v>0</v>
      </c>
      <c r="Y70" s="13">
        <f>$I$6*$Y$6</f>
        <v>0</v>
      </c>
      <c r="Z70" s="13">
        <f>$I$6*$Z$6</f>
        <v>0</v>
      </c>
      <c r="AA70" s="13">
        <f>$I$6*$AA$6</f>
        <v>64214.256908085685</v>
      </c>
      <c r="AB70" s="13">
        <f ca="1">$I$6*$AB$6</f>
        <v>-3977.771275325611</v>
      </c>
      <c r="AC70" s="13">
        <f ca="1">$I$6*$AC$6</f>
        <v>0</v>
      </c>
      <c r="AD70" s="13">
        <f>$I$6*$AD$6</f>
        <v>0</v>
      </c>
      <c r="AE70" s="13">
        <f>$I$6*$AE$6</f>
        <v>0</v>
      </c>
      <c r="AF70" s="13">
        <f ca="1">$I$6*$AF$6</f>
        <v>0</v>
      </c>
      <c r="AG70" s="13">
        <f ca="1">$I$6*$AG$6</f>
        <v>0</v>
      </c>
      <c r="AI70" s="13">
        <f>$I$6*$AI$6</f>
        <v>0</v>
      </c>
      <c r="AJ70" s="13">
        <f>$I$6*$AJ$6</f>
        <v>0</v>
      </c>
      <c r="AK70" s="13">
        <f>$I$6*$AK$6</f>
        <v>0</v>
      </c>
      <c r="AL70" s="13">
        <f>$I$6*$AL$6</f>
        <v>0</v>
      </c>
      <c r="AM70" s="13">
        <f>$I$6*$AM$6</f>
        <v>0</v>
      </c>
      <c r="AN70" s="13">
        <f>$I$6*$AN$6</f>
        <v>0</v>
      </c>
      <c r="AO70" s="13">
        <f>$I$6*$AO$6</f>
        <v>0</v>
      </c>
      <c r="AP70" s="13">
        <f>$I$6*$AP$6</f>
        <v>0</v>
      </c>
      <c r="AQ70" s="13">
        <f>$I$6*$AQ$6</f>
        <v>16060.543217912178</v>
      </c>
      <c r="AR70" s="13">
        <f>$I$6*$AR$6</f>
        <v>8756.5953880638535</v>
      </c>
      <c r="AS70" s="13">
        <f>$I$6*$AS$6</f>
        <v>0</v>
      </c>
      <c r="AT70" s="13">
        <f>$I$6*$AT$6</f>
        <v>0</v>
      </c>
      <c r="AU70" s="13">
        <f>$I$6*$AU$6</f>
        <v>0</v>
      </c>
      <c r="AV70" s="13">
        <f>$I$6*$AV$6</f>
        <v>0</v>
      </c>
      <c r="AW70" s="13">
        <f>$I$6*$AW$6</f>
        <v>0</v>
      </c>
      <c r="AX70" s="13">
        <f>$I$6*$AX$6</f>
        <v>60235.190850823637</v>
      </c>
      <c r="AY70" s="13">
        <f>$I$6*$AY$6</f>
        <v>-4934.8960529956657</v>
      </c>
      <c r="AZ70" s="13">
        <f>$I$6*$AZ$6</f>
        <v>0</v>
      </c>
      <c r="BA70" s="13">
        <f>$I$6*$BA$6</f>
        <v>0</v>
      </c>
      <c r="BB70" s="13">
        <f>$I$6*$BB$6</f>
        <v>0</v>
      </c>
      <c r="BC70" s="13">
        <f>$I$6*$BC$6</f>
        <v>0</v>
      </c>
      <c r="BD70" s="13">
        <f>$I$6*$BD$6</f>
        <v>0</v>
      </c>
    </row>
    <row r="71" spans="1:56" ht="11.25" customHeight="1" x14ac:dyDescent="0.3">
      <c r="A71" s="9" t="s">
        <v>45</v>
      </c>
      <c r="B71" s="9" t="s">
        <v>1011</v>
      </c>
      <c r="C71" s="9" t="s">
        <v>1012</v>
      </c>
      <c r="D71" s="9" t="s">
        <v>1013</v>
      </c>
      <c r="E71" s="9" t="s">
        <v>1014</v>
      </c>
      <c r="F71" s="9" t="s">
        <v>1015</v>
      </c>
      <c r="G71" s="9" t="s">
        <v>1018</v>
      </c>
      <c r="L71" s="13">
        <f>$I$7*$L$7</f>
        <v>20895.384041745499</v>
      </c>
      <c r="M71" s="13">
        <f>$I$7*$M$7</f>
        <v>885.36209964992236</v>
      </c>
      <c r="N71" s="13">
        <f ca="1">$I$7*$N$7</f>
        <v>547.5497533733261</v>
      </c>
      <c r="O71" s="13">
        <f>$I$7*$O$7</f>
        <v>0</v>
      </c>
      <c r="P71" s="13">
        <f>$I$7*$P$7</f>
        <v>0</v>
      </c>
      <c r="Q71" s="13">
        <f>$I$7*$Q$7</f>
        <v>183541.16604667515</v>
      </c>
      <c r="R71" s="13">
        <f>$I$7*$R$7</f>
        <v>36021.24035514854</v>
      </c>
      <c r="S71" s="13">
        <f>$I$7*$S$7</f>
        <v>0</v>
      </c>
      <c r="T71" s="13">
        <f>$I$7*$T$7</f>
        <v>0</v>
      </c>
      <c r="U71" s="13">
        <f>$I$7*$U$7</f>
        <v>0</v>
      </c>
      <c r="V71" s="13">
        <f>$I$7*$V$7</f>
        <v>0</v>
      </c>
      <c r="W71" s="13">
        <f>$I$7*$W$7</f>
        <v>0</v>
      </c>
      <c r="X71" s="13">
        <f>$I$7*$X$7</f>
        <v>0</v>
      </c>
      <c r="Y71" s="13">
        <f>$I$7*$Y$7</f>
        <v>0</v>
      </c>
      <c r="Z71" s="13">
        <f>$I$7*$Z$7</f>
        <v>0</v>
      </c>
      <c r="AA71" s="13">
        <f>$I$7*$AA$7</f>
        <v>0</v>
      </c>
      <c r="AB71" s="13">
        <f ca="1">$I$7*$AB$7</f>
        <v>-8999.3226412226704</v>
      </c>
      <c r="AC71" s="13">
        <f ca="1">$I$7*$AC$7</f>
        <v>0</v>
      </c>
      <c r="AD71" s="13">
        <f>$I$7*$AD$7</f>
        <v>20690.544270293467</v>
      </c>
      <c r="AE71" s="13">
        <f>$I$7*$AE$7</f>
        <v>608.84601687103077</v>
      </c>
      <c r="AF71" s="13">
        <f ca="1">$I$7*$AF$7</f>
        <v>1863.622634639029</v>
      </c>
      <c r="AG71" s="13">
        <f ca="1">$I$7*$AG$7</f>
        <v>433.4521790539531</v>
      </c>
      <c r="AI71" s="13">
        <f>$I$7*$AI$7</f>
        <v>19768.109870465261</v>
      </c>
      <c r="AJ71" s="13">
        <f>$I$7*$AJ$7</f>
        <v>743.42924589085783</v>
      </c>
      <c r="AK71" s="13">
        <f>$I$7*$AK$7</f>
        <v>488.30612703731197</v>
      </c>
      <c r="AL71" s="13">
        <f>$I$7*$AL$7</f>
        <v>0</v>
      </c>
      <c r="AM71" s="13">
        <f>$I$7*$AM$7</f>
        <v>0</v>
      </c>
      <c r="AN71" s="13">
        <f>$I$7*$AN$7</f>
        <v>89401.604895057215</v>
      </c>
      <c r="AO71" s="13">
        <f>$I$7*$AO$7</f>
        <v>22445.011468259545</v>
      </c>
      <c r="AP71" s="13">
        <f>$I$7*$AP$7</f>
        <v>0</v>
      </c>
      <c r="AQ71" s="13">
        <f>$I$7*$AQ$7</f>
        <v>0</v>
      </c>
      <c r="AR71" s="13">
        <f>$I$7*$AR$7</f>
        <v>0</v>
      </c>
      <c r="AS71" s="13">
        <f>$I$7*$AS$7</f>
        <v>0</v>
      </c>
      <c r="AT71" s="13">
        <f>$I$7*$AT$7</f>
        <v>0</v>
      </c>
      <c r="AU71" s="13">
        <f>$I$7*$AU$7</f>
        <v>0</v>
      </c>
      <c r="AV71" s="13">
        <f>$I$7*$AV$7</f>
        <v>0</v>
      </c>
      <c r="AW71" s="13">
        <f>$I$7*$AW$7</f>
        <v>0</v>
      </c>
      <c r="AX71" s="13">
        <f>$I$7*$AX$7</f>
        <v>0</v>
      </c>
      <c r="AY71" s="13">
        <f>$I$7*$AY$7</f>
        <v>-8669.6315400387248</v>
      </c>
      <c r="AZ71" s="13">
        <f>$I$7*$AZ$7</f>
        <v>0</v>
      </c>
      <c r="BA71" s="13">
        <f>$I$7*$BA$7</f>
        <v>22356.85246467101</v>
      </c>
      <c r="BB71" s="13">
        <f>$I$7*$BB$7</f>
        <v>592.57887884392699</v>
      </c>
      <c r="BC71" s="13">
        <f>$I$7*$BC$7</f>
        <v>1834.2256286269778</v>
      </c>
      <c r="BD71" s="13">
        <f>$I$7*$BD$7</f>
        <v>637.01719804168442</v>
      </c>
    </row>
    <row r="72" spans="1:56" ht="11.25" customHeight="1" x14ac:dyDescent="0.3">
      <c r="A72" s="9" t="s">
        <v>45</v>
      </c>
      <c r="B72" s="9" t="s">
        <v>1011</v>
      </c>
      <c r="C72" s="9" t="s">
        <v>1012</v>
      </c>
      <c r="D72" s="9" t="s">
        <v>1013</v>
      </c>
      <c r="E72" s="9" t="s">
        <v>1019</v>
      </c>
      <c r="F72" s="9" t="s">
        <v>1020</v>
      </c>
      <c r="G72" s="9" t="s">
        <v>1021</v>
      </c>
      <c r="L72" s="13">
        <f>$I$8*$L$8</f>
        <v>0</v>
      </c>
      <c r="M72" s="13">
        <f>$I$8*$M$8</f>
        <v>0</v>
      </c>
      <c r="N72" s="13">
        <f ca="1">$I$8*$N$8</f>
        <v>0</v>
      </c>
      <c r="O72" s="13">
        <f>$I$8*$O$8</f>
        <v>0</v>
      </c>
      <c r="P72" s="13">
        <f>$I$8*$P$8</f>
        <v>0</v>
      </c>
      <c r="Q72" s="13">
        <f>$I$8*$Q$8</f>
        <v>0</v>
      </c>
      <c r="R72" s="13">
        <f>$I$8*$R$8</f>
        <v>0</v>
      </c>
      <c r="S72" s="13">
        <f>$I$8*$S$8</f>
        <v>0</v>
      </c>
      <c r="T72" s="13">
        <f>$I$8*$T$8</f>
        <v>0</v>
      </c>
      <c r="U72" s="13">
        <f>$I$8*$U$8</f>
        <v>0</v>
      </c>
      <c r="V72" s="13">
        <f>$I$8*$V$8</f>
        <v>0</v>
      </c>
      <c r="W72" s="13">
        <f>$I$8*$W$8</f>
        <v>0</v>
      </c>
      <c r="X72" s="13">
        <f>$I$8*$X$8</f>
        <v>0</v>
      </c>
      <c r="Y72" s="13">
        <f>$I$8*$Y$8</f>
        <v>0</v>
      </c>
      <c r="Z72" s="13">
        <f>$I$8*$Z$8</f>
        <v>0</v>
      </c>
      <c r="AA72" s="13">
        <f>$I$8*$AA$8</f>
        <v>0</v>
      </c>
      <c r="AB72" s="13">
        <f ca="1">$I$8*$AB$8</f>
        <v>0</v>
      </c>
      <c r="AC72" s="13">
        <f ca="1">$I$8*$AC$8</f>
        <v>0</v>
      </c>
      <c r="AD72" s="13">
        <f>$I$8*$AD$8</f>
        <v>0</v>
      </c>
      <c r="AE72" s="13">
        <f>$I$8*$AE$8</f>
        <v>0</v>
      </c>
      <c r="AF72" s="13">
        <f ca="1">$I$8*$AF$8</f>
        <v>0</v>
      </c>
      <c r="AG72" s="13">
        <f ca="1">$I$8*$AG$8</f>
        <v>0</v>
      </c>
      <c r="AI72" s="13">
        <f>$I$8*$AI$8</f>
        <v>0</v>
      </c>
      <c r="AJ72" s="13">
        <f>$I$8*$AJ$8</f>
        <v>0</v>
      </c>
      <c r="AK72" s="13">
        <f>$I$8*$AK$8</f>
        <v>0</v>
      </c>
      <c r="AL72" s="13">
        <f>$I$8*$AL$8</f>
        <v>0</v>
      </c>
      <c r="AM72" s="13">
        <f>$I$8*$AM$8</f>
        <v>0</v>
      </c>
      <c r="AN72" s="13">
        <f>$I$8*$AN$8</f>
        <v>0</v>
      </c>
      <c r="AO72" s="13">
        <f>$I$8*$AO$8</f>
        <v>0</v>
      </c>
      <c r="AP72" s="13">
        <f>$I$8*$AP$8</f>
        <v>0</v>
      </c>
      <c r="AQ72" s="13">
        <f>$I$8*$AQ$8</f>
        <v>0</v>
      </c>
      <c r="AR72" s="13">
        <f>$I$8*$AR$8</f>
        <v>0</v>
      </c>
      <c r="AS72" s="13">
        <f>$I$8*$AS$8</f>
        <v>0</v>
      </c>
      <c r="AT72" s="13">
        <f>$I$8*$AT$8</f>
        <v>0</v>
      </c>
      <c r="AU72" s="13">
        <f>$I$8*$AU$8</f>
        <v>0</v>
      </c>
      <c r="AV72" s="13">
        <f>$I$8*$AV$8</f>
        <v>0</v>
      </c>
      <c r="AW72" s="13">
        <f>$I$8*$AW$8</f>
        <v>0</v>
      </c>
      <c r="AX72" s="13">
        <f>$I$8*$AX$8</f>
        <v>0</v>
      </c>
      <c r="AY72" s="13">
        <f>$I$8*$AY$8</f>
        <v>0</v>
      </c>
      <c r="AZ72" s="13">
        <f>$I$8*$AZ$8</f>
        <v>0</v>
      </c>
      <c r="BA72" s="13">
        <f>$I$8*$BA$8</f>
        <v>0</v>
      </c>
      <c r="BB72" s="13">
        <f>$I$8*$BB$8</f>
        <v>0</v>
      </c>
      <c r="BC72" s="13">
        <f>$I$8*$BC$8</f>
        <v>0</v>
      </c>
      <c r="BD72" s="13">
        <f>$I$8*$BD$8</f>
        <v>0</v>
      </c>
    </row>
    <row r="73" spans="1:56" ht="11.25" customHeight="1" x14ac:dyDescent="0.3">
      <c r="A73" s="9" t="s">
        <v>45</v>
      </c>
      <c r="B73" s="9" t="s">
        <v>1022</v>
      </c>
      <c r="C73" s="9" t="s">
        <v>1023</v>
      </c>
      <c r="D73" s="9" t="s">
        <v>1024</v>
      </c>
      <c r="E73" s="9" t="s">
        <v>1025</v>
      </c>
      <c r="F73" s="9" t="s">
        <v>1026</v>
      </c>
      <c r="G73" s="9" t="s">
        <v>1027</v>
      </c>
      <c r="L73" s="13">
        <f>$I$9*$L$9</f>
        <v>0</v>
      </c>
      <c r="M73" s="13">
        <f>$I$9*$M$9</f>
        <v>2514.7456173069886</v>
      </c>
      <c r="N73" s="13">
        <f ca="1">$I$9*$N$9</f>
        <v>7385.2289356725923</v>
      </c>
      <c r="O73" s="13">
        <f>$I$9*$O$9</f>
        <v>0</v>
      </c>
      <c r="P73" s="13">
        <f>$I$9*$P$9</f>
        <v>0</v>
      </c>
      <c r="Q73" s="13">
        <f>$I$9*$Q$9</f>
        <v>0</v>
      </c>
      <c r="R73" s="13">
        <f>$I$9*$R$9</f>
        <v>0</v>
      </c>
      <c r="S73" s="13">
        <f>$I$9*$S$9</f>
        <v>0</v>
      </c>
      <c r="T73" s="13">
        <f>$I$9*$T$9</f>
        <v>0</v>
      </c>
      <c r="U73" s="13">
        <f>$I$9*$U$9</f>
        <v>0</v>
      </c>
      <c r="V73" s="13">
        <f>$I$9*$V$9</f>
        <v>0</v>
      </c>
      <c r="W73" s="13">
        <f>$I$9*$W$9</f>
        <v>0</v>
      </c>
      <c r="X73" s="13">
        <f>$I$9*$X$9</f>
        <v>0</v>
      </c>
      <c r="Y73" s="13">
        <f>$I$9*$Y$9</f>
        <v>0</v>
      </c>
      <c r="Z73" s="13">
        <f>$I$9*$Z$9</f>
        <v>0</v>
      </c>
      <c r="AA73" s="13">
        <f>$I$9*$AA$9</f>
        <v>459345.47838888993</v>
      </c>
      <c r="AB73" s="13">
        <f ca="1">$I$9*$AB$9</f>
        <v>-20280.70830069506</v>
      </c>
      <c r="AC73" s="13">
        <f ca="1">$I$9*$AC$9</f>
        <v>0</v>
      </c>
      <c r="AD73" s="13">
        <f>$I$9*$AD$9</f>
        <v>250.99988940380476</v>
      </c>
      <c r="AE73" s="13">
        <f>$I$9*$AE$9</f>
        <v>0</v>
      </c>
      <c r="AF73" s="13">
        <f ca="1">$I$9*$AF$9</f>
        <v>0</v>
      </c>
      <c r="AG73" s="13">
        <f ca="1">$I$9*$AG$9</f>
        <v>0</v>
      </c>
      <c r="AI73" s="13">
        <f>$I$9*$AI$9</f>
        <v>0</v>
      </c>
      <c r="AJ73" s="13">
        <f>$I$9*$AJ$9</f>
        <v>2457.180288228064</v>
      </c>
      <c r="AK73" s="13">
        <f>$I$9*$AK$9</f>
        <v>6676.5637811697534</v>
      </c>
      <c r="AL73" s="13">
        <f>$I$9*$AL$9</f>
        <v>0</v>
      </c>
      <c r="AM73" s="13">
        <f>$I$9*$AM$9</f>
        <v>0</v>
      </c>
      <c r="AN73" s="13">
        <f>$I$9*$AN$9</f>
        <v>0</v>
      </c>
      <c r="AO73" s="13">
        <f>$I$9*$AO$9</f>
        <v>0</v>
      </c>
      <c r="AP73" s="13">
        <f>$I$9*$AP$9</f>
        <v>0</v>
      </c>
      <c r="AQ73" s="13">
        <f>$I$9*$AQ$9</f>
        <v>0</v>
      </c>
      <c r="AR73" s="13">
        <f>$I$9*$AR$9</f>
        <v>0</v>
      </c>
      <c r="AS73" s="13">
        <f>$I$9*$AS$9</f>
        <v>0</v>
      </c>
      <c r="AT73" s="13">
        <f>$I$9*$AT$9</f>
        <v>0</v>
      </c>
      <c r="AU73" s="13">
        <f>$I$9*$AU$9</f>
        <v>0</v>
      </c>
      <c r="AV73" s="13">
        <f>$I$9*$AV$9</f>
        <v>0</v>
      </c>
      <c r="AW73" s="13">
        <f>$I$9*$AW$9</f>
        <v>0</v>
      </c>
      <c r="AX73" s="13">
        <f>$I$9*$AX$9</f>
        <v>430881.9238821363</v>
      </c>
      <c r="AY73" s="13">
        <f>$I$9*$AY$9</f>
        <v>-25535.800123133617</v>
      </c>
      <c r="AZ73" s="13">
        <f>$I$9*$AZ$9</f>
        <v>0</v>
      </c>
      <c r="BA73" s="13">
        <f>$I$9*$BA$9</f>
        <v>271.2141074078184</v>
      </c>
      <c r="BB73" s="13">
        <f>$I$9*$BB$9</f>
        <v>0</v>
      </c>
      <c r="BC73" s="13">
        <f>$I$9*$BC$9</f>
        <v>0</v>
      </c>
      <c r="BD73" s="13">
        <f>$I$9*$BD$9</f>
        <v>0</v>
      </c>
    </row>
    <row r="74" spans="1:56" ht="11.25" customHeight="1" x14ac:dyDescent="0.3">
      <c r="A74" s="9" t="s">
        <v>45</v>
      </c>
      <c r="B74" s="9" t="s">
        <v>1028</v>
      </c>
      <c r="C74" s="9" t="s">
        <v>1029</v>
      </c>
      <c r="D74" s="9" t="s">
        <v>1030</v>
      </c>
      <c r="E74" s="9" t="s">
        <v>1031</v>
      </c>
      <c r="F74" s="9" t="s">
        <v>1032</v>
      </c>
      <c r="G74" s="9" t="s">
        <v>1033</v>
      </c>
      <c r="L74" s="13">
        <f>$I$10*$L$10</f>
        <v>0</v>
      </c>
      <c r="M74" s="13">
        <f>$I$10*$M$10</f>
        <v>0</v>
      </c>
      <c r="N74" s="13">
        <f ca="1">$I$10*$N$10</f>
        <v>0</v>
      </c>
      <c r="O74" s="13">
        <f>$I$10*$O$10</f>
        <v>0</v>
      </c>
      <c r="P74" s="13">
        <f>$I$10*$P$10</f>
        <v>0</v>
      </c>
      <c r="Q74" s="13">
        <f>$I$10*$Q$10</f>
        <v>0</v>
      </c>
      <c r="R74" s="13">
        <f>$I$10*$R$10</f>
        <v>0</v>
      </c>
      <c r="S74" s="13">
        <f>$I$10*$S$10</f>
        <v>0</v>
      </c>
      <c r="T74" s="13">
        <f>$I$10*$T$10</f>
        <v>3304.4908528973365</v>
      </c>
      <c r="U74" s="13">
        <f>$I$10*$U$10</f>
        <v>1588.1134135343459</v>
      </c>
      <c r="V74" s="13">
        <f>$I$10*$V$10</f>
        <v>0</v>
      </c>
      <c r="W74" s="13">
        <f>$I$10*$W$10</f>
        <v>0</v>
      </c>
      <c r="X74" s="13">
        <f>$I$10*$X$10</f>
        <v>0</v>
      </c>
      <c r="Y74" s="13">
        <f>$I$10*$Y$10</f>
        <v>0</v>
      </c>
      <c r="Z74" s="13">
        <f>$I$10*$Z$10</f>
        <v>0</v>
      </c>
      <c r="AA74" s="13">
        <f>$I$10*$AA$10</f>
        <v>10388.938588105502</v>
      </c>
      <c r="AB74" s="13">
        <f ca="1">$I$10*$AB$10</f>
        <v>-643.54589598442215</v>
      </c>
      <c r="AC74" s="13">
        <f ca="1">$I$10*$AC$10</f>
        <v>0</v>
      </c>
      <c r="AD74" s="13">
        <f>$I$10*$AD$10</f>
        <v>0</v>
      </c>
      <c r="AE74" s="13">
        <f>$I$10*$AE$10</f>
        <v>0</v>
      </c>
      <c r="AF74" s="13">
        <f ca="1">$I$10*$AF$10</f>
        <v>0</v>
      </c>
      <c r="AG74" s="13">
        <f ca="1">$I$10*$AG$10</f>
        <v>0</v>
      </c>
      <c r="AI74" s="13">
        <f>$I$10*$AI$10</f>
        <v>0</v>
      </c>
      <c r="AJ74" s="13">
        <f>$I$10*$AJ$10</f>
        <v>0</v>
      </c>
      <c r="AK74" s="13">
        <f>$I$10*$AK$10</f>
        <v>0</v>
      </c>
      <c r="AL74" s="13">
        <f>$I$10*$AL$10</f>
        <v>0</v>
      </c>
      <c r="AM74" s="13">
        <f>$I$10*$AM$10</f>
        <v>0</v>
      </c>
      <c r="AN74" s="13">
        <f>$I$10*$AN$10</f>
        <v>0</v>
      </c>
      <c r="AO74" s="13">
        <f>$I$10*$AO$10</f>
        <v>0</v>
      </c>
      <c r="AP74" s="13">
        <f>$I$10*$AP$10</f>
        <v>0</v>
      </c>
      <c r="AQ74" s="13">
        <f>$I$10*$AQ$10</f>
        <v>2598.3637468752577</v>
      </c>
      <c r="AR74" s="13">
        <f>$I$10*$AR$10</f>
        <v>1416.6905623107559</v>
      </c>
      <c r="AS74" s="13">
        <f>$I$10*$AS$10</f>
        <v>0</v>
      </c>
      <c r="AT74" s="13">
        <f>$I$10*$AT$10</f>
        <v>0</v>
      </c>
      <c r="AU74" s="13">
        <f>$I$10*$AU$10</f>
        <v>0</v>
      </c>
      <c r="AV74" s="13">
        <f>$I$10*$AV$10</f>
        <v>0</v>
      </c>
      <c r="AW74" s="13">
        <f>$I$10*$AW$10</f>
        <v>0</v>
      </c>
      <c r="AX74" s="13">
        <f>$I$10*$AX$10</f>
        <v>9745.1832151190811</v>
      </c>
      <c r="AY74" s="13">
        <f>$I$10*$AY$10</f>
        <v>-798.39485033113624</v>
      </c>
      <c r="AZ74" s="13">
        <f>$I$10*$AZ$10</f>
        <v>0</v>
      </c>
      <c r="BA74" s="13">
        <f>$I$10*$BA$10</f>
        <v>0</v>
      </c>
      <c r="BB74" s="13">
        <f>$I$10*$BB$10</f>
        <v>0</v>
      </c>
      <c r="BC74" s="13">
        <f>$I$10*$BC$10</f>
        <v>0</v>
      </c>
      <c r="BD74" s="13">
        <f>$I$10*$BD$10</f>
        <v>0</v>
      </c>
    </row>
    <row r="75" spans="1:56" ht="11.25" customHeight="1" x14ac:dyDescent="0.3">
      <c r="A75" s="9" t="s">
        <v>45</v>
      </c>
      <c r="B75" s="9" t="s">
        <v>1028</v>
      </c>
      <c r="C75" s="9" t="s">
        <v>1029</v>
      </c>
      <c r="D75" s="9" t="s">
        <v>1030</v>
      </c>
      <c r="E75" s="9" t="s">
        <v>1031</v>
      </c>
      <c r="F75" s="9" t="s">
        <v>1032</v>
      </c>
      <c r="G75" s="9" t="s">
        <v>1034</v>
      </c>
      <c r="L75" s="13">
        <f>$I$11*$L$11</f>
        <v>65.187038430614692</v>
      </c>
      <c r="M75" s="13">
        <f>$I$11*$M$11</f>
        <v>2.7620518052975709</v>
      </c>
      <c r="N75" s="13">
        <f ca="1">$I$11*$N$11</f>
        <v>72.16402053945059</v>
      </c>
      <c r="O75" s="13">
        <f>$I$11*$O$11</f>
        <v>0</v>
      </c>
      <c r="P75" s="13">
        <f>$I$11*$P$11</f>
        <v>0</v>
      </c>
      <c r="Q75" s="13">
        <f>$I$11*$Q$11</f>
        <v>572.59081818172649</v>
      </c>
      <c r="R75" s="13">
        <f>$I$11*$R$11</f>
        <v>112.37496160196568</v>
      </c>
      <c r="S75" s="13">
        <f>$I$11*$S$11</f>
        <v>0</v>
      </c>
      <c r="T75" s="13">
        <f>$I$11*$T$11</f>
        <v>1104.2798370356279</v>
      </c>
      <c r="U75" s="13">
        <f>$I$11*$U$11</f>
        <v>512.36113244248054</v>
      </c>
      <c r="V75" s="13">
        <f>$I$11*$V$11</f>
        <v>0</v>
      </c>
      <c r="W75" s="13">
        <f>$I$11*$W$11</f>
        <v>0</v>
      </c>
      <c r="X75" s="13">
        <f>$I$11*$X$11</f>
        <v>0</v>
      </c>
      <c r="Y75" s="13">
        <f>$I$11*$Y$11</f>
        <v>0</v>
      </c>
      <c r="Z75" s="13">
        <f>$I$11*$Z$11</f>
        <v>0</v>
      </c>
      <c r="AA75" s="13">
        <f>$I$11*$AA$11</f>
        <v>5422.132057331235</v>
      </c>
      <c r="AB75" s="13">
        <f ca="1">$I$11*$AB$11</f>
        <v>-329.69720187315147</v>
      </c>
      <c r="AC75" s="13">
        <f ca="1">$I$11*$AC$11</f>
        <v>0</v>
      </c>
      <c r="AD75" s="13">
        <f>$I$11*$AD$11</f>
        <v>64.54800264993294</v>
      </c>
      <c r="AE75" s="13">
        <f>$I$11*$AE$11</f>
        <v>1.8994084349350466</v>
      </c>
      <c r="AF75" s="13">
        <f ca="1">$I$11*$AF$11</f>
        <v>5.8139175648398185</v>
      </c>
      <c r="AG75" s="13">
        <f ca="1">$I$11*$AG$11</f>
        <v>1.3522347231031508</v>
      </c>
      <c r="AI75" s="13">
        <f>$I$11*$AI$11</f>
        <v>61.670296906349051</v>
      </c>
      <c r="AJ75" s="13">
        <f>$I$11*$AJ$11</f>
        <v>2.3192658591730759</v>
      </c>
      <c r="AK75" s="13">
        <f>$I$11*$AK$11</f>
        <v>65.218461179145521</v>
      </c>
      <c r="AL75" s="13">
        <f>$I$11*$AL$11</f>
        <v>0</v>
      </c>
      <c r="AM75" s="13">
        <f>$I$11*$AM$11</f>
        <v>0</v>
      </c>
      <c r="AN75" s="13">
        <f>$I$11*$AN$11</f>
        <v>278.90494103433082</v>
      </c>
      <c r="AO75" s="13">
        <f>$I$11*$AO$11</f>
        <v>70.021389519998507</v>
      </c>
      <c r="AP75" s="13">
        <f>$I$11*$AP$11</f>
        <v>0</v>
      </c>
      <c r="AQ75" s="13">
        <f>$I$11*$AQ$11</f>
        <v>868.30946814179117</v>
      </c>
      <c r="AR75" s="13">
        <f>$I$11*$AR$11</f>
        <v>457.05626225441887</v>
      </c>
      <c r="AS75" s="13">
        <f>$I$11*$AS$11</f>
        <v>0</v>
      </c>
      <c r="AT75" s="13">
        <f>$I$11*$AT$11</f>
        <v>0</v>
      </c>
      <c r="AU75" s="13">
        <f>$I$11*$AU$11</f>
        <v>0</v>
      </c>
      <c r="AV75" s="13">
        <f>$I$11*$AV$11</f>
        <v>0</v>
      </c>
      <c r="AW75" s="13">
        <f>$I$11*$AW$11</f>
        <v>0</v>
      </c>
      <c r="AX75" s="13">
        <f>$I$11*$AX$11</f>
        <v>5086.147142669658</v>
      </c>
      <c r="AY75" s="13">
        <f>$I$11*$AY$11</f>
        <v>-402.68708364813233</v>
      </c>
      <c r="AZ75" s="13">
        <f>$I$11*$AZ$11</f>
        <v>0</v>
      </c>
      <c r="BA75" s="13">
        <f>$I$11*$BA$11</f>
        <v>69.746361104945265</v>
      </c>
      <c r="BB75" s="13">
        <f>$I$11*$BB$11</f>
        <v>1.8486600711045273</v>
      </c>
      <c r="BC75" s="13">
        <f>$I$11*$BC$11</f>
        <v>5.7222081348133518</v>
      </c>
      <c r="BD75" s="13">
        <f>$I$11*$BD$11</f>
        <v>1.9872936762849254</v>
      </c>
    </row>
    <row r="76" spans="1:56" ht="11.25" customHeight="1" x14ac:dyDescent="0.3">
      <c r="A76" s="9" t="s">
        <v>45</v>
      </c>
      <c r="B76" s="9" t="s">
        <v>1028</v>
      </c>
      <c r="C76" s="9" t="s">
        <v>1029</v>
      </c>
      <c r="D76" s="9" t="s">
        <v>1030</v>
      </c>
      <c r="E76" s="9" t="s">
        <v>1031</v>
      </c>
      <c r="F76" s="9" t="s">
        <v>1032</v>
      </c>
      <c r="G76" s="9" t="s">
        <v>1035</v>
      </c>
      <c r="L76" s="13">
        <f>$I$12*$L$12</f>
        <v>553.0510603403053</v>
      </c>
      <c r="M76" s="13">
        <f>$I$12*$M$12</f>
        <v>23.433426589253806</v>
      </c>
      <c r="N76" s="13">
        <f ca="1">$I$12*$N$12</f>
        <v>14.492338168429963</v>
      </c>
      <c r="O76" s="13">
        <f>$I$12*$O$12</f>
        <v>0</v>
      </c>
      <c r="P76" s="13">
        <f>$I$12*$P$12</f>
        <v>0</v>
      </c>
      <c r="Q76" s="13">
        <f>$I$12*$Q$12</f>
        <v>4857.8976244425257</v>
      </c>
      <c r="R76" s="13">
        <f>$I$12*$R$12</f>
        <v>953.39645987783149</v>
      </c>
      <c r="S76" s="13">
        <f>$I$12*$S$12</f>
        <v>0</v>
      </c>
      <c r="T76" s="13">
        <f>$I$12*$T$12</f>
        <v>0</v>
      </c>
      <c r="U76" s="13">
        <f>$I$12*$U$12</f>
        <v>0</v>
      </c>
      <c r="V76" s="13">
        <f>$I$12*$V$12</f>
        <v>0</v>
      </c>
      <c r="W76" s="13">
        <f>$I$12*$W$12</f>
        <v>0</v>
      </c>
      <c r="X76" s="13">
        <f>$I$12*$X$12</f>
        <v>0</v>
      </c>
      <c r="Y76" s="13">
        <f>$I$12*$Y$12</f>
        <v>0</v>
      </c>
      <c r="Z76" s="13">
        <f>$I$12*$Z$12</f>
        <v>0</v>
      </c>
      <c r="AA76" s="13">
        <f>$I$12*$AA$12</f>
        <v>0</v>
      </c>
      <c r="AB76" s="13">
        <f ca="1">$I$12*$AB$12</f>
        <v>-238.19064148949491</v>
      </c>
      <c r="AC76" s="13">
        <f ca="1">$I$12*$AC$12</f>
        <v>0</v>
      </c>
      <c r="AD76" s="13">
        <f>$I$12*$AD$12</f>
        <v>547.62943934616214</v>
      </c>
      <c r="AE76" s="13">
        <f>$I$12*$AE$12</f>
        <v>16.114704307026784</v>
      </c>
      <c r="AF76" s="13">
        <f ca="1">$I$12*$AF$12</f>
        <v>49.325653555932945</v>
      </c>
      <c r="AG76" s="13">
        <f ca="1">$I$12*$AG$12</f>
        <v>11.472447060732724</v>
      </c>
      <c r="AI76" s="13">
        <f>$I$12*$AI$12</f>
        <v>523.21479724625328</v>
      </c>
      <c r="AJ76" s="13">
        <f>$I$12*$AJ$12</f>
        <v>19.676801915031309</v>
      </c>
      <c r="AK76" s="13">
        <f>$I$12*$AK$12</f>
        <v>12.924300447846367</v>
      </c>
      <c r="AL76" s="13">
        <f>$I$12*$AL$12</f>
        <v>0</v>
      </c>
      <c r="AM76" s="13">
        <f>$I$12*$AM$12</f>
        <v>0</v>
      </c>
      <c r="AN76" s="13">
        <f>$I$12*$AN$12</f>
        <v>2366.2476020807389</v>
      </c>
      <c r="AO76" s="13">
        <f>$I$12*$AO$12</f>
        <v>594.06600840987994</v>
      </c>
      <c r="AP76" s="13">
        <f>$I$12*$AP$12</f>
        <v>0</v>
      </c>
      <c r="AQ76" s="13">
        <f>$I$12*$AQ$12</f>
        <v>0</v>
      </c>
      <c r="AR76" s="13">
        <f>$I$12*$AR$12</f>
        <v>0</v>
      </c>
      <c r="AS76" s="13">
        <f>$I$12*$AS$12</f>
        <v>0</v>
      </c>
      <c r="AT76" s="13">
        <f>$I$12*$AT$12</f>
        <v>0</v>
      </c>
      <c r="AU76" s="13">
        <f>$I$12*$AU$12</f>
        <v>0</v>
      </c>
      <c r="AV76" s="13">
        <f>$I$12*$AV$12</f>
        <v>0</v>
      </c>
      <c r="AW76" s="13">
        <f>$I$12*$AW$12</f>
        <v>0</v>
      </c>
      <c r="AX76" s="13">
        <f>$I$12*$AX$12</f>
        <v>0</v>
      </c>
      <c r="AY76" s="13">
        <f>$I$12*$AY$12</f>
        <v>-229.46450308829264</v>
      </c>
      <c r="AZ76" s="13">
        <f>$I$12*$AZ$12</f>
        <v>0</v>
      </c>
      <c r="BA76" s="13">
        <f>$I$12*$BA$12</f>
        <v>591.73264950555085</v>
      </c>
      <c r="BB76" s="13">
        <f>$I$12*$BB$12</f>
        <v>15.684151898101531</v>
      </c>
      <c r="BC76" s="13">
        <f>$I$12*$BC$12</f>
        <v>48.547584805757573</v>
      </c>
      <c r="BD76" s="13">
        <f>$I$12*$BD$12</f>
        <v>16.860328392534974</v>
      </c>
    </row>
    <row r="77" spans="1:56" ht="11.25" customHeight="1" x14ac:dyDescent="0.3">
      <c r="A77" s="9" t="s">
        <v>45</v>
      </c>
      <c r="B77" s="9" t="s">
        <v>1028</v>
      </c>
      <c r="C77" s="9" t="s">
        <v>1029</v>
      </c>
      <c r="D77" s="9" t="s">
        <v>1030</v>
      </c>
      <c r="E77" s="9" t="s">
        <v>1036</v>
      </c>
      <c r="F77" s="9" t="s">
        <v>1037</v>
      </c>
      <c r="G77" s="9" t="s">
        <v>1038</v>
      </c>
      <c r="L77" s="13">
        <f>$I$13*$L$13</f>
        <v>0</v>
      </c>
      <c r="M77" s="13">
        <f>$I$13*$M$13</f>
        <v>0</v>
      </c>
      <c r="N77" s="13">
        <f ca="1">$I$13*$N$13</f>
        <v>0</v>
      </c>
      <c r="O77" s="13">
        <f>$I$13*$O$13</f>
        <v>0</v>
      </c>
      <c r="P77" s="13">
        <f>$I$13*$P$13</f>
        <v>0</v>
      </c>
      <c r="Q77" s="13">
        <f>$I$13*$Q$13</f>
        <v>0</v>
      </c>
      <c r="R77" s="13">
        <f>$I$13*$R$13</f>
        <v>0</v>
      </c>
      <c r="S77" s="13">
        <f>$I$13*$S$13</f>
        <v>0</v>
      </c>
      <c r="T77" s="13">
        <f>$I$13*$T$13</f>
        <v>0</v>
      </c>
      <c r="U77" s="13">
        <f>$I$13*$U$13</f>
        <v>0</v>
      </c>
      <c r="V77" s="13">
        <f>$I$13*$V$13</f>
        <v>0</v>
      </c>
      <c r="W77" s="13">
        <f>$I$13*$W$13</f>
        <v>0</v>
      </c>
      <c r="X77" s="13">
        <f>$I$13*$X$13</f>
        <v>0</v>
      </c>
      <c r="Y77" s="13">
        <f>$I$13*$Y$13</f>
        <v>0</v>
      </c>
      <c r="Z77" s="13">
        <f>$I$13*$Z$13</f>
        <v>0</v>
      </c>
      <c r="AA77" s="13">
        <f>$I$13*$AA$13</f>
        <v>0</v>
      </c>
      <c r="AB77" s="13">
        <f ca="1">$I$13*$AB$13</f>
        <v>0</v>
      </c>
      <c r="AC77" s="13">
        <f ca="1">$I$13*$AC$13</f>
        <v>0</v>
      </c>
      <c r="AD77" s="13">
        <f>$I$13*$AD$13</f>
        <v>0</v>
      </c>
      <c r="AE77" s="13">
        <f>$I$13*$AE$13</f>
        <v>0</v>
      </c>
      <c r="AF77" s="13">
        <f ca="1">$I$13*$AF$13</f>
        <v>0</v>
      </c>
      <c r="AG77" s="13">
        <f ca="1">$I$13*$AG$13</f>
        <v>0</v>
      </c>
      <c r="AI77" s="13">
        <f>$I$13*$AI$13</f>
        <v>0</v>
      </c>
      <c r="AJ77" s="13">
        <f>$I$13*$AJ$13</f>
        <v>0</v>
      </c>
      <c r="AK77" s="13">
        <f>$I$13*$AK$13</f>
        <v>0</v>
      </c>
      <c r="AL77" s="13">
        <f>$I$13*$AL$13</f>
        <v>0</v>
      </c>
      <c r="AM77" s="13">
        <f>$I$13*$AM$13</f>
        <v>0</v>
      </c>
      <c r="AN77" s="13">
        <f>$I$13*$AN$13</f>
        <v>0</v>
      </c>
      <c r="AO77" s="13">
        <f>$I$13*$AO$13</f>
        <v>0</v>
      </c>
      <c r="AP77" s="13">
        <f>$I$13*$AP$13</f>
        <v>0</v>
      </c>
      <c r="AQ77" s="13">
        <f>$I$13*$AQ$13</f>
        <v>0</v>
      </c>
      <c r="AR77" s="13">
        <f>$I$13*$AR$13</f>
        <v>0</v>
      </c>
      <c r="AS77" s="13">
        <f>$I$13*$AS$13</f>
        <v>0</v>
      </c>
      <c r="AT77" s="13">
        <f>$I$13*$AT$13</f>
        <v>0</v>
      </c>
      <c r="AU77" s="13">
        <f>$I$13*$AU$13</f>
        <v>0</v>
      </c>
      <c r="AV77" s="13">
        <f>$I$13*$AV$13</f>
        <v>0</v>
      </c>
      <c r="AW77" s="13">
        <f>$I$13*$AW$13</f>
        <v>0</v>
      </c>
      <c r="AX77" s="13">
        <f>$I$13*$AX$13</f>
        <v>0</v>
      </c>
      <c r="AY77" s="13">
        <f>$I$13*$AY$13</f>
        <v>0</v>
      </c>
      <c r="AZ77" s="13">
        <f>$I$13*$AZ$13</f>
        <v>0</v>
      </c>
      <c r="BA77" s="13">
        <f>$I$13*$BA$13</f>
        <v>0</v>
      </c>
      <c r="BB77" s="13">
        <f>$I$13*$BB$13</f>
        <v>0</v>
      </c>
      <c r="BC77" s="13">
        <f>$I$13*$BC$13</f>
        <v>0</v>
      </c>
      <c r="BD77" s="13">
        <f>$I$13*$BD$13</f>
        <v>0</v>
      </c>
    </row>
    <row r="78" spans="1:56" ht="11.25" customHeight="1" x14ac:dyDescent="0.3">
      <c r="A78" s="9" t="s">
        <v>45</v>
      </c>
      <c r="B78" s="9" t="s">
        <v>1028</v>
      </c>
      <c r="C78" s="9" t="s">
        <v>1029</v>
      </c>
      <c r="D78" s="9" t="s">
        <v>1030</v>
      </c>
      <c r="E78" s="9" t="s">
        <v>1036</v>
      </c>
      <c r="F78" s="9" t="s">
        <v>1037</v>
      </c>
      <c r="G78" s="9" t="s">
        <v>1039</v>
      </c>
      <c r="L78" s="13">
        <f>$I$14*$L$14</f>
        <v>0</v>
      </c>
      <c r="M78" s="13">
        <f>$I$14*$M$14</f>
        <v>0</v>
      </c>
      <c r="N78" s="13">
        <f ca="1">$I$14*$N$14</f>
        <v>0</v>
      </c>
      <c r="O78" s="13">
        <f>$I$14*$O$14</f>
        <v>0</v>
      </c>
      <c r="P78" s="13">
        <f>$I$14*$P$14</f>
        <v>0</v>
      </c>
      <c r="Q78" s="13">
        <f>$I$14*$Q$14</f>
        <v>0</v>
      </c>
      <c r="R78" s="13">
        <f>$I$14*$R$14</f>
        <v>0</v>
      </c>
      <c r="S78" s="13">
        <f>$I$14*$S$14</f>
        <v>0</v>
      </c>
      <c r="T78" s="13">
        <f>$I$14*$T$14</f>
        <v>0</v>
      </c>
      <c r="U78" s="13">
        <f>$I$14*$U$14</f>
        <v>0</v>
      </c>
      <c r="V78" s="13">
        <f>$I$14*$V$14</f>
        <v>0</v>
      </c>
      <c r="W78" s="13">
        <f>$I$14*$W$14</f>
        <v>0</v>
      </c>
      <c r="X78" s="13">
        <f>$I$14*$X$14</f>
        <v>0</v>
      </c>
      <c r="Y78" s="13">
        <f>$I$14*$Y$14</f>
        <v>0</v>
      </c>
      <c r="Z78" s="13">
        <f>$I$14*$Z$14</f>
        <v>0</v>
      </c>
      <c r="AA78" s="13">
        <f>$I$14*$AA$14</f>
        <v>0</v>
      </c>
      <c r="AB78" s="13">
        <f ca="1">$I$14*$AB$14</f>
        <v>0</v>
      </c>
      <c r="AC78" s="13">
        <f ca="1">$I$14*$AC$14</f>
        <v>0</v>
      </c>
      <c r="AD78" s="13">
        <f>$I$14*$AD$14</f>
        <v>0</v>
      </c>
      <c r="AE78" s="13">
        <f>$I$14*$AE$14</f>
        <v>0</v>
      </c>
      <c r="AF78" s="13">
        <f ca="1">$I$14*$AF$14</f>
        <v>0</v>
      </c>
      <c r="AG78" s="13">
        <f ca="1">$I$14*$AG$14</f>
        <v>0</v>
      </c>
      <c r="AI78" s="13">
        <f>$I$14*$AI$14</f>
        <v>0</v>
      </c>
      <c r="AJ78" s="13">
        <f>$I$14*$AJ$14</f>
        <v>0</v>
      </c>
      <c r="AK78" s="13">
        <f>$I$14*$AK$14</f>
        <v>0</v>
      </c>
      <c r="AL78" s="13">
        <f>$I$14*$AL$14</f>
        <v>0</v>
      </c>
      <c r="AM78" s="13">
        <f>$I$14*$AM$14</f>
        <v>0</v>
      </c>
      <c r="AN78" s="13">
        <f>$I$14*$AN$14</f>
        <v>0</v>
      </c>
      <c r="AO78" s="13">
        <f>$I$14*$AO$14</f>
        <v>0</v>
      </c>
      <c r="AP78" s="13">
        <f>$I$14*$AP$14</f>
        <v>0</v>
      </c>
      <c r="AQ78" s="13">
        <f>$I$14*$AQ$14</f>
        <v>0</v>
      </c>
      <c r="AR78" s="13">
        <f>$I$14*$AR$14</f>
        <v>0</v>
      </c>
      <c r="AS78" s="13">
        <f>$I$14*$AS$14</f>
        <v>0</v>
      </c>
      <c r="AT78" s="13">
        <f>$I$14*$AT$14</f>
        <v>0</v>
      </c>
      <c r="AU78" s="13">
        <f>$I$14*$AU$14</f>
        <v>0</v>
      </c>
      <c r="AV78" s="13">
        <f>$I$14*$AV$14</f>
        <v>0</v>
      </c>
      <c r="AW78" s="13">
        <f>$I$14*$AW$14</f>
        <v>0</v>
      </c>
      <c r="AX78" s="13">
        <f>$I$14*$AX$14</f>
        <v>0</v>
      </c>
      <c r="AY78" s="13">
        <f>$I$14*$AY$14</f>
        <v>0</v>
      </c>
      <c r="AZ78" s="13">
        <f>$I$14*$AZ$14</f>
        <v>0</v>
      </c>
      <c r="BA78" s="13">
        <f>$I$14*$BA$14</f>
        <v>0</v>
      </c>
      <c r="BB78" s="13">
        <f>$I$14*$BB$14</f>
        <v>0</v>
      </c>
      <c r="BC78" s="13">
        <f>$I$14*$BC$14</f>
        <v>0</v>
      </c>
      <c r="BD78" s="13">
        <f>$I$14*$BD$14</f>
        <v>0</v>
      </c>
    </row>
    <row r="79" spans="1:56" ht="11.25" customHeight="1" x14ac:dyDescent="0.3">
      <c r="A79" s="9" t="s">
        <v>45</v>
      </c>
      <c r="B79" s="9" t="s">
        <v>1040</v>
      </c>
      <c r="C79" s="9" t="s">
        <v>1041</v>
      </c>
      <c r="D79" s="9" t="s">
        <v>1042</v>
      </c>
      <c r="E79" s="9" t="s">
        <v>1043</v>
      </c>
      <c r="F79" s="9" t="s">
        <v>1044</v>
      </c>
      <c r="G79" s="9" t="s">
        <v>1045</v>
      </c>
      <c r="L79" s="13">
        <f>$I$15*$L$15</f>
        <v>0</v>
      </c>
      <c r="M79" s="13">
        <f>$I$15*$M$15</f>
        <v>0</v>
      </c>
      <c r="N79" s="13">
        <f ca="1">$I$15*$N$15</f>
        <v>0</v>
      </c>
      <c r="O79" s="13">
        <f>$I$15*$O$15</f>
        <v>0</v>
      </c>
      <c r="P79" s="13">
        <f>$I$15*$P$15</f>
        <v>0</v>
      </c>
      <c r="Q79" s="13">
        <f>$I$15*$Q$15</f>
        <v>0</v>
      </c>
      <c r="R79" s="13">
        <f>$I$15*$R$15</f>
        <v>0</v>
      </c>
      <c r="S79" s="13">
        <f>$I$15*$S$15</f>
        <v>0</v>
      </c>
      <c r="T79" s="13">
        <f>$I$15*$T$15</f>
        <v>0</v>
      </c>
      <c r="U79" s="13">
        <f>$I$15*$U$15</f>
        <v>0</v>
      </c>
      <c r="V79" s="13">
        <f>$I$15*$V$15</f>
        <v>0</v>
      </c>
      <c r="W79" s="13">
        <f>$I$15*$W$15</f>
        <v>0</v>
      </c>
      <c r="X79" s="13">
        <f>$I$15*$X$15</f>
        <v>0</v>
      </c>
      <c r="Y79" s="13">
        <f>$I$15*$Y$15</f>
        <v>0</v>
      </c>
      <c r="Z79" s="13">
        <f>$I$15*$Z$15</f>
        <v>0</v>
      </c>
      <c r="AA79" s="13">
        <f>$I$15*$AA$15</f>
        <v>0</v>
      </c>
      <c r="AB79" s="13">
        <f ca="1">$I$15*$AB$15</f>
        <v>0</v>
      </c>
      <c r="AC79" s="13">
        <f ca="1">$I$15*$AC$15</f>
        <v>0</v>
      </c>
      <c r="AD79" s="13">
        <f>$I$15*$AD$15</f>
        <v>0</v>
      </c>
      <c r="AE79" s="13">
        <f>$I$15*$AE$15</f>
        <v>0</v>
      </c>
      <c r="AF79" s="13">
        <f ca="1">$I$15*$AF$15</f>
        <v>0</v>
      </c>
      <c r="AG79" s="13">
        <f ca="1">$I$15*$AG$15</f>
        <v>0</v>
      </c>
      <c r="AI79" s="13">
        <f>$I$15*$AI$15</f>
        <v>0</v>
      </c>
      <c r="AJ79" s="13">
        <f>$I$15*$AJ$15</f>
        <v>0</v>
      </c>
      <c r="AK79" s="13">
        <f>$I$15*$AK$15</f>
        <v>0</v>
      </c>
      <c r="AL79" s="13">
        <f>$I$15*$AL$15</f>
        <v>0</v>
      </c>
      <c r="AM79" s="13">
        <f>$I$15*$AM$15</f>
        <v>0</v>
      </c>
      <c r="AN79" s="13">
        <f>$I$15*$AN$15</f>
        <v>0</v>
      </c>
      <c r="AO79" s="13">
        <f>$I$15*$AO$15</f>
        <v>0</v>
      </c>
      <c r="AP79" s="13">
        <f>$I$15*$AP$15</f>
        <v>0</v>
      </c>
      <c r="AQ79" s="13">
        <f>$I$15*$AQ$15</f>
        <v>0</v>
      </c>
      <c r="AR79" s="13">
        <f>$I$15*$AR$15</f>
        <v>0</v>
      </c>
      <c r="AS79" s="13">
        <f>$I$15*$AS$15</f>
        <v>0</v>
      </c>
      <c r="AT79" s="13">
        <f>$I$15*$AT$15</f>
        <v>0</v>
      </c>
      <c r="AU79" s="13">
        <f>$I$15*$AU$15</f>
        <v>0</v>
      </c>
      <c r="AV79" s="13">
        <f>$I$15*$AV$15</f>
        <v>0</v>
      </c>
      <c r="AW79" s="13">
        <f>$I$15*$AW$15</f>
        <v>0</v>
      </c>
      <c r="AX79" s="13">
        <f>$I$15*$AX$15</f>
        <v>0</v>
      </c>
      <c r="AY79" s="13">
        <f>$I$15*$AY$15</f>
        <v>0</v>
      </c>
      <c r="AZ79" s="13">
        <f>$I$15*$AZ$15</f>
        <v>0</v>
      </c>
      <c r="BA79" s="13">
        <f>$I$15*$BA$15</f>
        <v>0</v>
      </c>
      <c r="BB79" s="13">
        <f>$I$15*$BB$15</f>
        <v>0</v>
      </c>
      <c r="BC79" s="13">
        <f>$I$15*$BC$15</f>
        <v>0</v>
      </c>
      <c r="BD79" s="13">
        <f>$I$15*$BD$15</f>
        <v>0</v>
      </c>
    </row>
    <row r="80" spans="1:56" ht="11.25" customHeight="1" x14ac:dyDescent="0.3">
      <c r="A80" s="9" t="s">
        <v>45</v>
      </c>
      <c r="B80" s="9" t="s">
        <v>1040</v>
      </c>
      <c r="C80" s="9" t="s">
        <v>1041</v>
      </c>
      <c r="D80" s="9" t="s">
        <v>1042</v>
      </c>
      <c r="E80" s="9" t="s">
        <v>1043</v>
      </c>
      <c r="F80" s="9" t="s">
        <v>1044</v>
      </c>
      <c r="G80" s="9" t="s">
        <v>1046</v>
      </c>
      <c r="L80" s="13">
        <f>$I$16*$L$16</f>
        <v>0</v>
      </c>
      <c r="M80" s="13">
        <f>$I$16*$M$16</f>
        <v>0</v>
      </c>
      <c r="N80" s="13">
        <f ca="1">$I$16*$N$16</f>
        <v>0</v>
      </c>
      <c r="O80" s="13">
        <f>$I$16*$O$16</f>
        <v>0</v>
      </c>
      <c r="P80" s="13">
        <f>$I$16*$P$16</f>
        <v>0</v>
      </c>
      <c r="Q80" s="13">
        <f>$I$16*$Q$16</f>
        <v>0</v>
      </c>
      <c r="R80" s="13">
        <f>$I$16*$R$16</f>
        <v>0</v>
      </c>
      <c r="S80" s="13">
        <f>$I$16*$S$16</f>
        <v>0</v>
      </c>
      <c r="T80" s="13">
        <f>$I$16*$T$16</f>
        <v>0</v>
      </c>
      <c r="U80" s="13">
        <f>$I$16*$U$16</f>
        <v>0</v>
      </c>
      <c r="V80" s="13">
        <f>$I$16*$V$16</f>
        <v>0</v>
      </c>
      <c r="W80" s="13">
        <f>$I$16*$W$16</f>
        <v>0</v>
      </c>
      <c r="X80" s="13">
        <f>$I$16*$X$16</f>
        <v>0</v>
      </c>
      <c r="Y80" s="13">
        <f>$I$16*$Y$16</f>
        <v>0</v>
      </c>
      <c r="Z80" s="13">
        <f>$I$16*$Z$16</f>
        <v>0</v>
      </c>
      <c r="AA80" s="13">
        <f>$I$16*$AA$16</f>
        <v>0</v>
      </c>
      <c r="AB80" s="13">
        <f ca="1">$I$16*$AB$16</f>
        <v>0</v>
      </c>
      <c r="AC80" s="13">
        <f ca="1">$I$16*$AC$16</f>
        <v>0</v>
      </c>
      <c r="AD80" s="13">
        <f>$I$16*$AD$16</f>
        <v>0</v>
      </c>
      <c r="AE80" s="13">
        <f>$I$16*$AE$16</f>
        <v>0</v>
      </c>
      <c r="AF80" s="13">
        <f ca="1">$I$16*$AF$16</f>
        <v>0</v>
      </c>
      <c r="AG80" s="13">
        <f ca="1">$I$16*$AG$16</f>
        <v>0</v>
      </c>
      <c r="AI80" s="13">
        <f>$I$16*$AI$16</f>
        <v>0</v>
      </c>
      <c r="AJ80" s="13">
        <f>$I$16*$AJ$16</f>
        <v>0</v>
      </c>
      <c r="AK80" s="13">
        <f>$I$16*$AK$16</f>
        <v>0</v>
      </c>
      <c r="AL80" s="13">
        <f>$I$16*$AL$16</f>
        <v>0</v>
      </c>
      <c r="AM80" s="13">
        <f>$I$16*$AM$16</f>
        <v>0</v>
      </c>
      <c r="AN80" s="13">
        <f>$I$16*$AN$16</f>
        <v>0</v>
      </c>
      <c r="AO80" s="13">
        <f>$I$16*$AO$16</f>
        <v>0</v>
      </c>
      <c r="AP80" s="13">
        <f>$I$16*$AP$16</f>
        <v>0</v>
      </c>
      <c r="AQ80" s="13">
        <f>$I$16*$AQ$16</f>
        <v>0</v>
      </c>
      <c r="AR80" s="13">
        <f>$I$16*$AR$16</f>
        <v>0</v>
      </c>
      <c r="AS80" s="13">
        <f>$I$16*$AS$16</f>
        <v>0</v>
      </c>
      <c r="AT80" s="13">
        <f>$I$16*$AT$16</f>
        <v>0</v>
      </c>
      <c r="AU80" s="13">
        <f>$I$16*$AU$16</f>
        <v>0</v>
      </c>
      <c r="AV80" s="13">
        <f>$I$16*$AV$16</f>
        <v>0</v>
      </c>
      <c r="AW80" s="13">
        <f>$I$16*$AW$16</f>
        <v>0</v>
      </c>
      <c r="AX80" s="13">
        <f>$I$16*$AX$16</f>
        <v>0</v>
      </c>
      <c r="AY80" s="13">
        <f>$I$16*$AY$16</f>
        <v>0</v>
      </c>
      <c r="AZ80" s="13">
        <f>$I$16*$AZ$16</f>
        <v>0</v>
      </c>
      <c r="BA80" s="13">
        <f>$I$16*$BA$16</f>
        <v>0</v>
      </c>
      <c r="BB80" s="13">
        <f>$I$16*$BB$16</f>
        <v>0</v>
      </c>
      <c r="BC80" s="13">
        <f>$I$16*$BC$16</f>
        <v>0</v>
      </c>
      <c r="BD80" s="13">
        <f>$I$16*$BD$16</f>
        <v>0</v>
      </c>
    </row>
    <row r="81" spans="1:56" ht="11.25" customHeight="1" x14ac:dyDescent="0.3">
      <c r="A81" s="9" t="s">
        <v>39</v>
      </c>
      <c r="B81" s="9" t="s">
        <v>1047</v>
      </c>
      <c r="C81" s="9" t="s">
        <v>1048</v>
      </c>
      <c r="D81" s="9" t="s">
        <v>1049</v>
      </c>
      <c r="E81" s="9" t="s">
        <v>1050</v>
      </c>
      <c r="F81" s="9" t="s">
        <v>1051</v>
      </c>
      <c r="G81" s="9" t="s">
        <v>1052</v>
      </c>
      <c r="L81" s="13">
        <f>$I$17*$L$17</f>
        <v>0</v>
      </c>
      <c r="M81" s="13">
        <f>$I$17*$M$17</f>
        <v>0</v>
      </c>
      <c r="N81" s="13">
        <f ca="1">$I$17*$N$17</f>
        <v>0</v>
      </c>
      <c r="O81" s="13">
        <f>$I$17*$O$17</f>
        <v>0</v>
      </c>
      <c r="P81" s="13">
        <f>$I$17*$P$17</f>
        <v>0</v>
      </c>
      <c r="Q81" s="13">
        <f>$I$17*$Q$17</f>
        <v>0</v>
      </c>
      <c r="R81" s="13">
        <f>$I$17*$R$17</f>
        <v>0</v>
      </c>
      <c r="S81" s="13">
        <f>$I$17*$S$17</f>
        <v>0</v>
      </c>
      <c r="T81" s="13">
        <f>$I$17*$T$17</f>
        <v>56845.232279377713</v>
      </c>
      <c r="U81" s="13">
        <f>$I$17*$U$17</f>
        <v>26375.088670329413</v>
      </c>
      <c r="V81" s="13">
        <f>$I$17*$V$17</f>
        <v>0</v>
      </c>
      <c r="W81" s="13">
        <f>$I$17*$W$17</f>
        <v>0</v>
      </c>
      <c r="X81" s="13">
        <f>$I$17*$X$17</f>
        <v>0</v>
      </c>
      <c r="Y81" s="13">
        <f>$I$17*$Y$17</f>
        <v>0</v>
      </c>
      <c r="Z81" s="13">
        <f>$I$17*$Z$17</f>
        <v>0</v>
      </c>
      <c r="AA81" s="13">
        <f>$I$17*$AA$17</f>
        <v>279115.86758636625</v>
      </c>
      <c r="AB81" s="13">
        <f ca="1">$I$17*$AB$17</f>
        <v>-15369.98133163909</v>
      </c>
      <c r="AC81" s="13">
        <f ca="1">$I$17*$AC$17</f>
        <v>0</v>
      </c>
      <c r="AD81" s="13">
        <f>$I$17*$AD$17</f>
        <v>0</v>
      </c>
      <c r="AE81" s="13">
        <f>$I$17*$AE$17</f>
        <v>0</v>
      </c>
      <c r="AF81" s="13">
        <f ca="1">$I$17*$AF$17</f>
        <v>0</v>
      </c>
      <c r="AG81" s="13">
        <f ca="1">$I$17*$AG$17</f>
        <v>0</v>
      </c>
      <c r="AI81" s="13">
        <f>$I$17*$AI$17</f>
        <v>0</v>
      </c>
      <c r="AJ81" s="13">
        <f>$I$17*$AJ$17</f>
        <v>0</v>
      </c>
      <c r="AK81" s="13">
        <f>$I$17*$AK$17</f>
        <v>0</v>
      </c>
      <c r="AL81" s="13">
        <f>$I$17*$AL$17</f>
        <v>0</v>
      </c>
      <c r="AM81" s="13">
        <f>$I$17*$AM$17</f>
        <v>0</v>
      </c>
      <c r="AN81" s="13">
        <f>$I$17*$AN$17</f>
        <v>0</v>
      </c>
      <c r="AO81" s="13">
        <f>$I$17*$AO$17</f>
        <v>0</v>
      </c>
      <c r="AP81" s="13">
        <f>$I$17*$AP$17</f>
        <v>0</v>
      </c>
      <c r="AQ81" s="13">
        <f>$I$17*$AQ$17</f>
        <v>44698.138779210902</v>
      </c>
      <c r="AR81" s="13">
        <f>$I$17*$AR$17</f>
        <v>23528.130221007668</v>
      </c>
      <c r="AS81" s="13">
        <f>$I$17*$AS$17</f>
        <v>0</v>
      </c>
      <c r="AT81" s="13">
        <f>$I$17*$AT$17</f>
        <v>0</v>
      </c>
      <c r="AU81" s="13">
        <f>$I$17*$AU$17</f>
        <v>0</v>
      </c>
      <c r="AV81" s="13">
        <f>$I$17*$AV$17</f>
        <v>0</v>
      </c>
      <c r="AW81" s="13">
        <f>$I$17*$AW$17</f>
        <v>0</v>
      </c>
      <c r="AX81" s="13">
        <f>$I$17*$AX$17</f>
        <v>261820.32406951292</v>
      </c>
      <c r="AY81" s="13">
        <f>$I$17*$AY$17</f>
        <v>-19149.021827471614</v>
      </c>
      <c r="AZ81" s="13">
        <f>$I$17*$AZ$17</f>
        <v>0</v>
      </c>
      <c r="BA81" s="13">
        <f>$I$17*$BA$17</f>
        <v>0</v>
      </c>
      <c r="BB81" s="13">
        <f>$I$17*$BB$17</f>
        <v>0</v>
      </c>
      <c r="BC81" s="13">
        <f>$I$17*$BC$17</f>
        <v>0</v>
      </c>
      <c r="BD81" s="13">
        <f>$I$17*$BD$17</f>
        <v>0</v>
      </c>
    </row>
    <row r="82" spans="1:56" ht="11.25" customHeight="1" x14ac:dyDescent="0.3">
      <c r="A82" s="9" t="s">
        <v>39</v>
      </c>
      <c r="B82" s="9" t="s">
        <v>1047</v>
      </c>
      <c r="C82" s="9" t="s">
        <v>1048</v>
      </c>
      <c r="D82" s="9" t="s">
        <v>1049</v>
      </c>
      <c r="E82" s="9" t="s">
        <v>1050</v>
      </c>
      <c r="F82" s="9" t="s">
        <v>1051</v>
      </c>
      <c r="G82" s="9" t="s">
        <v>1053</v>
      </c>
      <c r="L82" s="13">
        <f>$I$18*$L$18</f>
        <v>0</v>
      </c>
      <c r="M82" s="13">
        <f>$I$18*$M$18</f>
        <v>0</v>
      </c>
      <c r="N82" s="13">
        <f ca="1">$I$18*$N$18</f>
        <v>0</v>
      </c>
      <c r="O82" s="13">
        <f>$I$18*$O$18</f>
        <v>0</v>
      </c>
      <c r="P82" s="13">
        <f>$I$18*$P$18</f>
        <v>0</v>
      </c>
      <c r="Q82" s="13">
        <f>$I$18*$Q$18</f>
        <v>0</v>
      </c>
      <c r="R82" s="13">
        <f>$I$18*$R$18</f>
        <v>0</v>
      </c>
      <c r="S82" s="13">
        <f>$I$18*$S$18</f>
        <v>0</v>
      </c>
      <c r="T82" s="13">
        <f>$I$18*$T$18</f>
        <v>33175.158533394133</v>
      </c>
      <c r="U82" s="13">
        <f>$I$18*$U$18</f>
        <v>15943.731306387879</v>
      </c>
      <c r="V82" s="13">
        <f>$I$18*$V$18</f>
        <v>0</v>
      </c>
      <c r="W82" s="13">
        <f>$I$18*$W$18</f>
        <v>0</v>
      </c>
      <c r="X82" s="13">
        <f>$I$18*$X$18</f>
        <v>0</v>
      </c>
      <c r="Y82" s="13">
        <f>$I$18*$Y$18</f>
        <v>0</v>
      </c>
      <c r="Z82" s="13">
        <f>$I$18*$Z$18</f>
        <v>0</v>
      </c>
      <c r="AA82" s="13">
        <f>$I$18*$AA$18</f>
        <v>104298.87689109713</v>
      </c>
      <c r="AB82" s="13">
        <f ca="1">$I$18*$AB$18</f>
        <v>-6460.8250024596664</v>
      </c>
      <c r="AC82" s="13">
        <f ca="1">$I$18*$AC$18</f>
        <v>0</v>
      </c>
      <c r="AD82" s="13">
        <f>$I$18*$AD$18</f>
        <v>0</v>
      </c>
      <c r="AE82" s="13">
        <f>$I$18*$AE$18</f>
        <v>0</v>
      </c>
      <c r="AF82" s="13">
        <f ca="1">$I$18*$AF$18</f>
        <v>0</v>
      </c>
      <c r="AG82" s="13">
        <f ca="1">$I$18*$AG$18</f>
        <v>0</v>
      </c>
      <c r="AI82" s="13">
        <f>$I$18*$AI$18</f>
        <v>0</v>
      </c>
      <c r="AJ82" s="13">
        <f>$I$18*$AJ$18</f>
        <v>0</v>
      </c>
      <c r="AK82" s="13">
        <f>$I$18*$AK$18</f>
        <v>0</v>
      </c>
      <c r="AL82" s="13">
        <f>$I$18*$AL$18</f>
        <v>0</v>
      </c>
      <c r="AM82" s="13">
        <f>$I$18*$AM$18</f>
        <v>0</v>
      </c>
      <c r="AN82" s="13">
        <f>$I$18*$AN$18</f>
        <v>0</v>
      </c>
      <c r="AO82" s="13">
        <f>$I$18*$AO$18</f>
        <v>0</v>
      </c>
      <c r="AP82" s="13">
        <f>$I$18*$AP$18</f>
        <v>0</v>
      </c>
      <c r="AQ82" s="13">
        <f>$I$18*$AQ$18</f>
        <v>26086.054725928683</v>
      </c>
      <c r="AR82" s="13">
        <f>$I$18*$AR$18</f>
        <v>14222.745981038055</v>
      </c>
      <c r="AS82" s="13">
        <f>$I$18*$AS$18</f>
        <v>0</v>
      </c>
      <c r="AT82" s="13">
        <f>$I$18*$AT$18</f>
        <v>0</v>
      </c>
      <c r="AU82" s="13">
        <f>$I$18*$AU$18</f>
        <v>0</v>
      </c>
      <c r="AV82" s="13">
        <f>$I$18*$AV$18</f>
        <v>0</v>
      </c>
      <c r="AW82" s="13">
        <f>$I$18*$AW$18</f>
        <v>0</v>
      </c>
      <c r="AX82" s="13">
        <f>$I$18*$AX$18</f>
        <v>97835.948861859739</v>
      </c>
      <c r="AY82" s="13">
        <f>$I$18*$AY$18</f>
        <v>-8015.4180813536123</v>
      </c>
      <c r="AZ82" s="13">
        <f>$I$18*$AZ$18</f>
        <v>0</v>
      </c>
      <c r="BA82" s="13">
        <f>$I$18*$BA$18</f>
        <v>0</v>
      </c>
      <c r="BB82" s="13">
        <f>$I$18*$BB$18</f>
        <v>0</v>
      </c>
      <c r="BC82" s="13">
        <f>$I$18*$BC$18</f>
        <v>0</v>
      </c>
      <c r="BD82" s="13">
        <f>$I$18*$BD$18</f>
        <v>0</v>
      </c>
    </row>
    <row r="83" spans="1:56" ht="11.25" customHeight="1" x14ac:dyDescent="0.3">
      <c r="A83" s="9" t="s">
        <v>39</v>
      </c>
      <c r="B83" s="9" t="s">
        <v>1047</v>
      </c>
      <c r="C83" s="9" t="s">
        <v>1048</v>
      </c>
      <c r="D83" s="9" t="s">
        <v>1049</v>
      </c>
      <c r="E83" s="9" t="s">
        <v>1050</v>
      </c>
      <c r="F83" s="9" t="s">
        <v>1051</v>
      </c>
      <c r="G83" s="9" t="s">
        <v>1054</v>
      </c>
      <c r="L83" s="13">
        <f>$I$19*$L$19</f>
        <v>42149.053426750135</v>
      </c>
      <c r="M83" s="13">
        <f>$I$19*$M$19</f>
        <v>1785.9051724347707</v>
      </c>
      <c r="N83" s="13">
        <f ca="1">$I$19*$N$19</f>
        <v>1104.4881377929582</v>
      </c>
      <c r="O83" s="13">
        <f>$I$19*$O$19</f>
        <v>0</v>
      </c>
      <c r="P83" s="13">
        <f>$I$19*$P$19</f>
        <v>0</v>
      </c>
      <c r="Q83" s="13">
        <f>$I$19*$Q$19</f>
        <v>370229.44389315438</v>
      </c>
      <c r="R83" s="13">
        <f>$I$19*$R$19</f>
        <v>72660.123460460483</v>
      </c>
      <c r="S83" s="13">
        <f>$I$19*$S$19</f>
        <v>0</v>
      </c>
      <c r="T83" s="13">
        <f>$I$19*$T$19</f>
        <v>0</v>
      </c>
      <c r="U83" s="13">
        <f>$I$19*$U$19</f>
        <v>0</v>
      </c>
      <c r="V83" s="13">
        <f>$I$19*$V$19</f>
        <v>0</v>
      </c>
      <c r="W83" s="13">
        <f>$I$19*$W$19</f>
        <v>0</v>
      </c>
      <c r="X83" s="13">
        <f>$I$19*$X$19</f>
        <v>0</v>
      </c>
      <c r="Y83" s="13">
        <f>$I$19*$Y$19</f>
        <v>0</v>
      </c>
      <c r="Z83" s="13">
        <f>$I$19*$Z$19</f>
        <v>0</v>
      </c>
      <c r="AA83" s="13">
        <f>$I$19*$AA$19</f>
        <v>0</v>
      </c>
      <c r="AB83" s="13">
        <f ca="1">$I$19*$AB$19</f>
        <v>-18152.953305459829</v>
      </c>
      <c r="AC83" s="13">
        <f ca="1">$I$19*$AC$19</f>
        <v>0</v>
      </c>
      <c r="AD83" s="13">
        <f>$I$19*$AD$19</f>
        <v>41735.861572816939</v>
      </c>
      <c r="AE83" s="13">
        <f>$I$19*$AE$19</f>
        <v>1228.1316889171369</v>
      </c>
      <c r="AF83" s="13">
        <f ca="1">$I$19*$AF$19</f>
        <v>3759.2001103100856</v>
      </c>
      <c r="AG83" s="13">
        <f ca="1">$I$19*$AG$19</f>
        <v>874.33660067633673</v>
      </c>
      <c r="AI83" s="13">
        <f>$I$19*$AI$19</f>
        <v>39875.176135145346</v>
      </c>
      <c r="AJ83" s="13">
        <f>$I$19*$AJ$19</f>
        <v>1499.6057953019929</v>
      </c>
      <c r="AK83" s="13">
        <f>$I$19*$AK$19</f>
        <v>984.98505679466848</v>
      </c>
      <c r="AL83" s="13">
        <f>$I$19*$AL$19</f>
        <v>0</v>
      </c>
      <c r="AM83" s="13">
        <f>$I$19*$AM$19</f>
        <v>0</v>
      </c>
      <c r="AN83" s="13">
        <f>$I$19*$AN$19</f>
        <v>180336.14570714522</v>
      </c>
      <c r="AO83" s="13">
        <f>$I$19*$AO$19</f>
        <v>45274.879162290992</v>
      </c>
      <c r="AP83" s="13">
        <f>$I$19*$AP$19</f>
        <v>0</v>
      </c>
      <c r="AQ83" s="13">
        <f>$I$19*$AQ$19</f>
        <v>0</v>
      </c>
      <c r="AR83" s="13">
        <f>$I$19*$AR$19</f>
        <v>0</v>
      </c>
      <c r="AS83" s="13">
        <f>$I$19*$AS$19</f>
        <v>0</v>
      </c>
      <c r="AT83" s="13">
        <f>$I$19*$AT$19</f>
        <v>0</v>
      </c>
      <c r="AU83" s="13">
        <f>$I$19*$AU$19</f>
        <v>0</v>
      </c>
      <c r="AV83" s="13">
        <f>$I$19*$AV$19</f>
        <v>0</v>
      </c>
      <c r="AW83" s="13">
        <f>$I$19*$AW$19</f>
        <v>0</v>
      </c>
      <c r="AX83" s="13">
        <f>$I$19*$AX$19</f>
        <v>0</v>
      </c>
      <c r="AY83" s="13">
        <f>$I$19*$AY$19</f>
        <v>-17487.918012958671</v>
      </c>
      <c r="AZ83" s="13">
        <f>$I$19*$AZ$19</f>
        <v>0</v>
      </c>
      <c r="BA83" s="13">
        <f>$I$19*$BA$19</f>
        <v>45097.049525617236</v>
      </c>
      <c r="BB83" s="13">
        <f>$I$19*$BB$19</f>
        <v>1195.3184863248844</v>
      </c>
      <c r="BC83" s="13">
        <f>$I$19*$BC$19</f>
        <v>3699.9020388071631</v>
      </c>
      <c r="BD83" s="13">
        <f>$I$19*$BD$19</f>
        <v>1284.9570919766993</v>
      </c>
    </row>
    <row r="84" spans="1:56" ht="11.25" customHeight="1" x14ac:dyDescent="0.3">
      <c r="A84" s="9" t="s">
        <v>39</v>
      </c>
      <c r="B84" s="9" t="s">
        <v>1047</v>
      </c>
      <c r="C84" s="9" t="s">
        <v>1048</v>
      </c>
      <c r="D84" s="9" t="s">
        <v>1049</v>
      </c>
      <c r="E84" s="9" t="s">
        <v>1055</v>
      </c>
      <c r="F84" s="9" t="s">
        <v>1056</v>
      </c>
      <c r="G84" s="9" t="s">
        <v>1057</v>
      </c>
      <c r="L84" s="13">
        <f>$I$20*$L$20</f>
        <v>0</v>
      </c>
      <c r="M84" s="13">
        <f>$I$20*$M$20</f>
        <v>0</v>
      </c>
      <c r="N84" s="13">
        <f ca="1">$I$20*$N$20</f>
        <v>0</v>
      </c>
      <c r="O84" s="13">
        <f>$I$20*$O$20</f>
        <v>0</v>
      </c>
      <c r="P84" s="13">
        <f>$I$20*$P$20</f>
        <v>0</v>
      </c>
      <c r="Q84" s="13">
        <f>$I$20*$Q$20</f>
        <v>0</v>
      </c>
      <c r="R84" s="13">
        <f>$I$20*$R$20</f>
        <v>0</v>
      </c>
      <c r="S84" s="13">
        <f>$I$20*$S$20</f>
        <v>0</v>
      </c>
      <c r="T84" s="13">
        <f>$I$20*$T$20</f>
        <v>0</v>
      </c>
      <c r="U84" s="13">
        <f>$I$20*$U$20</f>
        <v>0</v>
      </c>
      <c r="V84" s="13">
        <f>$I$20*$V$20</f>
        <v>0</v>
      </c>
      <c r="W84" s="13">
        <f>$I$20*$W$20</f>
        <v>0</v>
      </c>
      <c r="X84" s="13">
        <f>$I$20*$X$20</f>
        <v>0</v>
      </c>
      <c r="Y84" s="13">
        <f>$I$20*$Y$20</f>
        <v>0</v>
      </c>
      <c r="Z84" s="13">
        <f>$I$20*$Z$20</f>
        <v>0</v>
      </c>
      <c r="AA84" s="13">
        <f>$I$20*$AA$20</f>
        <v>0</v>
      </c>
      <c r="AB84" s="13">
        <f ca="1">$I$20*$AB$20</f>
        <v>0</v>
      </c>
      <c r="AC84" s="13">
        <f ca="1">$I$20*$AC$20</f>
        <v>0</v>
      </c>
      <c r="AD84" s="13">
        <f>$I$20*$AD$20</f>
        <v>0</v>
      </c>
      <c r="AE84" s="13">
        <f>$I$20*$AE$20</f>
        <v>0</v>
      </c>
      <c r="AF84" s="13">
        <f ca="1">$I$20*$AF$20</f>
        <v>0</v>
      </c>
      <c r="AG84" s="13">
        <f ca="1">$I$20*$AG$20</f>
        <v>0</v>
      </c>
      <c r="AI84" s="13">
        <f>$I$20*$AI$20</f>
        <v>0</v>
      </c>
      <c r="AJ84" s="13">
        <f>$I$20*$AJ$20</f>
        <v>0</v>
      </c>
      <c r="AK84" s="13">
        <f>$I$20*$AK$20</f>
        <v>0</v>
      </c>
      <c r="AL84" s="13">
        <f>$I$20*$AL$20</f>
        <v>0</v>
      </c>
      <c r="AM84" s="13">
        <f>$I$20*$AM$20</f>
        <v>0</v>
      </c>
      <c r="AN84" s="13">
        <f>$I$20*$AN$20</f>
        <v>0</v>
      </c>
      <c r="AO84" s="13">
        <f>$I$20*$AO$20</f>
        <v>0</v>
      </c>
      <c r="AP84" s="13">
        <f>$I$20*$AP$20</f>
        <v>0</v>
      </c>
      <c r="AQ84" s="13">
        <f>$I$20*$AQ$20</f>
        <v>0</v>
      </c>
      <c r="AR84" s="13">
        <f>$I$20*$AR$20</f>
        <v>0</v>
      </c>
      <c r="AS84" s="13">
        <f>$I$20*$AS$20</f>
        <v>0</v>
      </c>
      <c r="AT84" s="13">
        <f>$I$20*$AT$20</f>
        <v>0</v>
      </c>
      <c r="AU84" s="13">
        <f>$I$20*$AU$20</f>
        <v>0</v>
      </c>
      <c r="AV84" s="13">
        <f>$I$20*$AV$20</f>
        <v>0</v>
      </c>
      <c r="AW84" s="13">
        <f>$I$20*$AW$20</f>
        <v>0</v>
      </c>
      <c r="AX84" s="13">
        <f>$I$20*$AX$20</f>
        <v>0</v>
      </c>
      <c r="AY84" s="13">
        <f>$I$20*$AY$20</f>
        <v>0</v>
      </c>
      <c r="AZ84" s="13">
        <f>$I$20*$AZ$20</f>
        <v>0</v>
      </c>
      <c r="BA84" s="13">
        <f>$I$20*$BA$20</f>
        <v>0</v>
      </c>
      <c r="BB84" s="13">
        <f>$I$20*$BB$20</f>
        <v>0</v>
      </c>
      <c r="BC84" s="13">
        <f>$I$20*$BC$20</f>
        <v>0</v>
      </c>
      <c r="BD84" s="13">
        <f>$I$20*$BD$20</f>
        <v>0</v>
      </c>
    </row>
    <row r="85" spans="1:56" ht="11.25" customHeight="1" x14ac:dyDescent="0.3">
      <c r="A85" s="9" t="s">
        <v>39</v>
      </c>
      <c r="B85" s="9" t="s">
        <v>1058</v>
      </c>
      <c r="C85" s="9" t="s">
        <v>1059</v>
      </c>
      <c r="D85" s="9" t="s">
        <v>1060</v>
      </c>
      <c r="E85" s="9" t="s">
        <v>1061</v>
      </c>
      <c r="F85" s="9" t="s">
        <v>1062</v>
      </c>
      <c r="G85" s="9" t="s">
        <v>1063</v>
      </c>
      <c r="L85" s="13">
        <f>$I$21*$L$21</f>
        <v>0</v>
      </c>
      <c r="M85" s="13">
        <f>$I$21*$M$21</f>
        <v>0</v>
      </c>
      <c r="N85" s="13">
        <f ca="1">$I$21*$N$21</f>
        <v>0</v>
      </c>
      <c r="O85" s="13">
        <f>$I$21*$O$21</f>
        <v>0</v>
      </c>
      <c r="P85" s="13">
        <f>$I$21*$P$21</f>
        <v>0</v>
      </c>
      <c r="Q85" s="13">
        <f>$I$21*$Q$21</f>
        <v>0</v>
      </c>
      <c r="R85" s="13">
        <f>$I$21*$R$21</f>
        <v>0</v>
      </c>
      <c r="S85" s="13">
        <f>$I$21*$S$21</f>
        <v>0</v>
      </c>
      <c r="T85" s="13">
        <f>$I$21*$T$21</f>
        <v>0</v>
      </c>
      <c r="U85" s="13">
        <f>$I$21*$U$21</f>
        <v>0</v>
      </c>
      <c r="V85" s="13">
        <f>$I$21*$V$21</f>
        <v>0</v>
      </c>
      <c r="W85" s="13">
        <f>$I$21*$W$21</f>
        <v>0</v>
      </c>
      <c r="X85" s="13">
        <f>$I$21*$X$21</f>
        <v>0</v>
      </c>
      <c r="Y85" s="13">
        <f>$I$21*$Y$21</f>
        <v>0</v>
      </c>
      <c r="Z85" s="13">
        <f>$I$21*$Z$21</f>
        <v>0</v>
      </c>
      <c r="AA85" s="13">
        <f>$I$21*$AA$21</f>
        <v>0</v>
      </c>
      <c r="AB85" s="13">
        <f ca="1">$I$21*$AB$21</f>
        <v>0</v>
      </c>
      <c r="AC85" s="13">
        <f ca="1">$I$21*$AC$21</f>
        <v>0</v>
      </c>
      <c r="AD85" s="13">
        <f>$I$21*$AD$21</f>
        <v>0</v>
      </c>
      <c r="AE85" s="13">
        <f>$I$21*$AE$21</f>
        <v>0</v>
      </c>
      <c r="AF85" s="13">
        <f ca="1">$I$21*$AF$21</f>
        <v>0</v>
      </c>
      <c r="AG85" s="13">
        <f ca="1">$I$21*$AG$21</f>
        <v>0</v>
      </c>
      <c r="AI85" s="13">
        <f>$I$21*$AI$21</f>
        <v>0</v>
      </c>
      <c r="AJ85" s="13">
        <f>$I$21*$AJ$21</f>
        <v>0</v>
      </c>
      <c r="AK85" s="13">
        <f>$I$21*$AK$21</f>
        <v>0</v>
      </c>
      <c r="AL85" s="13">
        <f>$I$21*$AL$21</f>
        <v>0</v>
      </c>
      <c r="AM85" s="13">
        <f>$I$21*$AM$21</f>
        <v>0</v>
      </c>
      <c r="AN85" s="13">
        <f>$I$21*$AN$21</f>
        <v>0</v>
      </c>
      <c r="AO85" s="13">
        <f>$I$21*$AO$21</f>
        <v>0</v>
      </c>
      <c r="AP85" s="13">
        <f>$I$21*$AP$21</f>
        <v>0</v>
      </c>
      <c r="AQ85" s="13">
        <f>$I$21*$AQ$21</f>
        <v>0</v>
      </c>
      <c r="AR85" s="13">
        <f>$I$21*$AR$21</f>
        <v>0</v>
      </c>
      <c r="AS85" s="13">
        <f>$I$21*$AS$21</f>
        <v>0</v>
      </c>
      <c r="AT85" s="13">
        <f>$I$21*$AT$21</f>
        <v>0</v>
      </c>
      <c r="AU85" s="13">
        <f>$I$21*$AU$21</f>
        <v>0</v>
      </c>
      <c r="AV85" s="13">
        <f>$I$21*$AV$21</f>
        <v>0</v>
      </c>
      <c r="AW85" s="13">
        <f>$I$21*$AW$21</f>
        <v>0</v>
      </c>
      <c r="AX85" s="13">
        <f>$I$21*$AX$21</f>
        <v>0</v>
      </c>
      <c r="AY85" s="13">
        <f>$I$21*$AY$21</f>
        <v>0</v>
      </c>
      <c r="AZ85" s="13">
        <f>$I$21*$AZ$21</f>
        <v>0</v>
      </c>
      <c r="BA85" s="13">
        <f>$I$21*$BA$21</f>
        <v>0</v>
      </c>
      <c r="BB85" s="13">
        <f>$I$21*$BB$21</f>
        <v>0</v>
      </c>
      <c r="BC85" s="13">
        <f>$I$21*$BC$21</f>
        <v>0</v>
      </c>
      <c r="BD85" s="13">
        <f>$I$21*$BD$21</f>
        <v>0</v>
      </c>
    </row>
    <row r="86" spans="1:56" ht="11.25" customHeight="1" x14ac:dyDescent="0.3">
      <c r="A86" s="9" t="s">
        <v>39</v>
      </c>
      <c r="B86" s="9" t="s">
        <v>1064</v>
      </c>
      <c r="C86" s="9" t="s">
        <v>1065</v>
      </c>
      <c r="D86" s="9" t="s">
        <v>1066</v>
      </c>
      <c r="E86" s="9" t="s">
        <v>1067</v>
      </c>
      <c r="F86" s="9" t="s">
        <v>1068</v>
      </c>
      <c r="G86" s="9" t="s">
        <v>1069</v>
      </c>
      <c r="L86" s="13">
        <f>$I$22*$L$22</f>
        <v>0</v>
      </c>
      <c r="M86" s="13">
        <f>$I$22*$M$22</f>
        <v>0</v>
      </c>
      <c r="N86" s="13">
        <f ca="1">$I$22*$N$22</f>
        <v>0</v>
      </c>
      <c r="O86" s="13">
        <f>$I$22*$O$22</f>
        <v>0</v>
      </c>
      <c r="P86" s="13">
        <f>$I$22*$P$22</f>
        <v>0</v>
      </c>
      <c r="Q86" s="13">
        <f>$I$22*$Q$22</f>
        <v>0</v>
      </c>
      <c r="R86" s="13">
        <f>$I$22*$R$22</f>
        <v>0</v>
      </c>
      <c r="S86" s="13">
        <f>$I$22*$S$22</f>
        <v>0</v>
      </c>
      <c r="T86" s="13">
        <f>$I$22*$T$22</f>
        <v>604847.25201039552</v>
      </c>
      <c r="U86" s="13">
        <f>$I$22*$U$22</f>
        <v>290685.03343408735</v>
      </c>
      <c r="V86" s="13">
        <f>$I$22*$V$22</f>
        <v>0</v>
      </c>
      <c r="W86" s="13">
        <f>$I$22*$W$22</f>
        <v>0</v>
      </c>
      <c r="X86" s="13">
        <f>$I$22*$X$22</f>
        <v>0</v>
      </c>
      <c r="Y86" s="13">
        <f>$I$22*$Y$22</f>
        <v>0</v>
      </c>
      <c r="Z86" s="13">
        <f>$I$22*$Z$22</f>
        <v>0</v>
      </c>
      <c r="AA86" s="13">
        <f>$I$22*$AA$22</f>
        <v>1901570.0862996436</v>
      </c>
      <c r="AB86" s="13">
        <f ca="1">$I$22*$AB$22</f>
        <v>-117793.32552470487</v>
      </c>
      <c r="AC86" s="13">
        <f ca="1">$I$22*$AC$22</f>
        <v>0</v>
      </c>
      <c r="AD86" s="13">
        <f>$I$22*$AD$22</f>
        <v>0</v>
      </c>
      <c r="AE86" s="13">
        <f>$I$22*$AE$22</f>
        <v>0</v>
      </c>
      <c r="AF86" s="13">
        <f ca="1">$I$22*$AF$22</f>
        <v>0</v>
      </c>
      <c r="AG86" s="13">
        <f ca="1">$I$22*$AG$22</f>
        <v>0</v>
      </c>
      <c r="AI86" s="13">
        <f>$I$22*$AI$22</f>
        <v>0</v>
      </c>
      <c r="AJ86" s="13">
        <f>$I$22*$AJ$22</f>
        <v>0</v>
      </c>
      <c r="AK86" s="13">
        <f>$I$22*$AK$22</f>
        <v>0</v>
      </c>
      <c r="AL86" s="13">
        <f>$I$22*$AL$22</f>
        <v>0</v>
      </c>
      <c r="AM86" s="13">
        <f>$I$22*$AM$22</f>
        <v>0</v>
      </c>
      <c r="AN86" s="13">
        <f>$I$22*$AN$22</f>
        <v>0</v>
      </c>
      <c r="AO86" s="13">
        <f>$I$22*$AO$22</f>
        <v>0</v>
      </c>
      <c r="AP86" s="13">
        <f>$I$22*$AP$22</f>
        <v>0</v>
      </c>
      <c r="AQ86" s="13">
        <f>$I$22*$AQ$22</f>
        <v>475599.18970360101</v>
      </c>
      <c r="AR86" s="13">
        <f>$I$22*$AR$22</f>
        <v>259308.14509939399</v>
      </c>
      <c r="AS86" s="13">
        <f>$I$22*$AS$22</f>
        <v>0</v>
      </c>
      <c r="AT86" s="13">
        <f>$I$22*$AT$22</f>
        <v>0</v>
      </c>
      <c r="AU86" s="13">
        <f>$I$22*$AU$22</f>
        <v>0</v>
      </c>
      <c r="AV86" s="13">
        <f>$I$22*$AV$22</f>
        <v>0</v>
      </c>
      <c r="AW86" s="13">
        <f>$I$22*$AW$22</f>
        <v>0</v>
      </c>
      <c r="AX86" s="13">
        <f>$I$22*$AX$22</f>
        <v>1783738.4185326213</v>
      </c>
      <c r="AY86" s="13">
        <f>$I$22*$AY$22</f>
        <v>-146136.5616487127</v>
      </c>
      <c r="AZ86" s="13">
        <f>$I$22*$AZ$22</f>
        <v>0</v>
      </c>
      <c r="BA86" s="13">
        <f>$I$22*$BA$22</f>
        <v>0</v>
      </c>
      <c r="BB86" s="13">
        <f>$I$22*$BB$22</f>
        <v>0</v>
      </c>
      <c r="BC86" s="13">
        <f>$I$22*$BC$22</f>
        <v>0</v>
      </c>
      <c r="BD86" s="13">
        <f>$I$22*$BD$22</f>
        <v>0</v>
      </c>
    </row>
    <row r="87" spans="1:56" ht="11.25" customHeight="1" x14ac:dyDescent="0.3">
      <c r="A87" s="9" t="s">
        <v>39</v>
      </c>
      <c r="B87" s="9" t="s">
        <v>1064</v>
      </c>
      <c r="C87" s="9" t="s">
        <v>1065</v>
      </c>
      <c r="D87" s="9" t="s">
        <v>1066</v>
      </c>
      <c r="E87" s="9" t="s">
        <v>1067</v>
      </c>
      <c r="F87" s="9" t="s">
        <v>1068</v>
      </c>
      <c r="G87" s="9" t="s">
        <v>1070</v>
      </c>
      <c r="L87" s="13">
        <f>$I$23*$L$23</f>
        <v>13215.102020712164</v>
      </c>
      <c r="M87" s="13">
        <f>$I$23*$M$23</f>
        <v>559.93947987606748</v>
      </c>
      <c r="N87" s="13">
        <f ca="1">$I$23*$N$23</f>
        <v>14629.517103598459</v>
      </c>
      <c r="O87" s="13">
        <f>$I$23*$O$23</f>
        <v>0</v>
      </c>
      <c r="P87" s="13">
        <f>$I$23*$P$23</f>
        <v>0</v>
      </c>
      <c r="Q87" s="13">
        <f>$I$23*$Q$23</f>
        <v>116078.9976131335</v>
      </c>
      <c r="R87" s="13">
        <f>$I$23*$R$23</f>
        <v>22781.316928890352</v>
      </c>
      <c r="S87" s="13">
        <f>$I$23*$S$23</f>
        <v>0</v>
      </c>
      <c r="T87" s="13">
        <f>$I$23*$T$23</f>
        <v>223866.14052691235</v>
      </c>
      <c r="U87" s="13">
        <f>$I$23*$U$23</f>
        <v>103868.87945342035</v>
      </c>
      <c r="V87" s="13">
        <f>$I$23*$V$23</f>
        <v>0</v>
      </c>
      <c r="W87" s="13">
        <f>$I$23*$W$23</f>
        <v>0</v>
      </c>
      <c r="X87" s="13">
        <f>$I$23*$X$23</f>
        <v>0</v>
      </c>
      <c r="Y87" s="13">
        <f>$I$23*$Y$23</f>
        <v>0</v>
      </c>
      <c r="Z87" s="13">
        <f>$I$23*$Z$23</f>
        <v>0</v>
      </c>
      <c r="AA87" s="13">
        <f>$I$23*$AA$23</f>
        <v>1099206.6832990886</v>
      </c>
      <c r="AB87" s="13">
        <f ca="1">$I$23*$AB$23</f>
        <v>-66838.166966806093</v>
      </c>
      <c r="AC87" s="13">
        <f ca="1">$I$23*$AC$23</f>
        <v>0</v>
      </c>
      <c r="AD87" s="13">
        <f>$I$23*$AD$23</f>
        <v>13085.552907270179</v>
      </c>
      <c r="AE87" s="13">
        <f>$I$23*$AE$23</f>
        <v>385.05931318517133</v>
      </c>
      <c r="AF87" s="13">
        <f ca="1">$I$23*$AF$23</f>
        <v>1178.6317588449483</v>
      </c>
      <c r="AG87" s="13">
        <f ca="1">$I$23*$AG$23</f>
        <v>274.13302171686183</v>
      </c>
      <c r="AI87" s="13">
        <f>$I$23*$AI$23</f>
        <v>12502.167376916183</v>
      </c>
      <c r="AJ87" s="13">
        <f>$I$23*$AJ$23</f>
        <v>470.17529373956921</v>
      </c>
      <c r="AK87" s="13">
        <f>$I$23*$AK$23</f>
        <v>13221.472226164096</v>
      </c>
      <c r="AL87" s="13">
        <f>$I$23*$AL$23</f>
        <v>0</v>
      </c>
      <c r="AM87" s="13">
        <f>$I$23*$AM$23</f>
        <v>0</v>
      </c>
      <c r="AN87" s="13">
        <f>$I$23*$AN$23</f>
        <v>56541.259406538695</v>
      </c>
      <c r="AO87" s="13">
        <f>$I$23*$AO$23</f>
        <v>14195.150269385851</v>
      </c>
      <c r="AP87" s="13">
        <f>$I$23*$AP$23</f>
        <v>0</v>
      </c>
      <c r="AQ87" s="13">
        <f>$I$23*$AQ$23</f>
        <v>176028.83154843588</v>
      </c>
      <c r="AR87" s="13">
        <f>$I$23*$AR$23</f>
        <v>92657.149033186477</v>
      </c>
      <c r="AS87" s="13">
        <f>$I$23*$AS$23</f>
        <v>0</v>
      </c>
      <c r="AT87" s="13">
        <f>$I$23*$AT$23</f>
        <v>0</v>
      </c>
      <c r="AU87" s="13">
        <f>$I$23*$AU$23</f>
        <v>0</v>
      </c>
      <c r="AV87" s="13">
        <f>$I$23*$AV$23</f>
        <v>0</v>
      </c>
      <c r="AW87" s="13">
        <f>$I$23*$AW$23</f>
        <v>0</v>
      </c>
      <c r="AX87" s="13">
        <f>$I$23*$AX$23</f>
        <v>1031093.8340031501</v>
      </c>
      <c r="AY87" s="13">
        <f>$I$23*$AY$23</f>
        <v>-81635.107545150997</v>
      </c>
      <c r="AZ87" s="13">
        <f>$I$23*$AZ$23</f>
        <v>0</v>
      </c>
      <c r="BA87" s="13">
        <f>$I$23*$BA$23</f>
        <v>14139.394882256365</v>
      </c>
      <c r="BB87" s="13">
        <f>$I$23*$BB$23</f>
        <v>374.77130468608345</v>
      </c>
      <c r="BC87" s="13">
        <f>$I$23*$BC$23</f>
        <v>1160.0398807164286</v>
      </c>
      <c r="BD87" s="13">
        <f>$I$23*$BD$23</f>
        <v>402.87592916458527</v>
      </c>
    </row>
    <row r="88" spans="1:56" ht="11.25" customHeight="1" x14ac:dyDescent="0.3">
      <c r="A88" s="9" t="s">
        <v>39</v>
      </c>
      <c r="B88" s="9" t="s">
        <v>1064</v>
      </c>
      <c r="C88" s="9" t="s">
        <v>1065</v>
      </c>
      <c r="D88" s="9" t="s">
        <v>1066</v>
      </c>
      <c r="E88" s="9" t="s">
        <v>1067</v>
      </c>
      <c r="F88" s="9" t="s">
        <v>1068</v>
      </c>
      <c r="G88" s="9" t="s">
        <v>1071</v>
      </c>
      <c r="L88" s="13">
        <f>$I$24*$L$24</f>
        <v>273518.85370408674</v>
      </c>
      <c r="M88" s="13">
        <f>$I$24*$M$24</f>
        <v>11589.316861824047</v>
      </c>
      <c r="N88" s="13">
        <f ca="1">$I$24*$N$24</f>
        <v>7167.3811110349388</v>
      </c>
      <c r="O88" s="13">
        <f>$I$24*$O$24</f>
        <v>0</v>
      </c>
      <c r="P88" s="13">
        <f>$I$24*$P$24</f>
        <v>0</v>
      </c>
      <c r="Q88" s="13">
        <f>$I$24*$Q$24</f>
        <v>2402538.7255052528</v>
      </c>
      <c r="R88" s="13">
        <f>$I$24*$R$24</f>
        <v>471515.0653013119</v>
      </c>
      <c r="S88" s="13">
        <f>$I$24*$S$24</f>
        <v>0</v>
      </c>
      <c r="T88" s="13">
        <f>$I$24*$T$24</f>
        <v>0</v>
      </c>
      <c r="U88" s="13">
        <f>$I$24*$U$24</f>
        <v>0</v>
      </c>
      <c r="V88" s="13">
        <f>$I$24*$V$24</f>
        <v>0</v>
      </c>
      <c r="W88" s="13">
        <f>$I$24*$W$24</f>
        <v>0</v>
      </c>
      <c r="X88" s="13">
        <f>$I$24*$X$24</f>
        <v>0</v>
      </c>
      <c r="Y88" s="13">
        <f>$I$24*$Y$24</f>
        <v>0</v>
      </c>
      <c r="Z88" s="13">
        <f>$I$24*$Z$24</f>
        <v>0</v>
      </c>
      <c r="AA88" s="13">
        <f>$I$24*$AA$24</f>
        <v>0</v>
      </c>
      <c r="AB88" s="13">
        <f ca="1">$I$24*$AB$24</f>
        <v>-117800.39113053981</v>
      </c>
      <c r="AC88" s="13">
        <f ca="1">$I$24*$AC$24</f>
        <v>0</v>
      </c>
      <c r="AD88" s="13">
        <f>$I$24*$AD$24</f>
        <v>270837.51799048448</v>
      </c>
      <c r="AE88" s="13">
        <f>$I$24*$AE$24</f>
        <v>7969.7441446475668</v>
      </c>
      <c r="AF88" s="13">
        <f ca="1">$I$24*$AF$24</f>
        <v>24394.666580192534</v>
      </c>
      <c r="AG88" s="13">
        <f ca="1">$I$24*$AG$24</f>
        <v>5673.8532736951847</v>
      </c>
      <c r="AI88" s="13">
        <f>$I$24*$AI$24</f>
        <v>258762.92777696328</v>
      </c>
      <c r="AJ88" s="13">
        <f>$I$24*$AJ$24</f>
        <v>9731.4275124074193</v>
      </c>
      <c r="AK88" s="13">
        <f>$I$24*$AK$24</f>
        <v>6391.8869285721294</v>
      </c>
      <c r="AL88" s="13">
        <f>$I$24*$AL$24</f>
        <v>0</v>
      </c>
      <c r="AM88" s="13">
        <f>$I$24*$AM$24</f>
        <v>0</v>
      </c>
      <c r="AN88" s="13">
        <f>$I$24*$AN$24</f>
        <v>1170259.6344412072</v>
      </c>
      <c r="AO88" s="13">
        <f>$I$24*$AO$24</f>
        <v>293803.34890751302</v>
      </c>
      <c r="AP88" s="13">
        <f>$I$24*$AP$24</f>
        <v>0</v>
      </c>
      <c r="AQ88" s="13">
        <f>$I$24*$AQ$24</f>
        <v>0</v>
      </c>
      <c r="AR88" s="13">
        <f>$I$24*$AR$24</f>
        <v>0</v>
      </c>
      <c r="AS88" s="13">
        <f>$I$24*$AS$24</f>
        <v>0</v>
      </c>
      <c r="AT88" s="13">
        <f>$I$24*$AT$24</f>
        <v>0</v>
      </c>
      <c r="AU88" s="13">
        <f>$I$24*$AU$24</f>
        <v>0</v>
      </c>
      <c r="AV88" s="13">
        <f>$I$24*$AV$24</f>
        <v>0</v>
      </c>
      <c r="AW88" s="13">
        <f>$I$24*$AW$24</f>
        <v>0</v>
      </c>
      <c r="AX88" s="13">
        <f>$I$24*$AX$24</f>
        <v>0</v>
      </c>
      <c r="AY88" s="13">
        <f>$I$24*$AY$24</f>
        <v>-113484.76180819221</v>
      </c>
      <c r="AZ88" s="13">
        <f>$I$24*$AZ$24</f>
        <v>0</v>
      </c>
      <c r="BA88" s="13">
        <f>$I$24*$BA$24</f>
        <v>292649.35482168733</v>
      </c>
      <c r="BB88" s="13">
        <f>$I$24*$BB$24</f>
        <v>7756.808649548243</v>
      </c>
      <c r="BC88" s="13">
        <f>$I$24*$BC$24</f>
        <v>24009.862196091024</v>
      </c>
      <c r="BD88" s="13">
        <f>$I$24*$BD$24</f>
        <v>8338.5025826783458</v>
      </c>
    </row>
    <row r="89" spans="1:56" ht="11.25" customHeight="1" x14ac:dyDescent="0.3">
      <c r="A89" s="9" t="s">
        <v>39</v>
      </c>
      <c r="B89" s="9" t="s">
        <v>1064</v>
      </c>
      <c r="C89" s="9" t="s">
        <v>1065</v>
      </c>
      <c r="D89" s="9" t="s">
        <v>1066</v>
      </c>
      <c r="E89" s="9" t="s">
        <v>1072</v>
      </c>
      <c r="F89" s="9" t="s">
        <v>1073</v>
      </c>
      <c r="G89" s="9" t="s">
        <v>1074</v>
      </c>
      <c r="L89" s="13">
        <f>$I$25*$L$25</f>
        <v>0</v>
      </c>
      <c r="M89" s="13">
        <f>$I$25*$M$25</f>
        <v>0</v>
      </c>
      <c r="N89" s="13">
        <f ca="1">$I$25*$N$25</f>
        <v>0</v>
      </c>
      <c r="O89" s="13">
        <f>$I$25*$O$25</f>
        <v>0</v>
      </c>
      <c r="P89" s="13">
        <f>$I$25*$P$25</f>
        <v>0</v>
      </c>
      <c r="Q89" s="13">
        <f>$I$25*$Q$25</f>
        <v>0</v>
      </c>
      <c r="R89" s="13">
        <f>$I$25*$R$25</f>
        <v>0</v>
      </c>
      <c r="S89" s="13">
        <f>$I$25*$S$25</f>
        <v>0</v>
      </c>
      <c r="T89" s="13">
        <f>$I$25*$T$25</f>
        <v>0</v>
      </c>
      <c r="U89" s="13">
        <f>$I$25*$U$25</f>
        <v>0</v>
      </c>
      <c r="V89" s="13">
        <f>$I$25*$V$25</f>
        <v>0</v>
      </c>
      <c r="W89" s="13">
        <f>$I$25*$W$25</f>
        <v>0</v>
      </c>
      <c r="X89" s="13">
        <f>$I$25*$X$25</f>
        <v>0</v>
      </c>
      <c r="Y89" s="13">
        <f>$I$25*$Y$25</f>
        <v>0</v>
      </c>
      <c r="Z89" s="13">
        <f>$I$25*$Z$25</f>
        <v>0</v>
      </c>
      <c r="AA89" s="13">
        <f>$I$25*$AA$25</f>
        <v>0</v>
      </c>
      <c r="AB89" s="13">
        <f ca="1">$I$25*$AB$25</f>
        <v>0</v>
      </c>
      <c r="AC89" s="13">
        <f ca="1">$I$25*$AC$25</f>
        <v>0</v>
      </c>
      <c r="AD89" s="13">
        <f>$I$25*$AD$25</f>
        <v>0</v>
      </c>
      <c r="AE89" s="13">
        <f>$I$25*$AE$25</f>
        <v>0</v>
      </c>
      <c r="AF89" s="13">
        <f ca="1">$I$25*$AF$25</f>
        <v>0</v>
      </c>
      <c r="AG89" s="13">
        <f ca="1">$I$25*$AG$25</f>
        <v>0</v>
      </c>
      <c r="AI89" s="13">
        <f>$I$25*$AI$25</f>
        <v>0</v>
      </c>
      <c r="AJ89" s="13">
        <f>$I$25*$AJ$25</f>
        <v>0</v>
      </c>
      <c r="AK89" s="13">
        <f>$I$25*$AK$25</f>
        <v>0</v>
      </c>
      <c r="AL89" s="13">
        <f>$I$25*$AL$25</f>
        <v>0</v>
      </c>
      <c r="AM89" s="13">
        <f>$I$25*$AM$25</f>
        <v>0</v>
      </c>
      <c r="AN89" s="13">
        <f>$I$25*$AN$25</f>
        <v>0</v>
      </c>
      <c r="AO89" s="13">
        <f>$I$25*$AO$25</f>
        <v>0</v>
      </c>
      <c r="AP89" s="13">
        <f>$I$25*$AP$25</f>
        <v>0</v>
      </c>
      <c r="AQ89" s="13">
        <f>$I$25*$AQ$25</f>
        <v>0</v>
      </c>
      <c r="AR89" s="13">
        <f>$I$25*$AR$25</f>
        <v>0</v>
      </c>
      <c r="AS89" s="13">
        <f>$I$25*$AS$25</f>
        <v>0</v>
      </c>
      <c r="AT89" s="13">
        <f>$I$25*$AT$25</f>
        <v>0</v>
      </c>
      <c r="AU89" s="13">
        <f>$I$25*$AU$25</f>
        <v>0</v>
      </c>
      <c r="AV89" s="13">
        <f>$I$25*$AV$25</f>
        <v>0</v>
      </c>
      <c r="AW89" s="13">
        <f>$I$25*$AW$25</f>
        <v>0</v>
      </c>
      <c r="AX89" s="13">
        <f>$I$25*$AX$25</f>
        <v>0</v>
      </c>
      <c r="AY89" s="13">
        <f>$I$25*$AY$25</f>
        <v>0</v>
      </c>
      <c r="AZ89" s="13">
        <f>$I$25*$AZ$25</f>
        <v>0</v>
      </c>
      <c r="BA89" s="13">
        <f>$I$25*$BA$25</f>
        <v>0</v>
      </c>
      <c r="BB89" s="13">
        <f>$I$25*$BB$25</f>
        <v>0</v>
      </c>
      <c r="BC89" s="13">
        <f>$I$25*$BC$25</f>
        <v>0</v>
      </c>
      <c r="BD89" s="13">
        <f>$I$25*$BD$25</f>
        <v>0</v>
      </c>
    </row>
    <row r="90" spans="1:56" ht="11.25" customHeight="1" x14ac:dyDescent="0.3">
      <c r="A90" s="9" t="s">
        <v>39</v>
      </c>
      <c r="B90" s="9" t="s">
        <v>1064</v>
      </c>
      <c r="C90" s="9" t="s">
        <v>1065</v>
      </c>
      <c r="D90" s="9" t="s">
        <v>1066</v>
      </c>
      <c r="E90" s="9" t="s">
        <v>1072</v>
      </c>
      <c r="F90" s="9" t="s">
        <v>1073</v>
      </c>
      <c r="G90" s="9" t="s">
        <v>1075</v>
      </c>
      <c r="L90" s="13">
        <f>$I$26*$L$26</f>
        <v>0</v>
      </c>
      <c r="M90" s="13">
        <f>$I$26*$M$26</f>
        <v>0</v>
      </c>
      <c r="N90" s="13">
        <f ca="1">$I$26*$N$26</f>
        <v>0</v>
      </c>
      <c r="O90" s="13">
        <f>$I$26*$O$26</f>
        <v>0</v>
      </c>
      <c r="P90" s="13">
        <f>$I$26*$P$26</f>
        <v>0</v>
      </c>
      <c r="Q90" s="13">
        <f>$I$26*$Q$26</f>
        <v>0</v>
      </c>
      <c r="R90" s="13">
        <f>$I$26*$R$26</f>
        <v>0</v>
      </c>
      <c r="S90" s="13">
        <f>$I$26*$S$26</f>
        <v>0</v>
      </c>
      <c r="T90" s="13">
        <f>$I$26*$T$26</f>
        <v>0</v>
      </c>
      <c r="U90" s="13">
        <f>$I$26*$U$26</f>
        <v>0</v>
      </c>
      <c r="V90" s="13">
        <f>$I$26*$V$26</f>
        <v>0</v>
      </c>
      <c r="W90" s="13">
        <f>$I$26*$W$26</f>
        <v>0</v>
      </c>
      <c r="X90" s="13">
        <f>$I$26*$X$26</f>
        <v>0</v>
      </c>
      <c r="Y90" s="13">
        <f>$I$26*$Y$26</f>
        <v>0</v>
      </c>
      <c r="Z90" s="13">
        <f>$I$26*$Z$26</f>
        <v>0</v>
      </c>
      <c r="AA90" s="13">
        <f>$I$26*$AA$26</f>
        <v>0</v>
      </c>
      <c r="AB90" s="13">
        <f ca="1">$I$26*$AB$26</f>
        <v>0</v>
      </c>
      <c r="AC90" s="13">
        <f ca="1">$I$26*$AC$26</f>
        <v>0</v>
      </c>
      <c r="AD90" s="13">
        <f>$I$26*$AD$26</f>
        <v>0</v>
      </c>
      <c r="AE90" s="13">
        <f>$I$26*$AE$26</f>
        <v>0</v>
      </c>
      <c r="AF90" s="13">
        <f ca="1">$I$26*$AF$26</f>
        <v>0</v>
      </c>
      <c r="AG90" s="13">
        <f ca="1">$I$26*$AG$26</f>
        <v>0</v>
      </c>
      <c r="AI90" s="13">
        <f>$I$26*$AI$26</f>
        <v>0</v>
      </c>
      <c r="AJ90" s="13">
        <f>$I$26*$AJ$26</f>
        <v>0</v>
      </c>
      <c r="AK90" s="13">
        <f>$I$26*$AK$26</f>
        <v>0</v>
      </c>
      <c r="AL90" s="13">
        <f>$I$26*$AL$26</f>
        <v>0</v>
      </c>
      <c r="AM90" s="13">
        <f>$I$26*$AM$26</f>
        <v>0</v>
      </c>
      <c r="AN90" s="13">
        <f>$I$26*$AN$26</f>
        <v>0</v>
      </c>
      <c r="AO90" s="13">
        <f>$I$26*$AO$26</f>
        <v>0</v>
      </c>
      <c r="AP90" s="13">
        <f>$I$26*$AP$26</f>
        <v>0</v>
      </c>
      <c r="AQ90" s="13">
        <f>$I$26*$AQ$26</f>
        <v>0</v>
      </c>
      <c r="AR90" s="13">
        <f>$I$26*$AR$26</f>
        <v>0</v>
      </c>
      <c r="AS90" s="13">
        <f>$I$26*$AS$26</f>
        <v>0</v>
      </c>
      <c r="AT90" s="13">
        <f>$I$26*$AT$26</f>
        <v>0</v>
      </c>
      <c r="AU90" s="13">
        <f>$I$26*$AU$26</f>
        <v>0</v>
      </c>
      <c r="AV90" s="13">
        <f>$I$26*$AV$26</f>
        <v>0</v>
      </c>
      <c r="AW90" s="13">
        <f>$I$26*$AW$26</f>
        <v>0</v>
      </c>
      <c r="AX90" s="13">
        <f>$I$26*$AX$26</f>
        <v>0</v>
      </c>
      <c r="AY90" s="13">
        <f>$I$26*$AY$26</f>
        <v>0</v>
      </c>
      <c r="AZ90" s="13">
        <f>$I$26*$AZ$26</f>
        <v>0</v>
      </c>
      <c r="BA90" s="13">
        <f>$I$26*$BA$26</f>
        <v>0</v>
      </c>
      <c r="BB90" s="13">
        <f>$I$26*$BB$26</f>
        <v>0</v>
      </c>
      <c r="BC90" s="13">
        <f>$I$26*$BC$26</f>
        <v>0</v>
      </c>
      <c r="BD90" s="13">
        <f>$I$26*$BD$26</f>
        <v>0</v>
      </c>
    </row>
    <row r="91" spans="1:56" ht="11.25" customHeight="1" x14ac:dyDescent="0.3">
      <c r="A91" s="9" t="s">
        <v>88</v>
      </c>
      <c r="B91" s="9" t="s">
        <v>1076</v>
      </c>
      <c r="C91" s="9" t="s">
        <v>1077</v>
      </c>
      <c r="D91" s="9" t="s">
        <v>1078</v>
      </c>
      <c r="E91" s="9" t="s">
        <v>1079</v>
      </c>
      <c r="F91" s="9" t="s">
        <v>1080</v>
      </c>
      <c r="G91" s="9" t="s">
        <v>1081</v>
      </c>
      <c r="L91" s="13">
        <f>$I$27*$L$27</f>
        <v>0</v>
      </c>
      <c r="M91" s="13">
        <f>$I$27*$M$27</f>
        <v>2.0966847381014638E-10</v>
      </c>
      <c r="N91" s="13">
        <f ca="1">$I$27*$N$27</f>
        <v>6.1386059946828052E-10</v>
      </c>
      <c r="O91" s="13">
        <f>$I$27*$O$27</f>
        <v>0</v>
      </c>
      <c r="P91" s="13">
        <f>$I$27*$P$27</f>
        <v>0</v>
      </c>
      <c r="Q91" s="13">
        <f>$I$27*$Q$27</f>
        <v>0</v>
      </c>
      <c r="R91" s="13">
        <f>$I$27*$R$27</f>
        <v>0</v>
      </c>
      <c r="S91" s="13">
        <f>$I$27*$S$27</f>
        <v>0</v>
      </c>
      <c r="T91" s="13">
        <f>$I$27*$T$27</f>
        <v>0</v>
      </c>
      <c r="U91" s="13">
        <f>$I$27*$U$27</f>
        <v>0</v>
      </c>
      <c r="V91" s="13">
        <f>$I$27*$V$27</f>
        <v>0</v>
      </c>
      <c r="W91" s="13">
        <f>$I$27*$W$27</f>
        <v>0</v>
      </c>
      <c r="X91" s="13">
        <f>$I$27*$X$27</f>
        <v>0</v>
      </c>
      <c r="Y91" s="13">
        <f>$I$27*$Y$27</f>
        <v>0</v>
      </c>
      <c r="Z91" s="13">
        <f>$I$27*$Z$27</f>
        <v>0</v>
      </c>
      <c r="AA91" s="13">
        <f>$I$27*$AA$27</f>
        <v>5.881178167805543E-8</v>
      </c>
      <c r="AB91" s="13">
        <f ca="1">$I$27*$AB$27</f>
        <v>-2.5761151370032465E-9</v>
      </c>
      <c r="AC91" s="13">
        <f ca="1">$I$27*$AC$27</f>
        <v>0</v>
      </c>
      <c r="AD91" s="13">
        <f>$I$27*$AD$27</f>
        <v>0</v>
      </c>
      <c r="AE91" s="13">
        <f>$I$27*$AE$27</f>
        <v>0</v>
      </c>
      <c r="AF91" s="13">
        <f ca="1">$I$27*$AF$27</f>
        <v>0</v>
      </c>
      <c r="AG91" s="13">
        <f ca="1">$I$27*$AG$27</f>
        <v>0</v>
      </c>
      <c r="AI91" s="13">
        <f>$I$27*$AI$27</f>
        <v>0</v>
      </c>
      <c r="AJ91" s="13">
        <f>$I$27*$AJ$27</f>
        <v>2.0486892883458601E-10</v>
      </c>
      <c r="AK91" s="13">
        <f>$I$27*$AK$27</f>
        <v>5.5495631628971606E-10</v>
      </c>
      <c r="AL91" s="13">
        <f>$I$27*$AL$27</f>
        <v>0</v>
      </c>
      <c r="AM91" s="13">
        <f>$I$27*$AM$27</f>
        <v>0</v>
      </c>
      <c r="AN91" s="13">
        <f>$I$27*$AN$27</f>
        <v>0</v>
      </c>
      <c r="AO91" s="13">
        <f>$I$27*$AO$27</f>
        <v>0</v>
      </c>
      <c r="AP91" s="13">
        <f>$I$27*$AP$27</f>
        <v>0</v>
      </c>
      <c r="AQ91" s="13">
        <f>$I$27*$AQ$27</f>
        <v>0</v>
      </c>
      <c r="AR91" s="13">
        <f>$I$27*$AR$27</f>
        <v>0</v>
      </c>
      <c r="AS91" s="13">
        <f>$I$27*$AS$27</f>
        <v>0</v>
      </c>
      <c r="AT91" s="13">
        <f>$I$27*$AT$27</f>
        <v>0</v>
      </c>
      <c r="AU91" s="13">
        <f>$I$27*$AU$27</f>
        <v>0</v>
      </c>
      <c r="AV91" s="13">
        <f>$I$27*$AV$27</f>
        <v>0</v>
      </c>
      <c r="AW91" s="13">
        <f>$I$27*$AW$27</f>
        <v>0</v>
      </c>
      <c r="AX91" s="13">
        <f>$I$27*$AX$27</f>
        <v>5.51674824910816E-8</v>
      </c>
      <c r="AY91" s="13">
        <f>$I$27*$AY$27</f>
        <v>-3.2441870848129702E-9</v>
      </c>
      <c r="AZ91" s="13">
        <f>$I$27*$AZ$27</f>
        <v>0</v>
      </c>
      <c r="BA91" s="13">
        <f>$I$27*$BA$27</f>
        <v>0</v>
      </c>
      <c r="BB91" s="13">
        <f>$I$27*$BB$27</f>
        <v>0</v>
      </c>
      <c r="BC91" s="13">
        <f>$I$27*$BC$27</f>
        <v>0</v>
      </c>
      <c r="BD91" s="13">
        <f>$I$27*$BD$27</f>
        <v>0</v>
      </c>
    </row>
    <row r="92" spans="1:56" ht="11.25" customHeight="1" x14ac:dyDescent="0.3">
      <c r="A92" s="9" t="s">
        <v>88</v>
      </c>
      <c r="B92" s="9" t="s">
        <v>1076</v>
      </c>
      <c r="C92" s="9" t="s">
        <v>1077</v>
      </c>
      <c r="D92" s="9" t="s">
        <v>1078</v>
      </c>
      <c r="E92" s="9" t="s">
        <v>1082</v>
      </c>
      <c r="F92" s="9" t="s">
        <v>1083</v>
      </c>
      <c r="G92" s="9" t="s">
        <v>1084</v>
      </c>
      <c r="L92" s="13">
        <f>$I$28*$L$28</f>
        <v>0</v>
      </c>
      <c r="M92" s="13">
        <f>$I$28*$M$28</f>
        <v>2.0966847381014638E-10</v>
      </c>
      <c r="N92" s="13">
        <f ca="1">$I$28*$N$28</f>
        <v>6.1386059946828052E-10</v>
      </c>
      <c r="O92" s="13">
        <f>$I$28*$O$28</f>
        <v>0</v>
      </c>
      <c r="P92" s="13">
        <f>$I$28*$P$28</f>
        <v>0</v>
      </c>
      <c r="Q92" s="13">
        <f>$I$28*$Q$28</f>
        <v>0</v>
      </c>
      <c r="R92" s="13">
        <f>$I$28*$R$28</f>
        <v>0</v>
      </c>
      <c r="S92" s="13">
        <f>$I$28*$S$28</f>
        <v>0</v>
      </c>
      <c r="T92" s="13">
        <f>$I$28*$T$28</f>
        <v>0</v>
      </c>
      <c r="U92" s="13">
        <f>$I$28*$U$28</f>
        <v>0</v>
      </c>
      <c r="V92" s="13">
        <f>$I$28*$V$28</f>
        <v>0</v>
      </c>
      <c r="W92" s="13">
        <f>$I$28*$W$28</f>
        <v>0</v>
      </c>
      <c r="X92" s="13">
        <f>$I$28*$X$28</f>
        <v>0</v>
      </c>
      <c r="Y92" s="13">
        <f>$I$28*$Y$28</f>
        <v>0</v>
      </c>
      <c r="Z92" s="13">
        <f>$I$28*$Z$28</f>
        <v>0</v>
      </c>
      <c r="AA92" s="13">
        <f>$I$28*$AA$28</f>
        <v>2.1697173755018426E-7</v>
      </c>
      <c r="AB92" s="13">
        <f ca="1">$I$28*$AB$28</f>
        <v>-9.4083915820459535E-9</v>
      </c>
      <c r="AC92" s="13">
        <f ca="1">$I$28*$AC$28</f>
        <v>0</v>
      </c>
      <c r="AD92" s="13">
        <f>$I$28*$AD$28</f>
        <v>0</v>
      </c>
      <c r="AE92" s="13">
        <f>$I$28*$AE$28</f>
        <v>0</v>
      </c>
      <c r="AF92" s="13">
        <f ca="1">$I$28*$AF$28</f>
        <v>0</v>
      </c>
      <c r="AG92" s="13">
        <f ca="1">$I$28*$AG$28</f>
        <v>0</v>
      </c>
      <c r="AI92" s="13">
        <f>$I$28*$AI$28</f>
        <v>0</v>
      </c>
      <c r="AJ92" s="13">
        <f>$I$28*$AJ$28</f>
        <v>2.0486892883458601E-10</v>
      </c>
      <c r="AK92" s="13">
        <f>$I$28*$AK$28</f>
        <v>5.5495631628971606E-10</v>
      </c>
      <c r="AL92" s="13">
        <f>$I$28*$AL$28</f>
        <v>0</v>
      </c>
      <c r="AM92" s="13">
        <f>$I$28*$AM$28</f>
        <v>0</v>
      </c>
      <c r="AN92" s="13">
        <f>$I$28*$AN$28</f>
        <v>0</v>
      </c>
      <c r="AO92" s="13">
        <f>$I$28*$AO$28</f>
        <v>0</v>
      </c>
      <c r="AP92" s="13">
        <f>$I$28*$AP$28</f>
        <v>0</v>
      </c>
      <c r="AQ92" s="13">
        <f>$I$28*$AQ$28</f>
        <v>0</v>
      </c>
      <c r="AR92" s="13">
        <f>$I$28*$AR$28</f>
        <v>0</v>
      </c>
      <c r="AS92" s="13">
        <f>$I$28*$AS$28</f>
        <v>0</v>
      </c>
      <c r="AT92" s="13">
        <f>$I$28*$AT$28</f>
        <v>0</v>
      </c>
      <c r="AU92" s="13">
        <f>$I$28*$AU$28</f>
        <v>0</v>
      </c>
      <c r="AV92" s="13">
        <f>$I$28*$AV$28</f>
        <v>0</v>
      </c>
      <c r="AW92" s="13">
        <f>$I$28*$AW$28</f>
        <v>0</v>
      </c>
      <c r="AX92" s="13">
        <f>$I$28*$AX$28</f>
        <v>2.0352698372383501E-7</v>
      </c>
      <c r="AY92" s="13">
        <f>$I$28*$AY$28</f>
        <v>-1.18509904617104E-8</v>
      </c>
      <c r="AZ92" s="13">
        <f>$I$28*$AZ$28</f>
        <v>0</v>
      </c>
      <c r="BA92" s="13">
        <f>$I$28*$BA$28</f>
        <v>0</v>
      </c>
      <c r="BB92" s="13">
        <f>$I$28*$BB$28</f>
        <v>0</v>
      </c>
      <c r="BC92" s="13">
        <f>$I$28*$BC$28</f>
        <v>0</v>
      </c>
      <c r="BD92" s="13">
        <f>$I$28*$BD$28</f>
        <v>0</v>
      </c>
    </row>
    <row r="93" spans="1:56" ht="11.25" customHeight="1" x14ac:dyDescent="0.3">
      <c r="A93" s="9" t="s">
        <v>22</v>
      </c>
      <c r="B93" s="9" t="s">
        <v>1085</v>
      </c>
      <c r="C93" s="9" t="s">
        <v>1086</v>
      </c>
      <c r="D93" s="9" t="s">
        <v>1087</v>
      </c>
      <c r="E93" s="9" t="s">
        <v>1088</v>
      </c>
      <c r="F93" s="9" t="s">
        <v>1089</v>
      </c>
      <c r="G93" s="9" t="s">
        <v>1090</v>
      </c>
      <c r="L93" s="13">
        <f>$I$29*$L$29</f>
        <v>73.49095052492747</v>
      </c>
      <c r="M93" s="13">
        <f>$I$29*$M$29</f>
        <v>5.3051899517675913</v>
      </c>
      <c r="N93" s="13">
        <f ca="1">$I$29*$N$29</f>
        <v>56.119664008610584</v>
      </c>
      <c r="O93" s="13">
        <f>$I$29*$O$29</f>
        <v>0</v>
      </c>
      <c r="P93" s="13">
        <f>$I$29*$P$29</f>
        <v>0</v>
      </c>
      <c r="Q93" s="13">
        <f>$I$29*$Q$29</f>
        <v>645.53083715885248</v>
      </c>
      <c r="R93" s="13">
        <f>$I$29*$R$29</f>
        <v>106.41955933895858</v>
      </c>
      <c r="S93" s="13">
        <f>$I$29*$S$29</f>
        <v>0</v>
      </c>
      <c r="T93" s="13">
        <f>$I$29*$T$29</f>
        <v>705.39817560698077</v>
      </c>
      <c r="U93" s="13">
        <f>$I$29*$U$29</f>
        <v>332.3546833682376</v>
      </c>
      <c r="V93" s="13">
        <f>$I$29*$V$29</f>
        <v>0</v>
      </c>
      <c r="W93" s="13">
        <f>$I$29*$W$29</f>
        <v>0</v>
      </c>
      <c r="X93" s="13">
        <f>$I$29*$X$29</f>
        <v>0</v>
      </c>
      <c r="Y93" s="13">
        <f>$I$29*$Y$29</f>
        <v>0</v>
      </c>
      <c r="Z93" s="13">
        <f>$I$29*$Z$29</f>
        <v>0</v>
      </c>
      <c r="AA93" s="13">
        <f>$I$29*$AA$29</f>
        <v>4224.6433314746782</v>
      </c>
      <c r="AB93" s="13">
        <f ca="1">$I$29*$AB$29</f>
        <v>-259.66940313287415</v>
      </c>
      <c r="AC93" s="13">
        <f ca="1">$I$29*$AC$29</f>
        <v>0</v>
      </c>
      <c r="AD93" s="13">
        <f>$I$29*$AD$29</f>
        <v>126.33494322656352</v>
      </c>
      <c r="AE93" s="13">
        <f>$I$29*$AE$29</f>
        <v>3.7175690484641875</v>
      </c>
      <c r="AF93" s="13">
        <f ca="1">$I$29*$AF$29</f>
        <v>8.4762918090221167</v>
      </c>
      <c r="AG93" s="13">
        <f ca="1">$I$29*$AG$29</f>
        <v>1.971465191840972</v>
      </c>
      <c r="AI93" s="13">
        <f>$I$29*$AI$29</f>
        <v>67.128769525265767</v>
      </c>
      <c r="AJ93" s="13">
        <f>$I$29*$AJ$29</f>
        <v>4.935397349885319</v>
      </c>
      <c r="AK93" s="13">
        <f>$I$29*$AK$29</f>
        <v>50.722084985470289</v>
      </c>
      <c r="AL93" s="13">
        <f>$I$29*$AL$29</f>
        <v>0</v>
      </c>
      <c r="AM93" s="13">
        <f>$I$29*$AM$29</f>
        <v>0</v>
      </c>
      <c r="AN93" s="13">
        <f>$I$29*$AN$29</f>
        <v>303.59097402406087</v>
      </c>
      <c r="AO93" s="13">
        <f>$I$29*$AO$29</f>
        <v>66.310549172098405</v>
      </c>
      <c r="AP93" s="13">
        <f>$I$29*$AP$29</f>
        <v>0</v>
      </c>
      <c r="AQ93" s="13">
        <f>$I$29*$AQ$29</f>
        <v>554.66367685723276</v>
      </c>
      <c r="AR93" s="13">
        <f>$I$29*$AR$29</f>
        <v>296.4799234455802</v>
      </c>
      <c r="AS93" s="13">
        <f>$I$29*$AS$29</f>
        <v>0</v>
      </c>
      <c r="AT93" s="13">
        <f>$I$29*$AT$29</f>
        <v>0</v>
      </c>
      <c r="AU93" s="13">
        <f>$I$29*$AU$29</f>
        <v>0</v>
      </c>
      <c r="AV93" s="13">
        <f>$I$29*$AV$29</f>
        <v>0</v>
      </c>
      <c r="AW93" s="13">
        <f>$I$29*$AW$29</f>
        <v>0</v>
      </c>
      <c r="AX93" s="13">
        <f>$I$29*$AX$29</f>
        <v>3962.8613582226758</v>
      </c>
      <c r="AY93" s="13">
        <f>$I$29*$AY$29</f>
        <v>-314.47931470684404</v>
      </c>
      <c r="AZ93" s="13">
        <f>$I$29*$AZ$29</f>
        <v>0</v>
      </c>
      <c r="BA93" s="13">
        <f>$I$29*$BA$29</f>
        <v>136.50929864150956</v>
      </c>
      <c r="BB93" s="13">
        <f>$I$29*$BB$29</f>
        <v>3.6182430987808094</v>
      </c>
      <c r="BC93" s="13">
        <f>$I$29*$BC$29</f>
        <v>9.1794110873454606</v>
      </c>
      <c r="BD93" s="13">
        <f>$I$29*$BD$29</f>
        <v>3.1879626144525641</v>
      </c>
    </row>
    <row r="94" spans="1:56" ht="11.25" customHeight="1" x14ac:dyDescent="0.3">
      <c r="A94" s="9" t="s">
        <v>22</v>
      </c>
      <c r="B94" s="9" t="s">
        <v>1085</v>
      </c>
      <c r="C94" s="9" t="s">
        <v>1086</v>
      </c>
      <c r="D94" s="9" t="s">
        <v>1087</v>
      </c>
      <c r="E94" s="9" t="s">
        <v>1088</v>
      </c>
      <c r="F94" s="9" t="s">
        <v>1089</v>
      </c>
      <c r="G94" s="9" t="s">
        <v>1091</v>
      </c>
      <c r="L94" s="13">
        <f>$I$30*$L$30</f>
        <v>47.981110967717072</v>
      </c>
      <c r="M94" s="13">
        <f>$I$30*$M$30</f>
        <v>3.4636769012021107</v>
      </c>
      <c r="N94" s="13">
        <f ca="1">$I$30*$N$30</f>
        <v>22.805696643552398</v>
      </c>
      <c r="O94" s="13">
        <f>$I$30*$O$30</f>
        <v>0</v>
      </c>
      <c r="P94" s="13">
        <f>$I$30*$P$30</f>
        <v>0</v>
      </c>
      <c r="Q94" s="13">
        <f>$I$30*$Q$30</f>
        <v>421.45715233736627</v>
      </c>
      <c r="R94" s="13">
        <f>$I$30*$R$30</f>
        <v>69.479693068416239</v>
      </c>
      <c r="S94" s="13">
        <f>$I$30*$S$30</f>
        <v>0</v>
      </c>
      <c r="T94" s="13">
        <f>$I$30*$T$30</f>
        <v>276.32607423489804</v>
      </c>
      <c r="U94" s="13">
        <f>$I$30*$U$30</f>
        <v>130.19364002329414</v>
      </c>
      <c r="V94" s="13">
        <f>$I$30*$V$30</f>
        <v>0</v>
      </c>
      <c r="W94" s="13">
        <f>$I$30*$W$30</f>
        <v>0</v>
      </c>
      <c r="X94" s="13">
        <f>$I$30*$X$30</f>
        <v>0</v>
      </c>
      <c r="Y94" s="13">
        <f>$I$30*$Y$30</f>
        <v>0</v>
      </c>
      <c r="Z94" s="13">
        <f>$I$30*$Z$30</f>
        <v>0</v>
      </c>
      <c r="AA94" s="13">
        <f>$I$30*$AA$30</f>
        <v>1654.9229351616134</v>
      </c>
      <c r="AB94" s="13">
        <f ca="1">$I$30*$AB$30</f>
        <v>-110.48851036259377</v>
      </c>
      <c r="AC94" s="13">
        <f ca="1">$I$30*$AC$30</f>
        <v>0</v>
      </c>
      <c r="AD94" s="13">
        <f>$I$30*$AD$30</f>
        <v>82.482140818112157</v>
      </c>
      <c r="AE94" s="13">
        <f>$I$30*$AE$30</f>
        <v>2.427143638372292</v>
      </c>
      <c r="AF94" s="13">
        <f ca="1">$I$30*$AF$30</f>
        <v>5.5340405176211709</v>
      </c>
      <c r="AG94" s="13">
        <f ca="1">$I$30*$AG$30</f>
        <v>1.28713929351925</v>
      </c>
      <c r="AI94" s="13">
        <f>$I$30*$AI$30</f>
        <v>43.82734087274563</v>
      </c>
      <c r="AJ94" s="13">
        <f>$I$30*$AJ$30</f>
        <v>3.2222450005501271</v>
      </c>
      <c r="AK94" s="13">
        <f>$I$30*$AK$30</f>
        <v>20.609167853776327</v>
      </c>
      <c r="AL94" s="13">
        <f>$I$30*$AL$30</f>
        <v>0</v>
      </c>
      <c r="AM94" s="13">
        <f>$I$30*$AM$30</f>
        <v>0</v>
      </c>
      <c r="AN94" s="13">
        <f>$I$30*$AN$30</f>
        <v>198.20987630993974</v>
      </c>
      <c r="AO94" s="13">
        <f>$I$30*$AO$30</f>
        <v>43.293137392168092</v>
      </c>
      <c r="AP94" s="13">
        <f>$I$30*$AP$30</f>
        <v>0</v>
      </c>
      <c r="AQ94" s="13">
        <f>$I$30*$AQ$30</f>
        <v>217.27875354195368</v>
      </c>
      <c r="AR94" s="13">
        <f>$I$30*$AR$30</f>
        <v>116.14038362877643</v>
      </c>
      <c r="AS94" s="13">
        <f>$I$30*$AS$30</f>
        <v>0</v>
      </c>
      <c r="AT94" s="13">
        <f>$I$30*$AT$30</f>
        <v>0</v>
      </c>
      <c r="AU94" s="13">
        <f>$I$30*$AU$30</f>
        <v>0</v>
      </c>
      <c r="AV94" s="13">
        <f>$I$30*$AV$30</f>
        <v>0</v>
      </c>
      <c r="AW94" s="13">
        <f>$I$30*$AW$30</f>
        <v>0</v>
      </c>
      <c r="AX94" s="13">
        <f>$I$30*$AX$30</f>
        <v>1552.3748719159096</v>
      </c>
      <c r="AY94" s="13">
        <f>$I$30*$AY$30</f>
        <v>-131.66159561105891</v>
      </c>
      <c r="AZ94" s="13">
        <f>$I$30*$AZ$30</f>
        <v>0</v>
      </c>
      <c r="BA94" s="13">
        <f>$I$30*$BA$30</f>
        <v>89.124820939985582</v>
      </c>
      <c r="BB94" s="13">
        <f>$I$30*$BB$30</f>
        <v>2.3622952539155477</v>
      </c>
      <c r="BC94" s="13">
        <f>$I$30*$BC$30</f>
        <v>5.9930962772188154</v>
      </c>
      <c r="BD94" s="13">
        <f>$I$30*$BD$30</f>
        <v>2.0813717453973952</v>
      </c>
    </row>
    <row r="95" spans="1:56" ht="11.25" customHeight="1" x14ac:dyDescent="0.3">
      <c r="A95" s="9" t="s">
        <v>22</v>
      </c>
      <c r="B95" s="9" t="s">
        <v>1085</v>
      </c>
      <c r="C95" s="9" t="s">
        <v>1086</v>
      </c>
      <c r="D95" s="9" t="s">
        <v>1087</v>
      </c>
      <c r="E95" s="9" t="s">
        <v>1088</v>
      </c>
      <c r="F95" s="9" t="s">
        <v>1089</v>
      </c>
      <c r="G95" s="9" t="s">
        <v>1092</v>
      </c>
      <c r="L95" s="13">
        <f>$I$31*$L$31</f>
        <v>680.13048135800193</v>
      </c>
      <c r="M95" s="13">
        <f>$I$31*$M$31</f>
        <v>49.09749254593531</v>
      </c>
      <c r="N95" s="13">
        <f ca="1">$I$31*$N$31</f>
        <v>127.17385808750696</v>
      </c>
      <c r="O95" s="13">
        <f>$I$31*$O$31</f>
        <v>0</v>
      </c>
      <c r="P95" s="13">
        <f>$I$31*$P$31</f>
        <v>0</v>
      </c>
      <c r="Q95" s="13">
        <f>$I$31*$Q$31</f>
        <v>5974.1396168139663</v>
      </c>
      <c r="R95" s="13">
        <f>$I$31*$R$31</f>
        <v>984.87209108231605</v>
      </c>
      <c r="S95" s="13">
        <f>$I$31*$S$31</f>
        <v>0</v>
      </c>
      <c r="T95" s="13">
        <f>$I$31*$T$31</f>
        <v>1305.6350482901209</v>
      </c>
      <c r="U95" s="13">
        <f>$I$31*$U$31</f>
        <v>615.16534165119026</v>
      </c>
      <c r="V95" s="13">
        <f>$I$31*$V$31</f>
        <v>0</v>
      </c>
      <c r="W95" s="13">
        <f>$I$31*$W$31</f>
        <v>0</v>
      </c>
      <c r="X95" s="13">
        <f>$I$31*$X$31</f>
        <v>0</v>
      </c>
      <c r="Y95" s="13">
        <f>$I$31*$Y$31</f>
        <v>0</v>
      </c>
      <c r="Z95" s="13">
        <f>$I$31*$Z$31</f>
        <v>0</v>
      </c>
      <c r="AA95" s="13">
        <f>$I$31*$AA$31</f>
        <v>7819.4887482119329</v>
      </c>
      <c r="AB95" s="13">
        <f ca="1">$I$31*$AB$31</f>
        <v>-729.20044255076823</v>
      </c>
      <c r="AC95" s="13">
        <f ca="1">$I$31*$AC$31</f>
        <v>0</v>
      </c>
      <c r="AD95" s="13">
        <f>$I$31*$AD$31</f>
        <v>1169.1813091990662</v>
      </c>
      <c r="AE95" s="13">
        <f>$I$31*$AE$31</f>
        <v>34.404671709286653</v>
      </c>
      <c r="AF95" s="13">
        <f ca="1">$I$31*$AF$31</f>
        <v>78.444820580265457</v>
      </c>
      <c r="AG95" s="13">
        <f ca="1">$I$31*$AG$31</f>
        <v>18.245152094645182</v>
      </c>
      <c r="AI95" s="13">
        <f>$I$31*$AI$31</f>
        <v>621.25094319882498</v>
      </c>
      <c r="AJ95" s="13">
        <f>$I$31*$AJ$31</f>
        <v>45.675204243438685</v>
      </c>
      <c r="AK95" s="13">
        <f>$I$31*$AK$31</f>
        <v>114.85495193201542</v>
      </c>
      <c r="AL95" s="13">
        <f>$I$31*$AL$31</f>
        <v>0</v>
      </c>
      <c r="AM95" s="13">
        <f>$I$31*$AM$31</f>
        <v>0</v>
      </c>
      <c r="AN95" s="13">
        <f>$I$31*$AN$31</f>
        <v>2809.6176988334437</v>
      </c>
      <c r="AO95" s="13">
        <f>$I$31*$AO$31</f>
        <v>613.67862853039685</v>
      </c>
      <c r="AP95" s="13">
        <f>$I$31*$AP$31</f>
        <v>0</v>
      </c>
      <c r="AQ95" s="13">
        <f>$I$31*$AQ$31</f>
        <v>1026.6376658758993</v>
      </c>
      <c r="AR95" s="13">
        <f>$I$31*$AR$31</f>
        <v>548.76366281574087</v>
      </c>
      <c r="AS95" s="13">
        <f>$I$31*$AS$31</f>
        <v>0</v>
      </c>
      <c r="AT95" s="13">
        <f>$I$31*$AT$31</f>
        <v>0</v>
      </c>
      <c r="AU95" s="13">
        <f>$I$31*$AU$31</f>
        <v>0</v>
      </c>
      <c r="AV95" s="13">
        <f>$I$31*$AV$31</f>
        <v>0</v>
      </c>
      <c r="AW95" s="13">
        <f>$I$31*$AW$31</f>
        <v>0</v>
      </c>
      <c r="AX95" s="13">
        <f>$I$31*$AX$31</f>
        <v>7334.9505200784397</v>
      </c>
      <c r="AY95" s="13">
        <f>$I$31*$AY$31</f>
        <v>-822.21113792782364</v>
      </c>
      <c r="AZ95" s="13">
        <f>$I$31*$AZ$31</f>
        <v>0</v>
      </c>
      <c r="BA95" s="13">
        <f>$I$31*$BA$31</f>
        <v>1263.3410553507706</v>
      </c>
      <c r="BB95" s="13">
        <f>$I$31*$BB$31</f>
        <v>33.485448247255327</v>
      </c>
      <c r="BC95" s="13">
        <f>$I$31*$BC$31</f>
        <v>84.951919070656345</v>
      </c>
      <c r="BD95" s="13">
        <f>$I$31*$BD$31</f>
        <v>29.503367857291387</v>
      </c>
    </row>
    <row r="96" spans="1:56" ht="11.25" customHeight="1" x14ac:dyDescent="0.3">
      <c r="A96" s="9" t="s">
        <v>22</v>
      </c>
      <c r="B96" s="9" t="s">
        <v>1093</v>
      </c>
      <c r="C96" s="9" t="s">
        <v>1094</v>
      </c>
      <c r="D96" s="9" t="s">
        <v>1095</v>
      </c>
      <c r="E96" s="9" t="s">
        <v>1096</v>
      </c>
      <c r="F96" s="9" t="s">
        <v>1097</v>
      </c>
      <c r="G96" s="9" t="s">
        <v>1098</v>
      </c>
      <c r="L96" s="13">
        <f>$I$32*$L$32</f>
        <v>660801.75365631655</v>
      </c>
      <c r="M96" s="13">
        <f>$I$32*$M$32</f>
        <v>47702.183718780434</v>
      </c>
      <c r="N96" s="13">
        <f ca="1">$I$32*$N$32</f>
        <v>174854.39992208421</v>
      </c>
      <c r="O96" s="13">
        <f>$I$32*$O$32</f>
        <v>0</v>
      </c>
      <c r="P96" s="13">
        <f>$I$32*$P$32</f>
        <v>0</v>
      </c>
      <c r="Q96" s="13">
        <f>$I$32*$Q$32</f>
        <v>5804359.6685977252</v>
      </c>
      <c r="R96" s="13">
        <f>$I$32*$R$32</f>
        <v>956882.86696827516</v>
      </c>
      <c r="S96" s="13">
        <f>$I$32*$S$32</f>
        <v>0</v>
      </c>
      <c r="T96" s="13">
        <f>$I$32*$T$32</f>
        <v>1951588.6938360166</v>
      </c>
      <c r="U96" s="13">
        <f>$I$32*$U$32</f>
        <v>919509.87290325982</v>
      </c>
      <c r="V96" s="13">
        <f>$I$32*$V$32</f>
        <v>0</v>
      </c>
      <c r="W96" s="13">
        <f>$I$32*$W$32</f>
        <v>0</v>
      </c>
      <c r="X96" s="13">
        <f>$I$32*$X$32</f>
        <v>0</v>
      </c>
      <c r="Y96" s="13">
        <f>$I$32*$Y$32</f>
        <v>0</v>
      </c>
      <c r="Z96" s="13">
        <f>$I$32*$Z$32</f>
        <v>0</v>
      </c>
      <c r="AA96" s="13">
        <f>$I$32*$AA$32</f>
        <v>11688102.473615346</v>
      </c>
      <c r="AB96" s="13">
        <f ca="1">$I$32*$AB$32</f>
        <v>-927411.455238997</v>
      </c>
      <c r="AC96" s="13">
        <f ca="1">$I$32*$AC$32</f>
        <v>0</v>
      </c>
      <c r="AD96" s="13">
        <f>$I$32*$AD$32</f>
        <v>1135954.1744376798</v>
      </c>
      <c r="AE96" s="13">
        <f>$I$32*$AE$32</f>
        <v>33426.9203081042</v>
      </c>
      <c r="AF96" s="13">
        <f ca="1">$I$32*$AF$32</f>
        <v>76215.485742079589</v>
      </c>
      <c r="AG96" s="13">
        <f ca="1">$I$32*$AG$32</f>
        <v>17726.640446690377</v>
      </c>
      <c r="AI96" s="13">
        <f>$I$32*$AI$32</f>
        <v>603595.52171039348</v>
      </c>
      <c r="AJ96" s="13">
        <f>$I$32*$AJ$32</f>
        <v>44377.153928479209</v>
      </c>
      <c r="AK96" s="13">
        <f>$I$32*$AK$32</f>
        <v>157963.49451124217</v>
      </c>
      <c r="AL96" s="13">
        <f>$I$32*$AL$32</f>
        <v>0</v>
      </c>
      <c r="AM96" s="13">
        <f>$I$32*$AM$32</f>
        <v>0</v>
      </c>
      <c r="AN96" s="13">
        <f>$I$32*$AN$32</f>
        <v>2729770.762201291</v>
      </c>
      <c r="AO96" s="13">
        <f>$I$32*$AO$32</f>
        <v>596238.40576090128</v>
      </c>
      <c r="AP96" s="13">
        <f>$I$32*$AP$32</f>
        <v>0</v>
      </c>
      <c r="AQ96" s="13">
        <f>$I$32*$AQ$32</f>
        <v>1534559.3426076528</v>
      </c>
      <c r="AR96" s="13">
        <f>$I$32*$AR$32</f>
        <v>820256.88328803924</v>
      </c>
      <c r="AS96" s="13">
        <f>$I$32*$AS$32</f>
        <v>0</v>
      </c>
      <c r="AT96" s="13">
        <f>$I$32*$AT$32</f>
        <v>0</v>
      </c>
      <c r="AU96" s="13">
        <f>$I$32*$AU$32</f>
        <v>0</v>
      </c>
      <c r="AV96" s="13">
        <f>$I$32*$AV$32</f>
        <v>0</v>
      </c>
      <c r="AW96" s="13">
        <f>$I$32*$AW$32</f>
        <v>0</v>
      </c>
      <c r="AX96" s="13">
        <f>$I$32*$AX$32</f>
        <v>10963843.811039289</v>
      </c>
      <c r="AY96" s="13">
        <f>$I$32*$AY$32</f>
        <v>-1071956.4292596772</v>
      </c>
      <c r="AZ96" s="13">
        <f>$I$32*$AZ$32</f>
        <v>0</v>
      </c>
      <c r="BA96" s="13">
        <f>$I$32*$BA$32</f>
        <v>1227437.9809811607</v>
      </c>
      <c r="BB96" s="13">
        <f>$I$32*$BB$32</f>
        <v>32533.820392188802</v>
      </c>
      <c r="BC96" s="13">
        <f>$I$32*$BC$32</f>
        <v>82537.658048015859</v>
      </c>
      <c r="BD96" s="13">
        <f>$I$32*$BD$32</f>
        <v>28664.907327691813</v>
      </c>
    </row>
    <row r="97" spans="1:56" ht="11.25" customHeight="1" x14ac:dyDescent="0.3">
      <c r="A97" s="9" t="s">
        <v>22</v>
      </c>
      <c r="B97" s="9" t="s">
        <v>1093</v>
      </c>
      <c r="C97" s="9" t="s">
        <v>1094</v>
      </c>
      <c r="D97" s="9" t="s">
        <v>1099</v>
      </c>
      <c r="E97" s="9" t="s">
        <v>1100</v>
      </c>
      <c r="F97" s="9" t="s">
        <v>1101</v>
      </c>
      <c r="G97" s="9" t="s">
        <v>1102</v>
      </c>
      <c r="L97" s="13">
        <f>$I$33*$L$33</f>
        <v>0</v>
      </c>
      <c r="M97" s="13">
        <f>$I$33*$M$33</f>
        <v>396.46959795605312</v>
      </c>
      <c r="N97" s="13">
        <f ca="1">$I$33*$N$33</f>
        <v>1448.7150990527298</v>
      </c>
      <c r="O97" s="13">
        <f>$I$33*$O$33</f>
        <v>0</v>
      </c>
      <c r="P97" s="13">
        <f>$I$33*$P$33</f>
        <v>0</v>
      </c>
      <c r="Q97" s="13">
        <f>$I$33*$Q$33</f>
        <v>0</v>
      </c>
      <c r="R97" s="13">
        <f>$I$33*$R$33</f>
        <v>0</v>
      </c>
      <c r="S97" s="13">
        <f>$I$33*$S$33</f>
        <v>0</v>
      </c>
      <c r="T97" s="13">
        <f>$I$33*$T$33</f>
        <v>16220.338871323396</v>
      </c>
      <c r="U97" s="13">
        <f>$I$33*$U$33</f>
        <v>7642.369409663941</v>
      </c>
      <c r="V97" s="13">
        <f>$I$33*$V$33</f>
        <v>0</v>
      </c>
      <c r="W97" s="13">
        <f>$I$33*$W$33</f>
        <v>0</v>
      </c>
      <c r="X97" s="13">
        <f>$I$33*$X$33</f>
        <v>0</v>
      </c>
      <c r="Y97" s="13">
        <f>$I$33*$Y$33</f>
        <v>0</v>
      </c>
      <c r="Z97" s="13">
        <f>$I$33*$Z$33</f>
        <v>0</v>
      </c>
      <c r="AA97" s="13">
        <f>$I$33*$AA$33</f>
        <v>97143.923554992754</v>
      </c>
      <c r="AB97" s="13">
        <f ca="1">$I$33*$AB$33</f>
        <v>-5666.1249834589353</v>
      </c>
      <c r="AC97" s="13">
        <f ca="1">$I$33*$AC$33</f>
        <v>0</v>
      </c>
      <c r="AD97" s="13">
        <f>$I$33*$AD$33</f>
        <v>9441.3139970884658</v>
      </c>
      <c r="AE97" s="13">
        <f>$I$33*$AE$33</f>
        <v>277.82287145578755</v>
      </c>
      <c r="AF97" s="13">
        <f ca="1">$I$33*$AF$33</f>
        <v>633.45366258968681</v>
      </c>
      <c r="AG97" s="13">
        <f ca="1">$I$33*$AG$33</f>
        <v>147.3323328852947</v>
      </c>
      <c r="AI97" s="13">
        <f>$I$33*$AI$33</f>
        <v>0</v>
      </c>
      <c r="AJ97" s="13">
        <f>$I$33*$AJ$33</f>
        <v>368.83410789286711</v>
      </c>
      <c r="AK97" s="13">
        <f>$I$33*$AK$33</f>
        <v>1308.7665342779508</v>
      </c>
      <c r="AL97" s="13">
        <f>$I$33*$AL$33</f>
        <v>0</v>
      </c>
      <c r="AM97" s="13">
        <f>$I$33*$AM$33</f>
        <v>0</v>
      </c>
      <c r="AN97" s="13">
        <f>$I$33*$AN$33</f>
        <v>0</v>
      </c>
      <c r="AO97" s="13">
        <f>$I$33*$AO$33</f>
        <v>0</v>
      </c>
      <c r="AP97" s="13">
        <f>$I$33*$AP$33</f>
        <v>0</v>
      </c>
      <c r="AQ97" s="13">
        <f>$I$33*$AQ$33</f>
        <v>12754.261506980709</v>
      </c>
      <c r="AR97" s="13">
        <f>$I$33*$AR$33</f>
        <v>6817.4429635148927</v>
      </c>
      <c r="AS97" s="13">
        <f>$I$33*$AS$33</f>
        <v>0</v>
      </c>
      <c r="AT97" s="13">
        <f>$I$33*$AT$33</f>
        <v>0</v>
      </c>
      <c r="AU97" s="13">
        <f>$I$33*$AU$33</f>
        <v>0</v>
      </c>
      <c r="AV97" s="13">
        <f>$I$33*$AV$33</f>
        <v>0</v>
      </c>
      <c r="AW97" s="13">
        <f>$I$33*$AW$33</f>
        <v>0</v>
      </c>
      <c r="AX97" s="13">
        <f>$I$33*$AX$33</f>
        <v>91124.355510466004</v>
      </c>
      <c r="AY97" s="13">
        <f>$I$33*$AY$33</f>
        <v>-7070.8826774363315</v>
      </c>
      <c r="AZ97" s="13">
        <f>$I$33*$AZ$33</f>
        <v>0</v>
      </c>
      <c r="BA97" s="13">
        <f>$I$33*$BA$33</f>
        <v>10201.66803483251</v>
      </c>
      <c r="BB97" s="13">
        <f>$I$33*$BB$33</f>
        <v>270.40000447164675</v>
      </c>
      <c r="BC97" s="13">
        <f>$I$33*$BC$33</f>
        <v>685.99945644936156</v>
      </c>
      <c r="BD97" s="13">
        <f>$I$33*$BD$33</f>
        <v>238.24410954970895</v>
      </c>
    </row>
    <row r="98" spans="1:56" ht="11.25" customHeight="1" x14ac:dyDescent="0.3">
      <c r="A98" s="9" t="s">
        <v>22</v>
      </c>
      <c r="B98" s="9" t="s">
        <v>1093</v>
      </c>
      <c r="C98" s="9" t="s">
        <v>1094</v>
      </c>
      <c r="D98" s="9" t="s">
        <v>1103</v>
      </c>
      <c r="E98" s="9" t="s">
        <v>1104</v>
      </c>
      <c r="F98" s="9" t="s">
        <v>1105</v>
      </c>
      <c r="G98" s="9" t="s">
        <v>1106</v>
      </c>
      <c r="L98" s="13">
        <f>$I$34*$L$34</f>
        <v>0</v>
      </c>
      <c r="M98" s="13">
        <f>$I$34*$M$34</f>
        <v>1385.2807938714175</v>
      </c>
      <c r="N98" s="13">
        <f ca="1">$I$34*$N$34</f>
        <v>5061.869088715669</v>
      </c>
      <c r="O98" s="13">
        <f>$I$34*$O$34</f>
        <v>0</v>
      </c>
      <c r="P98" s="13">
        <f>$I$34*$P$34</f>
        <v>0</v>
      </c>
      <c r="Q98" s="13">
        <f>$I$34*$Q$34</f>
        <v>0</v>
      </c>
      <c r="R98" s="13">
        <f>$I$34*$R$34</f>
        <v>0</v>
      </c>
      <c r="S98" s="13">
        <f>$I$34*$S$34</f>
        <v>0</v>
      </c>
      <c r="T98" s="13">
        <f>$I$34*$T$34</f>
        <v>56674.519368874666</v>
      </c>
      <c r="U98" s="13">
        <f>$I$34*$U$34</f>
        <v>26702.747493015599</v>
      </c>
      <c r="V98" s="13">
        <f>$I$34*$V$34</f>
        <v>0</v>
      </c>
      <c r="W98" s="13">
        <f>$I$34*$W$34</f>
        <v>0</v>
      </c>
      <c r="X98" s="13">
        <f>$I$34*$X$34</f>
        <v>0</v>
      </c>
      <c r="Y98" s="13">
        <f>$I$34*$Y$34</f>
        <v>0</v>
      </c>
      <c r="Z98" s="13">
        <f>$I$34*$Z$34</f>
        <v>0</v>
      </c>
      <c r="AA98" s="13">
        <f>$I$34*$AA$34</f>
        <v>339424.79381978064</v>
      </c>
      <c r="AB98" s="13">
        <f ca="1">$I$34*$AB$34</f>
        <v>-19797.669621393547</v>
      </c>
      <c r="AC98" s="13">
        <f ca="1">$I$34*$AC$34</f>
        <v>0</v>
      </c>
      <c r="AD98" s="13">
        <f>$I$34*$AD$34</f>
        <v>32988.332564470096</v>
      </c>
      <c r="AE98" s="13">
        <f>$I$34*$AE$34</f>
        <v>970.72433778029665</v>
      </c>
      <c r="AF98" s="13">
        <f ca="1">$I$34*$AF$34</f>
        <v>2213.3126905994604</v>
      </c>
      <c r="AG98" s="13">
        <f ca="1">$I$34*$AG$34</f>
        <v>514.78512378871517</v>
      </c>
      <c r="AI98" s="13">
        <f>$I$34*$AI$34</f>
        <v>0</v>
      </c>
      <c r="AJ98" s="13">
        <f>$I$34*$AJ$34</f>
        <v>1288.7212750303308</v>
      </c>
      <c r="AK98" s="13">
        <f>$I$34*$AK$34</f>
        <v>4572.8831490324274</v>
      </c>
      <c r="AL98" s="13">
        <f>$I$34*$AL$34</f>
        <v>0</v>
      </c>
      <c r="AM98" s="13">
        <f>$I$34*$AM$34</f>
        <v>0</v>
      </c>
      <c r="AN98" s="13">
        <f>$I$34*$AN$34</f>
        <v>0</v>
      </c>
      <c r="AO98" s="13">
        <f>$I$34*$AO$34</f>
        <v>0</v>
      </c>
      <c r="AP98" s="13">
        <f>$I$34*$AP$34</f>
        <v>0</v>
      </c>
      <c r="AQ98" s="13">
        <f>$I$34*$AQ$34</f>
        <v>44563.905017484693</v>
      </c>
      <c r="AR98" s="13">
        <f>$I$34*$AR$34</f>
        <v>23820.421160559861</v>
      </c>
      <c r="AS98" s="13">
        <f>$I$34*$AS$34</f>
        <v>0</v>
      </c>
      <c r="AT98" s="13">
        <f>$I$34*$AT$34</f>
        <v>0</v>
      </c>
      <c r="AU98" s="13">
        <f>$I$34*$AU$34</f>
        <v>0</v>
      </c>
      <c r="AV98" s="13">
        <f>$I$34*$AV$34</f>
        <v>0</v>
      </c>
      <c r="AW98" s="13">
        <f>$I$34*$AW$34</f>
        <v>0</v>
      </c>
      <c r="AX98" s="13">
        <f>$I$34*$AX$34</f>
        <v>318392.17986280972</v>
      </c>
      <c r="AY98" s="13">
        <f>$I$34*$AY$34</f>
        <v>-24705.949760759286</v>
      </c>
      <c r="AZ98" s="13">
        <f>$I$34*$AZ$34</f>
        <v>0</v>
      </c>
      <c r="BA98" s="13">
        <f>$I$34*$BA$34</f>
        <v>35645.040293031379</v>
      </c>
      <c r="BB98" s="13">
        <f>$I$34*$BB$34</f>
        <v>944.78854063064216</v>
      </c>
      <c r="BC98" s="13">
        <f>$I$34*$BC$34</f>
        <v>2396.9098173597445</v>
      </c>
      <c r="BD98" s="13">
        <f>$I$34*$BD$34</f>
        <v>832.43454457457142</v>
      </c>
    </row>
    <row r="99" spans="1:56" ht="11.25" customHeight="1" x14ac:dyDescent="0.3">
      <c r="A99" s="9" t="s">
        <v>22</v>
      </c>
      <c r="B99" s="9" t="s">
        <v>1093</v>
      </c>
      <c r="C99" s="9" t="s">
        <v>1094</v>
      </c>
      <c r="D99" s="9" t="s">
        <v>1107</v>
      </c>
      <c r="E99" s="9" t="s">
        <v>1108</v>
      </c>
      <c r="F99" s="9" t="s">
        <v>1109</v>
      </c>
      <c r="G99" s="9" t="s">
        <v>1110</v>
      </c>
      <c r="L99" s="13">
        <f>$I$35*$L$35</f>
        <v>0</v>
      </c>
      <c r="M99" s="13">
        <f>$I$35*$M$35</f>
        <v>1460.3643310757145</v>
      </c>
      <c r="N99" s="13">
        <f ca="1">$I$35*$N$35</f>
        <v>5336.2272099913635</v>
      </c>
      <c r="O99" s="13">
        <f>$I$35*$O$35</f>
        <v>0</v>
      </c>
      <c r="P99" s="13">
        <f>$I$35*$P$35</f>
        <v>0</v>
      </c>
      <c r="Q99" s="13">
        <f>$I$35*$Q$35</f>
        <v>0</v>
      </c>
      <c r="R99" s="13">
        <f>$I$35*$R$35</f>
        <v>0</v>
      </c>
      <c r="S99" s="13">
        <f>$I$35*$S$35</f>
        <v>0</v>
      </c>
      <c r="T99" s="13">
        <f>$I$35*$T$35</f>
        <v>59746.332247819082</v>
      </c>
      <c r="U99" s="13">
        <f>$I$35*$U$35</f>
        <v>28150.061816377889</v>
      </c>
      <c r="V99" s="13">
        <f>$I$35*$V$35</f>
        <v>0</v>
      </c>
      <c r="W99" s="13">
        <f>$I$35*$W$35</f>
        <v>0</v>
      </c>
      <c r="X99" s="13">
        <f>$I$35*$X$35</f>
        <v>0</v>
      </c>
      <c r="Y99" s="13">
        <f>$I$35*$Y$35</f>
        <v>0</v>
      </c>
      <c r="Z99" s="13">
        <f>$I$35*$Z$35</f>
        <v>0</v>
      </c>
      <c r="AA99" s="13">
        <f>$I$35*$AA$35</f>
        <v>357821.94062754465</v>
      </c>
      <c r="AB99" s="13">
        <f ca="1">$I$35*$AB$35</f>
        <v>-20870.722153524632</v>
      </c>
      <c r="AC99" s="13">
        <f ca="1">$I$35*$AC$35</f>
        <v>0</v>
      </c>
      <c r="AD99" s="13">
        <f>$I$35*$AD$35</f>
        <v>34776.331579810532</v>
      </c>
      <c r="AE99" s="13">
        <f>$I$35*$AE$35</f>
        <v>1023.3385205895104</v>
      </c>
      <c r="AF99" s="13">
        <f ca="1">$I$35*$AF$35</f>
        <v>2333.2763445276564</v>
      </c>
      <c r="AG99" s="13">
        <f ca="1">$I$35*$AG$35</f>
        <v>542.68696734650325</v>
      </c>
      <c r="AI99" s="13">
        <f>$I$35*$AI$35</f>
        <v>0</v>
      </c>
      <c r="AJ99" s="13">
        <f>$I$35*$AJ$35</f>
        <v>1358.5711944313578</v>
      </c>
      <c r="AK99" s="13">
        <f>$I$35*$AK$35</f>
        <v>4820.7377670782898</v>
      </c>
      <c r="AL99" s="13">
        <f>$I$35*$AL$35</f>
        <v>0</v>
      </c>
      <c r="AM99" s="13">
        <f>$I$35*$AM$35</f>
        <v>0</v>
      </c>
      <c r="AN99" s="13">
        <f>$I$35*$AN$35</f>
        <v>0</v>
      </c>
      <c r="AO99" s="13">
        <f>$I$35*$AO$35</f>
        <v>0</v>
      </c>
      <c r="AP99" s="13">
        <f>$I$35*$AP$35</f>
        <v>0</v>
      </c>
      <c r="AQ99" s="13">
        <f>$I$35*$AQ$35</f>
        <v>46979.311074619007</v>
      </c>
      <c r="AR99" s="13">
        <f>$I$35*$AR$35</f>
        <v>25111.510653999365</v>
      </c>
      <c r="AS99" s="13">
        <f>$I$35*$AS$35</f>
        <v>0</v>
      </c>
      <c r="AT99" s="13">
        <f>$I$35*$AT$35</f>
        <v>0</v>
      </c>
      <c r="AU99" s="13">
        <f>$I$35*$AU$35</f>
        <v>0</v>
      </c>
      <c r="AV99" s="13">
        <f>$I$35*$AV$35</f>
        <v>0</v>
      </c>
      <c r="AW99" s="13">
        <f>$I$35*$AW$35</f>
        <v>0</v>
      </c>
      <c r="AX99" s="13">
        <f>$I$35*$AX$35</f>
        <v>335649.33898033272</v>
      </c>
      <c r="AY99" s="13">
        <f>$I$35*$AY$35</f>
        <v>-26045.035746962269</v>
      </c>
      <c r="AZ99" s="13">
        <f>$I$35*$AZ$35</f>
        <v>0</v>
      </c>
      <c r="BA99" s="13">
        <f>$I$35*$BA$35</f>
        <v>37577.035395274106</v>
      </c>
      <c r="BB99" s="13">
        <f>$I$35*$BB$35</f>
        <v>995.99697855490399</v>
      </c>
      <c r="BC99" s="13">
        <f>$I$35*$BC$35</f>
        <v>2526.8246102618464</v>
      </c>
      <c r="BD99" s="13">
        <f>$I$35*$BD$35</f>
        <v>877.55328900113147</v>
      </c>
    </row>
    <row r="100" spans="1:56" ht="11.25" customHeight="1" x14ac:dyDescent="0.3">
      <c r="A100" s="9" t="s">
        <v>22</v>
      </c>
      <c r="B100" s="9" t="s">
        <v>1093</v>
      </c>
      <c r="C100" s="9" t="s">
        <v>1094</v>
      </c>
      <c r="D100" s="9" t="s">
        <v>1111</v>
      </c>
      <c r="E100" s="9" t="s">
        <v>1112</v>
      </c>
      <c r="F100" s="9" t="s">
        <v>1113</v>
      </c>
      <c r="G100" s="9" t="s">
        <v>1114</v>
      </c>
      <c r="L100" s="13">
        <f>$I$36*$L$36</f>
        <v>0</v>
      </c>
      <c r="M100" s="13">
        <f>$I$36*$M$36</f>
        <v>289.87455873574424</v>
      </c>
      <c r="N100" s="13">
        <f ca="1">$I$36*$N$36</f>
        <v>1059.2127422548781</v>
      </c>
      <c r="O100" s="13">
        <f>$I$36*$O$36</f>
        <v>0</v>
      </c>
      <c r="P100" s="13">
        <f>$I$36*$P$36</f>
        <v>0</v>
      </c>
      <c r="Q100" s="13">
        <f>$I$36*$Q$36</f>
        <v>0</v>
      </c>
      <c r="R100" s="13">
        <f>$I$36*$R$36</f>
        <v>0</v>
      </c>
      <c r="S100" s="13">
        <f>$I$36*$S$36</f>
        <v>0</v>
      </c>
      <c r="T100" s="13">
        <f>$I$36*$T$36</f>
        <v>11859.329434360034</v>
      </c>
      <c r="U100" s="13">
        <f>$I$36*$U$36</f>
        <v>5587.6376694271639</v>
      </c>
      <c r="V100" s="13">
        <f>$I$36*$V$36</f>
        <v>0</v>
      </c>
      <c r="W100" s="13">
        <f>$I$36*$W$36</f>
        <v>0</v>
      </c>
      <c r="X100" s="13">
        <f>$I$36*$X$36</f>
        <v>0</v>
      </c>
      <c r="Y100" s="13">
        <f>$I$36*$Y$36</f>
        <v>0</v>
      </c>
      <c r="Z100" s="13">
        <f>$I$36*$Z$36</f>
        <v>0</v>
      </c>
      <c r="AA100" s="13">
        <f>$I$36*$AA$36</f>
        <v>71025.753600112759</v>
      </c>
      <c r="AB100" s="13">
        <f ca="1">$I$36*$AB$36</f>
        <v>-4142.7274317860683</v>
      </c>
      <c r="AC100" s="13">
        <f ca="1">$I$36*$AC$36</f>
        <v>0</v>
      </c>
      <c r="AD100" s="13">
        <f>$I$36*$AD$36</f>
        <v>6902.9170027180398</v>
      </c>
      <c r="AE100" s="13">
        <f>$I$36*$AE$36</f>
        <v>203.12725789095845</v>
      </c>
      <c r="AF100" s="13">
        <f ca="1">$I$36*$AF$36</f>
        <v>463.14295438885125</v>
      </c>
      <c r="AG100" s="13">
        <f ca="1">$I$36*$AG$36</f>
        <v>107.72047895426918</v>
      </c>
      <c r="AI100" s="13">
        <f>$I$36*$AI$36</f>
        <v>0</v>
      </c>
      <c r="AJ100" s="13">
        <f>$I$36*$AJ$36</f>
        <v>269.6691620828588</v>
      </c>
      <c r="AK100" s="13">
        <f>$I$36*$AK$36</f>
        <v>956.89082736170269</v>
      </c>
      <c r="AL100" s="13">
        <f>$I$36*$AL$36</f>
        <v>0</v>
      </c>
      <c r="AM100" s="13">
        <f>$I$36*$AM$36</f>
        <v>0</v>
      </c>
      <c r="AN100" s="13">
        <f>$I$36*$AN$36</f>
        <v>0</v>
      </c>
      <c r="AO100" s="13">
        <f>$I$36*$AO$36</f>
        <v>0</v>
      </c>
      <c r="AP100" s="13">
        <f>$I$36*$AP$36</f>
        <v>0</v>
      </c>
      <c r="AQ100" s="13">
        <f>$I$36*$AQ$36</f>
        <v>9325.1435807345842</v>
      </c>
      <c r="AR100" s="13">
        <f>$I$36*$AR$36</f>
        <v>4984.5014118183053</v>
      </c>
      <c r="AS100" s="13">
        <f>$I$36*$AS$36</f>
        <v>0</v>
      </c>
      <c r="AT100" s="13">
        <f>$I$36*$AT$36</f>
        <v>0</v>
      </c>
      <c r="AU100" s="13">
        <f>$I$36*$AU$36</f>
        <v>0</v>
      </c>
      <c r="AV100" s="13">
        <f>$I$36*$AV$36</f>
        <v>0</v>
      </c>
      <c r="AW100" s="13">
        <f>$I$36*$AW$36</f>
        <v>0</v>
      </c>
      <c r="AX100" s="13">
        <f>$I$36*$AX$36</f>
        <v>66624.61000755812</v>
      </c>
      <c r="AY100" s="13">
        <f>$I$36*$AY$36</f>
        <v>-5169.8011816312564</v>
      </c>
      <c r="AZ100" s="13">
        <f>$I$36*$AZ$36</f>
        <v>0</v>
      </c>
      <c r="BA100" s="13">
        <f>$I$36*$BA$36</f>
        <v>7458.8418259838809</v>
      </c>
      <c r="BB100" s="13">
        <f>$I$36*$BB$36</f>
        <v>197.70010710140284</v>
      </c>
      <c r="BC100" s="13">
        <f>$I$36*$BC$36</f>
        <v>501.5612565411929</v>
      </c>
      <c r="BD100" s="13">
        <f>$I$36*$BD$36</f>
        <v>174.18966418395451</v>
      </c>
    </row>
    <row r="101" spans="1:56" ht="11.25" customHeight="1" x14ac:dyDescent="0.3">
      <c r="A101" s="9" t="s">
        <v>22</v>
      </c>
      <c r="B101" s="9" t="s">
        <v>1115</v>
      </c>
      <c r="C101" s="9" t="s">
        <v>1116</v>
      </c>
      <c r="D101" s="9" t="s">
        <v>1117</v>
      </c>
      <c r="E101" s="9" t="s">
        <v>1118</v>
      </c>
      <c r="F101" s="9" t="s">
        <v>1119</v>
      </c>
      <c r="G101" s="9" t="s">
        <v>1120</v>
      </c>
      <c r="L101" s="13">
        <f>$I$37*$L$37</f>
        <v>0</v>
      </c>
      <c r="M101" s="13">
        <f>$I$37*$M$37</f>
        <v>0</v>
      </c>
      <c r="N101" s="13">
        <f ca="1">$I$37*$N$37</f>
        <v>0</v>
      </c>
      <c r="O101" s="13">
        <f>$I$37*$O$37</f>
        <v>0</v>
      </c>
      <c r="P101" s="13">
        <f>$I$37*$P$37</f>
        <v>0</v>
      </c>
      <c r="Q101" s="13">
        <f>$I$37*$Q$37</f>
        <v>0</v>
      </c>
      <c r="R101" s="13">
        <f>$I$37*$R$37</f>
        <v>0</v>
      </c>
      <c r="S101" s="13">
        <f>$I$37*$S$37</f>
        <v>0</v>
      </c>
      <c r="T101" s="13">
        <f>$I$37*$T$37</f>
        <v>0</v>
      </c>
      <c r="U101" s="13">
        <f>$I$37*$U$37</f>
        <v>0</v>
      </c>
      <c r="V101" s="13">
        <f>$I$37*$V$37</f>
        <v>0</v>
      </c>
      <c r="W101" s="13">
        <f>$I$37*$W$37</f>
        <v>0</v>
      </c>
      <c r="X101" s="13">
        <f>$I$37*$X$37</f>
        <v>0</v>
      </c>
      <c r="Y101" s="13">
        <f>$I$37*$Y$37</f>
        <v>0</v>
      </c>
      <c r="Z101" s="13">
        <f>$I$37*$Z$37</f>
        <v>0</v>
      </c>
      <c r="AA101" s="13">
        <f>$I$37*$AA$37</f>
        <v>0</v>
      </c>
      <c r="AB101" s="13">
        <f ca="1">$I$37*$AB$37</f>
        <v>0</v>
      </c>
      <c r="AC101" s="13">
        <f ca="1">$I$37*$AC$37</f>
        <v>0</v>
      </c>
      <c r="AD101" s="13">
        <f>$I$37*$AD$37</f>
        <v>0</v>
      </c>
      <c r="AE101" s="13">
        <f>$I$37*$AE$37</f>
        <v>0</v>
      </c>
      <c r="AF101" s="13">
        <f ca="1">$I$37*$AF$37</f>
        <v>0</v>
      </c>
      <c r="AG101" s="13">
        <f ca="1">$I$37*$AG$37</f>
        <v>0</v>
      </c>
      <c r="AI101" s="13">
        <f>$I$37*$AI$37</f>
        <v>0</v>
      </c>
      <c r="AJ101" s="13">
        <f>$I$37*$AJ$37</f>
        <v>0</v>
      </c>
      <c r="AK101" s="13">
        <f>$I$37*$AK$37</f>
        <v>0</v>
      </c>
      <c r="AL101" s="13">
        <f>$I$37*$AL$37</f>
        <v>0</v>
      </c>
      <c r="AM101" s="13">
        <f>$I$37*$AM$37</f>
        <v>0</v>
      </c>
      <c r="AN101" s="13">
        <f>$I$37*$AN$37</f>
        <v>0</v>
      </c>
      <c r="AO101" s="13">
        <f>$I$37*$AO$37</f>
        <v>0</v>
      </c>
      <c r="AP101" s="13">
        <f>$I$37*$AP$37</f>
        <v>0</v>
      </c>
      <c r="AQ101" s="13">
        <f>$I$37*$AQ$37</f>
        <v>0</v>
      </c>
      <c r="AR101" s="13">
        <f>$I$37*$AR$37</f>
        <v>0</v>
      </c>
      <c r="AS101" s="13">
        <f>$I$37*$AS$37</f>
        <v>0</v>
      </c>
      <c r="AT101" s="13">
        <f>$I$37*$AT$37</f>
        <v>0</v>
      </c>
      <c r="AU101" s="13">
        <f>$I$37*$AU$37</f>
        <v>0</v>
      </c>
      <c r="AV101" s="13">
        <f>$I$37*$AV$37</f>
        <v>0</v>
      </c>
      <c r="AW101" s="13">
        <f>$I$37*$AW$37</f>
        <v>0</v>
      </c>
      <c r="AX101" s="13">
        <f>$I$37*$AX$37</f>
        <v>0</v>
      </c>
      <c r="AY101" s="13">
        <f>$I$37*$AY$37</f>
        <v>0</v>
      </c>
      <c r="AZ101" s="13">
        <f>$I$37*$AZ$37</f>
        <v>0</v>
      </c>
      <c r="BA101" s="13">
        <f>$I$37*$BA$37</f>
        <v>0</v>
      </c>
      <c r="BB101" s="13">
        <f>$I$37*$BB$37</f>
        <v>0</v>
      </c>
      <c r="BC101" s="13">
        <f>$I$37*$BC$37</f>
        <v>0</v>
      </c>
      <c r="BD101" s="13">
        <f>$I$37*$BD$37</f>
        <v>0</v>
      </c>
    </row>
    <row r="102" spans="1:56" ht="11.25" customHeight="1" x14ac:dyDescent="0.3">
      <c r="A102" s="9" t="s">
        <v>22</v>
      </c>
      <c r="B102" s="9" t="s">
        <v>1115</v>
      </c>
      <c r="C102" s="9" t="s">
        <v>1116</v>
      </c>
      <c r="D102" s="9" t="s">
        <v>1121</v>
      </c>
      <c r="E102" s="9" t="s">
        <v>1122</v>
      </c>
      <c r="F102" s="9" t="s">
        <v>1123</v>
      </c>
      <c r="G102" s="9" t="s">
        <v>1124</v>
      </c>
      <c r="L102" s="13">
        <f>$I$38*$L$38</f>
        <v>0</v>
      </c>
      <c r="M102" s="13">
        <f>$I$38*$M$38</f>
        <v>0</v>
      </c>
      <c r="N102" s="13">
        <f ca="1">$I$38*$N$38</f>
        <v>0</v>
      </c>
      <c r="O102" s="13">
        <f>$I$38*$O$38</f>
        <v>0</v>
      </c>
      <c r="P102" s="13">
        <f>$I$38*$P$38</f>
        <v>0</v>
      </c>
      <c r="Q102" s="13">
        <f>$I$38*$Q$38</f>
        <v>0</v>
      </c>
      <c r="R102" s="13">
        <f>$I$38*$R$38</f>
        <v>0</v>
      </c>
      <c r="S102" s="13">
        <f>$I$38*$S$38</f>
        <v>0</v>
      </c>
      <c r="T102" s="13">
        <f>$I$38*$T$38</f>
        <v>0</v>
      </c>
      <c r="U102" s="13">
        <f>$I$38*$U$38</f>
        <v>0</v>
      </c>
      <c r="V102" s="13">
        <f>$I$38*$V$38</f>
        <v>0</v>
      </c>
      <c r="W102" s="13">
        <f>$I$38*$W$38</f>
        <v>0</v>
      </c>
      <c r="X102" s="13">
        <f>$I$38*$X$38</f>
        <v>0</v>
      </c>
      <c r="Y102" s="13">
        <f>$I$38*$Y$38</f>
        <v>0</v>
      </c>
      <c r="Z102" s="13">
        <f>$I$38*$Z$38</f>
        <v>0</v>
      </c>
      <c r="AA102" s="13">
        <f>$I$38*$AA$38</f>
        <v>0</v>
      </c>
      <c r="AB102" s="13">
        <f ca="1">$I$38*$AB$38</f>
        <v>0</v>
      </c>
      <c r="AC102" s="13">
        <f ca="1">$I$38*$AC$38</f>
        <v>0</v>
      </c>
      <c r="AD102" s="13">
        <f>$I$38*$AD$38</f>
        <v>0</v>
      </c>
      <c r="AE102" s="13">
        <f>$I$38*$AE$38</f>
        <v>0</v>
      </c>
      <c r="AF102" s="13">
        <f ca="1">$I$38*$AF$38</f>
        <v>0</v>
      </c>
      <c r="AG102" s="13">
        <f ca="1">$I$38*$AG$38</f>
        <v>0</v>
      </c>
      <c r="AI102" s="13">
        <f>$I$38*$AI$38</f>
        <v>0</v>
      </c>
      <c r="AJ102" s="13">
        <f>$I$38*$AJ$38</f>
        <v>0</v>
      </c>
      <c r="AK102" s="13">
        <f>$I$38*$AK$38</f>
        <v>0</v>
      </c>
      <c r="AL102" s="13">
        <f>$I$38*$AL$38</f>
        <v>0</v>
      </c>
      <c r="AM102" s="13">
        <f>$I$38*$AM$38</f>
        <v>0</v>
      </c>
      <c r="AN102" s="13">
        <f>$I$38*$AN$38</f>
        <v>0</v>
      </c>
      <c r="AO102" s="13">
        <f>$I$38*$AO$38</f>
        <v>0</v>
      </c>
      <c r="AP102" s="13">
        <f>$I$38*$AP$38</f>
        <v>0</v>
      </c>
      <c r="AQ102" s="13">
        <f>$I$38*$AQ$38</f>
        <v>0</v>
      </c>
      <c r="AR102" s="13">
        <f>$I$38*$AR$38</f>
        <v>0</v>
      </c>
      <c r="AS102" s="13">
        <f>$I$38*$AS$38</f>
        <v>0</v>
      </c>
      <c r="AT102" s="13">
        <f>$I$38*$AT$38</f>
        <v>0</v>
      </c>
      <c r="AU102" s="13">
        <f>$I$38*$AU$38</f>
        <v>0</v>
      </c>
      <c r="AV102" s="13">
        <f>$I$38*$AV$38</f>
        <v>0</v>
      </c>
      <c r="AW102" s="13">
        <f>$I$38*$AW$38</f>
        <v>0</v>
      </c>
      <c r="AX102" s="13">
        <f>$I$38*$AX$38</f>
        <v>0</v>
      </c>
      <c r="AY102" s="13">
        <f>$I$38*$AY$38</f>
        <v>0</v>
      </c>
      <c r="AZ102" s="13">
        <f>$I$38*$AZ$38</f>
        <v>0</v>
      </c>
      <c r="BA102" s="13">
        <f>$I$38*$BA$38</f>
        <v>0</v>
      </c>
      <c r="BB102" s="13">
        <f>$I$38*$BB$38</f>
        <v>0</v>
      </c>
      <c r="BC102" s="13">
        <f>$I$38*$BC$38</f>
        <v>0</v>
      </c>
      <c r="BD102" s="13">
        <f>$I$38*$BD$38</f>
        <v>0</v>
      </c>
    </row>
    <row r="103" spans="1:56" ht="11.25" customHeight="1" x14ac:dyDescent="0.3">
      <c r="A103" s="9" t="s">
        <v>22</v>
      </c>
      <c r="B103" s="9" t="s">
        <v>1115</v>
      </c>
      <c r="C103" s="9" t="s">
        <v>1116</v>
      </c>
      <c r="D103" s="9" t="s">
        <v>1125</v>
      </c>
      <c r="E103" s="9" t="s">
        <v>1126</v>
      </c>
      <c r="F103" s="9" t="s">
        <v>1127</v>
      </c>
      <c r="G103" s="9" t="s">
        <v>1128</v>
      </c>
      <c r="L103" s="13">
        <f>$I$39*$L$39</f>
        <v>0</v>
      </c>
      <c r="M103" s="13">
        <f>$I$39*$M$39</f>
        <v>0</v>
      </c>
      <c r="N103" s="13">
        <f ca="1">$I$39*$N$39</f>
        <v>0</v>
      </c>
      <c r="O103" s="13">
        <f>$I$39*$O$39</f>
        <v>0</v>
      </c>
      <c r="P103" s="13">
        <f>$I$39*$P$39</f>
        <v>0</v>
      </c>
      <c r="Q103" s="13">
        <f>$I$39*$Q$39</f>
        <v>0</v>
      </c>
      <c r="R103" s="13">
        <f>$I$39*$R$39</f>
        <v>0</v>
      </c>
      <c r="S103" s="13">
        <f>$I$39*$S$39</f>
        <v>0</v>
      </c>
      <c r="T103" s="13">
        <f>$I$39*$T$39</f>
        <v>0</v>
      </c>
      <c r="U103" s="13">
        <f>$I$39*$U$39</f>
        <v>0</v>
      </c>
      <c r="V103" s="13">
        <f>$I$39*$V$39</f>
        <v>0</v>
      </c>
      <c r="W103" s="13">
        <f>$I$39*$W$39</f>
        <v>0</v>
      </c>
      <c r="X103" s="13">
        <f>$I$39*$X$39</f>
        <v>0</v>
      </c>
      <c r="Y103" s="13">
        <f>$I$39*$Y$39</f>
        <v>0</v>
      </c>
      <c r="Z103" s="13">
        <f>$I$39*$Z$39</f>
        <v>0</v>
      </c>
      <c r="AA103" s="13">
        <f>$I$39*$AA$39</f>
        <v>0</v>
      </c>
      <c r="AB103" s="13">
        <f ca="1">$I$39*$AB$39</f>
        <v>0</v>
      </c>
      <c r="AC103" s="13">
        <f ca="1">$I$39*$AC$39</f>
        <v>0</v>
      </c>
      <c r="AD103" s="13">
        <f>$I$39*$AD$39</f>
        <v>0</v>
      </c>
      <c r="AE103" s="13">
        <f>$I$39*$AE$39</f>
        <v>0</v>
      </c>
      <c r="AF103" s="13">
        <f ca="1">$I$39*$AF$39</f>
        <v>0</v>
      </c>
      <c r="AG103" s="13">
        <f ca="1">$I$39*$AG$39</f>
        <v>0</v>
      </c>
      <c r="AI103" s="13">
        <f>$I$39*$AI$39</f>
        <v>0</v>
      </c>
      <c r="AJ103" s="13">
        <f>$I$39*$AJ$39</f>
        <v>0</v>
      </c>
      <c r="AK103" s="13">
        <f>$I$39*$AK$39</f>
        <v>0</v>
      </c>
      <c r="AL103" s="13">
        <f>$I$39*$AL$39</f>
        <v>0</v>
      </c>
      <c r="AM103" s="13">
        <f>$I$39*$AM$39</f>
        <v>0</v>
      </c>
      <c r="AN103" s="13">
        <f>$I$39*$AN$39</f>
        <v>0</v>
      </c>
      <c r="AO103" s="13">
        <f>$I$39*$AO$39</f>
        <v>0</v>
      </c>
      <c r="AP103" s="13">
        <f>$I$39*$AP$39</f>
        <v>0</v>
      </c>
      <c r="AQ103" s="13">
        <f>$I$39*$AQ$39</f>
        <v>0</v>
      </c>
      <c r="AR103" s="13">
        <f>$I$39*$AR$39</f>
        <v>0</v>
      </c>
      <c r="AS103" s="13">
        <f>$I$39*$AS$39</f>
        <v>0</v>
      </c>
      <c r="AT103" s="13">
        <f>$I$39*$AT$39</f>
        <v>0</v>
      </c>
      <c r="AU103" s="13">
        <f>$I$39*$AU$39</f>
        <v>0</v>
      </c>
      <c r="AV103" s="13">
        <f>$I$39*$AV$39</f>
        <v>0</v>
      </c>
      <c r="AW103" s="13">
        <f>$I$39*$AW$39</f>
        <v>0</v>
      </c>
      <c r="AX103" s="13">
        <f>$I$39*$AX$39</f>
        <v>0</v>
      </c>
      <c r="AY103" s="13">
        <f>$I$39*$AY$39</f>
        <v>0</v>
      </c>
      <c r="AZ103" s="13">
        <f>$I$39*$AZ$39</f>
        <v>0</v>
      </c>
      <c r="BA103" s="13">
        <f>$I$39*$BA$39</f>
        <v>0</v>
      </c>
      <c r="BB103" s="13">
        <f>$I$39*$BB$39</f>
        <v>0</v>
      </c>
      <c r="BC103" s="13">
        <f>$I$39*$BC$39</f>
        <v>0</v>
      </c>
      <c r="BD103" s="13">
        <f>$I$39*$BD$39</f>
        <v>0</v>
      </c>
    </row>
    <row r="104" spans="1:56" ht="11.25" customHeight="1" x14ac:dyDescent="0.3">
      <c r="A104" s="9" t="s">
        <v>22</v>
      </c>
      <c r="B104" s="9" t="s">
        <v>1115</v>
      </c>
      <c r="C104" s="9" t="s">
        <v>1116</v>
      </c>
      <c r="D104" s="9" t="s">
        <v>1129</v>
      </c>
      <c r="E104" s="9" t="s">
        <v>1130</v>
      </c>
      <c r="F104" s="9" t="s">
        <v>1131</v>
      </c>
      <c r="G104" s="9" t="s">
        <v>1132</v>
      </c>
      <c r="L104" s="13">
        <f>$I$40*$L$40</f>
        <v>0</v>
      </c>
      <c r="M104" s="13">
        <f>$I$40*$M$40</f>
        <v>0</v>
      </c>
      <c r="N104" s="13">
        <f ca="1">$I$40*$N$40</f>
        <v>0</v>
      </c>
      <c r="O104" s="13">
        <f>$I$40*$O$40</f>
        <v>0</v>
      </c>
      <c r="P104" s="13">
        <f>$I$40*$P$40</f>
        <v>0</v>
      </c>
      <c r="Q104" s="13">
        <f>$I$40*$Q$40</f>
        <v>0</v>
      </c>
      <c r="R104" s="13">
        <f>$I$40*$R$40</f>
        <v>0</v>
      </c>
      <c r="S104" s="13">
        <f>$I$40*$S$40</f>
        <v>0</v>
      </c>
      <c r="T104" s="13">
        <f>$I$40*$T$40</f>
        <v>0</v>
      </c>
      <c r="U104" s="13">
        <f>$I$40*$U$40</f>
        <v>0</v>
      </c>
      <c r="V104" s="13">
        <f>$I$40*$V$40</f>
        <v>0</v>
      </c>
      <c r="W104" s="13">
        <f>$I$40*$W$40</f>
        <v>0</v>
      </c>
      <c r="X104" s="13">
        <f>$I$40*$X$40</f>
        <v>0</v>
      </c>
      <c r="Y104" s="13">
        <f>$I$40*$Y$40</f>
        <v>0</v>
      </c>
      <c r="Z104" s="13">
        <f>$I$40*$Z$40</f>
        <v>0</v>
      </c>
      <c r="AA104" s="13">
        <f>$I$40*$AA$40</f>
        <v>0</v>
      </c>
      <c r="AB104" s="13">
        <f ca="1">$I$40*$AB$40</f>
        <v>0</v>
      </c>
      <c r="AC104" s="13">
        <f ca="1">$I$40*$AC$40</f>
        <v>0</v>
      </c>
      <c r="AD104" s="13">
        <f>$I$40*$AD$40</f>
        <v>0</v>
      </c>
      <c r="AE104" s="13">
        <f>$I$40*$AE$40</f>
        <v>0</v>
      </c>
      <c r="AF104" s="13">
        <f ca="1">$I$40*$AF$40</f>
        <v>0</v>
      </c>
      <c r="AG104" s="13">
        <f ca="1">$I$40*$AG$40</f>
        <v>0</v>
      </c>
      <c r="AI104" s="13">
        <f>$I$40*$AI$40</f>
        <v>0</v>
      </c>
      <c r="AJ104" s="13">
        <f>$I$40*$AJ$40</f>
        <v>0</v>
      </c>
      <c r="AK104" s="13">
        <f>$I$40*$AK$40</f>
        <v>0</v>
      </c>
      <c r="AL104" s="13">
        <f>$I$40*$AL$40</f>
        <v>0</v>
      </c>
      <c r="AM104" s="13">
        <f>$I$40*$AM$40</f>
        <v>0</v>
      </c>
      <c r="AN104" s="13">
        <f>$I$40*$AN$40</f>
        <v>0</v>
      </c>
      <c r="AO104" s="13">
        <f>$I$40*$AO$40</f>
        <v>0</v>
      </c>
      <c r="AP104" s="13">
        <f>$I$40*$AP$40</f>
        <v>0</v>
      </c>
      <c r="AQ104" s="13">
        <f>$I$40*$AQ$40</f>
        <v>0</v>
      </c>
      <c r="AR104" s="13">
        <f>$I$40*$AR$40</f>
        <v>0</v>
      </c>
      <c r="AS104" s="13">
        <f>$I$40*$AS$40</f>
        <v>0</v>
      </c>
      <c r="AT104" s="13">
        <f>$I$40*$AT$40</f>
        <v>0</v>
      </c>
      <c r="AU104" s="13">
        <f>$I$40*$AU$40</f>
        <v>0</v>
      </c>
      <c r="AV104" s="13">
        <f>$I$40*$AV$40</f>
        <v>0</v>
      </c>
      <c r="AW104" s="13">
        <f>$I$40*$AW$40</f>
        <v>0</v>
      </c>
      <c r="AX104" s="13">
        <f>$I$40*$AX$40</f>
        <v>0</v>
      </c>
      <c r="AY104" s="13">
        <f>$I$40*$AY$40</f>
        <v>0</v>
      </c>
      <c r="AZ104" s="13">
        <f>$I$40*$AZ$40</f>
        <v>0</v>
      </c>
      <c r="BA104" s="13">
        <f>$I$40*$BA$40</f>
        <v>0</v>
      </c>
      <c r="BB104" s="13">
        <f>$I$40*$BB$40</f>
        <v>0</v>
      </c>
      <c r="BC104" s="13">
        <f>$I$40*$BC$40</f>
        <v>0</v>
      </c>
      <c r="BD104" s="13">
        <f>$I$40*$BD$40</f>
        <v>0</v>
      </c>
    </row>
    <row r="105" spans="1:56" ht="11.25" customHeight="1" x14ac:dyDescent="0.3">
      <c r="A105" s="9" t="s">
        <v>22</v>
      </c>
      <c r="B105" s="9" t="s">
        <v>1115</v>
      </c>
      <c r="C105" s="9" t="s">
        <v>1116</v>
      </c>
      <c r="D105" s="9" t="s">
        <v>1133</v>
      </c>
      <c r="E105" s="9" t="s">
        <v>1134</v>
      </c>
      <c r="F105" s="9" t="s">
        <v>1135</v>
      </c>
      <c r="G105" s="9" t="s">
        <v>1136</v>
      </c>
      <c r="L105" s="13">
        <f>$I$41*$L$41</f>
        <v>0</v>
      </c>
      <c r="M105" s="13">
        <f>$I$41*$M$41</f>
        <v>0</v>
      </c>
      <c r="N105" s="13">
        <f ca="1">$I$41*$N$41</f>
        <v>0</v>
      </c>
      <c r="O105" s="13">
        <f>$I$41*$O$41</f>
        <v>0</v>
      </c>
      <c r="P105" s="13">
        <f>$I$41*$P$41</f>
        <v>0</v>
      </c>
      <c r="Q105" s="13">
        <f>$I$41*$Q$41</f>
        <v>0</v>
      </c>
      <c r="R105" s="13">
        <f>$I$41*$R$41</f>
        <v>0</v>
      </c>
      <c r="S105" s="13">
        <f>$I$41*$S$41</f>
        <v>0</v>
      </c>
      <c r="T105" s="13">
        <f>$I$41*$T$41</f>
        <v>0</v>
      </c>
      <c r="U105" s="13">
        <f>$I$41*$U$41</f>
        <v>0</v>
      </c>
      <c r="V105" s="13">
        <f>$I$41*$V$41</f>
        <v>0</v>
      </c>
      <c r="W105" s="13">
        <f>$I$41*$W$41</f>
        <v>0</v>
      </c>
      <c r="X105" s="13">
        <f>$I$41*$X$41</f>
        <v>0</v>
      </c>
      <c r="Y105" s="13">
        <f>$I$41*$Y$41</f>
        <v>0</v>
      </c>
      <c r="Z105" s="13">
        <f>$I$41*$Z$41</f>
        <v>0</v>
      </c>
      <c r="AA105" s="13">
        <f>$I$41*$AA$41</f>
        <v>0</v>
      </c>
      <c r="AB105" s="13">
        <f ca="1">$I$41*$AB$41</f>
        <v>0</v>
      </c>
      <c r="AC105" s="13">
        <f ca="1">$I$41*$AC$41</f>
        <v>0</v>
      </c>
      <c r="AD105" s="13">
        <f>$I$41*$AD$41</f>
        <v>0</v>
      </c>
      <c r="AE105" s="13">
        <f>$I$41*$AE$41</f>
        <v>0</v>
      </c>
      <c r="AF105" s="13">
        <f ca="1">$I$41*$AF$41</f>
        <v>0</v>
      </c>
      <c r="AG105" s="13">
        <f ca="1">$I$41*$AG$41</f>
        <v>0</v>
      </c>
      <c r="AI105" s="13">
        <f>$I$41*$AI$41</f>
        <v>0</v>
      </c>
      <c r="AJ105" s="13">
        <f>$I$41*$AJ$41</f>
        <v>0</v>
      </c>
      <c r="AK105" s="13">
        <f>$I$41*$AK$41</f>
        <v>0</v>
      </c>
      <c r="AL105" s="13">
        <f>$I$41*$AL$41</f>
        <v>0</v>
      </c>
      <c r="AM105" s="13">
        <f>$I$41*$AM$41</f>
        <v>0</v>
      </c>
      <c r="AN105" s="13">
        <f>$I$41*$AN$41</f>
        <v>0</v>
      </c>
      <c r="AO105" s="13">
        <f>$I$41*$AO$41</f>
        <v>0</v>
      </c>
      <c r="AP105" s="13">
        <f>$I$41*$AP$41</f>
        <v>0</v>
      </c>
      <c r="AQ105" s="13">
        <f>$I$41*$AQ$41</f>
        <v>0</v>
      </c>
      <c r="AR105" s="13">
        <f>$I$41*$AR$41</f>
        <v>0</v>
      </c>
      <c r="AS105" s="13">
        <f>$I$41*$AS$41</f>
        <v>0</v>
      </c>
      <c r="AT105" s="13">
        <f>$I$41*$AT$41</f>
        <v>0</v>
      </c>
      <c r="AU105" s="13">
        <f>$I$41*$AU$41</f>
        <v>0</v>
      </c>
      <c r="AV105" s="13">
        <f>$I$41*$AV$41</f>
        <v>0</v>
      </c>
      <c r="AW105" s="13">
        <f>$I$41*$AW$41</f>
        <v>0</v>
      </c>
      <c r="AX105" s="13">
        <f>$I$41*$AX$41</f>
        <v>0</v>
      </c>
      <c r="AY105" s="13">
        <f>$I$41*$AY$41</f>
        <v>0</v>
      </c>
      <c r="AZ105" s="13">
        <f>$I$41*$AZ$41</f>
        <v>0</v>
      </c>
      <c r="BA105" s="13">
        <f>$I$41*$BA$41</f>
        <v>0</v>
      </c>
      <c r="BB105" s="13">
        <f>$I$41*$BB$41</f>
        <v>0</v>
      </c>
      <c r="BC105" s="13">
        <f>$I$41*$BC$41</f>
        <v>0</v>
      </c>
      <c r="BD105" s="13">
        <f>$I$41*$BD$41</f>
        <v>0</v>
      </c>
    </row>
    <row r="106" spans="1:56" ht="11.25" customHeight="1" x14ac:dyDescent="0.3">
      <c r="A106" s="9" t="s">
        <v>43</v>
      </c>
      <c r="B106" s="9" t="s">
        <v>1137</v>
      </c>
      <c r="C106" s="9" t="s">
        <v>1138</v>
      </c>
      <c r="D106" s="9" t="s">
        <v>1139</v>
      </c>
      <c r="E106" s="9" t="s">
        <v>1140</v>
      </c>
      <c r="F106" s="9" t="s">
        <v>1141</v>
      </c>
      <c r="G106" s="9" t="s">
        <v>1142</v>
      </c>
      <c r="L106" s="13">
        <f>$I$42*$L$42</f>
        <v>0</v>
      </c>
      <c r="M106" s="13">
        <f>$I$42*$M$42</f>
        <v>0</v>
      </c>
      <c r="N106" s="13">
        <f ca="1">$I$42*$N$42</f>
        <v>0</v>
      </c>
      <c r="O106" s="13">
        <f>$I$42*$O$42</f>
        <v>0</v>
      </c>
      <c r="P106" s="13">
        <f>$I$42*$P$42</f>
        <v>0</v>
      </c>
      <c r="Q106" s="13">
        <f>$I$42*$Q$42</f>
        <v>0</v>
      </c>
      <c r="R106" s="13">
        <f>$I$42*$R$42</f>
        <v>0</v>
      </c>
      <c r="S106" s="13">
        <f>$I$42*$S$42</f>
        <v>0</v>
      </c>
      <c r="T106" s="13">
        <f>$I$42*$T$42</f>
        <v>0</v>
      </c>
      <c r="U106" s="13">
        <f>$I$42*$U$42</f>
        <v>0</v>
      </c>
      <c r="V106" s="13">
        <f>$I$42*$V$42</f>
        <v>0</v>
      </c>
      <c r="W106" s="13">
        <f>$I$42*$W$42</f>
        <v>0</v>
      </c>
      <c r="X106" s="13">
        <f>$I$42*$X$42</f>
        <v>0</v>
      </c>
      <c r="Y106" s="13">
        <f>$I$42*$Y$42</f>
        <v>0</v>
      </c>
      <c r="Z106" s="13">
        <f>$I$42*$Z$42</f>
        <v>0</v>
      </c>
      <c r="AA106" s="13">
        <f>$I$42*$AA$42</f>
        <v>0</v>
      </c>
      <c r="AB106" s="13">
        <f ca="1">$I$42*$AB$42</f>
        <v>0</v>
      </c>
      <c r="AC106" s="13">
        <f ca="1">$I$42*$AC$42</f>
        <v>0</v>
      </c>
      <c r="AD106" s="13">
        <f>$I$42*$AD$42</f>
        <v>0</v>
      </c>
      <c r="AE106" s="13">
        <f>$I$42*$AE$42</f>
        <v>0</v>
      </c>
      <c r="AF106" s="13">
        <f ca="1">$I$42*$AF$42</f>
        <v>0</v>
      </c>
      <c r="AG106" s="13">
        <f ca="1">$I$42*$AG$42</f>
        <v>0</v>
      </c>
      <c r="AI106" s="13">
        <f>$I$42*$AI$42</f>
        <v>0</v>
      </c>
      <c r="AJ106" s="13">
        <f>$I$42*$AJ$42</f>
        <v>0</v>
      </c>
      <c r="AK106" s="13">
        <f>$I$42*$AK$42</f>
        <v>0</v>
      </c>
      <c r="AL106" s="13">
        <f>$I$42*$AL$42</f>
        <v>0</v>
      </c>
      <c r="AM106" s="13">
        <f>$I$42*$AM$42</f>
        <v>0</v>
      </c>
      <c r="AN106" s="13">
        <f>$I$42*$AN$42</f>
        <v>0</v>
      </c>
      <c r="AO106" s="13">
        <f>$I$42*$AO$42</f>
        <v>0</v>
      </c>
      <c r="AP106" s="13">
        <f>$I$42*$AP$42</f>
        <v>0</v>
      </c>
      <c r="AQ106" s="13">
        <f>$I$42*$AQ$42</f>
        <v>0</v>
      </c>
      <c r="AR106" s="13">
        <f>$I$42*$AR$42</f>
        <v>0</v>
      </c>
      <c r="AS106" s="13">
        <f>$I$42*$AS$42</f>
        <v>0</v>
      </c>
      <c r="AT106" s="13">
        <f>$I$42*$AT$42</f>
        <v>0</v>
      </c>
      <c r="AU106" s="13">
        <f>$I$42*$AU$42</f>
        <v>0</v>
      </c>
      <c r="AV106" s="13">
        <f>$I$42*$AV$42</f>
        <v>0</v>
      </c>
      <c r="AW106" s="13">
        <f>$I$42*$AW$42</f>
        <v>0</v>
      </c>
      <c r="AX106" s="13">
        <f>$I$42*$AX$42</f>
        <v>0</v>
      </c>
      <c r="AY106" s="13">
        <f>$I$42*$AY$42</f>
        <v>0</v>
      </c>
      <c r="AZ106" s="13">
        <f>$I$42*$AZ$42</f>
        <v>0</v>
      </c>
      <c r="BA106" s="13">
        <f>$I$42*$BA$42</f>
        <v>0</v>
      </c>
      <c r="BB106" s="13">
        <f>$I$42*$BB$42</f>
        <v>0</v>
      </c>
      <c r="BC106" s="13">
        <f>$I$42*$BC$42</f>
        <v>0</v>
      </c>
      <c r="BD106" s="13">
        <f>$I$42*$BD$42</f>
        <v>0</v>
      </c>
    </row>
    <row r="107" spans="1:56" ht="11.25" customHeight="1" x14ac:dyDescent="0.3">
      <c r="A107" s="9" t="s">
        <v>43</v>
      </c>
      <c r="B107" s="9" t="s">
        <v>1137</v>
      </c>
      <c r="C107" s="9" t="s">
        <v>1138</v>
      </c>
      <c r="D107" s="9" t="s">
        <v>1139</v>
      </c>
      <c r="E107" s="9" t="s">
        <v>1140</v>
      </c>
      <c r="F107" s="9" t="s">
        <v>1141</v>
      </c>
      <c r="G107" s="9" t="s">
        <v>1143</v>
      </c>
      <c r="L107" s="13">
        <f>$I$43*$L$43</f>
        <v>0</v>
      </c>
      <c r="M107" s="13">
        <f>$I$43*$M$43</f>
        <v>0</v>
      </c>
      <c r="N107" s="13">
        <f ca="1">$I$43*$N$43</f>
        <v>0</v>
      </c>
      <c r="O107" s="13">
        <f>$I$43*$O$43</f>
        <v>0</v>
      </c>
      <c r="P107" s="13">
        <f>$I$43*$P$43</f>
        <v>0</v>
      </c>
      <c r="Q107" s="13">
        <f>$I$43*$Q$43</f>
        <v>0</v>
      </c>
      <c r="R107" s="13">
        <f>$I$43*$R$43</f>
        <v>0</v>
      </c>
      <c r="S107" s="13">
        <f>$I$43*$S$43</f>
        <v>0</v>
      </c>
      <c r="T107" s="13">
        <f>$I$43*$T$43</f>
        <v>0</v>
      </c>
      <c r="U107" s="13">
        <f>$I$43*$U$43</f>
        <v>0</v>
      </c>
      <c r="V107" s="13">
        <f>$I$43*$V$43</f>
        <v>0</v>
      </c>
      <c r="W107" s="13">
        <f>$I$43*$W$43</f>
        <v>0</v>
      </c>
      <c r="X107" s="13">
        <f>$I$43*$X$43</f>
        <v>0</v>
      </c>
      <c r="Y107" s="13">
        <f>$I$43*$Y$43</f>
        <v>0</v>
      </c>
      <c r="Z107" s="13">
        <f>$I$43*$Z$43</f>
        <v>0</v>
      </c>
      <c r="AA107" s="13">
        <f>$I$43*$AA$43</f>
        <v>0</v>
      </c>
      <c r="AB107" s="13">
        <f ca="1">$I$43*$AB$43</f>
        <v>0</v>
      </c>
      <c r="AC107" s="13">
        <f ca="1">$I$43*$AC$43</f>
        <v>0</v>
      </c>
      <c r="AD107" s="13">
        <f>$I$43*$AD$43</f>
        <v>0</v>
      </c>
      <c r="AE107" s="13">
        <f>$I$43*$AE$43</f>
        <v>0</v>
      </c>
      <c r="AF107" s="13">
        <f ca="1">$I$43*$AF$43</f>
        <v>0</v>
      </c>
      <c r="AG107" s="13">
        <f ca="1">$I$43*$AG$43</f>
        <v>0</v>
      </c>
      <c r="AI107" s="13">
        <f>$I$43*$AI$43</f>
        <v>0</v>
      </c>
      <c r="AJ107" s="13">
        <f>$I$43*$AJ$43</f>
        <v>0</v>
      </c>
      <c r="AK107" s="13">
        <f>$I$43*$AK$43</f>
        <v>0</v>
      </c>
      <c r="AL107" s="13">
        <f>$I$43*$AL$43</f>
        <v>0</v>
      </c>
      <c r="AM107" s="13">
        <f>$I$43*$AM$43</f>
        <v>0</v>
      </c>
      <c r="AN107" s="13">
        <f>$I$43*$AN$43</f>
        <v>0</v>
      </c>
      <c r="AO107" s="13">
        <f>$I$43*$AO$43</f>
        <v>0</v>
      </c>
      <c r="AP107" s="13">
        <f>$I$43*$AP$43</f>
        <v>0</v>
      </c>
      <c r="AQ107" s="13">
        <f>$I$43*$AQ$43</f>
        <v>0</v>
      </c>
      <c r="AR107" s="13">
        <f>$I$43*$AR$43</f>
        <v>0</v>
      </c>
      <c r="AS107" s="13">
        <f>$I$43*$AS$43</f>
        <v>0</v>
      </c>
      <c r="AT107" s="13">
        <f>$I$43*$AT$43</f>
        <v>0</v>
      </c>
      <c r="AU107" s="13">
        <f>$I$43*$AU$43</f>
        <v>0</v>
      </c>
      <c r="AV107" s="13">
        <f>$I$43*$AV$43</f>
        <v>0</v>
      </c>
      <c r="AW107" s="13">
        <f>$I$43*$AW$43</f>
        <v>0</v>
      </c>
      <c r="AX107" s="13">
        <f>$I$43*$AX$43</f>
        <v>0</v>
      </c>
      <c r="AY107" s="13">
        <f>$I$43*$AY$43</f>
        <v>0</v>
      </c>
      <c r="AZ107" s="13">
        <f>$I$43*$AZ$43</f>
        <v>0</v>
      </c>
      <c r="BA107" s="13">
        <f>$I$43*$BA$43</f>
        <v>0</v>
      </c>
      <c r="BB107" s="13">
        <f>$I$43*$BB$43</f>
        <v>0</v>
      </c>
      <c r="BC107" s="13">
        <f>$I$43*$BC$43</f>
        <v>0</v>
      </c>
      <c r="BD107" s="13">
        <f>$I$43*$BD$43</f>
        <v>0</v>
      </c>
    </row>
    <row r="108" spans="1:56" ht="11.25" customHeight="1" x14ac:dyDescent="0.3">
      <c r="A108" s="9" t="s">
        <v>43</v>
      </c>
      <c r="B108" s="9" t="s">
        <v>1137</v>
      </c>
      <c r="C108" s="9" t="s">
        <v>1138</v>
      </c>
      <c r="D108" s="9" t="s">
        <v>1139</v>
      </c>
      <c r="E108" s="9" t="s">
        <v>1140</v>
      </c>
      <c r="F108" s="9" t="s">
        <v>1141</v>
      </c>
      <c r="G108" s="9" t="s">
        <v>1144</v>
      </c>
      <c r="L108" s="13">
        <f>$I$44*$L$44</f>
        <v>0</v>
      </c>
      <c r="M108" s="13">
        <f>$I$44*$M$44</f>
        <v>0</v>
      </c>
      <c r="N108" s="13">
        <f ca="1">$I$44*$N$44</f>
        <v>0</v>
      </c>
      <c r="O108" s="13">
        <f>$I$44*$O$44</f>
        <v>0</v>
      </c>
      <c r="P108" s="13">
        <f>$I$44*$P$44</f>
        <v>0</v>
      </c>
      <c r="Q108" s="13">
        <f>$I$44*$Q$44</f>
        <v>0</v>
      </c>
      <c r="R108" s="13">
        <f>$I$44*$R$44</f>
        <v>0</v>
      </c>
      <c r="S108" s="13">
        <f>$I$44*$S$44</f>
        <v>0</v>
      </c>
      <c r="T108" s="13">
        <f>$I$44*$T$44</f>
        <v>0</v>
      </c>
      <c r="U108" s="13">
        <f>$I$44*$U$44</f>
        <v>0</v>
      </c>
      <c r="V108" s="13">
        <f>$I$44*$V$44</f>
        <v>0</v>
      </c>
      <c r="W108" s="13">
        <f>$I$44*$W$44</f>
        <v>0</v>
      </c>
      <c r="X108" s="13">
        <f>$I$44*$X$44</f>
        <v>0</v>
      </c>
      <c r="Y108" s="13">
        <f>$I$44*$Y$44</f>
        <v>0</v>
      </c>
      <c r="Z108" s="13">
        <f>$I$44*$Z$44</f>
        <v>0</v>
      </c>
      <c r="AA108" s="13">
        <f>$I$44*$AA$44</f>
        <v>0</v>
      </c>
      <c r="AB108" s="13">
        <f ca="1">$I$44*$AB$44</f>
        <v>0</v>
      </c>
      <c r="AC108" s="13">
        <f ca="1">$I$44*$AC$44</f>
        <v>0</v>
      </c>
      <c r="AD108" s="13">
        <f>$I$44*$AD$44</f>
        <v>0</v>
      </c>
      <c r="AE108" s="13">
        <f>$I$44*$AE$44</f>
        <v>0</v>
      </c>
      <c r="AF108" s="13">
        <f ca="1">$I$44*$AF$44</f>
        <v>0</v>
      </c>
      <c r="AG108" s="13">
        <f ca="1">$I$44*$AG$44</f>
        <v>0</v>
      </c>
      <c r="AI108" s="13">
        <f>$I$44*$AI$44</f>
        <v>0</v>
      </c>
      <c r="AJ108" s="13">
        <f>$I$44*$AJ$44</f>
        <v>0</v>
      </c>
      <c r="AK108" s="13">
        <f>$I$44*$AK$44</f>
        <v>0</v>
      </c>
      <c r="AL108" s="13">
        <f>$I$44*$AL$44</f>
        <v>0</v>
      </c>
      <c r="AM108" s="13">
        <f>$I$44*$AM$44</f>
        <v>0</v>
      </c>
      <c r="AN108" s="13">
        <f>$I$44*$AN$44</f>
        <v>0</v>
      </c>
      <c r="AO108" s="13">
        <f>$I$44*$AO$44</f>
        <v>0</v>
      </c>
      <c r="AP108" s="13">
        <f>$I$44*$AP$44</f>
        <v>0</v>
      </c>
      <c r="AQ108" s="13">
        <f>$I$44*$AQ$44</f>
        <v>0</v>
      </c>
      <c r="AR108" s="13">
        <f>$I$44*$AR$44</f>
        <v>0</v>
      </c>
      <c r="AS108" s="13">
        <f>$I$44*$AS$44</f>
        <v>0</v>
      </c>
      <c r="AT108" s="13">
        <f>$I$44*$AT$44</f>
        <v>0</v>
      </c>
      <c r="AU108" s="13">
        <f>$I$44*$AU$44</f>
        <v>0</v>
      </c>
      <c r="AV108" s="13">
        <f>$I$44*$AV$44</f>
        <v>0</v>
      </c>
      <c r="AW108" s="13">
        <f>$I$44*$AW$44</f>
        <v>0</v>
      </c>
      <c r="AX108" s="13">
        <f>$I$44*$AX$44</f>
        <v>0</v>
      </c>
      <c r="AY108" s="13">
        <f>$I$44*$AY$44</f>
        <v>0</v>
      </c>
      <c r="AZ108" s="13">
        <f>$I$44*$AZ$44</f>
        <v>0</v>
      </c>
      <c r="BA108" s="13">
        <f>$I$44*$BA$44</f>
        <v>0</v>
      </c>
      <c r="BB108" s="13">
        <f>$I$44*$BB$44</f>
        <v>0</v>
      </c>
      <c r="BC108" s="13">
        <f>$I$44*$BC$44</f>
        <v>0</v>
      </c>
      <c r="BD108" s="13">
        <f>$I$44*$BD$44</f>
        <v>0</v>
      </c>
    </row>
    <row r="109" spans="1:56" ht="11.25" customHeight="1" x14ac:dyDescent="0.3">
      <c r="A109" s="9" t="s">
        <v>43</v>
      </c>
      <c r="B109" s="9" t="s">
        <v>1145</v>
      </c>
      <c r="C109" s="9" t="s">
        <v>1146</v>
      </c>
      <c r="D109" s="9" t="s">
        <v>1147</v>
      </c>
      <c r="E109" s="9" t="s">
        <v>1148</v>
      </c>
      <c r="F109" s="9" t="s">
        <v>1149</v>
      </c>
      <c r="G109" s="9" t="s">
        <v>1150</v>
      </c>
      <c r="L109" s="13">
        <f>$I$45*$L$45</f>
        <v>233999.98203854836</v>
      </c>
      <c r="M109" s="13">
        <f>$I$45*$M$45</f>
        <v>16892.070990476943</v>
      </c>
      <c r="N109" s="13">
        <f ca="1">$I$45*$N$45</f>
        <v>61918.610558665765</v>
      </c>
      <c r="O109" s="13">
        <f>$I$45*$O$45</f>
        <v>0</v>
      </c>
      <c r="P109" s="13">
        <f>$I$45*$P$45</f>
        <v>0</v>
      </c>
      <c r="Q109" s="13">
        <f>$I$45*$Q$45</f>
        <v>2055412.3088837219</v>
      </c>
      <c r="R109" s="13">
        <f>$I$45*$R$45</f>
        <v>338846.82122079702</v>
      </c>
      <c r="S109" s="13">
        <f>$I$45*$S$45</f>
        <v>0</v>
      </c>
      <c r="T109" s="13">
        <f>$I$45*$T$45</f>
        <v>691087.32956204773</v>
      </c>
      <c r="U109" s="13">
        <f>$I$45*$U$45</f>
        <v>325612.47386691754</v>
      </c>
      <c r="V109" s="13">
        <f>$I$45*$V$45</f>
        <v>0</v>
      </c>
      <c r="W109" s="13">
        <f>$I$45*$W$45</f>
        <v>0</v>
      </c>
      <c r="X109" s="13">
        <f>$I$45*$X$45</f>
        <v>0</v>
      </c>
      <c r="Y109" s="13">
        <f>$I$45*$Y$45</f>
        <v>0</v>
      </c>
      <c r="Z109" s="13">
        <f>$I$45*$Z$45</f>
        <v>0</v>
      </c>
      <c r="AA109" s="13">
        <f>$I$45*$AA$45</f>
        <v>4138935.3974281177</v>
      </c>
      <c r="AB109" s="13">
        <f ca="1">$I$45*$AB$45</f>
        <v>-328410.5447170749</v>
      </c>
      <c r="AC109" s="13">
        <f ca="1">$I$45*$AC$45</f>
        <v>0</v>
      </c>
      <c r="AD109" s="13">
        <f>$I$45*$AD$45</f>
        <v>402258.70307432744</v>
      </c>
      <c r="AE109" s="13">
        <f>$I$45*$AE$45</f>
        <v>11836.982435988728</v>
      </c>
      <c r="AF109" s="13">
        <f ca="1">$I$45*$AF$45</f>
        <v>26989.066230568082</v>
      </c>
      <c r="AG109" s="13">
        <f ca="1">$I$45*$AG$45</f>
        <v>6277.2738165079809</v>
      </c>
      <c r="AI109" s="13">
        <f>$I$45*$AI$45</f>
        <v>200099.25177594126</v>
      </c>
      <c r="AJ109" s="13">
        <f>$I$45*$AJ$45</f>
        <v>14711.565904054187</v>
      </c>
      <c r="AK109" s="13">
        <f>$I$45*$AK$45</f>
        <v>52366.818378712545</v>
      </c>
      <c r="AL109" s="13">
        <f>$I$45*$AL$45</f>
        <v>0</v>
      </c>
      <c r="AM109" s="13">
        <f>$I$45*$AM$45</f>
        <v>0</v>
      </c>
      <c r="AN109" s="13">
        <f>$I$45*$AN$45</f>
        <v>904952.18633911049</v>
      </c>
      <c r="AO109" s="13">
        <f>$I$45*$AO$45</f>
        <v>197660.2784175062</v>
      </c>
      <c r="AP109" s="13">
        <f>$I$45*$AP$45</f>
        <v>0</v>
      </c>
      <c r="AQ109" s="13">
        <f>$I$45*$AQ$45</f>
        <v>508725.07369082264</v>
      </c>
      <c r="AR109" s="13">
        <f>$I$45*$AR$45</f>
        <v>271925.12652330921</v>
      </c>
      <c r="AS109" s="13">
        <f>$I$45*$AS$45</f>
        <v>0</v>
      </c>
      <c r="AT109" s="13">
        <f>$I$45*$AT$45</f>
        <v>0</v>
      </c>
      <c r="AU109" s="13">
        <f>$I$45*$AU$45</f>
        <v>0</v>
      </c>
      <c r="AV109" s="13">
        <f>$I$45*$AV$45</f>
        <v>0</v>
      </c>
      <c r="AW109" s="13">
        <f>$I$45*$AW$45</f>
        <v>0</v>
      </c>
      <c r="AX109" s="13">
        <f>$I$45*$AX$45</f>
        <v>3634647.4820763492</v>
      </c>
      <c r="AY109" s="13">
        <f>$I$45*$AY$45</f>
        <v>-355366.58526467124</v>
      </c>
      <c r="AZ109" s="13">
        <f>$I$45*$AZ$45</f>
        <v>0</v>
      </c>
      <c r="BA109" s="13">
        <f>$I$45*$BA$45</f>
        <v>406910.60944210488</v>
      </c>
      <c r="BB109" s="13">
        <f>$I$45*$BB$45</f>
        <v>10785.356888405331</v>
      </c>
      <c r="BC109" s="13">
        <f>$I$45*$BC$45</f>
        <v>27362.236836923767</v>
      </c>
      <c r="BD109" s="13">
        <f>$I$45*$BD$45</f>
        <v>9502.7651832875363</v>
      </c>
    </row>
    <row r="110" spans="1:56" ht="11.25" customHeight="1" x14ac:dyDescent="0.3">
      <c r="A110" s="9" t="s">
        <v>43</v>
      </c>
      <c r="B110" s="9" t="s">
        <v>1137</v>
      </c>
      <c r="C110" s="9" t="s">
        <v>1138</v>
      </c>
      <c r="D110" s="9" t="s">
        <v>1151</v>
      </c>
      <c r="E110" s="9" t="s">
        <v>1152</v>
      </c>
      <c r="F110" s="9" t="s">
        <v>1153</v>
      </c>
      <c r="G110" s="9" t="s">
        <v>1154</v>
      </c>
      <c r="L110" s="13">
        <f>$I$46*$L$46</f>
        <v>0</v>
      </c>
      <c r="M110" s="13">
        <f>$I$46*$M$46</f>
        <v>0</v>
      </c>
      <c r="N110" s="13">
        <f ca="1">$I$46*$N$46</f>
        <v>0</v>
      </c>
      <c r="O110" s="13">
        <f>$I$46*$O$46</f>
        <v>0</v>
      </c>
      <c r="P110" s="13">
        <f>$I$46*$P$46</f>
        <v>0</v>
      </c>
      <c r="Q110" s="13">
        <f>$I$46*$Q$46</f>
        <v>0</v>
      </c>
      <c r="R110" s="13">
        <f>$I$46*$R$46</f>
        <v>0</v>
      </c>
      <c r="S110" s="13">
        <f>$I$46*$S$46</f>
        <v>0</v>
      </c>
      <c r="T110" s="13">
        <f>$I$46*$T$46</f>
        <v>0</v>
      </c>
      <c r="U110" s="13">
        <f>$I$46*$U$46</f>
        <v>0</v>
      </c>
      <c r="V110" s="13">
        <f>$I$46*$V$46</f>
        <v>0</v>
      </c>
      <c r="W110" s="13">
        <f>$I$46*$W$46</f>
        <v>0</v>
      </c>
      <c r="X110" s="13">
        <f>$I$46*$X$46</f>
        <v>0</v>
      </c>
      <c r="Y110" s="13">
        <f>$I$46*$Y$46</f>
        <v>0</v>
      </c>
      <c r="Z110" s="13">
        <f>$I$46*$Z$46</f>
        <v>0</v>
      </c>
      <c r="AA110" s="13">
        <f>$I$46*$AA$46</f>
        <v>0</v>
      </c>
      <c r="AB110" s="13">
        <f ca="1">$I$46*$AB$46</f>
        <v>0</v>
      </c>
      <c r="AC110" s="13">
        <f ca="1">$I$46*$AC$46</f>
        <v>0</v>
      </c>
      <c r="AD110" s="13">
        <f>$I$46*$AD$46</f>
        <v>0</v>
      </c>
      <c r="AE110" s="13">
        <f>$I$46*$AE$46</f>
        <v>0</v>
      </c>
      <c r="AF110" s="13">
        <f ca="1">$I$46*$AF$46</f>
        <v>0</v>
      </c>
      <c r="AG110" s="13">
        <f ca="1">$I$46*$AG$46</f>
        <v>0</v>
      </c>
      <c r="AI110" s="13">
        <f>$I$46*$AI$46</f>
        <v>0</v>
      </c>
      <c r="AJ110" s="13">
        <f>$I$46*$AJ$46</f>
        <v>0</v>
      </c>
      <c r="AK110" s="13">
        <f>$I$46*$AK$46</f>
        <v>0</v>
      </c>
      <c r="AL110" s="13">
        <f>$I$46*$AL$46</f>
        <v>0</v>
      </c>
      <c r="AM110" s="13">
        <f>$I$46*$AM$46</f>
        <v>0</v>
      </c>
      <c r="AN110" s="13">
        <f>$I$46*$AN$46</f>
        <v>0</v>
      </c>
      <c r="AO110" s="13">
        <f>$I$46*$AO$46</f>
        <v>0</v>
      </c>
      <c r="AP110" s="13">
        <f>$I$46*$AP$46</f>
        <v>0</v>
      </c>
      <c r="AQ110" s="13">
        <f>$I$46*$AQ$46</f>
        <v>0</v>
      </c>
      <c r="AR110" s="13">
        <f>$I$46*$AR$46</f>
        <v>0</v>
      </c>
      <c r="AS110" s="13">
        <f>$I$46*$AS$46</f>
        <v>0</v>
      </c>
      <c r="AT110" s="13">
        <f>$I$46*$AT$46</f>
        <v>0</v>
      </c>
      <c r="AU110" s="13">
        <f>$I$46*$AU$46</f>
        <v>0</v>
      </c>
      <c r="AV110" s="13">
        <f>$I$46*$AV$46</f>
        <v>0</v>
      </c>
      <c r="AW110" s="13">
        <f>$I$46*$AW$46</f>
        <v>0</v>
      </c>
      <c r="AX110" s="13">
        <f>$I$46*$AX$46</f>
        <v>0</v>
      </c>
      <c r="AY110" s="13">
        <f>$I$46*$AY$46</f>
        <v>0</v>
      </c>
      <c r="AZ110" s="13">
        <f>$I$46*$AZ$46</f>
        <v>0</v>
      </c>
      <c r="BA110" s="13">
        <f>$I$46*$BA$46</f>
        <v>0</v>
      </c>
      <c r="BB110" s="13">
        <f>$I$46*$BB$46</f>
        <v>0</v>
      </c>
      <c r="BC110" s="13">
        <f>$I$46*$BC$46</f>
        <v>0</v>
      </c>
      <c r="BD110" s="13">
        <f>$I$46*$BD$46</f>
        <v>0</v>
      </c>
    </row>
    <row r="111" spans="1:56" ht="11.25" customHeight="1" x14ac:dyDescent="0.3">
      <c r="A111" s="9" t="s">
        <v>43</v>
      </c>
      <c r="B111" s="9" t="s">
        <v>1137</v>
      </c>
      <c r="C111" s="9" t="s">
        <v>1138</v>
      </c>
      <c r="D111" s="9" t="s">
        <v>1151</v>
      </c>
      <c r="E111" s="9" t="s">
        <v>1152</v>
      </c>
      <c r="F111" s="9" t="s">
        <v>1153</v>
      </c>
      <c r="G111" s="9" t="s">
        <v>1155</v>
      </c>
      <c r="L111" s="13">
        <f>$I$47*$L$47</f>
        <v>0</v>
      </c>
      <c r="M111" s="13">
        <f>$I$47*$M$47</f>
        <v>0</v>
      </c>
      <c r="N111" s="13">
        <f ca="1">$I$47*$N$47</f>
        <v>0</v>
      </c>
      <c r="O111" s="13">
        <f>$I$47*$O$47</f>
        <v>0</v>
      </c>
      <c r="P111" s="13">
        <f>$I$47*$P$47</f>
        <v>0</v>
      </c>
      <c r="Q111" s="13">
        <f>$I$47*$Q$47</f>
        <v>0</v>
      </c>
      <c r="R111" s="13">
        <f>$I$47*$R$47</f>
        <v>0</v>
      </c>
      <c r="S111" s="13">
        <f>$I$47*$S$47</f>
        <v>0</v>
      </c>
      <c r="T111" s="13">
        <f>$I$47*$T$47</f>
        <v>0</v>
      </c>
      <c r="U111" s="13">
        <f>$I$47*$U$47</f>
        <v>0</v>
      </c>
      <c r="V111" s="13">
        <f>$I$47*$V$47</f>
        <v>0</v>
      </c>
      <c r="W111" s="13">
        <f>$I$47*$W$47</f>
        <v>0</v>
      </c>
      <c r="X111" s="13">
        <f>$I$47*$X$47</f>
        <v>0</v>
      </c>
      <c r="Y111" s="13">
        <f>$I$47*$Y$47</f>
        <v>0</v>
      </c>
      <c r="Z111" s="13">
        <f>$I$47*$Z$47</f>
        <v>0</v>
      </c>
      <c r="AA111" s="13">
        <f>$I$47*$AA$47</f>
        <v>0</v>
      </c>
      <c r="AB111" s="13">
        <f ca="1">$I$47*$AB$47</f>
        <v>0</v>
      </c>
      <c r="AC111" s="13">
        <f ca="1">$I$47*$AC$47</f>
        <v>0</v>
      </c>
      <c r="AD111" s="13">
        <f>$I$47*$AD$47</f>
        <v>0</v>
      </c>
      <c r="AE111" s="13">
        <f>$I$47*$AE$47</f>
        <v>0</v>
      </c>
      <c r="AF111" s="13">
        <f ca="1">$I$47*$AF$47</f>
        <v>0</v>
      </c>
      <c r="AG111" s="13">
        <f ca="1">$I$47*$AG$47</f>
        <v>0</v>
      </c>
      <c r="AI111" s="13">
        <f>$I$47*$AI$47</f>
        <v>0</v>
      </c>
      <c r="AJ111" s="13">
        <f>$I$47*$AJ$47</f>
        <v>0</v>
      </c>
      <c r="AK111" s="13">
        <f>$I$47*$AK$47</f>
        <v>0</v>
      </c>
      <c r="AL111" s="13">
        <f>$I$47*$AL$47</f>
        <v>0</v>
      </c>
      <c r="AM111" s="13">
        <f>$I$47*$AM$47</f>
        <v>0</v>
      </c>
      <c r="AN111" s="13">
        <f>$I$47*$AN$47</f>
        <v>0</v>
      </c>
      <c r="AO111" s="13">
        <f>$I$47*$AO$47</f>
        <v>0</v>
      </c>
      <c r="AP111" s="13">
        <f>$I$47*$AP$47</f>
        <v>0</v>
      </c>
      <c r="AQ111" s="13">
        <f>$I$47*$AQ$47</f>
        <v>0</v>
      </c>
      <c r="AR111" s="13">
        <f>$I$47*$AR$47</f>
        <v>0</v>
      </c>
      <c r="AS111" s="13">
        <f>$I$47*$AS$47</f>
        <v>0</v>
      </c>
      <c r="AT111" s="13">
        <f>$I$47*$AT$47</f>
        <v>0</v>
      </c>
      <c r="AU111" s="13">
        <f>$I$47*$AU$47</f>
        <v>0</v>
      </c>
      <c r="AV111" s="13">
        <f>$I$47*$AV$47</f>
        <v>0</v>
      </c>
      <c r="AW111" s="13">
        <f>$I$47*$AW$47</f>
        <v>0</v>
      </c>
      <c r="AX111" s="13">
        <f>$I$47*$AX$47</f>
        <v>0</v>
      </c>
      <c r="AY111" s="13">
        <f>$I$47*$AY$47</f>
        <v>0</v>
      </c>
      <c r="AZ111" s="13">
        <f>$I$47*$AZ$47</f>
        <v>0</v>
      </c>
      <c r="BA111" s="13">
        <f>$I$47*$BA$47</f>
        <v>0</v>
      </c>
      <c r="BB111" s="13">
        <f>$I$47*$BB$47</f>
        <v>0</v>
      </c>
      <c r="BC111" s="13">
        <f>$I$47*$BC$47</f>
        <v>0</v>
      </c>
      <c r="BD111" s="13">
        <f>$I$47*$BD$47</f>
        <v>0</v>
      </c>
    </row>
    <row r="112" spans="1:56" ht="11.25" customHeight="1" x14ac:dyDescent="0.3">
      <c r="A112" s="9" t="s">
        <v>43</v>
      </c>
      <c r="B112" s="9" t="s">
        <v>1137</v>
      </c>
      <c r="C112" s="9" t="s">
        <v>1138</v>
      </c>
      <c r="D112" s="9" t="s">
        <v>1151</v>
      </c>
      <c r="E112" s="9" t="s">
        <v>1152</v>
      </c>
      <c r="F112" s="9" t="s">
        <v>1153</v>
      </c>
      <c r="G112" s="9" t="s">
        <v>1156</v>
      </c>
      <c r="L112" s="13">
        <f>$I$48*$L$48</f>
        <v>0</v>
      </c>
      <c r="M112" s="13">
        <f>$I$48*$M$48</f>
        <v>0</v>
      </c>
      <c r="N112" s="13">
        <f ca="1">$I$48*$N$48</f>
        <v>0</v>
      </c>
      <c r="O112" s="13">
        <f>$I$48*$O$48</f>
        <v>0</v>
      </c>
      <c r="P112" s="13">
        <f>$I$48*$P$48</f>
        <v>0</v>
      </c>
      <c r="Q112" s="13">
        <f>$I$48*$Q$48</f>
        <v>0</v>
      </c>
      <c r="R112" s="13">
        <f>$I$48*$R$48</f>
        <v>0</v>
      </c>
      <c r="S112" s="13">
        <f>$I$48*$S$48</f>
        <v>0</v>
      </c>
      <c r="T112" s="13">
        <f>$I$48*$T$48</f>
        <v>0</v>
      </c>
      <c r="U112" s="13">
        <f>$I$48*$U$48</f>
        <v>0</v>
      </c>
      <c r="V112" s="13">
        <f>$I$48*$V$48</f>
        <v>0</v>
      </c>
      <c r="W112" s="13">
        <f>$I$48*$W$48</f>
        <v>0</v>
      </c>
      <c r="X112" s="13">
        <f>$I$48*$X$48</f>
        <v>0</v>
      </c>
      <c r="Y112" s="13">
        <f>$I$48*$Y$48</f>
        <v>0</v>
      </c>
      <c r="Z112" s="13">
        <f>$I$48*$Z$48</f>
        <v>0</v>
      </c>
      <c r="AA112" s="13">
        <f>$I$48*$AA$48</f>
        <v>0</v>
      </c>
      <c r="AB112" s="13">
        <f ca="1">$I$48*$AB$48</f>
        <v>0</v>
      </c>
      <c r="AC112" s="13">
        <f ca="1">$I$48*$AC$48</f>
        <v>0</v>
      </c>
      <c r="AD112" s="13">
        <f>$I$48*$AD$48</f>
        <v>0</v>
      </c>
      <c r="AE112" s="13">
        <f>$I$48*$AE$48</f>
        <v>0</v>
      </c>
      <c r="AF112" s="13">
        <f ca="1">$I$48*$AF$48</f>
        <v>0</v>
      </c>
      <c r="AG112" s="13">
        <f ca="1">$I$48*$AG$48</f>
        <v>0</v>
      </c>
      <c r="AI112" s="13">
        <f>$I$48*$AI$48</f>
        <v>0</v>
      </c>
      <c r="AJ112" s="13">
        <f>$I$48*$AJ$48</f>
        <v>0</v>
      </c>
      <c r="AK112" s="13">
        <f>$I$48*$AK$48</f>
        <v>0</v>
      </c>
      <c r="AL112" s="13">
        <f>$I$48*$AL$48</f>
        <v>0</v>
      </c>
      <c r="AM112" s="13">
        <f>$I$48*$AM$48</f>
        <v>0</v>
      </c>
      <c r="AN112" s="13">
        <f>$I$48*$AN$48</f>
        <v>0</v>
      </c>
      <c r="AO112" s="13">
        <f>$I$48*$AO$48</f>
        <v>0</v>
      </c>
      <c r="AP112" s="13">
        <f>$I$48*$AP$48</f>
        <v>0</v>
      </c>
      <c r="AQ112" s="13">
        <f>$I$48*$AQ$48</f>
        <v>0</v>
      </c>
      <c r="AR112" s="13">
        <f>$I$48*$AR$48</f>
        <v>0</v>
      </c>
      <c r="AS112" s="13">
        <f>$I$48*$AS$48</f>
        <v>0</v>
      </c>
      <c r="AT112" s="13">
        <f>$I$48*$AT$48</f>
        <v>0</v>
      </c>
      <c r="AU112" s="13">
        <f>$I$48*$AU$48</f>
        <v>0</v>
      </c>
      <c r="AV112" s="13">
        <f>$I$48*$AV$48</f>
        <v>0</v>
      </c>
      <c r="AW112" s="13">
        <f>$I$48*$AW$48</f>
        <v>0</v>
      </c>
      <c r="AX112" s="13">
        <f>$I$48*$AX$48</f>
        <v>0</v>
      </c>
      <c r="AY112" s="13">
        <f>$I$48*$AY$48</f>
        <v>0</v>
      </c>
      <c r="AZ112" s="13">
        <f>$I$48*$AZ$48</f>
        <v>0</v>
      </c>
      <c r="BA112" s="13">
        <f>$I$48*$BA$48</f>
        <v>0</v>
      </c>
      <c r="BB112" s="13">
        <f>$I$48*$BB$48</f>
        <v>0</v>
      </c>
      <c r="BC112" s="13">
        <f>$I$48*$BC$48</f>
        <v>0</v>
      </c>
      <c r="BD112" s="13">
        <f>$I$48*$BD$48</f>
        <v>0</v>
      </c>
    </row>
    <row r="113" spans="1:56" ht="11.25" customHeight="1" x14ac:dyDescent="0.3">
      <c r="A113" s="9" t="s">
        <v>43</v>
      </c>
      <c r="B113" s="9" t="s">
        <v>1145</v>
      </c>
      <c r="C113" s="9" t="s">
        <v>1146</v>
      </c>
      <c r="D113" s="9" t="s">
        <v>1157</v>
      </c>
      <c r="E113" s="9" t="s">
        <v>1158</v>
      </c>
      <c r="F113" s="9" t="s">
        <v>1159</v>
      </c>
      <c r="G113" s="9" t="s">
        <v>1160</v>
      </c>
      <c r="L113" s="13">
        <f>$I$49*$L$49</f>
        <v>0</v>
      </c>
      <c r="M113" s="13">
        <f>$I$49*$M$49</f>
        <v>0</v>
      </c>
      <c r="N113" s="13">
        <f ca="1">$I$49*$N$49</f>
        <v>0</v>
      </c>
      <c r="O113" s="13">
        <f>$I$49*$O$49</f>
        <v>0</v>
      </c>
      <c r="P113" s="13">
        <f>$I$49*$P$49</f>
        <v>0</v>
      </c>
      <c r="Q113" s="13">
        <f>$I$49*$Q$49</f>
        <v>0</v>
      </c>
      <c r="R113" s="13">
        <f>$I$49*$R$49</f>
        <v>0</v>
      </c>
      <c r="S113" s="13">
        <f>$I$49*$S$49</f>
        <v>0</v>
      </c>
      <c r="T113" s="13">
        <f>$I$49*$T$49</f>
        <v>0</v>
      </c>
      <c r="U113" s="13">
        <f>$I$49*$U$49</f>
        <v>0</v>
      </c>
      <c r="V113" s="13">
        <f>$I$49*$V$49</f>
        <v>0</v>
      </c>
      <c r="W113" s="13">
        <f>$I$49*$W$49</f>
        <v>0</v>
      </c>
      <c r="X113" s="13">
        <f>$I$49*$X$49</f>
        <v>0</v>
      </c>
      <c r="Y113" s="13">
        <f>$I$49*$Y$49</f>
        <v>0</v>
      </c>
      <c r="Z113" s="13">
        <f>$I$49*$Z$49</f>
        <v>0</v>
      </c>
      <c r="AA113" s="13">
        <f>$I$49*$AA$49</f>
        <v>0</v>
      </c>
      <c r="AB113" s="13">
        <f ca="1">$I$49*$AB$49</f>
        <v>0</v>
      </c>
      <c r="AC113" s="13">
        <f ca="1">$I$49*$AC$49</f>
        <v>0</v>
      </c>
      <c r="AD113" s="13">
        <f>$I$49*$AD$49</f>
        <v>0</v>
      </c>
      <c r="AE113" s="13">
        <f>$I$49*$AE$49</f>
        <v>0</v>
      </c>
      <c r="AF113" s="13">
        <f ca="1">$I$49*$AF$49</f>
        <v>0</v>
      </c>
      <c r="AG113" s="13">
        <f ca="1">$I$49*$AG$49</f>
        <v>0</v>
      </c>
      <c r="AI113" s="13">
        <f>$I$49*$AI$49</f>
        <v>0</v>
      </c>
      <c r="AJ113" s="13">
        <f>$I$49*$AJ$49</f>
        <v>0</v>
      </c>
      <c r="AK113" s="13">
        <f>$I$49*$AK$49</f>
        <v>0</v>
      </c>
      <c r="AL113" s="13">
        <f>$I$49*$AL$49</f>
        <v>0</v>
      </c>
      <c r="AM113" s="13">
        <f>$I$49*$AM$49</f>
        <v>0</v>
      </c>
      <c r="AN113" s="13">
        <f>$I$49*$AN$49</f>
        <v>0</v>
      </c>
      <c r="AO113" s="13">
        <f>$I$49*$AO$49</f>
        <v>0</v>
      </c>
      <c r="AP113" s="13">
        <f>$I$49*$AP$49</f>
        <v>0</v>
      </c>
      <c r="AQ113" s="13">
        <f>$I$49*$AQ$49</f>
        <v>0</v>
      </c>
      <c r="AR113" s="13">
        <f>$I$49*$AR$49</f>
        <v>0</v>
      </c>
      <c r="AS113" s="13">
        <f>$I$49*$AS$49</f>
        <v>0</v>
      </c>
      <c r="AT113" s="13">
        <f>$I$49*$AT$49</f>
        <v>0</v>
      </c>
      <c r="AU113" s="13">
        <f>$I$49*$AU$49</f>
        <v>0</v>
      </c>
      <c r="AV113" s="13">
        <f>$I$49*$AV$49</f>
        <v>0</v>
      </c>
      <c r="AW113" s="13">
        <f>$I$49*$AW$49</f>
        <v>0</v>
      </c>
      <c r="AX113" s="13">
        <f>$I$49*$AX$49</f>
        <v>0</v>
      </c>
      <c r="AY113" s="13">
        <f>$I$49*$AY$49</f>
        <v>0</v>
      </c>
      <c r="AZ113" s="13">
        <f>$I$49*$AZ$49</f>
        <v>0</v>
      </c>
      <c r="BA113" s="13">
        <f>$I$49*$BA$49</f>
        <v>0</v>
      </c>
      <c r="BB113" s="13">
        <f>$I$49*$BB$49</f>
        <v>0</v>
      </c>
      <c r="BC113" s="13">
        <f>$I$49*$BC$49</f>
        <v>0</v>
      </c>
      <c r="BD113" s="13">
        <f>$I$49*$BD$49</f>
        <v>0</v>
      </c>
    </row>
    <row r="114" spans="1:56" ht="11.25" customHeight="1" x14ac:dyDescent="0.3">
      <c r="A114" s="9" t="s">
        <v>43</v>
      </c>
      <c r="B114" s="9" t="s">
        <v>1137</v>
      </c>
      <c r="C114" s="9" t="s">
        <v>1138</v>
      </c>
      <c r="D114" s="9" t="s">
        <v>1161</v>
      </c>
      <c r="E114" s="9" t="s">
        <v>1162</v>
      </c>
      <c r="F114" s="9" t="s">
        <v>1163</v>
      </c>
      <c r="G114" s="9" t="s">
        <v>1164</v>
      </c>
      <c r="L114" s="13">
        <f>$I$50*$L$50</f>
        <v>0</v>
      </c>
      <c r="M114" s="13">
        <f>$I$50*$M$50</f>
        <v>0</v>
      </c>
      <c r="N114" s="13">
        <f ca="1">$I$50*$N$50</f>
        <v>0</v>
      </c>
      <c r="O114" s="13">
        <f>$I$50*$O$50</f>
        <v>0</v>
      </c>
      <c r="P114" s="13">
        <f>$I$50*$P$50</f>
        <v>0</v>
      </c>
      <c r="Q114" s="13">
        <f>$I$50*$Q$50</f>
        <v>0</v>
      </c>
      <c r="R114" s="13">
        <f>$I$50*$R$50</f>
        <v>0</v>
      </c>
      <c r="S114" s="13">
        <f>$I$50*$S$50</f>
        <v>0</v>
      </c>
      <c r="T114" s="13">
        <f>$I$50*$T$50</f>
        <v>0</v>
      </c>
      <c r="U114" s="13">
        <f>$I$50*$U$50</f>
        <v>0</v>
      </c>
      <c r="V114" s="13">
        <f>$I$50*$V$50</f>
        <v>0</v>
      </c>
      <c r="W114" s="13">
        <f>$I$50*$W$50</f>
        <v>0</v>
      </c>
      <c r="X114" s="13">
        <f>$I$50*$X$50</f>
        <v>0</v>
      </c>
      <c r="Y114" s="13">
        <f>$I$50*$Y$50</f>
        <v>0</v>
      </c>
      <c r="Z114" s="13">
        <f>$I$50*$Z$50</f>
        <v>0</v>
      </c>
      <c r="AA114" s="13">
        <f>$I$50*$AA$50</f>
        <v>0</v>
      </c>
      <c r="AB114" s="13">
        <f ca="1">$I$50*$AB$50</f>
        <v>0</v>
      </c>
      <c r="AC114" s="13">
        <f ca="1">$I$50*$AC$50</f>
        <v>0</v>
      </c>
      <c r="AD114" s="13">
        <f>$I$50*$AD$50</f>
        <v>0</v>
      </c>
      <c r="AE114" s="13">
        <f>$I$50*$AE$50</f>
        <v>0</v>
      </c>
      <c r="AF114" s="13">
        <f ca="1">$I$50*$AF$50</f>
        <v>0</v>
      </c>
      <c r="AG114" s="13">
        <f ca="1">$I$50*$AG$50</f>
        <v>0</v>
      </c>
      <c r="AI114" s="13">
        <f>$I$50*$AI$50</f>
        <v>0</v>
      </c>
      <c r="AJ114" s="13">
        <f>$I$50*$AJ$50</f>
        <v>0</v>
      </c>
      <c r="AK114" s="13">
        <f>$I$50*$AK$50</f>
        <v>0</v>
      </c>
      <c r="AL114" s="13">
        <f>$I$50*$AL$50</f>
        <v>0</v>
      </c>
      <c r="AM114" s="13">
        <f>$I$50*$AM$50</f>
        <v>0</v>
      </c>
      <c r="AN114" s="13">
        <f>$I$50*$AN$50</f>
        <v>0</v>
      </c>
      <c r="AO114" s="13">
        <f>$I$50*$AO$50</f>
        <v>0</v>
      </c>
      <c r="AP114" s="13">
        <f>$I$50*$AP$50</f>
        <v>0</v>
      </c>
      <c r="AQ114" s="13">
        <f>$I$50*$AQ$50</f>
        <v>0</v>
      </c>
      <c r="AR114" s="13">
        <f>$I$50*$AR$50</f>
        <v>0</v>
      </c>
      <c r="AS114" s="13">
        <f>$I$50*$AS$50</f>
        <v>0</v>
      </c>
      <c r="AT114" s="13">
        <f>$I$50*$AT$50</f>
        <v>0</v>
      </c>
      <c r="AU114" s="13">
        <f>$I$50*$AU$50</f>
        <v>0</v>
      </c>
      <c r="AV114" s="13">
        <f>$I$50*$AV$50</f>
        <v>0</v>
      </c>
      <c r="AW114" s="13">
        <f>$I$50*$AW$50</f>
        <v>0</v>
      </c>
      <c r="AX114" s="13">
        <f>$I$50*$AX$50</f>
        <v>0</v>
      </c>
      <c r="AY114" s="13">
        <f>$I$50*$AY$50</f>
        <v>0</v>
      </c>
      <c r="AZ114" s="13">
        <f>$I$50*$AZ$50</f>
        <v>0</v>
      </c>
      <c r="BA114" s="13">
        <f>$I$50*$BA$50</f>
        <v>0</v>
      </c>
      <c r="BB114" s="13">
        <f>$I$50*$BB$50</f>
        <v>0</v>
      </c>
      <c r="BC114" s="13">
        <f>$I$50*$BC$50</f>
        <v>0</v>
      </c>
      <c r="BD114" s="13">
        <f>$I$50*$BD$50</f>
        <v>0</v>
      </c>
    </row>
    <row r="115" spans="1:56" ht="11.25" customHeight="1" x14ac:dyDescent="0.3">
      <c r="A115" s="9" t="s">
        <v>43</v>
      </c>
      <c r="B115" s="9" t="s">
        <v>1137</v>
      </c>
      <c r="C115" s="9" t="s">
        <v>1138</v>
      </c>
      <c r="D115" s="9" t="s">
        <v>1161</v>
      </c>
      <c r="E115" s="9" t="s">
        <v>1162</v>
      </c>
      <c r="F115" s="9" t="s">
        <v>1163</v>
      </c>
      <c r="G115" s="9" t="s">
        <v>1165</v>
      </c>
      <c r="L115" s="13">
        <f>$I$51*$L$51</f>
        <v>0</v>
      </c>
      <c r="M115" s="13">
        <f>$I$51*$M$51</f>
        <v>0</v>
      </c>
      <c r="N115" s="13">
        <f ca="1">$I$51*$N$51</f>
        <v>0</v>
      </c>
      <c r="O115" s="13">
        <f>$I$51*$O$51</f>
        <v>0</v>
      </c>
      <c r="P115" s="13">
        <f>$I$51*$P$51</f>
        <v>0</v>
      </c>
      <c r="Q115" s="13">
        <f>$I$51*$Q$51</f>
        <v>0</v>
      </c>
      <c r="R115" s="13">
        <f>$I$51*$R$51</f>
        <v>0</v>
      </c>
      <c r="S115" s="13">
        <f>$I$51*$S$51</f>
        <v>0</v>
      </c>
      <c r="T115" s="13">
        <f>$I$51*$T$51</f>
        <v>0</v>
      </c>
      <c r="U115" s="13">
        <f>$I$51*$U$51</f>
        <v>0</v>
      </c>
      <c r="V115" s="13">
        <f>$I$51*$V$51</f>
        <v>0</v>
      </c>
      <c r="W115" s="13">
        <f>$I$51*$W$51</f>
        <v>0</v>
      </c>
      <c r="X115" s="13">
        <f>$I$51*$X$51</f>
        <v>0</v>
      </c>
      <c r="Y115" s="13">
        <f>$I$51*$Y$51</f>
        <v>0</v>
      </c>
      <c r="Z115" s="13">
        <f>$I$51*$Z$51</f>
        <v>0</v>
      </c>
      <c r="AA115" s="13">
        <f>$I$51*$AA$51</f>
        <v>0</v>
      </c>
      <c r="AB115" s="13">
        <f ca="1">$I$51*$AB$51</f>
        <v>0</v>
      </c>
      <c r="AC115" s="13">
        <f ca="1">$I$51*$AC$51</f>
        <v>0</v>
      </c>
      <c r="AD115" s="13">
        <f>$I$51*$AD$51</f>
        <v>0</v>
      </c>
      <c r="AE115" s="13">
        <f>$I$51*$AE$51</f>
        <v>0</v>
      </c>
      <c r="AF115" s="13">
        <f ca="1">$I$51*$AF$51</f>
        <v>0</v>
      </c>
      <c r="AG115" s="13">
        <f ca="1">$I$51*$AG$51</f>
        <v>0</v>
      </c>
      <c r="AI115" s="13">
        <f>$I$51*$AI$51</f>
        <v>0</v>
      </c>
      <c r="AJ115" s="13">
        <f>$I$51*$AJ$51</f>
        <v>0</v>
      </c>
      <c r="AK115" s="13">
        <f>$I$51*$AK$51</f>
        <v>0</v>
      </c>
      <c r="AL115" s="13">
        <f>$I$51*$AL$51</f>
        <v>0</v>
      </c>
      <c r="AM115" s="13">
        <f>$I$51*$AM$51</f>
        <v>0</v>
      </c>
      <c r="AN115" s="13">
        <f>$I$51*$AN$51</f>
        <v>0</v>
      </c>
      <c r="AO115" s="13">
        <f>$I$51*$AO$51</f>
        <v>0</v>
      </c>
      <c r="AP115" s="13">
        <f>$I$51*$AP$51</f>
        <v>0</v>
      </c>
      <c r="AQ115" s="13">
        <f>$I$51*$AQ$51</f>
        <v>0</v>
      </c>
      <c r="AR115" s="13">
        <f>$I$51*$AR$51</f>
        <v>0</v>
      </c>
      <c r="AS115" s="13">
        <f>$I$51*$AS$51</f>
        <v>0</v>
      </c>
      <c r="AT115" s="13">
        <f>$I$51*$AT$51</f>
        <v>0</v>
      </c>
      <c r="AU115" s="13">
        <f>$I$51*$AU$51</f>
        <v>0</v>
      </c>
      <c r="AV115" s="13">
        <f>$I$51*$AV$51</f>
        <v>0</v>
      </c>
      <c r="AW115" s="13">
        <f>$I$51*$AW$51</f>
        <v>0</v>
      </c>
      <c r="AX115" s="13">
        <f>$I$51*$AX$51</f>
        <v>0</v>
      </c>
      <c r="AY115" s="13">
        <f>$I$51*$AY$51</f>
        <v>0</v>
      </c>
      <c r="AZ115" s="13">
        <f>$I$51*$AZ$51</f>
        <v>0</v>
      </c>
      <c r="BA115" s="13">
        <f>$I$51*$BA$51</f>
        <v>0</v>
      </c>
      <c r="BB115" s="13">
        <f>$I$51*$BB$51</f>
        <v>0</v>
      </c>
      <c r="BC115" s="13">
        <f>$I$51*$BC$51</f>
        <v>0</v>
      </c>
      <c r="BD115" s="13">
        <f>$I$51*$BD$51</f>
        <v>0</v>
      </c>
    </row>
    <row r="116" spans="1:56" ht="11.25" customHeight="1" x14ac:dyDescent="0.3">
      <c r="A116" s="9" t="s">
        <v>43</v>
      </c>
      <c r="B116" s="9" t="s">
        <v>1137</v>
      </c>
      <c r="C116" s="9" t="s">
        <v>1138</v>
      </c>
      <c r="D116" s="9" t="s">
        <v>1161</v>
      </c>
      <c r="E116" s="9" t="s">
        <v>1162</v>
      </c>
      <c r="F116" s="9" t="s">
        <v>1163</v>
      </c>
      <c r="G116" s="9" t="s">
        <v>1166</v>
      </c>
      <c r="L116" s="13">
        <f>$I$52*$L$52</f>
        <v>0</v>
      </c>
      <c r="M116" s="13">
        <f>$I$52*$M$52</f>
        <v>0</v>
      </c>
      <c r="N116" s="13">
        <f ca="1">$I$52*$N$52</f>
        <v>0</v>
      </c>
      <c r="O116" s="13">
        <f>$I$52*$O$52</f>
        <v>0</v>
      </c>
      <c r="P116" s="13">
        <f>$I$52*$P$52</f>
        <v>0</v>
      </c>
      <c r="Q116" s="13">
        <f>$I$52*$Q$52</f>
        <v>0</v>
      </c>
      <c r="R116" s="13">
        <f>$I$52*$R$52</f>
        <v>0</v>
      </c>
      <c r="S116" s="13">
        <f>$I$52*$S$52</f>
        <v>0</v>
      </c>
      <c r="T116" s="13">
        <f>$I$52*$T$52</f>
        <v>0</v>
      </c>
      <c r="U116" s="13">
        <f>$I$52*$U$52</f>
        <v>0</v>
      </c>
      <c r="V116" s="13">
        <f>$I$52*$V$52</f>
        <v>0</v>
      </c>
      <c r="W116" s="13">
        <f>$I$52*$W$52</f>
        <v>0</v>
      </c>
      <c r="X116" s="13">
        <f>$I$52*$X$52</f>
        <v>0</v>
      </c>
      <c r="Y116" s="13">
        <f>$I$52*$Y$52</f>
        <v>0</v>
      </c>
      <c r="Z116" s="13">
        <f>$I$52*$Z$52</f>
        <v>0</v>
      </c>
      <c r="AA116" s="13">
        <f>$I$52*$AA$52</f>
        <v>0</v>
      </c>
      <c r="AB116" s="13">
        <f ca="1">$I$52*$AB$52</f>
        <v>0</v>
      </c>
      <c r="AC116" s="13">
        <f ca="1">$I$52*$AC$52</f>
        <v>0</v>
      </c>
      <c r="AD116" s="13">
        <f>$I$52*$AD$52</f>
        <v>0</v>
      </c>
      <c r="AE116" s="13">
        <f>$I$52*$AE$52</f>
        <v>0</v>
      </c>
      <c r="AF116" s="13">
        <f ca="1">$I$52*$AF$52</f>
        <v>0</v>
      </c>
      <c r="AG116" s="13">
        <f ca="1">$I$52*$AG$52</f>
        <v>0</v>
      </c>
      <c r="AI116" s="13">
        <f>$I$52*$AI$52</f>
        <v>0</v>
      </c>
      <c r="AJ116" s="13">
        <f>$I$52*$AJ$52</f>
        <v>0</v>
      </c>
      <c r="AK116" s="13">
        <f>$I$52*$AK$52</f>
        <v>0</v>
      </c>
      <c r="AL116" s="13">
        <f>$I$52*$AL$52</f>
        <v>0</v>
      </c>
      <c r="AM116" s="13">
        <f>$I$52*$AM$52</f>
        <v>0</v>
      </c>
      <c r="AN116" s="13">
        <f>$I$52*$AN$52</f>
        <v>0</v>
      </c>
      <c r="AO116" s="13">
        <f>$I$52*$AO$52</f>
        <v>0</v>
      </c>
      <c r="AP116" s="13">
        <f>$I$52*$AP$52</f>
        <v>0</v>
      </c>
      <c r="AQ116" s="13">
        <f>$I$52*$AQ$52</f>
        <v>0</v>
      </c>
      <c r="AR116" s="13">
        <f>$I$52*$AR$52</f>
        <v>0</v>
      </c>
      <c r="AS116" s="13">
        <f>$I$52*$AS$52</f>
        <v>0</v>
      </c>
      <c r="AT116" s="13">
        <f>$I$52*$AT$52</f>
        <v>0</v>
      </c>
      <c r="AU116" s="13">
        <f>$I$52*$AU$52</f>
        <v>0</v>
      </c>
      <c r="AV116" s="13">
        <f>$I$52*$AV$52</f>
        <v>0</v>
      </c>
      <c r="AW116" s="13">
        <f>$I$52*$AW$52</f>
        <v>0</v>
      </c>
      <c r="AX116" s="13">
        <f>$I$52*$AX$52</f>
        <v>0</v>
      </c>
      <c r="AY116" s="13">
        <f>$I$52*$AY$52</f>
        <v>0</v>
      </c>
      <c r="AZ116" s="13">
        <f>$I$52*$AZ$52</f>
        <v>0</v>
      </c>
      <c r="BA116" s="13">
        <f>$I$52*$BA$52</f>
        <v>0</v>
      </c>
      <c r="BB116" s="13">
        <f>$I$52*$BB$52</f>
        <v>0</v>
      </c>
      <c r="BC116" s="13">
        <f>$I$52*$BC$52</f>
        <v>0</v>
      </c>
      <c r="BD116" s="13">
        <f>$I$52*$BD$52</f>
        <v>0</v>
      </c>
    </row>
    <row r="117" spans="1:56" ht="11.25" customHeight="1" x14ac:dyDescent="0.3">
      <c r="A117" s="9" t="s">
        <v>43</v>
      </c>
      <c r="B117" s="9" t="s">
        <v>1145</v>
      </c>
      <c r="C117" s="9" t="s">
        <v>1146</v>
      </c>
      <c r="D117" s="9" t="s">
        <v>1167</v>
      </c>
      <c r="E117" s="9" t="s">
        <v>1168</v>
      </c>
      <c r="F117" s="9" t="s">
        <v>1169</v>
      </c>
      <c r="G117" s="9" t="s">
        <v>1170</v>
      </c>
      <c r="L117" s="13">
        <f>$I$53*$L$53</f>
        <v>0</v>
      </c>
      <c r="M117" s="13">
        <f>$I$53*$M$53</f>
        <v>0</v>
      </c>
      <c r="N117" s="13">
        <f ca="1">$I$53*$N$53</f>
        <v>0</v>
      </c>
      <c r="O117" s="13">
        <f>$I$53*$O$53</f>
        <v>0</v>
      </c>
      <c r="P117" s="13">
        <f>$I$53*$P$53</f>
        <v>0</v>
      </c>
      <c r="Q117" s="13">
        <f>$I$53*$Q$53</f>
        <v>0</v>
      </c>
      <c r="R117" s="13">
        <f>$I$53*$R$53</f>
        <v>0</v>
      </c>
      <c r="S117" s="13">
        <f>$I$53*$S$53</f>
        <v>0</v>
      </c>
      <c r="T117" s="13">
        <f>$I$53*$T$53</f>
        <v>0</v>
      </c>
      <c r="U117" s="13">
        <f>$I$53*$U$53</f>
        <v>0</v>
      </c>
      <c r="V117" s="13">
        <f>$I$53*$V$53</f>
        <v>0</v>
      </c>
      <c r="W117" s="13">
        <f>$I$53*$W$53</f>
        <v>0</v>
      </c>
      <c r="X117" s="13">
        <f>$I$53*$X$53</f>
        <v>0</v>
      </c>
      <c r="Y117" s="13">
        <f>$I$53*$Y$53</f>
        <v>0</v>
      </c>
      <c r="Z117" s="13">
        <f>$I$53*$Z$53</f>
        <v>0</v>
      </c>
      <c r="AA117" s="13">
        <f>$I$53*$AA$53</f>
        <v>0</v>
      </c>
      <c r="AB117" s="13">
        <f ca="1">$I$53*$AB$53</f>
        <v>0</v>
      </c>
      <c r="AC117" s="13">
        <f ca="1">$I$53*$AC$53</f>
        <v>0</v>
      </c>
      <c r="AD117" s="13">
        <f>$I$53*$AD$53</f>
        <v>0</v>
      </c>
      <c r="AE117" s="13">
        <f>$I$53*$AE$53</f>
        <v>0</v>
      </c>
      <c r="AF117" s="13">
        <f ca="1">$I$53*$AF$53</f>
        <v>0</v>
      </c>
      <c r="AG117" s="13">
        <f ca="1">$I$53*$AG$53</f>
        <v>0</v>
      </c>
      <c r="AI117" s="13">
        <f>$I$53*$AI$53</f>
        <v>0</v>
      </c>
      <c r="AJ117" s="13">
        <f>$I$53*$AJ$53</f>
        <v>0</v>
      </c>
      <c r="AK117" s="13">
        <f>$I$53*$AK$53</f>
        <v>0</v>
      </c>
      <c r="AL117" s="13">
        <f>$I$53*$AL$53</f>
        <v>0</v>
      </c>
      <c r="AM117" s="13">
        <f>$I$53*$AM$53</f>
        <v>0</v>
      </c>
      <c r="AN117" s="13">
        <f>$I$53*$AN$53</f>
        <v>0</v>
      </c>
      <c r="AO117" s="13">
        <f>$I$53*$AO$53</f>
        <v>0</v>
      </c>
      <c r="AP117" s="13">
        <f>$I$53*$AP$53</f>
        <v>0</v>
      </c>
      <c r="AQ117" s="13">
        <f>$I$53*$AQ$53</f>
        <v>0</v>
      </c>
      <c r="AR117" s="13">
        <f>$I$53*$AR$53</f>
        <v>0</v>
      </c>
      <c r="AS117" s="13">
        <f>$I$53*$AS$53</f>
        <v>0</v>
      </c>
      <c r="AT117" s="13">
        <f>$I$53*$AT$53</f>
        <v>0</v>
      </c>
      <c r="AU117" s="13">
        <f>$I$53*$AU$53</f>
        <v>0</v>
      </c>
      <c r="AV117" s="13">
        <f>$I$53*$AV$53</f>
        <v>0</v>
      </c>
      <c r="AW117" s="13">
        <f>$I$53*$AW$53</f>
        <v>0</v>
      </c>
      <c r="AX117" s="13">
        <f>$I$53*$AX$53</f>
        <v>0</v>
      </c>
      <c r="AY117" s="13">
        <f>$I$53*$AY$53</f>
        <v>0</v>
      </c>
      <c r="AZ117" s="13">
        <f>$I$53*$AZ$53</f>
        <v>0</v>
      </c>
      <c r="BA117" s="13">
        <f>$I$53*$BA$53</f>
        <v>0</v>
      </c>
      <c r="BB117" s="13">
        <f>$I$53*$BB$53</f>
        <v>0</v>
      </c>
      <c r="BC117" s="13">
        <f>$I$53*$BC$53</f>
        <v>0</v>
      </c>
      <c r="BD117" s="13">
        <f>$I$53*$BD$53</f>
        <v>0</v>
      </c>
    </row>
    <row r="118" spans="1:56" ht="11.25" customHeight="1" x14ac:dyDescent="0.3">
      <c r="A118" s="9" t="s">
        <v>43</v>
      </c>
      <c r="B118" s="9" t="s">
        <v>1171</v>
      </c>
      <c r="C118" s="9" t="s">
        <v>1172</v>
      </c>
      <c r="D118" s="9" t="s">
        <v>1173</v>
      </c>
      <c r="E118" s="9" t="s">
        <v>1174</v>
      </c>
      <c r="F118" s="9" t="s">
        <v>1175</v>
      </c>
      <c r="G118" s="9" t="s">
        <v>1176</v>
      </c>
      <c r="L118" s="13">
        <f>$I$54*$L$54</f>
        <v>0</v>
      </c>
      <c r="M118" s="13">
        <f>$I$54*$M$54</f>
        <v>0</v>
      </c>
      <c r="N118" s="13">
        <f ca="1">$I$54*$N$54</f>
        <v>0</v>
      </c>
      <c r="O118" s="13">
        <f>$I$54*$O$54</f>
        <v>0</v>
      </c>
      <c r="P118" s="13">
        <f>$I$54*$P$54</f>
        <v>0</v>
      </c>
      <c r="Q118" s="13">
        <f>$I$54*$Q$54</f>
        <v>0</v>
      </c>
      <c r="R118" s="13">
        <f>$I$54*$R$54</f>
        <v>0</v>
      </c>
      <c r="S118" s="13">
        <f>$I$54*$S$54</f>
        <v>0</v>
      </c>
      <c r="T118" s="13">
        <f>$I$54*$T$54</f>
        <v>0</v>
      </c>
      <c r="U118" s="13">
        <f>$I$54*$U$54</f>
        <v>0</v>
      </c>
      <c r="V118" s="13">
        <f>$I$54*$V$54</f>
        <v>0</v>
      </c>
      <c r="W118" s="13">
        <f>$I$54*$W$54</f>
        <v>0</v>
      </c>
      <c r="X118" s="13">
        <f>$I$54*$X$54</f>
        <v>0</v>
      </c>
      <c r="Y118" s="13">
        <f>$I$54*$Y$54</f>
        <v>0</v>
      </c>
      <c r="Z118" s="13">
        <f>$I$54*$Z$54</f>
        <v>0</v>
      </c>
      <c r="AA118" s="13">
        <f>$I$54*$AA$54</f>
        <v>0</v>
      </c>
      <c r="AB118" s="13">
        <f ca="1">$I$54*$AB$54</f>
        <v>0</v>
      </c>
      <c r="AC118" s="13">
        <f ca="1">$I$54*$AC$54</f>
        <v>0</v>
      </c>
      <c r="AD118" s="13">
        <f>$I$54*$AD$54</f>
        <v>0</v>
      </c>
      <c r="AE118" s="13">
        <f>$I$54*$AE$54</f>
        <v>0</v>
      </c>
      <c r="AF118" s="13">
        <f ca="1">$I$54*$AF$54</f>
        <v>0</v>
      </c>
      <c r="AG118" s="13">
        <f ca="1">$I$54*$AG$54</f>
        <v>0</v>
      </c>
      <c r="AI118" s="13">
        <f>$I$54*$AI$54</f>
        <v>0</v>
      </c>
      <c r="AJ118" s="13">
        <f>$I$54*$AJ$54</f>
        <v>0</v>
      </c>
      <c r="AK118" s="13">
        <f>$I$54*$AK$54</f>
        <v>0</v>
      </c>
      <c r="AL118" s="13">
        <f>$I$54*$AL$54</f>
        <v>0</v>
      </c>
      <c r="AM118" s="13">
        <f>$I$54*$AM$54</f>
        <v>0</v>
      </c>
      <c r="AN118" s="13">
        <f>$I$54*$AN$54</f>
        <v>0</v>
      </c>
      <c r="AO118" s="13">
        <f>$I$54*$AO$54</f>
        <v>0</v>
      </c>
      <c r="AP118" s="13">
        <f>$I$54*$AP$54</f>
        <v>0</v>
      </c>
      <c r="AQ118" s="13">
        <f>$I$54*$AQ$54</f>
        <v>0</v>
      </c>
      <c r="AR118" s="13">
        <f>$I$54*$AR$54</f>
        <v>0</v>
      </c>
      <c r="AS118" s="13">
        <f>$I$54*$AS$54</f>
        <v>0</v>
      </c>
      <c r="AT118" s="13">
        <f>$I$54*$AT$54</f>
        <v>0</v>
      </c>
      <c r="AU118" s="13">
        <f>$I$54*$AU$54</f>
        <v>0</v>
      </c>
      <c r="AV118" s="13">
        <f>$I$54*$AV$54</f>
        <v>0</v>
      </c>
      <c r="AW118" s="13">
        <f>$I$54*$AW$54</f>
        <v>0</v>
      </c>
      <c r="AX118" s="13">
        <f>$I$54*$AX$54</f>
        <v>0</v>
      </c>
      <c r="AY118" s="13">
        <f>$I$54*$AY$54</f>
        <v>0</v>
      </c>
      <c r="AZ118" s="13">
        <f>$I$54*$AZ$54</f>
        <v>0</v>
      </c>
      <c r="BA118" s="13">
        <f>$I$54*$BA$54</f>
        <v>0</v>
      </c>
      <c r="BB118" s="13">
        <f>$I$54*$BB$54</f>
        <v>0</v>
      </c>
      <c r="BC118" s="13">
        <f>$I$54*$BC$54</f>
        <v>0</v>
      </c>
      <c r="BD118" s="13">
        <f>$I$54*$BD$54</f>
        <v>0</v>
      </c>
    </row>
    <row r="119" spans="1:56" ht="11.25" customHeight="1" x14ac:dyDescent="0.3">
      <c r="A119" s="9" t="s">
        <v>43</v>
      </c>
      <c r="B119" s="9" t="s">
        <v>1171</v>
      </c>
      <c r="C119" s="9" t="s">
        <v>1172</v>
      </c>
      <c r="D119" s="9" t="s">
        <v>1177</v>
      </c>
      <c r="E119" s="9" t="s">
        <v>1178</v>
      </c>
      <c r="F119" s="9" t="s">
        <v>1179</v>
      </c>
      <c r="G119" s="9" t="s">
        <v>1180</v>
      </c>
      <c r="L119" s="13">
        <f>$I$55*$L$55</f>
        <v>0</v>
      </c>
      <c r="M119" s="13">
        <f>$I$55*$M$55</f>
        <v>0</v>
      </c>
      <c r="N119" s="13">
        <f ca="1">$I$55*$N$55</f>
        <v>0</v>
      </c>
      <c r="O119" s="13">
        <f>$I$55*$O$55</f>
        <v>0</v>
      </c>
      <c r="P119" s="13">
        <f>$I$55*$P$55</f>
        <v>0</v>
      </c>
      <c r="Q119" s="13">
        <f>$I$55*$Q$55</f>
        <v>0</v>
      </c>
      <c r="R119" s="13">
        <f>$I$55*$R$55</f>
        <v>0</v>
      </c>
      <c r="S119" s="13">
        <f>$I$55*$S$55</f>
        <v>0</v>
      </c>
      <c r="T119" s="13">
        <f>$I$55*$T$55</f>
        <v>0</v>
      </c>
      <c r="U119" s="13">
        <f>$I$55*$U$55</f>
        <v>0</v>
      </c>
      <c r="V119" s="13">
        <f>$I$55*$V$55</f>
        <v>0</v>
      </c>
      <c r="W119" s="13">
        <f>$I$55*$W$55</f>
        <v>0</v>
      </c>
      <c r="X119" s="13">
        <f>$I$55*$X$55</f>
        <v>0</v>
      </c>
      <c r="Y119" s="13">
        <f>$I$55*$Y$55</f>
        <v>0</v>
      </c>
      <c r="Z119" s="13">
        <f>$I$55*$Z$55</f>
        <v>0</v>
      </c>
      <c r="AA119" s="13">
        <f>$I$55*$AA$55</f>
        <v>0</v>
      </c>
      <c r="AB119" s="13">
        <f ca="1">$I$55*$AB$55</f>
        <v>0</v>
      </c>
      <c r="AC119" s="13">
        <f ca="1">$I$55*$AC$55</f>
        <v>0</v>
      </c>
      <c r="AD119" s="13">
        <f>$I$55*$AD$55</f>
        <v>0</v>
      </c>
      <c r="AE119" s="13">
        <f>$I$55*$AE$55</f>
        <v>0</v>
      </c>
      <c r="AF119" s="13">
        <f ca="1">$I$55*$AF$55</f>
        <v>0</v>
      </c>
      <c r="AG119" s="13">
        <f ca="1">$I$55*$AG$55</f>
        <v>0</v>
      </c>
      <c r="AI119" s="13">
        <f>$I$55*$AI$55</f>
        <v>0</v>
      </c>
      <c r="AJ119" s="13">
        <f>$I$55*$AJ$55</f>
        <v>0</v>
      </c>
      <c r="AK119" s="13">
        <f>$I$55*$AK$55</f>
        <v>0</v>
      </c>
      <c r="AL119" s="13">
        <f>$I$55*$AL$55</f>
        <v>0</v>
      </c>
      <c r="AM119" s="13">
        <f>$I$55*$AM$55</f>
        <v>0</v>
      </c>
      <c r="AN119" s="13">
        <f>$I$55*$AN$55</f>
        <v>0</v>
      </c>
      <c r="AO119" s="13">
        <f>$I$55*$AO$55</f>
        <v>0</v>
      </c>
      <c r="AP119" s="13">
        <f>$I$55*$AP$55</f>
        <v>0</v>
      </c>
      <c r="AQ119" s="13">
        <f>$I$55*$AQ$55</f>
        <v>0</v>
      </c>
      <c r="AR119" s="13">
        <f>$I$55*$AR$55</f>
        <v>0</v>
      </c>
      <c r="AS119" s="13">
        <f>$I$55*$AS$55</f>
        <v>0</v>
      </c>
      <c r="AT119" s="13">
        <f>$I$55*$AT$55</f>
        <v>0</v>
      </c>
      <c r="AU119" s="13">
        <f>$I$55*$AU$55</f>
        <v>0</v>
      </c>
      <c r="AV119" s="13">
        <f>$I$55*$AV$55</f>
        <v>0</v>
      </c>
      <c r="AW119" s="13">
        <f>$I$55*$AW$55</f>
        <v>0</v>
      </c>
      <c r="AX119" s="13">
        <f>$I$55*$AX$55</f>
        <v>0</v>
      </c>
      <c r="AY119" s="13">
        <f>$I$55*$AY$55</f>
        <v>0</v>
      </c>
      <c r="AZ119" s="13">
        <f>$I$55*$AZ$55</f>
        <v>0</v>
      </c>
      <c r="BA119" s="13">
        <f>$I$55*$BA$55</f>
        <v>0</v>
      </c>
      <c r="BB119" s="13">
        <f>$I$55*$BB$55</f>
        <v>0</v>
      </c>
      <c r="BC119" s="13">
        <f>$I$55*$BC$55</f>
        <v>0</v>
      </c>
      <c r="BD119" s="13">
        <f>$I$55*$BD$55</f>
        <v>0</v>
      </c>
    </row>
    <row r="120" spans="1:56" ht="11.25" customHeight="1" x14ac:dyDescent="0.3">
      <c r="A120" s="9" t="s">
        <v>43</v>
      </c>
      <c r="B120" s="9" t="s">
        <v>1171</v>
      </c>
      <c r="C120" s="9" t="s">
        <v>1172</v>
      </c>
      <c r="D120" s="9" t="s">
        <v>1181</v>
      </c>
      <c r="E120" s="9" t="s">
        <v>1182</v>
      </c>
      <c r="F120" s="9" t="s">
        <v>1183</v>
      </c>
      <c r="G120" s="9" t="s">
        <v>1184</v>
      </c>
      <c r="L120" s="13">
        <f>$I$56*$L$56</f>
        <v>0</v>
      </c>
      <c r="M120" s="13">
        <f>$I$56*$M$56</f>
        <v>0</v>
      </c>
      <c r="N120" s="13">
        <f ca="1">$I$56*$N$56</f>
        <v>0</v>
      </c>
      <c r="O120" s="13">
        <f>$I$56*$O$56</f>
        <v>0</v>
      </c>
      <c r="P120" s="13">
        <f>$I$56*$P$56</f>
        <v>0</v>
      </c>
      <c r="Q120" s="13">
        <f>$I$56*$Q$56</f>
        <v>0</v>
      </c>
      <c r="R120" s="13">
        <f>$I$56*$R$56</f>
        <v>0</v>
      </c>
      <c r="S120" s="13">
        <f>$I$56*$S$56</f>
        <v>0</v>
      </c>
      <c r="T120" s="13">
        <f>$I$56*$T$56</f>
        <v>0</v>
      </c>
      <c r="U120" s="13">
        <f>$I$56*$U$56</f>
        <v>0</v>
      </c>
      <c r="V120" s="13">
        <f>$I$56*$V$56</f>
        <v>0</v>
      </c>
      <c r="W120" s="13">
        <f>$I$56*$W$56</f>
        <v>0</v>
      </c>
      <c r="X120" s="13">
        <f>$I$56*$X$56</f>
        <v>0</v>
      </c>
      <c r="Y120" s="13">
        <f>$I$56*$Y$56</f>
        <v>0</v>
      </c>
      <c r="Z120" s="13">
        <f>$I$56*$Z$56</f>
        <v>0</v>
      </c>
      <c r="AA120" s="13">
        <f>$I$56*$AA$56</f>
        <v>0</v>
      </c>
      <c r="AB120" s="13">
        <f ca="1">$I$56*$AB$56</f>
        <v>0</v>
      </c>
      <c r="AC120" s="13">
        <f ca="1">$I$56*$AC$56</f>
        <v>0</v>
      </c>
      <c r="AD120" s="13">
        <f>$I$56*$AD$56</f>
        <v>0</v>
      </c>
      <c r="AE120" s="13">
        <f>$I$56*$AE$56</f>
        <v>0</v>
      </c>
      <c r="AF120" s="13">
        <f ca="1">$I$56*$AF$56</f>
        <v>0</v>
      </c>
      <c r="AG120" s="13">
        <f ca="1">$I$56*$AG$56</f>
        <v>0</v>
      </c>
      <c r="AI120" s="13">
        <f>$I$56*$AI$56</f>
        <v>0</v>
      </c>
      <c r="AJ120" s="13">
        <f>$I$56*$AJ$56</f>
        <v>0</v>
      </c>
      <c r="AK120" s="13">
        <f>$I$56*$AK$56</f>
        <v>0</v>
      </c>
      <c r="AL120" s="13">
        <f>$I$56*$AL$56</f>
        <v>0</v>
      </c>
      <c r="AM120" s="13">
        <f>$I$56*$AM$56</f>
        <v>0</v>
      </c>
      <c r="AN120" s="13">
        <f>$I$56*$AN$56</f>
        <v>0</v>
      </c>
      <c r="AO120" s="13">
        <f>$I$56*$AO$56</f>
        <v>0</v>
      </c>
      <c r="AP120" s="13">
        <f>$I$56*$AP$56</f>
        <v>0</v>
      </c>
      <c r="AQ120" s="13">
        <f>$I$56*$AQ$56</f>
        <v>0</v>
      </c>
      <c r="AR120" s="13">
        <f>$I$56*$AR$56</f>
        <v>0</v>
      </c>
      <c r="AS120" s="13">
        <f>$I$56*$AS$56</f>
        <v>0</v>
      </c>
      <c r="AT120" s="13">
        <f>$I$56*$AT$56</f>
        <v>0</v>
      </c>
      <c r="AU120" s="13">
        <f>$I$56*$AU$56</f>
        <v>0</v>
      </c>
      <c r="AV120" s="13">
        <f>$I$56*$AV$56</f>
        <v>0</v>
      </c>
      <c r="AW120" s="13">
        <f>$I$56*$AW$56</f>
        <v>0</v>
      </c>
      <c r="AX120" s="13">
        <f>$I$56*$AX$56</f>
        <v>0</v>
      </c>
      <c r="AY120" s="13">
        <f>$I$56*$AY$56</f>
        <v>0</v>
      </c>
      <c r="AZ120" s="13">
        <f>$I$56*$AZ$56</f>
        <v>0</v>
      </c>
      <c r="BA120" s="13">
        <f>$I$56*$BA$56</f>
        <v>0</v>
      </c>
      <c r="BB120" s="13">
        <f>$I$56*$BB$56</f>
        <v>0</v>
      </c>
      <c r="BC120" s="13">
        <f>$I$56*$BC$56</f>
        <v>0</v>
      </c>
      <c r="BD120" s="13">
        <f>$I$56*$BD$56</f>
        <v>0</v>
      </c>
    </row>
    <row r="121" spans="1:56" ht="11.25" customHeight="1" x14ac:dyDescent="0.3">
      <c r="A121" s="9" t="s">
        <v>37</v>
      </c>
      <c r="B121" s="9" t="s">
        <v>1185</v>
      </c>
      <c r="C121" s="9" t="s">
        <v>1186</v>
      </c>
      <c r="D121" s="9" t="s">
        <v>1187</v>
      </c>
      <c r="E121" s="9" t="s">
        <v>1188</v>
      </c>
      <c r="F121" s="9" t="s">
        <v>1189</v>
      </c>
      <c r="G121" s="9" t="s">
        <v>1190</v>
      </c>
      <c r="L121" s="13">
        <f>$I$57*$L$57</f>
        <v>147.94293655671936</v>
      </c>
      <c r="M121" s="13">
        <f>$I$57*$M$57</f>
        <v>10.679755464442913</v>
      </c>
      <c r="N121" s="13">
        <f ca="1">$I$57*$N$57</f>
        <v>119.53553601508122</v>
      </c>
      <c r="O121" s="13">
        <f>$I$57*$O$57</f>
        <v>0</v>
      </c>
      <c r="P121" s="13">
        <f>$I$57*$P$57</f>
        <v>0</v>
      </c>
      <c r="Q121" s="13">
        <f>$I$57*$Q$57</f>
        <v>1299.503231419013</v>
      </c>
      <c r="R121" s="13">
        <f>$I$57*$R$57</f>
        <v>214.23075906927275</v>
      </c>
      <c r="S121" s="13">
        <f>$I$57*$S$57</f>
        <v>0</v>
      </c>
      <c r="T121" s="13">
        <f>$I$57*$T$57</f>
        <v>1507.4078640240739</v>
      </c>
      <c r="U121" s="13">
        <f>$I$57*$U$57</f>
        <v>710.22825213520332</v>
      </c>
      <c r="V121" s="13">
        <f>$I$57*$V$57</f>
        <v>0</v>
      </c>
      <c r="W121" s="13">
        <f>$I$57*$W$57</f>
        <v>0</v>
      </c>
      <c r="X121" s="13">
        <f>$I$57*$X$57</f>
        <v>0</v>
      </c>
      <c r="Y121" s="13">
        <f>$I$57*$Y$57</f>
        <v>0</v>
      </c>
      <c r="Z121" s="13">
        <f>$I$57*$Z$57</f>
        <v>0</v>
      </c>
      <c r="AA121" s="13">
        <f>$I$57*$AA$57</f>
        <v>9027.8882864970437</v>
      </c>
      <c r="AB121" s="13">
        <f ca="1">$I$57*$AB$57</f>
        <v>-550.7436124161743</v>
      </c>
      <c r="AC121" s="13">
        <f ca="1">$I$57*$AC$57</f>
        <v>0</v>
      </c>
      <c r="AD121" s="13">
        <f>$I$57*$AD$57</f>
        <v>254.32195878762826</v>
      </c>
      <c r="AE121" s="13">
        <f>$I$57*$AE$57</f>
        <v>7.4837524614082911</v>
      </c>
      <c r="AF121" s="13">
        <f ca="1">$I$57*$AF$57</f>
        <v>17.063427434008368</v>
      </c>
      <c r="AG121" s="13">
        <f ca="1">$I$57*$AG$57</f>
        <v>3.9687110823444796</v>
      </c>
      <c r="AI121" s="13">
        <f>$I$57*$AI$57</f>
        <v>135.13537680586191</v>
      </c>
      <c r="AJ121" s="13">
        <f>$I$57*$AJ$57</f>
        <v>9.9353345112691382</v>
      </c>
      <c r="AK121" s="13">
        <f>$I$57*$AK$57</f>
        <v>108.04009155966195</v>
      </c>
      <c r="AL121" s="13">
        <f>$I$57*$AL$57</f>
        <v>0</v>
      </c>
      <c r="AM121" s="13">
        <f>$I$57*$AM$57</f>
        <v>0</v>
      </c>
      <c r="AN121" s="13">
        <f>$I$57*$AN$57</f>
        <v>611.15198386228246</v>
      </c>
      <c r="AO121" s="13">
        <f>$I$57*$AO$57</f>
        <v>133.48823629490886</v>
      </c>
      <c r="AP121" s="13">
        <f>$I$57*$AP$57</f>
        <v>0</v>
      </c>
      <c r="AQ121" s="13">
        <f>$I$57*$AQ$57</f>
        <v>1185.2942313944136</v>
      </c>
      <c r="AR121" s="13">
        <f>$I$57*$AR$57</f>
        <v>633.56536964647148</v>
      </c>
      <c r="AS121" s="13">
        <f>$I$57*$AS$57</f>
        <v>0</v>
      </c>
      <c r="AT121" s="13">
        <f>$I$57*$AT$57</f>
        <v>0</v>
      </c>
      <c r="AU121" s="13">
        <f>$I$57*$AU$57</f>
        <v>0</v>
      </c>
      <c r="AV121" s="13">
        <f>$I$57*$AV$57</f>
        <v>0</v>
      </c>
      <c r="AW121" s="13">
        <f>$I$57*$AW$57</f>
        <v>0</v>
      </c>
      <c r="AX121" s="13">
        <f>$I$57*$AX$57</f>
        <v>8468.4710234276681</v>
      </c>
      <c r="AY121" s="13">
        <f>$I$57*$AY$57</f>
        <v>-668.01132835235194</v>
      </c>
      <c r="AZ121" s="13">
        <f>$I$57*$AZ$57</f>
        <v>0</v>
      </c>
      <c r="BA121" s="13">
        <f>$I$57*$BA$57</f>
        <v>274.80371888063883</v>
      </c>
      <c r="BB121" s="13">
        <f>$I$57*$BB$57</f>
        <v>7.2838016842379831</v>
      </c>
      <c r="BC121" s="13">
        <f>$I$57*$BC$57</f>
        <v>18.478860627371592</v>
      </c>
      <c r="BD121" s="13">
        <f>$I$57*$BD$57</f>
        <v>6.4176139707864301</v>
      </c>
    </row>
    <row r="122" spans="1:56" ht="11.25" customHeight="1" x14ac:dyDescent="0.3">
      <c r="A122" s="9" t="s">
        <v>37</v>
      </c>
      <c r="B122" s="9" t="s">
        <v>1185</v>
      </c>
      <c r="C122" s="9" t="s">
        <v>1186</v>
      </c>
      <c r="D122" s="9" t="s">
        <v>1187</v>
      </c>
      <c r="E122" s="9" t="s">
        <v>1188</v>
      </c>
      <c r="F122" s="9" t="s">
        <v>1189</v>
      </c>
      <c r="G122" s="9" t="s">
        <v>1191</v>
      </c>
      <c r="L122" s="13">
        <f>$I$58*$L$58</f>
        <v>136.96169260328307</v>
      </c>
      <c r="M122" s="13">
        <f>$I$58*$M$58</f>
        <v>9.8870376581884081</v>
      </c>
      <c r="N122" s="13">
        <f ca="1">$I$58*$N$58</f>
        <v>68.743807858985619</v>
      </c>
      <c r="O122" s="13">
        <f>$I$58*$O$58</f>
        <v>0</v>
      </c>
      <c r="P122" s="13">
        <f>$I$58*$P$58</f>
        <v>0</v>
      </c>
      <c r="Q122" s="13">
        <f>$I$58*$Q$58</f>
        <v>1203.0460274820075</v>
      </c>
      <c r="R122" s="13">
        <f>$I$58*$R$58</f>
        <v>198.32922106804759</v>
      </c>
      <c r="S122" s="13">
        <f>$I$58*$S$58</f>
        <v>0</v>
      </c>
      <c r="T122" s="13">
        <f>$I$58*$T$58</f>
        <v>837.31039229170062</v>
      </c>
      <c r="U122" s="13">
        <f>$I$58*$U$58</f>
        <v>394.50617858291895</v>
      </c>
      <c r="V122" s="13">
        <f>$I$58*$V$58</f>
        <v>0</v>
      </c>
      <c r="W122" s="13">
        <f>$I$58*$W$58</f>
        <v>0</v>
      </c>
      <c r="X122" s="13">
        <f>$I$58*$X$58</f>
        <v>0</v>
      </c>
      <c r="Y122" s="13">
        <f>$I$58*$Y$58</f>
        <v>0</v>
      </c>
      <c r="Z122" s="13">
        <f>$I$58*$Z$58</f>
        <v>0</v>
      </c>
      <c r="AA122" s="13">
        <f>$I$58*$AA$58</f>
        <v>5014.669614013922</v>
      </c>
      <c r="AB122" s="13">
        <f ca="1">$I$58*$AB$58</f>
        <v>-330.94657762870582</v>
      </c>
      <c r="AC122" s="13">
        <f ca="1">$I$58*$AC$58</f>
        <v>0</v>
      </c>
      <c r="AD122" s="13">
        <f>$I$58*$AD$58</f>
        <v>235.44460284781289</v>
      </c>
      <c r="AE122" s="13">
        <f>$I$58*$AE$58</f>
        <v>6.9282618555127762</v>
      </c>
      <c r="AF122" s="13">
        <f ca="1">$I$58*$AF$58</f>
        <v>15.796873831006407</v>
      </c>
      <c r="AG122" s="13">
        <f ca="1">$I$58*$AG$58</f>
        <v>3.6741286873328569</v>
      </c>
      <c r="AI122" s="13">
        <f>$I$58*$AI$58</f>
        <v>125.10478951333661</v>
      </c>
      <c r="AJ122" s="13">
        <f>$I$58*$AJ$58</f>
        <v>9.1978722534112745</v>
      </c>
      <c r="AK122" s="13">
        <f>$I$58*$AK$58</f>
        <v>62.124057969569385</v>
      </c>
      <c r="AL122" s="13">
        <f>$I$58*$AL$58</f>
        <v>0</v>
      </c>
      <c r="AM122" s="13">
        <f>$I$58*$AM$58</f>
        <v>0</v>
      </c>
      <c r="AN122" s="13">
        <f>$I$58*$AN$58</f>
        <v>565.78848639753335</v>
      </c>
      <c r="AO122" s="13">
        <f>$I$58*$AO$58</f>
        <v>123.5799100051549</v>
      </c>
      <c r="AP122" s="13">
        <f>$I$58*$AP$58</f>
        <v>0</v>
      </c>
      <c r="AQ122" s="13">
        <f>$I$58*$AQ$58</f>
        <v>658.38795295955617</v>
      </c>
      <c r="AR122" s="13">
        <f>$I$58*$AR$58</f>
        <v>351.9227123256187</v>
      </c>
      <c r="AS122" s="13">
        <f>$I$58*$AS$58</f>
        <v>0</v>
      </c>
      <c r="AT122" s="13">
        <f>$I$58*$AT$58</f>
        <v>0</v>
      </c>
      <c r="AU122" s="13">
        <f>$I$58*$AU$58</f>
        <v>0</v>
      </c>
      <c r="AV122" s="13">
        <f>$I$58*$AV$58</f>
        <v>0</v>
      </c>
      <c r="AW122" s="13">
        <f>$I$58*$AW$58</f>
        <v>0</v>
      </c>
      <c r="AX122" s="13">
        <f>$I$58*$AX$58</f>
        <v>4703.9332976524665</v>
      </c>
      <c r="AY122" s="13">
        <f>$I$58*$AY$58</f>
        <v>-395.2349714513353</v>
      </c>
      <c r="AZ122" s="13">
        <f>$I$58*$AZ$58</f>
        <v>0</v>
      </c>
      <c r="BA122" s="13">
        <f>$I$58*$BA$58</f>
        <v>254.40607944901328</v>
      </c>
      <c r="BB122" s="13">
        <f>$I$58*$BB$58</f>
        <v>6.7431526673624651</v>
      </c>
      <c r="BC122" s="13">
        <f>$I$58*$BC$58</f>
        <v>17.107244778358623</v>
      </c>
      <c r="BD122" s="13">
        <f>$I$58*$BD$58</f>
        <v>5.9412587878191907</v>
      </c>
    </row>
    <row r="123" spans="1:56" ht="11.25" customHeight="1" x14ac:dyDescent="0.3">
      <c r="A123" s="9" t="s">
        <v>37</v>
      </c>
      <c r="B123" s="9" t="s">
        <v>1185</v>
      </c>
      <c r="C123" s="9" t="s">
        <v>1186</v>
      </c>
      <c r="D123" s="9" t="s">
        <v>1187</v>
      </c>
      <c r="E123" s="9" t="s">
        <v>1188</v>
      </c>
      <c r="F123" s="9" t="s">
        <v>1189</v>
      </c>
      <c r="G123" s="9" t="s">
        <v>1192</v>
      </c>
      <c r="L123" s="13">
        <f>$I$59*$L$59</f>
        <v>2124.5668481752496</v>
      </c>
      <c r="M123" s="13">
        <f>$I$59*$M$59</f>
        <v>153.36896059025355</v>
      </c>
      <c r="N123" s="13">
        <f ca="1">$I$59*$N$59</f>
        <v>416.10904043803384</v>
      </c>
      <c r="O123" s="13">
        <f>$I$59*$O$59</f>
        <v>0</v>
      </c>
      <c r="P123" s="13">
        <f>$I$59*$P$59</f>
        <v>0</v>
      </c>
      <c r="Q123" s="13">
        <f>$I$59*$Q$59</f>
        <v>18661.799940079996</v>
      </c>
      <c r="R123" s="13">
        <f>$I$59*$R$59</f>
        <v>3076.507599289801</v>
      </c>
      <c r="S123" s="13">
        <f>$I$59*$S$59</f>
        <v>0</v>
      </c>
      <c r="T123" s="13">
        <f>$I$59*$T$59</f>
        <v>4329.4877258083707</v>
      </c>
      <c r="U123" s="13">
        <f>$I$59*$U$59</f>
        <v>2039.8701218102294</v>
      </c>
      <c r="V123" s="13">
        <f>$I$59*$V$59</f>
        <v>0</v>
      </c>
      <c r="W123" s="13">
        <f>$I$59*$W$59</f>
        <v>0</v>
      </c>
      <c r="X123" s="13">
        <f>$I$59*$X$59</f>
        <v>0</v>
      </c>
      <c r="Y123" s="13">
        <f>$I$59*$Y$59</f>
        <v>0</v>
      </c>
      <c r="Z123" s="13">
        <f>$I$59*$Z$59</f>
        <v>0</v>
      </c>
      <c r="AA123" s="13">
        <f>$I$59*$AA$59</f>
        <v>25929.399032843048</v>
      </c>
      <c r="AB123" s="13">
        <f ca="1">$I$59*$AB$59</f>
        <v>-2358.2960625963469</v>
      </c>
      <c r="AC123" s="13">
        <f ca="1">$I$59*$AC$59</f>
        <v>0</v>
      </c>
      <c r="AD123" s="13">
        <f>$I$59*$AD$59</f>
        <v>3652.2460279543925</v>
      </c>
      <c r="AE123" s="13">
        <f>$I$59*$AE$59</f>
        <v>107.47206152260084</v>
      </c>
      <c r="AF123" s="13">
        <f ca="1">$I$59*$AF$59</f>
        <v>245.0430759743609</v>
      </c>
      <c r="AG123" s="13">
        <f ca="1">$I$59*$AG$59</f>
        <v>56.993542184436471</v>
      </c>
      <c r="AI123" s="13">
        <f>$I$59*$AI$59</f>
        <v>1940.6410894604137</v>
      </c>
      <c r="AJ123" s="13">
        <f>$I$59*$AJ$59</f>
        <v>142.67854092568467</v>
      </c>
      <c r="AK123" s="13">
        <f>$I$59*$AK$59</f>
        <v>375.81909308620732</v>
      </c>
      <c r="AL123" s="13">
        <f>$I$59*$AL$59</f>
        <v>0</v>
      </c>
      <c r="AM123" s="13">
        <f>$I$59*$AM$59</f>
        <v>0</v>
      </c>
      <c r="AN123" s="13">
        <f>$I$59*$AN$59</f>
        <v>8776.581527517119</v>
      </c>
      <c r="AO123" s="13">
        <f>$I$59*$AO$59</f>
        <v>1916.9869684506168</v>
      </c>
      <c r="AP123" s="13">
        <f>$I$59*$AP$59</f>
        <v>0</v>
      </c>
      <c r="AQ123" s="13">
        <f>$I$59*$AQ$59</f>
        <v>3404.3319985039057</v>
      </c>
      <c r="AR123" s="13">
        <f>$I$59*$AR$59</f>
        <v>1819.6841140437461</v>
      </c>
      <c r="AS123" s="13">
        <f>$I$59*$AS$59</f>
        <v>0</v>
      </c>
      <c r="AT123" s="13">
        <f>$I$59*$AT$59</f>
        <v>0</v>
      </c>
      <c r="AU123" s="13">
        <f>$I$59*$AU$59</f>
        <v>0</v>
      </c>
      <c r="AV123" s="13">
        <f>$I$59*$AV$59</f>
        <v>0</v>
      </c>
      <c r="AW123" s="13">
        <f>$I$59*$AW$59</f>
        <v>0</v>
      </c>
      <c r="AX123" s="13">
        <f>$I$59*$AX$59</f>
        <v>24322.671858152353</v>
      </c>
      <c r="AY123" s="13">
        <f>$I$59*$AY$59</f>
        <v>-2668.7467023214067</v>
      </c>
      <c r="AZ123" s="13">
        <f>$I$59*$AZ$59</f>
        <v>0</v>
      </c>
      <c r="BA123" s="13">
        <f>$I$59*$BA$59</f>
        <v>3946.3788165732403</v>
      </c>
      <c r="BB123" s="13">
        <f>$I$59*$BB$59</f>
        <v>104.60062472183105</v>
      </c>
      <c r="BC123" s="13">
        <f>$I$59*$BC$59</f>
        <v>265.36971344970544</v>
      </c>
      <c r="BD123" s="13">
        <f>$I$59*$BD$59</f>
        <v>92.161546904889434</v>
      </c>
    </row>
    <row r="124" spans="1:56" ht="11.25" customHeight="1" x14ac:dyDescent="0.3">
      <c r="A124" s="9" t="s">
        <v>37</v>
      </c>
      <c r="B124" s="9" t="s">
        <v>1193</v>
      </c>
      <c r="C124" s="9" t="s">
        <v>1194</v>
      </c>
      <c r="D124" s="9" t="s">
        <v>1195</v>
      </c>
      <c r="E124" s="9" t="s">
        <v>1196</v>
      </c>
      <c r="F124" s="9" t="s">
        <v>1197</v>
      </c>
      <c r="G124" s="9" t="s">
        <v>1198</v>
      </c>
      <c r="L124" s="13">
        <f>$I$60*$L$60</f>
        <v>341835.96273327374</v>
      </c>
      <c r="M124" s="13">
        <f>$I$60*$M$60</f>
        <v>24676.571764168981</v>
      </c>
      <c r="N124" s="13">
        <f ca="1">$I$60*$N$60</f>
        <v>90453.031949127864</v>
      </c>
      <c r="O124" s="13">
        <f>$I$60*$O$60</f>
        <v>0</v>
      </c>
      <c r="P124" s="13">
        <f>$I$60*$P$60</f>
        <v>0</v>
      </c>
      <c r="Q124" s="13">
        <f>$I$60*$Q$60</f>
        <v>3002623.5015066885</v>
      </c>
      <c r="R124" s="13">
        <f>$I$60*$R$60</f>
        <v>495000.16342753056</v>
      </c>
      <c r="S124" s="13">
        <f>$I$60*$S$60</f>
        <v>0</v>
      </c>
      <c r="T124" s="13">
        <f>$I$60*$T$60</f>
        <v>1009566.328063618</v>
      </c>
      <c r="U124" s="13">
        <f>$I$60*$U$60</f>
        <v>475666.93173474062</v>
      </c>
      <c r="V124" s="13">
        <f>$I$60*$V$60</f>
        <v>0</v>
      </c>
      <c r="W124" s="13">
        <f>$I$60*$W$60</f>
        <v>0</v>
      </c>
      <c r="X124" s="13">
        <f>$I$60*$X$60</f>
        <v>0</v>
      </c>
      <c r="Y124" s="13">
        <f>$I$60*$Y$60</f>
        <v>0</v>
      </c>
      <c r="Z124" s="13">
        <f>$I$60*$Z$60</f>
        <v>0</v>
      </c>
      <c r="AA124" s="13">
        <f>$I$60*$AA$60</f>
        <v>6046312.2857744079</v>
      </c>
      <c r="AB124" s="13">
        <f ca="1">$I$60*$AB$60</f>
        <v>-479754.45872737898</v>
      </c>
      <c r="AC124" s="13">
        <f ca="1">$I$60*$AC$60</f>
        <v>0</v>
      </c>
      <c r="AD124" s="13">
        <f>$I$60*$AD$60</f>
        <v>587634.62217103294</v>
      </c>
      <c r="AE124" s="13">
        <f>$I$60*$AE$60</f>
        <v>17291.908536114694</v>
      </c>
      <c r="AF124" s="13">
        <f ca="1">$I$60*$AF$60</f>
        <v>39426.641651102764</v>
      </c>
      <c r="AG124" s="13">
        <f ca="1">$I$60*$AG$60</f>
        <v>9170.0773637362345</v>
      </c>
      <c r="AI124" s="13">
        <f>$I$60*$AI$60</f>
        <v>312242.90057298745</v>
      </c>
      <c r="AJ124" s="13">
        <f>$I$60*$AJ$60</f>
        <v>22956.5176735202</v>
      </c>
      <c r="AK124" s="13">
        <f>$I$60*$AK$60</f>
        <v>81715.284386256142</v>
      </c>
      <c r="AL124" s="13">
        <f>$I$60*$AL$60</f>
        <v>0</v>
      </c>
      <c r="AM124" s="13">
        <f>$I$60*$AM$60</f>
        <v>0</v>
      </c>
      <c r="AN124" s="13">
        <f>$I$60*$AN$60</f>
        <v>1412123.6987871926</v>
      </c>
      <c r="AO124" s="13">
        <f>$I$60*$AO$60</f>
        <v>308437.02869141405</v>
      </c>
      <c r="AP124" s="13">
        <f>$I$60*$AP$60</f>
        <v>0</v>
      </c>
      <c r="AQ124" s="13">
        <f>$I$60*$AQ$60</f>
        <v>793835.01534176408</v>
      </c>
      <c r="AR124" s="13">
        <f>$I$60*$AR$60</f>
        <v>424322.87722588918</v>
      </c>
      <c r="AS124" s="13">
        <f>$I$60*$AS$60</f>
        <v>0</v>
      </c>
      <c r="AT124" s="13">
        <f>$I$60*$AT$60</f>
        <v>0</v>
      </c>
      <c r="AU124" s="13">
        <f>$I$60*$AU$60</f>
        <v>0</v>
      </c>
      <c r="AV124" s="13">
        <f>$I$60*$AV$60</f>
        <v>0</v>
      </c>
      <c r="AW124" s="13">
        <f>$I$60*$AW$60</f>
        <v>0</v>
      </c>
      <c r="AX124" s="13">
        <f>$I$60*$AX$60</f>
        <v>5671649.7552655004</v>
      </c>
      <c r="AY124" s="13">
        <f>$I$60*$AY$60</f>
        <v>-554528.27716720384</v>
      </c>
      <c r="AZ124" s="13">
        <f>$I$60*$AZ$60</f>
        <v>0</v>
      </c>
      <c r="BA124" s="13">
        <f>$I$60*$BA$60</f>
        <v>634959.64047078777</v>
      </c>
      <c r="BB124" s="13">
        <f>$I$60*$BB$60</f>
        <v>16829.903603644841</v>
      </c>
      <c r="BC124" s="13">
        <f>$I$60*$BC$60</f>
        <v>42697.132149663666</v>
      </c>
      <c r="BD124" s="13">
        <f>$I$60*$BD$60</f>
        <v>14828.496048631725</v>
      </c>
    </row>
    <row r="125" spans="1:56" ht="11.25" customHeight="1" x14ac:dyDescent="0.3">
      <c r="A125" s="9" t="s">
        <v>37</v>
      </c>
      <c r="B125" s="9" t="s">
        <v>1199</v>
      </c>
      <c r="C125" s="9" t="s">
        <v>1200</v>
      </c>
      <c r="D125" s="9" t="s">
        <v>1201</v>
      </c>
      <c r="E125" s="9" t="s">
        <v>1202</v>
      </c>
      <c r="F125" s="9" t="s">
        <v>1203</v>
      </c>
      <c r="G125" s="9" t="s">
        <v>1204</v>
      </c>
      <c r="L125" s="13">
        <f>$I$61*$L$61</f>
        <v>0</v>
      </c>
      <c r="M125" s="13">
        <f>$I$61*$M$61</f>
        <v>0</v>
      </c>
      <c r="N125" s="13">
        <f ca="1">$I$61*$N$61</f>
        <v>0</v>
      </c>
      <c r="O125" s="13">
        <f>$I$61*$O$61</f>
        <v>0</v>
      </c>
      <c r="P125" s="13">
        <f>$I$61*$P$61</f>
        <v>0</v>
      </c>
      <c r="Q125" s="13">
        <f>$I$61*$Q$61</f>
        <v>0</v>
      </c>
      <c r="R125" s="13">
        <f>$I$61*$R$61</f>
        <v>0</v>
      </c>
      <c r="S125" s="13">
        <f>$I$61*$S$61</f>
        <v>0</v>
      </c>
      <c r="T125" s="13">
        <f>$I$61*$T$61</f>
        <v>0</v>
      </c>
      <c r="U125" s="13">
        <f>$I$61*$U$61</f>
        <v>0</v>
      </c>
      <c r="V125" s="13">
        <f>$I$61*$V$61</f>
        <v>0</v>
      </c>
      <c r="W125" s="13">
        <f>$I$61*$W$61</f>
        <v>0</v>
      </c>
      <c r="X125" s="13">
        <f>$I$61*$X$61</f>
        <v>0</v>
      </c>
      <c r="Y125" s="13">
        <f>$I$61*$Y$61</f>
        <v>0</v>
      </c>
      <c r="Z125" s="13">
        <f>$I$61*$Z$61</f>
        <v>0</v>
      </c>
      <c r="AA125" s="13">
        <f>$I$61*$AA$61</f>
        <v>0</v>
      </c>
      <c r="AB125" s="13">
        <f ca="1">$I$61*$AB$61</f>
        <v>0</v>
      </c>
      <c r="AC125" s="13">
        <f ca="1">$I$61*$AC$61</f>
        <v>0</v>
      </c>
      <c r="AD125" s="13">
        <f>$I$61*$AD$61</f>
        <v>0</v>
      </c>
      <c r="AE125" s="13">
        <f>$I$61*$AE$61</f>
        <v>0</v>
      </c>
      <c r="AF125" s="13">
        <f ca="1">$I$61*$AF$61</f>
        <v>0</v>
      </c>
      <c r="AG125" s="13">
        <f ca="1">$I$61*$AG$61</f>
        <v>0</v>
      </c>
      <c r="AI125" s="13">
        <f>$I$61*$AI$61</f>
        <v>0</v>
      </c>
      <c r="AJ125" s="13">
        <f>$I$61*$AJ$61</f>
        <v>0</v>
      </c>
      <c r="AK125" s="13">
        <f>$I$61*$AK$61</f>
        <v>0</v>
      </c>
      <c r="AL125" s="13">
        <f>$I$61*$AL$61</f>
        <v>0</v>
      </c>
      <c r="AM125" s="13">
        <f>$I$61*$AM$61</f>
        <v>0</v>
      </c>
      <c r="AN125" s="13">
        <f>$I$61*$AN$61</f>
        <v>0</v>
      </c>
      <c r="AO125" s="13">
        <f>$I$61*$AO$61</f>
        <v>0</v>
      </c>
      <c r="AP125" s="13">
        <f>$I$61*$AP$61</f>
        <v>0</v>
      </c>
      <c r="AQ125" s="13">
        <f>$I$61*$AQ$61</f>
        <v>0</v>
      </c>
      <c r="AR125" s="13">
        <f>$I$61*$AR$61</f>
        <v>0</v>
      </c>
      <c r="AS125" s="13">
        <f>$I$61*$AS$61</f>
        <v>0</v>
      </c>
      <c r="AT125" s="13">
        <f>$I$61*$AT$61</f>
        <v>0</v>
      </c>
      <c r="AU125" s="13">
        <f>$I$61*$AU$61</f>
        <v>0</v>
      </c>
      <c r="AV125" s="13">
        <f>$I$61*$AV$61</f>
        <v>0</v>
      </c>
      <c r="AW125" s="13">
        <f>$I$61*$AW$61</f>
        <v>0</v>
      </c>
      <c r="AX125" s="13">
        <f>$I$61*$AX$61</f>
        <v>0</v>
      </c>
      <c r="AY125" s="13">
        <f>$I$61*$AY$61</f>
        <v>0</v>
      </c>
      <c r="AZ125" s="13">
        <f>$I$61*$AZ$61</f>
        <v>0</v>
      </c>
      <c r="BA125" s="13">
        <f>$I$61*$BA$61</f>
        <v>0</v>
      </c>
      <c r="BB125" s="13">
        <f>$I$61*$BB$61</f>
        <v>0</v>
      </c>
      <c r="BC125" s="13">
        <f>$I$61*$BC$61</f>
        <v>0</v>
      </c>
      <c r="BD125" s="13">
        <f>$I$61*$BD$61</f>
        <v>0</v>
      </c>
    </row>
    <row r="126" spans="1:56" ht="11.25" customHeight="1" x14ac:dyDescent="0.3">
      <c r="A126" s="9" t="s">
        <v>47</v>
      </c>
      <c r="B126" s="9" t="s">
        <v>1205</v>
      </c>
      <c r="C126" s="9" t="s">
        <v>1206</v>
      </c>
      <c r="D126" s="9" t="s">
        <v>1207</v>
      </c>
      <c r="E126" s="9" t="s">
        <v>1208</v>
      </c>
      <c r="F126" s="9" t="s">
        <v>1209</v>
      </c>
      <c r="G126" s="9" t="s">
        <v>1210</v>
      </c>
      <c r="L126" s="13">
        <f>$I$62*$L$62</f>
        <v>39677.59247397587</v>
      </c>
      <c r="M126" s="13">
        <f>$I$62*$M$62</f>
        <v>2864.2596591789556</v>
      </c>
      <c r="N126" s="13">
        <f ca="1">$I$62*$N$62</f>
        <v>10499.06660205144</v>
      </c>
      <c r="O126" s="13">
        <f>$I$62*$O$62</f>
        <v>0</v>
      </c>
      <c r="P126" s="13">
        <f>$I$62*$P$62</f>
        <v>0</v>
      </c>
      <c r="Q126" s="13">
        <f>$I$62*$Q$62</f>
        <v>348520.59067443549</v>
      </c>
      <c r="R126" s="13">
        <f>$I$62*$R$62</f>
        <v>57455.671433710304</v>
      </c>
      <c r="S126" s="13">
        <f>$I$62*$S$62</f>
        <v>0</v>
      </c>
      <c r="T126" s="13">
        <f>$I$62*$T$62</f>
        <v>117182.40825238185</v>
      </c>
      <c r="U126" s="13">
        <f>$I$62*$U$62</f>
        <v>55211.624077844412</v>
      </c>
      <c r="V126" s="13">
        <f>$I$62*$V$62</f>
        <v>0</v>
      </c>
      <c r="W126" s="13">
        <f>$I$62*$W$62</f>
        <v>0</v>
      </c>
      <c r="X126" s="13">
        <f>$I$62*$X$62</f>
        <v>0</v>
      </c>
      <c r="Y126" s="13">
        <f>$I$62*$Y$62</f>
        <v>0</v>
      </c>
      <c r="Z126" s="13">
        <f>$I$62*$Z$62</f>
        <v>0</v>
      </c>
      <c r="AA126" s="13">
        <f>$I$62*$AA$62</f>
        <v>701807.71188355354</v>
      </c>
      <c r="AB126" s="13">
        <f ca="1">$I$62*$AB$62</f>
        <v>-55686.07161385988</v>
      </c>
      <c r="AC126" s="13">
        <f ca="1">$I$62*$AC$62</f>
        <v>0</v>
      </c>
      <c r="AD126" s="13">
        <f>$I$62*$AD$62</f>
        <v>68207.940661567787</v>
      </c>
      <c r="AE126" s="13">
        <f>$I$62*$AE$62</f>
        <v>2007.1068430227499</v>
      </c>
      <c r="AF126" s="13">
        <f ca="1">$I$62*$AF$62</f>
        <v>4576.3301425092186</v>
      </c>
      <c r="AG126" s="13">
        <f ca="1">$I$62*$AG$62</f>
        <v>1064.3894506706947</v>
      </c>
      <c r="AI126" s="13">
        <f>$I$62*$AI$62</f>
        <v>36242.665817739216</v>
      </c>
      <c r="AJ126" s="13">
        <f>$I$62*$AJ$62</f>
        <v>2664.6094974573516</v>
      </c>
      <c r="AK126" s="13">
        <f>$I$62*$AK$62</f>
        <v>9484.8585469129848</v>
      </c>
      <c r="AL126" s="13">
        <f>$I$62*$AL$62</f>
        <v>0</v>
      </c>
      <c r="AM126" s="13">
        <f>$I$62*$AM$62</f>
        <v>0</v>
      </c>
      <c r="AN126" s="13">
        <f>$I$62*$AN$62</f>
        <v>163908.05752360291</v>
      </c>
      <c r="AO126" s="13">
        <f>$I$62*$AO$62</f>
        <v>35800.910560867487</v>
      </c>
      <c r="AP126" s="13">
        <f>$I$62*$AP$62</f>
        <v>0</v>
      </c>
      <c r="AQ126" s="13">
        <f>$I$62*$AQ$62</f>
        <v>92142.037889909479</v>
      </c>
      <c r="AR126" s="13">
        <f>$I$62*$AR$62</f>
        <v>49252.015690024222</v>
      </c>
      <c r="AS126" s="13">
        <f>$I$62*$AS$62</f>
        <v>0</v>
      </c>
      <c r="AT126" s="13">
        <f>$I$62*$AT$62</f>
        <v>0</v>
      </c>
      <c r="AU126" s="13">
        <f>$I$62*$AU$62</f>
        <v>0</v>
      </c>
      <c r="AV126" s="13">
        <f>$I$62*$AV$62</f>
        <v>0</v>
      </c>
      <c r="AW126" s="13">
        <f>$I$62*$AW$62</f>
        <v>0</v>
      </c>
      <c r="AX126" s="13">
        <f>$I$62*$AX$62</f>
        <v>658319.87320813374</v>
      </c>
      <c r="AY126" s="13">
        <f>$I$62*$AY$62</f>
        <v>-64365.220150649038</v>
      </c>
      <c r="AZ126" s="13">
        <f>$I$62*$AZ$62</f>
        <v>0</v>
      </c>
      <c r="BA126" s="13">
        <f>$I$62*$BA$62</f>
        <v>73701.051377324577</v>
      </c>
      <c r="BB126" s="13">
        <f>$I$62*$BB$62</f>
        <v>1953.4809948675954</v>
      </c>
      <c r="BC126" s="13">
        <f>$I$62*$BC$62</f>
        <v>4955.9425980107471</v>
      </c>
      <c r="BD126" s="13">
        <f>$I$62*$BD$62</f>
        <v>1721.1735667456744</v>
      </c>
    </row>
    <row r="127" spans="1:56" ht="11.25" customHeight="1" x14ac:dyDescent="0.3">
      <c r="A127" s="9" t="s">
        <v>47</v>
      </c>
      <c r="B127" s="9" t="s">
        <v>1205</v>
      </c>
      <c r="C127" s="9" t="s">
        <v>1206</v>
      </c>
      <c r="D127" s="9" t="s">
        <v>1211</v>
      </c>
      <c r="E127" s="9" t="s">
        <v>1212</v>
      </c>
      <c r="F127" s="9" t="s">
        <v>1213</v>
      </c>
      <c r="G127" s="9" t="s">
        <v>1214</v>
      </c>
      <c r="L127" s="13">
        <f>$I$63*$L$63</f>
        <v>0</v>
      </c>
      <c r="M127" s="13">
        <f>$I$63*$M$63</f>
        <v>0</v>
      </c>
      <c r="N127" s="13">
        <f ca="1">$I$63*$N$63</f>
        <v>0</v>
      </c>
      <c r="O127" s="13">
        <f>$I$63*$O$63</f>
        <v>0</v>
      </c>
      <c r="P127" s="13">
        <f>$I$63*$P$63</f>
        <v>0</v>
      </c>
      <c r="Q127" s="13">
        <f>$I$63*$Q$63</f>
        <v>0</v>
      </c>
      <c r="R127" s="13">
        <f>$I$63*$R$63</f>
        <v>0</v>
      </c>
      <c r="S127" s="13">
        <f>$I$63*$S$63</f>
        <v>0</v>
      </c>
      <c r="T127" s="13">
        <f>$I$63*$T$63</f>
        <v>0</v>
      </c>
      <c r="U127" s="13">
        <f>$I$63*$U$63</f>
        <v>0</v>
      </c>
      <c r="V127" s="13">
        <f>$I$63*$V$63</f>
        <v>0</v>
      </c>
      <c r="W127" s="13">
        <f>$I$63*$W$63</f>
        <v>0</v>
      </c>
      <c r="X127" s="13">
        <f>$I$63*$X$63</f>
        <v>0</v>
      </c>
      <c r="Y127" s="13">
        <f>$I$63*$Y$63</f>
        <v>0</v>
      </c>
      <c r="Z127" s="13">
        <f>$I$63*$Z$63</f>
        <v>0</v>
      </c>
      <c r="AA127" s="13">
        <f>$I$63*$AA$63</f>
        <v>0</v>
      </c>
      <c r="AB127" s="13">
        <f ca="1">$I$63*$AB$63</f>
        <v>0</v>
      </c>
      <c r="AC127" s="13">
        <f ca="1">$I$63*$AC$63</f>
        <v>0</v>
      </c>
      <c r="AD127" s="13">
        <f>$I$63*$AD$63</f>
        <v>0</v>
      </c>
      <c r="AE127" s="13">
        <f>$I$63*$AE$63</f>
        <v>0</v>
      </c>
      <c r="AF127" s="13">
        <f ca="1">$I$63*$AF$63</f>
        <v>0</v>
      </c>
      <c r="AG127" s="13">
        <f ca="1">$I$63*$AG$63</f>
        <v>0</v>
      </c>
      <c r="AI127" s="13">
        <f>$I$63*$AI$63</f>
        <v>0</v>
      </c>
      <c r="AJ127" s="13">
        <f>$I$63*$AJ$63</f>
        <v>0</v>
      </c>
      <c r="AK127" s="13">
        <f>$I$63*$AK$63</f>
        <v>0</v>
      </c>
      <c r="AL127" s="13">
        <f>$I$63*$AL$63</f>
        <v>0</v>
      </c>
      <c r="AM127" s="13">
        <f>$I$63*$AM$63</f>
        <v>0</v>
      </c>
      <c r="AN127" s="13">
        <f>$I$63*$AN$63</f>
        <v>0</v>
      </c>
      <c r="AO127" s="13">
        <f>$I$63*$AO$63</f>
        <v>0</v>
      </c>
      <c r="AP127" s="13">
        <f>$I$63*$AP$63</f>
        <v>0</v>
      </c>
      <c r="AQ127" s="13">
        <f>$I$63*$AQ$63</f>
        <v>0</v>
      </c>
      <c r="AR127" s="13">
        <f>$I$63*$AR$63</f>
        <v>0</v>
      </c>
      <c r="AS127" s="13">
        <f>$I$63*$AS$63</f>
        <v>0</v>
      </c>
      <c r="AT127" s="13">
        <f>$I$63*$AT$63</f>
        <v>0</v>
      </c>
      <c r="AU127" s="13">
        <f>$I$63*$AU$63</f>
        <v>0</v>
      </c>
      <c r="AV127" s="13">
        <f>$I$63*$AV$63</f>
        <v>0</v>
      </c>
      <c r="AW127" s="13">
        <f>$I$63*$AW$63</f>
        <v>0</v>
      </c>
      <c r="AX127" s="13">
        <f>$I$63*$AX$63</f>
        <v>0</v>
      </c>
      <c r="AY127" s="13">
        <f>$I$63*$AY$63</f>
        <v>0</v>
      </c>
      <c r="AZ127" s="13">
        <f>$I$63*$AZ$63</f>
        <v>0</v>
      </c>
      <c r="BA127" s="13">
        <f>$I$63*$BA$63</f>
        <v>0</v>
      </c>
      <c r="BB127" s="13">
        <f>$I$63*$BB$63</f>
        <v>0</v>
      </c>
      <c r="BC127" s="13">
        <f>$I$63*$BC$63</f>
        <v>0</v>
      </c>
      <c r="BD127" s="13">
        <f>$I$63*$BD$63</f>
        <v>0</v>
      </c>
    </row>
  </sheetData>
  <mergeCells count="106">
    <mergeCell ref="I1:I4"/>
    <mergeCell ref="J1:J4"/>
    <mergeCell ref="L1:AG1"/>
    <mergeCell ref="L2:AG2"/>
    <mergeCell ref="L3:S3"/>
    <mergeCell ref="T3:Z3"/>
    <mergeCell ref="A1:A4"/>
    <mergeCell ref="B15:B16"/>
    <mergeCell ref="C15:C16"/>
    <mergeCell ref="D15:D16"/>
    <mergeCell ref="E15:E16"/>
    <mergeCell ref="F15:F16"/>
    <mergeCell ref="B1:B4"/>
    <mergeCell ref="C1:C4"/>
    <mergeCell ref="D1:D4"/>
    <mergeCell ref="E1:E4"/>
    <mergeCell ref="F1:F4"/>
    <mergeCell ref="C10:C14"/>
    <mergeCell ref="D10:D14"/>
    <mergeCell ref="E10:E12"/>
    <mergeCell ref="F10:F12"/>
    <mergeCell ref="E13:E14"/>
    <mergeCell ref="F13:F14"/>
    <mergeCell ref="A5:A16"/>
    <mergeCell ref="B5:B8"/>
    <mergeCell ref="C5:C8"/>
    <mergeCell ref="D5:D8"/>
    <mergeCell ref="E5:E7"/>
    <mergeCell ref="F5:F7"/>
    <mergeCell ref="B10:B14"/>
    <mergeCell ref="G1:G4"/>
    <mergeCell ref="H1:H4"/>
    <mergeCell ref="A29:A41"/>
    <mergeCell ref="B29:B31"/>
    <mergeCell ref="C29:C31"/>
    <mergeCell ref="D29:D31"/>
    <mergeCell ref="F17:F19"/>
    <mergeCell ref="B22:B26"/>
    <mergeCell ref="C22:C26"/>
    <mergeCell ref="D22:D26"/>
    <mergeCell ref="E22:E24"/>
    <mergeCell ref="F22:F24"/>
    <mergeCell ref="E25:E26"/>
    <mergeCell ref="F25:F26"/>
    <mergeCell ref="A17:A26"/>
    <mergeCell ref="B17:B20"/>
    <mergeCell ref="C17:C20"/>
    <mergeCell ref="D17:D20"/>
    <mergeCell ref="E17:E19"/>
    <mergeCell ref="A27:A28"/>
    <mergeCell ref="B27:B28"/>
    <mergeCell ref="C27:C28"/>
    <mergeCell ref="D27:D28"/>
    <mergeCell ref="C42:C44"/>
    <mergeCell ref="D42:D44"/>
    <mergeCell ref="E42:E44"/>
    <mergeCell ref="F42:F44"/>
    <mergeCell ref="B46:B48"/>
    <mergeCell ref="C46:C48"/>
    <mergeCell ref="D46:D48"/>
    <mergeCell ref="E46:E48"/>
    <mergeCell ref="E29:E31"/>
    <mergeCell ref="F29:F31"/>
    <mergeCell ref="B32:B36"/>
    <mergeCell ref="C32:C36"/>
    <mergeCell ref="B37:B41"/>
    <mergeCell ref="C37:C41"/>
    <mergeCell ref="E57:E59"/>
    <mergeCell ref="F57:F59"/>
    <mergeCell ref="A62:A63"/>
    <mergeCell ref="B62:B63"/>
    <mergeCell ref="C62:C63"/>
    <mergeCell ref="AI1:BD1"/>
    <mergeCell ref="AI2:BD2"/>
    <mergeCell ref="AI3:AP3"/>
    <mergeCell ref="AQ3:AW3"/>
    <mergeCell ref="AY3:AZ3"/>
    <mergeCell ref="B54:B56"/>
    <mergeCell ref="C54:C56"/>
    <mergeCell ref="A57:A61"/>
    <mergeCell ref="B57:B59"/>
    <mergeCell ref="C57:C59"/>
    <mergeCell ref="D57:D59"/>
    <mergeCell ref="F46:F48"/>
    <mergeCell ref="B50:B52"/>
    <mergeCell ref="C50:C52"/>
    <mergeCell ref="D50:D52"/>
    <mergeCell ref="E50:E52"/>
    <mergeCell ref="F50:F52"/>
    <mergeCell ref="A42:A56"/>
    <mergeCell ref="B42:B44"/>
    <mergeCell ref="AQ67:AW67"/>
    <mergeCell ref="AY67:AZ67"/>
    <mergeCell ref="BA67:BD67"/>
    <mergeCell ref="BA3:BD3"/>
    <mergeCell ref="L65:AG65"/>
    <mergeCell ref="AI65:BD65"/>
    <mergeCell ref="L66:AG66"/>
    <mergeCell ref="AI66:BD66"/>
    <mergeCell ref="L67:S67"/>
    <mergeCell ref="T67:Z67"/>
    <mergeCell ref="AB67:AC67"/>
    <mergeCell ref="AD67:AG67"/>
    <mergeCell ref="AI67:AP67"/>
    <mergeCell ref="AB3:AC3"/>
    <mergeCell ref="AD3:AG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A8BD6-FFA4-4BBF-AB1B-CD3770ABA2FD}">
  <sheetPr codeName="Planilha23"/>
  <dimension ref="A1:AH89"/>
  <sheetViews>
    <sheetView showGridLines="0" topLeftCell="L20" workbookViewId="0">
      <selection activeCell="V45" sqref="V45"/>
    </sheetView>
  </sheetViews>
  <sheetFormatPr defaultRowHeight="11.25" customHeight="1" x14ac:dyDescent="0.3"/>
  <cols>
    <col min="1" max="1" width="9" style="9" bestFit="1" customWidth="1"/>
    <col min="2" max="2" width="28.21875" style="9" bestFit="1" customWidth="1"/>
    <col min="3" max="3" width="37.6640625" style="9" bestFit="1" customWidth="1"/>
    <col min="4" max="4" width="60" style="9" bestFit="1" customWidth="1"/>
    <col min="5" max="5" width="69.44140625" style="9" bestFit="1" customWidth="1"/>
    <col min="6" max="6" width="78.77734375" style="9" bestFit="1" customWidth="1"/>
    <col min="7" max="7" width="79.5546875" style="9" bestFit="1" customWidth="1"/>
    <col min="8" max="8" width="7.21875" style="9" bestFit="1" customWidth="1"/>
    <col min="9" max="9" width="7.6640625" style="9" bestFit="1" customWidth="1"/>
    <col min="10" max="10" width="8.88671875" style="9"/>
    <col min="11" max="11" width="19.88671875" style="9" bestFit="1" customWidth="1"/>
    <col min="12" max="12" width="8.44140625" style="9" bestFit="1" customWidth="1"/>
    <col min="13" max="13" width="9.6640625" style="9" bestFit="1" customWidth="1"/>
    <col min="14" max="14" width="5.77734375" style="9" bestFit="1" customWidth="1"/>
    <col min="15" max="15" width="10.77734375" style="9" bestFit="1" customWidth="1"/>
    <col min="16" max="16" width="9" style="9" bestFit="1" customWidth="1"/>
    <col min="17" max="17" width="14.5546875" style="9" bestFit="1" customWidth="1"/>
    <col min="18" max="18" width="8.44140625" style="9" bestFit="1" customWidth="1"/>
    <col min="19" max="19" width="10.109375" style="9" bestFit="1" customWidth="1"/>
    <col min="20" max="20" width="6.77734375" style="9" bestFit="1" customWidth="1"/>
    <col min="21" max="21" width="10.77734375" style="9" bestFit="1" customWidth="1"/>
    <col min="22" max="22" width="10.6640625" style="9" bestFit="1" customWidth="1"/>
    <col min="23" max="23" width="8.88671875" style="9"/>
    <col min="24" max="24" width="8.44140625" style="9" bestFit="1" customWidth="1"/>
    <col min="25" max="25" width="9.6640625" style="9" bestFit="1" customWidth="1"/>
    <col min="26" max="26" width="5.77734375" style="9" bestFit="1" customWidth="1"/>
    <col min="27" max="27" width="10.77734375" style="9" bestFit="1" customWidth="1"/>
    <col min="28" max="28" width="9" style="9" bestFit="1" customWidth="1"/>
    <col min="29" max="29" width="14.5546875" style="9" bestFit="1" customWidth="1"/>
    <col min="30" max="30" width="8.44140625" style="9" bestFit="1" customWidth="1"/>
    <col min="31" max="31" width="10.109375" style="9" bestFit="1" customWidth="1"/>
    <col min="32" max="32" width="6.77734375" style="9" bestFit="1" customWidth="1"/>
    <col min="33" max="33" width="10.77734375" style="9" bestFit="1" customWidth="1"/>
    <col min="34" max="34" width="10.6640625" style="9" bestFit="1" customWidth="1"/>
    <col min="35" max="16384" width="8.88671875" style="9"/>
  </cols>
  <sheetData>
    <row r="1" spans="1:34" ht="11.25" customHeight="1" x14ac:dyDescent="0.3">
      <c r="A1" s="147" t="s">
        <v>69</v>
      </c>
      <c r="B1" s="147" t="s">
        <v>70</v>
      </c>
      <c r="C1" s="147" t="s">
        <v>71</v>
      </c>
      <c r="D1" s="147" t="s">
        <v>72</v>
      </c>
      <c r="E1" s="147" t="s">
        <v>73</v>
      </c>
      <c r="F1" s="147" t="s">
        <v>15</v>
      </c>
      <c r="G1" s="147" t="s">
        <v>75</v>
      </c>
      <c r="H1" s="147" t="s">
        <v>76</v>
      </c>
      <c r="I1" s="147" t="s">
        <v>716</v>
      </c>
      <c r="J1" s="131"/>
      <c r="L1" s="145" t="s">
        <v>1215</v>
      </c>
      <c r="M1" s="145"/>
      <c r="N1" s="145"/>
      <c r="O1" s="145"/>
      <c r="P1" s="145"/>
      <c r="Q1" s="145"/>
      <c r="R1" s="145"/>
      <c r="S1" s="145"/>
      <c r="T1" s="145"/>
      <c r="U1" s="145"/>
      <c r="V1" s="145"/>
      <c r="X1" s="145" t="s">
        <v>1216</v>
      </c>
      <c r="Y1" s="145"/>
      <c r="Z1" s="145"/>
      <c r="AA1" s="145"/>
      <c r="AB1" s="145"/>
      <c r="AC1" s="145"/>
      <c r="AD1" s="145"/>
      <c r="AE1" s="145"/>
      <c r="AF1" s="145"/>
      <c r="AG1" s="145"/>
      <c r="AH1" s="145"/>
    </row>
    <row r="2" spans="1:34" ht="11.25" customHeight="1" x14ac:dyDescent="0.3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5" t="s">
        <v>643</v>
      </c>
      <c r="M2" s="145"/>
      <c r="N2" s="145"/>
      <c r="O2" s="145"/>
      <c r="P2" s="145"/>
      <c r="Q2" s="145"/>
      <c r="R2" s="145"/>
      <c r="S2" s="145"/>
      <c r="T2" s="145"/>
      <c r="U2" s="145"/>
      <c r="V2" s="145"/>
      <c r="X2" s="145" t="s">
        <v>643</v>
      </c>
      <c r="Y2" s="145"/>
      <c r="Z2" s="145"/>
      <c r="AA2" s="145"/>
      <c r="AB2" s="145"/>
      <c r="AC2" s="145"/>
      <c r="AD2" s="145"/>
      <c r="AE2" s="145"/>
      <c r="AF2" s="145"/>
      <c r="AG2" s="145"/>
      <c r="AH2" s="145"/>
    </row>
    <row r="3" spans="1:34" ht="11.25" customHeight="1" x14ac:dyDescent="0.3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5" t="s">
        <v>616</v>
      </c>
      <c r="M3" s="145"/>
      <c r="N3" s="145"/>
      <c r="O3" s="145"/>
      <c r="P3" s="145"/>
      <c r="Q3" s="24" t="s">
        <v>647</v>
      </c>
      <c r="R3" s="145" t="s">
        <v>625</v>
      </c>
      <c r="S3" s="145"/>
      <c r="T3" s="145"/>
      <c r="U3" s="24" t="s">
        <v>635</v>
      </c>
      <c r="V3" s="24" t="s">
        <v>638</v>
      </c>
      <c r="X3" s="145" t="s">
        <v>616</v>
      </c>
      <c r="Y3" s="145"/>
      <c r="Z3" s="145"/>
      <c r="AA3" s="145"/>
      <c r="AB3" s="145"/>
      <c r="AC3" s="24" t="s">
        <v>647</v>
      </c>
      <c r="AD3" s="145" t="s">
        <v>625</v>
      </c>
      <c r="AE3" s="145"/>
      <c r="AF3" s="145"/>
      <c r="AG3" s="24" t="s">
        <v>635</v>
      </c>
      <c r="AH3" s="24" t="s">
        <v>638</v>
      </c>
    </row>
    <row r="4" spans="1:34" ht="11.25" customHeight="1" x14ac:dyDescent="0.3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24" t="s">
        <v>618</v>
      </c>
      <c r="M4" s="24" t="s">
        <v>644</v>
      </c>
      <c r="N4" s="24" t="s">
        <v>645</v>
      </c>
      <c r="O4" s="24" t="s">
        <v>704</v>
      </c>
      <c r="P4" s="24" t="s">
        <v>646</v>
      </c>
      <c r="Q4" s="24" t="s">
        <v>648</v>
      </c>
      <c r="R4" s="24" t="s">
        <v>649</v>
      </c>
      <c r="S4" s="24" t="s">
        <v>650</v>
      </c>
      <c r="T4" s="24" t="s">
        <v>651</v>
      </c>
      <c r="U4" s="24" t="s">
        <v>636</v>
      </c>
      <c r="V4" s="24" t="s">
        <v>652</v>
      </c>
      <c r="X4" s="24" t="s">
        <v>618</v>
      </c>
      <c r="Y4" s="24" t="s">
        <v>644</v>
      </c>
      <c r="Z4" s="24" t="s">
        <v>645</v>
      </c>
      <c r="AA4" s="24" t="s">
        <v>704</v>
      </c>
      <c r="AB4" s="24" t="s">
        <v>646</v>
      </c>
      <c r="AC4" s="24" t="s">
        <v>648</v>
      </c>
      <c r="AD4" s="24" t="s">
        <v>649</v>
      </c>
      <c r="AE4" s="24" t="s">
        <v>650</v>
      </c>
      <c r="AF4" s="24" t="s">
        <v>651</v>
      </c>
      <c r="AG4" s="24" t="s">
        <v>636</v>
      </c>
      <c r="AH4" s="24" t="s">
        <v>652</v>
      </c>
    </row>
    <row r="5" spans="1:34" ht="11.25" customHeight="1" x14ac:dyDescent="0.3">
      <c r="A5" s="148" t="s">
        <v>45</v>
      </c>
      <c r="B5" s="148" t="s">
        <v>78</v>
      </c>
      <c r="C5" s="148" t="s">
        <v>25</v>
      </c>
      <c r="D5" s="148" t="s">
        <v>25</v>
      </c>
      <c r="E5" s="148" t="s">
        <v>25</v>
      </c>
      <c r="F5" s="148" t="s">
        <v>25</v>
      </c>
      <c r="G5" s="23" t="s">
        <v>80</v>
      </c>
      <c r="H5" s="23" t="s">
        <v>79</v>
      </c>
      <c r="I5" s="23">
        <f>'MERCADO TE'!$U$2</f>
        <v>6.42</v>
      </c>
      <c r="J5" s="15"/>
      <c r="L5" s="20">
        <f>('TE BE'!$L$5+'TE BF'!$L$5+'TE CVA'!$L$5)*1</f>
        <v>2.4026595191710416</v>
      </c>
      <c r="M5" s="20">
        <f>('TE BE'!$M$5+'TE BF'!$M$5+'TE CVA'!$M$5)*1</f>
        <v>22.449665681296494</v>
      </c>
      <c r="N5" s="20">
        <f>('TE BE'!$N$5+'TE BF'!$N$5+'TE CVA'!$N$5)*1</f>
        <v>0</v>
      </c>
      <c r="O5" s="20">
        <f>('TE BE'!$O$5+'TE BF'!$O$5+'TE CVA'!$O$5)*1</f>
        <v>5.7437144883312481</v>
      </c>
      <c r="P5" s="20">
        <f>('TE BE'!$P$5+'TE BF'!$P$5+'TE CVA'!$P$5)*1</f>
        <v>-17.459208153924113</v>
      </c>
      <c r="Q5" s="20">
        <f>('TE BE'!$R$5+'TE BF'!$R$5+'TE CVA'!$R$5)*1</f>
        <v>347.95165747413182</v>
      </c>
      <c r="R5" s="20">
        <f>('TE BE'!$T$5+'TE BF'!$T$5+'TE CVA'!$T$5)*1</f>
        <v>6.2552963466211802</v>
      </c>
      <c r="S5" s="20">
        <f>('TE BE'!$U$5+'TE BF'!$U$5+'TE CVA'!$U$5)*1</f>
        <v>4.4541212951865798</v>
      </c>
      <c r="T5" s="20">
        <f>('TE BE'!$V$5+'TE BF'!$V$5+'TE CVA'!$V$5)*1</f>
        <v>0</v>
      </c>
      <c r="U5" s="20">
        <f>('TE BE'!$X$5+'TE BF'!$X$5+'TE CVA'!$X$5)*1</f>
        <v>-15.721046976212161</v>
      </c>
      <c r="V5" s="20">
        <f>('TE BE'!$Z$5+'TE BF'!$Z$5+'TE CVA'!$Z$5)*1</f>
        <v>5.8757873676056915</v>
      </c>
      <c r="X5" s="20">
        <v>2.4004285931146998</v>
      </c>
      <c r="Y5" s="20">
        <v>14.529284717955999</v>
      </c>
      <c r="Z5" s="20">
        <v>0</v>
      </c>
      <c r="AA5" s="20">
        <v>0</v>
      </c>
      <c r="AB5" s="20">
        <v>0</v>
      </c>
      <c r="AC5" s="20">
        <v>373.43570589810901</v>
      </c>
      <c r="AD5" s="20">
        <v>5.6744744323241099</v>
      </c>
      <c r="AE5" s="20">
        <v>4.1044977979275696</v>
      </c>
      <c r="AF5" s="20">
        <v>0</v>
      </c>
      <c r="AG5" s="20">
        <v>-19.706101186370901</v>
      </c>
      <c r="AH5" s="20">
        <v>5.6811452662535604</v>
      </c>
    </row>
    <row r="6" spans="1:34" ht="11.25" customHeight="1" x14ac:dyDescent="0.3">
      <c r="A6" s="148"/>
      <c r="B6" s="148"/>
      <c r="C6" s="148"/>
      <c r="D6" s="148"/>
      <c r="E6" s="148"/>
      <c r="F6" s="148"/>
      <c r="G6" s="23" t="s">
        <v>81</v>
      </c>
      <c r="H6" s="23" t="s">
        <v>79</v>
      </c>
      <c r="I6" s="23">
        <f>'MERCADO TE'!$U$3</f>
        <v>1805.7700000000004</v>
      </c>
      <c r="J6" s="15"/>
      <c r="L6" s="20">
        <f>('TE BE'!$L$6+'TE BF'!$L$6+'TE CVA'!$L$6)*1</f>
        <v>2.4026595191710416</v>
      </c>
      <c r="M6" s="20">
        <f>('TE BE'!$M$6+'TE BF'!$M$6+'TE CVA'!$M$6)*1</f>
        <v>22.449665681296494</v>
      </c>
      <c r="N6" s="20">
        <f>('TE BE'!$N$6+'TE BF'!$N$6+'TE CVA'!$N$6)*1</f>
        <v>0</v>
      </c>
      <c r="O6" s="20">
        <f>('TE BE'!$O$6+'TE BF'!$O$6+'TE CVA'!$O$6)*1</f>
        <v>5.7437144883312481</v>
      </c>
      <c r="P6" s="20">
        <f>('TE BE'!$P$6+'TE BF'!$P$6+'TE CVA'!$P$6)*1</f>
        <v>-17.459208153924113</v>
      </c>
      <c r="Q6" s="20">
        <f>('TE BE'!$R$6+'TE BF'!$R$6+'TE CVA'!$R$6)*1</f>
        <v>202.29747527565806</v>
      </c>
      <c r="R6" s="20">
        <f>('TE BE'!$T$6+'TE BF'!$T$6+'TE CVA'!$T$6)*1</f>
        <v>6.2552963466211802</v>
      </c>
      <c r="S6" s="20">
        <f>('TE BE'!$U$6+'TE BF'!$U$6+'TE CVA'!$U$6)*1</f>
        <v>4.4541212951865798</v>
      </c>
      <c r="T6" s="20">
        <f>('TE BE'!$V$6+'TE BF'!$V$6+'TE CVA'!$V$6)*1</f>
        <v>0</v>
      </c>
      <c r="U6" s="20">
        <f>('TE BE'!$X$6+'TE BF'!$X$6+'TE CVA'!$X$6)*1</f>
        <v>-9.6256469400820865</v>
      </c>
      <c r="V6" s="20">
        <f>('TE BE'!$Z$6+'TE BF'!$Z$6+'TE CVA'!$Z$6)*1</f>
        <v>5.8757873676056915</v>
      </c>
      <c r="X6" s="20">
        <v>2.4004285931146998</v>
      </c>
      <c r="Y6" s="20">
        <v>14.529284717955999</v>
      </c>
      <c r="Z6" s="20">
        <v>0</v>
      </c>
      <c r="AA6" s="20">
        <v>0</v>
      </c>
      <c r="AB6" s="20">
        <v>0</v>
      </c>
      <c r="AC6" s="20">
        <v>217.113782498901</v>
      </c>
      <c r="AD6" s="20">
        <v>5.6744744323241099</v>
      </c>
      <c r="AE6" s="20">
        <v>4.1044977979275696</v>
      </c>
      <c r="AF6" s="20">
        <v>0</v>
      </c>
      <c r="AG6" s="20">
        <v>-12.151922268474401</v>
      </c>
      <c r="AH6" s="20">
        <v>5.6811452662535604</v>
      </c>
    </row>
    <row r="7" spans="1:34" ht="11.25" customHeight="1" x14ac:dyDescent="0.3">
      <c r="A7" s="148"/>
      <c r="B7" s="22" t="s">
        <v>82</v>
      </c>
      <c r="C7" s="22" t="s">
        <v>25</v>
      </c>
      <c r="D7" s="22" t="s">
        <v>25</v>
      </c>
      <c r="E7" s="22" t="s">
        <v>25</v>
      </c>
      <c r="F7" s="22" t="s">
        <v>25</v>
      </c>
      <c r="G7" s="23" t="s">
        <v>83</v>
      </c>
      <c r="H7" s="23" t="s">
        <v>79</v>
      </c>
      <c r="I7" s="23">
        <f>'MERCADO TE'!$U$4</f>
        <v>0</v>
      </c>
      <c r="J7" s="15"/>
      <c r="L7" s="20">
        <f>('TE BE'!$L$7+'TE BF'!$L$7+'TE CVA'!$L$7)*1</f>
        <v>2.4026595191710416</v>
      </c>
      <c r="M7" s="20">
        <f>('TE BE'!$M$7+'TE BF'!$M$7+'TE CVA'!$M$7)*1</f>
        <v>22.449665681296494</v>
      </c>
      <c r="N7" s="20">
        <f>('TE BE'!$N$7+'TE BF'!$N$7+'TE CVA'!$N$7)*1</f>
        <v>0</v>
      </c>
      <c r="O7" s="20">
        <f>('TE BE'!$O$7+'TE BF'!$O$7+'TE CVA'!$O$7)*1</f>
        <v>5.7437144883312481</v>
      </c>
      <c r="P7" s="20">
        <f>('TE BE'!$P$7+'TE BF'!$P$7+'TE CVA'!$P$7)*1</f>
        <v>-17.459208153924113</v>
      </c>
      <c r="Q7" s="20">
        <f>('TE BE'!$R$7+'TE BF'!$R$7+'TE CVA'!$R$7)*1</f>
        <v>214.43532379219755</v>
      </c>
      <c r="R7" s="20">
        <f>('TE BE'!$T$7+'TE BF'!$T$7+'TE CVA'!$T$7)*1</f>
        <v>6.2552963466211802</v>
      </c>
      <c r="S7" s="20">
        <f>('TE BE'!$U$7+'TE BF'!$U$7+'TE CVA'!$U$7)*1</f>
        <v>4.4541212951865798</v>
      </c>
      <c r="T7" s="20">
        <f>('TE BE'!$V$7+'TE BF'!$V$7+'TE CVA'!$V$7)*1</f>
        <v>0</v>
      </c>
      <c r="U7" s="20">
        <f>('TE BE'!$X$7+'TE BF'!$X$7+'TE CVA'!$X$7)*1</f>
        <v>-10.133596943092927</v>
      </c>
      <c r="V7" s="20">
        <f>('TE BE'!$Z$7+'TE BF'!$Z$7+'TE CVA'!$Z$7)*1</f>
        <v>5.8757873676056915</v>
      </c>
      <c r="X7" s="20">
        <v>2.4004285931146998</v>
      </c>
      <c r="Y7" s="20">
        <v>14.529284717955999</v>
      </c>
      <c r="Z7" s="20">
        <v>0</v>
      </c>
      <c r="AA7" s="20">
        <v>0</v>
      </c>
      <c r="AB7" s="20">
        <v>0</v>
      </c>
      <c r="AC7" s="20">
        <v>230.14060944883499</v>
      </c>
      <c r="AD7" s="20">
        <v>5.6744744323241099</v>
      </c>
      <c r="AE7" s="20">
        <v>4.1044977979275696</v>
      </c>
      <c r="AF7" s="20">
        <v>0</v>
      </c>
      <c r="AG7" s="20">
        <v>-12.7814371782991</v>
      </c>
      <c r="AH7" s="20">
        <v>5.6811452662535604</v>
      </c>
    </row>
    <row r="8" spans="1:34" ht="11.25" customHeight="1" x14ac:dyDescent="0.3">
      <c r="A8" s="148" t="s">
        <v>39</v>
      </c>
      <c r="B8" s="148" t="s">
        <v>78</v>
      </c>
      <c r="C8" s="148" t="s">
        <v>25</v>
      </c>
      <c r="D8" s="148" t="s">
        <v>25</v>
      </c>
      <c r="E8" s="148" t="s">
        <v>25</v>
      </c>
      <c r="F8" s="148" t="s">
        <v>25</v>
      </c>
      <c r="G8" s="23" t="s">
        <v>80</v>
      </c>
      <c r="H8" s="23" t="s">
        <v>79</v>
      </c>
      <c r="I8" s="23">
        <f>'MERCADO TE'!$U$5</f>
        <v>1184.028</v>
      </c>
      <c r="J8" s="15"/>
      <c r="L8" s="20">
        <f>('TE BE'!$L$8+'TE BF'!$L$8+'TE CVA'!$L$8)*1</f>
        <v>2.4026595191710416</v>
      </c>
      <c r="M8" s="20">
        <f>('TE BE'!$M$8+'TE BF'!$M$8+'TE CVA'!$M$8)*1</f>
        <v>22.449665681296494</v>
      </c>
      <c r="N8" s="20">
        <f>('TE BE'!$N$8+'TE BF'!$N$8+'TE CVA'!$N$8)*1</f>
        <v>0</v>
      </c>
      <c r="O8" s="20">
        <f>('TE BE'!$O$8+'TE BF'!$O$8+'TE CVA'!$O$8)*1</f>
        <v>5.7437144883312481</v>
      </c>
      <c r="P8" s="20">
        <f>('TE BE'!$P$8+'TE BF'!$P$8+'TE CVA'!$P$8)*1</f>
        <v>-17.459208153924113</v>
      </c>
      <c r="Q8" s="20">
        <f>('TE BE'!$R$8+'TE BF'!$R$8+'TE CVA'!$R$8)*1</f>
        <v>347.95165747413182</v>
      </c>
      <c r="R8" s="20">
        <f>('TE BE'!$T$8+'TE BF'!$T$8+'TE CVA'!$T$8)*1</f>
        <v>6.2552963466211802</v>
      </c>
      <c r="S8" s="20">
        <f>('TE BE'!$U$8+'TE BF'!$U$8+'TE CVA'!$U$8)*1</f>
        <v>4.4541212951865798</v>
      </c>
      <c r="T8" s="20">
        <f>('TE BE'!$V$8+'TE BF'!$V$8+'TE CVA'!$V$8)*1</f>
        <v>0</v>
      </c>
      <c r="U8" s="20">
        <f>('TE BE'!$X$8+'TE BF'!$X$8+'TE CVA'!$X$8)*1</f>
        <v>-15.721046976212161</v>
      </c>
      <c r="V8" s="20">
        <f>('TE BE'!$Z$8+'TE BF'!$Z$8+'TE CVA'!$Z$8)*1</f>
        <v>5.8757873676056915</v>
      </c>
      <c r="X8" s="20">
        <v>2.4004285931146998</v>
      </c>
      <c r="Y8" s="20">
        <v>14.529284717955999</v>
      </c>
      <c r="Z8" s="20">
        <v>0</v>
      </c>
      <c r="AA8" s="20">
        <v>0</v>
      </c>
      <c r="AB8" s="20">
        <v>0</v>
      </c>
      <c r="AC8" s="20">
        <v>373.43570589810901</v>
      </c>
      <c r="AD8" s="20">
        <v>5.6744744323241099</v>
      </c>
      <c r="AE8" s="20">
        <v>4.1044977979275696</v>
      </c>
      <c r="AF8" s="20">
        <v>0</v>
      </c>
      <c r="AG8" s="20">
        <v>-19.706101186370901</v>
      </c>
      <c r="AH8" s="20">
        <v>5.6811452662535604</v>
      </c>
    </row>
    <row r="9" spans="1:34" ht="11.25" customHeight="1" x14ac:dyDescent="0.3">
      <c r="A9" s="148"/>
      <c r="B9" s="148"/>
      <c r="C9" s="148"/>
      <c r="D9" s="148"/>
      <c r="E9" s="148"/>
      <c r="F9" s="148"/>
      <c r="G9" s="23" t="s">
        <v>81</v>
      </c>
      <c r="H9" s="23" t="s">
        <v>79</v>
      </c>
      <c r="I9" s="23">
        <f>'MERCADO TE'!$U$6</f>
        <v>18584.842000000001</v>
      </c>
      <c r="J9" s="15"/>
      <c r="L9" s="20">
        <f>('TE BE'!$L$9+'TE BF'!$L$9+'TE CVA'!$L$9)*1</f>
        <v>2.4026595191710416</v>
      </c>
      <c r="M9" s="20">
        <f>('TE BE'!$M$9+'TE BF'!$M$9+'TE CVA'!$M$9)*1</f>
        <v>22.449665681296494</v>
      </c>
      <c r="N9" s="20">
        <f>('TE BE'!$N$9+'TE BF'!$N$9+'TE CVA'!$N$9)*1</f>
        <v>0</v>
      </c>
      <c r="O9" s="20">
        <f>('TE BE'!$O$9+'TE BF'!$O$9+'TE CVA'!$O$9)*1</f>
        <v>5.7437144883312481</v>
      </c>
      <c r="P9" s="20">
        <f>('TE BE'!$P$9+'TE BF'!$P$9+'TE CVA'!$P$9)*1</f>
        <v>-17.459208153924113</v>
      </c>
      <c r="Q9" s="20">
        <f>('TE BE'!$R$9+'TE BF'!$R$9+'TE CVA'!$R$9)*1</f>
        <v>202.29747527565806</v>
      </c>
      <c r="R9" s="20">
        <f>('TE BE'!$T$9+'TE BF'!$T$9+'TE CVA'!$T$9)*1</f>
        <v>6.2552963466211802</v>
      </c>
      <c r="S9" s="20">
        <f>('TE BE'!$U$9+'TE BF'!$U$9+'TE CVA'!$U$9)*1</f>
        <v>4.4541212951865798</v>
      </c>
      <c r="T9" s="20">
        <f>('TE BE'!$V$9+'TE BF'!$V$9+'TE CVA'!$V$9)*1</f>
        <v>0</v>
      </c>
      <c r="U9" s="20">
        <f>('TE BE'!$X$9+'TE BF'!$X$9+'TE CVA'!$X$9)*1</f>
        <v>-9.6256469400820865</v>
      </c>
      <c r="V9" s="20">
        <f>('TE BE'!$Z$9+'TE BF'!$Z$9+'TE CVA'!$Z$9)*1</f>
        <v>5.8757873676056915</v>
      </c>
      <c r="X9" s="20">
        <v>2.4004285931146998</v>
      </c>
      <c r="Y9" s="20">
        <v>14.529284717955999</v>
      </c>
      <c r="Z9" s="20">
        <v>0</v>
      </c>
      <c r="AA9" s="20">
        <v>0</v>
      </c>
      <c r="AB9" s="20">
        <v>0</v>
      </c>
      <c r="AC9" s="20">
        <v>217.113782498901</v>
      </c>
      <c r="AD9" s="20">
        <v>5.6744744323241099</v>
      </c>
      <c r="AE9" s="20">
        <v>4.1044977979275696</v>
      </c>
      <c r="AF9" s="20">
        <v>0</v>
      </c>
      <c r="AG9" s="20">
        <v>-12.151922268474401</v>
      </c>
      <c r="AH9" s="20">
        <v>5.6811452662535604</v>
      </c>
    </row>
    <row r="10" spans="1:34" ht="11.25" customHeight="1" x14ac:dyDescent="0.3">
      <c r="A10" s="148" t="s">
        <v>22</v>
      </c>
      <c r="B10" s="148" t="s">
        <v>78</v>
      </c>
      <c r="C10" s="148" t="s">
        <v>24</v>
      </c>
      <c r="D10" s="148" t="s">
        <v>24</v>
      </c>
      <c r="E10" s="148" t="s">
        <v>25</v>
      </c>
      <c r="F10" s="148" t="s">
        <v>25</v>
      </c>
      <c r="G10" s="23" t="s">
        <v>80</v>
      </c>
      <c r="H10" s="23" t="s">
        <v>79</v>
      </c>
      <c r="I10" s="23">
        <f>'MERCADO TE'!$U$7</f>
        <v>5.2</v>
      </c>
      <c r="J10" s="15"/>
      <c r="L10" s="20">
        <f>('TE BE'!$L$10+'TE BF'!$L$10+'TE CVA'!$L$10)*1</f>
        <v>2.4026595191710416</v>
      </c>
      <c r="M10" s="20">
        <f>('TE BE'!$M$10+'TE BF'!$M$10+'TE CVA'!$M$10)*1</f>
        <v>22.449665681296494</v>
      </c>
      <c r="N10" s="20">
        <f>('TE BE'!$N$10+'TE BF'!$N$10+'TE CVA'!$N$10)*1</f>
        <v>0</v>
      </c>
      <c r="O10" s="20">
        <f>('TE BE'!$O$10+'TE BF'!$O$10+'TE CVA'!$O$10)*1</f>
        <v>5.7437144883312481</v>
      </c>
      <c r="P10" s="20">
        <f>('TE BE'!$P$10+'TE BF'!$P$10+'TE CVA'!$P$10)*1</f>
        <v>-17.459208153924113</v>
      </c>
      <c r="Q10" s="20">
        <f>('TE BE'!$R$10+'TE BF'!$R$10+'TE CVA'!$R$10)*1</f>
        <v>347.95165747413182</v>
      </c>
      <c r="R10" s="20">
        <f>('TE BE'!$T$10+'TE BF'!$T$10+'TE CVA'!$T$10)*1</f>
        <v>6.2552963466211802</v>
      </c>
      <c r="S10" s="20">
        <f>('TE BE'!$U$10+'TE BF'!$U$10+'TE CVA'!$U$10)*1</f>
        <v>4.4541212951865798</v>
      </c>
      <c r="T10" s="20">
        <f>('TE BE'!$V$10+'TE BF'!$V$10+'TE CVA'!$V$10)*1</f>
        <v>0</v>
      </c>
      <c r="U10" s="20">
        <f>('TE BE'!$X$10+'TE BF'!$X$10+'TE CVA'!$X$10)*1</f>
        <v>-15.721046976212161</v>
      </c>
      <c r="V10" s="20">
        <f>('TE BE'!$Z$10+'TE BF'!$Z$10+'TE CVA'!$Z$10)*1</f>
        <v>5.8757873676056915</v>
      </c>
      <c r="X10" s="20">
        <v>2.4004285931146998</v>
      </c>
      <c r="Y10" s="20">
        <v>14.529284717955999</v>
      </c>
      <c r="Z10" s="20">
        <v>0</v>
      </c>
      <c r="AA10" s="20">
        <v>0</v>
      </c>
      <c r="AB10" s="20">
        <v>0</v>
      </c>
      <c r="AC10" s="20">
        <v>373.43570589810901</v>
      </c>
      <c r="AD10" s="20">
        <v>5.6744744323241099</v>
      </c>
      <c r="AE10" s="20">
        <v>4.1044977979275696</v>
      </c>
      <c r="AF10" s="20">
        <v>0</v>
      </c>
      <c r="AG10" s="20">
        <v>-19.706101186370901</v>
      </c>
      <c r="AH10" s="20">
        <v>5.6811452662535604</v>
      </c>
    </row>
    <row r="11" spans="1:34" ht="11.25" customHeight="1" x14ac:dyDescent="0.3">
      <c r="A11" s="148"/>
      <c r="B11" s="148"/>
      <c r="C11" s="148"/>
      <c r="D11" s="148"/>
      <c r="E11" s="148"/>
      <c r="F11" s="148"/>
      <c r="G11" s="23" t="s">
        <v>91</v>
      </c>
      <c r="H11" s="23" t="s">
        <v>79</v>
      </c>
      <c r="I11" s="23">
        <f>'MERCADO TE'!$U$8</f>
        <v>3.3950000000000005</v>
      </c>
      <c r="J11" s="15"/>
      <c r="L11" s="20">
        <f>('TE BE'!$L$11+'TE BF'!$L$11+'TE CVA'!$L$11)*1</f>
        <v>2.4026595191710416</v>
      </c>
      <c r="M11" s="20">
        <f>('TE BE'!$M$11+'TE BF'!$M$11+'TE CVA'!$M$11)*1</f>
        <v>22.449665681296494</v>
      </c>
      <c r="N11" s="20">
        <f>('TE BE'!$N$11+'TE BF'!$N$11+'TE CVA'!$N$11)*1</f>
        <v>0</v>
      </c>
      <c r="O11" s="20">
        <f>('TE BE'!$O$11+'TE BF'!$O$11+'TE CVA'!$O$11)*1</f>
        <v>5.7437144883312481</v>
      </c>
      <c r="P11" s="20">
        <f>('TE BE'!$P$11+'TE BF'!$P$11+'TE CVA'!$P$11)*1</f>
        <v>-17.459208153924113</v>
      </c>
      <c r="Q11" s="20">
        <f>('TE BE'!$R$11+'TE BF'!$R$11+'TE CVA'!$R$11)*1</f>
        <v>202.29747527565806</v>
      </c>
      <c r="R11" s="20">
        <f>('TE BE'!$T$11+'TE BF'!$T$11+'TE CVA'!$T$11)*1</f>
        <v>6.2552963466211802</v>
      </c>
      <c r="S11" s="20">
        <f>('TE BE'!$U$11+'TE BF'!$U$11+'TE CVA'!$U$11)*1</f>
        <v>4.4541212951865798</v>
      </c>
      <c r="T11" s="20">
        <f>('TE BE'!$V$11+'TE BF'!$V$11+'TE CVA'!$V$11)*1</f>
        <v>0</v>
      </c>
      <c r="U11" s="20">
        <f>('TE BE'!$X$11+'TE BF'!$X$11+'TE CVA'!$X$11)*1</f>
        <v>-9.6256469400820865</v>
      </c>
      <c r="V11" s="20">
        <f>('TE BE'!$Z$11+'TE BF'!$Z$11+'TE CVA'!$Z$11)*1</f>
        <v>5.8757873676056915</v>
      </c>
      <c r="X11" s="20">
        <v>2.4004285931146998</v>
      </c>
      <c r="Y11" s="20">
        <v>14.529284717955999</v>
      </c>
      <c r="Z11" s="20">
        <v>0</v>
      </c>
      <c r="AA11" s="20">
        <v>0</v>
      </c>
      <c r="AB11" s="20">
        <v>0</v>
      </c>
      <c r="AC11" s="20">
        <v>217.113782498901</v>
      </c>
      <c r="AD11" s="20">
        <v>5.6744744323241099</v>
      </c>
      <c r="AE11" s="20">
        <v>4.1044977979275696</v>
      </c>
      <c r="AF11" s="20">
        <v>0</v>
      </c>
      <c r="AG11" s="20">
        <v>-12.151922268474401</v>
      </c>
      <c r="AH11" s="20">
        <v>5.6811452662535604</v>
      </c>
    </row>
    <row r="12" spans="1:34" ht="11.25" customHeight="1" x14ac:dyDescent="0.3">
      <c r="A12" s="148"/>
      <c r="B12" s="148"/>
      <c r="C12" s="148"/>
      <c r="D12" s="148"/>
      <c r="E12" s="148"/>
      <c r="F12" s="148"/>
      <c r="G12" s="23" t="s">
        <v>81</v>
      </c>
      <c r="H12" s="23" t="s">
        <v>79</v>
      </c>
      <c r="I12" s="23">
        <f>'MERCADO TE'!$U$9</f>
        <v>48.124000000000009</v>
      </c>
      <c r="J12" s="15"/>
      <c r="L12" s="20">
        <f>('TE BE'!$L$12+'TE BF'!$L$12+'TE CVA'!$L$12)*1</f>
        <v>2.4026595191710416</v>
      </c>
      <c r="M12" s="20">
        <f>('TE BE'!$M$12+'TE BF'!$M$12+'TE CVA'!$M$12)*1</f>
        <v>22.449665681296494</v>
      </c>
      <c r="N12" s="20">
        <f>('TE BE'!$N$12+'TE BF'!$N$12+'TE CVA'!$N$12)*1</f>
        <v>0</v>
      </c>
      <c r="O12" s="20">
        <f>('TE BE'!$O$12+'TE BF'!$O$12+'TE CVA'!$O$12)*1</f>
        <v>5.7437144883312481</v>
      </c>
      <c r="P12" s="20">
        <f>('TE BE'!$P$12+'TE BF'!$P$12+'TE CVA'!$P$12)*1</f>
        <v>-17.459208153924113</v>
      </c>
      <c r="Q12" s="20">
        <f>('TE BE'!$R$12+'TE BF'!$R$12+'TE CVA'!$R$12)*1</f>
        <v>202.29747527565806</v>
      </c>
      <c r="R12" s="20">
        <f>('TE BE'!$T$12+'TE BF'!$T$12+'TE CVA'!$T$12)*1</f>
        <v>6.2552963466211802</v>
      </c>
      <c r="S12" s="20">
        <f>('TE BE'!$U$12+'TE BF'!$U$12+'TE CVA'!$U$12)*1</f>
        <v>4.4541212951865798</v>
      </c>
      <c r="T12" s="20">
        <f>('TE BE'!$V$12+'TE BF'!$V$12+'TE CVA'!$V$12)*1</f>
        <v>0</v>
      </c>
      <c r="U12" s="20">
        <f>('TE BE'!$X$12+'TE BF'!$X$12+'TE CVA'!$X$12)*1</f>
        <v>-9.6256469400820865</v>
      </c>
      <c r="V12" s="20">
        <f>('TE BE'!$Z$12+'TE BF'!$Z$12+'TE CVA'!$Z$12)*1</f>
        <v>5.8757873676056915</v>
      </c>
      <c r="X12" s="20">
        <v>2.4004285931146998</v>
      </c>
      <c r="Y12" s="20">
        <v>14.529284717955999</v>
      </c>
      <c r="Z12" s="20">
        <v>0</v>
      </c>
      <c r="AA12" s="20">
        <v>0</v>
      </c>
      <c r="AB12" s="20">
        <v>0</v>
      </c>
      <c r="AC12" s="20">
        <v>217.113782498901</v>
      </c>
      <c r="AD12" s="20">
        <v>5.6744744323241099</v>
      </c>
      <c r="AE12" s="20">
        <v>4.1044977979275696</v>
      </c>
      <c r="AF12" s="20">
        <v>0</v>
      </c>
      <c r="AG12" s="20">
        <v>-12.151922268474401</v>
      </c>
      <c r="AH12" s="20">
        <v>5.6811452662535604</v>
      </c>
    </row>
    <row r="13" spans="1:34" ht="11.25" customHeight="1" x14ac:dyDescent="0.3">
      <c r="A13" s="148"/>
      <c r="B13" s="148" t="s">
        <v>82</v>
      </c>
      <c r="C13" s="148" t="s">
        <v>24</v>
      </c>
      <c r="D13" s="22" t="s">
        <v>24</v>
      </c>
      <c r="E13" s="22" t="s">
        <v>25</v>
      </c>
      <c r="F13" s="22" t="s">
        <v>25</v>
      </c>
      <c r="G13" s="23" t="s">
        <v>83</v>
      </c>
      <c r="H13" s="23" t="s">
        <v>79</v>
      </c>
      <c r="I13" s="23">
        <f>'MERCADO TE'!$U$10</f>
        <v>46756.356999999996</v>
      </c>
      <c r="J13" s="15"/>
      <c r="L13" s="20">
        <f>('TE BE'!$L$13+'TE BF'!$L$13+'TE CVA'!$L$13)*1</f>
        <v>2.4026595191710416</v>
      </c>
      <c r="M13" s="20">
        <f>('TE BE'!$M$13+'TE BF'!$M$13+'TE CVA'!$M$13)*1</f>
        <v>22.449665681296494</v>
      </c>
      <c r="N13" s="20">
        <f>('TE BE'!$N$13+'TE BF'!$N$13+'TE CVA'!$N$13)*1</f>
        <v>0</v>
      </c>
      <c r="O13" s="20">
        <f>('TE BE'!$O$13+'TE BF'!$O$13+'TE CVA'!$O$13)*1</f>
        <v>5.7437144883312481</v>
      </c>
      <c r="P13" s="20">
        <f>('TE BE'!$P$13+'TE BF'!$P$13+'TE CVA'!$P$13)*1</f>
        <v>-17.459208153924113</v>
      </c>
      <c r="Q13" s="20">
        <f>('TE BE'!$R$13+'TE BF'!$R$13+'TE CVA'!$R$13)*1</f>
        <v>214.43532379219755</v>
      </c>
      <c r="R13" s="20">
        <f>('TE BE'!$T$13+'TE BF'!$T$13+'TE CVA'!$T$13)*1</f>
        <v>6.2552963466211802</v>
      </c>
      <c r="S13" s="20">
        <f>('TE BE'!$U$13+'TE BF'!$U$13+'TE CVA'!$U$13)*1</f>
        <v>4.4541212951865798</v>
      </c>
      <c r="T13" s="20">
        <f>('TE BE'!$V$13+'TE BF'!$V$13+'TE CVA'!$V$13)*1</f>
        <v>0</v>
      </c>
      <c r="U13" s="20">
        <f>('TE BE'!$X$13+'TE BF'!$X$13+'TE CVA'!$X$13)*1</f>
        <v>-10.133596943092927</v>
      </c>
      <c r="V13" s="20">
        <f>('TE BE'!$Z$13+'TE BF'!$Z$13+'TE CVA'!$Z$13)*1</f>
        <v>5.8757873676056915</v>
      </c>
      <c r="X13" s="20">
        <v>2.4004285931146998</v>
      </c>
      <c r="Y13" s="20">
        <v>14.529284717955999</v>
      </c>
      <c r="Z13" s="20">
        <v>0</v>
      </c>
      <c r="AA13" s="20">
        <v>0</v>
      </c>
      <c r="AB13" s="20">
        <v>0</v>
      </c>
      <c r="AC13" s="20">
        <v>230.14060944883499</v>
      </c>
      <c r="AD13" s="20">
        <v>5.6744744323241099</v>
      </c>
      <c r="AE13" s="20">
        <v>4.1044977979275696</v>
      </c>
      <c r="AF13" s="20">
        <v>0</v>
      </c>
      <c r="AG13" s="20">
        <v>-12.7814371782991</v>
      </c>
      <c r="AH13" s="20">
        <v>5.6811452662535604</v>
      </c>
    </row>
    <row r="14" spans="1:34" ht="11.25" customHeight="1" x14ac:dyDescent="0.3">
      <c r="A14" s="148"/>
      <c r="B14" s="148"/>
      <c r="C14" s="148"/>
      <c r="D14" s="22" t="s">
        <v>29</v>
      </c>
      <c r="E14" s="22" t="s">
        <v>25</v>
      </c>
      <c r="F14" s="22" t="s">
        <v>25</v>
      </c>
      <c r="G14" s="23" t="s">
        <v>83</v>
      </c>
      <c r="H14" s="23" t="s">
        <v>79</v>
      </c>
      <c r="I14" s="23">
        <f>'MERCADO TE'!$U$11</f>
        <v>1110.3100000000002</v>
      </c>
      <c r="J14" s="15"/>
      <c r="L14" s="20">
        <f>('TE BE'!$L$14+'TE BF'!$L$14+'TE CVA'!$L$14)*(1 - 0.65)</f>
        <v>0.84093083170986449</v>
      </c>
      <c r="M14" s="20">
        <f>('TE BE'!$M$14+'TE BF'!$M$14+'TE CVA'!$M$14)*(1 - 0.65)</f>
        <v>7.8573829884537725</v>
      </c>
      <c r="N14" s="20">
        <f>('TE BE'!$N$14+'TE BF'!$N$14+'TE CVA'!$N$14)*(1 - 0.65)</f>
        <v>0</v>
      </c>
      <c r="O14" s="20">
        <f>('TE BE'!$O$14+'TE BF'!$O$14+'TE CVA'!$O$14)*(1 - 0.65)</f>
        <v>2.0103000709159367</v>
      </c>
      <c r="P14" s="20">
        <f>('TE BE'!$P$14+'TE BF'!$P$14+'TE CVA'!$P$14)*(1 - 0.65)</f>
        <v>-6.1107228538734395</v>
      </c>
      <c r="Q14" s="20">
        <f>('TE BE'!$R$14+'TE BF'!$R$14+'TE CVA'!$R$14)*(1 - 0.65)</f>
        <v>75.052363327269134</v>
      </c>
      <c r="R14" s="20">
        <f>('TE BE'!$T$14+'TE BF'!$T$14+'TE CVA'!$T$14)*(1 - 0.65)</f>
        <v>2.189353721317413</v>
      </c>
      <c r="S14" s="20">
        <f>('TE BE'!$U$14+'TE BF'!$U$14+'TE CVA'!$U$14)*(1 - 0.65)</f>
        <v>1.5589424533153029</v>
      </c>
      <c r="T14" s="20">
        <f>('TE BE'!$V$14+'TE BF'!$V$14+'TE CVA'!$V$14)*(1 - 0.65)</f>
        <v>0</v>
      </c>
      <c r="U14" s="20">
        <f>('TE BE'!$X$14+'TE BF'!$X$14+'TE CVA'!$X$14)*(1 - 0.65)</f>
        <v>-3.5467589300825244</v>
      </c>
      <c r="V14" s="20">
        <f>('TE BE'!$Z$14+'TE BF'!$Z$14+'TE CVA'!$Z$14)*(1 - 0.65)</f>
        <v>2.0565255786619918</v>
      </c>
      <c r="X14" s="20">
        <v>0.84015000759014402</v>
      </c>
      <c r="Y14" s="20">
        <v>5.0852496512846104</v>
      </c>
      <c r="Z14" s="20">
        <v>0</v>
      </c>
      <c r="AA14" s="20">
        <v>0</v>
      </c>
      <c r="AB14" s="20">
        <v>0</v>
      </c>
      <c r="AC14" s="20">
        <v>80.549213307092202</v>
      </c>
      <c r="AD14" s="20">
        <v>1.9860660513134401</v>
      </c>
      <c r="AE14" s="20">
        <v>1.4365742292746499</v>
      </c>
      <c r="AF14" s="20">
        <v>0</v>
      </c>
      <c r="AG14" s="20">
        <v>-4.47350301240468</v>
      </c>
      <c r="AH14" s="20">
        <v>1.9884008431887501</v>
      </c>
    </row>
    <row r="15" spans="1:34" ht="11.25" customHeight="1" x14ac:dyDescent="0.3">
      <c r="A15" s="148"/>
      <c r="B15" s="148"/>
      <c r="C15" s="148"/>
      <c r="D15" s="22" t="s">
        <v>30</v>
      </c>
      <c r="E15" s="22" t="s">
        <v>25</v>
      </c>
      <c r="F15" s="22" t="s">
        <v>25</v>
      </c>
      <c r="G15" s="23" t="s">
        <v>83</v>
      </c>
      <c r="H15" s="23" t="s">
        <v>79</v>
      </c>
      <c r="I15" s="23">
        <f>'MERCADO TE'!$U$12</f>
        <v>2263.0230000000001</v>
      </c>
      <c r="J15" s="15"/>
      <c r="L15" s="20">
        <f>('TE BE'!$L$15+'TE BF'!$L$15+'TE CVA'!$L$15)*(1 - 0.4)</f>
        <v>1.441595711502625</v>
      </c>
      <c r="M15" s="20">
        <f>('TE BE'!$M$15+'TE BF'!$M$15+'TE CVA'!$M$15)*(1 - 0.4)</f>
        <v>13.469799408777897</v>
      </c>
      <c r="N15" s="20">
        <f>('TE BE'!$N$15+'TE BF'!$N$15+'TE CVA'!$N$15)*(1 - 0.4)</f>
        <v>0</v>
      </c>
      <c r="O15" s="20">
        <f>('TE BE'!$O$15+'TE BF'!$O$15+'TE CVA'!$O$15)*(1 - 0.4)</f>
        <v>3.4462286929987487</v>
      </c>
      <c r="P15" s="20">
        <f>('TE BE'!$P$15+'TE BF'!$P$15+'TE CVA'!$P$15)*(1 - 0.4)</f>
        <v>-10.475524892354468</v>
      </c>
      <c r="Q15" s="20">
        <f>('TE BE'!$R$15+'TE BF'!$R$15+'TE CVA'!$R$15)*(1 - 0.4)</f>
        <v>128.66119427531854</v>
      </c>
      <c r="R15" s="20">
        <f>('TE BE'!$T$15+'TE BF'!$T$15+'TE CVA'!$T$15)*(1 - 0.4)</f>
        <v>3.7531778079727078</v>
      </c>
      <c r="S15" s="20">
        <f>('TE BE'!$U$15+'TE BF'!$U$15+'TE CVA'!$U$15)*(1 - 0.4)</f>
        <v>2.6724727771119476</v>
      </c>
      <c r="T15" s="20">
        <f>('TE BE'!$V$15+'TE BF'!$V$15+'TE CVA'!$V$15)*(1 - 0.4)</f>
        <v>0</v>
      </c>
      <c r="U15" s="20">
        <f>('TE BE'!$X$15+'TE BF'!$X$15+'TE CVA'!$X$15)*(1 - 0.4)</f>
        <v>-6.0801581658557557</v>
      </c>
      <c r="V15" s="20">
        <f>('TE BE'!$Z$15+'TE BF'!$Z$15+'TE CVA'!$Z$15)*(1 - 0.4)</f>
        <v>3.5254724205634149</v>
      </c>
      <c r="X15" s="20">
        <v>1.44025715586882</v>
      </c>
      <c r="Y15" s="20">
        <v>8.7175708307736208</v>
      </c>
      <c r="Z15" s="20">
        <v>0</v>
      </c>
      <c r="AA15" s="20">
        <v>0</v>
      </c>
      <c r="AB15" s="20">
        <v>0</v>
      </c>
      <c r="AC15" s="20">
        <v>138.08436566930101</v>
      </c>
      <c r="AD15" s="20">
        <v>3.4046846593944702</v>
      </c>
      <c r="AE15" s="20">
        <v>2.4626986787565399</v>
      </c>
      <c r="AF15" s="20">
        <v>0</v>
      </c>
      <c r="AG15" s="20">
        <v>-7.6688623069794604</v>
      </c>
      <c r="AH15" s="20">
        <v>3.40868715975214</v>
      </c>
    </row>
    <row r="16" spans="1:34" ht="11.25" customHeight="1" x14ac:dyDescent="0.3">
      <c r="A16" s="148"/>
      <c r="B16" s="148"/>
      <c r="C16" s="148"/>
      <c r="D16" s="22" t="s">
        <v>31</v>
      </c>
      <c r="E16" s="22" t="s">
        <v>25</v>
      </c>
      <c r="F16" s="22" t="s">
        <v>25</v>
      </c>
      <c r="G16" s="23" t="s">
        <v>83</v>
      </c>
      <c r="H16" s="23" t="s">
        <v>79</v>
      </c>
      <c r="I16" s="23">
        <f>'MERCADO TE'!$U$13</f>
        <v>1590.454</v>
      </c>
      <c r="J16" s="15"/>
      <c r="L16" s="20">
        <f>('TE BE'!$L$16+'TE BF'!$L$16+'TE CVA'!$L$16)*(1 - 0.1)</f>
        <v>2.1623935672539374</v>
      </c>
      <c r="M16" s="20">
        <f>('TE BE'!$M$16+'TE BF'!$M$16+'TE CVA'!$M$16)*(1 - 0.1)</f>
        <v>20.204699113166846</v>
      </c>
      <c r="N16" s="20">
        <f>('TE BE'!$N$16+'TE BF'!$N$16+'TE CVA'!$N$16)*(1 - 0.1)</f>
        <v>0</v>
      </c>
      <c r="O16" s="20">
        <f>('TE BE'!$O$16+'TE BF'!$O$16+'TE CVA'!$O$16)*(1 - 0.1)</f>
        <v>5.1693430394981235</v>
      </c>
      <c r="P16" s="20">
        <f>('TE BE'!$P$16+'TE BF'!$P$16+'TE CVA'!$P$16)*(1 - 0.1)</f>
        <v>-15.713287338531702</v>
      </c>
      <c r="Q16" s="20">
        <f>('TE BE'!$R$16+'TE BF'!$R$16+'TE CVA'!$R$16)*(1 - 0.1)</f>
        <v>192.99179141297779</v>
      </c>
      <c r="R16" s="20">
        <f>('TE BE'!$T$16+'TE BF'!$T$16+'TE CVA'!$T$16)*(1 - 0.1)</f>
        <v>5.6297667119590624</v>
      </c>
      <c r="S16" s="20">
        <f>('TE BE'!$U$16+'TE BF'!$U$16+'TE CVA'!$U$16)*(1 - 0.1)</f>
        <v>4.0087091656679217</v>
      </c>
      <c r="T16" s="20">
        <f>('TE BE'!$V$16+'TE BF'!$V$16+'TE CVA'!$V$16)*(1 - 0.1)</f>
        <v>0</v>
      </c>
      <c r="U16" s="20">
        <f>('TE BE'!$X$16+'TE BF'!$X$16+'TE CVA'!$X$16)*(1 - 0.1)</f>
        <v>-9.120237248783635</v>
      </c>
      <c r="V16" s="20">
        <f>('TE BE'!$Z$16+'TE BF'!$Z$16+'TE CVA'!$Z$16)*(1 - 0.1)</f>
        <v>5.2882086308451228</v>
      </c>
      <c r="X16" s="20">
        <v>2.16038573380323</v>
      </c>
      <c r="Y16" s="20">
        <v>13.076356246160399</v>
      </c>
      <c r="Z16" s="20">
        <v>0</v>
      </c>
      <c r="AA16" s="20">
        <v>0</v>
      </c>
      <c r="AB16" s="20">
        <v>0</v>
      </c>
      <c r="AC16" s="20">
        <v>207.126548503951</v>
      </c>
      <c r="AD16" s="20">
        <v>5.1070269890917004</v>
      </c>
      <c r="AE16" s="20">
        <v>3.6940480181348101</v>
      </c>
      <c r="AF16" s="20">
        <v>0</v>
      </c>
      <c r="AG16" s="20">
        <v>-11.5032934604692</v>
      </c>
      <c r="AH16" s="20">
        <v>5.1130307396282104</v>
      </c>
    </row>
    <row r="17" spans="1:34" ht="11.25" customHeight="1" x14ac:dyDescent="0.3">
      <c r="A17" s="148"/>
      <c r="B17" s="148"/>
      <c r="C17" s="148"/>
      <c r="D17" s="22" t="s">
        <v>32</v>
      </c>
      <c r="E17" s="22" t="s">
        <v>25</v>
      </c>
      <c r="F17" s="22" t="s">
        <v>25</v>
      </c>
      <c r="G17" s="23" t="s">
        <v>83</v>
      </c>
      <c r="H17" s="23" t="s">
        <v>79</v>
      </c>
      <c r="I17" s="23">
        <f>'MERCADO TE'!$U$14</f>
        <v>284.12699999999995</v>
      </c>
      <c r="J17" s="15"/>
      <c r="L17" s="20">
        <f>('TE BE'!$L$17+'TE BF'!$L$17+'TE CVA'!$L$17)*1</f>
        <v>2.4026595191710416</v>
      </c>
      <c r="M17" s="20">
        <f>('TE BE'!$M$17+'TE BF'!$M$17+'TE CVA'!$M$17)*1</f>
        <v>22.449665681296494</v>
      </c>
      <c r="N17" s="20">
        <f>('TE BE'!$N$17+'TE BF'!$N$17+'TE CVA'!$N$17)*1</f>
        <v>0</v>
      </c>
      <c r="O17" s="20">
        <f>('TE BE'!$O$17+'TE BF'!$O$17+'TE CVA'!$O$17)*1</f>
        <v>5.7437144883312481</v>
      </c>
      <c r="P17" s="20">
        <f>('TE BE'!$P$17+'TE BF'!$P$17+'TE CVA'!$P$17)*1</f>
        <v>-17.459208153924113</v>
      </c>
      <c r="Q17" s="20">
        <f>('TE BE'!$R$17+'TE BF'!$R$17+'TE CVA'!$R$17)*1</f>
        <v>214.43532379219755</v>
      </c>
      <c r="R17" s="20">
        <f>('TE BE'!$T$17+'TE BF'!$T$17+'TE CVA'!$T$17)*1</f>
        <v>6.2552963466211802</v>
      </c>
      <c r="S17" s="20">
        <f>('TE BE'!$U$17+'TE BF'!$U$17+'TE CVA'!$U$17)*1</f>
        <v>4.4541212951865798</v>
      </c>
      <c r="T17" s="20">
        <f>('TE BE'!$V$17+'TE BF'!$V$17+'TE CVA'!$V$17)*1</f>
        <v>0</v>
      </c>
      <c r="U17" s="20">
        <f>('TE BE'!$X$17+'TE BF'!$X$17+'TE CVA'!$X$17)*1</f>
        <v>-10.133596943092927</v>
      </c>
      <c r="V17" s="20">
        <f>('TE BE'!$Z$17+'TE BF'!$Z$17+'TE CVA'!$Z$17)*1</f>
        <v>5.8757873676056915</v>
      </c>
      <c r="X17" s="20">
        <v>2.4004285931146998</v>
      </c>
      <c r="Y17" s="20">
        <v>14.529284717955999</v>
      </c>
      <c r="Z17" s="20">
        <v>0</v>
      </c>
      <c r="AA17" s="20">
        <v>0</v>
      </c>
      <c r="AB17" s="20">
        <v>0</v>
      </c>
      <c r="AC17" s="20">
        <v>230.14060944883499</v>
      </c>
      <c r="AD17" s="20">
        <v>5.6744744323241099</v>
      </c>
      <c r="AE17" s="20">
        <v>4.1044977979275696</v>
      </c>
      <c r="AF17" s="20">
        <v>0</v>
      </c>
      <c r="AG17" s="20">
        <v>-12.7814371782991</v>
      </c>
      <c r="AH17" s="20">
        <v>5.6811452662535604</v>
      </c>
    </row>
    <row r="18" spans="1:34" ht="11.25" customHeight="1" x14ac:dyDescent="0.3">
      <c r="A18" s="148"/>
      <c r="B18" s="148" t="s">
        <v>92</v>
      </c>
      <c r="C18" s="148" t="s">
        <v>24</v>
      </c>
      <c r="D18" s="22" t="s">
        <v>24</v>
      </c>
      <c r="E18" s="22" t="s">
        <v>25</v>
      </c>
      <c r="F18" s="22" t="s">
        <v>25</v>
      </c>
      <c r="G18" s="23" t="s">
        <v>83</v>
      </c>
      <c r="H18" s="23" t="s">
        <v>79</v>
      </c>
      <c r="I18" s="23">
        <f>'MERCADO TE'!$U$15</f>
        <v>0</v>
      </c>
      <c r="J18" s="15"/>
      <c r="L18" s="20">
        <f>('TE BE'!$L$18+'TE BF'!$L$18+'TE CVA'!$L$18)*1</f>
        <v>2.4026595191710416</v>
      </c>
      <c r="M18" s="20">
        <f>('TE BE'!$M$18+'TE BF'!$M$18+'TE CVA'!$M$18)*1</f>
        <v>22.449665681296494</v>
      </c>
      <c r="N18" s="20">
        <f>('TE BE'!$N$18+'TE BF'!$N$18+'TE CVA'!$N$18)*1</f>
        <v>0</v>
      </c>
      <c r="O18" s="20">
        <f>('TE BE'!$O$18+'TE BF'!$O$18+'TE CVA'!$O$18)*1</f>
        <v>5.7437144883312481</v>
      </c>
      <c r="P18" s="20">
        <f>('TE BE'!$P$18+'TE BF'!$P$18+'TE CVA'!$P$18)*1</f>
        <v>-17.459208153924113</v>
      </c>
      <c r="Q18" s="20">
        <f>('TE BE'!$R$18+'TE BF'!$R$18+'TE CVA'!$R$18)*1</f>
        <v>214.43532379219755</v>
      </c>
      <c r="R18" s="20">
        <f>('TE BE'!$T$18+'TE BF'!$T$18+'TE CVA'!$T$18)*1</f>
        <v>6.2552963466211802</v>
      </c>
      <c r="S18" s="20">
        <f>('TE BE'!$U$18+'TE BF'!$U$18+'TE CVA'!$U$18)*1</f>
        <v>4.4541212951865798</v>
      </c>
      <c r="T18" s="20">
        <f>('TE BE'!$V$18+'TE BF'!$V$18+'TE CVA'!$V$18)*1</f>
        <v>0</v>
      </c>
      <c r="U18" s="20">
        <f>('TE BE'!$X$18+'TE BF'!$X$18+'TE CVA'!$X$18)*1</f>
        <v>-10.133596943092927</v>
      </c>
      <c r="V18" s="20">
        <f>('TE BE'!$Z$18+'TE BF'!$Z$18+'TE CVA'!$Z$18)*1</f>
        <v>5.8757873676056915</v>
      </c>
      <c r="X18" s="20">
        <v>2.4004285931146998</v>
      </c>
      <c r="Y18" s="20">
        <v>14.529284717955999</v>
      </c>
      <c r="Z18" s="20">
        <v>0</v>
      </c>
      <c r="AA18" s="20">
        <v>0</v>
      </c>
      <c r="AB18" s="20">
        <v>0</v>
      </c>
      <c r="AC18" s="20">
        <v>230.14060944883499</v>
      </c>
      <c r="AD18" s="20">
        <v>5.6744744323241099</v>
      </c>
      <c r="AE18" s="20">
        <v>4.1044977979275696</v>
      </c>
      <c r="AF18" s="20">
        <v>0</v>
      </c>
      <c r="AG18" s="20">
        <v>-12.7814371782991</v>
      </c>
      <c r="AH18" s="20">
        <v>5.6811452662535604</v>
      </c>
    </row>
    <row r="19" spans="1:34" ht="11.25" customHeight="1" x14ac:dyDescent="0.3">
      <c r="A19" s="148"/>
      <c r="B19" s="148"/>
      <c r="C19" s="148"/>
      <c r="D19" s="22" t="s">
        <v>29</v>
      </c>
      <c r="E19" s="22" t="s">
        <v>25</v>
      </c>
      <c r="F19" s="22" t="s">
        <v>25</v>
      </c>
      <c r="G19" s="23" t="s">
        <v>83</v>
      </c>
      <c r="H19" s="23" t="s">
        <v>79</v>
      </c>
      <c r="I19" s="23">
        <f>'MERCADO TE'!$U$16</f>
        <v>0</v>
      </c>
      <c r="J19" s="15"/>
      <c r="L19" s="20">
        <f>('TE BE'!$L$19+'TE BF'!$L$19+'TE CVA'!$L$19)*(1 - 0.65)</f>
        <v>0.84093083170986449</v>
      </c>
      <c r="M19" s="20">
        <f>('TE BE'!$M$19+'TE BF'!$M$19+'TE CVA'!$M$19)*(1 - 0.65)</f>
        <v>7.8573829884537725</v>
      </c>
      <c r="N19" s="20">
        <f>('TE BE'!$N$19+'TE BF'!$N$19+'TE CVA'!$N$19)*(1 - 0.65)</f>
        <v>0</v>
      </c>
      <c r="O19" s="20">
        <f>('TE BE'!$O$19+'TE BF'!$O$19+'TE CVA'!$O$19)*(1 - 0.65)</f>
        <v>2.0103000709159367</v>
      </c>
      <c r="P19" s="20">
        <f>('TE BE'!$P$19+'TE BF'!$P$19+'TE CVA'!$P$19)*(1 - 0.65)</f>
        <v>-6.1107228538734395</v>
      </c>
      <c r="Q19" s="20">
        <f>('TE BE'!$R$19+'TE BF'!$R$19+'TE CVA'!$R$19)*(1 - 0.65)</f>
        <v>75.052363327269134</v>
      </c>
      <c r="R19" s="20">
        <f>('TE BE'!$T$19+'TE BF'!$T$19+'TE CVA'!$T$19)*(1 - 0.65)</f>
        <v>2.189353721317413</v>
      </c>
      <c r="S19" s="20">
        <f>('TE BE'!$U$19+'TE BF'!$U$19+'TE CVA'!$U$19)*(1 - 0.65)</f>
        <v>1.5589424533153029</v>
      </c>
      <c r="T19" s="20">
        <f>('TE BE'!$V$19+'TE BF'!$V$19+'TE CVA'!$V$19)*(1 - 0.65)</f>
        <v>0</v>
      </c>
      <c r="U19" s="20">
        <f>('TE BE'!$X$19+'TE BF'!$X$19+'TE CVA'!$X$19)*(1 - 0.65)</f>
        <v>-3.5467589300825244</v>
      </c>
      <c r="V19" s="20">
        <f>('TE BE'!$Z$19+'TE BF'!$Z$19+'TE CVA'!$Z$19)*(1 - 0.65)</f>
        <v>2.0565255786619918</v>
      </c>
      <c r="X19" s="20">
        <v>0.84015000759014402</v>
      </c>
      <c r="Y19" s="20">
        <v>5.0852496512846104</v>
      </c>
      <c r="Z19" s="20">
        <v>0</v>
      </c>
      <c r="AA19" s="20">
        <v>0</v>
      </c>
      <c r="AB19" s="20">
        <v>0</v>
      </c>
      <c r="AC19" s="20">
        <v>80.549213307092202</v>
      </c>
      <c r="AD19" s="20">
        <v>1.9860660513134401</v>
      </c>
      <c r="AE19" s="20">
        <v>1.4365742292746499</v>
      </c>
      <c r="AF19" s="20">
        <v>0</v>
      </c>
      <c r="AG19" s="20">
        <v>-4.47350301240468</v>
      </c>
      <c r="AH19" s="20">
        <v>1.9884008431887501</v>
      </c>
    </row>
    <row r="20" spans="1:34" ht="11.25" customHeight="1" x14ac:dyDescent="0.3">
      <c r="A20" s="148"/>
      <c r="B20" s="148"/>
      <c r="C20" s="148"/>
      <c r="D20" s="22" t="s">
        <v>30</v>
      </c>
      <c r="E20" s="22" t="s">
        <v>25</v>
      </c>
      <c r="F20" s="22" t="s">
        <v>25</v>
      </c>
      <c r="G20" s="23" t="s">
        <v>83</v>
      </c>
      <c r="H20" s="23" t="s">
        <v>79</v>
      </c>
      <c r="I20" s="23">
        <f>'MERCADO TE'!$U$17</f>
        <v>0</v>
      </c>
      <c r="J20" s="15"/>
      <c r="L20" s="20">
        <f>('TE BE'!$L$20+'TE BF'!$L$20+'TE CVA'!$L$20)*(1 - 0.4)</f>
        <v>1.441595711502625</v>
      </c>
      <c r="M20" s="20">
        <f>('TE BE'!$M$20+'TE BF'!$M$20+'TE CVA'!$M$20)*(1 - 0.4)</f>
        <v>13.469799408777897</v>
      </c>
      <c r="N20" s="20">
        <f>('TE BE'!$N$20+'TE BF'!$N$20+'TE CVA'!$N$20)*(1 - 0.4)</f>
        <v>0</v>
      </c>
      <c r="O20" s="20">
        <f>('TE BE'!$O$20+'TE BF'!$O$20+'TE CVA'!$O$20)*(1 - 0.4)</f>
        <v>3.4462286929987487</v>
      </c>
      <c r="P20" s="20">
        <f>('TE BE'!$P$20+'TE BF'!$P$20+'TE CVA'!$P$20)*(1 - 0.4)</f>
        <v>-10.475524892354468</v>
      </c>
      <c r="Q20" s="20">
        <f>('TE BE'!$R$20+'TE BF'!$R$20+'TE CVA'!$R$20)*(1 - 0.4)</f>
        <v>128.66119427531854</v>
      </c>
      <c r="R20" s="20">
        <f>('TE BE'!$T$20+'TE BF'!$T$20+'TE CVA'!$T$20)*(1 - 0.4)</f>
        <v>3.7531778079727078</v>
      </c>
      <c r="S20" s="20">
        <f>('TE BE'!$U$20+'TE BF'!$U$20+'TE CVA'!$U$20)*(1 - 0.4)</f>
        <v>2.6724727771119476</v>
      </c>
      <c r="T20" s="20">
        <f>('TE BE'!$V$20+'TE BF'!$V$20+'TE CVA'!$V$20)*(1 - 0.4)</f>
        <v>0</v>
      </c>
      <c r="U20" s="20">
        <f>('TE BE'!$X$20+'TE BF'!$X$20+'TE CVA'!$X$20)*(1 - 0.4)</f>
        <v>-6.0801581658557557</v>
      </c>
      <c r="V20" s="20">
        <f>('TE BE'!$Z$20+'TE BF'!$Z$20+'TE CVA'!$Z$20)*(1 - 0.4)</f>
        <v>3.5254724205634149</v>
      </c>
      <c r="X20" s="20">
        <v>1.44025715586882</v>
      </c>
      <c r="Y20" s="20">
        <v>8.7175708307736208</v>
      </c>
      <c r="Z20" s="20">
        <v>0</v>
      </c>
      <c r="AA20" s="20">
        <v>0</v>
      </c>
      <c r="AB20" s="20">
        <v>0</v>
      </c>
      <c r="AC20" s="20">
        <v>138.08436566930101</v>
      </c>
      <c r="AD20" s="20">
        <v>3.4046846593944702</v>
      </c>
      <c r="AE20" s="20">
        <v>2.4626986787565399</v>
      </c>
      <c r="AF20" s="20">
        <v>0</v>
      </c>
      <c r="AG20" s="20">
        <v>-7.6688623069794604</v>
      </c>
      <c r="AH20" s="20">
        <v>3.40868715975214</v>
      </c>
    </row>
    <row r="21" spans="1:34" ht="11.25" customHeight="1" x14ac:dyDescent="0.3">
      <c r="A21" s="148"/>
      <c r="B21" s="148"/>
      <c r="C21" s="148"/>
      <c r="D21" s="22" t="s">
        <v>31</v>
      </c>
      <c r="E21" s="22" t="s">
        <v>25</v>
      </c>
      <c r="F21" s="22" t="s">
        <v>25</v>
      </c>
      <c r="G21" s="23" t="s">
        <v>83</v>
      </c>
      <c r="H21" s="23" t="s">
        <v>79</v>
      </c>
      <c r="I21" s="23">
        <f>'MERCADO TE'!$U$18</f>
        <v>0</v>
      </c>
      <c r="J21" s="15"/>
      <c r="L21" s="20">
        <f>('TE BE'!$L$21+'TE BF'!$L$21+'TE CVA'!$L$21)*(1 - 0.1)</f>
        <v>2.1623935672539374</v>
      </c>
      <c r="M21" s="20">
        <f>('TE BE'!$M$21+'TE BF'!$M$21+'TE CVA'!$M$21)*(1 - 0.1)</f>
        <v>20.204699113166846</v>
      </c>
      <c r="N21" s="20">
        <f>('TE BE'!$N$21+'TE BF'!$N$21+'TE CVA'!$N$21)*(1 - 0.1)</f>
        <v>0</v>
      </c>
      <c r="O21" s="20">
        <f>('TE BE'!$O$21+'TE BF'!$O$21+'TE CVA'!$O$21)*(1 - 0.1)</f>
        <v>5.1693430394981235</v>
      </c>
      <c r="P21" s="20">
        <f>('TE BE'!$P$21+'TE BF'!$P$21+'TE CVA'!$P$21)*(1 - 0.1)</f>
        <v>-15.713287338531702</v>
      </c>
      <c r="Q21" s="20">
        <f>('TE BE'!$R$21+'TE BF'!$R$21+'TE CVA'!$R$21)*(1 - 0.1)</f>
        <v>192.99179141297779</v>
      </c>
      <c r="R21" s="20">
        <f>('TE BE'!$T$21+'TE BF'!$T$21+'TE CVA'!$T$21)*(1 - 0.1)</f>
        <v>5.6297667119590624</v>
      </c>
      <c r="S21" s="20">
        <f>('TE BE'!$U$21+'TE BF'!$U$21+'TE CVA'!$U$21)*(1 - 0.1)</f>
        <v>4.0087091656679217</v>
      </c>
      <c r="T21" s="20">
        <f>('TE BE'!$V$21+'TE BF'!$V$21+'TE CVA'!$V$21)*(1 - 0.1)</f>
        <v>0</v>
      </c>
      <c r="U21" s="20">
        <f>('TE BE'!$X$21+'TE BF'!$X$21+'TE CVA'!$X$21)*(1 - 0.1)</f>
        <v>-9.120237248783635</v>
      </c>
      <c r="V21" s="20">
        <f>('TE BE'!$Z$21+'TE BF'!$Z$21+'TE CVA'!$Z$21)*(1 - 0.1)</f>
        <v>5.2882086308451228</v>
      </c>
      <c r="X21" s="20">
        <v>2.16038573380323</v>
      </c>
      <c r="Y21" s="20">
        <v>13.076356246160399</v>
      </c>
      <c r="Z21" s="20">
        <v>0</v>
      </c>
      <c r="AA21" s="20">
        <v>0</v>
      </c>
      <c r="AB21" s="20">
        <v>0</v>
      </c>
      <c r="AC21" s="20">
        <v>207.126548503951</v>
      </c>
      <c r="AD21" s="20">
        <v>5.1070269890917004</v>
      </c>
      <c r="AE21" s="20">
        <v>3.6940480181348101</v>
      </c>
      <c r="AF21" s="20">
        <v>0</v>
      </c>
      <c r="AG21" s="20">
        <v>-11.5032934604692</v>
      </c>
      <c r="AH21" s="20">
        <v>5.1130307396282104</v>
      </c>
    </row>
    <row r="22" spans="1:34" ht="11.25" customHeight="1" x14ac:dyDescent="0.3">
      <c r="A22" s="148"/>
      <c r="B22" s="148"/>
      <c r="C22" s="148"/>
      <c r="D22" s="22" t="s">
        <v>32</v>
      </c>
      <c r="E22" s="22" t="s">
        <v>25</v>
      </c>
      <c r="F22" s="22" t="s">
        <v>25</v>
      </c>
      <c r="G22" s="23" t="s">
        <v>83</v>
      </c>
      <c r="H22" s="23" t="s">
        <v>79</v>
      </c>
      <c r="I22" s="23">
        <f>'MERCADO TE'!$U$19</f>
        <v>0</v>
      </c>
      <c r="J22" s="15"/>
      <c r="L22" s="20">
        <f>('TE BE'!$L$22+'TE BF'!$L$22+'TE CVA'!$L$22)*1</f>
        <v>2.4026595191710416</v>
      </c>
      <c r="M22" s="20">
        <f>('TE BE'!$M$22+'TE BF'!$M$22+'TE CVA'!$M$22)*1</f>
        <v>22.449665681296494</v>
      </c>
      <c r="N22" s="20">
        <f>('TE BE'!$N$22+'TE BF'!$N$22+'TE CVA'!$N$22)*1</f>
        <v>0</v>
      </c>
      <c r="O22" s="20">
        <f>('TE BE'!$O$22+'TE BF'!$O$22+'TE CVA'!$O$22)*1</f>
        <v>5.7437144883312481</v>
      </c>
      <c r="P22" s="20">
        <f>('TE BE'!$P$22+'TE BF'!$P$22+'TE CVA'!$P$22)*1</f>
        <v>-17.459208153924113</v>
      </c>
      <c r="Q22" s="20">
        <f>('TE BE'!$R$22+'TE BF'!$R$22+'TE CVA'!$R$22)*1</f>
        <v>214.43532379219755</v>
      </c>
      <c r="R22" s="20">
        <f>('TE BE'!$T$22+'TE BF'!$T$22+'TE CVA'!$T$22)*1</f>
        <v>6.2552963466211802</v>
      </c>
      <c r="S22" s="20">
        <f>('TE BE'!$U$22+'TE BF'!$U$22+'TE CVA'!$U$22)*1</f>
        <v>4.4541212951865798</v>
      </c>
      <c r="T22" s="20">
        <f>('TE BE'!$V$22+'TE BF'!$V$22+'TE CVA'!$V$22)*1</f>
        <v>0</v>
      </c>
      <c r="U22" s="20">
        <f>('TE BE'!$X$22+'TE BF'!$X$22+'TE CVA'!$X$22)*1</f>
        <v>-10.133596943092927</v>
      </c>
      <c r="V22" s="20">
        <f>('TE BE'!$Z$22+'TE BF'!$Z$22+'TE CVA'!$Z$22)*1</f>
        <v>5.8757873676056915</v>
      </c>
      <c r="X22" s="20">
        <v>2.4004285931146998</v>
      </c>
      <c r="Y22" s="20">
        <v>14.529284717955999</v>
      </c>
      <c r="Z22" s="20">
        <v>0</v>
      </c>
      <c r="AA22" s="20">
        <v>0</v>
      </c>
      <c r="AB22" s="20">
        <v>0</v>
      </c>
      <c r="AC22" s="20">
        <v>230.14060944883499</v>
      </c>
      <c r="AD22" s="20">
        <v>5.6744744323241099</v>
      </c>
      <c r="AE22" s="20">
        <v>4.1044977979275696</v>
      </c>
      <c r="AF22" s="20">
        <v>0</v>
      </c>
      <c r="AG22" s="20">
        <v>-12.7814371782991</v>
      </c>
      <c r="AH22" s="20">
        <v>5.6811452662535604</v>
      </c>
    </row>
    <row r="23" spans="1:34" ht="11.25" customHeight="1" x14ac:dyDescent="0.3">
      <c r="A23" s="148" t="s">
        <v>43</v>
      </c>
      <c r="B23" s="148" t="s">
        <v>78</v>
      </c>
      <c r="C23" s="148" t="s">
        <v>44</v>
      </c>
      <c r="D23" s="148" t="s">
        <v>25</v>
      </c>
      <c r="E23" s="148" t="s">
        <v>25</v>
      </c>
      <c r="F23" s="148" t="s">
        <v>25</v>
      </c>
      <c r="G23" s="23" t="s">
        <v>80</v>
      </c>
      <c r="H23" s="23" t="s">
        <v>79</v>
      </c>
      <c r="I23" s="23">
        <f>'MERCADO TE'!$U$20</f>
        <v>0</v>
      </c>
      <c r="J23" s="15"/>
      <c r="L23" s="20">
        <f>('TE BE'!$L$23+'TE BF'!$L$23+'TE CVA'!$L$23)*(1 - CUSTOS!$M$38)</f>
        <v>2.2584999480207788</v>
      </c>
      <c r="M23" s="20">
        <f>('TE BE'!$M$23+'TE BF'!$M$23+'TE CVA'!$M$23)*(1 - CUSTOS!$M$38)</f>
        <v>21.102685740418703</v>
      </c>
      <c r="N23" s="20">
        <f>('TE BE'!$N$23+'TE BF'!$N$23+'TE CVA'!$N$23)*(1 - CUSTOS!$M$38)</f>
        <v>0</v>
      </c>
      <c r="O23" s="20">
        <f>('TE BE'!$O$23+'TE BF'!$O$23+'TE CVA'!$O$23)*(1 - CUSTOS!$M$38)</f>
        <v>5.3990916190313731</v>
      </c>
      <c r="P23" s="20">
        <f>('TE BE'!$P$23+'TE BF'!$P$23+'TE CVA'!$P$23)*(1 - CUSTOS!$M$38)</f>
        <v>-16.411655664688666</v>
      </c>
      <c r="Q23" s="20">
        <f>('TE BE'!$R$23+'TE BF'!$R$23+'TE CVA'!$R$23)*(1 - CUSTOS!$M$38)</f>
        <v>327.07455802568387</v>
      </c>
      <c r="R23" s="20">
        <f>('TE BE'!$T$23+'TE BF'!$T$23+'TE CVA'!$T$23)*(1 - CUSTOS!$M$38)</f>
        <v>5.879978565823909</v>
      </c>
      <c r="S23" s="20">
        <f>('TE BE'!$U$23+'TE BF'!$U$23+'TE CVA'!$U$23)*(1 - CUSTOS!$M$38)</f>
        <v>4.1868740174753851</v>
      </c>
      <c r="T23" s="20">
        <f>('TE BE'!$V$23+'TE BF'!$V$23+'TE CVA'!$V$23)*(1 - CUSTOS!$M$38)</f>
        <v>0</v>
      </c>
      <c r="U23" s="20">
        <f>('TE BE'!$X$23+'TE BF'!$X$23+'TE CVA'!$X$23)*(1 - CUSTOS!$M$38)</f>
        <v>-14.777784157639431</v>
      </c>
      <c r="V23" s="20">
        <f>('TE BE'!$Z$23+'TE BF'!$Z$23+'TE CVA'!$Z$23)*(1 - CUSTOS!$M$38)</f>
        <v>5.52324012554935</v>
      </c>
      <c r="X23" s="20">
        <v>2.1123771619409299</v>
      </c>
      <c r="Y23" s="20">
        <v>12.785770551801299</v>
      </c>
      <c r="Z23" s="20">
        <v>0</v>
      </c>
      <c r="AA23" s="20">
        <v>0</v>
      </c>
      <c r="AB23" s="20">
        <v>0</v>
      </c>
      <c r="AC23" s="20">
        <v>328.62342119033599</v>
      </c>
      <c r="AD23" s="20">
        <v>4.9935375004452203</v>
      </c>
      <c r="AE23" s="20">
        <v>3.6119580621762601</v>
      </c>
      <c r="AF23" s="20">
        <v>0</v>
      </c>
      <c r="AG23" s="20">
        <v>-17.341369044006399</v>
      </c>
      <c r="AH23" s="20">
        <v>4.9994078343031303</v>
      </c>
    </row>
    <row r="24" spans="1:34" ht="11.25" customHeight="1" x14ac:dyDescent="0.3">
      <c r="A24" s="148"/>
      <c r="B24" s="148"/>
      <c r="C24" s="148"/>
      <c r="D24" s="148"/>
      <c r="E24" s="148"/>
      <c r="F24" s="148"/>
      <c r="G24" s="23" t="s">
        <v>91</v>
      </c>
      <c r="H24" s="23" t="s">
        <v>79</v>
      </c>
      <c r="I24" s="23">
        <f>'MERCADO TE'!$U$21</f>
        <v>0</v>
      </c>
      <c r="J24" s="15"/>
      <c r="L24" s="20">
        <f>('TE BE'!$L$24+'TE BF'!$L$24+'TE CVA'!$L$24)*(1 - CUSTOS!$M$38)</f>
        <v>2.2584999480207788</v>
      </c>
      <c r="M24" s="20">
        <f>('TE BE'!$M$24+'TE BF'!$M$24+'TE CVA'!$M$24)*(1 - CUSTOS!$M$38)</f>
        <v>21.102685740418703</v>
      </c>
      <c r="N24" s="20">
        <f>('TE BE'!$N$24+'TE BF'!$N$24+'TE CVA'!$N$24)*(1 - CUSTOS!$M$38)</f>
        <v>0</v>
      </c>
      <c r="O24" s="20">
        <f>('TE BE'!$O$24+'TE BF'!$O$24+'TE CVA'!$O$24)*(1 - CUSTOS!$M$38)</f>
        <v>5.3990916190313731</v>
      </c>
      <c r="P24" s="20">
        <f>('TE BE'!$P$24+'TE BF'!$P$24+'TE CVA'!$P$24)*(1 - CUSTOS!$M$38)</f>
        <v>-16.411655664688666</v>
      </c>
      <c r="Q24" s="20">
        <f>('TE BE'!$R$24+'TE BF'!$R$24+'TE CVA'!$R$24)*(1 - CUSTOS!$M$38)</f>
        <v>190.15962675911857</v>
      </c>
      <c r="R24" s="20">
        <f>('TE BE'!$T$24+'TE BF'!$T$24+'TE CVA'!$T$24)*(1 - CUSTOS!$M$38)</f>
        <v>5.879978565823909</v>
      </c>
      <c r="S24" s="20">
        <f>('TE BE'!$U$24+'TE BF'!$U$24+'TE CVA'!$U$24)*(1 - CUSTOS!$M$38)</f>
        <v>4.1868740174753851</v>
      </c>
      <c r="T24" s="20">
        <f>('TE BE'!$V$24+'TE BF'!$V$24+'TE CVA'!$V$24)*(1 - CUSTOS!$M$38)</f>
        <v>0</v>
      </c>
      <c r="U24" s="20">
        <f>('TE BE'!$X$24+'TE BF'!$X$24+'TE CVA'!$X$24)*(1 - CUSTOS!$M$38)</f>
        <v>-9.0481081236771601</v>
      </c>
      <c r="V24" s="20">
        <f>('TE BE'!$Z$24+'TE BF'!$Z$24+'TE CVA'!$Z$24)*(1 - CUSTOS!$M$38)</f>
        <v>5.52324012554935</v>
      </c>
      <c r="X24" s="20">
        <v>2.1123771619409299</v>
      </c>
      <c r="Y24" s="20">
        <v>12.785770551801299</v>
      </c>
      <c r="Z24" s="20">
        <v>0</v>
      </c>
      <c r="AA24" s="20">
        <v>0</v>
      </c>
      <c r="AB24" s="20">
        <v>0</v>
      </c>
      <c r="AC24" s="20">
        <v>191.06012859903299</v>
      </c>
      <c r="AD24" s="20">
        <v>4.9935375004452203</v>
      </c>
      <c r="AE24" s="20">
        <v>3.6119580621762601</v>
      </c>
      <c r="AF24" s="20">
        <v>0</v>
      </c>
      <c r="AG24" s="20">
        <v>-10.6936915962575</v>
      </c>
      <c r="AH24" s="20">
        <v>4.9994078343031303</v>
      </c>
    </row>
    <row r="25" spans="1:34" ht="11.25" customHeight="1" x14ac:dyDescent="0.3">
      <c r="A25" s="148"/>
      <c r="B25" s="148"/>
      <c r="C25" s="148"/>
      <c r="D25" s="148"/>
      <c r="E25" s="148"/>
      <c r="F25" s="148"/>
      <c r="G25" s="23" t="s">
        <v>81</v>
      </c>
      <c r="H25" s="23" t="s">
        <v>79</v>
      </c>
      <c r="I25" s="23">
        <f>'MERCADO TE'!$U$22</f>
        <v>0</v>
      </c>
      <c r="J25" s="15"/>
      <c r="L25" s="20">
        <f>('TE BE'!$L$25+'TE BF'!$L$25+'TE CVA'!$L$25)*(1 - CUSTOS!$M$38)</f>
        <v>2.2584999480207788</v>
      </c>
      <c r="M25" s="20">
        <f>('TE BE'!$M$25+'TE BF'!$M$25+'TE CVA'!$M$25)*(1 - CUSTOS!$M$38)</f>
        <v>21.102685740418703</v>
      </c>
      <c r="N25" s="20">
        <f>('TE BE'!$N$25+'TE BF'!$N$25+'TE CVA'!$N$25)*(1 - CUSTOS!$M$38)</f>
        <v>0</v>
      </c>
      <c r="O25" s="20">
        <f>('TE BE'!$O$25+'TE BF'!$O$25+'TE CVA'!$O$25)*(1 - CUSTOS!$M$38)</f>
        <v>5.3990916190313731</v>
      </c>
      <c r="P25" s="20">
        <f>('TE BE'!$P$25+'TE BF'!$P$25+'TE CVA'!$P$25)*(1 - CUSTOS!$M$38)</f>
        <v>-16.411655664688666</v>
      </c>
      <c r="Q25" s="20">
        <f>('TE BE'!$R$25+'TE BF'!$R$25+'TE CVA'!$R$25)*(1 - CUSTOS!$M$38)</f>
        <v>190.15962675911857</v>
      </c>
      <c r="R25" s="20">
        <f>('TE BE'!$T$25+'TE BF'!$T$25+'TE CVA'!$T$25)*(1 - CUSTOS!$M$38)</f>
        <v>5.879978565823909</v>
      </c>
      <c r="S25" s="20">
        <f>('TE BE'!$U$25+'TE BF'!$U$25+'TE CVA'!$U$25)*(1 - CUSTOS!$M$38)</f>
        <v>4.1868740174753851</v>
      </c>
      <c r="T25" s="20">
        <f>('TE BE'!$V$25+'TE BF'!$V$25+'TE CVA'!$V$25)*(1 - CUSTOS!$M$38)</f>
        <v>0</v>
      </c>
      <c r="U25" s="20">
        <f>('TE BE'!$X$25+'TE BF'!$X$25+'TE CVA'!$X$25)*(1 - CUSTOS!$M$38)</f>
        <v>-9.0481081236771601</v>
      </c>
      <c r="V25" s="20">
        <f>('TE BE'!$Z$25+'TE BF'!$Z$25+'TE CVA'!$Z$25)*(1 - CUSTOS!$M$38)</f>
        <v>5.52324012554935</v>
      </c>
      <c r="X25" s="20">
        <v>2.1123771619409299</v>
      </c>
      <c r="Y25" s="20">
        <v>12.785770551801299</v>
      </c>
      <c r="Z25" s="20">
        <v>0</v>
      </c>
      <c r="AA25" s="20">
        <v>0</v>
      </c>
      <c r="AB25" s="20">
        <v>0</v>
      </c>
      <c r="AC25" s="20">
        <v>191.06012859903299</v>
      </c>
      <c r="AD25" s="20">
        <v>4.9935375004452203</v>
      </c>
      <c r="AE25" s="20">
        <v>3.6119580621762601</v>
      </c>
      <c r="AF25" s="20">
        <v>0</v>
      </c>
      <c r="AG25" s="20">
        <v>-10.6936915962575</v>
      </c>
      <c r="AH25" s="20">
        <v>4.9994078343031303</v>
      </c>
    </row>
    <row r="26" spans="1:34" ht="11.25" customHeight="1" x14ac:dyDescent="0.3">
      <c r="A26" s="148"/>
      <c r="B26" s="22" t="s">
        <v>82</v>
      </c>
      <c r="C26" s="22" t="s">
        <v>44</v>
      </c>
      <c r="D26" s="22" t="s">
        <v>25</v>
      </c>
      <c r="E26" s="22" t="s">
        <v>25</v>
      </c>
      <c r="F26" s="22" t="s">
        <v>25</v>
      </c>
      <c r="G26" s="23" t="s">
        <v>83</v>
      </c>
      <c r="H26" s="23" t="s">
        <v>79</v>
      </c>
      <c r="I26" s="23">
        <f>'MERCADO TE'!$U$23</f>
        <v>17613.978000000003</v>
      </c>
      <c r="J26" s="15"/>
      <c r="L26" s="20">
        <f>('TE BE'!$L$26+'TE BF'!$L$26+'TE CVA'!$L$26)*(1 - CUSTOS!$M$38)</f>
        <v>2.2584999480207788</v>
      </c>
      <c r="M26" s="20">
        <f>('TE BE'!$M$26+'TE BF'!$M$26+'TE CVA'!$M$26)*(1 - CUSTOS!$M$38)</f>
        <v>21.102685740418703</v>
      </c>
      <c r="N26" s="20">
        <f>('TE BE'!$N$26+'TE BF'!$N$26+'TE CVA'!$N$26)*(1 - CUSTOS!$M$38)</f>
        <v>0</v>
      </c>
      <c r="O26" s="20">
        <f>('TE BE'!$O$26+'TE BF'!$O$26+'TE CVA'!$O$26)*(1 - CUSTOS!$M$38)</f>
        <v>5.3990916190313731</v>
      </c>
      <c r="P26" s="20">
        <f>('TE BE'!$P$26+'TE BF'!$P$26+'TE CVA'!$P$26)*(1 - CUSTOS!$M$38)</f>
        <v>-16.411655664688666</v>
      </c>
      <c r="Q26" s="20">
        <f>('TE BE'!$R$26+'TE BF'!$R$26+'TE CVA'!$R$26)*(1 - CUSTOS!$M$38)</f>
        <v>201.56920436466569</v>
      </c>
      <c r="R26" s="20">
        <f>('TE BE'!$T$26+'TE BF'!$T$26+'TE CVA'!$T$26)*(1 - CUSTOS!$M$38)</f>
        <v>5.879978565823909</v>
      </c>
      <c r="S26" s="20">
        <f>('TE BE'!$U$26+'TE BF'!$U$26+'TE CVA'!$U$26)*(1 - CUSTOS!$M$38)</f>
        <v>4.1868740174753851</v>
      </c>
      <c r="T26" s="20">
        <f>('TE BE'!$V$26+'TE BF'!$V$26+'TE CVA'!$V$26)*(1 - CUSTOS!$M$38)</f>
        <v>0</v>
      </c>
      <c r="U26" s="20">
        <f>('TE BE'!$X$26+'TE BF'!$X$26+'TE CVA'!$X$26)*(1 - CUSTOS!$M$38)</f>
        <v>-9.5255811265073511</v>
      </c>
      <c r="V26" s="20">
        <f>('TE BE'!$Z$26+'TE BF'!$Z$26+'TE CVA'!$Z$26)*(1 - CUSTOS!$M$38)</f>
        <v>5.52324012554935</v>
      </c>
      <c r="X26" s="20">
        <v>2.1123771619409299</v>
      </c>
      <c r="Y26" s="20">
        <v>12.785770551801299</v>
      </c>
      <c r="Z26" s="20">
        <v>0</v>
      </c>
      <c r="AA26" s="20">
        <v>0</v>
      </c>
      <c r="AB26" s="20">
        <v>0</v>
      </c>
      <c r="AC26" s="20">
        <v>202.523736314975</v>
      </c>
      <c r="AD26" s="20">
        <v>4.9935375004452203</v>
      </c>
      <c r="AE26" s="20">
        <v>3.6119580621762601</v>
      </c>
      <c r="AF26" s="20">
        <v>0</v>
      </c>
      <c r="AG26" s="20">
        <v>-11.2476647169032</v>
      </c>
      <c r="AH26" s="20">
        <v>4.9994078343031303</v>
      </c>
    </row>
    <row r="27" spans="1:34" ht="11.25" customHeight="1" x14ac:dyDescent="0.3">
      <c r="A27" s="148"/>
      <c r="B27" s="148" t="s">
        <v>78</v>
      </c>
      <c r="C27" s="148" t="s">
        <v>44</v>
      </c>
      <c r="D27" s="148" t="s">
        <v>94</v>
      </c>
      <c r="E27" s="148" t="s">
        <v>25</v>
      </c>
      <c r="F27" s="148" t="s">
        <v>25</v>
      </c>
      <c r="G27" s="23" t="s">
        <v>80</v>
      </c>
      <c r="H27" s="23" t="s">
        <v>79</v>
      </c>
      <c r="I27" s="23">
        <f>'MERCADO TE'!$U$24</f>
        <v>0</v>
      </c>
      <c r="J27" s="15"/>
      <c r="L27" s="20">
        <f>('TE BE'!$L$27+'TE BF'!$L$27+'TE CVA'!$L$27)*(1 - CUSTOS!$M$39)</f>
        <v>2.2584999480207788</v>
      </c>
      <c r="M27" s="20">
        <f>('TE BE'!$M$27+'TE BF'!$M$27+'TE CVA'!$M$27)*(1 - CUSTOS!$M$39)</f>
        <v>21.102685740418703</v>
      </c>
      <c r="N27" s="20">
        <f>('TE BE'!$N$27+'TE BF'!$N$27+'TE CVA'!$N$27)*(1 - CUSTOS!$M$39)</f>
        <v>0</v>
      </c>
      <c r="O27" s="20">
        <f>('TE BE'!$O$27+'TE BF'!$O$27+'TE CVA'!$O$27)*(1 - CUSTOS!$M$39)</f>
        <v>5.3990916190313731</v>
      </c>
      <c r="P27" s="20">
        <f>('TE BE'!$P$27+'TE BF'!$P$27+'TE CVA'!$P$27)*(1 - CUSTOS!$M$39)</f>
        <v>-16.411655664688666</v>
      </c>
      <c r="Q27" s="20">
        <f>('TE BE'!$R$27+'TE BF'!$R$27+'TE CVA'!$R$27)*(1 - CUSTOS!$M$39)</f>
        <v>327.07455802568387</v>
      </c>
      <c r="R27" s="20">
        <f>('TE BE'!$T$27+'TE BF'!$T$27+'TE CVA'!$T$27)*(1 - CUSTOS!$M$39)</f>
        <v>5.879978565823909</v>
      </c>
      <c r="S27" s="20">
        <f>('TE BE'!$U$27+'TE BF'!$U$27+'TE CVA'!$U$27)*(1 - CUSTOS!$M$39)</f>
        <v>4.1868740174753851</v>
      </c>
      <c r="T27" s="20">
        <f>('TE BE'!$V$27+'TE BF'!$V$27+'TE CVA'!$V$27)*(1 - CUSTOS!$M$39)</f>
        <v>0</v>
      </c>
      <c r="U27" s="20">
        <f>('TE BE'!$X$27+'TE BF'!$X$27+'TE CVA'!$X$27)*(1 - CUSTOS!$M$39)</f>
        <v>-14.777784157639431</v>
      </c>
      <c r="V27" s="20">
        <f>('TE BE'!$Z$27+'TE BF'!$Z$27+'TE CVA'!$Z$27)*(1 - CUSTOS!$M$39)</f>
        <v>5.52324012554935</v>
      </c>
      <c r="X27" s="20">
        <v>2.1123771619409299</v>
      </c>
      <c r="Y27" s="20">
        <v>12.785770551801299</v>
      </c>
      <c r="Z27" s="20">
        <v>0</v>
      </c>
      <c r="AA27" s="20">
        <v>0</v>
      </c>
      <c r="AB27" s="20">
        <v>0</v>
      </c>
      <c r="AC27" s="20">
        <v>328.62342119033599</v>
      </c>
      <c r="AD27" s="20">
        <v>4.9935375004452203</v>
      </c>
      <c r="AE27" s="20">
        <v>3.6119580621762601</v>
      </c>
      <c r="AF27" s="20">
        <v>0</v>
      </c>
      <c r="AG27" s="20">
        <v>-17.341369044006399</v>
      </c>
      <c r="AH27" s="20">
        <v>4.9994078343031303</v>
      </c>
    </row>
    <row r="28" spans="1:34" ht="11.25" customHeight="1" x14ac:dyDescent="0.3">
      <c r="A28" s="148"/>
      <c r="B28" s="148"/>
      <c r="C28" s="148"/>
      <c r="D28" s="148"/>
      <c r="E28" s="148"/>
      <c r="F28" s="148"/>
      <c r="G28" s="23" t="s">
        <v>91</v>
      </c>
      <c r="H28" s="23" t="s">
        <v>79</v>
      </c>
      <c r="I28" s="23">
        <f>'MERCADO TE'!$U$25</f>
        <v>0</v>
      </c>
      <c r="J28" s="15"/>
      <c r="L28" s="20">
        <f>('TE BE'!$L$28+'TE BF'!$L$28+'TE CVA'!$L$28)*(1 - CUSTOS!$M$39)</f>
        <v>2.2584999480207788</v>
      </c>
      <c r="M28" s="20">
        <f>('TE BE'!$M$28+'TE BF'!$M$28+'TE CVA'!$M$28)*(1 - CUSTOS!$M$39)</f>
        <v>21.102685740418703</v>
      </c>
      <c r="N28" s="20">
        <f>('TE BE'!$N$28+'TE BF'!$N$28+'TE CVA'!$N$28)*(1 - CUSTOS!$M$39)</f>
        <v>0</v>
      </c>
      <c r="O28" s="20">
        <f>('TE BE'!$O$28+'TE BF'!$O$28+'TE CVA'!$O$28)*(1 - CUSTOS!$M$39)</f>
        <v>5.3990916190313731</v>
      </c>
      <c r="P28" s="20">
        <f>('TE BE'!$P$28+'TE BF'!$P$28+'TE CVA'!$P$28)*(1 - CUSTOS!$M$39)</f>
        <v>-16.411655664688666</v>
      </c>
      <c r="Q28" s="20">
        <f>('TE BE'!$R$28+'TE BF'!$R$28+'TE CVA'!$R$28)*(1 - CUSTOS!$M$39)</f>
        <v>190.15962675911857</v>
      </c>
      <c r="R28" s="20">
        <f>('TE BE'!$T$28+'TE BF'!$T$28+'TE CVA'!$T$28)*(1 - CUSTOS!$M$39)</f>
        <v>5.879978565823909</v>
      </c>
      <c r="S28" s="20">
        <f>('TE BE'!$U$28+'TE BF'!$U$28+'TE CVA'!$U$28)*(1 - CUSTOS!$M$39)</f>
        <v>4.1868740174753851</v>
      </c>
      <c r="T28" s="20">
        <f>('TE BE'!$V$28+'TE BF'!$V$28+'TE CVA'!$V$28)*(1 - CUSTOS!$M$39)</f>
        <v>0</v>
      </c>
      <c r="U28" s="20">
        <f>('TE BE'!$X$28+'TE BF'!$X$28+'TE CVA'!$X$28)*(1 - CUSTOS!$M$39)</f>
        <v>-9.0481081236771601</v>
      </c>
      <c r="V28" s="20">
        <f>('TE BE'!$Z$28+'TE BF'!$Z$28+'TE CVA'!$Z$28)*(1 - CUSTOS!$M$39)</f>
        <v>5.52324012554935</v>
      </c>
      <c r="X28" s="20">
        <v>2.1123771619409299</v>
      </c>
      <c r="Y28" s="20">
        <v>12.785770551801299</v>
      </c>
      <c r="Z28" s="20">
        <v>0</v>
      </c>
      <c r="AA28" s="20">
        <v>0</v>
      </c>
      <c r="AB28" s="20">
        <v>0</v>
      </c>
      <c r="AC28" s="20">
        <v>191.06012859903299</v>
      </c>
      <c r="AD28" s="20">
        <v>4.9935375004452203</v>
      </c>
      <c r="AE28" s="20">
        <v>3.6119580621762601</v>
      </c>
      <c r="AF28" s="20">
        <v>0</v>
      </c>
      <c r="AG28" s="20">
        <v>-10.6936915962575</v>
      </c>
      <c r="AH28" s="20">
        <v>4.9994078343031303</v>
      </c>
    </row>
    <row r="29" spans="1:34" ht="11.25" customHeight="1" x14ac:dyDescent="0.3">
      <c r="A29" s="148"/>
      <c r="B29" s="148"/>
      <c r="C29" s="148"/>
      <c r="D29" s="148"/>
      <c r="E29" s="148"/>
      <c r="F29" s="148"/>
      <c r="G29" s="23" t="s">
        <v>81</v>
      </c>
      <c r="H29" s="23" t="s">
        <v>79</v>
      </c>
      <c r="I29" s="23">
        <f>'MERCADO TE'!$U$26</f>
        <v>0</v>
      </c>
      <c r="J29" s="15"/>
      <c r="L29" s="20">
        <f>('TE BE'!$L$29+'TE BF'!$L$29+'TE CVA'!$L$29)*(1 - CUSTOS!$M$39)</f>
        <v>2.2584999480207788</v>
      </c>
      <c r="M29" s="20">
        <f>('TE BE'!$M$29+'TE BF'!$M$29+'TE CVA'!$M$29)*(1 - CUSTOS!$M$39)</f>
        <v>21.102685740418703</v>
      </c>
      <c r="N29" s="20">
        <f>('TE BE'!$N$29+'TE BF'!$N$29+'TE CVA'!$N$29)*(1 - CUSTOS!$M$39)</f>
        <v>0</v>
      </c>
      <c r="O29" s="20">
        <f>('TE BE'!$O$29+'TE BF'!$O$29+'TE CVA'!$O$29)*(1 - CUSTOS!$M$39)</f>
        <v>5.3990916190313731</v>
      </c>
      <c r="P29" s="20">
        <f>('TE BE'!$P$29+'TE BF'!$P$29+'TE CVA'!$P$29)*(1 - CUSTOS!$M$39)</f>
        <v>-16.411655664688666</v>
      </c>
      <c r="Q29" s="20">
        <f>('TE BE'!$R$29+'TE BF'!$R$29+'TE CVA'!$R$29)*(1 - CUSTOS!$M$39)</f>
        <v>190.15962675911857</v>
      </c>
      <c r="R29" s="20">
        <f>('TE BE'!$T$29+'TE BF'!$T$29+'TE CVA'!$T$29)*(1 - CUSTOS!$M$39)</f>
        <v>5.879978565823909</v>
      </c>
      <c r="S29" s="20">
        <f>('TE BE'!$U$29+'TE BF'!$U$29+'TE CVA'!$U$29)*(1 - CUSTOS!$M$39)</f>
        <v>4.1868740174753851</v>
      </c>
      <c r="T29" s="20">
        <f>('TE BE'!$V$29+'TE BF'!$V$29+'TE CVA'!$V$29)*(1 - CUSTOS!$M$39)</f>
        <v>0</v>
      </c>
      <c r="U29" s="20">
        <f>('TE BE'!$X$29+'TE BF'!$X$29+'TE CVA'!$X$29)*(1 - CUSTOS!$M$39)</f>
        <v>-9.0481081236771601</v>
      </c>
      <c r="V29" s="20">
        <f>('TE BE'!$Z$29+'TE BF'!$Z$29+'TE CVA'!$Z$29)*(1 - CUSTOS!$M$39)</f>
        <v>5.52324012554935</v>
      </c>
      <c r="X29" s="20">
        <v>2.1123771619409299</v>
      </c>
      <c r="Y29" s="20">
        <v>12.785770551801299</v>
      </c>
      <c r="Z29" s="20">
        <v>0</v>
      </c>
      <c r="AA29" s="20">
        <v>0</v>
      </c>
      <c r="AB29" s="20">
        <v>0</v>
      </c>
      <c r="AC29" s="20">
        <v>191.06012859903299</v>
      </c>
      <c r="AD29" s="20">
        <v>4.9935375004452203</v>
      </c>
      <c r="AE29" s="20">
        <v>3.6119580621762601</v>
      </c>
      <c r="AF29" s="20">
        <v>0</v>
      </c>
      <c r="AG29" s="20">
        <v>-10.6936915962575</v>
      </c>
      <c r="AH29" s="20">
        <v>4.9994078343031303</v>
      </c>
    </row>
    <row r="30" spans="1:34" ht="11.25" customHeight="1" x14ac:dyDescent="0.3">
      <c r="A30" s="148"/>
      <c r="B30" s="22" t="s">
        <v>82</v>
      </c>
      <c r="C30" s="22" t="s">
        <v>44</v>
      </c>
      <c r="D30" s="22" t="s">
        <v>94</v>
      </c>
      <c r="E30" s="22" t="s">
        <v>25</v>
      </c>
      <c r="F30" s="22" t="s">
        <v>25</v>
      </c>
      <c r="G30" s="23" t="s">
        <v>83</v>
      </c>
      <c r="H30" s="23" t="s">
        <v>79</v>
      </c>
      <c r="I30" s="23">
        <f>'MERCADO TE'!$U$27</f>
        <v>0</v>
      </c>
      <c r="J30" s="15"/>
      <c r="L30" s="20">
        <f>('TE BE'!$L$30+'TE BF'!$L$30+'TE CVA'!$L$30)*(1 - CUSTOS!$M$39)</f>
        <v>2.2584999480207788</v>
      </c>
      <c r="M30" s="20">
        <f>('TE BE'!$M$30+'TE BF'!$M$30+'TE CVA'!$M$30)*(1 - CUSTOS!$M$39)</f>
        <v>21.102685740418703</v>
      </c>
      <c r="N30" s="20">
        <f>('TE BE'!$N$30+'TE BF'!$N$30+'TE CVA'!$N$30)*(1 - CUSTOS!$M$39)</f>
        <v>0</v>
      </c>
      <c r="O30" s="20">
        <f>('TE BE'!$O$30+'TE BF'!$O$30+'TE CVA'!$O$30)*(1 - CUSTOS!$M$39)</f>
        <v>5.3990916190313731</v>
      </c>
      <c r="P30" s="20">
        <f>('TE BE'!$P$30+'TE BF'!$P$30+'TE CVA'!$P$30)*(1 - CUSTOS!$M$39)</f>
        <v>-16.411655664688666</v>
      </c>
      <c r="Q30" s="20">
        <f>('TE BE'!$R$30+'TE BF'!$R$30+'TE CVA'!$R$30)*(1 - CUSTOS!$M$39)</f>
        <v>201.56920436466569</v>
      </c>
      <c r="R30" s="20">
        <f>('TE BE'!$T$30+'TE BF'!$T$30+'TE CVA'!$T$30)*(1 - CUSTOS!$M$39)</f>
        <v>5.879978565823909</v>
      </c>
      <c r="S30" s="20">
        <f>('TE BE'!$U$30+'TE BF'!$U$30+'TE CVA'!$U$30)*(1 - CUSTOS!$M$39)</f>
        <v>4.1868740174753851</v>
      </c>
      <c r="T30" s="20">
        <f>('TE BE'!$V$30+'TE BF'!$V$30+'TE CVA'!$V$30)*(1 - CUSTOS!$M$39)</f>
        <v>0</v>
      </c>
      <c r="U30" s="20">
        <f>('TE BE'!$X$30+'TE BF'!$X$30+'TE CVA'!$X$30)*(1 - CUSTOS!$M$39)</f>
        <v>-9.5255811265073511</v>
      </c>
      <c r="V30" s="20">
        <f>('TE BE'!$Z$30+'TE BF'!$Z$30+'TE CVA'!$Z$30)*(1 - CUSTOS!$M$39)</f>
        <v>5.52324012554935</v>
      </c>
      <c r="X30" s="20">
        <v>2.1123771619409299</v>
      </c>
      <c r="Y30" s="20">
        <v>12.785770551801299</v>
      </c>
      <c r="Z30" s="20">
        <v>0</v>
      </c>
      <c r="AA30" s="20">
        <v>0</v>
      </c>
      <c r="AB30" s="20">
        <v>0</v>
      </c>
      <c r="AC30" s="20">
        <v>202.523736314975</v>
      </c>
      <c r="AD30" s="20">
        <v>4.9935375004452203</v>
      </c>
      <c r="AE30" s="20">
        <v>3.6119580621762601</v>
      </c>
      <c r="AF30" s="20">
        <v>0</v>
      </c>
      <c r="AG30" s="20">
        <v>-11.2476647169032</v>
      </c>
      <c r="AH30" s="20">
        <v>4.9994078343031303</v>
      </c>
    </row>
    <row r="31" spans="1:34" ht="11.25" customHeight="1" x14ac:dyDescent="0.3">
      <c r="A31" s="148"/>
      <c r="B31" s="148" t="s">
        <v>78</v>
      </c>
      <c r="C31" s="148" t="s">
        <v>44</v>
      </c>
      <c r="D31" s="148" t="s">
        <v>95</v>
      </c>
      <c r="E31" s="148" t="s">
        <v>25</v>
      </c>
      <c r="F31" s="148" t="s">
        <v>25</v>
      </c>
      <c r="G31" s="23" t="s">
        <v>80</v>
      </c>
      <c r="H31" s="23" t="s">
        <v>79</v>
      </c>
      <c r="I31" s="23">
        <f>'MERCADO TE'!$U$28</f>
        <v>0</v>
      </c>
      <c r="J31" s="15"/>
      <c r="L31" s="20">
        <f>('TE BE'!$L$31+'TE BF'!$L$31+'TE CVA'!$L$31)*(1 - CUSTOS!$M$40)</f>
        <v>2.2104467576373583</v>
      </c>
      <c r="M31" s="20">
        <f>('TE BE'!$M$31+'TE BF'!$M$31+'TE CVA'!$M$31)*(1 - CUSTOS!$M$40)</f>
        <v>20.653692426792777</v>
      </c>
      <c r="N31" s="20">
        <f>('TE BE'!$N$31+'TE BF'!$N$31+'TE CVA'!$N$31)*(1 - CUSTOS!$M$40)</f>
        <v>0</v>
      </c>
      <c r="O31" s="20">
        <f>('TE BE'!$O$31+'TE BF'!$O$31+'TE CVA'!$O$31)*(1 - CUSTOS!$M$40)</f>
        <v>5.2842173292647487</v>
      </c>
      <c r="P31" s="20">
        <f>('TE BE'!$P$31+'TE BF'!$P$31+'TE CVA'!$P$31)*(1 - CUSTOS!$M$40)</f>
        <v>-16.062471501610183</v>
      </c>
      <c r="Q31" s="20">
        <f>('TE BE'!$R$31+'TE BF'!$R$31+'TE CVA'!$R$31)*(1 - CUSTOS!$M$40)</f>
        <v>320.11552487620128</v>
      </c>
      <c r="R31" s="20">
        <f>('TE BE'!$T$31+'TE BF'!$T$31+'TE CVA'!$T$31)*(1 - CUSTOS!$M$40)</f>
        <v>5.7548726388914861</v>
      </c>
      <c r="S31" s="20">
        <f>('TE BE'!$U$31+'TE BF'!$U$31+'TE CVA'!$U$31)*(1 - CUSTOS!$M$40)</f>
        <v>4.0977915915716538</v>
      </c>
      <c r="T31" s="20">
        <f>('TE BE'!$V$31+'TE BF'!$V$31+'TE CVA'!$V$31)*(1 - CUSTOS!$M$40)</f>
        <v>0</v>
      </c>
      <c r="U31" s="20">
        <f>('TE BE'!$X$31+'TE BF'!$X$31+'TE CVA'!$X$31)*(1 - CUSTOS!$M$40)</f>
        <v>-14.463363218115189</v>
      </c>
      <c r="V31" s="20">
        <f>('TE BE'!$Z$31+'TE BF'!$Z$31+'TE CVA'!$Z$31)*(1 - CUSTOS!$M$40)</f>
        <v>5.4057243781972364</v>
      </c>
      <c r="X31" s="20">
        <v>2.0163600182163499</v>
      </c>
      <c r="Y31" s="20">
        <v>12.204599163083101</v>
      </c>
      <c r="Z31" s="20">
        <v>0</v>
      </c>
      <c r="AA31" s="20">
        <v>0</v>
      </c>
      <c r="AB31" s="20">
        <v>0</v>
      </c>
      <c r="AC31" s="20">
        <v>313.68599295441197</v>
      </c>
      <c r="AD31" s="20">
        <v>4.7665585231522503</v>
      </c>
      <c r="AE31" s="20">
        <v>3.4477781502591598</v>
      </c>
      <c r="AF31" s="20">
        <v>0</v>
      </c>
      <c r="AG31" s="20">
        <v>-16.553124996551599</v>
      </c>
      <c r="AH31" s="20">
        <v>4.7721620236529896</v>
      </c>
    </row>
    <row r="32" spans="1:34" ht="11.25" customHeight="1" x14ac:dyDescent="0.3">
      <c r="A32" s="148"/>
      <c r="B32" s="148"/>
      <c r="C32" s="148"/>
      <c r="D32" s="148"/>
      <c r="E32" s="148"/>
      <c r="F32" s="148"/>
      <c r="G32" s="23" t="s">
        <v>91</v>
      </c>
      <c r="H32" s="23" t="s">
        <v>79</v>
      </c>
      <c r="I32" s="23">
        <f>'MERCADO TE'!$U$29</f>
        <v>0</v>
      </c>
      <c r="J32" s="15"/>
      <c r="L32" s="20">
        <f>('TE BE'!$L$32+'TE BF'!$L$32+'TE CVA'!$L$32)*(1 - CUSTOS!$M$40)</f>
        <v>2.2104467576373583</v>
      </c>
      <c r="M32" s="20">
        <f>('TE BE'!$M$32+'TE BF'!$M$32+'TE CVA'!$M$32)*(1 - CUSTOS!$M$40)</f>
        <v>20.653692426792777</v>
      </c>
      <c r="N32" s="20">
        <f>('TE BE'!$N$32+'TE BF'!$N$32+'TE CVA'!$N$32)*(1 - CUSTOS!$M$40)</f>
        <v>0</v>
      </c>
      <c r="O32" s="20">
        <f>('TE BE'!$O$32+'TE BF'!$O$32+'TE CVA'!$O$32)*(1 - CUSTOS!$M$40)</f>
        <v>5.2842173292647487</v>
      </c>
      <c r="P32" s="20">
        <f>('TE BE'!$P$32+'TE BF'!$P$32+'TE CVA'!$P$32)*(1 - CUSTOS!$M$40)</f>
        <v>-16.062471501610183</v>
      </c>
      <c r="Q32" s="20">
        <f>('TE BE'!$R$32+'TE BF'!$R$32+'TE CVA'!$R$32)*(1 - CUSTOS!$M$40)</f>
        <v>186.11367725360543</v>
      </c>
      <c r="R32" s="20">
        <f>('TE BE'!$T$32+'TE BF'!$T$32+'TE CVA'!$T$32)*(1 - CUSTOS!$M$40)</f>
        <v>5.7548726388914861</v>
      </c>
      <c r="S32" s="20">
        <f>('TE BE'!$U$32+'TE BF'!$U$32+'TE CVA'!$U$32)*(1 - CUSTOS!$M$40)</f>
        <v>4.0977915915716538</v>
      </c>
      <c r="T32" s="20">
        <f>('TE BE'!$V$32+'TE BF'!$V$32+'TE CVA'!$V$32)*(1 - CUSTOS!$M$40)</f>
        <v>0</v>
      </c>
      <c r="U32" s="20">
        <f>('TE BE'!$X$32+'TE BF'!$X$32+'TE CVA'!$X$32)*(1 - CUSTOS!$M$40)</f>
        <v>-8.8555951848755203</v>
      </c>
      <c r="V32" s="20">
        <f>('TE BE'!$Z$32+'TE BF'!$Z$32+'TE CVA'!$Z$32)*(1 - CUSTOS!$M$40)</f>
        <v>5.4057243781972364</v>
      </c>
      <c r="X32" s="20">
        <v>2.0163600182163499</v>
      </c>
      <c r="Y32" s="20">
        <v>12.204599163083101</v>
      </c>
      <c r="Z32" s="20">
        <v>0</v>
      </c>
      <c r="AA32" s="20">
        <v>0</v>
      </c>
      <c r="AB32" s="20">
        <v>0</v>
      </c>
      <c r="AC32" s="20">
        <v>182.37557729907701</v>
      </c>
      <c r="AD32" s="20">
        <v>4.7665585231522503</v>
      </c>
      <c r="AE32" s="20">
        <v>3.4477781502591598</v>
      </c>
      <c r="AF32" s="20">
        <v>0</v>
      </c>
      <c r="AG32" s="20">
        <v>-10.2076147055185</v>
      </c>
      <c r="AH32" s="20">
        <v>4.7721620236529896</v>
      </c>
    </row>
    <row r="33" spans="1:34" ht="11.25" customHeight="1" x14ac:dyDescent="0.3">
      <c r="A33" s="148"/>
      <c r="B33" s="148"/>
      <c r="C33" s="148"/>
      <c r="D33" s="148"/>
      <c r="E33" s="148"/>
      <c r="F33" s="148"/>
      <c r="G33" s="23" t="s">
        <v>81</v>
      </c>
      <c r="H33" s="23" t="s">
        <v>79</v>
      </c>
      <c r="I33" s="23">
        <f>'MERCADO TE'!$U$30</f>
        <v>0</v>
      </c>
      <c r="J33" s="15"/>
      <c r="L33" s="20">
        <f>('TE BE'!$L$33+'TE BF'!$L$33+'TE CVA'!$L$33)*(1 - CUSTOS!$M$40)</f>
        <v>2.2104467576373583</v>
      </c>
      <c r="M33" s="20">
        <f>('TE BE'!$M$33+'TE BF'!$M$33+'TE CVA'!$M$33)*(1 - CUSTOS!$M$40)</f>
        <v>20.653692426792777</v>
      </c>
      <c r="N33" s="20">
        <f>('TE BE'!$N$33+'TE BF'!$N$33+'TE CVA'!$N$33)*(1 - CUSTOS!$M$40)</f>
        <v>0</v>
      </c>
      <c r="O33" s="20">
        <f>('TE BE'!$O$33+'TE BF'!$O$33+'TE CVA'!$O$33)*(1 - CUSTOS!$M$40)</f>
        <v>5.2842173292647487</v>
      </c>
      <c r="P33" s="20">
        <f>('TE BE'!$P$33+'TE BF'!$P$33+'TE CVA'!$P$33)*(1 - CUSTOS!$M$40)</f>
        <v>-16.062471501610183</v>
      </c>
      <c r="Q33" s="20">
        <f>('TE BE'!$R$33+'TE BF'!$R$33+'TE CVA'!$R$33)*(1 - CUSTOS!$M$40)</f>
        <v>186.11367725360543</v>
      </c>
      <c r="R33" s="20">
        <f>('TE BE'!$T$33+'TE BF'!$T$33+'TE CVA'!$T$33)*(1 - CUSTOS!$M$40)</f>
        <v>5.7548726388914861</v>
      </c>
      <c r="S33" s="20">
        <f>('TE BE'!$U$33+'TE BF'!$U$33+'TE CVA'!$U$33)*(1 - CUSTOS!$M$40)</f>
        <v>4.0977915915716538</v>
      </c>
      <c r="T33" s="20">
        <f>('TE BE'!$V$33+'TE BF'!$V$33+'TE CVA'!$V$33)*(1 - CUSTOS!$M$40)</f>
        <v>0</v>
      </c>
      <c r="U33" s="20">
        <f>('TE BE'!$X$33+'TE BF'!$X$33+'TE CVA'!$X$33)*(1 - CUSTOS!$M$40)</f>
        <v>-8.8555951848755203</v>
      </c>
      <c r="V33" s="20">
        <f>('TE BE'!$Z$33+'TE BF'!$Z$33+'TE CVA'!$Z$33)*(1 - CUSTOS!$M$40)</f>
        <v>5.4057243781972364</v>
      </c>
      <c r="X33" s="20">
        <v>2.0163600182163499</v>
      </c>
      <c r="Y33" s="20">
        <v>12.204599163083101</v>
      </c>
      <c r="Z33" s="20">
        <v>0</v>
      </c>
      <c r="AA33" s="20">
        <v>0</v>
      </c>
      <c r="AB33" s="20">
        <v>0</v>
      </c>
      <c r="AC33" s="20">
        <v>182.37557729907701</v>
      </c>
      <c r="AD33" s="20">
        <v>4.7665585231522503</v>
      </c>
      <c r="AE33" s="20">
        <v>3.4477781502591598</v>
      </c>
      <c r="AF33" s="20">
        <v>0</v>
      </c>
      <c r="AG33" s="20">
        <v>-10.2076147055185</v>
      </c>
      <c r="AH33" s="20">
        <v>4.7721620236529896</v>
      </c>
    </row>
    <row r="34" spans="1:34" ht="11.25" customHeight="1" x14ac:dyDescent="0.3">
      <c r="A34" s="148"/>
      <c r="B34" s="22" t="s">
        <v>82</v>
      </c>
      <c r="C34" s="22" t="s">
        <v>44</v>
      </c>
      <c r="D34" s="22" t="s">
        <v>95</v>
      </c>
      <c r="E34" s="22" t="s">
        <v>25</v>
      </c>
      <c r="F34" s="22" t="s">
        <v>25</v>
      </c>
      <c r="G34" s="23" t="s">
        <v>83</v>
      </c>
      <c r="H34" s="23" t="s">
        <v>79</v>
      </c>
      <c r="I34" s="23">
        <f>'MERCADO TE'!$U$31</f>
        <v>0</v>
      </c>
      <c r="J34" s="15"/>
      <c r="L34" s="20">
        <f>('TE BE'!$L$34+'TE BF'!$L$34+'TE CVA'!$L$34)*(1 - CUSTOS!$M$40)</f>
        <v>2.2104467576373583</v>
      </c>
      <c r="M34" s="20">
        <f>('TE BE'!$M$34+'TE BF'!$M$34+'TE CVA'!$M$34)*(1 - CUSTOS!$M$40)</f>
        <v>20.653692426792777</v>
      </c>
      <c r="N34" s="20">
        <f>('TE BE'!$N$34+'TE BF'!$N$34+'TE CVA'!$N$34)*(1 - CUSTOS!$M$40)</f>
        <v>0</v>
      </c>
      <c r="O34" s="20">
        <f>('TE BE'!$O$34+'TE BF'!$O$34+'TE CVA'!$O$34)*(1 - CUSTOS!$M$40)</f>
        <v>5.2842173292647487</v>
      </c>
      <c r="P34" s="20">
        <f>('TE BE'!$P$34+'TE BF'!$P$34+'TE CVA'!$P$34)*(1 - CUSTOS!$M$40)</f>
        <v>-16.062471501610183</v>
      </c>
      <c r="Q34" s="20">
        <f>('TE BE'!$R$34+'TE BF'!$R$34+'TE CVA'!$R$34)*(1 - CUSTOS!$M$40)</f>
        <v>197.28049788882174</v>
      </c>
      <c r="R34" s="20">
        <f>('TE BE'!$T$34+'TE BF'!$T$34+'TE CVA'!$T$34)*(1 - CUSTOS!$M$40)</f>
        <v>5.7548726388914861</v>
      </c>
      <c r="S34" s="20">
        <f>('TE BE'!$U$34+'TE BF'!$U$34+'TE CVA'!$U$34)*(1 - CUSTOS!$M$40)</f>
        <v>4.0977915915716538</v>
      </c>
      <c r="T34" s="20">
        <f>('TE BE'!$V$34+'TE BF'!$V$34+'TE CVA'!$V$34)*(1 - CUSTOS!$M$40)</f>
        <v>0</v>
      </c>
      <c r="U34" s="20">
        <f>('TE BE'!$X$34+'TE BF'!$X$34+'TE CVA'!$X$34)*(1 - CUSTOS!$M$40)</f>
        <v>-9.322909187645493</v>
      </c>
      <c r="V34" s="20">
        <f>('TE BE'!$Z$34+'TE BF'!$Z$34+'TE CVA'!$Z$34)*(1 - CUSTOS!$M$40)</f>
        <v>5.4057243781972364</v>
      </c>
      <c r="X34" s="20">
        <v>2.0163600182163499</v>
      </c>
      <c r="Y34" s="20">
        <v>12.204599163083101</v>
      </c>
      <c r="Z34" s="20">
        <v>0</v>
      </c>
      <c r="AA34" s="20">
        <v>0</v>
      </c>
      <c r="AB34" s="20">
        <v>0</v>
      </c>
      <c r="AC34" s="20">
        <v>193.318111937021</v>
      </c>
      <c r="AD34" s="20">
        <v>4.7665585231522503</v>
      </c>
      <c r="AE34" s="20">
        <v>3.4477781502591598</v>
      </c>
      <c r="AF34" s="20">
        <v>0</v>
      </c>
      <c r="AG34" s="20">
        <v>-10.736407229771199</v>
      </c>
      <c r="AH34" s="20">
        <v>4.7721620236529896</v>
      </c>
    </row>
    <row r="35" spans="1:34" ht="11.25" customHeight="1" x14ac:dyDescent="0.3">
      <c r="A35" s="148"/>
      <c r="B35" s="148" t="s">
        <v>92</v>
      </c>
      <c r="C35" s="148" t="s">
        <v>44</v>
      </c>
      <c r="D35" s="22" t="s">
        <v>25</v>
      </c>
      <c r="E35" s="22" t="s">
        <v>25</v>
      </c>
      <c r="F35" s="22" t="s">
        <v>25</v>
      </c>
      <c r="G35" s="23" t="s">
        <v>83</v>
      </c>
      <c r="H35" s="23" t="s">
        <v>79</v>
      </c>
      <c r="I35" s="23">
        <f>'MERCADO TE'!$U$32</f>
        <v>0</v>
      </c>
      <c r="J35" s="15"/>
      <c r="L35" s="20">
        <f>('TE BE'!$L$35+'TE BF'!$L$35+'TE CVA'!$L$35)*(1 - CUSTOS!$M$38)</f>
        <v>2.2584999480207788</v>
      </c>
      <c r="M35" s="20">
        <f>('TE BE'!$M$35+'TE BF'!$M$35+'TE CVA'!$M$35)*(1 - CUSTOS!$M$38)</f>
        <v>21.102685740418703</v>
      </c>
      <c r="N35" s="20">
        <f>('TE BE'!$N$35+'TE BF'!$N$35+'TE CVA'!$N$35)*(1 - CUSTOS!$M$38)</f>
        <v>0</v>
      </c>
      <c r="O35" s="20">
        <f>('TE BE'!$O$35+'TE BF'!$O$35+'TE CVA'!$O$35)*(1 - CUSTOS!$M$38)</f>
        <v>5.3990916190313731</v>
      </c>
      <c r="P35" s="20">
        <f>('TE BE'!$P$35+'TE BF'!$P$35+'TE CVA'!$P$35)*(1 - CUSTOS!$M$38)</f>
        <v>-16.411655664688666</v>
      </c>
      <c r="Q35" s="20">
        <f>('TE BE'!$R$35+'TE BF'!$R$35+'TE CVA'!$R$35)*(1 - CUSTOS!$M$38)</f>
        <v>201.56920436466569</v>
      </c>
      <c r="R35" s="20">
        <f>('TE BE'!$T$35+'TE BF'!$T$35+'TE CVA'!$T$35)*(1 - CUSTOS!$M$38)</f>
        <v>5.879978565823909</v>
      </c>
      <c r="S35" s="20">
        <f>('TE BE'!$U$35+'TE BF'!$U$35+'TE CVA'!$U$35)*(1 - CUSTOS!$M$38)</f>
        <v>4.1868740174753851</v>
      </c>
      <c r="T35" s="20">
        <f>('TE BE'!$V$35+'TE BF'!$V$35+'TE CVA'!$V$35)*(1 - CUSTOS!$M$38)</f>
        <v>0</v>
      </c>
      <c r="U35" s="20">
        <f>('TE BE'!$X$35+'TE BF'!$X$35+'TE CVA'!$X$35)*(1 - CUSTOS!$M$38)</f>
        <v>-9.5255811265073511</v>
      </c>
      <c r="V35" s="20">
        <f>('TE BE'!$Z$35+'TE BF'!$Z$35+'TE CVA'!$Z$35)*(1 - CUSTOS!$M$38)</f>
        <v>5.52324012554935</v>
      </c>
      <c r="X35" s="20">
        <v>2.1123771619409299</v>
      </c>
      <c r="Y35" s="20">
        <v>12.785770551801299</v>
      </c>
      <c r="Z35" s="20">
        <v>0</v>
      </c>
      <c r="AA35" s="20">
        <v>0</v>
      </c>
      <c r="AB35" s="20">
        <v>0</v>
      </c>
      <c r="AC35" s="20">
        <v>202.523736314975</v>
      </c>
      <c r="AD35" s="20">
        <v>4.9935375004452203</v>
      </c>
      <c r="AE35" s="20">
        <v>3.6119580621762601</v>
      </c>
      <c r="AF35" s="20">
        <v>0</v>
      </c>
      <c r="AG35" s="20">
        <v>-11.2476647169032</v>
      </c>
      <c r="AH35" s="20">
        <v>4.9994078343031303</v>
      </c>
    </row>
    <row r="36" spans="1:34" ht="11.25" customHeight="1" x14ac:dyDescent="0.3">
      <c r="A36" s="148"/>
      <c r="B36" s="148"/>
      <c r="C36" s="148"/>
      <c r="D36" s="22" t="s">
        <v>94</v>
      </c>
      <c r="E36" s="22" t="s">
        <v>25</v>
      </c>
      <c r="F36" s="22" t="s">
        <v>25</v>
      </c>
      <c r="G36" s="23" t="s">
        <v>83</v>
      </c>
      <c r="H36" s="23" t="s">
        <v>79</v>
      </c>
      <c r="I36" s="23">
        <f>'MERCADO TE'!$U$33</f>
        <v>0</v>
      </c>
      <c r="J36" s="15"/>
      <c r="L36" s="20">
        <f>('TE BE'!$L$36+'TE BF'!$L$36+'TE CVA'!$L$36)*(1 - CUSTOS!$M$39)</f>
        <v>2.2584999480207788</v>
      </c>
      <c r="M36" s="20">
        <f>('TE BE'!$M$36+'TE BF'!$M$36+'TE CVA'!$M$36)*(1 - CUSTOS!$M$39)</f>
        <v>21.102685740418703</v>
      </c>
      <c r="N36" s="20">
        <f>('TE BE'!$N$36+'TE BF'!$N$36+'TE CVA'!$N$36)*(1 - CUSTOS!$M$39)</f>
        <v>0</v>
      </c>
      <c r="O36" s="20">
        <f>('TE BE'!$O$36+'TE BF'!$O$36+'TE CVA'!$O$36)*(1 - CUSTOS!$M$39)</f>
        <v>5.3990916190313731</v>
      </c>
      <c r="P36" s="20">
        <f>('TE BE'!$P$36+'TE BF'!$P$36+'TE CVA'!$P$36)*(1 - CUSTOS!$M$39)</f>
        <v>-16.411655664688666</v>
      </c>
      <c r="Q36" s="20">
        <f>('TE BE'!$R$36+'TE BF'!$R$36+'TE CVA'!$R$36)*(1 - CUSTOS!$M$39)</f>
        <v>201.56920436466569</v>
      </c>
      <c r="R36" s="20">
        <f>('TE BE'!$T$36+'TE BF'!$T$36+'TE CVA'!$T$36)*(1 - CUSTOS!$M$39)</f>
        <v>5.879978565823909</v>
      </c>
      <c r="S36" s="20">
        <f>('TE BE'!$U$36+'TE BF'!$U$36+'TE CVA'!$U$36)*(1 - CUSTOS!$M$39)</f>
        <v>4.1868740174753851</v>
      </c>
      <c r="T36" s="20">
        <f>('TE BE'!$V$36+'TE BF'!$V$36+'TE CVA'!$V$36)*(1 - CUSTOS!$M$39)</f>
        <v>0</v>
      </c>
      <c r="U36" s="20">
        <f>('TE BE'!$X$36+'TE BF'!$X$36+'TE CVA'!$X$36)*(1 - CUSTOS!$M$39)</f>
        <v>-9.5255811265073511</v>
      </c>
      <c r="V36" s="20">
        <f>('TE BE'!$Z$36+'TE BF'!$Z$36+'TE CVA'!$Z$36)*(1 - CUSTOS!$M$39)</f>
        <v>5.52324012554935</v>
      </c>
      <c r="X36" s="20">
        <v>2.1123771619409299</v>
      </c>
      <c r="Y36" s="20">
        <v>12.785770551801299</v>
      </c>
      <c r="Z36" s="20">
        <v>0</v>
      </c>
      <c r="AA36" s="20">
        <v>0</v>
      </c>
      <c r="AB36" s="20">
        <v>0</v>
      </c>
      <c r="AC36" s="20">
        <v>202.523736314975</v>
      </c>
      <c r="AD36" s="20">
        <v>4.9935375004452203</v>
      </c>
      <c r="AE36" s="20">
        <v>3.6119580621762601</v>
      </c>
      <c r="AF36" s="20">
        <v>0</v>
      </c>
      <c r="AG36" s="20">
        <v>-11.2476647169032</v>
      </c>
      <c r="AH36" s="20">
        <v>4.9994078343031303</v>
      </c>
    </row>
    <row r="37" spans="1:34" ht="11.25" customHeight="1" x14ac:dyDescent="0.3">
      <c r="A37" s="148"/>
      <c r="B37" s="148"/>
      <c r="C37" s="148"/>
      <c r="D37" s="22" t="s">
        <v>95</v>
      </c>
      <c r="E37" s="22" t="s">
        <v>25</v>
      </c>
      <c r="F37" s="22" t="s">
        <v>25</v>
      </c>
      <c r="G37" s="23" t="s">
        <v>83</v>
      </c>
      <c r="H37" s="23" t="s">
        <v>79</v>
      </c>
      <c r="I37" s="23">
        <f>'MERCADO TE'!$U$34</f>
        <v>0</v>
      </c>
      <c r="J37" s="15"/>
      <c r="L37" s="20">
        <f>('TE BE'!$L$37+'TE BF'!$L$37+'TE CVA'!$L$37)*(1 - CUSTOS!$M$40)</f>
        <v>2.2104467576373583</v>
      </c>
      <c r="M37" s="20">
        <f>('TE BE'!$M$37+'TE BF'!$M$37+'TE CVA'!$M$37)*(1 - CUSTOS!$M$40)</f>
        <v>20.653692426792777</v>
      </c>
      <c r="N37" s="20">
        <f>('TE BE'!$N$37+'TE BF'!$N$37+'TE CVA'!$N$37)*(1 - CUSTOS!$M$40)</f>
        <v>0</v>
      </c>
      <c r="O37" s="20">
        <f>('TE BE'!$O$37+'TE BF'!$O$37+'TE CVA'!$O$37)*(1 - CUSTOS!$M$40)</f>
        <v>5.2842173292647487</v>
      </c>
      <c r="P37" s="20">
        <f>('TE BE'!$P$37+'TE BF'!$P$37+'TE CVA'!$P$37)*(1 - CUSTOS!$M$40)</f>
        <v>-16.062471501610183</v>
      </c>
      <c r="Q37" s="20">
        <f>('TE BE'!$R$37+'TE BF'!$R$37+'TE CVA'!$R$37)*(1 - CUSTOS!$M$40)</f>
        <v>197.28049788882174</v>
      </c>
      <c r="R37" s="20">
        <f>('TE BE'!$T$37+'TE BF'!$T$37+'TE CVA'!$T$37)*(1 - CUSTOS!$M$40)</f>
        <v>5.7548726388914861</v>
      </c>
      <c r="S37" s="20">
        <f>('TE BE'!$U$37+'TE BF'!$U$37+'TE CVA'!$U$37)*(1 - CUSTOS!$M$40)</f>
        <v>4.0977915915716538</v>
      </c>
      <c r="T37" s="20">
        <f>('TE BE'!$V$37+'TE BF'!$V$37+'TE CVA'!$V$37)*(1 - CUSTOS!$M$40)</f>
        <v>0</v>
      </c>
      <c r="U37" s="20">
        <f>('TE BE'!$X$37+'TE BF'!$X$37+'TE CVA'!$X$37)*(1 - CUSTOS!$M$40)</f>
        <v>-9.322909187645493</v>
      </c>
      <c r="V37" s="20">
        <f>('TE BE'!$Z$37+'TE BF'!$Z$37+'TE CVA'!$Z$37)*(1 - CUSTOS!$M$40)</f>
        <v>5.4057243781972364</v>
      </c>
      <c r="X37" s="20">
        <v>2.0163600182163499</v>
      </c>
      <c r="Y37" s="20">
        <v>12.204599163083101</v>
      </c>
      <c r="Z37" s="20">
        <v>0</v>
      </c>
      <c r="AA37" s="20">
        <v>0</v>
      </c>
      <c r="AB37" s="20">
        <v>0</v>
      </c>
      <c r="AC37" s="20">
        <v>193.318111937021</v>
      </c>
      <c r="AD37" s="20">
        <v>4.7665585231522503</v>
      </c>
      <c r="AE37" s="20">
        <v>3.4477781502591598</v>
      </c>
      <c r="AF37" s="20">
        <v>0</v>
      </c>
      <c r="AG37" s="20">
        <v>-10.736407229771199</v>
      </c>
      <c r="AH37" s="20">
        <v>4.7721620236529896</v>
      </c>
    </row>
    <row r="38" spans="1:34" ht="11.25" customHeight="1" x14ac:dyDescent="0.3">
      <c r="A38" s="148" t="s">
        <v>37</v>
      </c>
      <c r="B38" s="148" t="s">
        <v>78</v>
      </c>
      <c r="C38" s="148" t="s">
        <v>25</v>
      </c>
      <c r="D38" s="148" t="s">
        <v>25</v>
      </c>
      <c r="E38" s="148" t="s">
        <v>25</v>
      </c>
      <c r="F38" s="148" t="s">
        <v>25</v>
      </c>
      <c r="G38" s="23" t="s">
        <v>80</v>
      </c>
      <c r="H38" s="23" t="s">
        <v>79</v>
      </c>
      <c r="I38" s="23">
        <f>'MERCADO TE'!$U$35</f>
        <v>10.468</v>
      </c>
      <c r="J38" s="15"/>
      <c r="L38" s="20">
        <f>('TE BE'!$L$38+'TE BF'!$L$38+'TE CVA'!$L$38)*1</f>
        <v>2.4026595191710416</v>
      </c>
      <c r="M38" s="20">
        <f>('TE BE'!$M$38+'TE BF'!$M$38+'TE CVA'!$M$38)*1</f>
        <v>22.449665681296494</v>
      </c>
      <c r="N38" s="20">
        <f>('TE BE'!$N$38+'TE BF'!$N$38+'TE CVA'!$N$38)*1</f>
        <v>0</v>
      </c>
      <c r="O38" s="20">
        <f>('TE BE'!$O$38+'TE BF'!$O$38+'TE CVA'!$O$38)*1</f>
        <v>5.7437144883312481</v>
      </c>
      <c r="P38" s="20">
        <f>('TE BE'!$P$38+'TE BF'!$P$38+'TE CVA'!$P$38)*1</f>
        <v>-17.459208153924113</v>
      </c>
      <c r="Q38" s="20">
        <f>('TE BE'!$R$38+'TE BF'!$R$38+'TE CVA'!$R$38)*1</f>
        <v>347.95165747413182</v>
      </c>
      <c r="R38" s="20">
        <f>('TE BE'!$T$38+'TE BF'!$T$38+'TE CVA'!$T$38)*1</f>
        <v>6.2552963466211802</v>
      </c>
      <c r="S38" s="20">
        <f>('TE BE'!$U$38+'TE BF'!$U$38+'TE CVA'!$U$38)*1</f>
        <v>4.4541212951865798</v>
      </c>
      <c r="T38" s="20">
        <f>('TE BE'!$V$38+'TE BF'!$V$38+'TE CVA'!$V$38)*1</f>
        <v>0</v>
      </c>
      <c r="U38" s="20">
        <f>('TE BE'!$X$38+'TE BF'!$X$38+'TE CVA'!$X$38)*1</f>
        <v>-15.721046976212161</v>
      </c>
      <c r="V38" s="20">
        <f>('TE BE'!$Z$38+'TE BF'!$Z$38+'TE CVA'!$Z$38)*1</f>
        <v>5.8757873676056915</v>
      </c>
      <c r="X38" s="20">
        <v>2.4004285931146998</v>
      </c>
      <c r="Y38" s="20">
        <v>14.529284717955999</v>
      </c>
      <c r="Z38" s="20">
        <v>0</v>
      </c>
      <c r="AA38" s="20">
        <v>0</v>
      </c>
      <c r="AB38" s="20">
        <v>0</v>
      </c>
      <c r="AC38" s="20">
        <v>373.43570589810901</v>
      </c>
      <c r="AD38" s="20">
        <v>5.6744744323241099</v>
      </c>
      <c r="AE38" s="20">
        <v>4.1044977979275696</v>
      </c>
      <c r="AF38" s="20">
        <v>0</v>
      </c>
      <c r="AG38" s="20">
        <v>-19.706101186370901</v>
      </c>
      <c r="AH38" s="20">
        <v>5.6811452662535604</v>
      </c>
    </row>
    <row r="39" spans="1:34" ht="11.25" customHeight="1" x14ac:dyDescent="0.3">
      <c r="A39" s="148"/>
      <c r="B39" s="148"/>
      <c r="C39" s="148"/>
      <c r="D39" s="148"/>
      <c r="E39" s="148"/>
      <c r="F39" s="148"/>
      <c r="G39" s="23" t="s">
        <v>91</v>
      </c>
      <c r="H39" s="23" t="s">
        <v>79</v>
      </c>
      <c r="I39" s="23">
        <f>'MERCADO TE'!$U$36</f>
        <v>9.6909999999999989</v>
      </c>
      <c r="J39" s="15"/>
      <c r="L39" s="20">
        <f>('TE BE'!$L$39+'TE BF'!$L$39+'TE CVA'!$L$39)*1</f>
        <v>2.4026595191710416</v>
      </c>
      <c r="M39" s="20">
        <f>('TE BE'!$M$39+'TE BF'!$M$39+'TE CVA'!$M$39)*1</f>
        <v>22.449665681296494</v>
      </c>
      <c r="N39" s="20">
        <f>('TE BE'!$N$39+'TE BF'!$N$39+'TE CVA'!$N$39)*1</f>
        <v>0</v>
      </c>
      <c r="O39" s="20">
        <f>('TE BE'!$O$39+'TE BF'!$O$39+'TE CVA'!$O$39)*1</f>
        <v>5.7437144883312481</v>
      </c>
      <c r="P39" s="20">
        <f>('TE BE'!$P$39+'TE BF'!$P$39+'TE CVA'!$P$39)*1</f>
        <v>-17.459208153924113</v>
      </c>
      <c r="Q39" s="20">
        <f>('TE BE'!$R$39+'TE BF'!$R$39+'TE CVA'!$R$39)*1</f>
        <v>202.29747527565806</v>
      </c>
      <c r="R39" s="20">
        <f>('TE BE'!$T$39+'TE BF'!$T$39+'TE CVA'!$T$39)*1</f>
        <v>6.2552963466211802</v>
      </c>
      <c r="S39" s="20">
        <f>('TE BE'!$U$39+'TE BF'!$U$39+'TE CVA'!$U$39)*1</f>
        <v>4.4541212951865798</v>
      </c>
      <c r="T39" s="20">
        <f>('TE BE'!$V$39+'TE BF'!$V$39+'TE CVA'!$V$39)*1</f>
        <v>0</v>
      </c>
      <c r="U39" s="20">
        <f>('TE BE'!$X$39+'TE BF'!$X$39+'TE CVA'!$X$39)*1</f>
        <v>-9.6256469400820865</v>
      </c>
      <c r="V39" s="20">
        <f>('TE BE'!$Z$39+'TE BF'!$Z$39+'TE CVA'!$Z$39)*1</f>
        <v>5.8757873676056915</v>
      </c>
      <c r="X39" s="20">
        <v>2.4004285931146998</v>
      </c>
      <c r="Y39" s="20">
        <v>14.529284717955999</v>
      </c>
      <c r="Z39" s="20">
        <v>0</v>
      </c>
      <c r="AA39" s="20">
        <v>0</v>
      </c>
      <c r="AB39" s="20">
        <v>0</v>
      </c>
      <c r="AC39" s="20">
        <v>217.113782498901</v>
      </c>
      <c r="AD39" s="20">
        <v>5.6744744323241099</v>
      </c>
      <c r="AE39" s="20">
        <v>4.1044977979275696</v>
      </c>
      <c r="AF39" s="20">
        <v>0</v>
      </c>
      <c r="AG39" s="20">
        <v>-12.151922268474401</v>
      </c>
      <c r="AH39" s="20">
        <v>5.6811452662535604</v>
      </c>
    </row>
    <row r="40" spans="1:34" ht="11.25" customHeight="1" x14ac:dyDescent="0.3">
      <c r="A40" s="148"/>
      <c r="B40" s="148"/>
      <c r="C40" s="148"/>
      <c r="D40" s="148"/>
      <c r="E40" s="148"/>
      <c r="F40" s="148"/>
      <c r="G40" s="23" t="s">
        <v>81</v>
      </c>
      <c r="H40" s="23" t="s">
        <v>79</v>
      </c>
      <c r="I40" s="23">
        <f>'MERCADO TE'!$U$37</f>
        <v>150.328</v>
      </c>
      <c r="J40" s="15"/>
      <c r="L40" s="20">
        <f>('TE BE'!$L$40+'TE BF'!$L$40+'TE CVA'!$L$40)*1</f>
        <v>2.4026595191710416</v>
      </c>
      <c r="M40" s="20">
        <f>('TE BE'!$M$40+'TE BF'!$M$40+'TE CVA'!$M$40)*1</f>
        <v>22.449665681296494</v>
      </c>
      <c r="N40" s="20">
        <f>('TE BE'!$N$40+'TE BF'!$N$40+'TE CVA'!$N$40)*1</f>
        <v>0</v>
      </c>
      <c r="O40" s="20">
        <f>('TE BE'!$O$40+'TE BF'!$O$40+'TE CVA'!$O$40)*1</f>
        <v>5.7437144883312481</v>
      </c>
      <c r="P40" s="20">
        <f>('TE BE'!$P$40+'TE BF'!$P$40+'TE CVA'!$P$40)*1</f>
        <v>-17.459208153924113</v>
      </c>
      <c r="Q40" s="20">
        <f>('TE BE'!$R$40+'TE BF'!$R$40+'TE CVA'!$R$40)*1</f>
        <v>202.29747527565806</v>
      </c>
      <c r="R40" s="20">
        <f>('TE BE'!$T$40+'TE BF'!$T$40+'TE CVA'!$T$40)*1</f>
        <v>6.2552963466211802</v>
      </c>
      <c r="S40" s="20">
        <f>('TE BE'!$U$40+'TE BF'!$U$40+'TE CVA'!$U$40)*1</f>
        <v>4.4541212951865798</v>
      </c>
      <c r="T40" s="20">
        <f>('TE BE'!$V$40+'TE BF'!$V$40+'TE CVA'!$V$40)*1</f>
        <v>0</v>
      </c>
      <c r="U40" s="20">
        <f>('TE BE'!$X$40+'TE BF'!$X$40+'TE CVA'!$X$40)*1</f>
        <v>-9.6256469400820865</v>
      </c>
      <c r="V40" s="20">
        <f>('TE BE'!$Z$40+'TE BF'!$Z$40+'TE CVA'!$Z$40)*1</f>
        <v>5.8757873676056915</v>
      </c>
      <c r="X40" s="20">
        <v>2.4004285931146998</v>
      </c>
      <c r="Y40" s="20">
        <v>14.529284717955999</v>
      </c>
      <c r="Z40" s="20">
        <v>0</v>
      </c>
      <c r="AA40" s="20">
        <v>0</v>
      </c>
      <c r="AB40" s="20">
        <v>0</v>
      </c>
      <c r="AC40" s="20">
        <v>217.113782498901</v>
      </c>
      <c r="AD40" s="20">
        <v>5.6744744323241099</v>
      </c>
      <c r="AE40" s="20">
        <v>4.1044977979275696</v>
      </c>
      <c r="AF40" s="20">
        <v>0</v>
      </c>
      <c r="AG40" s="20">
        <v>-12.151922268474401</v>
      </c>
      <c r="AH40" s="20">
        <v>5.6811452662535604</v>
      </c>
    </row>
    <row r="41" spans="1:34" ht="11.25" customHeight="1" x14ac:dyDescent="0.3">
      <c r="A41" s="148"/>
      <c r="B41" s="22" t="s">
        <v>82</v>
      </c>
      <c r="C41" s="22" t="s">
        <v>25</v>
      </c>
      <c r="D41" s="22" t="s">
        <v>25</v>
      </c>
      <c r="E41" s="22" t="s">
        <v>25</v>
      </c>
      <c r="F41" s="22" t="s">
        <v>25</v>
      </c>
      <c r="G41" s="23" t="s">
        <v>83</v>
      </c>
      <c r="H41" s="23" t="s">
        <v>79</v>
      </c>
      <c r="I41" s="23">
        <f>'MERCADO TE'!$U$38</f>
        <v>24187.291000000001</v>
      </c>
      <c r="J41" s="15"/>
      <c r="L41" s="20">
        <f>('TE BE'!$L$41+'TE BF'!$L$41+'TE CVA'!$L$41)*1</f>
        <v>2.4026595191710416</v>
      </c>
      <c r="M41" s="20">
        <f>('TE BE'!$M$41+'TE BF'!$M$41+'TE CVA'!$M$41)*1</f>
        <v>22.449665681296494</v>
      </c>
      <c r="N41" s="20">
        <f>('TE BE'!$N$41+'TE BF'!$N$41+'TE CVA'!$N$41)*1</f>
        <v>0</v>
      </c>
      <c r="O41" s="20">
        <f>('TE BE'!$O$41+'TE BF'!$O$41+'TE CVA'!$O$41)*1</f>
        <v>5.7437144883312481</v>
      </c>
      <c r="P41" s="20">
        <f>('TE BE'!$P$41+'TE BF'!$P$41+'TE CVA'!$P$41)*1</f>
        <v>-17.459208153924113</v>
      </c>
      <c r="Q41" s="20">
        <f>('TE BE'!$R$41+'TE BF'!$R$41+'TE CVA'!$R$41)*1</f>
        <v>214.43532379219755</v>
      </c>
      <c r="R41" s="20">
        <f>('TE BE'!$T$41+'TE BF'!$T$41+'TE CVA'!$T$41)*1</f>
        <v>6.2552963466211802</v>
      </c>
      <c r="S41" s="20">
        <f>('TE BE'!$U$41+'TE BF'!$U$41+'TE CVA'!$U$41)*1</f>
        <v>4.4541212951865798</v>
      </c>
      <c r="T41" s="20">
        <f>('TE BE'!$V$41+'TE BF'!$V$41+'TE CVA'!$V$41)*1</f>
        <v>0</v>
      </c>
      <c r="U41" s="20">
        <f>('TE BE'!$X$41+'TE BF'!$X$41+'TE CVA'!$X$41)*1</f>
        <v>-10.133596943092927</v>
      </c>
      <c r="V41" s="20">
        <f>('TE BE'!$Z$41+'TE BF'!$Z$41+'TE CVA'!$Z$41)*1</f>
        <v>5.8757873676056915</v>
      </c>
      <c r="X41" s="20">
        <v>2.4004285931146998</v>
      </c>
      <c r="Y41" s="20">
        <v>14.529284717955999</v>
      </c>
      <c r="Z41" s="20">
        <v>0</v>
      </c>
      <c r="AA41" s="20">
        <v>0</v>
      </c>
      <c r="AB41" s="20">
        <v>0</v>
      </c>
      <c r="AC41" s="20">
        <v>230.14060944883499</v>
      </c>
      <c r="AD41" s="20">
        <v>5.6744744323241099</v>
      </c>
      <c r="AE41" s="20">
        <v>4.1044977979275696</v>
      </c>
      <c r="AF41" s="20">
        <v>0</v>
      </c>
      <c r="AG41" s="20">
        <v>-12.7814371782991</v>
      </c>
      <c r="AH41" s="20">
        <v>5.6811452662535604</v>
      </c>
    </row>
    <row r="42" spans="1:34" ht="11.25" customHeight="1" x14ac:dyDescent="0.3">
      <c r="A42" s="148"/>
      <c r="B42" s="22" t="s">
        <v>92</v>
      </c>
      <c r="C42" s="22" t="s">
        <v>25</v>
      </c>
      <c r="D42" s="22" t="s">
        <v>25</v>
      </c>
      <c r="E42" s="22" t="s">
        <v>25</v>
      </c>
      <c r="F42" s="22" t="s">
        <v>25</v>
      </c>
      <c r="G42" s="23" t="s">
        <v>83</v>
      </c>
      <c r="H42" s="23" t="s">
        <v>79</v>
      </c>
      <c r="I42" s="23">
        <f>'MERCADO TE'!$U$39</f>
        <v>0</v>
      </c>
      <c r="J42" s="15"/>
      <c r="L42" s="20">
        <f>('TE BE'!$L$42+'TE BF'!$L$42+'TE CVA'!$L$42)*1</f>
        <v>2.4026595191710416</v>
      </c>
      <c r="M42" s="20">
        <f>('TE BE'!$M$42+'TE BF'!$M$42+'TE CVA'!$M$42)*1</f>
        <v>22.449665681296494</v>
      </c>
      <c r="N42" s="20">
        <f>('TE BE'!$N$42+'TE BF'!$N$42+'TE CVA'!$N$42)*1</f>
        <v>0</v>
      </c>
      <c r="O42" s="20">
        <f>('TE BE'!$O$42+'TE BF'!$O$42+'TE CVA'!$O$42)*1</f>
        <v>5.7437144883312481</v>
      </c>
      <c r="P42" s="20">
        <f>('TE BE'!$P$42+'TE BF'!$P$42+'TE CVA'!$P$42)*1</f>
        <v>-17.459208153924113</v>
      </c>
      <c r="Q42" s="20">
        <f>('TE BE'!$R$42+'TE BF'!$R$42+'TE CVA'!$R$42)*1</f>
        <v>214.43532379219755</v>
      </c>
      <c r="R42" s="20">
        <f>('TE BE'!$T$42+'TE BF'!$T$42+'TE CVA'!$T$42)*1</f>
        <v>6.2552963466211802</v>
      </c>
      <c r="S42" s="20">
        <f>('TE BE'!$U$42+'TE BF'!$U$42+'TE CVA'!$U$42)*1</f>
        <v>4.4541212951865798</v>
      </c>
      <c r="T42" s="20">
        <f>('TE BE'!$V$42+'TE BF'!$V$42+'TE CVA'!$V$42)*1</f>
        <v>0</v>
      </c>
      <c r="U42" s="20">
        <f>('TE BE'!$X$42+'TE BF'!$X$42+'TE CVA'!$X$42)*1</f>
        <v>-10.133596943092927</v>
      </c>
      <c r="V42" s="20">
        <f>('TE BE'!$Z$42+'TE BF'!$Z$42+'TE CVA'!$Z$42)*1</f>
        <v>5.8757873676056915</v>
      </c>
      <c r="X42" s="20">
        <v>2.4004285931146998</v>
      </c>
      <c r="Y42" s="20">
        <v>14.529284717955999</v>
      </c>
      <c r="Z42" s="20">
        <v>0</v>
      </c>
      <c r="AA42" s="20">
        <v>0</v>
      </c>
      <c r="AB42" s="20">
        <v>0</v>
      </c>
      <c r="AC42" s="20">
        <v>230.14060944883499</v>
      </c>
      <c r="AD42" s="20">
        <v>5.6744744323241099</v>
      </c>
      <c r="AE42" s="20">
        <v>4.1044977979275696</v>
      </c>
      <c r="AF42" s="20">
        <v>0</v>
      </c>
      <c r="AG42" s="20">
        <v>-12.7814371782991</v>
      </c>
      <c r="AH42" s="20">
        <v>5.6811452662535604</v>
      </c>
    </row>
    <row r="43" spans="1:34" ht="11.25" customHeight="1" x14ac:dyDescent="0.3">
      <c r="A43" s="148" t="s">
        <v>47</v>
      </c>
      <c r="B43" s="148" t="s">
        <v>82</v>
      </c>
      <c r="C43" s="148" t="s">
        <v>48</v>
      </c>
      <c r="D43" s="22" t="s">
        <v>49</v>
      </c>
      <c r="E43" s="22" t="s">
        <v>25</v>
      </c>
      <c r="F43" s="22" t="s">
        <v>25</v>
      </c>
      <c r="G43" s="23" t="s">
        <v>83</v>
      </c>
      <c r="H43" s="23" t="s">
        <v>79</v>
      </c>
      <c r="I43" s="23">
        <f>'MERCADO TE'!$U$40</f>
        <v>5104.487000000001</v>
      </c>
      <c r="J43" s="15"/>
      <c r="L43" s="20">
        <f>('TE BE'!$L$43+'TE BF'!$L$43+'TE CVA'!$L$43)*1</f>
        <v>1.3214627355440727</v>
      </c>
      <c r="M43" s="20">
        <f>('TE BE'!$M$43+'TE BF'!$M$43+'TE CVA'!$M$43)*1</f>
        <v>12.347316124713071</v>
      </c>
      <c r="N43" s="20">
        <f>('TE BE'!$N$43+'TE BF'!$N$43+'TE CVA'!$N$43)*1</f>
        <v>0</v>
      </c>
      <c r="O43" s="20">
        <f>('TE BE'!$O$43+'TE BF'!$O$43+'TE CVA'!$O$43)*1</f>
        <v>3.1590429685821868</v>
      </c>
      <c r="P43" s="20">
        <f>('TE BE'!$P$43+'TE BF'!$P$43+'TE CVA'!$P$43)*1</f>
        <v>-9.602564484658263</v>
      </c>
      <c r="Q43" s="20">
        <f>('TE BE'!$R$43+'TE BF'!$R$43+'TE CVA'!$R$43)*1</f>
        <v>117.93942808570867</v>
      </c>
      <c r="R43" s="20">
        <f>('TE BE'!$T$43+'TE BF'!$T$43+'TE CVA'!$T$43)*1</f>
        <v>3.440412990641649</v>
      </c>
      <c r="S43" s="20">
        <f>('TE BE'!$U$43+'TE BF'!$U$43+'TE CVA'!$U$43)*1</f>
        <v>2.4497667123526194</v>
      </c>
      <c r="T43" s="20">
        <f>('TE BE'!$V$43+'TE BF'!$V$43+'TE CVA'!$V$43)*1</f>
        <v>0</v>
      </c>
      <c r="U43" s="20">
        <f>('TE BE'!$X$43+'TE BF'!$X$43+'TE CVA'!$X$43)*1</f>
        <v>-5.5734783187011097</v>
      </c>
      <c r="V43" s="20">
        <f>('TE BE'!$Z$43+'TE BF'!$Z$43+'TE CVA'!$Z$43)*1</f>
        <v>3.2316830521831301</v>
      </c>
      <c r="X43" s="20">
        <v>1.3202357262130799</v>
      </c>
      <c r="Y43" s="20">
        <v>7.99110659487582</v>
      </c>
      <c r="Z43" s="20">
        <v>0</v>
      </c>
      <c r="AA43" s="20">
        <v>0</v>
      </c>
      <c r="AB43" s="20">
        <v>0</v>
      </c>
      <c r="AC43" s="20">
        <v>126.577335196859</v>
      </c>
      <c r="AD43" s="20">
        <v>3.1209609377782601</v>
      </c>
      <c r="AE43" s="20">
        <v>2.2574737888601599</v>
      </c>
      <c r="AF43" s="20">
        <v>0</v>
      </c>
      <c r="AG43" s="20">
        <v>-7.0297904480645004</v>
      </c>
      <c r="AH43" s="20">
        <v>3.1246298964394601</v>
      </c>
    </row>
    <row r="44" spans="1:34" ht="11.25" customHeight="1" x14ac:dyDescent="0.3">
      <c r="A44" s="148"/>
      <c r="B44" s="148"/>
      <c r="C44" s="148"/>
      <c r="D44" s="23" t="s">
        <v>96</v>
      </c>
      <c r="E44" s="23" t="s">
        <v>25</v>
      </c>
      <c r="F44" s="23" t="s">
        <v>25</v>
      </c>
      <c r="G44" s="23" t="s">
        <v>83</v>
      </c>
      <c r="H44" s="23" t="s">
        <v>79</v>
      </c>
      <c r="I44" s="23">
        <f>'MERCADO TE'!$U$41</f>
        <v>0</v>
      </c>
      <c r="J44" s="15"/>
      <c r="L44" s="20">
        <f>('TE BE'!$L$44+'TE BF'!$L$44+'TE CVA'!$L$44)*1</f>
        <v>1.4415957115026248</v>
      </c>
      <c r="M44" s="20">
        <f>('TE BE'!$M$44+'TE BF'!$M$44+'TE CVA'!$M$44)*1</f>
        <v>13.469799408777895</v>
      </c>
      <c r="N44" s="20">
        <f>('TE BE'!$N$44+'TE BF'!$N$44+'TE CVA'!$N$44)*1</f>
        <v>0</v>
      </c>
      <c r="O44" s="20">
        <f>('TE BE'!$O$44+'TE BF'!$O$44+'TE CVA'!$O$44)*1</f>
        <v>3.4462286929987491</v>
      </c>
      <c r="P44" s="20">
        <f>('TE BE'!$P$44+'TE BF'!$P$44+'TE CVA'!$P$44)*1</f>
        <v>-10.475524892354468</v>
      </c>
      <c r="Q44" s="20">
        <f>('TE BE'!$R$44+'TE BF'!$R$44+'TE CVA'!$R$44)*1</f>
        <v>128.66119427531851</v>
      </c>
      <c r="R44" s="20">
        <f>('TE BE'!$T$44+'TE BF'!$T$44+'TE CVA'!$T$44)*1</f>
        <v>3.7531778079727078</v>
      </c>
      <c r="S44" s="20">
        <f>('TE BE'!$U$44+'TE BF'!$U$44+'TE CVA'!$U$44)*1</f>
        <v>2.6724727771119476</v>
      </c>
      <c r="T44" s="20">
        <f>('TE BE'!$V$44+'TE BF'!$V$44+'TE CVA'!$V$44)*1</f>
        <v>0</v>
      </c>
      <c r="U44" s="20">
        <f>('TE BE'!$X$44+'TE BF'!$X$44+'TE CVA'!$X$44)*1</f>
        <v>-6.0801581658557557</v>
      </c>
      <c r="V44" s="20">
        <f>('TE BE'!$Z$44+'TE BF'!$Z$44+'TE CVA'!$Z$44)*1</f>
        <v>3.5254724205634145</v>
      </c>
      <c r="X44" s="20">
        <v>1.44025715586882</v>
      </c>
      <c r="Y44" s="20">
        <v>8.7175708307736208</v>
      </c>
      <c r="Z44" s="20">
        <v>0</v>
      </c>
      <c r="AA44" s="20">
        <v>0</v>
      </c>
      <c r="AB44" s="20">
        <v>0</v>
      </c>
      <c r="AC44" s="20">
        <v>138.08436566930101</v>
      </c>
      <c r="AD44" s="20">
        <v>3.4046846593944702</v>
      </c>
      <c r="AE44" s="20">
        <v>2.4626986787565399</v>
      </c>
      <c r="AF44" s="20">
        <v>0</v>
      </c>
      <c r="AG44" s="20">
        <v>-7.6688623069794604</v>
      </c>
      <c r="AH44" s="20">
        <v>3.40868715975214</v>
      </c>
    </row>
    <row r="46" spans="1:34" ht="11.25" customHeight="1" x14ac:dyDescent="0.3">
      <c r="L46" s="145" t="s">
        <v>1215</v>
      </c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X46" s="145" t="s">
        <v>1216</v>
      </c>
      <c r="Y46" s="145"/>
      <c r="Z46" s="145"/>
      <c r="AA46" s="145"/>
      <c r="AB46" s="145"/>
      <c r="AC46" s="145"/>
      <c r="AD46" s="145"/>
      <c r="AE46" s="145"/>
      <c r="AF46" s="145"/>
      <c r="AG46" s="145"/>
      <c r="AH46" s="145"/>
    </row>
    <row r="47" spans="1:34" ht="11.25" customHeight="1" x14ac:dyDescent="0.3">
      <c r="L47" s="145" t="s">
        <v>643</v>
      </c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X47" s="145" t="s">
        <v>643</v>
      </c>
      <c r="Y47" s="145"/>
      <c r="Z47" s="145"/>
      <c r="AA47" s="145"/>
      <c r="AB47" s="145"/>
      <c r="AC47" s="145"/>
      <c r="AD47" s="145"/>
      <c r="AE47" s="145"/>
      <c r="AF47" s="145"/>
      <c r="AG47" s="145"/>
      <c r="AH47" s="145"/>
    </row>
    <row r="48" spans="1:34" ht="11.25" customHeight="1" x14ac:dyDescent="0.3">
      <c r="L48" s="145" t="s">
        <v>616</v>
      </c>
      <c r="M48" s="145"/>
      <c r="N48" s="145"/>
      <c r="O48" s="145"/>
      <c r="P48" s="145"/>
      <c r="Q48" s="24" t="s">
        <v>647</v>
      </c>
      <c r="R48" s="145" t="s">
        <v>625</v>
      </c>
      <c r="S48" s="145"/>
      <c r="T48" s="145"/>
      <c r="U48" s="24" t="s">
        <v>635</v>
      </c>
      <c r="V48" s="24" t="s">
        <v>638</v>
      </c>
      <c r="X48" s="145" t="s">
        <v>616</v>
      </c>
      <c r="Y48" s="145"/>
      <c r="Z48" s="145"/>
      <c r="AA48" s="145"/>
      <c r="AB48" s="145"/>
      <c r="AC48" s="24" t="s">
        <v>647</v>
      </c>
      <c r="AD48" s="145" t="s">
        <v>625</v>
      </c>
      <c r="AE48" s="145"/>
      <c r="AF48" s="145"/>
      <c r="AG48" s="24" t="s">
        <v>635</v>
      </c>
      <c r="AH48" s="24" t="s">
        <v>638</v>
      </c>
    </row>
    <row r="49" spans="1:34" ht="11.25" customHeight="1" x14ac:dyDescent="0.3">
      <c r="L49" s="24" t="s">
        <v>618</v>
      </c>
      <c r="M49" s="24" t="s">
        <v>644</v>
      </c>
      <c r="N49" s="24" t="s">
        <v>645</v>
      </c>
      <c r="O49" s="24" t="s">
        <v>704</v>
      </c>
      <c r="P49" s="24" t="s">
        <v>646</v>
      </c>
      <c r="Q49" s="24" t="s">
        <v>648</v>
      </c>
      <c r="R49" s="24" t="s">
        <v>649</v>
      </c>
      <c r="S49" s="24" t="s">
        <v>650</v>
      </c>
      <c r="T49" s="24" t="s">
        <v>651</v>
      </c>
      <c r="U49" s="24" t="s">
        <v>636</v>
      </c>
      <c r="V49" s="24" t="s">
        <v>652</v>
      </c>
      <c r="X49" s="24" t="s">
        <v>618</v>
      </c>
      <c r="Y49" s="24" t="s">
        <v>644</v>
      </c>
      <c r="Z49" s="24" t="s">
        <v>645</v>
      </c>
      <c r="AA49" s="24" t="s">
        <v>704</v>
      </c>
      <c r="AB49" s="24" t="s">
        <v>646</v>
      </c>
      <c r="AC49" s="24" t="s">
        <v>648</v>
      </c>
      <c r="AD49" s="24" t="s">
        <v>649</v>
      </c>
      <c r="AE49" s="24" t="s">
        <v>650</v>
      </c>
      <c r="AF49" s="24" t="s">
        <v>651</v>
      </c>
      <c r="AG49" s="24" t="s">
        <v>636</v>
      </c>
      <c r="AH49" s="24" t="s">
        <v>652</v>
      </c>
    </row>
    <row r="50" spans="1:34" ht="11.25" customHeight="1" x14ac:dyDescent="0.3">
      <c r="A50" s="9" t="s">
        <v>45</v>
      </c>
      <c r="B50" s="9" t="s">
        <v>1217</v>
      </c>
      <c r="C50" s="9" t="s">
        <v>1218</v>
      </c>
      <c r="D50" s="9" t="s">
        <v>1219</v>
      </c>
      <c r="E50" s="9" t="s">
        <v>1220</v>
      </c>
      <c r="F50" s="9" t="s">
        <v>1221</v>
      </c>
      <c r="G50" s="9" t="s">
        <v>1222</v>
      </c>
      <c r="L50" s="20">
        <f>$I$5*$L$5</f>
        <v>15.425074113078086</v>
      </c>
      <c r="M50" s="20">
        <f>$I$5*$M$5</f>
        <v>144.12685367392351</v>
      </c>
      <c r="N50" s="20">
        <f>$I$5*$N$5</f>
        <v>0</v>
      </c>
      <c r="O50" s="20">
        <f>$I$5*$O$5</f>
        <v>36.874647015086609</v>
      </c>
      <c r="P50" s="20">
        <f>$I$5*$P$5</f>
        <v>-112.0881163481928</v>
      </c>
      <c r="Q50" s="20">
        <f>$I$5*$Q$5</f>
        <v>2233.8496409839263</v>
      </c>
      <c r="R50" s="20">
        <f>$I$5*$R$5</f>
        <v>40.159002545307978</v>
      </c>
      <c r="S50" s="20">
        <f>$I$5*$S$5</f>
        <v>28.595458715097841</v>
      </c>
      <c r="T50" s="20">
        <f>$I$5*$T$5</f>
        <v>0</v>
      </c>
      <c r="U50" s="20">
        <f>$I$5*$U$5</f>
        <v>-100.92912158728207</v>
      </c>
      <c r="V50" s="20">
        <f>$I$5*$V$5</f>
        <v>37.722554900028541</v>
      </c>
      <c r="X50" s="20">
        <f>$I$5*$X$5</f>
        <v>15.410751567796373</v>
      </c>
      <c r="Y50" s="20">
        <f>$I$5*$Y$5</f>
        <v>93.278007889277518</v>
      </c>
      <c r="Z50" s="20">
        <f>$I$5*$Z$5</f>
        <v>0</v>
      </c>
      <c r="AA50" s="20">
        <f>$I$5*$AA$5</f>
        <v>0</v>
      </c>
      <c r="AB50" s="20">
        <f>$I$5*$AB$5</f>
        <v>0</v>
      </c>
      <c r="AC50" s="20">
        <f>$I$5*$AC$5</f>
        <v>2397.4572318658597</v>
      </c>
      <c r="AD50" s="20">
        <f>$I$5*$AD$5</f>
        <v>36.430125855520785</v>
      </c>
      <c r="AE50" s="20">
        <f>$I$5*$AE$5</f>
        <v>26.350875862694998</v>
      </c>
      <c r="AF50" s="20">
        <f>$I$5*$AF$5</f>
        <v>0</v>
      </c>
      <c r="AG50" s="20">
        <f>$I$5*$AG$5</f>
        <v>-126.51316961650119</v>
      </c>
      <c r="AH50" s="20">
        <f>$I$5*$AH$5</f>
        <v>36.472952609347857</v>
      </c>
    </row>
    <row r="51" spans="1:34" ht="11.25" customHeight="1" x14ac:dyDescent="0.3">
      <c r="A51" s="9" t="s">
        <v>45</v>
      </c>
      <c r="B51" s="9" t="s">
        <v>1217</v>
      </c>
      <c r="C51" s="9" t="s">
        <v>1218</v>
      </c>
      <c r="D51" s="9" t="s">
        <v>1219</v>
      </c>
      <c r="E51" s="9" t="s">
        <v>1220</v>
      </c>
      <c r="F51" s="9" t="s">
        <v>1221</v>
      </c>
      <c r="G51" s="9" t="s">
        <v>1223</v>
      </c>
      <c r="L51" s="20">
        <f>$I$6*$L$6</f>
        <v>4338.6504799334925</v>
      </c>
      <c r="M51" s="20">
        <f>$I$6*$M$6</f>
        <v>40538.932797314781</v>
      </c>
      <c r="N51" s="20">
        <f>$I$6*$N$6</f>
        <v>0</v>
      </c>
      <c r="O51" s="20">
        <f>$I$6*$O$6</f>
        <v>10371.827311593921</v>
      </c>
      <c r="P51" s="20">
        <f>$I$6*$P$6</f>
        <v>-31527.314308111552</v>
      </c>
      <c r="Q51" s="20">
        <f>$I$6*$Q$6</f>
        <v>365302.71192852512</v>
      </c>
      <c r="R51" s="20">
        <f>$I$6*$R$6</f>
        <v>11295.626483838132</v>
      </c>
      <c r="S51" s="20">
        <f>$I$6*$S$6</f>
        <v>8043.1186112090718</v>
      </c>
      <c r="T51" s="20">
        <f>$I$6*$T$6</f>
        <v>0</v>
      </c>
      <c r="U51" s="20">
        <f>$I$6*$U$6</f>
        <v>-17381.704474992035</v>
      </c>
      <c r="V51" s="20">
        <f>$I$6*$V$6</f>
        <v>10610.320554801332</v>
      </c>
      <c r="X51" s="20">
        <f>$I$6*$X$6</f>
        <v>4334.6219405887323</v>
      </c>
      <c r="Y51" s="20">
        <f>$I$6*$Y$6</f>
        <v>26236.546465143412</v>
      </c>
      <c r="Z51" s="20">
        <f>$I$6*$Z$6</f>
        <v>0</v>
      </c>
      <c r="AA51" s="20">
        <f>$I$6*$AA$6</f>
        <v>0</v>
      </c>
      <c r="AB51" s="20">
        <f>$I$6*$AB$6</f>
        <v>0</v>
      </c>
      <c r="AC51" s="20">
        <f>$I$6*$AC$6</f>
        <v>392057.55502304056</v>
      </c>
      <c r="AD51" s="20">
        <f>$I$6*$AD$6</f>
        <v>10246.795695657911</v>
      </c>
      <c r="AE51" s="20">
        <f>$I$6*$AE$6</f>
        <v>7411.7789885636694</v>
      </c>
      <c r="AF51" s="20">
        <f>$I$6*$AF$6</f>
        <v>0</v>
      </c>
      <c r="AG51" s="20">
        <f>$I$6*$AG$6</f>
        <v>-21943.576674743024</v>
      </c>
      <c r="AH51" s="20">
        <f>$I$6*$AH$6</f>
        <v>10258.841687442695</v>
      </c>
    </row>
    <row r="52" spans="1:34" ht="11.25" customHeight="1" x14ac:dyDescent="0.3">
      <c r="A52" s="9" t="s">
        <v>45</v>
      </c>
      <c r="B52" s="9" t="s">
        <v>1224</v>
      </c>
      <c r="C52" s="9" t="s">
        <v>1225</v>
      </c>
      <c r="D52" s="9" t="s">
        <v>1226</v>
      </c>
      <c r="E52" s="9" t="s">
        <v>1227</v>
      </c>
      <c r="F52" s="9" t="s">
        <v>1228</v>
      </c>
      <c r="G52" s="9" t="s">
        <v>1229</v>
      </c>
      <c r="L52" s="20">
        <f>$I$7*$L$7</f>
        <v>0</v>
      </c>
      <c r="M52" s="20">
        <f>$I$7*$M$7</f>
        <v>0</v>
      </c>
      <c r="N52" s="20">
        <f>$I$7*$N$7</f>
        <v>0</v>
      </c>
      <c r="O52" s="20">
        <f>$I$7*$O$7</f>
        <v>0</v>
      </c>
      <c r="P52" s="20">
        <f>$I$7*$P$7</f>
        <v>0</v>
      </c>
      <c r="Q52" s="20">
        <f>$I$7*$Q$7</f>
        <v>0</v>
      </c>
      <c r="R52" s="20">
        <f>$I$7*$R$7</f>
        <v>0</v>
      </c>
      <c r="S52" s="20">
        <f>$I$7*$S$7</f>
        <v>0</v>
      </c>
      <c r="T52" s="20">
        <f>$I$7*$T$7</f>
        <v>0</v>
      </c>
      <c r="U52" s="20">
        <f>$I$7*$U$7</f>
        <v>0</v>
      </c>
      <c r="V52" s="20">
        <f>$I$7*$V$7</f>
        <v>0</v>
      </c>
      <c r="X52" s="20">
        <f>$I$7*$X$7</f>
        <v>0</v>
      </c>
      <c r="Y52" s="20">
        <f>$I$7*$Y$7</f>
        <v>0</v>
      </c>
      <c r="Z52" s="20">
        <f>$I$7*$Z$7</f>
        <v>0</v>
      </c>
      <c r="AA52" s="20">
        <f>$I$7*$AA$7</f>
        <v>0</v>
      </c>
      <c r="AB52" s="20">
        <f>$I$7*$AB$7</f>
        <v>0</v>
      </c>
      <c r="AC52" s="20">
        <f>$I$7*$AC$7</f>
        <v>0</v>
      </c>
      <c r="AD52" s="20">
        <f>$I$7*$AD$7</f>
        <v>0</v>
      </c>
      <c r="AE52" s="20">
        <f>$I$7*$AE$7</f>
        <v>0</v>
      </c>
      <c r="AF52" s="20">
        <f>$I$7*$AF$7</f>
        <v>0</v>
      </c>
      <c r="AG52" s="20">
        <f>$I$7*$AG$7</f>
        <v>0</v>
      </c>
      <c r="AH52" s="20">
        <f>$I$7*$AH$7</f>
        <v>0</v>
      </c>
    </row>
    <row r="53" spans="1:34" ht="11.25" customHeight="1" x14ac:dyDescent="0.3">
      <c r="A53" s="9" t="s">
        <v>39</v>
      </c>
      <c r="B53" s="9" t="s">
        <v>1230</v>
      </c>
      <c r="C53" s="9" t="s">
        <v>1231</v>
      </c>
      <c r="D53" s="9" t="s">
        <v>1232</v>
      </c>
      <c r="E53" s="9" t="s">
        <v>1233</v>
      </c>
      <c r="F53" s="9" t="s">
        <v>1234</v>
      </c>
      <c r="G53" s="9" t="s">
        <v>1235</v>
      </c>
      <c r="L53" s="20">
        <f>$I$8*$L$8</f>
        <v>2844.8161451650499</v>
      </c>
      <c r="M53" s="20">
        <f>$I$8*$M$8</f>
        <v>26581.032757294128</v>
      </c>
      <c r="N53" s="20">
        <f>$I$8*$N$8</f>
        <v>0</v>
      </c>
      <c r="O53" s="20">
        <f>$I$8*$O$8</f>
        <v>6800.718778189871</v>
      </c>
      <c r="P53" s="20">
        <f>$I$8*$P$8</f>
        <v>-20672.191312074461</v>
      </c>
      <c r="Q53" s="20">
        <f>$I$8*$Q$8</f>
        <v>411984.50509578135</v>
      </c>
      <c r="R53" s="20">
        <f>$I$8*$R$8</f>
        <v>7406.4460226971833</v>
      </c>
      <c r="S53" s="20">
        <f>$I$8*$S$8</f>
        <v>5273.8043288971758</v>
      </c>
      <c r="T53" s="20">
        <f>$I$8*$T$8</f>
        <v>0</v>
      </c>
      <c r="U53" s="20">
        <f>$I$8*$U$8</f>
        <v>-18614.159809150533</v>
      </c>
      <c r="V53" s="20">
        <f>$I$8*$V$8</f>
        <v>6957.0967652914314</v>
      </c>
      <c r="X53" s="20">
        <f>$I$8*$X$8</f>
        <v>2842.174666248412</v>
      </c>
      <c r="Y53" s="20">
        <f>$I$8*$Y$8</f>
        <v>17203.079926032005</v>
      </c>
      <c r="Z53" s="20">
        <f>$I$8*$Z$8</f>
        <v>0</v>
      </c>
      <c r="AA53" s="20">
        <f>$I$8*$AA$8</f>
        <v>0</v>
      </c>
      <c r="AB53" s="20">
        <f>$I$8*$AB$8</f>
        <v>0</v>
      </c>
      <c r="AC53" s="20">
        <f>$I$8*$AC$8</f>
        <v>442158.33198312623</v>
      </c>
      <c r="AD53" s="20">
        <f>$I$8*$AD$8</f>
        <v>6718.736613155851</v>
      </c>
      <c r="AE53" s="20">
        <f>$I$8*$AE$8</f>
        <v>4859.8403186845844</v>
      </c>
      <c r="AF53" s="20">
        <f>$I$8*$AF$8</f>
        <v>0</v>
      </c>
      <c r="AG53" s="20">
        <f>$I$8*$AG$8</f>
        <v>-23332.575575496365</v>
      </c>
      <c r="AH53" s="20">
        <f>$I$8*$AH$8</f>
        <v>6726.6350673116704</v>
      </c>
    </row>
    <row r="54" spans="1:34" ht="11.25" customHeight="1" x14ac:dyDescent="0.3">
      <c r="A54" s="9" t="s">
        <v>39</v>
      </c>
      <c r="B54" s="9" t="s">
        <v>1230</v>
      </c>
      <c r="C54" s="9" t="s">
        <v>1231</v>
      </c>
      <c r="D54" s="9" t="s">
        <v>1232</v>
      </c>
      <c r="E54" s="9" t="s">
        <v>1233</v>
      </c>
      <c r="F54" s="9" t="s">
        <v>1234</v>
      </c>
      <c r="G54" s="9" t="s">
        <v>1236</v>
      </c>
      <c r="L54" s="20">
        <f>$I$9*$L$9</f>
        <v>44653.047543589782</v>
      </c>
      <c r="M54" s="20">
        <f>$I$9*$M$9</f>
        <v>417223.48963971774</v>
      </c>
      <c r="N54" s="20">
        <f>$I$9*$N$9</f>
        <v>0</v>
      </c>
      <c r="O54" s="20">
        <f>$I$9*$O$9</f>
        <v>106746.02625874709</v>
      </c>
      <c r="P54" s="20">
        <f>$I$9*$P$9</f>
        <v>-324476.62498579134</v>
      </c>
      <c r="Q54" s="20">
        <f>$I$9*$Q$9</f>
        <v>3759666.6149970116</v>
      </c>
      <c r="R54" s="20">
        <f>$I$9*$R$9</f>
        <v>116253.69426513187</v>
      </c>
      <c r="S54" s="20">
        <f>$I$9*$S$9</f>
        <v>82779.140519877954</v>
      </c>
      <c r="T54" s="20">
        <f>$I$9*$T$9</f>
        <v>0</v>
      </c>
      <c r="U54" s="20">
        <f>$I$9*$U$9</f>
        <v>-178891.12752920904</v>
      </c>
      <c r="V54" s="20">
        <f>$I$9*$V$9</f>
        <v>109200.5798525477</v>
      </c>
      <c r="X54" s="20">
        <f>$I$9*$X$9</f>
        <v>44611.586135318983</v>
      </c>
      <c r="Y54" s="20">
        <f>$I$9*$Y$9</f>
        <v>270024.4608562268</v>
      </c>
      <c r="Z54" s="20">
        <f>$I$9*$Z$9</f>
        <v>0</v>
      </c>
      <c r="AA54" s="20">
        <f>$I$9*$AA$9</f>
        <v>0</v>
      </c>
      <c r="AB54" s="20">
        <f>$I$9*$AB$9</f>
        <v>0</v>
      </c>
      <c r="AC54" s="20">
        <f>$I$9*$AC$9</f>
        <v>4035025.3437644406</v>
      </c>
      <c r="AD54" s="20">
        <f>$I$9*$AD$9</f>
        <v>105459.21075778328</v>
      </c>
      <c r="AE54" s="20">
        <f>$I$9*$AE$9</f>
        <v>76281.443063831815</v>
      </c>
      <c r="AF54" s="20">
        <f>$I$9*$AF$9</f>
        <v>0</v>
      </c>
      <c r="AG54" s="20">
        <f>$I$9*$AG$9</f>
        <v>-225841.55535587831</v>
      </c>
      <c r="AH54" s="20">
        <f>$I$9*$AH$9</f>
        <v>105583.18715237036</v>
      </c>
    </row>
    <row r="55" spans="1:34" ht="11.25" customHeight="1" x14ac:dyDescent="0.3">
      <c r="A55" s="9" t="s">
        <v>22</v>
      </c>
      <c r="B55" s="9" t="s">
        <v>1237</v>
      </c>
      <c r="C55" s="9" t="s">
        <v>1238</v>
      </c>
      <c r="D55" s="9" t="s">
        <v>1239</v>
      </c>
      <c r="E55" s="9" t="s">
        <v>1240</v>
      </c>
      <c r="F55" s="9" t="s">
        <v>1241</v>
      </c>
      <c r="G55" s="9" t="s">
        <v>1242</v>
      </c>
      <c r="L55" s="20">
        <f>$I$10*$L$10</f>
        <v>12.493829499689417</v>
      </c>
      <c r="M55" s="20">
        <f>$I$10*$M$10</f>
        <v>116.73826154274177</v>
      </c>
      <c r="N55" s="20">
        <f>$I$10*$N$10</f>
        <v>0</v>
      </c>
      <c r="O55" s="20">
        <f>$I$10*$O$10</f>
        <v>29.867315339322491</v>
      </c>
      <c r="P55" s="20">
        <f>$I$10*$P$10</f>
        <v>-90.787882400405394</v>
      </c>
      <c r="Q55" s="20">
        <f>$I$10*$Q$10</f>
        <v>1809.3486188654856</v>
      </c>
      <c r="R55" s="20">
        <f>$I$10*$R$10</f>
        <v>32.527541002430141</v>
      </c>
      <c r="S55" s="20">
        <f>$I$10*$S$10</f>
        <v>23.161430734970217</v>
      </c>
      <c r="T55" s="20">
        <f>$I$10*$T$10</f>
        <v>0</v>
      </c>
      <c r="U55" s="20">
        <f>$I$10*$U$10</f>
        <v>-81.749444276303237</v>
      </c>
      <c r="V55" s="20">
        <f>$I$10*$V$10</f>
        <v>30.554094311549598</v>
      </c>
      <c r="X55" s="20">
        <f>$I$10*$X$10</f>
        <v>12.482228684196439</v>
      </c>
      <c r="Y55" s="20">
        <f>$I$10*$Y$10</f>
        <v>75.552280533371203</v>
      </c>
      <c r="Z55" s="20">
        <f>$I$10*$Z$10</f>
        <v>0</v>
      </c>
      <c r="AA55" s="20">
        <f>$I$10*$AA$10</f>
        <v>0</v>
      </c>
      <c r="AB55" s="20">
        <f>$I$10*$AB$10</f>
        <v>0</v>
      </c>
      <c r="AC55" s="20">
        <f>$I$10*$AC$10</f>
        <v>1941.865670670167</v>
      </c>
      <c r="AD55" s="20">
        <f>$I$10*$AD$10</f>
        <v>29.507267048085371</v>
      </c>
      <c r="AE55" s="20">
        <f>$I$10*$AE$10</f>
        <v>21.343388549223363</v>
      </c>
      <c r="AF55" s="20">
        <f>$I$10*$AF$10</f>
        <v>0</v>
      </c>
      <c r="AG55" s="20">
        <f>$I$10*$AG$10</f>
        <v>-102.47172616912869</v>
      </c>
      <c r="AH55" s="20">
        <f>$I$10*$AH$10</f>
        <v>29.541955384518516</v>
      </c>
    </row>
    <row r="56" spans="1:34" ht="11.25" customHeight="1" x14ac:dyDescent="0.3">
      <c r="A56" s="9" t="s">
        <v>22</v>
      </c>
      <c r="B56" s="9" t="s">
        <v>1237</v>
      </c>
      <c r="C56" s="9" t="s">
        <v>1238</v>
      </c>
      <c r="D56" s="9" t="s">
        <v>1239</v>
      </c>
      <c r="E56" s="9" t="s">
        <v>1240</v>
      </c>
      <c r="F56" s="9" t="s">
        <v>1241</v>
      </c>
      <c r="G56" s="9" t="s">
        <v>1243</v>
      </c>
      <c r="L56" s="20">
        <f>$I$11*$L$11</f>
        <v>8.1570290675856878</v>
      </c>
      <c r="M56" s="20">
        <f>$I$11*$M$11</f>
        <v>76.216614988001609</v>
      </c>
      <c r="N56" s="20">
        <f>$I$11*$N$11</f>
        <v>0</v>
      </c>
      <c r="O56" s="20">
        <f>$I$11*$O$11</f>
        <v>19.49991068788459</v>
      </c>
      <c r="P56" s="20">
        <f>$I$11*$P$11</f>
        <v>-59.274011682572372</v>
      </c>
      <c r="Q56" s="20">
        <f>$I$11*$Q$11</f>
        <v>686.79992856085926</v>
      </c>
      <c r="R56" s="20">
        <f>$I$11*$R$11</f>
        <v>21.236731096778911</v>
      </c>
      <c r="S56" s="20">
        <f>$I$11*$S$11</f>
        <v>15.121741797158441</v>
      </c>
      <c r="T56" s="20">
        <f>$I$11*$T$11</f>
        <v>0</v>
      </c>
      <c r="U56" s="20">
        <f>$I$11*$U$11</f>
        <v>-32.679071361578686</v>
      </c>
      <c r="V56" s="20">
        <f>$I$11*$V$11</f>
        <v>19.948298113021327</v>
      </c>
      <c r="X56" s="20">
        <f>$I$11*$X$11</f>
        <v>8.1494550736244076</v>
      </c>
      <c r="Y56" s="20">
        <f>$I$11*$Y$11</f>
        <v>49.326921617460627</v>
      </c>
      <c r="Z56" s="20">
        <f>$I$11*$Z$11</f>
        <v>0</v>
      </c>
      <c r="AA56" s="20">
        <f>$I$11*$AA$11</f>
        <v>0</v>
      </c>
      <c r="AB56" s="20">
        <f>$I$11*$AB$11</f>
        <v>0</v>
      </c>
      <c r="AC56" s="20">
        <f>$I$11*$AC$11</f>
        <v>737.10129158376901</v>
      </c>
      <c r="AD56" s="20">
        <f>$I$11*$AD$11</f>
        <v>19.264840697740354</v>
      </c>
      <c r="AE56" s="20">
        <f>$I$11*$AE$11</f>
        <v>13.9347700239641</v>
      </c>
      <c r="AF56" s="20">
        <f>$I$11*$AF$11</f>
        <v>0</v>
      </c>
      <c r="AG56" s="20">
        <f>$I$11*$AG$11</f>
        <v>-41.255776101470595</v>
      </c>
      <c r="AH56" s="20">
        <f>$I$11*$AH$11</f>
        <v>19.28748817893084</v>
      </c>
    </row>
    <row r="57" spans="1:34" ht="11.25" customHeight="1" x14ac:dyDescent="0.3">
      <c r="A57" s="9" t="s">
        <v>22</v>
      </c>
      <c r="B57" s="9" t="s">
        <v>1237</v>
      </c>
      <c r="C57" s="9" t="s">
        <v>1238</v>
      </c>
      <c r="D57" s="9" t="s">
        <v>1239</v>
      </c>
      <c r="E57" s="9" t="s">
        <v>1240</v>
      </c>
      <c r="F57" s="9" t="s">
        <v>1241</v>
      </c>
      <c r="G57" s="9" t="s">
        <v>1244</v>
      </c>
      <c r="L57" s="20">
        <f>$I$12*$L$12</f>
        <v>115.62558670058723</v>
      </c>
      <c r="M57" s="20">
        <f>$I$12*$M$12</f>
        <v>1080.3677112467128</v>
      </c>
      <c r="N57" s="20">
        <f>$I$12*$N$12</f>
        <v>0</v>
      </c>
      <c r="O57" s="20">
        <f>$I$12*$O$12</f>
        <v>276.41051603645303</v>
      </c>
      <c r="P57" s="20">
        <f>$I$12*$P$12</f>
        <v>-840.20693319944417</v>
      </c>
      <c r="Q57" s="20">
        <f>$I$12*$Q$12</f>
        <v>9735.3637001657698</v>
      </c>
      <c r="R57" s="20">
        <f>$I$12*$R$12</f>
        <v>301.02988138479776</v>
      </c>
      <c r="S57" s="20">
        <f>$I$12*$S$12</f>
        <v>214.350133209559</v>
      </c>
      <c r="T57" s="20">
        <f>$I$12*$T$12</f>
        <v>0</v>
      </c>
      <c r="U57" s="20">
        <f>$I$12*$U$12</f>
        <v>-463.22463334451044</v>
      </c>
      <c r="V57" s="20">
        <f>$I$12*$V$12</f>
        <v>282.76639127865633</v>
      </c>
      <c r="X57" s="20">
        <f>$I$12*$X$12</f>
        <v>115.51822561505183</v>
      </c>
      <c r="Y57" s="20">
        <f>$I$12*$Y$12</f>
        <v>699.20729776691462</v>
      </c>
      <c r="Z57" s="20">
        <f>$I$12*$Z$12</f>
        <v>0</v>
      </c>
      <c r="AA57" s="20">
        <f>$I$12*$AA$12</f>
        <v>0</v>
      </c>
      <c r="AB57" s="20">
        <f>$I$12*$AB$12</f>
        <v>0</v>
      </c>
      <c r="AC57" s="20">
        <f>$I$12*$AC$12</f>
        <v>10448.383668977114</v>
      </c>
      <c r="AD57" s="20">
        <f>$I$12*$AD$12</f>
        <v>273.07840758116549</v>
      </c>
      <c r="AE57" s="20">
        <f>$I$12*$AE$12</f>
        <v>197.52485202746641</v>
      </c>
      <c r="AF57" s="20">
        <f>$I$12*$AF$12</f>
        <v>0</v>
      </c>
      <c r="AG57" s="20">
        <f>$I$12*$AG$12</f>
        <v>-584.79910724806223</v>
      </c>
      <c r="AH57" s="20">
        <f>$I$12*$AH$12</f>
        <v>273.3994347931864</v>
      </c>
    </row>
    <row r="58" spans="1:34" ht="11.25" customHeight="1" x14ac:dyDescent="0.3">
      <c r="A58" s="9" t="s">
        <v>22</v>
      </c>
      <c r="B58" s="9" t="s">
        <v>1245</v>
      </c>
      <c r="C58" s="9" t="s">
        <v>1246</v>
      </c>
      <c r="D58" s="9" t="s">
        <v>1247</v>
      </c>
      <c r="E58" s="9" t="s">
        <v>1248</v>
      </c>
      <c r="F58" s="9" t="s">
        <v>1249</v>
      </c>
      <c r="G58" s="9" t="s">
        <v>1250</v>
      </c>
      <c r="L58" s="20">
        <f>$I$13*$L$13</f>
        <v>112339.60622780955</v>
      </c>
      <c r="M58" s="20">
        <f>$I$13*$M$13</f>
        <v>1049664.583125347</v>
      </c>
      <c r="N58" s="20">
        <f>$I$13*$N$13</f>
        <v>0</v>
      </c>
      <c r="O58" s="20">
        <f>$I$13*$O$13</f>
        <v>268555.16512248816</v>
      </c>
      <c r="P58" s="20">
        <f>$I$13*$P$13</f>
        <v>-816328.96938218665</v>
      </c>
      <c r="Q58" s="20">
        <f>$I$13*$Q$13</f>
        <v>10026214.552638581</v>
      </c>
      <c r="R58" s="20">
        <f>$I$13*$R$13</f>
        <v>292474.86912341561</v>
      </c>
      <c r="S58" s="20">
        <f>$I$13*$S$13</f>
        <v>208258.4853990461</v>
      </c>
      <c r="T58" s="20">
        <f>$I$13*$T$13</f>
        <v>0</v>
      </c>
      <c r="U58" s="20">
        <f>$I$13*$U$13</f>
        <v>-473810.07636536157</v>
      </c>
      <c r="V58" s="20">
        <f>$I$13*$V$13</f>
        <v>274730.41181586194</v>
      </c>
      <c r="X58" s="20">
        <f>$I$13*$X$13</f>
        <v>112235.29625267864</v>
      </c>
      <c r="Y58" s="20">
        <f>$I$13*$Y$13</f>
        <v>679336.42322739493</v>
      </c>
      <c r="Z58" s="20">
        <f>$I$13*$Z$13</f>
        <v>0</v>
      </c>
      <c r="AA58" s="20">
        <f>$I$13*$AA$13</f>
        <v>0</v>
      </c>
      <c r="AB58" s="20">
        <f>$I$13*$AB$13</f>
        <v>0</v>
      </c>
      <c r="AC58" s="20">
        <f>$I$13*$AC$13</f>
        <v>10760536.495587301</v>
      </c>
      <c r="AD58" s="20">
        <f>$I$13*$AD$13</f>
        <v>265317.75234511838</v>
      </c>
      <c r="AE58" s="20">
        <f>$I$13*$AE$13</f>
        <v>191911.36434561529</v>
      </c>
      <c r="AF58" s="20">
        <f>$I$13*$AF$13</f>
        <v>0</v>
      </c>
      <c r="AG58" s="20">
        <f>$I$13*$AG$13</f>
        <v>-597613.43968162534</v>
      </c>
      <c r="AH58" s="20">
        <f>$I$13*$AH$13</f>
        <v>265629.65623781149</v>
      </c>
    </row>
    <row r="59" spans="1:34" ht="11.25" customHeight="1" x14ac:dyDescent="0.3">
      <c r="A59" s="9" t="s">
        <v>22</v>
      </c>
      <c r="B59" s="9" t="s">
        <v>1245</v>
      </c>
      <c r="C59" s="9" t="s">
        <v>1246</v>
      </c>
      <c r="D59" s="9" t="s">
        <v>1251</v>
      </c>
      <c r="E59" s="9" t="s">
        <v>1252</v>
      </c>
      <c r="F59" s="9" t="s">
        <v>1253</v>
      </c>
      <c r="G59" s="9" t="s">
        <v>1254</v>
      </c>
      <c r="L59" s="20">
        <f>$I$14*$L$14</f>
        <v>933.69391175577982</v>
      </c>
      <c r="M59" s="20">
        <f>$I$14*$M$14</f>
        <v>8724.1309059101095</v>
      </c>
      <c r="N59" s="20">
        <f>$I$14*$N$14</f>
        <v>0</v>
      </c>
      <c r="O59" s="20">
        <f>$I$14*$O$14</f>
        <v>2232.0562717386738</v>
      </c>
      <c r="P59" s="20">
        <f>$I$14*$P$14</f>
        <v>-6784.7966918842194</v>
      </c>
      <c r="Q59" s="20">
        <f>$I$14*$Q$14</f>
        <v>83331.389525900202</v>
      </c>
      <c r="R59" s="20">
        <f>$I$14*$R$14</f>
        <v>2430.8613303159373</v>
      </c>
      <c r="S59" s="20">
        <f>$I$14*$S$14</f>
        <v>1730.9093953405143</v>
      </c>
      <c r="T59" s="20">
        <f>$I$14*$T$14</f>
        <v>0</v>
      </c>
      <c r="U59" s="20">
        <f>$I$14*$U$14</f>
        <v>-3938.0019076599283</v>
      </c>
      <c r="V59" s="20">
        <f>$I$14*$V$14</f>
        <v>2283.3809152441963</v>
      </c>
      <c r="X59" s="20">
        <f>$I$14*$X$14</f>
        <v>932.826954927413</v>
      </c>
      <c r="Y59" s="20">
        <f>$I$14*$Y$14</f>
        <v>5646.203540317817</v>
      </c>
      <c r="Z59" s="20">
        <f>$I$14*$Z$14</f>
        <v>0</v>
      </c>
      <c r="AA59" s="20">
        <f>$I$14*$AA$14</f>
        <v>0</v>
      </c>
      <c r="AB59" s="20">
        <f>$I$14*$AB$14</f>
        <v>0</v>
      </c>
      <c r="AC59" s="20">
        <f>$I$14*$AC$14</f>
        <v>89434.597026997551</v>
      </c>
      <c r="AD59" s="20">
        <f>$I$14*$AD$14</f>
        <v>2205.148997433826</v>
      </c>
      <c r="AE59" s="20">
        <f>$I$14*$AE$14</f>
        <v>1595.0427325059368</v>
      </c>
      <c r="AF59" s="20">
        <f>$I$14*$AF$14</f>
        <v>0</v>
      </c>
      <c r="AG59" s="20">
        <f>$I$14*$AG$14</f>
        <v>-4966.9751297030407</v>
      </c>
      <c r="AH59" s="20">
        <f>$I$14*$AH$14</f>
        <v>2207.7413402009015</v>
      </c>
    </row>
    <row r="60" spans="1:34" ht="11.25" customHeight="1" x14ac:dyDescent="0.3">
      <c r="A60" s="9" t="s">
        <v>22</v>
      </c>
      <c r="B60" s="9" t="s">
        <v>1245</v>
      </c>
      <c r="C60" s="9" t="s">
        <v>1246</v>
      </c>
      <c r="D60" s="9" t="s">
        <v>1255</v>
      </c>
      <c r="E60" s="9" t="s">
        <v>1256</v>
      </c>
      <c r="F60" s="9" t="s">
        <v>1257</v>
      </c>
      <c r="G60" s="9" t="s">
        <v>1258</v>
      </c>
      <c r="L60" s="20">
        <f>$I$15*$L$15</f>
        <v>3262.3642518318052</v>
      </c>
      <c r="M60" s="20">
        <f>$I$15*$M$15</f>
        <v>30482.465867450785</v>
      </c>
      <c r="N60" s="20">
        <f>$I$15*$N$15</f>
        <v>0</v>
      </c>
      <c r="O60" s="20">
        <f>$I$15*$O$15</f>
        <v>7798.8947955161075</v>
      </c>
      <c r="P60" s="20">
        <f>$I$15*$P$15</f>
        <v>-23706.353768470686</v>
      </c>
      <c r="Q60" s="20">
        <f>$I$15*$Q$15</f>
        <v>291163.24185251421</v>
      </c>
      <c r="R60" s="20">
        <f>$I$15*$R$15</f>
        <v>8493.527702531821</v>
      </c>
      <c r="S60" s="20">
        <f>$I$15*$S$15</f>
        <v>6047.867361478211</v>
      </c>
      <c r="T60" s="20">
        <f>$I$15*$T$15</f>
        <v>0</v>
      </c>
      <c r="U60" s="20">
        <f>$I$15*$U$15</f>
        <v>-13759.53777296939</v>
      </c>
      <c r="V60" s="20">
        <f>$I$15*$V$15</f>
        <v>7978.225173600681</v>
      </c>
      <c r="X60" s="20">
        <f>$I$15*$X$15</f>
        <v>3259.3350696457246</v>
      </c>
      <c r="Y60" s="20">
        <f>$I$15*$Y$15</f>
        <v>19728.063294169813</v>
      </c>
      <c r="Z60" s="20">
        <f>$I$15*$Z$15</f>
        <v>0</v>
      </c>
      <c r="AA60" s="20">
        <f>$I$15*$AA$15</f>
        <v>0</v>
      </c>
      <c r="AB60" s="20">
        <f>$I$15*$AB$15</f>
        <v>0</v>
      </c>
      <c r="AC60" s="20">
        <f>$I$15*$AC$15</f>
        <v>312488.09545003861</v>
      </c>
      <c r="AD60" s="20">
        <f>$I$15*$AD$15</f>
        <v>7704.8796919568522</v>
      </c>
      <c r="AE60" s="20">
        <f>$I$15*$AE$15</f>
        <v>5573.1437520956615</v>
      </c>
      <c r="AF60" s="20">
        <f>$I$15*$AF$15</f>
        <v>0</v>
      </c>
      <c r="AG60" s="20">
        <f>$I$15*$AG$15</f>
        <v>-17354.811784527581</v>
      </c>
      <c r="AH60" s="20">
        <f>$I$15*$AH$15</f>
        <v>7713.9374423237678</v>
      </c>
    </row>
    <row r="61" spans="1:34" ht="11.25" customHeight="1" x14ac:dyDescent="0.3">
      <c r="A61" s="9" t="s">
        <v>22</v>
      </c>
      <c r="B61" s="9" t="s">
        <v>1245</v>
      </c>
      <c r="C61" s="9" t="s">
        <v>1246</v>
      </c>
      <c r="D61" s="9" t="s">
        <v>1259</v>
      </c>
      <c r="E61" s="9" t="s">
        <v>1260</v>
      </c>
      <c r="F61" s="9" t="s">
        <v>1261</v>
      </c>
      <c r="G61" s="9" t="s">
        <v>1262</v>
      </c>
      <c r="L61" s="20">
        <f>$I$16*$L$16</f>
        <v>3439.1874986132934</v>
      </c>
      <c r="M61" s="20">
        <f>$I$16*$M$16</f>
        <v>32134.644523332663</v>
      </c>
      <c r="N61" s="20">
        <f>$I$16*$N$16</f>
        <v>0</v>
      </c>
      <c r="O61" s="20">
        <f>$I$16*$O$16</f>
        <v>8221.6023145419476</v>
      </c>
      <c r="P61" s="20">
        <f>$I$16*$P$16</f>
        <v>-24991.260700717099</v>
      </c>
      <c r="Q61" s="20">
        <f>$I$16*$Q$16</f>
        <v>306944.56661993614</v>
      </c>
      <c r="R61" s="20">
        <f>$I$16*$R$16</f>
        <v>8953.884986102139</v>
      </c>
      <c r="S61" s="20">
        <f>$I$16*$S$16</f>
        <v>6375.6675273732089</v>
      </c>
      <c r="T61" s="20">
        <f>$I$16*$T$16</f>
        <v>0</v>
      </c>
      <c r="U61" s="20">
        <f>$I$16*$U$16</f>
        <v>-14505.317813276926</v>
      </c>
      <c r="V61" s="20">
        <f>$I$16*$V$16</f>
        <v>8410.6525697621491</v>
      </c>
      <c r="X61" s="20">
        <f>$I$16*$X$16</f>
        <v>3435.9941318702822</v>
      </c>
      <c r="Y61" s="20">
        <f>$I$16*$Y$16</f>
        <v>20797.34309713079</v>
      </c>
      <c r="Z61" s="20">
        <f>$I$16*$Z$16</f>
        <v>0</v>
      </c>
      <c r="AA61" s="20">
        <f>$I$16*$AA$16</f>
        <v>0</v>
      </c>
      <c r="AB61" s="20">
        <f>$I$16*$AB$16</f>
        <v>0</v>
      </c>
      <c r="AC61" s="20">
        <f>$I$16*$AC$16</f>
        <v>329425.24757430289</v>
      </c>
      <c r="AD61" s="20">
        <f>$I$16*$AD$16</f>
        <v>8122.4915029088506</v>
      </c>
      <c r="AE61" s="20">
        <f>$I$16*$AE$16</f>
        <v>5875.2134466345815</v>
      </c>
      <c r="AF61" s="20">
        <f>$I$16*$AF$16</f>
        <v>0</v>
      </c>
      <c r="AG61" s="20">
        <f>$I$16*$AG$16</f>
        <v>-18295.459097377079</v>
      </c>
      <c r="AH61" s="20">
        <f>$I$16*$AH$16</f>
        <v>8132.0401919646456</v>
      </c>
    </row>
    <row r="62" spans="1:34" ht="11.25" customHeight="1" x14ac:dyDescent="0.3">
      <c r="A62" s="9" t="s">
        <v>22</v>
      </c>
      <c r="B62" s="9" t="s">
        <v>1245</v>
      </c>
      <c r="C62" s="9" t="s">
        <v>1246</v>
      </c>
      <c r="D62" s="9" t="s">
        <v>1263</v>
      </c>
      <c r="E62" s="9" t="s">
        <v>1264</v>
      </c>
      <c r="F62" s="9" t="s">
        <v>1265</v>
      </c>
      <c r="G62" s="9" t="s">
        <v>1266</v>
      </c>
      <c r="L62" s="20">
        <f>$I$17*$L$17</f>
        <v>682.66044120351046</v>
      </c>
      <c r="M62" s="20">
        <f>$I$17*$M$17</f>
        <v>6378.5561610297282</v>
      </c>
      <c r="N62" s="20">
        <f>$I$17*$N$17</f>
        <v>0</v>
      </c>
      <c r="O62" s="20">
        <f>$I$17*$O$17</f>
        <v>1631.9443664260923</v>
      </c>
      <c r="P62" s="20">
        <f>$I$17*$P$17</f>
        <v>-4960.6324351499952</v>
      </c>
      <c r="Q62" s="20">
        <f>$I$17*$Q$17</f>
        <v>60926.865243105705</v>
      </c>
      <c r="R62" s="20">
        <f>$I$17*$R$17</f>
        <v>1777.2985850764358</v>
      </c>
      <c r="S62" s="20">
        <f>$I$17*$S$17</f>
        <v>1265.5361212374771</v>
      </c>
      <c r="T62" s="20">
        <f>$I$17*$T$17</f>
        <v>0</v>
      </c>
      <c r="U62" s="20">
        <f>$I$17*$U$17</f>
        <v>-2879.2284986501636</v>
      </c>
      <c r="V62" s="20">
        <f>$I$17*$V$17</f>
        <v>1669.4698373957021</v>
      </c>
      <c r="X62" s="20">
        <f>$I$17*$X$17</f>
        <v>682.02657487590022</v>
      </c>
      <c r="Y62" s="20">
        <f>$I$17*$Y$17</f>
        <v>4128.162079058683</v>
      </c>
      <c r="Z62" s="20">
        <f>$I$17*$Z$17</f>
        <v>0</v>
      </c>
      <c r="AA62" s="20">
        <f>$I$17*$AA$17</f>
        <v>0</v>
      </c>
      <c r="AB62" s="20">
        <f>$I$17*$AB$17</f>
        <v>0</v>
      </c>
      <c r="AC62" s="20">
        <f>$I$17*$AC$17</f>
        <v>65389.160940869129</v>
      </c>
      <c r="AD62" s="20">
        <f>$I$17*$AD$17</f>
        <v>1612.2713970329521</v>
      </c>
      <c r="AE62" s="20">
        <f>$I$17*$AE$17</f>
        <v>1166.1986458317663</v>
      </c>
      <c r="AF62" s="20">
        <f>$I$17*$AF$17</f>
        <v>0</v>
      </c>
      <c r="AG62" s="20">
        <f>$I$17*$AG$17</f>
        <v>-3631.5514011585879</v>
      </c>
      <c r="AH62" s="20">
        <f>$I$17*$AH$17</f>
        <v>1614.1667610648251</v>
      </c>
    </row>
    <row r="63" spans="1:34" ht="11.25" customHeight="1" x14ac:dyDescent="0.3">
      <c r="A63" s="9" t="s">
        <v>22</v>
      </c>
      <c r="B63" s="9" t="s">
        <v>1267</v>
      </c>
      <c r="C63" s="9" t="s">
        <v>1268</v>
      </c>
      <c r="D63" s="9" t="s">
        <v>1269</v>
      </c>
      <c r="E63" s="9" t="s">
        <v>1270</v>
      </c>
      <c r="F63" s="9" t="s">
        <v>1271</v>
      </c>
      <c r="G63" s="9" t="s">
        <v>1272</v>
      </c>
      <c r="L63" s="20">
        <f>$I$18*$L$18</f>
        <v>0</v>
      </c>
      <c r="M63" s="20">
        <f>$I$18*$M$18</f>
        <v>0</v>
      </c>
      <c r="N63" s="20">
        <f>$I$18*$N$18</f>
        <v>0</v>
      </c>
      <c r="O63" s="20">
        <f>$I$18*$O$18</f>
        <v>0</v>
      </c>
      <c r="P63" s="20">
        <f>$I$18*$P$18</f>
        <v>0</v>
      </c>
      <c r="Q63" s="20">
        <f>$I$18*$Q$18</f>
        <v>0</v>
      </c>
      <c r="R63" s="20">
        <f>$I$18*$R$18</f>
        <v>0</v>
      </c>
      <c r="S63" s="20">
        <f>$I$18*$S$18</f>
        <v>0</v>
      </c>
      <c r="T63" s="20">
        <f>$I$18*$T$18</f>
        <v>0</v>
      </c>
      <c r="U63" s="20">
        <f>$I$18*$U$18</f>
        <v>0</v>
      </c>
      <c r="V63" s="20">
        <f>$I$18*$V$18</f>
        <v>0</v>
      </c>
      <c r="X63" s="20">
        <f>$I$18*$X$18</f>
        <v>0</v>
      </c>
      <c r="Y63" s="20">
        <f>$I$18*$Y$18</f>
        <v>0</v>
      </c>
      <c r="Z63" s="20">
        <f>$I$18*$Z$18</f>
        <v>0</v>
      </c>
      <c r="AA63" s="20">
        <f>$I$18*$AA$18</f>
        <v>0</v>
      </c>
      <c r="AB63" s="20">
        <f>$I$18*$AB$18</f>
        <v>0</v>
      </c>
      <c r="AC63" s="20">
        <f>$I$18*$AC$18</f>
        <v>0</v>
      </c>
      <c r="AD63" s="20">
        <f>$I$18*$AD$18</f>
        <v>0</v>
      </c>
      <c r="AE63" s="20">
        <f>$I$18*$AE$18</f>
        <v>0</v>
      </c>
      <c r="AF63" s="20">
        <f>$I$18*$AF$18</f>
        <v>0</v>
      </c>
      <c r="AG63" s="20">
        <f>$I$18*$AG$18</f>
        <v>0</v>
      </c>
      <c r="AH63" s="20">
        <f>$I$18*$AH$18</f>
        <v>0</v>
      </c>
    </row>
    <row r="64" spans="1:34" ht="11.25" customHeight="1" x14ac:dyDescent="0.3">
      <c r="A64" s="9" t="s">
        <v>22</v>
      </c>
      <c r="B64" s="9" t="s">
        <v>1267</v>
      </c>
      <c r="C64" s="9" t="s">
        <v>1268</v>
      </c>
      <c r="D64" s="9" t="s">
        <v>1273</v>
      </c>
      <c r="E64" s="9" t="s">
        <v>1274</v>
      </c>
      <c r="F64" s="9" t="s">
        <v>1275</v>
      </c>
      <c r="G64" s="9" t="s">
        <v>1276</v>
      </c>
      <c r="L64" s="20">
        <f>$I$19*$L$19</f>
        <v>0</v>
      </c>
      <c r="M64" s="20">
        <f>$I$19*$M$19</f>
        <v>0</v>
      </c>
      <c r="N64" s="20">
        <f>$I$19*$N$19</f>
        <v>0</v>
      </c>
      <c r="O64" s="20">
        <f>$I$19*$O$19</f>
        <v>0</v>
      </c>
      <c r="P64" s="20">
        <f>$I$19*$P$19</f>
        <v>0</v>
      </c>
      <c r="Q64" s="20">
        <f>$I$19*$Q$19</f>
        <v>0</v>
      </c>
      <c r="R64" s="20">
        <f>$I$19*$R$19</f>
        <v>0</v>
      </c>
      <c r="S64" s="20">
        <f>$I$19*$S$19</f>
        <v>0</v>
      </c>
      <c r="T64" s="20">
        <f>$I$19*$T$19</f>
        <v>0</v>
      </c>
      <c r="U64" s="20">
        <f>$I$19*$U$19</f>
        <v>0</v>
      </c>
      <c r="V64" s="20">
        <f>$I$19*$V$19</f>
        <v>0</v>
      </c>
      <c r="X64" s="20">
        <f>$I$19*$X$19</f>
        <v>0</v>
      </c>
      <c r="Y64" s="20">
        <f>$I$19*$Y$19</f>
        <v>0</v>
      </c>
      <c r="Z64" s="20">
        <f>$I$19*$Z$19</f>
        <v>0</v>
      </c>
      <c r="AA64" s="20">
        <f>$I$19*$AA$19</f>
        <v>0</v>
      </c>
      <c r="AB64" s="20">
        <f>$I$19*$AB$19</f>
        <v>0</v>
      </c>
      <c r="AC64" s="20">
        <f>$I$19*$AC$19</f>
        <v>0</v>
      </c>
      <c r="AD64" s="20">
        <f>$I$19*$AD$19</f>
        <v>0</v>
      </c>
      <c r="AE64" s="20">
        <f>$I$19*$AE$19</f>
        <v>0</v>
      </c>
      <c r="AF64" s="20">
        <f>$I$19*$AF$19</f>
        <v>0</v>
      </c>
      <c r="AG64" s="20">
        <f>$I$19*$AG$19</f>
        <v>0</v>
      </c>
      <c r="AH64" s="20">
        <f>$I$19*$AH$19</f>
        <v>0</v>
      </c>
    </row>
    <row r="65" spans="1:34" ht="11.25" customHeight="1" x14ac:dyDescent="0.3">
      <c r="A65" s="9" t="s">
        <v>22</v>
      </c>
      <c r="B65" s="9" t="s">
        <v>1267</v>
      </c>
      <c r="C65" s="9" t="s">
        <v>1268</v>
      </c>
      <c r="D65" s="9" t="s">
        <v>1277</v>
      </c>
      <c r="E65" s="9" t="s">
        <v>1278</v>
      </c>
      <c r="F65" s="9" t="s">
        <v>1279</v>
      </c>
      <c r="G65" s="9" t="s">
        <v>1280</v>
      </c>
      <c r="L65" s="20">
        <f>$I$20*$L$20</f>
        <v>0</v>
      </c>
      <c r="M65" s="20">
        <f>$I$20*$M$20</f>
        <v>0</v>
      </c>
      <c r="N65" s="20">
        <f>$I$20*$N$20</f>
        <v>0</v>
      </c>
      <c r="O65" s="20">
        <f>$I$20*$O$20</f>
        <v>0</v>
      </c>
      <c r="P65" s="20">
        <f>$I$20*$P$20</f>
        <v>0</v>
      </c>
      <c r="Q65" s="20">
        <f>$I$20*$Q$20</f>
        <v>0</v>
      </c>
      <c r="R65" s="20">
        <f>$I$20*$R$20</f>
        <v>0</v>
      </c>
      <c r="S65" s="20">
        <f>$I$20*$S$20</f>
        <v>0</v>
      </c>
      <c r="T65" s="20">
        <f>$I$20*$T$20</f>
        <v>0</v>
      </c>
      <c r="U65" s="20">
        <f>$I$20*$U$20</f>
        <v>0</v>
      </c>
      <c r="V65" s="20">
        <f>$I$20*$V$20</f>
        <v>0</v>
      </c>
      <c r="X65" s="20">
        <f>$I$20*$X$20</f>
        <v>0</v>
      </c>
      <c r="Y65" s="20">
        <f>$I$20*$Y$20</f>
        <v>0</v>
      </c>
      <c r="Z65" s="20">
        <f>$I$20*$Z$20</f>
        <v>0</v>
      </c>
      <c r="AA65" s="20">
        <f>$I$20*$AA$20</f>
        <v>0</v>
      </c>
      <c r="AB65" s="20">
        <f>$I$20*$AB$20</f>
        <v>0</v>
      </c>
      <c r="AC65" s="20">
        <f>$I$20*$AC$20</f>
        <v>0</v>
      </c>
      <c r="AD65" s="20">
        <f>$I$20*$AD$20</f>
        <v>0</v>
      </c>
      <c r="AE65" s="20">
        <f>$I$20*$AE$20</f>
        <v>0</v>
      </c>
      <c r="AF65" s="20">
        <f>$I$20*$AF$20</f>
        <v>0</v>
      </c>
      <c r="AG65" s="20">
        <f>$I$20*$AG$20</f>
        <v>0</v>
      </c>
      <c r="AH65" s="20">
        <f>$I$20*$AH$20</f>
        <v>0</v>
      </c>
    </row>
    <row r="66" spans="1:34" ht="11.25" customHeight="1" x14ac:dyDescent="0.3">
      <c r="A66" s="9" t="s">
        <v>22</v>
      </c>
      <c r="B66" s="9" t="s">
        <v>1267</v>
      </c>
      <c r="C66" s="9" t="s">
        <v>1268</v>
      </c>
      <c r="D66" s="9" t="s">
        <v>1281</v>
      </c>
      <c r="E66" s="9" t="s">
        <v>1282</v>
      </c>
      <c r="F66" s="9" t="s">
        <v>1283</v>
      </c>
      <c r="G66" s="9" t="s">
        <v>1284</v>
      </c>
      <c r="L66" s="20">
        <f>$I$21*$L$21</f>
        <v>0</v>
      </c>
      <c r="M66" s="20">
        <f>$I$21*$M$21</f>
        <v>0</v>
      </c>
      <c r="N66" s="20">
        <f>$I$21*$N$21</f>
        <v>0</v>
      </c>
      <c r="O66" s="20">
        <f>$I$21*$O$21</f>
        <v>0</v>
      </c>
      <c r="P66" s="20">
        <f>$I$21*$P$21</f>
        <v>0</v>
      </c>
      <c r="Q66" s="20">
        <f>$I$21*$Q$21</f>
        <v>0</v>
      </c>
      <c r="R66" s="20">
        <f>$I$21*$R$21</f>
        <v>0</v>
      </c>
      <c r="S66" s="20">
        <f>$I$21*$S$21</f>
        <v>0</v>
      </c>
      <c r="T66" s="20">
        <f>$I$21*$T$21</f>
        <v>0</v>
      </c>
      <c r="U66" s="20">
        <f>$I$21*$U$21</f>
        <v>0</v>
      </c>
      <c r="V66" s="20">
        <f>$I$21*$V$21</f>
        <v>0</v>
      </c>
      <c r="X66" s="20">
        <f>$I$21*$X$21</f>
        <v>0</v>
      </c>
      <c r="Y66" s="20">
        <f>$I$21*$Y$21</f>
        <v>0</v>
      </c>
      <c r="Z66" s="20">
        <f>$I$21*$Z$21</f>
        <v>0</v>
      </c>
      <c r="AA66" s="20">
        <f>$I$21*$AA$21</f>
        <v>0</v>
      </c>
      <c r="AB66" s="20">
        <f>$I$21*$AB$21</f>
        <v>0</v>
      </c>
      <c r="AC66" s="20">
        <f>$I$21*$AC$21</f>
        <v>0</v>
      </c>
      <c r="AD66" s="20">
        <f>$I$21*$AD$21</f>
        <v>0</v>
      </c>
      <c r="AE66" s="20">
        <f>$I$21*$AE$21</f>
        <v>0</v>
      </c>
      <c r="AF66" s="20">
        <f>$I$21*$AF$21</f>
        <v>0</v>
      </c>
      <c r="AG66" s="20">
        <f>$I$21*$AG$21</f>
        <v>0</v>
      </c>
      <c r="AH66" s="20">
        <f>$I$21*$AH$21</f>
        <v>0</v>
      </c>
    </row>
    <row r="67" spans="1:34" ht="11.25" customHeight="1" x14ac:dyDescent="0.3">
      <c r="A67" s="9" t="s">
        <v>22</v>
      </c>
      <c r="B67" s="9" t="s">
        <v>1267</v>
      </c>
      <c r="C67" s="9" t="s">
        <v>1268</v>
      </c>
      <c r="D67" s="9" t="s">
        <v>1285</v>
      </c>
      <c r="E67" s="9" t="s">
        <v>1286</v>
      </c>
      <c r="F67" s="9" t="s">
        <v>1287</v>
      </c>
      <c r="G67" s="9" t="s">
        <v>1288</v>
      </c>
      <c r="L67" s="20">
        <f>$I$22*$L$22</f>
        <v>0</v>
      </c>
      <c r="M67" s="20">
        <f>$I$22*$M$22</f>
        <v>0</v>
      </c>
      <c r="N67" s="20">
        <f>$I$22*$N$22</f>
        <v>0</v>
      </c>
      <c r="O67" s="20">
        <f>$I$22*$O$22</f>
        <v>0</v>
      </c>
      <c r="P67" s="20">
        <f>$I$22*$P$22</f>
        <v>0</v>
      </c>
      <c r="Q67" s="20">
        <f>$I$22*$Q$22</f>
        <v>0</v>
      </c>
      <c r="R67" s="20">
        <f>$I$22*$R$22</f>
        <v>0</v>
      </c>
      <c r="S67" s="20">
        <f>$I$22*$S$22</f>
        <v>0</v>
      </c>
      <c r="T67" s="20">
        <f>$I$22*$T$22</f>
        <v>0</v>
      </c>
      <c r="U67" s="20">
        <f>$I$22*$U$22</f>
        <v>0</v>
      </c>
      <c r="V67" s="20">
        <f>$I$22*$V$22</f>
        <v>0</v>
      </c>
      <c r="X67" s="20">
        <f>$I$22*$X$22</f>
        <v>0</v>
      </c>
      <c r="Y67" s="20">
        <f>$I$22*$Y$22</f>
        <v>0</v>
      </c>
      <c r="Z67" s="20">
        <f>$I$22*$Z$22</f>
        <v>0</v>
      </c>
      <c r="AA67" s="20">
        <f>$I$22*$AA$22</f>
        <v>0</v>
      </c>
      <c r="AB67" s="20">
        <f>$I$22*$AB$22</f>
        <v>0</v>
      </c>
      <c r="AC67" s="20">
        <f>$I$22*$AC$22</f>
        <v>0</v>
      </c>
      <c r="AD67" s="20">
        <f>$I$22*$AD$22</f>
        <v>0</v>
      </c>
      <c r="AE67" s="20">
        <f>$I$22*$AE$22</f>
        <v>0</v>
      </c>
      <c r="AF67" s="20">
        <f>$I$22*$AF$22</f>
        <v>0</v>
      </c>
      <c r="AG67" s="20">
        <f>$I$22*$AG$22</f>
        <v>0</v>
      </c>
      <c r="AH67" s="20">
        <f>$I$22*$AH$22</f>
        <v>0</v>
      </c>
    </row>
    <row r="68" spans="1:34" ht="11.25" customHeight="1" x14ac:dyDescent="0.3">
      <c r="A68" s="9" t="s">
        <v>43</v>
      </c>
      <c r="B68" s="9" t="s">
        <v>1289</v>
      </c>
      <c r="C68" s="9" t="s">
        <v>1290</v>
      </c>
      <c r="D68" s="9" t="s">
        <v>1291</v>
      </c>
      <c r="E68" s="9" t="s">
        <v>1292</v>
      </c>
      <c r="F68" s="9" t="s">
        <v>1293</v>
      </c>
      <c r="G68" s="9" t="s">
        <v>1294</v>
      </c>
      <c r="L68" s="20">
        <f>$I$23*$L$23</f>
        <v>0</v>
      </c>
      <c r="M68" s="20">
        <f>$I$23*$M$23</f>
        <v>0</v>
      </c>
      <c r="N68" s="20">
        <f>$I$23*$N$23</f>
        <v>0</v>
      </c>
      <c r="O68" s="20">
        <f>$I$23*$O$23</f>
        <v>0</v>
      </c>
      <c r="P68" s="20">
        <f>$I$23*$P$23</f>
        <v>0</v>
      </c>
      <c r="Q68" s="20">
        <f>$I$23*$Q$23</f>
        <v>0</v>
      </c>
      <c r="R68" s="20">
        <f>$I$23*$R$23</f>
        <v>0</v>
      </c>
      <c r="S68" s="20">
        <f>$I$23*$S$23</f>
        <v>0</v>
      </c>
      <c r="T68" s="20">
        <f>$I$23*$T$23</f>
        <v>0</v>
      </c>
      <c r="U68" s="20">
        <f>$I$23*$U$23</f>
        <v>0</v>
      </c>
      <c r="V68" s="20">
        <f>$I$23*$V$23</f>
        <v>0</v>
      </c>
      <c r="X68" s="20">
        <f>$I$23*$X$23</f>
        <v>0</v>
      </c>
      <c r="Y68" s="20">
        <f>$I$23*$Y$23</f>
        <v>0</v>
      </c>
      <c r="Z68" s="20">
        <f>$I$23*$Z$23</f>
        <v>0</v>
      </c>
      <c r="AA68" s="20">
        <f>$I$23*$AA$23</f>
        <v>0</v>
      </c>
      <c r="AB68" s="20">
        <f>$I$23*$AB$23</f>
        <v>0</v>
      </c>
      <c r="AC68" s="20">
        <f>$I$23*$AC$23</f>
        <v>0</v>
      </c>
      <c r="AD68" s="20">
        <f>$I$23*$AD$23</f>
        <v>0</v>
      </c>
      <c r="AE68" s="20">
        <f>$I$23*$AE$23</f>
        <v>0</v>
      </c>
      <c r="AF68" s="20">
        <f>$I$23*$AF$23</f>
        <v>0</v>
      </c>
      <c r="AG68" s="20">
        <f>$I$23*$AG$23</f>
        <v>0</v>
      </c>
      <c r="AH68" s="20">
        <f>$I$23*$AH$23</f>
        <v>0</v>
      </c>
    </row>
    <row r="69" spans="1:34" ht="11.25" customHeight="1" x14ac:dyDescent="0.3">
      <c r="A69" s="9" t="s">
        <v>43</v>
      </c>
      <c r="B69" s="9" t="s">
        <v>1289</v>
      </c>
      <c r="C69" s="9" t="s">
        <v>1290</v>
      </c>
      <c r="D69" s="9" t="s">
        <v>1291</v>
      </c>
      <c r="E69" s="9" t="s">
        <v>1292</v>
      </c>
      <c r="F69" s="9" t="s">
        <v>1293</v>
      </c>
      <c r="G69" s="9" t="s">
        <v>1295</v>
      </c>
      <c r="L69" s="20">
        <f>$I$24*$L$24</f>
        <v>0</v>
      </c>
      <c r="M69" s="20">
        <f>$I$24*$M$24</f>
        <v>0</v>
      </c>
      <c r="N69" s="20">
        <f>$I$24*$N$24</f>
        <v>0</v>
      </c>
      <c r="O69" s="20">
        <f>$I$24*$O$24</f>
        <v>0</v>
      </c>
      <c r="P69" s="20">
        <f>$I$24*$P$24</f>
        <v>0</v>
      </c>
      <c r="Q69" s="20">
        <f>$I$24*$Q$24</f>
        <v>0</v>
      </c>
      <c r="R69" s="20">
        <f>$I$24*$R$24</f>
        <v>0</v>
      </c>
      <c r="S69" s="20">
        <f>$I$24*$S$24</f>
        <v>0</v>
      </c>
      <c r="T69" s="20">
        <f>$I$24*$T$24</f>
        <v>0</v>
      </c>
      <c r="U69" s="20">
        <f>$I$24*$U$24</f>
        <v>0</v>
      </c>
      <c r="V69" s="20">
        <f>$I$24*$V$24</f>
        <v>0</v>
      </c>
      <c r="X69" s="20">
        <f>$I$24*$X$24</f>
        <v>0</v>
      </c>
      <c r="Y69" s="20">
        <f>$I$24*$Y$24</f>
        <v>0</v>
      </c>
      <c r="Z69" s="20">
        <f>$I$24*$Z$24</f>
        <v>0</v>
      </c>
      <c r="AA69" s="20">
        <f>$I$24*$AA$24</f>
        <v>0</v>
      </c>
      <c r="AB69" s="20">
        <f>$I$24*$AB$24</f>
        <v>0</v>
      </c>
      <c r="AC69" s="20">
        <f>$I$24*$AC$24</f>
        <v>0</v>
      </c>
      <c r="AD69" s="20">
        <f>$I$24*$AD$24</f>
        <v>0</v>
      </c>
      <c r="AE69" s="20">
        <f>$I$24*$AE$24</f>
        <v>0</v>
      </c>
      <c r="AF69" s="20">
        <f>$I$24*$AF$24</f>
        <v>0</v>
      </c>
      <c r="AG69" s="20">
        <f>$I$24*$AG$24</f>
        <v>0</v>
      </c>
      <c r="AH69" s="20">
        <f>$I$24*$AH$24</f>
        <v>0</v>
      </c>
    </row>
    <row r="70" spans="1:34" ht="11.25" customHeight="1" x14ac:dyDescent="0.3">
      <c r="A70" s="9" t="s">
        <v>43</v>
      </c>
      <c r="B70" s="9" t="s">
        <v>1289</v>
      </c>
      <c r="C70" s="9" t="s">
        <v>1290</v>
      </c>
      <c r="D70" s="9" t="s">
        <v>1291</v>
      </c>
      <c r="E70" s="9" t="s">
        <v>1292</v>
      </c>
      <c r="F70" s="9" t="s">
        <v>1293</v>
      </c>
      <c r="G70" s="9" t="s">
        <v>1296</v>
      </c>
      <c r="L70" s="20">
        <f>$I$25*$L$25</f>
        <v>0</v>
      </c>
      <c r="M70" s="20">
        <f>$I$25*$M$25</f>
        <v>0</v>
      </c>
      <c r="N70" s="20">
        <f>$I$25*$N$25</f>
        <v>0</v>
      </c>
      <c r="O70" s="20">
        <f>$I$25*$O$25</f>
        <v>0</v>
      </c>
      <c r="P70" s="20">
        <f>$I$25*$P$25</f>
        <v>0</v>
      </c>
      <c r="Q70" s="20">
        <f>$I$25*$Q$25</f>
        <v>0</v>
      </c>
      <c r="R70" s="20">
        <f>$I$25*$R$25</f>
        <v>0</v>
      </c>
      <c r="S70" s="20">
        <f>$I$25*$S$25</f>
        <v>0</v>
      </c>
      <c r="T70" s="20">
        <f>$I$25*$T$25</f>
        <v>0</v>
      </c>
      <c r="U70" s="20">
        <f>$I$25*$U$25</f>
        <v>0</v>
      </c>
      <c r="V70" s="20">
        <f>$I$25*$V$25</f>
        <v>0</v>
      </c>
      <c r="X70" s="20">
        <f>$I$25*$X$25</f>
        <v>0</v>
      </c>
      <c r="Y70" s="20">
        <f>$I$25*$Y$25</f>
        <v>0</v>
      </c>
      <c r="Z70" s="20">
        <f>$I$25*$Z$25</f>
        <v>0</v>
      </c>
      <c r="AA70" s="20">
        <f>$I$25*$AA$25</f>
        <v>0</v>
      </c>
      <c r="AB70" s="20">
        <f>$I$25*$AB$25</f>
        <v>0</v>
      </c>
      <c r="AC70" s="20">
        <f>$I$25*$AC$25</f>
        <v>0</v>
      </c>
      <c r="AD70" s="20">
        <f>$I$25*$AD$25</f>
        <v>0</v>
      </c>
      <c r="AE70" s="20">
        <f>$I$25*$AE$25</f>
        <v>0</v>
      </c>
      <c r="AF70" s="20">
        <f>$I$25*$AF$25</f>
        <v>0</v>
      </c>
      <c r="AG70" s="20">
        <f>$I$25*$AG$25</f>
        <v>0</v>
      </c>
      <c r="AH70" s="20">
        <f>$I$25*$AH$25</f>
        <v>0</v>
      </c>
    </row>
    <row r="71" spans="1:34" ht="11.25" customHeight="1" x14ac:dyDescent="0.3">
      <c r="A71" s="9" t="s">
        <v>43</v>
      </c>
      <c r="B71" s="9" t="s">
        <v>1297</v>
      </c>
      <c r="C71" s="9" t="s">
        <v>1298</v>
      </c>
      <c r="D71" s="9" t="s">
        <v>1299</v>
      </c>
      <c r="E71" s="9" t="s">
        <v>1300</v>
      </c>
      <c r="F71" s="9" t="s">
        <v>1301</v>
      </c>
      <c r="G71" s="9" t="s">
        <v>1302</v>
      </c>
      <c r="L71" s="20">
        <f>$I$26*$L$26</f>
        <v>39781.168397439149</v>
      </c>
      <c r="M71" s="20">
        <f>$I$26*$M$26</f>
        <v>371702.24237264879</v>
      </c>
      <c r="N71" s="20">
        <f>$I$26*$N$26</f>
        <v>0</v>
      </c>
      <c r="O71" s="20">
        <f>$I$26*$O$26</f>
        <v>95099.480997603008</v>
      </c>
      <c r="P71" s="20">
        <f>$I$26*$P$26</f>
        <v>-289074.54182140157</v>
      </c>
      <c r="Q71" s="20">
        <f>$I$26*$Q$26</f>
        <v>3550435.5311567262</v>
      </c>
      <c r="R71" s="20">
        <f>$I$26*$R$26</f>
        <v>103569.81309889391</v>
      </c>
      <c r="S71" s="20">
        <f>$I$26*$S$26</f>
        <v>73747.506832583065</v>
      </c>
      <c r="T71" s="20">
        <f>$I$26*$T$26</f>
        <v>0</v>
      </c>
      <c r="U71" s="20">
        <f>$I$26*$U$26</f>
        <v>-167783.37639951572</v>
      </c>
      <c r="V71" s="20">
        <f>$I$26*$V$26</f>
        <v>97286.230060143498</v>
      </c>
      <c r="X71" s="20">
        <f>$I$26*$X$26</f>
        <v>37207.364858129986</v>
      </c>
      <c r="Y71" s="20">
        <f>$I$26*$Y$26</f>
        <v>225208.28121247597</v>
      </c>
      <c r="Z71" s="20">
        <f>$I$26*$Z$26</f>
        <v>0</v>
      </c>
      <c r="AA71" s="20">
        <f>$I$26*$AA$26</f>
        <v>0</v>
      </c>
      <c r="AB71" s="20">
        <f>$I$26*$AB$26</f>
        <v>0</v>
      </c>
      <c r="AC71" s="20">
        <f>$I$26*$AC$26</f>
        <v>3567248.6359297712</v>
      </c>
      <c r="AD71" s="20">
        <f>$I$26*$AD$26</f>
        <v>87956.05967501711</v>
      </c>
      <c r="AE71" s="20">
        <f>$I$26*$AE$26</f>
        <v>63620.949844095288</v>
      </c>
      <c r="AF71" s="20">
        <f>$I$26*$AF$26</f>
        <v>0</v>
      </c>
      <c r="AG71" s="20">
        <f>$I$26*$AG$26</f>
        <v>-198116.11887490924</v>
      </c>
      <c r="AH71" s="20">
        <f>$I$26*$AH$26</f>
        <v>88059.459606442993</v>
      </c>
    </row>
    <row r="72" spans="1:34" ht="11.25" customHeight="1" x14ac:dyDescent="0.3">
      <c r="A72" s="9" t="s">
        <v>43</v>
      </c>
      <c r="B72" s="9" t="s">
        <v>1289</v>
      </c>
      <c r="C72" s="9" t="s">
        <v>1290</v>
      </c>
      <c r="D72" s="9" t="s">
        <v>1303</v>
      </c>
      <c r="E72" s="9" t="s">
        <v>1304</v>
      </c>
      <c r="F72" s="9" t="s">
        <v>1305</v>
      </c>
      <c r="G72" s="9" t="s">
        <v>1306</v>
      </c>
      <c r="L72" s="20">
        <f>$I$27*$L$27</f>
        <v>0</v>
      </c>
      <c r="M72" s="20">
        <f>$I$27*$M$27</f>
        <v>0</v>
      </c>
      <c r="N72" s="20">
        <f>$I$27*$N$27</f>
        <v>0</v>
      </c>
      <c r="O72" s="20">
        <f>$I$27*$O$27</f>
        <v>0</v>
      </c>
      <c r="P72" s="20">
        <f>$I$27*$P$27</f>
        <v>0</v>
      </c>
      <c r="Q72" s="20">
        <f>$I$27*$Q$27</f>
        <v>0</v>
      </c>
      <c r="R72" s="20">
        <f>$I$27*$R$27</f>
        <v>0</v>
      </c>
      <c r="S72" s="20">
        <f>$I$27*$S$27</f>
        <v>0</v>
      </c>
      <c r="T72" s="20">
        <f>$I$27*$T$27</f>
        <v>0</v>
      </c>
      <c r="U72" s="20">
        <f>$I$27*$U$27</f>
        <v>0</v>
      </c>
      <c r="V72" s="20">
        <f>$I$27*$V$27</f>
        <v>0</v>
      </c>
      <c r="X72" s="20">
        <f>$I$27*$X$27</f>
        <v>0</v>
      </c>
      <c r="Y72" s="20">
        <f>$I$27*$Y$27</f>
        <v>0</v>
      </c>
      <c r="Z72" s="20">
        <f>$I$27*$Z$27</f>
        <v>0</v>
      </c>
      <c r="AA72" s="20">
        <f>$I$27*$AA$27</f>
        <v>0</v>
      </c>
      <c r="AB72" s="20">
        <f>$I$27*$AB$27</f>
        <v>0</v>
      </c>
      <c r="AC72" s="20">
        <f>$I$27*$AC$27</f>
        <v>0</v>
      </c>
      <c r="AD72" s="20">
        <f>$I$27*$AD$27</f>
        <v>0</v>
      </c>
      <c r="AE72" s="20">
        <f>$I$27*$AE$27</f>
        <v>0</v>
      </c>
      <c r="AF72" s="20">
        <f>$I$27*$AF$27</f>
        <v>0</v>
      </c>
      <c r="AG72" s="20">
        <f>$I$27*$AG$27</f>
        <v>0</v>
      </c>
      <c r="AH72" s="20">
        <f>$I$27*$AH$27</f>
        <v>0</v>
      </c>
    </row>
    <row r="73" spans="1:34" ht="11.25" customHeight="1" x14ac:dyDescent="0.3">
      <c r="A73" s="9" t="s">
        <v>43</v>
      </c>
      <c r="B73" s="9" t="s">
        <v>1289</v>
      </c>
      <c r="C73" s="9" t="s">
        <v>1290</v>
      </c>
      <c r="D73" s="9" t="s">
        <v>1303</v>
      </c>
      <c r="E73" s="9" t="s">
        <v>1304</v>
      </c>
      <c r="F73" s="9" t="s">
        <v>1305</v>
      </c>
      <c r="G73" s="9" t="s">
        <v>1307</v>
      </c>
      <c r="L73" s="20">
        <f>$I$28*$L$28</f>
        <v>0</v>
      </c>
      <c r="M73" s="20">
        <f>$I$28*$M$28</f>
        <v>0</v>
      </c>
      <c r="N73" s="20">
        <f>$I$28*$N$28</f>
        <v>0</v>
      </c>
      <c r="O73" s="20">
        <f>$I$28*$O$28</f>
        <v>0</v>
      </c>
      <c r="P73" s="20">
        <f>$I$28*$P$28</f>
        <v>0</v>
      </c>
      <c r="Q73" s="20">
        <f>$I$28*$Q$28</f>
        <v>0</v>
      </c>
      <c r="R73" s="20">
        <f>$I$28*$R$28</f>
        <v>0</v>
      </c>
      <c r="S73" s="20">
        <f>$I$28*$S$28</f>
        <v>0</v>
      </c>
      <c r="T73" s="20">
        <f>$I$28*$T$28</f>
        <v>0</v>
      </c>
      <c r="U73" s="20">
        <f>$I$28*$U$28</f>
        <v>0</v>
      </c>
      <c r="V73" s="20">
        <f>$I$28*$V$28</f>
        <v>0</v>
      </c>
      <c r="X73" s="20">
        <f>$I$28*$X$28</f>
        <v>0</v>
      </c>
      <c r="Y73" s="20">
        <f>$I$28*$Y$28</f>
        <v>0</v>
      </c>
      <c r="Z73" s="20">
        <f>$I$28*$Z$28</f>
        <v>0</v>
      </c>
      <c r="AA73" s="20">
        <f>$I$28*$AA$28</f>
        <v>0</v>
      </c>
      <c r="AB73" s="20">
        <f>$I$28*$AB$28</f>
        <v>0</v>
      </c>
      <c r="AC73" s="20">
        <f>$I$28*$AC$28</f>
        <v>0</v>
      </c>
      <c r="AD73" s="20">
        <f>$I$28*$AD$28</f>
        <v>0</v>
      </c>
      <c r="AE73" s="20">
        <f>$I$28*$AE$28</f>
        <v>0</v>
      </c>
      <c r="AF73" s="20">
        <f>$I$28*$AF$28</f>
        <v>0</v>
      </c>
      <c r="AG73" s="20">
        <f>$I$28*$AG$28</f>
        <v>0</v>
      </c>
      <c r="AH73" s="20">
        <f>$I$28*$AH$28</f>
        <v>0</v>
      </c>
    </row>
    <row r="74" spans="1:34" ht="11.25" customHeight="1" x14ac:dyDescent="0.3">
      <c r="A74" s="9" t="s">
        <v>43</v>
      </c>
      <c r="B74" s="9" t="s">
        <v>1289</v>
      </c>
      <c r="C74" s="9" t="s">
        <v>1290</v>
      </c>
      <c r="D74" s="9" t="s">
        <v>1303</v>
      </c>
      <c r="E74" s="9" t="s">
        <v>1304</v>
      </c>
      <c r="F74" s="9" t="s">
        <v>1305</v>
      </c>
      <c r="G74" s="9" t="s">
        <v>1308</v>
      </c>
      <c r="L74" s="20">
        <f>$I$29*$L$29</f>
        <v>0</v>
      </c>
      <c r="M74" s="20">
        <f>$I$29*$M$29</f>
        <v>0</v>
      </c>
      <c r="N74" s="20">
        <f>$I$29*$N$29</f>
        <v>0</v>
      </c>
      <c r="O74" s="20">
        <f>$I$29*$O$29</f>
        <v>0</v>
      </c>
      <c r="P74" s="20">
        <f>$I$29*$P$29</f>
        <v>0</v>
      </c>
      <c r="Q74" s="20">
        <f>$I$29*$Q$29</f>
        <v>0</v>
      </c>
      <c r="R74" s="20">
        <f>$I$29*$R$29</f>
        <v>0</v>
      </c>
      <c r="S74" s="20">
        <f>$I$29*$S$29</f>
        <v>0</v>
      </c>
      <c r="T74" s="20">
        <f>$I$29*$T$29</f>
        <v>0</v>
      </c>
      <c r="U74" s="20">
        <f>$I$29*$U$29</f>
        <v>0</v>
      </c>
      <c r="V74" s="20">
        <f>$I$29*$V$29</f>
        <v>0</v>
      </c>
      <c r="X74" s="20">
        <f>$I$29*$X$29</f>
        <v>0</v>
      </c>
      <c r="Y74" s="20">
        <f>$I$29*$Y$29</f>
        <v>0</v>
      </c>
      <c r="Z74" s="20">
        <f>$I$29*$Z$29</f>
        <v>0</v>
      </c>
      <c r="AA74" s="20">
        <f>$I$29*$AA$29</f>
        <v>0</v>
      </c>
      <c r="AB74" s="20">
        <f>$I$29*$AB$29</f>
        <v>0</v>
      </c>
      <c r="AC74" s="20">
        <f>$I$29*$AC$29</f>
        <v>0</v>
      </c>
      <c r="AD74" s="20">
        <f>$I$29*$AD$29</f>
        <v>0</v>
      </c>
      <c r="AE74" s="20">
        <f>$I$29*$AE$29</f>
        <v>0</v>
      </c>
      <c r="AF74" s="20">
        <f>$I$29*$AF$29</f>
        <v>0</v>
      </c>
      <c r="AG74" s="20">
        <f>$I$29*$AG$29</f>
        <v>0</v>
      </c>
      <c r="AH74" s="20">
        <f>$I$29*$AH$29</f>
        <v>0</v>
      </c>
    </row>
    <row r="75" spans="1:34" ht="11.25" customHeight="1" x14ac:dyDescent="0.3">
      <c r="A75" s="9" t="s">
        <v>43</v>
      </c>
      <c r="B75" s="9" t="s">
        <v>1297</v>
      </c>
      <c r="C75" s="9" t="s">
        <v>1298</v>
      </c>
      <c r="D75" s="9" t="s">
        <v>1309</v>
      </c>
      <c r="E75" s="9" t="s">
        <v>1310</v>
      </c>
      <c r="F75" s="9" t="s">
        <v>1311</v>
      </c>
      <c r="G75" s="9" t="s">
        <v>1312</v>
      </c>
      <c r="L75" s="20">
        <f>$I$30*$L$30</f>
        <v>0</v>
      </c>
      <c r="M75" s="20">
        <f>$I$30*$M$30</f>
        <v>0</v>
      </c>
      <c r="N75" s="20">
        <f>$I$30*$N$30</f>
        <v>0</v>
      </c>
      <c r="O75" s="20">
        <f>$I$30*$O$30</f>
        <v>0</v>
      </c>
      <c r="P75" s="20">
        <f>$I$30*$P$30</f>
        <v>0</v>
      </c>
      <c r="Q75" s="20">
        <f>$I$30*$Q$30</f>
        <v>0</v>
      </c>
      <c r="R75" s="20">
        <f>$I$30*$R$30</f>
        <v>0</v>
      </c>
      <c r="S75" s="20">
        <f>$I$30*$S$30</f>
        <v>0</v>
      </c>
      <c r="T75" s="20">
        <f>$I$30*$T$30</f>
        <v>0</v>
      </c>
      <c r="U75" s="20">
        <f>$I$30*$U$30</f>
        <v>0</v>
      </c>
      <c r="V75" s="20">
        <f>$I$30*$V$30</f>
        <v>0</v>
      </c>
      <c r="X75" s="20">
        <f>$I$30*$X$30</f>
        <v>0</v>
      </c>
      <c r="Y75" s="20">
        <f>$I$30*$Y$30</f>
        <v>0</v>
      </c>
      <c r="Z75" s="20">
        <f>$I$30*$Z$30</f>
        <v>0</v>
      </c>
      <c r="AA75" s="20">
        <f>$I$30*$AA$30</f>
        <v>0</v>
      </c>
      <c r="AB75" s="20">
        <f>$I$30*$AB$30</f>
        <v>0</v>
      </c>
      <c r="AC75" s="20">
        <f>$I$30*$AC$30</f>
        <v>0</v>
      </c>
      <c r="AD75" s="20">
        <f>$I$30*$AD$30</f>
        <v>0</v>
      </c>
      <c r="AE75" s="20">
        <f>$I$30*$AE$30</f>
        <v>0</v>
      </c>
      <c r="AF75" s="20">
        <f>$I$30*$AF$30</f>
        <v>0</v>
      </c>
      <c r="AG75" s="20">
        <f>$I$30*$AG$30</f>
        <v>0</v>
      </c>
      <c r="AH75" s="20">
        <f>$I$30*$AH$30</f>
        <v>0</v>
      </c>
    </row>
    <row r="76" spans="1:34" ht="11.25" customHeight="1" x14ac:dyDescent="0.3">
      <c r="A76" s="9" t="s">
        <v>43</v>
      </c>
      <c r="B76" s="9" t="s">
        <v>1289</v>
      </c>
      <c r="C76" s="9" t="s">
        <v>1290</v>
      </c>
      <c r="D76" s="9" t="s">
        <v>1313</v>
      </c>
      <c r="E76" s="9" t="s">
        <v>1314</v>
      </c>
      <c r="F76" s="9" t="s">
        <v>1315</v>
      </c>
      <c r="G76" s="9" t="s">
        <v>1316</v>
      </c>
      <c r="L76" s="20">
        <f>$I$31*$L$31</f>
        <v>0</v>
      </c>
      <c r="M76" s="20">
        <f>$I$31*$M$31</f>
        <v>0</v>
      </c>
      <c r="N76" s="20">
        <f>$I$31*$N$31</f>
        <v>0</v>
      </c>
      <c r="O76" s="20">
        <f>$I$31*$O$31</f>
        <v>0</v>
      </c>
      <c r="P76" s="20">
        <f>$I$31*$P$31</f>
        <v>0</v>
      </c>
      <c r="Q76" s="20">
        <f>$I$31*$Q$31</f>
        <v>0</v>
      </c>
      <c r="R76" s="20">
        <f>$I$31*$R$31</f>
        <v>0</v>
      </c>
      <c r="S76" s="20">
        <f>$I$31*$S$31</f>
        <v>0</v>
      </c>
      <c r="T76" s="20">
        <f>$I$31*$T$31</f>
        <v>0</v>
      </c>
      <c r="U76" s="20">
        <f>$I$31*$U$31</f>
        <v>0</v>
      </c>
      <c r="V76" s="20">
        <f>$I$31*$V$31</f>
        <v>0</v>
      </c>
      <c r="X76" s="20">
        <f>$I$31*$X$31</f>
        <v>0</v>
      </c>
      <c r="Y76" s="20">
        <f>$I$31*$Y$31</f>
        <v>0</v>
      </c>
      <c r="Z76" s="20">
        <f>$I$31*$Z$31</f>
        <v>0</v>
      </c>
      <c r="AA76" s="20">
        <f>$I$31*$AA$31</f>
        <v>0</v>
      </c>
      <c r="AB76" s="20">
        <f>$I$31*$AB$31</f>
        <v>0</v>
      </c>
      <c r="AC76" s="20">
        <f>$I$31*$AC$31</f>
        <v>0</v>
      </c>
      <c r="AD76" s="20">
        <f>$I$31*$AD$31</f>
        <v>0</v>
      </c>
      <c r="AE76" s="20">
        <f>$I$31*$AE$31</f>
        <v>0</v>
      </c>
      <c r="AF76" s="20">
        <f>$I$31*$AF$31</f>
        <v>0</v>
      </c>
      <c r="AG76" s="20">
        <f>$I$31*$AG$31</f>
        <v>0</v>
      </c>
      <c r="AH76" s="20">
        <f>$I$31*$AH$31</f>
        <v>0</v>
      </c>
    </row>
    <row r="77" spans="1:34" ht="11.25" customHeight="1" x14ac:dyDescent="0.3">
      <c r="A77" s="9" t="s">
        <v>43</v>
      </c>
      <c r="B77" s="9" t="s">
        <v>1289</v>
      </c>
      <c r="C77" s="9" t="s">
        <v>1290</v>
      </c>
      <c r="D77" s="9" t="s">
        <v>1313</v>
      </c>
      <c r="E77" s="9" t="s">
        <v>1314</v>
      </c>
      <c r="F77" s="9" t="s">
        <v>1315</v>
      </c>
      <c r="G77" s="9" t="s">
        <v>1317</v>
      </c>
      <c r="L77" s="20">
        <f>$I$32*$L$32</f>
        <v>0</v>
      </c>
      <c r="M77" s="20">
        <f>$I$32*$M$32</f>
        <v>0</v>
      </c>
      <c r="N77" s="20">
        <f>$I$32*$N$32</f>
        <v>0</v>
      </c>
      <c r="O77" s="20">
        <f>$I$32*$O$32</f>
        <v>0</v>
      </c>
      <c r="P77" s="20">
        <f>$I$32*$P$32</f>
        <v>0</v>
      </c>
      <c r="Q77" s="20">
        <f>$I$32*$Q$32</f>
        <v>0</v>
      </c>
      <c r="R77" s="20">
        <f>$I$32*$R$32</f>
        <v>0</v>
      </c>
      <c r="S77" s="20">
        <f>$I$32*$S$32</f>
        <v>0</v>
      </c>
      <c r="T77" s="20">
        <f>$I$32*$T$32</f>
        <v>0</v>
      </c>
      <c r="U77" s="20">
        <f>$I$32*$U$32</f>
        <v>0</v>
      </c>
      <c r="V77" s="20">
        <f>$I$32*$V$32</f>
        <v>0</v>
      </c>
      <c r="X77" s="20">
        <f>$I$32*$X$32</f>
        <v>0</v>
      </c>
      <c r="Y77" s="20">
        <f>$I$32*$Y$32</f>
        <v>0</v>
      </c>
      <c r="Z77" s="20">
        <f>$I$32*$Z$32</f>
        <v>0</v>
      </c>
      <c r="AA77" s="20">
        <f>$I$32*$AA$32</f>
        <v>0</v>
      </c>
      <c r="AB77" s="20">
        <f>$I$32*$AB$32</f>
        <v>0</v>
      </c>
      <c r="AC77" s="20">
        <f>$I$32*$AC$32</f>
        <v>0</v>
      </c>
      <c r="AD77" s="20">
        <f>$I$32*$AD$32</f>
        <v>0</v>
      </c>
      <c r="AE77" s="20">
        <f>$I$32*$AE$32</f>
        <v>0</v>
      </c>
      <c r="AF77" s="20">
        <f>$I$32*$AF$32</f>
        <v>0</v>
      </c>
      <c r="AG77" s="20">
        <f>$I$32*$AG$32</f>
        <v>0</v>
      </c>
      <c r="AH77" s="20">
        <f>$I$32*$AH$32</f>
        <v>0</v>
      </c>
    </row>
    <row r="78" spans="1:34" ht="11.25" customHeight="1" x14ac:dyDescent="0.3">
      <c r="A78" s="9" t="s">
        <v>43</v>
      </c>
      <c r="B78" s="9" t="s">
        <v>1289</v>
      </c>
      <c r="C78" s="9" t="s">
        <v>1290</v>
      </c>
      <c r="D78" s="9" t="s">
        <v>1313</v>
      </c>
      <c r="E78" s="9" t="s">
        <v>1314</v>
      </c>
      <c r="F78" s="9" t="s">
        <v>1315</v>
      </c>
      <c r="G78" s="9" t="s">
        <v>1318</v>
      </c>
      <c r="L78" s="20">
        <f>$I$33*$L$33</f>
        <v>0</v>
      </c>
      <c r="M78" s="20">
        <f>$I$33*$M$33</f>
        <v>0</v>
      </c>
      <c r="N78" s="20">
        <f>$I$33*$N$33</f>
        <v>0</v>
      </c>
      <c r="O78" s="20">
        <f>$I$33*$O$33</f>
        <v>0</v>
      </c>
      <c r="P78" s="20">
        <f>$I$33*$P$33</f>
        <v>0</v>
      </c>
      <c r="Q78" s="20">
        <f>$I$33*$Q$33</f>
        <v>0</v>
      </c>
      <c r="R78" s="20">
        <f>$I$33*$R$33</f>
        <v>0</v>
      </c>
      <c r="S78" s="20">
        <f>$I$33*$S$33</f>
        <v>0</v>
      </c>
      <c r="T78" s="20">
        <f>$I$33*$T$33</f>
        <v>0</v>
      </c>
      <c r="U78" s="20">
        <f>$I$33*$U$33</f>
        <v>0</v>
      </c>
      <c r="V78" s="20">
        <f>$I$33*$V$33</f>
        <v>0</v>
      </c>
      <c r="X78" s="20">
        <f>$I$33*$X$33</f>
        <v>0</v>
      </c>
      <c r="Y78" s="20">
        <f>$I$33*$Y$33</f>
        <v>0</v>
      </c>
      <c r="Z78" s="20">
        <f>$I$33*$Z$33</f>
        <v>0</v>
      </c>
      <c r="AA78" s="20">
        <f>$I$33*$AA$33</f>
        <v>0</v>
      </c>
      <c r="AB78" s="20">
        <f>$I$33*$AB$33</f>
        <v>0</v>
      </c>
      <c r="AC78" s="20">
        <f>$I$33*$AC$33</f>
        <v>0</v>
      </c>
      <c r="AD78" s="20">
        <f>$I$33*$AD$33</f>
        <v>0</v>
      </c>
      <c r="AE78" s="20">
        <f>$I$33*$AE$33</f>
        <v>0</v>
      </c>
      <c r="AF78" s="20">
        <f>$I$33*$AF$33</f>
        <v>0</v>
      </c>
      <c r="AG78" s="20">
        <f>$I$33*$AG$33</f>
        <v>0</v>
      </c>
      <c r="AH78" s="20">
        <f>$I$33*$AH$33</f>
        <v>0</v>
      </c>
    </row>
    <row r="79" spans="1:34" ht="11.25" customHeight="1" x14ac:dyDescent="0.3">
      <c r="A79" s="9" t="s">
        <v>43</v>
      </c>
      <c r="B79" s="9" t="s">
        <v>1297</v>
      </c>
      <c r="C79" s="9" t="s">
        <v>1298</v>
      </c>
      <c r="D79" s="9" t="s">
        <v>1319</v>
      </c>
      <c r="E79" s="9" t="s">
        <v>1320</v>
      </c>
      <c r="F79" s="9" t="s">
        <v>1321</v>
      </c>
      <c r="G79" s="9" t="s">
        <v>1322</v>
      </c>
      <c r="L79" s="20">
        <f>$I$34*$L$34</f>
        <v>0</v>
      </c>
      <c r="M79" s="20">
        <f>$I$34*$M$34</f>
        <v>0</v>
      </c>
      <c r="N79" s="20">
        <f>$I$34*$N$34</f>
        <v>0</v>
      </c>
      <c r="O79" s="20">
        <f>$I$34*$O$34</f>
        <v>0</v>
      </c>
      <c r="P79" s="20">
        <f>$I$34*$P$34</f>
        <v>0</v>
      </c>
      <c r="Q79" s="20">
        <f>$I$34*$Q$34</f>
        <v>0</v>
      </c>
      <c r="R79" s="20">
        <f>$I$34*$R$34</f>
        <v>0</v>
      </c>
      <c r="S79" s="20">
        <f>$I$34*$S$34</f>
        <v>0</v>
      </c>
      <c r="T79" s="20">
        <f>$I$34*$T$34</f>
        <v>0</v>
      </c>
      <c r="U79" s="20">
        <f>$I$34*$U$34</f>
        <v>0</v>
      </c>
      <c r="V79" s="20">
        <f>$I$34*$V$34</f>
        <v>0</v>
      </c>
      <c r="X79" s="20">
        <f>$I$34*$X$34</f>
        <v>0</v>
      </c>
      <c r="Y79" s="20">
        <f>$I$34*$Y$34</f>
        <v>0</v>
      </c>
      <c r="Z79" s="20">
        <f>$I$34*$Z$34</f>
        <v>0</v>
      </c>
      <c r="AA79" s="20">
        <f>$I$34*$AA$34</f>
        <v>0</v>
      </c>
      <c r="AB79" s="20">
        <f>$I$34*$AB$34</f>
        <v>0</v>
      </c>
      <c r="AC79" s="20">
        <f>$I$34*$AC$34</f>
        <v>0</v>
      </c>
      <c r="AD79" s="20">
        <f>$I$34*$AD$34</f>
        <v>0</v>
      </c>
      <c r="AE79" s="20">
        <f>$I$34*$AE$34</f>
        <v>0</v>
      </c>
      <c r="AF79" s="20">
        <f>$I$34*$AF$34</f>
        <v>0</v>
      </c>
      <c r="AG79" s="20">
        <f>$I$34*$AG$34</f>
        <v>0</v>
      </c>
      <c r="AH79" s="20">
        <f>$I$34*$AH$34</f>
        <v>0</v>
      </c>
    </row>
    <row r="80" spans="1:34" ht="11.25" customHeight="1" x14ac:dyDescent="0.3">
      <c r="A80" s="9" t="s">
        <v>43</v>
      </c>
      <c r="B80" s="9" t="s">
        <v>1323</v>
      </c>
      <c r="C80" s="9" t="s">
        <v>1324</v>
      </c>
      <c r="D80" s="9" t="s">
        <v>1325</v>
      </c>
      <c r="E80" s="9" t="s">
        <v>1326</v>
      </c>
      <c r="F80" s="9" t="s">
        <v>1327</v>
      </c>
      <c r="G80" s="9" t="s">
        <v>1328</v>
      </c>
      <c r="L80" s="20">
        <f>$I$35*$L$35</f>
        <v>0</v>
      </c>
      <c r="M80" s="20">
        <f>$I$35*$M$35</f>
        <v>0</v>
      </c>
      <c r="N80" s="20">
        <f>$I$35*$N$35</f>
        <v>0</v>
      </c>
      <c r="O80" s="20">
        <f>$I$35*$O$35</f>
        <v>0</v>
      </c>
      <c r="P80" s="20">
        <f>$I$35*$P$35</f>
        <v>0</v>
      </c>
      <c r="Q80" s="20">
        <f>$I$35*$Q$35</f>
        <v>0</v>
      </c>
      <c r="R80" s="20">
        <f>$I$35*$R$35</f>
        <v>0</v>
      </c>
      <c r="S80" s="20">
        <f>$I$35*$S$35</f>
        <v>0</v>
      </c>
      <c r="T80" s="20">
        <f>$I$35*$T$35</f>
        <v>0</v>
      </c>
      <c r="U80" s="20">
        <f>$I$35*$U$35</f>
        <v>0</v>
      </c>
      <c r="V80" s="20">
        <f>$I$35*$V$35</f>
        <v>0</v>
      </c>
      <c r="X80" s="20">
        <f>$I$35*$X$35</f>
        <v>0</v>
      </c>
      <c r="Y80" s="20">
        <f>$I$35*$Y$35</f>
        <v>0</v>
      </c>
      <c r="Z80" s="20">
        <f>$I$35*$Z$35</f>
        <v>0</v>
      </c>
      <c r="AA80" s="20">
        <f>$I$35*$AA$35</f>
        <v>0</v>
      </c>
      <c r="AB80" s="20">
        <f>$I$35*$AB$35</f>
        <v>0</v>
      </c>
      <c r="AC80" s="20">
        <f>$I$35*$AC$35</f>
        <v>0</v>
      </c>
      <c r="AD80" s="20">
        <f>$I$35*$AD$35</f>
        <v>0</v>
      </c>
      <c r="AE80" s="20">
        <f>$I$35*$AE$35</f>
        <v>0</v>
      </c>
      <c r="AF80" s="20">
        <f>$I$35*$AF$35</f>
        <v>0</v>
      </c>
      <c r="AG80" s="20">
        <f>$I$35*$AG$35</f>
        <v>0</v>
      </c>
      <c r="AH80" s="20">
        <f>$I$35*$AH$35</f>
        <v>0</v>
      </c>
    </row>
    <row r="81" spans="1:34" ht="11.25" customHeight="1" x14ac:dyDescent="0.3">
      <c r="A81" s="9" t="s">
        <v>43</v>
      </c>
      <c r="B81" s="9" t="s">
        <v>1323</v>
      </c>
      <c r="C81" s="9" t="s">
        <v>1324</v>
      </c>
      <c r="D81" s="9" t="s">
        <v>1329</v>
      </c>
      <c r="E81" s="9" t="s">
        <v>1330</v>
      </c>
      <c r="F81" s="9" t="s">
        <v>1331</v>
      </c>
      <c r="G81" s="9" t="s">
        <v>1332</v>
      </c>
      <c r="L81" s="20">
        <f>$I$36*$L$36</f>
        <v>0</v>
      </c>
      <c r="M81" s="20">
        <f>$I$36*$M$36</f>
        <v>0</v>
      </c>
      <c r="N81" s="20">
        <f>$I$36*$N$36</f>
        <v>0</v>
      </c>
      <c r="O81" s="20">
        <f>$I$36*$O$36</f>
        <v>0</v>
      </c>
      <c r="P81" s="20">
        <f>$I$36*$P$36</f>
        <v>0</v>
      </c>
      <c r="Q81" s="20">
        <f>$I$36*$Q$36</f>
        <v>0</v>
      </c>
      <c r="R81" s="20">
        <f>$I$36*$R$36</f>
        <v>0</v>
      </c>
      <c r="S81" s="20">
        <f>$I$36*$S$36</f>
        <v>0</v>
      </c>
      <c r="T81" s="20">
        <f>$I$36*$T$36</f>
        <v>0</v>
      </c>
      <c r="U81" s="20">
        <f>$I$36*$U$36</f>
        <v>0</v>
      </c>
      <c r="V81" s="20">
        <f>$I$36*$V$36</f>
        <v>0</v>
      </c>
      <c r="X81" s="20">
        <f>$I$36*$X$36</f>
        <v>0</v>
      </c>
      <c r="Y81" s="20">
        <f>$I$36*$Y$36</f>
        <v>0</v>
      </c>
      <c r="Z81" s="20">
        <f>$I$36*$Z$36</f>
        <v>0</v>
      </c>
      <c r="AA81" s="20">
        <f>$I$36*$AA$36</f>
        <v>0</v>
      </c>
      <c r="AB81" s="20">
        <f>$I$36*$AB$36</f>
        <v>0</v>
      </c>
      <c r="AC81" s="20">
        <f>$I$36*$AC$36</f>
        <v>0</v>
      </c>
      <c r="AD81" s="20">
        <f>$I$36*$AD$36</f>
        <v>0</v>
      </c>
      <c r="AE81" s="20">
        <f>$I$36*$AE$36</f>
        <v>0</v>
      </c>
      <c r="AF81" s="20">
        <f>$I$36*$AF$36</f>
        <v>0</v>
      </c>
      <c r="AG81" s="20">
        <f>$I$36*$AG$36</f>
        <v>0</v>
      </c>
      <c r="AH81" s="20">
        <f>$I$36*$AH$36</f>
        <v>0</v>
      </c>
    </row>
    <row r="82" spans="1:34" ht="11.25" customHeight="1" x14ac:dyDescent="0.3">
      <c r="A82" s="9" t="s">
        <v>43</v>
      </c>
      <c r="B82" s="9" t="s">
        <v>1323</v>
      </c>
      <c r="C82" s="9" t="s">
        <v>1324</v>
      </c>
      <c r="D82" s="9" t="s">
        <v>1333</v>
      </c>
      <c r="E82" s="9" t="s">
        <v>1334</v>
      </c>
      <c r="F82" s="9" t="s">
        <v>1335</v>
      </c>
      <c r="G82" s="9" t="s">
        <v>1336</v>
      </c>
      <c r="L82" s="20">
        <f>$I$37*$L$37</f>
        <v>0</v>
      </c>
      <c r="M82" s="20">
        <f>$I$37*$M$37</f>
        <v>0</v>
      </c>
      <c r="N82" s="20">
        <f>$I$37*$N$37</f>
        <v>0</v>
      </c>
      <c r="O82" s="20">
        <f>$I$37*$O$37</f>
        <v>0</v>
      </c>
      <c r="P82" s="20">
        <f>$I$37*$P$37</f>
        <v>0</v>
      </c>
      <c r="Q82" s="20">
        <f>$I$37*$Q$37</f>
        <v>0</v>
      </c>
      <c r="R82" s="20">
        <f>$I$37*$R$37</f>
        <v>0</v>
      </c>
      <c r="S82" s="20">
        <f>$I$37*$S$37</f>
        <v>0</v>
      </c>
      <c r="T82" s="20">
        <f>$I$37*$T$37</f>
        <v>0</v>
      </c>
      <c r="U82" s="20">
        <f>$I$37*$U$37</f>
        <v>0</v>
      </c>
      <c r="V82" s="20">
        <f>$I$37*$V$37</f>
        <v>0</v>
      </c>
      <c r="X82" s="20">
        <f>$I$37*$X$37</f>
        <v>0</v>
      </c>
      <c r="Y82" s="20">
        <f>$I$37*$Y$37</f>
        <v>0</v>
      </c>
      <c r="Z82" s="20">
        <f>$I$37*$Z$37</f>
        <v>0</v>
      </c>
      <c r="AA82" s="20">
        <f>$I$37*$AA$37</f>
        <v>0</v>
      </c>
      <c r="AB82" s="20">
        <f>$I$37*$AB$37</f>
        <v>0</v>
      </c>
      <c r="AC82" s="20">
        <f>$I$37*$AC$37</f>
        <v>0</v>
      </c>
      <c r="AD82" s="20">
        <f>$I$37*$AD$37</f>
        <v>0</v>
      </c>
      <c r="AE82" s="20">
        <f>$I$37*$AE$37</f>
        <v>0</v>
      </c>
      <c r="AF82" s="20">
        <f>$I$37*$AF$37</f>
        <v>0</v>
      </c>
      <c r="AG82" s="20">
        <f>$I$37*$AG$37</f>
        <v>0</v>
      </c>
      <c r="AH82" s="20">
        <f>$I$37*$AH$37</f>
        <v>0</v>
      </c>
    </row>
    <row r="83" spans="1:34" ht="11.25" customHeight="1" x14ac:dyDescent="0.3">
      <c r="A83" s="9" t="s">
        <v>37</v>
      </c>
      <c r="B83" s="9" t="s">
        <v>1337</v>
      </c>
      <c r="C83" s="9" t="s">
        <v>1338</v>
      </c>
      <c r="D83" s="9" t="s">
        <v>1339</v>
      </c>
      <c r="E83" s="9" t="s">
        <v>1340</v>
      </c>
      <c r="F83" s="9" t="s">
        <v>1341</v>
      </c>
      <c r="G83" s="9" t="s">
        <v>1342</v>
      </c>
      <c r="L83" s="20">
        <f>$I$38*$L$38</f>
        <v>25.151039846682462</v>
      </c>
      <c r="M83" s="20">
        <f>$I$38*$M$38</f>
        <v>235.0031003518117</v>
      </c>
      <c r="N83" s="20">
        <f>$I$38*$N$38</f>
        <v>0</v>
      </c>
      <c r="O83" s="20">
        <f>$I$38*$O$38</f>
        <v>60.125203263851503</v>
      </c>
      <c r="P83" s="20">
        <f>$I$38*$P$38</f>
        <v>-182.76299095527762</v>
      </c>
      <c r="Q83" s="20">
        <f>$I$38*$Q$38</f>
        <v>3642.3579504392119</v>
      </c>
      <c r="R83" s="20">
        <f>$I$38*$R$38</f>
        <v>65.480442156430513</v>
      </c>
      <c r="S83" s="20">
        <f>$I$38*$S$38</f>
        <v>46.625741718013117</v>
      </c>
      <c r="T83" s="20">
        <f>$I$38*$T$38</f>
        <v>0</v>
      </c>
      <c r="U83" s="20">
        <f>$I$38*$U$38</f>
        <v>-164.56791974698891</v>
      </c>
      <c r="V83" s="20">
        <f>$I$38*$V$38</f>
        <v>61.507742164096378</v>
      </c>
      <c r="X83" s="20">
        <f>$I$38*$X$38</f>
        <v>25.127686512724676</v>
      </c>
      <c r="Y83" s="20">
        <f>$I$38*$Y$38</f>
        <v>152.09255242756339</v>
      </c>
      <c r="Z83" s="20">
        <f>$I$38*$Z$38</f>
        <v>0</v>
      </c>
      <c r="AA83" s="20">
        <f>$I$38*$AA$38</f>
        <v>0</v>
      </c>
      <c r="AB83" s="20">
        <f>$I$38*$AB$38</f>
        <v>0</v>
      </c>
      <c r="AC83" s="20">
        <f>$I$38*$AC$38</f>
        <v>3909.1249693414052</v>
      </c>
      <c r="AD83" s="20">
        <f>$I$38*$AD$38</f>
        <v>59.400398357568783</v>
      </c>
      <c r="AE83" s="20">
        <f>$I$38*$AE$38</f>
        <v>42.965882948705797</v>
      </c>
      <c r="AF83" s="20">
        <f>$I$38*$AF$38</f>
        <v>0</v>
      </c>
      <c r="AG83" s="20">
        <f>$I$38*$AG$38</f>
        <v>-206.28346721893058</v>
      </c>
      <c r="AH83" s="20">
        <f>$I$38*$AH$38</f>
        <v>59.470228647142271</v>
      </c>
    </row>
    <row r="84" spans="1:34" ht="11.25" customHeight="1" x14ac:dyDescent="0.3">
      <c r="A84" s="9" t="s">
        <v>37</v>
      </c>
      <c r="B84" s="9" t="s">
        <v>1337</v>
      </c>
      <c r="C84" s="9" t="s">
        <v>1338</v>
      </c>
      <c r="D84" s="9" t="s">
        <v>1339</v>
      </c>
      <c r="E84" s="9" t="s">
        <v>1340</v>
      </c>
      <c r="F84" s="9" t="s">
        <v>1341</v>
      </c>
      <c r="G84" s="9" t="s">
        <v>1343</v>
      </c>
      <c r="L84" s="20">
        <f>$I$39*$L$39</f>
        <v>23.284173400286562</v>
      </c>
      <c r="M84" s="20">
        <f>$I$39*$M$39</f>
        <v>217.5597101174443</v>
      </c>
      <c r="N84" s="20">
        <f>$I$39*$N$39</f>
        <v>0</v>
      </c>
      <c r="O84" s="20">
        <f>$I$39*$O$39</f>
        <v>55.662337106418121</v>
      </c>
      <c r="P84" s="20">
        <f>$I$39*$P$39</f>
        <v>-169.19718621967857</v>
      </c>
      <c r="Q84" s="20">
        <f>$I$39*$Q$39</f>
        <v>1960.464832896402</v>
      </c>
      <c r="R84" s="20">
        <f>$I$39*$R$39</f>
        <v>60.620076895105854</v>
      </c>
      <c r="S84" s="20">
        <f>$I$39*$S$39</f>
        <v>43.16488947165314</v>
      </c>
      <c r="T84" s="20">
        <f>$I$39*$T$39</f>
        <v>0</v>
      </c>
      <c r="U84" s="20">
        <f>$I$39*$U$39</f>
        <v>-93.282144496335491</v>
      </c>
      <c r="V84" s="20">
        <f>$I$39*$V$39</f>
        <v>56.942255379466751</v>
      </c>
      <c r="X84" s="20">
        <f>$I$39*$X$39</f>
        <v>23.262553495874553</v>
      </c>
      <c r="Y84" s="20">
        <f>$I$39*$Y$39</f>
        <v>140.80329820171158</v>
      </c>
      <c r="Z84" s="20">
        <f>$I$39*$Z$39</f>
        <v>0</v>
      </c>
      <c r="AA84" s="20">
        <f>$I$39*$AA$39</f>
        <v>0</v>
      </c>
      <c r="AB84" s="20">
        <f>$I$39*$AB$39</f>
        <v>0</v>
      </c>
      <c r="AC84" s="20">
        <f>$I$39*$AC$39</f>
        <v>2104.0496661968496</v>
      </c>
      <c r="AD84" s="20">
        <f>$I$39*$AD$39</f>
        <v>54.991331723652941</v>
      </c>
      <c r="AE84" s="20">
        <f>$I$39*$AE$39</f>
        <v>39.776688159716073</v>
      </c>
      <c r="AF84" s="20">
        <f>$I$39*$AF$39</f>
        <v>0</v>
      </c>
      <c r="AG84" s="20">
        <f>$I$39*$AG$39</f>
        <v>-117.76427870378541</v>
      </c>
      <c r="AH84" s="20">
        <f>$I$39*$AH$39</f>
        <v>55.055978775263249</v>
      </c>
    </row>
    <row r="85" spans="1:34" ht="11.25" customHeight="1" x14ac:dyDescent="0.3">
      <c r="A85" s="9" t="s">
        <v>37</v>
      </c>
      <c r="B85" s="9" t="s">
        <v>1337</v>
      </c>
      <c r="C85" s="9" t="s">
        <v>1338</v>
      </c>
      <c r="D85" s="9" t="s">
        <v>1339</v>
      </c>
      <c r="E85" s="9" t="s">
        <v>1340</v>
      </c>
      <c r="F85" s="9" t="s">
        <v>1341</v>
      </c>
      <c r="G85" s="9" t="s">
        <v>1344</v>
      </c>
      <c r="L85" s="20">
        <f>$I$40*$L$40</f>
        <v>361.18700019794437</v>
      </c>
      <c r="M85" s="20">
        <f>$I$40*$M$40</f>
        <v>3374.8133425379397</v>
      </c>
      <c r="N85" s="20">
        <f>$I$40*$N$40</f>
        <v>0</v>
      </c>
      <c r="O85" s="20">
        <f>$I$40*$O$40</f>
        <v>863.44111160185992</v>
      </c>
      <c r="P85" s="20">
        <f>$I$40*$P$40</f>
        <v>-2624.6078433631042</v>
      </c>
      <c r="Q85" s="20">
        <f>$I$40*$Q$40</f>
        <v>30410.974863239124</v>
      </c>
      <c r="R85" s="20">
        <f>$I$40*$R$40</f>
        <v>940.34618919486877</v>
      </c>
      <c r="S85" s="20">
        <f>$I$40*$S$40</f>
        <v>669.57914606280815</v>
      </c>
      <c r="T85" s="20">
        <f>$I$40*$T$40</f>
        <v>0</v>
      </c>
      <c r="U85" s="20">
        <f>$I$40*$U$40</f>
        <v>-1447.00425320866</v>
      </c>
      <c r="V85" s="20">
        <f>$I$40*$V$40</f>
        <v>883.29536339742845</v>
      </c>
      <c r="X85" s="20">
        <f>$I$40*$X$40</f>
        <v>360.85162954574662</v>
      </c>
      <c r="Y85" s="20">
        <f>$I$40*$Y$40</f>
        <v>2184.1583130808895</v>
      </c>
      <c r="Z85" s="20">
        <f>$I$40*$Z$40</f>
        <v>0</v>
      </c>
      <c r="AA85" s="20">
        <f>$I$40*$AA$40</f>
        <v>0</v>
      </c>
      <c r="AB85" s="20">
        <f>$I$40*$AB$40</f>
        <v>0</v>
      </c>
      <c r="AC85" s="20">
        <f>$I$40*$AC$40</f>
        <v>32638.280695494792</v>
      </c>
      <c r="AD85" s="20">
        <f>$I$40*$AD$40</f>
        <v>853.03239246241878</v>
      </c>
      <c r="AE85" s="20">
        <f>$I$40*$AE$40</f>
        <v>617.02094496685572</v>
      </c>
      <c r="AF85" s="20">
        <f>$I$40*$AF$40</f>
        <v>0</v>
      </c>
      <c r="AG85" s="20">
        <f>$I$40*$AG$40</f>
        <v>-1826.7741707752198</v>
      </c>
      <c r="AH85" s="20">
        <f>$I$40*$AH$40</f>
        <v>854.03520558536525</v>
      </c>
    </row>
    <row r="86" spans="1:34" ht="11.25" customHeight="1" x14ac:dyDescent="0.3">
      <c r="A86" s="9" t="s">
        <v>37</v>
      </c>
      <c r="B86" s="9" t="s">
        <v>1345</v>
      </c>
      <c r="C86" s="9" t="s">
        <v>1346</v>
      </c>
      <c r="D86" s="9" t="s">
        <v>1347</v>
      </c>
      <c r="E86" s="9" t="s">
        <v>1348</v>
      </c>
      <c r="F86" s="9" t="s">
        <v>1349</v>
      </c>
      <c r="G86" s="9" t="s">
        <v>1350</v>
      </c>
      <c r="L86" s="20">
        <f>$I$41*$L$41</f>
        <v>58113.824964110063</v>
      </c>
      <c r="M86" s="20">
        <f>$I$41*$M$41</f>
        <v>542996.59668623155</v>
      </c>
      <c r="N86" s="20">
        <f>$I$41*$N$41</f>
        <v>0</v>
      </c>
      <c r="O86" s="20">
        <f>$I$41*$O$41</f>
        <v>138924.89375018401</v>
      </c>
      <c r="P86" s="20">
        <f>$I$41*$P$41</f>
        <v>-422290.94824853534</v>
      </c>
      <c r="Q86" s="20">
        <f>$I$41*$Q$41</f>
        <v>5186609.577241106</v>
      </c>
      <c r="R86" s="20">
        <f>$I$41*$R$41</f>
        <v>151298.67302696337</v>
      </c>
      <c r="S86" s="20">
        <f>$I$41*$S$41</f>
        <v>107733.12791597471</v>
      </c>
      <c r="T86" s="20">
        <f>$I$41*$T$41</f>
        <v>0</v>
      </c>
      <c r="U86" s="20">
        <f>$I$41*$U$41</f>
        <v>-245104.25813929908</v>
      </c>
      <c r="V86" s="20">
        <f>$I$41*$V$41</f>
        <v>142119.37891440283</v>
      </c>
      <c r="X86" s="20">
        <f>$I$41*$X$41</f>
        <v>58059.864906385847</v>
      </c>
      <c r="Y86" s="20">
        <f>$I$41*$Y$41</f>
        <v>351424.03749505471</v>
      </c>
      <c r="Z86" s="20">
        <f>$I$41*$Z$41</f>
        <v>0</v>
      </c>
      <c r="AA86" s="20">
        <f>$I$41*$AA$41</f>
        <v>0</v>
      </c>
      <c r="AB86" s="20">
        <f>$I$41*$AB$41</f>
        <v>0</v>
      </c>
      <c r="AC86" s="20">
        <f>$I$41*$AC$41</f>
        <v>5566477.8916563215</v>
      </c>
      <c r="AD86" s="20">
        <f>$I$41*$AD$41</f>
        <v>137250.16436668305</v>
      </c>
      <c r="AE86" s="20">
        <f>$I$41*$AE$41</f>
        <v>99276.682647333335</v>
      </c>
      <c r="AF86" s="20">
        <f>$I$41*$AF$41</f>
        <v>0</v>
      </c>
      <c r="AG86" s="20">
        <f>$I$41*$AG$41</f>
        <v>-309148.34042973921</v>
      </c>
      <c r="AH86" s="20">
        <f>$I$41*$AH$41</f>
        <v>137411.51376814736</v>
      </c>
    </row>
    <row r="87" spans="1:34" ht="11.25" customHeight="1" x14ac:dyDescent="0.3">
      <c r="A87" s="9" t="s">
        <v>37</v>
      </c>
      <c r="B87" s="9" t="s">
        <v>1351</v>
      </c>
      <c r="C87" s="9" t="s">
        <v>1352</v>
      </c>
      <c r="D87" s="9" t="s">
        <v>1353</v>
      </c>
      <c r="E87" s="9" t="s">
        <v>1354</v>
      </c>
      <c r="F87" s="9" t="s">
        <v>1355</v>
      </c>
      <c r="G87" s="9" t="s">
        <v>1356</v>
      </c>
      <c r="L87" s="20">
        <f>$I$42*$L$42</f>
        <v>0</v>
      </c>
      <c r="M87" s="20">
        <f>$I$42*$M$42</f>
        <v>0</v>
      </c>
      <c r="N87" s="20">
        <f>$I$42*$N$42</f>
        <v>0</v>
      </c>
      <c r="O87" s="20">
        <f>$I$42*$O$42</f>
        <v>0</v>
      </c>
      <c r="P87" s="20">
        <f>$I$42*$P$42</f>
        <v>0</v>
      </c>
      <c r="Q87" s="20">
        <f>$I$42*$Q$42</f>
        <v>0</v>
      </c>
      <c r="R87" s="20">
        <f>$I$42*$R$42</f>
        <v>0</v>
      </c>
      <c r="S87" s="20">
        <f>$I$42*$S$42</f>
        <v>0</v>
      </c>
      <c r="T87" s="20">
        <f>$I$42*$T$42</f>
        <v>0</v>
      </c>
      <c r="U87" s="20">
        <f>$I$42*$U$42</f>
        <v>0</v>
      </c>
      <c r="V87" s="20">
        <f>$I$42*$V$42</f>
        <v>0</v>
      </c>
      <c r="X87" s="20">
        <f>$I$42*$X$42</f>
        <v>0</v>
      </c>
      <c r="Y87" s="20">
        <f>$I$42*$Y$42</f>
        <v>0</v>
      </c>
      <c r="Z87" s="20">
        <f>$I$42*$Z$42</f>
        <v>0</v>
      </c>
      <c r="AA87" s="20">
        <f>$I$42*$AA$42</f>
        <v>0</v>
      </c>
      <c r="AB87" s="20">
        <f>$I$42*$AB$42</f>
        <v>0</v>
      </c>
      <c r="AC87" s="20">
        <f>$I$42*$AC$42</f>
        <v>0</v>
      </c>
      <c r="AD87" s="20">
        <f>$I$42*$AD$42</f>
        <v>0</v>
      </c>
      <c r="AE87" s="20">
        <f>$I$42*$AE$42</f>
        <v>0</v>
      </c>
      <c r="AF87" s="20">
        <f>$I$42*$AF$42</f>
        <v>0</v>
      </c>
      <c r="AG87" s="20">
        <f>$I$42*$AG$42</f>
        <v>0</v>
      </c>
      <c r="AH87" s="20">
        <f>$I$42*$AH$42</f>
        <v>0</v>
      </c>
    </row>
    <row r="88" spans="1:34" ht="11.25" customHeight="1" x14ac:dyDescent="0.3">
      <c r="A88" s="9" t="s">
        <v>47</v>
      </c>
      <c r="B88" s="9" t="s">
        <v>1357</v>
      </c>
      <c r="C88" s="9" t="s">
        <v>1358</v>
      </c>
      <c r="D88" s="9" t="s">
        <v>1359</v>
      </c>
      <c r="E88" s="9" t="s">
        <v>1360</v>
      </c>
      <c r="F88" s="9" t="s">
        <v>1361</v>
      </c>
      <c r="G88" s="9" t="s">
        <v>1362</v>
      </c>
      <c r="L88" s="20">
        <f>$I$43*$L$43</f>
        <v>6745.3893545691581</v>
      </c>
      <c r="M88" s="20">
        <f>$I$43*$M$43</f>
        <v>63026.71464348826</v>
      </c>
      <c r="N88" s="20">
        <f>$I$43*$N$43</f>
        <v>0</v>
      </c>
      <c r="O88" s="20">
        <f>$I$43*$O$43</f>
        <v>16125.293765569184</v>
      </c>
      <c r="P88" s="20">
        <f>$I$43*$P$43</f>
        <v>-49016.165578599815</v>
      </c>
      <c r="Q88" s="20">
        <f>$I$43*$Q$43</f>
        <v>602020.27745093487</v>
      </c>
      <c r="R88" s="20">
        <f>$I$43*$R$43</f>
        <v>17561.543385361423</v>
      </c>
      <c r="S88" s="20">
        <f>$I$43*$S$43</f>
        <v>12504.802336236688</v>
      </c>
      <c r="T88" s="20">
        <f>$I$43*$T$43</f>
        <v>0</v>
      </c>
      <c r="U88" s="20">
        <f>$I$43*$U$43</f>
        <v>-28449.747622591676</v>
      </c>
      <c r="V88" s="20">
        <f>$I$43*$V$43</f>
        <v>16496.084127989114</v>
      </c>
      <c r="X88" s="20">
        <f>$I$43*$X$43</f>
        <v>6739.1261013902267</v>
      </c>
      <c r="Y88" s="20">
        <f>$I$43*$Y$43</f>
        <v>40790.499729157898</v>
      </c>
      <c r="Z88" s="20">
        <f>$I$43*$Z$43</f>
        <v>0</v>
      </c>
      <c r="AA88" s="20">
        <f>$I$43*$AA$43</f>
        <v>0</v>
      </c>
      <c r="AB88" s="20">
        <f>$I$43*$AB$43</f>
        <v>0</v>
      </c>
      <c r="AC88" s="20">
        <f>$I$43*$AC$43</f>
        <v>646112.36200700933</v>
      </c>
      <c r="AD88" s="20">
        <f>$I$43*$AD$43</f>
        <v>15930.904534396941</v>
      </c>
      <c r="AE88" s="20">
        <f>$I$43*$AE$43</f>
        <v>11523.245608077434</v>
      </c>
      <c r="AF88" s="20">
        <f>$I$43*$AF$43</f>
        <v>0</v>
      </c>
      <c r="AG88" s="20">
        <f>$I$43*$AG$43</f>
        <v>-35883.473954869427</v>
      </c>
      <c r="AH88" s="20">
        <f>$I$43*$AH$43</f>
        <v>15949.632686186573</v>
      </c>
    </row>
    <row r="89" spans="1:34" ht="11.25" customHeight="1" x14ac:dyDescent="0.3">
      <c r="A89" s="9" t="s">
        <v>47</v>
      </c>
      <c r="B89" s="9" t="s">
        <v>1357</v>
      </c>
      <c r="C89" s="9" t="s">
        <v>1358</v>
      </c>
      <c r="D89" s="9" t="s">
        <v>1363</v>
      </c>
      <c r="E89" s="9" t="s">
        <v>1364</v>
      </c>
      <c r="F89" s="9" t="s">
        <v>1365</v>
      </c>
      <c r="G89" s="9" t="s">
        <v>1366</v>
      </c>
      <c r="L89" s="20">
        <f>$I$44*$L$44</f>
        <v>0</v>
      </c>
      <c r="M89" s="20">
        <f>$I$44*$M$44</f>
        <v>0</v>
      </c>
      <c r="N89" s="20">
        <f>$I$44*$N$44</f>
        <v>0</v>
      </c>
      <c r="O89" s="20">
        <f>$I$44*$O$44</f>
        <v>0</v>
      </c>
      <c r="P89" s="20">
        <f>$I$44*$P$44</f>
        <v>0</v>
      </c>
      <c r="Q89" s="20">
        <f>$I$44*$Q$44</f>
        <v>0</v>
      </c>
      <c r="R89" s="20">
        <f>$I$44*$R$44</f>
        <v>0</v>
      </c>
      <c r="S89" s="20">
        <f>$I$44*$S$44</f>
        <v>0</v>
      </c>
      <c r="T89" s="20">
        <f>$I$44*$T$44</f>
        <v>0</v>
      </c>
      <c r="U89" s="20">
        <f>$I$44*$U$44</f>
        <v>0</v>
      </c>
      <c r="V89" s="20">
        <f>$I$44*$V$44</f>
        <v>0</v>
      </c>
      <c r="X89" s="20">
        <f>$I$44*$X$44</f>
        <v>0</v>
      </c>
      <c r="Y89" s="20">
        <f>$I$44*$Y$44</f>
        <v>0</v>
      </c>
      <c r="Z89" s="20">
        <f>$I$44*$Z$44</f>
        <v>0</v>
      </c>
      <c r="AA89" s="20">
        <f>$I$44*$AA$44</f>
        <v>0</v>
      </c>
      <c r="AB89" s="20">
        <f>$I$44*$AB$44</f>
        <v>0</v>
      </c>
      <c r="AC89" s="20">
        <f>$I$44*$AC$44</f>
        <v>0</v>
      </c>
      <c r="AD89" s="20">
        <f>$I$44*$AD$44</f>
        <v>0</v>
      </c>
      <c r="AE89" s="20">
        <f>$I$44*$AE$44</f>
        <v>0</v>
      </c>
      <c r="AF89" s="20">
        <f>$I$44*$AF$44</f>
        <v>0</v>
      </c>
      <c r="AG89" s="20">
        <f>$I$44*$AG$44</f>
        <v>0</v>
      </c>
      <c r="AH89" s="20">
        <f>$I$44*$AH$44</f>
        <v>0</v>
      </c>
    </row>
  </sheetData>
  <mergeCells count="75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L1:V1"/>
    <mergeCell ref="L2:V2"/>
    <mergeCell ref="L3:P3"/>
    <mergeCell ref="R3:T3"/>
    <mergeCell ref="A5:A7"/>
    <mergeCell ref="B5:B6"/>
    <mergeCell ref="C5:C6"/>
    <mergeCell ref="D5:D6"/>
    <mergeCell ref="E5:E6"/>
    <mergeCell ref="A8:A9"/>
    <mergeCell ref="B8:B9"/>
    <mergeCell ref="C8:C9"/>
    <mergeCell ref="D8:D9"/>
    <mergeCell ref="E8:E9"/>
    <mergeCell ref="A10:A22"/>
    <mergeCell ref="B10:B12"/>
    <mergeCell ref="C10:C12"/>
    <mergeCell ref="D10:D12"/>
    <mergeCell ref="E10:E12"/>
    <mergeCell ref="B13:B17"/>
    <mergeCell ref="C13:C17"/>
    <mergeCell ref="B18:B22"/>
    <mergeCell ref="C18:C22"/>
    <mergeCell ref="A23:A37"/>
    <mergeCell ref="B23:B25"/>
    <mergeCell ref="C23:C25"/>
    <mergeCell ref="D23:D25"/>
    <mergeCell ref="E23:E25"/>
    <mergeCell ref="B27:B29"/>
    <mergeCell ref="C27:C29"/>
    <mergeCell ref="D27:D29"/>
    <mergeCell ref="E27:E29"/>
    <mergeCell ref="X1:AH1"/>
    <mergeCell ref="X2:AH2"/>
    <mergeCell ref="X3:AB3"/>
    <mergeCell ref="AD3:AF3"/>
    <mergeCell ref="B35:B37"/>
    <mergeCell ref="C35:C37"/>
    <mergeCell ref="F27:F29"/>
    <mergeCell ref="B31:B33"/>
    <mergeCell ref="C31:C33"/>
    <mergeCell ref="D31:D33"/>
    <mergeCell ref="E31:E33"/>
    <mergeCell ref="F31:F33"/>
    <mergeCell ref="F23:F25"/>
    <mergeCell ref="F10:F12"/>
    <mergeCell ref="F8:F9"/>
    <mergeCell ref="F5:F6"/>
    <mergeCell ref="E38:E40"/>
    <mergeCell ref="F38:F40"/>
    <mergeCell ref="A43:A44"/>
    <mergeCell ref="B43:B44"/>
    <mergeCell ref="C43:C44"/>
    <mergeCell ref="A38:A42"/>
    <mergeCell ref="B38:B40"/>
    <mergeCell ref="C38:C40"/>
    <mergeCell ref="D38:D40"/>
    <mergeCell ref="L46:V46"/>
    <mergeCell ref="X46:AH46"/>
    <mergeCell ref="L47:V47"/>
    <mergeCell ref="X47:AH47"/>
    <mergeCell ref="L48:P48"/>
    <mergeCell ref="R48:T48"/>
    <mergeCell ref="X48:AB48"/>
    <mergeCell ref="AD48:AF48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01079-EF2A-4361-94B5-7768BB86C5CE}">
  <sheetPr codeName="Planilha24"/>
  <dimension ref="A1:AG15"/>
  <sheetViews>
    <sheetView showGridLines="0" workbookViewId="0">
      <selection activeCell="J15" sqref="J15"/>
    </sheetView>
  </sheetViews>
  <sheetFormatPr defaultRowHeight="10.199999999999999" x14ac:dyDescent="0.2"/>
  <cols>
    <col min="1" max="1" width="18.5546875" style="14" bestFit="1" customWidth="1"/>
    <col min="2" max="2" width="12.109375" style="14" bestFit="1" customWidth="1"/>
    <col min="3" max="6" width="10" style="14" bestFit="1" customWidth="1"/>
    <col min="7" max="7" width="10.5546875" style="14" bestFit="1" customWidth="1"/>
    <col min="8" max="8" width="9.6640625" style="14" bestFit="1" customWidth="1"/>
    <col min="9" max="9" width="7.77734375" style="14" bestFit="1" customWidth="1"/>
    <col min="10" max="11" width="9.6640625" style="14" bestFit="1" customWidth="1"/>
    <col min="12" max="12" width="9.33203125" style="14" bestFit="1" customWidth="1"/>
    <col min="13" max="13" width="9.44140625" style="14" bestFit="1" customWidth="1"/>
    <col min="14" max="14" width="5.77734375" style="14" bestFit="1" customWidth="1"/>
    <col min="15" max="15" width="7.21875" style="14" bestFit="1" customWidth="1"/>
    <col min="16" max="16" width="9.44140625" style="14" bestFit="1" customWidth="1"/>
    <col min="17" max="17" width="10.6640625" style="14" bestFit="1" customWidth="1"/>
    <col min="18" max="18" width="7.5546875" style="14" bestFit="1" customWidth="1"/>
    <col min="19" max="19" width="6.88671875" style="14" bestFit="1" customWidth="1"/>
    <col min="20" max="20" width="14.44140625" style="14" bestFit="1" customWidth="1"/>
    <col min="21" max="21" width="17.77734375" style="14" bestFit="1" customWidth="1"/>
    <col min="22" max="22" width="18.109375" style="14" bestFit="1" customWidth="1"/>
    <col min="23" max="23" width="5.77734375" style="14" bestFit="1" customWidth="1"/>
    <col min="24" max="24" width="10.5546875" style="14" bestFit="1" customWidth="1"/>
    <col min="25" max="26" width="8.88671875" style="14"/>
    <col min="27" max="27" width="3.77734375" style="14" bestFit="1" customWidth="1"/>
    <col min="28" max="28" width="21" style="14" bestFit="1" customWidth="1"/>
    <col min="29" max="29" width="13.21875" style="14" bestFit="1" customWidth="1"/>
    <col min="30" max="30" width="24.44140625" style="14" bestFit="1" customWidth="1"/>
    <col min="31" max="33" width="10" style="14" bestFit="1" customWidth="1"/>
    <col min="34" max="16384" width="8.88671875" style="14"/>
  </cols>
  <sheetData>
    <row r="1" spans="1:33" x14ac:dyDescent="0.2">
      <c r="A1" s="14" t="s">
        <v>69</v>
      </c>
      <c r="B1" s="14" t="s">
        <v>70</v>
      </c>
      <c r="C1" s="14" t="s">
        <v>71</v>
      </c>
      <c r="D1" s="14" t="s">
        <v>72</v>
      </c>
      <c r="E1" s="14" t="s">
        <v>73</v>
      </c>
      <c r="F1" s="14" t="s">
        <v>15</v>
      </c>
      <c r="G1" s="14" t="s">
        <v>75</v>
      </c>
      <c r="I1" s="14" t="s">
        <v>1374</v>
      </c>
      <c r="AA1" s="14" t="s">
        <v>45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45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A3a</v>
      </c>
      <c r="AA2" s="14" t="s">
        <v>39</v>
      </c>
      <c r="AB2" s="14" t="s">
        <v>42</v>
      </c>
      <c r="AC2" s="14" t="s">
        <v>24</v>
      </c>
      <c r="AD2" s="14" t="s">
        <v>24</v>
      </c>
      <c r="AE2" s="14" t="s">
        <v>87</v>
      </c>
      <c r="AG2" s="14" t="s">
        <v>85</v>
      </c>
    </row>
    <row r="3" spans="1:33" x14ac:dyDescent="0.2">
      <c r="AA3" s="14" t="s">
        <v>88</v>
      </c>
      <c r="AB3" s="14" t="s">
        <v>60</v>
      </c>
      <c r="AC3" s="14" t="s">
        <v>44</v>
      </c>
      <c r="AD3" s="14" t="s">
        <v>29</v>
      </c>
      <c r="AE3" s="14" t="s">
        <v>89</v>
      </c>
      <c r="AG3" s="14" t="s">
        <v>86</v>
      </c>
    </row>
    <row r="4" spans="1:33" x14ac:dyDescent="0.2">
      <c r="AA4" s="14" t="s">
        <v>22</v>
      </c>
      <c r="AB4" s="14" t="s">
        <v>40</v>
      </c>
      <c r="AC4" s="14" t="s">
        <v>48</v>
      </c>
      <c r="AD4" s="14" t="s">
        <v>30</v>
      </c>
      <c r="AE4" s="14" t="s">
        <v>90</v>
      </c>
      <c r="AG4" s="14" t="s">
        <v>83</v>
      </c>
    </row>
    <row r="5" spans="1:33" x14ac:dyDescent="0.2">
      <c r="A5" s="14" t="s">
        <v>1367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653</v>
      </c>
      <c r="AA5" s="14" t="s">
        <v>43</v>
      </c>
      <c r="AB5" s="14" t="s">
        <v>23</v>
      </c>
      <c r="AD5" s="14" t="s">
        <v>31</v>
      </c>
      <c r="AG5" s="14" t="s">
        <v>9</v>
      </c>
    </row>
    <row r="6" spans="1:33" x14ac:dyDescent="0.2">
      <c r="A6" s="14" t="s">
        <v>1368</v>
      </c>
      <c r="B6" s="39">
        <f>SUM(TUSD!$AI$69:'TUSD'!$AI$127)</f>
        <v>1486606.6944400806</v>
      </c>
      <c r="C6" s="39">
        <f>SUM(TUSD!$AJ$69:'TUSD'!$AJ$127)</f>
        <v>103135.10154057511</v>
      </c>
      <c r="D6" s="39">
        <f>SUM(TUSD!$AK$69:'TUSD'!$AK$127)</f>
        <v>341763.26042962697</v>
      </c>
      <c r="E6" s="39">
        <f>SUM(TUSD!$AL$69:'TUSD'!$AL$127)</f>
        <v>0</v>
      </c>
      <c r="F6" s="39">
        <f>SUM(TUSD!$AM$69:'TUSD'!$AM$127)</f>
        <v>0</v>
      </c>
      <c r="G6" s="39">
        <f>SUM(TUSD!$AN$69:'TUSD'!$AN$127)</f>
        <v>6723203.4423912046</v>
      </c>
      <c r="H6" s="39">
        <f>SUM(TUSD!$AO$69:'TUSD'!$AO$127)</f>
        <v>1517416.4380659137</v>
      </c>
      <c r="I6" s="39">
        <f>SUM(TUSD!$AP$69:'TUSD'!$AP$127)</f>
        <v>0</v>
      </c>
      <c r="J6" s="39">
        <f>SUM(TUSD!$AQ$69:'TUSD'!$AQ$127)</f>
        <v>3819591.1154574002</v>
      </c>
      <c r="K6" s="39">
        <f>SUM(TUSD!$AR$69:'TUSD'!$AR$127)</f>
        <v>2045195.5800533469</v>
      </c>
      <c r="L6" s="39">
        <f>SUM(TUSD!$AS$69:'TUSD'!$AS$127)</f>
        <v>0</v>
      </c>
      <c r="M6" s="39">
        <f>SUM(TUSD!$AT$69:'TUSD'!$AT$127)</f>
        <v>0</v>
      </c>
      <c r="N6" s="39">
        <f>SUM(TUSD!$AU$69:'TUSD'!$AU$127)</f>
        <v>0</v>
      </c>
      <c r="O6" s="39">
        <f>SUM(TUSD!$AV$69:'TUSD'!$AV$127)</f>
        <v>0</v>
      </c>
      <c r="P6" s="39">
        <f>SUM(TUSD!$AW$69:'TUSD'!$AW$127)</f>
        <v>0</v>
      </c>
      <c r="Q6" s="39">
        <f>SUM(TUSD!$AX$69:'TUSD'!$AX$127)</f>
        <v>25633409.998113692</v>
      </c>
      <c r="R6" s="39">
        <f>SUM(TUSD!$AY$69:'TUSD'!$AY$127)</f>
        <v>-2552564.0757772611</v>
      </c>
      <c r="S6" s="39">
        <f>SUM(TUSD!$AZ$69:'TUSD'!$AZ$127)</f>
        <v>0</v>
      </c>
      <c r="T6" s="39">
        <f>SUM(TUSD!$BA$69:'TUSD'!$BA$127)</f>
        <v>2815031.7764225858</v>
      </c>
      <c r="U6" s="39">
        <f>SUM(TUSD!$BB$69:'TUSD'!$BB$127)</f>
        <v>74606.551206910895</v>
      </c>
      <c r="V6" s="39">
        <f>SUM(TUSD!$BC$69:'TUSD'!$BC$127)</f>
        <v>194823.64455569899</v>
      </c>
      <c r="W6" s="39">
        <f>SUM(TUSD!$BD$69:'TUSD'!$BD$127)</f>
        <v>67661.257279476893</v>
      </c>
      <c r="X6" s="39">
        <f t="shared" ref="X6:X11" si="0">SUM(B6:W6)</f>
        <v>42269880.78417924</v>
      </c>
      <c r="AA6" s="14" t="s">
        <v>37</v>
      </c>
      <c r="AB6" s="14" t="s">
        <v>33</v>
      </c>
      <c r="AD6" s="14" t="s">
        <v>32</v>
      </c>
      <c r="AG6" s="14" t="s">
        <v>80</v>
      </c>
    </row>
    <row r="7" spans="1:33" x14ac:dyDescent="0.2">
      <c r="A7" s="14" t="s">
        <v>1369</v>
      </c>
      <c r="B7" s="39">
        <f>SUM(TUSD!$L$69:'TUSD'!$L$127)</f>
        <v>1629922.9962143656</v>
      </c>
      <c r="C7" s="39">
        <f>SUM(TUSD!$M$69:'TUSD'!$M$127)</f>
        <v>113260.34223684281</v>
      </c>
      <c r="D7" s="39">
        <f ca="1">SUM(TUSD!$N$69:'TUSD'!$N$127)</f>
        <v>382362.44217517698</v>
      </c>
      <c r="E7" s="39">
        <f>SUM(TUSD!$O$69:'TUSD'!$O$127)</f>
        <v>0</v>
      </c>
      <c r="F7" s="39">
        <f>SUM(TUSD!$P$69:'TUSD'!$P$127)</f>
        <v>0</v>
      </c>
      <c r="G7" s="39">
        <f>SUM(TUSD!$Q$69:'TUSD'!$Q$127)</f>
        <v>14316940.367968703</v>
      </c>
      <c r="H7" s="39">
        <f>SUM(TUSD!$R$69:'TUSD'!$R$127)</f>
        <v>2456878.8794405209</v>
      </c>
      <c r="I7" s="39">
        <f>SUM(TUSD!$S$69:'TUSD'!$S$127)</f>
        <v>0</v>
      </c>
      <c r="J7" s="39">
        <f>SUM(TUSD!$T$69:'TUSD'!$T$127)</f>
        <v>4901708.9422377842</v>
      </c>
      <c r="K7" s="39">
        <f>SUM(TUSD!$U$69:'TUSD'!$U$127)</f>
        <v>2313452.7743498757</v>
      </c>
      <c r="L7" s="39">
        <f>SUM(TUSD!$V$69:'TUSD'!$V$127)</f>
        <v>0</v>
      </c>
      <c r="M7" s="39">
        <f>SUM(TUSD!$W$69:'TUSD'!$W$127)</f>
        <v>0</v>
      </c>
      <c r="N7" s="39">
        <f>SUM(TUSD!$X$69:'TUSD'!$X$127)</f>
        <v>0</v>
      </c>
      <c r="O7" s="39">
        <f>SUM(TUSD!$Y$69:'TUSD'!$Y$127)</f>
        <v>0</v>
      </c>
      <c r="P7" s="39">
        <f>SUM(TUSD!$Z$69:'TUSD'!$Z$127)</f>
        <v>0</v>
      </c>
      <c r="Q7" s="39">
        <f>SUM(TUSD!$AA$69:'TUSD'!$AA$127)</f>
        <v>27590910.362748161</v>
      </c>
      <c r="R7" s="39">
        <f ca="1">SUM(TUSD!$AB$69:'TUSD'!$AB$127)</f>
        <v>-2232496.1903258748</v>
      </c>
      <c r="S7" s="39">
        <f ca="1">SUM(TUSD!$AC$69:'TUSD'!$AC$127)</f>
        <v>0</v>
      </c>
      <c r="T7" s="39">
        <f>SUM(TUSD!$AD$69:'TUSD'!$AD$127)</f>
        <v>2630897.0005437937</v>
      </c>
      <c r="U7" s="39">
        <f>SUM(TUSD!$AE$69:'TUSD'!$AE$127)</f>
        <v>77410.159847545423</v>
      </c>
      <c r="V7" s="39">
        <f ca="1">SUM(TUSD!$AF$69:'TUSD'!$AF$127)</f>
        <v>184472.32860361898</v>
      </c>
      <c r="W7" s="39">
        <f ca="1">SUM(TUSD!$AG$69:'TUSD'!$AG$127)</f>
        <v>42905.645876040355</v>
      </c>
      <c r="X7" s="39">
        <f t="shared" ca="1" si="0"/>
        <v>54408626.051916547</v>
      </c>
      <c r="AA7" s="14" t="s">
        <v>47</v>
      </c>
      <c r="AB7" s="14" t="s">
        <v>93</v>
      </c>
      <c r="AD7" s="14" t="s">
        <v>94</v>
      </c>
      <c r="AG7" s="14" t="s">
        <v>81</v>
      </c>
    </row>
    <row r="8" spans="1:33" x14ac:dyDescent="0.2">
      <c r="A8" s="14" t="s">
        <v>1372</v>
      </c>
      <c r="B8" s="39">
        <f>IF($G$2&lt;&gt;"Não se aplica",SUMIF(TUSD!$G$69:'TUSD'!$G$127,$I$2,TUSD!$AI$69:'TUSD'!$AI$127),IF($F$2&lt;&gt;"Não se aplica",SUMIF(TUSD!$F$69:'TUSD'!$F$127,$I$2,TUSD!$AI$69:'TUSD'!$AI$127),IF($E$2&lt;&gt;"Não se aplica",SUMIF(TUSD!$E$69:'TUSD'!$E$127,$I$2,TUSD!$AI$69:'TUSD'!$AI$127),IF($D$2&lt;&gt;"Não se aplica",SUMIF(TUSD!$D$69:'TUSD'!$D$127,$I$2,TUSD!$AI$69:'TUSD'!$AI$127),IF($C$2&lt;&gt;"Não se aplica",SUMIF(TUSD!$C$69:'TUSD'!$C$127,$I$2,TUSD!$AI$69:'TUSD'!$AI$127),IF($B$2&lt;&gt;"Não se aplica",SUMIF(TUSD!$B$69:'TUSD'!$B$127,$I$2,TUSD!$AI$69:'TUSD'!$AI$127),SUMIF(TUSD!$A$69:'TUSD'!$A$127,$I$2,TUSD!$AI$69:'TUSD'!$AI$127)))))))</f>
        <v>20352.994964617861</v>
      </c>
      <c r="C8" s="39">
        <f>IF($G$2&lt;&gt;"Não se aplica",SUMIF(TUSD!$G$69:'TUSD'!$G$127,$I$2,TUSD!$AJ$69:'TUSD'!$AJ$127),IF($F$2&lt;&gt;"Não se aplica",SUMIF(TUSD!$F$69:'TUSD'!$F$127,$I$2,TUSD!$AJ$69:'TUSD'!$AJ$127),IF($E$2&lt;&gt;"Não se aplica",SUMIF(TUSD!$E$69:'TUSD'!$E$127,$I$2,TUSD!$AJ$69:'TUSD'!$AJ$127),IF($D$2&lt;&gt;"Não se aplica",SUMIF(TUSD!$D$69:'TUSD'!$D$127,$I$2,TUSD!$AJ$69:'TUSD'!$AJ$127),IF($C$2&lt;&gt;"Não se aplica",SUMIF(TUSD!$C$69:'TUSD'!$C$127,$I$2,TUSD!$AJ$69:'TUSD'!$AJ$127),IF($B$2&lt;&gt;"Não se aplica",SUMIF(TUSD!$B$69:'TUSD'!$B$127,$I$2,TUSD!$AJ$69:'TUSD'!$AJ$127),SUMIF(TUSD!$A$69:'TUSD'!$A$127,$I$2,TUSD!$AJ$69:'TUSD'!$AJ$127)))))))</f>
        <v>3222.6056018931263</v>
      </c>
      <c r="D8" s="39">
        <f>IF($G$2&lt;&gt;"Não se aplica",SUMIF(TUSD!$G$69:'TUSD'!$G$127,$I$2,TUSD!$AK$69:'TUSD'!$AK$127),IF($F$2&lt;&gt;"Não se aplica",SUMIF(TUSD!$F$69:'TUSD'!$F$127,$I$2,TUSD!$AK$69:'TUSD'!$AK$127),IF($E$2&lt;&gt;"Não se aplica",SUMIF(TUSD!$E$69:'TUSD'!$E$127,$I$2,TUSD!$AK$69:'TUSD'!$AK$127),IF($D$2&lt;&gt;"Não se aplica",SUMIF(TUSD!$D$69:'TUSD'!$D$127,$I$2,TUSD!$AK$69:'TUSD'!$AK$127),IF($C$2&lt;&gt;"Não se aplica",SUMIF(TUSD!$C$69:'TUSD'!$C$127,$I$2,TUSD!$AK$69:'TUSD'!$AK$127),IF($B$2&lt;&gt;"Não se aplica",SUMIF(TUSD!$B$69:'TUSD'!$B$127,$I$2,TUSD!$AK$69:'TUSD'!$AK$127),SUMIF(TUSD!$A$69:'TUSD'!$A$127,$I$2,TUSD!$AK$69:'TUSD'!$AK$127)))))))</f>
        <v>7243.0126698340573</v>
      </c>
      <c r="E8" s="39">
        <f>IF($G$2&lt;&gt;"Não se aplica",SUMIF(TUSD!$G$69:'TUSD'!$G$127,$I$2,TUSD!$AL$69:'TUSD'!$AL$127),IF($F$2&lt;&gt;"Não se aplica",SUMIF(TUSD!$F$69:'TUSD'!$F$127,$I$2,TUSD!$AL$69:'TUSD'!$AL$127),IF($E$2&lt;&gt;"Não se aplica",SUMIF(TUSD!$E$69:'TUSD'!$E$127,$I$2,TUSD!$AL$69:'TUSD'!$AL$127),IF($D$2&lt;&gt;"Não se aplica",SUMIF(TUSD!$D$69:'TUSD'!$D$127,$I$2,TUSD!$AL$69:'TUSD'!$AL$127),IF($C$2&lt;&gt;"Não se aplica",SUMIF(TUSD!$C$69:'TUSD'!$C$127,$I$2,TUSD!$AL$69:'TUSD'!$AL$127),IF($B$2&lt;&gt;"Não se aplica",SUMIF(TUSD!$B$69:'TUSD'!$B$127,$I$2,TUSD!$AL$69:'TUSD'!$AL$127),SUMIF(TUSD!$A$69:'TUSD'!$A$127,$I$2,TUSD!$AL$69:'TUSD'!$AL$127)))))))</f>
        <v>0</v>
      </c>
      <c r="F8" s="39">
        <f>IF($G$2&lt;&gt;"Não se aplica",SUMIF(TUSD!$G$69:'TUSD'!$G$127,$I$2,TUSD!$AM$69:'TUSD'!$AM$127),IF($F$2&lt;&gt;"Não se aplica",SUMIF(TUSD!$F$69:'TUSD'!$F$127,$I$2,TUSD!$AM$69:'TUSD'!$AM$127),IF($E$2&lt;&gt;"Não se aplica",SUMIF(TUSD!$E$69:'TUSD'!$E$127,$I$2,TUSD!$AM$69:'TUSD'!$AM$127),IF($D$2&lt;&gt;"Não se aplica",SUMIF(TUSD!$D$69:'TUSD'!$D$127,$I$2,TUSD!$AM$69:'TUSD'!$AM$127),IF($C$2&lt;&gt;"Não se aplica",SUMIF(TUSD!$C$69:'TUSD'!$C$127,$I$2,TUSD!$AM$69:'TUSD'!$AM$127),IF($B$2&lt;&gt;"Não se aplica",SUMIF(TUSD!$B$69:'TUSD'!$B$127,$I$2,TUSD!$AM$69:'TUSD'!$AM$127),SUMIF(TUSD!$A$69:'TUSD'!$A$127,$I$2,TUSD!$AM$69:'TUSD'!$AM$127)))))))</f>
        <v>0</v>
      </c>
      <c r="G8" s="39">
        <f>IF($G$2&lt;&gt;"Não se aplica",SUMIF(TUSD!$G$69:'TUSD'!$G$127,$I$2,TUSD!$AN$69:'TUSD'!$AN$127),IF($F$2&lt;&gt;"Não se aplica",SUMIF(TUSD!$F$69:'TUSD'!$F$127,$I$2,TUSD!$AN$69:'TUSD'!$AN$127),IF($E$2&lt;&gt;"Não se aplica",SUMIF(TUSD!$E$69:'TUSD'!$E$127,$I$2,TUSD!$AN$69:'TUSD'!$AN$127),IF($D$2&lt;&gt;"Não se aplica",SUMIF(TUSD!$D$69:'TUSD'!$D$127,$I$2,TUSD!$AN$69:'TUSD'!$AN$127),IF($C$2&lt;&gt;"Não se aplica",SUMIF(TUSD!$C$69:'TUSD'!$C$127,$I$2,TUSD!$AN$69:'TUSD'!$AN$127),IF($B$2&lt;&gt;"Não se aplica",SUMIF(TUSD!$B$69:'TUSD'!$B$127,$I$2,TUSD!$AN$69:'TUSD'!$AN$127),SUMIF(TUSD!$A$69:'TUSD'!$A$127,$I$2,TUSD!$AN$69:'TUSD'!$AN$127)))))))</f>
        <v>92046.757438172281</v>
      </c>
      <c r="H8" s="39">
        <f>IF($G$2&lt;&gt;"Não se aplica",SUMIF(TUSD!$G$69:'TUSD'!$G$127,$I$2,TUSD!$AO$69:'TUSD'!$AO$127),IF($F$2&lt;&gt;"Não se aplica",SUMIF(TUSD!$F$69:'TUSD'!$F$127,$I$2,TUSD!$AO$69:'TUSD'!$AO$127),IF($E$2&lt;&gt;"Não se aplica",SUMIF(TUSD!$E$69:'TUSD'!$E$127,$I$2,TUSD!$AO$69:'TUSD'!$AO$127),IF($D$2&lt;&gt;"Não se aplica",SUMIF(TUSD!$D$69:'TUSD'!$D$127,$I$2,TUSD!$AO$69:'TUSD'!$AO$127),IF($C$2&lt;&gt;"Não se aplica",SUMIF(TUSD!$C$69:'TUSD'!$C$127,$I$2,TUSD!$AO$69:'TUSD'!$AO$127),IF($B$2&lt;&gt;"Não se aplica",SUMIF(TUSD!$B$69:'TUSD'!$B$127,$I$2,TUSD!$AO$69:'TUSD'!$AO$127),SUMIF(TUSD!$A$69:'TUSD'!$A$127,$I$2,TUSD!$AO$69:'TUSD'!$AO$127)))))))</f>
        <v>23109.098866189423</v>
      </c>
      <c r="I8" s="39">
        <f>IF($G$2&lt;&gt;"Não se aplica",SUMIF(TUSD!$G$69:'TUSD'!$G$127,$I$2,TUSD!$AP$69:'TUSD'!$AP$127),IF($F$2&lt;&gt;"Não se aplica",SUMIF(TUSD!$F$69:'TUSD'!$F$127,$I$2,TUSD!$AP$69:'TUSD'!$AP$127),IF($E$2&lt;&gt;"Não se aplica",SUMIF(TUSD!$E$69:'TUSD'!$E$127,$I$2,TUSD!$AP$69:'TUSD'!$AP$127),IF($D$2&lt;&gt;"Não se aplica",SUMIF(TUSD!$D$69:'TUSD'!$D$127,$I$2,TUSD!$AP$69:'TUSD'!$AP$127),IF($C$2&lt;&gt;"Não se aplica",SUMIF(TUSD!$C$69:'TUSD'!$C$127,$I$2,TUSD!$AP$69:'TUSD'!$AP$127),IF($B$2&lt;&gt;"Não se aplica",SUMIF(TUSD!$B$69:'TUSD'!$B$127,$I$2,TUSD!$AP$69:'TUSD'!$AP$127),SUMIF(TUSD!$A$69:'TUSD'!$A$127,$I$2,TUSD!$AP$69:'TUSD'!$AP$127)))))))</f>
        <v>0</v>
      </c>
      <c r="J8" s="39">
        <f>IF($G$2&lt;&gt;"Não se aplica",SUMIF(TUSD!$G$69:'TUSD'!$G$127,$I$2,TUSD!$AQ$69:'TUSD'!$AQ$127),IF($F$2&lt;&gt;"Não se aplica",SUMIF(TUSD!$F$69:'TUSD'!$F$127,$I$2,TUSD!$AQ$69:'TUSD'!$AQ$127),IF($E$2&lt;&gt;"Não se aplica",SUMIF(TUSD!$E$69:'TUSD'!$E$127,$I$2,TUSD!$AQ$69:'TUSD'!$AQ$127),IF($D$2&lt;&gt;"Não se aplica",SUMIF(TUSD!$D$69:'TUSD'!$D$127,$I$2,TUSD!$AQ$69:'TUSD'!$AQ$127),IF($C$2&lt;&gt;"Não se aplica",SUMIF(TUSD!$C$69:'TUSD'!$C$127,$I$2,TUSD!$AQ$69:'TUSD'!$AQ$127),IF($B$2&lt;&gt;"Não se aplica",SUMIF(TUSD!$B$69:'TUSD'!$B$127,$I$2,TUSD!$AQ$69:'TUSD'!$AQ$127),SUMIF(TUSD!$A$69:'TUSD'!$A$127,$I$2,TUSD!$AQ$69:'TUSD'!$AQ$127)))))))</f>
        <v>47248.215711121811</v>
      </c>
      <c r="K8" s="39">
        <f>IF($G$2&lt;&gt;"Não se aplica",SUMIF(TUSD!$G$69:'TUSD'!$G$127,$I$2,TUSD!$AR$69:'TUSD'!$AR$127),IF($F$2&lt;&gt;"Não se aplica",SUMIF(TUSD!$F$69:'TUSD'!$F$127,$I$2,TUSD!$AR$69:'TUSD'!$AR$127),IF($E$2&lt;&gt;"Não se aplica",SUMIF(TUSD!$E$69:'TUSD'!$E$127,$I$2,TUSD!$AR$69:'TUSD'!$AR$127),IF($D$2&lt;&gt;"Não se aplica",SUMIF(TUSD!$D$69:'TUSD'!$D$127,$I$2,TUSD!$AR$69:'TUSD'!$AR$127),IF($C$2&lt;&gt;"Não se aplica",SUMIF(TUSD!$C$69:'TUSD'!$C$127,$I$2,TUSD!$AR$69:'TUSD'!$AR$127),IF($B$2&lt;&gt;"Não se aplica",SUMIF(TUSD!$B$69:'TUSD'!$B$127,$I$2,TUSD!$AR$69:'TUSD'!$AR$127),SUMIF(TUSD!$A$69:'TUSD'!$A$127,$I$2,TUSD!$AR$69:'TUSD'!$AR$127)))))))</f>
        <v>25222.07463566056</v>
      </c>
      <c r="L8" s="39">
        <f>IF($G$2&lt;&gt;"Não se aplica",SUMIF(TUSD!$G$69:'TUSD'!$G$127,$I$2,TUSD!$AS$69:'TUSD'!$AS$127),IF($F$2&lt;&gt;"Não se aplica",SUMIF(TUSD!$F$69:'TUSD'!$F$127,$I$2,TUSD!$AS$69:'TUSD'!$AS$127),IF($E$2&lt;&gt;"Não se aplica",SUMIF(TUSD!$E$69:'TUSD'!$E$127,$I$2,TUSD!$AS$69:'TUSD'!$AS$127),IF($D$2&lt;&gt;"Não se aplica",SUMIF(TUSD!$D$69:'TUSD'!$D$127,$I$2,TUSD!$AS$69:'TUSD'!$AS$127),IF($C$2&lt;&gt;"Não se aplica",SUMIF(TUSD!$C$69:'TUSD'!$C$127,$I$2,TUSD!$AS$69:'TUSD'!$AS$127),IF($B$2&lt;&gt;"Não se aplica",SUMIF(TUSD!$B$69:'TUSD'!$B$127,$I$2,TUSD!$AS$69:'TUSD'!$AS$127),SUMIF(TUSD!$A$69:'TUSD'!$A$127,$I$2,TUSD!$AS$69:'TUSD'!$AS$127)))))))</f>
        <v>0</v>
      </c>
      <c r="M8" s="39">
        <f>IF($G$2&lt;&gt;"Não se aplica",SUMIF(TUSD!$G$69:'TUSD'!$G$127,$I$2,TUSD!$AT$69:'TUSD'!$AT$127),IF($F$2&lt;&gt;"Não se aplica",SUMIF(TUSD!$F$69:'TUSD'!$F$127,$I$2,TUSD!$AT$69:'TUSD'!$AT$127),IF($E$2&lt;&gt;"Não se aplica",SUMIF(TUSD!$E$69:'TUSD'!$E$127,$I$2,TUSD!$AT$69:'TUSD'!$AT$127),IF($D$2&lt;&gt;"Não se aplica",SUMIF(TUSD!$D$69:'TUSD'!$D$127,$I$2,TUSD!$AT$69:'TUSD'!$AT$127),IF($C$2&lt;&gt;"Não se aplica",SUMIF(TUSD!$C$69:'TUSD'!$C$127,$I$2,TUSD!$AT$69:'TUSD'!$AT$127),IF($B$2&lt;&gt;"Não se aplica",SUMIF(TUSD!$B$69:'TUSD'!$B$127,$I$2,TUSD!$AT$69:'TUSD'!$AT$127),SUMIF(TUSD!$A$69:'TUSD'!$A$127,$I$2,TUSD!$AT$69:'TUSD'!$AT$127)))))))</f>
        <v>0</v>
      </c>
      <c r="N8" s="39">
        <f>IF($G$2&lt;&gt;"Não se aplica",SUMIF(TUSD!$G$69:'TUSD'!$G$127,$I$2,TUSD!$AU$69:'TUSD'!$AU$127),IF($F$2&lt;&gt;"Não se aplica",SUMIF(TUSD!$F$69:'TUSD'!$F$127,$I$2,TUSD!$AU$69:'TUSD'!$AU$127),IF($E$2&lt;&gt;"Não se aplica",SUMIF(TUSD!$E$69:'TUSD'!$E$127,$I$2,TUSD!$AU$69:'TUSD'!$AU$127),IF($D$2&lt;&gt;"Não se aplica",SUMIF(TUSD!$D$69:'TUSD'!$D$127,$I$2,TUSD!$AU$69:'TUSD'!$AU$127),IF($C$2&lt;&gt;"Não se aplica",SUMIF(TUSD!$C$69:'TUSD'!$C$127,$I$2,TUSD!$AU$69:'TUSD'!$AU$127),IF($B$2&lt;&gt;"Não se aplica",SUMIF(TUSD!$B$69:'TUSD'!$B$127,$I$2,TUSD!$AU$69:'TUSD'!$AU$127),SUMIF(TUSD!$A$69:'TUSD'!$A$127,$I$2,TUSD!$AU$69:'TUSD'!$AU$127)))))))</f>
        <v>0</v>
      </c>
      <c r="O8" s="39">
        <f>IF($G$2&lt;&gt;"Não se aplica",SUMIF(TUSD!$G$69:'TUSD'!$G$127,$I$2,TUSD!$AV$69:'TUSD'!$AV$127),IF($F$2&lt;&gt;"Não se aplica",SUMIF(TUSD!$F$69:'TUSD'!$F$127,$I$2,TUSD!$AV$69:'TUSD'!$AV$127),IF($E$2&lt;&gt;"Não se aplica",SUMIF(TUSD!$E$69:'TUSD'!$E$127,$I$2,TUSD!$AV$69:'TUSD'!$AV$127),IF($D$2&lt;&gt;"Não se aplica",SUMIF(TUSD!$D$69:'TUSD'!$D$127,$I$2,TUSD!$AV$69:'TUSD'!$AV$127),IF($C$2&lt;&gt;"Não se aplica",SUMIF(TUSD!$C$69:'TUSD'!$C$127,$I$2,TUSD!$AV$69:'TUSD'!$AV$127),IF($B$2&lt;&gt;"Não se aplica",SUMIF(TUSD!$B$69:'TUSD'!$B$127,$I$2,TUSD!$AV$69:'TUSD'!$AV$127),SUMIF(TUSD!$A$69:'TUSD'!$A$127,$I$2,TUSD!$AV$69:'TUSD'!$AV$127)))))))</f>
        <v>0</v>
      </c>
      <c r="P8" s="39">
        <f>IF($G$2&lt;&gt;"Não se aplica",SUMIF(TUSD!$G$69:'TUSD'!$G$127,$I$2,TUSD!$AW$69:'TUSD'!$AW$127),IF($F$2&lt;&gt;"Não se aplica",SUMIF(TUSD!$F$69:'TUSD'!$F$127,$I$2,TUSD!$AW$69:'TUSD'!$AW$127),IF($E$2&lt;&gt;"Não se aplica",SUMIF(TUSD!$E$69:'TUSD'!$E$127,$I$2,TUSD!$AW$69:'TUSD'!$AW$127),IF($D$2&lt;&gt;"Não se aplica",SUMIF(TUSD!$D$69:'TUSD'!$D$127,$I$2,TUSD!$AW$69:'TUSD'!$AW$127),IF($C$2&lt;&gt;"Não se aplica",SUMIF(TUSD!$C$69:'TUSD'!$C$127,$I$2,TUSD!$AW$69:'TUSD'!$AW$127),IF($B$2&lt;&gt;"Não se aplica",SUMIF(TUSD!$B$69:'TUSD'!$B$127,$I$2,TUSD!$AW$69:'TUSD'!$AW$127),SUMIF(TUSD!$A$69:'TUSD'!$A$127,$I$2,TUSD!$AW$69:'TUSD'!$AW$127)))))))</f>
        <v>0</v>
      </c>
      <c r="Q8" s="39">
        <f>IF($G$2&lt;&gt;"Não se aplica",SUMIF(TUSD!$G$69:'TUSD'!$G$127,$I$2,TUSD!$AX$69:'TUSD'!$AX$127),IF($F$2&lt;&gt;"Não se aplica",SUMIF(TUSD!$F$69:'TUSD'!$F$127,$I$2,TUSD!$AX$69:'TUSD'!$AX$127),IF($E$2&lt;&gt;"Não se aplica",SUMIF(TUSD!$E$69:'TUSD'!$E$127,$I$2,TUSD!$AX$69:'TUSD'!$AX$127),IF($D$2&lt;&gt;"Não se aplica",SUMIF(TUSD!$D$69:'TUSD'!$D$127,$I$2,TUSD!$AX$69:'TUSD'!$AX$127),IF($C$2&lt;&gt;"Não se aplica",SUMIF(TUSD!$C$69:'TUSD'!$C$127,$I$2,TUSD!$AX$69:'TUSD'!$AX$127),IF($B$2&lt;&gt;"Não se aplica",SUMIF(TUSD!$B$69:'TUSD'!$B$127,$I$2,TUSD!$AX$69:'TUSD'!$AX$127),SUMIF(TUSD!$A$69:'TUSD'!$A$127,$I$2,TUSD!$AX$69:'TUSD'!$AX$127)))))))</f>
        <v>668324.80376639834</v>
      </c>
      <c r="R8" s="39">
        <f>IF($G$2&lt;&gt;"Não se aplica",SUMIF(TUSD!$G$69:'TUSD'!$G$127,$I$2,TUSD!$AY$69:'TUSD'!$AY$127),IF($F$2&lt;&gt;"Não se aplica",SUMIF(TUSD!$F$69:'TUSD'!$F$127,$I$2,TUSD!$AY$69:'TUSD'!$AY$127),IF($E$2&lt;&gt;"Não se aplica",SUMIF(TUSD!$E$69:'TUSD'!$E$127,$I$2,TUSD!$AY$69:'TUSD'!$AY$127),IF($D$2&lt;&gt;"Não se aplica",SUMIF(TUSD!$D$69:'TUSD'!$D$127,$I$2,TUSD!$AY$69:'TUSD'!$AY$127),IF($C$2&lt;&gt;"Não se aplica",SUMIF(TUSD!$C$69:'TUSD'!$C$127,$I$2,TUSD!$AY$69:'TUSD'!$AY$127),IF($B$2&lt;&gt;"Não se aplica",SUMIF(TUSD!$B$69:'TUSD'!$B$127,$I$2,TUSD!$AY$69:'TUSD'!$AY$127),SUMIF(TUSD!$A$69:'TUSD'!$A$127,$I$2,TUSD!$AY$69:'TUSD'!$AY$127)))))))</f>
        <v>-52446.760594044674</v>
      </c>
      <c r="S8" s="39">
        <f>IF($G$2&lt;&gt;"Não se aplica",SUMIF(TUSD!$G$69:'TUSD'!$G$127,$I$2,TUSD!$AZ$69:'TUSD'!$AZ$127),IF($F$2&lt;&gt;"Não se aplica",SUMIF(TUSD!$F$69:'TUSD'!$F$127,$I$2,TUSD!$AZ$69:'TUSD'!$AZ$127),IF($E$2&lt;&gt;"Não se aplica",SUMIF(TUSD!$E$69:'TUSD'!$E$127,$I$2,TUSD!$AZ$69:'TUSD'!$AZ$127),IF($D$2&lt;&gt;"Não se aplica",SUMIF(TUSD!$D$69:'TUSD'!$D$127,$I$2,TUSD!$AZ$69:'TUSD'!$AZ$127),IF($C$2&lt;&gt;"Não se aplica",SUMIF(TUSD!$C$69:'TUSD'!$C$127,$I$2,TUSD!$AZ$69:'TUSD'!$AZ$127),IF($B$2&lt;&gt;"Não se aplica",SUMIF(TUSD!$B$69:'TUSD'!$B$127,$I$2,TUSD!$AZ$69:'TUSD'!$AZ$127),SUMIF(TUSD!$A$69:'TUSD'!$A$127,$I$2,TUSD!$AZ$69:'TUSD'!$AZ$127)))))))</f>
        <v>0</v>
      </c>
      <c r="T8" s="39">
        <f>IF($G$2&lt;&gt;"Não se aplica",SUMIF(TUSD!$G$69:'TUSD'!$G$127,$I$2,TUSD!$BA$69:'TUSD'!$BA$127),IF($F$2&lt;&gt;"Não se aplica",SUMIF(TUSD!$F$69:'TUSD'!$F$127,$I$2,TUSD!$BA$69:'TUSD'!$BA$127),IF($E$2&lt;&gt;"Não se aplica",SUMIF(TUSD!$E$69:'TUSD'!$E$127,$I$2,TUSD!$BA$69:'TUSD'!$BA$127),IF($D$2&lt;&gt;"Não se aplica",SUMIF(TUSD!$D$69:'TUSD'!$D$127,$I$2,TUSD!$BA$69:'TUSD'!$BA$127),IF($C$2&lt;&gt;"Não se aplica",SUMIF(TUSD!$C$69:'TUSD'!$C$127,$I$2,TUSD!$BA$69:'TUSD'!$BA$127),IF($B$2&lt;&gt;"Não se aplica",SUMIF(TUSD!$B$69:'TUSD'!$B$127,$I$2,TUSD!$BA$69:'TUSD'!$BA$127),SUMIF(TUSD!$A$69:'TUSD'!$A$127,$I$2,TUSD!$BA$69:'TUSD'!$BA$127)))))))</f>
        <v>23289.545582689323</v>
      </c>
      <c r="U8" s="39">
        <f>IF($G$2&lt;&gt;"Não se aplica",SUMIF(TUSD!$G$69:'TUSD'!$G$127,$I$2,TUSD!$BB$69:'TUSD'!$BB$127),IF($F$2&lt;&gt;"Não se aplica",SUMIF(TUSD!$F$69:'TUSD'!$F$127,$I$2,TUSD!$BB$69:'TUSD'!$BB$127),IF($E$2&lt;&gt;"Não se aplica",SUMIF(TUSD!$E$69:'TUSD'!$E$127,$I$2,TUSD!$BB$69:'TUSD'!$BB$127),IF($D$2&lt;&gt;"Não se aplica",SUMIF(TUSD!$D$69:'TUSD'!$D$127,$I$2,TUSD!$BB$69:'TUSD'!$BB$127),IF($C$2&lt;&gt;"Não se aplica",SUMIF(TUSD!$C$69:'TUSD'!$C$127,$I$2,TUSD!$BB$69:'TUSD'!$BB$127),IF($B$2&lt;&gt;"Não se aplica",SUMIF(TUSD!$B$69:'TUSD'!$B$127,$I$2,TUSD!$BB$69:'TUSD'!$BB$127),SUMIF(TUSD!$A$69:'TUSD'!$A$127,$I$2,TUSD!$BB$69:'TUSD'!$BB$127)))))))</f>
        <v>610.11169081313301</v>
      </c>
      <c r="V8" s="39">
        <f>IF($G$2&lt;&gt;"Não se aplica",SUMIF(TUSD!$G$69:'TUSD'!$G$127,$I$2,TUSD!$BC$69:'TUSD'!$BC$127),IF($F$2&lt;&gt;"Não se aplica",SUMIF(TUSD!$F$69:'TUSD'!$F$127,$I$2,TUSD!$BC$69:'TUSD'!$BC$127),IF($E$2&lt;&gt;"Não se aplica",SUMIF(TUSD!$E$69:'TUSD'!$E$127,$I$2,TUSD!$BC$69:'TUSD'!$BC$127),IF($D$2&lt;&gt;"Não se aplica",SUMIF(TUSD!$D$69:'TUSD'!$D$127,$I$2,TUSD!$BC$69:'TUSD'!$BC$127),IF($C$2&lt;&gt;"Não se aplica",SUMIF(TUSD!$C$69:'TUSD'!$C$127,$I$2,TUSD!$BC$69:'TUSD'!$BC$127),IF($B$2&lt;&gt;"Não se aplica",SUMIF(TUSD!$B$69:'TUSD'!$B$127,$I$2,TUSD!$BC$69:'TUSD'!$BC$127),SUMIF(TUSD!$A$69:'TUSD'!$A$127,$I$2,TUSD!$BC$69:'TUSD'!$BC$127)))))))</f>
        <v>1888.4954215675489</v>
      </c>
      <c r="W8" s="39">
        <f>IF($G$2&lt;&gt;"Não se aplica",SUMIF(TUSD!$G$69:'TUSD'!$G$127,$I$2,TUSD!$BD$69:'TUSD'!$BD$127),IF($F$2&lt;&gt;"Não se aplica",SUMIF(TUSD!$F$69:'TUSD'!$F$127,$I$2,TUSD!$BD$69:'TUSD'!$BD$127),IF($E$2&lt;&gt;"Não se aplica",SUMIF(TUSD!$E$69:'TUSD'!$E$127,$I$2,TUSD!$BD$69:'TUSD'!$BD$127),IF($D$2&lt;&gt;"Não se aplica",SUMIF(TUSD!$D$69:'TUSD'!$D$127,$I$2,TUSD!$BD$69:'TUSD'!$BD$127),IF($C$2&lt;&gt;"Não se aplica",SUMIF(TUSD!$C$69:'TUSD'!$C$127,$I$2,TUSD!$BD$69:'TUSD'!$BD$127),IF($B$2&lt;&gt;"Não se aplica",SUMIF(TUSD!$B$69:'TUSD'!$B$127,$I$2,TUSD!$BD$69:'TUSD'!$BD$127),SUMIF(TUSD!$A$69:'TUSD'!$A$127,$I$2,TUSD!$BD$69:'TUSD'!$BD$127)))))))</f>
        <v>655.8648201105043</v>
      </c>
      <c r="X8" s="39">
        <f t="shared" si="0"/>
        <v>860766.8205750233</v>
      </c>
      <c r="AD8" s="14" t="s">
        <v>95</v>
      </c>
      <c r="AG8" s="14" t="s">
        <v>91</v>
      </c>
    </row>
    <row r="9" spans="1:33" x14ac:dyDescent="0.2">
      <c r="A9" s="14" t="s">
        <v>1373</v>
      </c>
      <c r="B9" s="39">
        <f>IF($G$2&lt;&gt;"Não se aplica",SUMIF(TUSD!$G$69:'TUSD'!$G$127,$I$2,TUSD!$L$69:'TUSD'!$L$127),IF($F$2&lt;&gt;"Não se aplica",SUMIF(TUSD!$F$69:'TUSD'!$F$127,$I$2,TUSD!$L$69:'TUSD'!$L$127),IF($E$2&lt;&gt;"Não se aplica",SUMIF(TUSD!$E$69:'TUSD'!$E$127,$I$2,TUSD!$L$69:'TUSD'!$L$127),IF($D$2&lt;&gt;"Não se aplica",SUMIF(TUSD!$D$69:'TUSD'!$D$127,$I$2,TUSD!$L$69:'TUSD'!$L$127),IF($C$2&lt;&gt;"Não se aplica",SUMIF(TUSD!$C$69:'TUSD'!$C$127,$I$2,TUSD!$L$69:'TUSD'!$L$127),IF($B$2&lt;&gt;"Não se aplica",SUMIF(TUSD!$B$69:'TUSD'!$B$127,$I$2,TUSD!$L$69:'TUSD'!$L$127),SUMIF(TUSD!$A$69:'TUSD'!$A$127,$I$2,TUSD!$L$69:'TUSD'!$L$127)))))))</f>
        <v>21513.622140516418</v>
      </c>
      <c r="C9" s="39">
        <f>IF($G$2&lt;&gt;"Não se aplica",SUMIF(TUSD!$G$69:'TUSD'!$G$127,$I$2,TUSD!$M$69:'TUSD'!$M$127),IF($F$2&lt;&gt;"Não se aplica",SUMIF(TUSD!$F$69:'TUSD'!$F$127,$I$2,TUSD!$M$69:'TUSD'!$M$127),IF($E$2&lt;&gt;"Não se aplica",SUMIF(TUSD!$E$69:'TUSD'!$E$127,$I$2,TUSD!$M$69:'TUSD'!$M$127),IF($D$2&lt;&gt;"Não se aplica",SUMIF(TUSD!$D$69:'TUSD'!$D$127,$I$2,TUSD!$M$69:'TUSD'!$M$127),IF($C$2&lt;&gt;"Não se aplica",SUMIF(TUSD!$C$69:'TUSD'!$C$127,$I$2,TUSD!$M$69:'TUSD'!$M$127),IF($B$2&lt;&gt;"Não se aplica",SUMIF(TUSD!$B$69:'TUSD'!$B$127,$I$2,TUSD!$M$69:'TUSD'!$M$127),SUMIF(TUSD!$A$69:'TUSD'!$A$127,$I$2,TUSD!$M$69:'TUSD'!$M$127)))))))</f>
        <v>3426.3031953514624</v>
      </c>
      <c r="D9" s="39">
        <f ca="1">IF($G$2&lt;&gt;"Não se aplica",SUMIF(TUSD!$G$69:'TUSD'!$G$127,$I$2,TUSD!$N$69:'TUSD'!$N$127),IF($F$2&lt;&gt;"Não se aplica",SUMIF(TUSD!$F$69:'TUSD'!$F$127,$I$2,TUSD!$N$69:'TUSD'!$N$127),IF($E$2&lt;&gt;"Não se aplica",SUMIF(TUSD!$E$69:'TUSD'!$E$127,$I$2,TUSD!$N$69:'TUSD'!$N$127),IF($D$2&lt;&gt;"Não se aplica",SUMIF(TUSD!$D$69:'TUSD'!$D$127,$I$2,TUSD!$N$69:'TUSD'!$N$127),IF($C$2&lt;&gt;"Não se aplica",SUMIF(TUSD!$C$69:'TUSD'!$C$127,$I$2,TUSD!$N$69:'TUSD'!$N$127),IF($B$2&lt;&gt;"Não se aplica",SUMIF(TUSD!$B$69:'TUSD'!$B$127,$I$2,TUSD!$N$69:'TUSD'!$N$127),SUMIF(TUSD!$A$69:'TUSD'!$A$127,$I$2,TUSD!$N$69:'TUSD'!$N$127)))))))</f>
        <v>8019.4350477537992</v>
      </c>
      <c r="E9" s="39">
        <f>IF($G$2&lt;&gt;"Não se aplica",SUMIF(TUSD!$G$69:'TUSD'!$G$127,$I$2,TUSD!$O$69:'TUSD'!$O$127),IF($F$2&lt;&gt;"Não se aplica",SUMIF(TUSD!$F$69:'TUSD'!$F$127,$I$2,TUSD!$O$69:'TUSD'!$O$127),IF($E$2&lt;&gt;"Não se aplica",SUMIF(TUSD!$E$69:'TUSD'!$E$127,$I$2,TUSD!$O$69:'TUSD'!$O$127),IF($D$2&lt;&gt;"Não se aplica",SUMIF(TUSD!$D$69:'TUSD'!$D$127,$I$2,TUSD!$O$69:'TUSD'!$O$127),IF($C$2&lt;&gt;"Não se aplica",SUMIF(TUSD!$C$69:'TUSD'!$C$127,$I$2,TUSD!$O$69:'TUSD'!$O$127),IF($B$2&lt;&gt;"Não se aplica",SUMIF(TUSD!$B$69:'TUSD'!$B$127,$I$2,TUSD!$O$69:'TUSD'!$O$127),SUMIF(TUSD!$A$69:'TUSD'!$A$127,$I$2,TUSD!$O$69:'TUSD'!$O$127)))))))</f>
        <v>0</v>
      </c>
      <c r="F9" s="39">
        <f>IF($G$2&lt;&gt;"Não se aplica",SUMIF(TUSD!$G$69:'TUSD'!$G$127,$I$2,TUSD!$P$69:'TUSD'!$P$127),IF($F$2&lt;&gt;"Não se aplica",SUMIF(TUSD!$F$69:'TUSD'!$F$127,$I$2,TUSD!$P$69:'TUSD'!$P$127),IF($E$2&lt;&gt;"Não se aplica",SUMIF(TUSD!$E$69:'TUSD'!$E$127,$I$2,TUSD!$P$69:'TUSD'!$P$127),IF($D$2&lt;&gt;"Não se aplica",SUMIF(TUSD!$D$69:'TUSD'!$D$127,$I$2,TUSD!$P$69:'TUSD'!$P$127),IF($C$2&lt;&gt;"Não se aplica",SUMIF(TUSD!$C$69:'TUSD'!$C$127,$I$2,TUSD!$P$69:'TUSD'!$P$127),IF($B$2&lt;&gt;"Não se aplica",SUMIF(TUSD!$B$69:'TUSD'!$B$127,$I$2,TUSD!$P$69:'TUSD'!$P$127),SUMIF(TUSD!$A$69:'TUSD'!$A$127,$I$2,TUSD!$P$69:'TUSD'!$P$127)))))))</f>
        <v>0</v>
      </c>
      <c r="G9" s="39">
        <f>IF($G$2&lt;&gt;"Não se aplica",SUMIF(TUSD!$G$69:'TUSD'!$G$127,$I$2,TUSD!$Q$69:'TUSD'!$Q$127),IF($F$2&lt;&gt;"Não se aplica",SUMIF(TUSD!$F$69:'TUSD'!$F$127,$I$2,TUSD!$Q$69:'TUSD'!$Q$127),IF($E$2&lt;&gt;"Não se aplica",SUMIF(TUSD!$E$69:'TUSD'!$E$127,$I$2,TUSD!$Q$69:'TUSD'!$Q$127),IF($D$2&lt;&gt;"Não se aplica",SUMIF(TUSD!$D$69:'TUSD'!$D$127,$I$2,TUSD!$Q$69:'TUSD'!$Q$127),IF($C$2&lt;&gt;"Não se aplica",SUMIF(TUSD!$C$69:'TUSD'!$C$127,$I$2,TUSD!$Q$69:'TUSD'!$Q$127),IF($B$2&lt;&gt;"Não se aplica",SUMIF(TUSD!$B$69:'TUSD'!$B$127,$I$2,TUSD!$Q$69:'TUSD'!$Q$127),SUMIF(TUSD!$A$69:'TUSD'!$A$127,$I$2,TUSD!$Q$69:'TUSD'!$Q$127)))))))</f>
        <v>188971.6544892994</v>
      </c>
      <c r="H9" s="39">
        <f>IF($G$2&lt;&gt;"Não se aplica",SUMIF(TUSD!$G$69:'TUSD'!$G$127,$I$2,TUSD!$R$69:'TUSD'!$R$127),IF($F$2&lt;&gt;"Não se aplica",SUMIF(TUSD!$F$69:'TUSD'!$F$127,$I$2,TUSD!$R$69:'TUSD'!$R$127),IF($E$2&lt;&gt;"Não se aplica",SUMIF(TUSD!$E$69:'TUSD'!$E$127,$I$2,TUSD!$R$69:'TUSD'!$R$127),IF($D$2&lt;&gt;"Não se aplica",SUMIF(TUSD!$D$69:'TUSD'!$D$127,$I$2,TUSD!$R$69:'TUSD'!$R$127),IF($C$2&lt;&gt;"Não se aplica",SUMIF(TUSD!$C$69:'TUSD'!$C$127,$I$2,TUSD!$R$69:'TUSD'!$R$127),IF($B$2&lt;&gt;"Não se aplica",SUMIF(TUSD!$B$69:'TUSD'!$B$127,$I$2,TUSD!$R$69:'TUSD'!$R$127),SUMIF(TUSD!$A$69:'TUSD'!$A$127,$I$2,TUSD!$R$69:'TUSD'!$R$127)))))))</f>
        <v>37087.011776628337</v>
      </c>
      <c r="I9" s="39">
        <f>IF($G$2&lt;&gt;"Não se aplica",SUMIF(TUSD!$G$69:'TUSD'!$G$127,$I$2,TUSD!$S$69:'TUSD'!$S$127),IF($F$2&lt;&gt;"Não se aplica",SUMIF(TUSD!$F$69:'TUSD'!$F$127,$I$2,TUSD!$S$69:'TUSD'!$S$127),IF($E$2&lt;&gt;"Não se aplica",SUMIF(TUSD!$E$69:'TUSD'!$E$127,$I$2,TUSD!$S$69:'TUSD'!$S$127),IF($D$2&lt;&gt;"Não se aplica",SUMIF(TUSD!$D$69:'TUSD'!$D$127,$I$2,TUSD!$S$69:'TUSD'!$S$127),IF($C$2&lt;&gt;"Não se aplica",SUMIF(TUSD!$C$69:'TUSD'!$C$127,$I$2,TUSD!$S$69:'TUSD'!$S$127),IF($B$2&lt;&gt;"Não se aplica",SUMIF(TUSD!$B$69:'TUSD'!$B$127,$I$2,TUSD!$S$69:'TUSD'!$S$127),SUMIF(TUSD!$A$69:'TUSD'!$A$127,$I$2,TUSD!$S$69:'TUSD'!$S$127)))))))</f>
        <v>0</v>
      </c>
      <c r="J9" s="39">
        <f>IF($G$2&lt;&gt;"Não se aplica",SUMIF(TUSD!$G$69:'TUSD'!$G$127,$I$2,TUSD!$T$69:'TUSD'!$T$127),IF($F$2&lt;&gt;"Não se aplica",SUMIF(TUSD!$F$69:'TUSD'!$F$127,$I$2,TUSD!$T$69:'TUSD'!$T$127),IF($E$2&lt;&gt;"Não se aplica",SUMIF(TUSD!$E$69:'TUSD'!$E$127,$I$2,TUSD!$T$69:'TUSD'!$T$127),IF($D$2&lt;&gt;"Não se aplica",SUMIF(TUSD!$D$69:'TUSD'!$D$127,$I$2,TUSD!$T$69:'TUSD'!$T$127),IF($C$2&lt;&gt;"Não se aplica",SUMIF(TUSD!$C$69:'TUSD'!$C$127,$I$2,TUSD!$T$69:'TUSD'!$T$127),IF($B$2&lt;&gt;"Não se aplica",SUMIF(TUSD!$B$69:'TUSD'!$B$127,$I$2,TUSD!$T$69:'TUSD'!$T$127),SUMIF(TUSD!$A$69:'TUSD'!$A$127,$I$2,TUSD!$T$69:'TUSD'!$T$127)))))))</f>
        <v>60088.31397100685</v>
      </c>
      <c r="K9" s="39">
        <f>IF($G$2&lt;&gt;"Não se aplica",SUMIF(TUSD!$G$69:'TUSD'!$G$127,$I$2,TUSD!$U$69:'TUSD'!$U$127),IF($F$2&lt;&gt;"Não se aplica",SUMIF(TUSD!$F$69:'TUSD'!$F$127,$I$2,TUSD!$U$69:'TUSD'!$U$127),IF($E$2&lt;&gt;"Não se aplica",SUMIF(TUSD!$E$69:'TUSD'!$E$127,$I$2,TUSD!$U$69:'TUSD'!$U$127),IF($D$2&lt;&gt;"Não se aplica",SUMIF(TUSD!$D$69:'TUSD'!$D$127,$I$2,TUSD!$U$69:'TUSD'!$U$127),IF($C$2&lt;&gt;"Não se aplica",SUMIF(TUSD!$C$69:'TUSD'!$C$127,$I$2,TUSD!$U$69:'TUSD'!$U$127),IF($B$2&lt;&gt;"Não se aplica",SUMIF(TUSD!$B$69:'TUSD'!$B$127,$I$2,TUSD!$U$69:'TUSD'!$U$127),SUMIF(TUSD!$A$69:'TUSD'!$A$127,$I$2,TUSD!$U$69:'TUSD'!$U$127)))))))</f>
        <v>28274.004296832871</v>
      </c>
      <c r="L9" s="39">
        <f>IF($G$2&lt;&gt;"Não se aplica",SUMIF(TUSD!$G$69:'TUSD'!$G$127,$I$2,TUSD!$V$69:'TUSD'!$V$127),IF($F$2&lt;&gt;"Não se aplica",SUMIF(TUSD!$F$69:'TUSD'!$F$127,$I$2,TUSD!$V$69:'TUSD'!$V$127),IF($E$2&lt;&gt;"Não se aplica",SUMIF(TUSD!$E$69:'TUSD'!$E$127,$I$2,TUSD!$V$69:'TUSD'!$V$127),IF($D$2&lt;&gt;"Não se aplica",SUMIF(TUSD!$D$69:'TUSD'!$D$127,$I$2,TUSD!$V$69:'TUSD'!$V$127),IF($C$2&lt;&gt;"Não se aplica",SUMIF(TUSD!$C$69:'TUSD'!$C$127,$I$2,TUSD!$V$69:'TUSD'!$V$127),IF($B$2&lt;&gt;"Não se aplica",SUMIF(TUSD!$B$69:'TUSD'!$B$127,$I$2,TUSD!$V$69:'TUSD'!$V$127),SUMIF(TUSD!$A$69:'TUSD'!$A$127,$I$2,TUSD!$V$69:'TUSD'!$V$127)))))))</f>
        <v>0</v>
      </c>
      <c r="M9" s="39">
        <f>IF($G$2&lt;&gt;"Não se aplica",SUMIF(TUSD!$G$69:'TUSD'!$G$127,$I$2,TUSD!$W$69:'TUSD'!$W$127),IF($F$2&lt;&gt;"Não se aplica",SUMIF(TUSD!$F$69:'TUSD'!$F$127,$I$2,TUSD!$W$69:'TUSD'!$W$127),IF($E$2&lt;&gt;"Não se aplica",SUMIF(TUSD!$E$69:'TUSD'!$E$127,$I$2,TUSD!$W$69:'TUSD'!$W$127),IF($D$2&lt;&gt;"Não se aplica",SUMIF(TUSD!$D$69:'TUSD'!$D$127,$I$2,TUSD!$W$69:'TUSD'!$W$127),IF($C$2&lt;&gt;"Não se aplica",SUMIF(TUSD!$C$69:'TUSD'!$C$127,$I$2,TUSD!$W$69:'TUSD'!$W$127),IF($B$2&lt;&gt;"Não se aplica",SUMIF(TUSD!$B$69:'TUSD'!$B$127,$I$2,TUSD!$W$69:'TUSD'!$W$127),SUMIF(TUSD!$A$69:'TUSD'!$A$127,$I$2,TUSD!$W$69:'TUSD'!$W$127)))))))</f>
        <v>0</v>
      </c>
      <c r="N9" s="39">
        <f>IF($G$2&lt;&gt;"Não se aplica",SUMIF(TUSD!$G$69:'TUSD'!$G$127,$I$2,TUSD!$X$69:'TUSD'!$X$127),IF($F$2&lt;&gt;"Não se aplica",SUMIF(TUSD!$F$69:'TUSD'!$F$127,$I$2,TUSD!$X$69:'TUSD'!$X$127),IF($E$2&lt;&gt;"Não se aplica",SUMIF(TUSD!$E$69:'TUSD'!$E$127,$I$2,TUSD!$X$69:'TUSD'!$X$127),IF($D$2&lt;&gt;"Não se aplica",SUMIF(TUSD!$D$69:'TUSD'!$D$127,$I$2,TUSD!$X$69:'TUSD'!$X$127),IF($C$2&lt;&gt;"Não se aplica",SUMIF(TUSD!$C$69:'TUSD'!$C$127,$I$2,TUSD!$X$69:'TUSD'!$X$127),IF($B$2&lt;&gt;"Não se aplica",SUMIF(TUSD!$B$69:'TUSD'!$B$127,$I$2,TUSD!$X$69:'TUSD'!$X$127),SUMIF(TUSD!$A$69:'TUSD'!$A$127,$I$2,TUSD!$X$69:'TUSD'!$X$127)))))))</f>
        <v>0</v>
      </c>
      <c r="O9" s="39">
        <f>IF($G$2&lt;&gt;"Não se aplica",SUMIF(TUSD!$G$69:'TUSD'!$G$127,$I$2,TUSD!$Y$69:'TUSD'!$Y$127),IF($F$2&lt;&gt;"Não se aplica",SUMIF(TUSD!$F$69:'TUSD'!$F$127,$I$2,TUSD!$Y$69:'TUSD'!$Y$127),IF($E$2&lt;&gt;"Não se aplica",SUMIF(TUSD!$E$69:'TUSD'!$E$127,$I$2,TUSD!$Y$69:'TUSD'!$Y$127),IF($D$2&lt;&gt;"Não se aplica",SUMIF(TUSD!$D$69:'TUSD'!$D$127,$I$2,TUSD!$Y$69:'TUSD'!$Y$127),IF($C$2&lt;&gt;"Não se aplica",SUMIF(TUSD!$C$69:'TUSD'!$C$127,$I$2,TUSD!$Y$69:'TUSD'!$Y$127),IF($B$2&lt;&gt;"Não se aplica",SUMIF(TUSD!$B$69:'TUSD'!$B$127,$I$2,TUSD!$Y$69:'TUSD'!$Y$127),SUMIF(TUSD!$A$69:'TUSD'!$A$127,$I$2,TUSD!$Y$69:'TUSD'!$Y$127)))))))</f>
        <v>0</v>
      </c>
      <c r="P9" s="39">
        <f>IF($G$2&lt;&gt;"Não se aplica",SUMIF(TUSD!$G$69:'TUSD'!$G$127,$I$2,TUSD!$Z$69:'TUSD'!$Z$127),IF($F$2&lt;&gt;"Não se aplica",SUMIF(TUSD!$F$69:'TUSD'!$F$127,$I$2,TUSD!$Z$69:'TUSD'!$Z$127),IF($E$2&lt;&gt;"Não se aplica",SUMIF(TUSD!$E$69:'TUSD'!$E$127,$I$2,TUSD!$Z$69:'TUSD'!$Z$127),IF($D$2&lt;&gt;"Não se aplica",SUMIF(TUSD!$D$69:'TUSD'!$D$127,$I$2,TUSD!$Z$69:'TUSD'!$Z$127),IF($C$2&lt;&gt;"Não se aplica",SUMIF(TUSD!$C$69:'TUSD'!$C$127,$I$2,TUSD!$Z$69:'TUSD'!$Z$127),IF($B$2&lt;&gt;"Não se aplica",SUMIF(TUSD!$B$69:'TUSD'!$B$127,$I$2,TUSD!$Z$69:'TUSD'!$Z$127),SUMIF(TUSD!$A$69:'TUSD'!$A$127,$I$2,TUSD!$Z$69:'TUSD'!$Z$127)))))))</f>
        <v>0</v>
      </c>
      <c r="Q9" s="39">
        <f>IF($G$2&lt;&gt;"Não se aplica",SUMIF(TUSD!$G$69:'TUSD'!$G$127,$I$2,TUSD!$AA$69:'TUSD'!$AA$127),IF($F$2&lt;&gt;"Não se aplica",SUMIF(TUSD!$F$69:'TUSD'!$F$127,$I$2,TUSD!$AA$69:'TUSD'!$AA$127),IF($E$2&lt;&gt;"Não se aplica",SUMIF(TUSD!$E$69:'TUSD'!$E$127,$I$2,TUSD!$AA$69:'TUSD'!$AA$127),IF($D$2&lt;&gt;"Não se aplica",SUMIF(TUSD!$D$69:'TUSD'!$D$127,$I$2,TUSD!$AA$69:'TUSD'!$AA$127),IF($C$2&lt;&gt;"Não se aplica",SUMIF(TUSD!$C$69:'TUSD'!$C$127,$I$2,TUSD!$AA$69:'TUSD'!$AA$127),IF($B$2&lt;&gt;"Não se aplica",SUMIF(TUSD!$B$69:'TUSD'!$B$127,$I$2,TUSD!$AA$69:'TUSD'!$AA$127),SUMIF(TUSD!$A$69:'TUSD'!$A$127,$I$2,TUSD!$AA$69:'TUSD'!$AA$127)))))))</f>
        <v>712473.55641962925</v>
      </c>
      <c r="R9" s="39">
        <f ca="1">IF($G$2&lt;&gt;"Não se aplica",SUMIF(TUSD!$G$69:'TUSD'!$G$127,$I$2,TUSD!$AB$69:'TUSD'!$AB$127),IF($F$2&lt;&gt;"Não se aplica",SUMIF(TUSD!$F$69:'TUSD'!$F$127,$I$2,TUSD!$AB$69:'TUSD'!$AB$127),IF($E$2&lt;&gt;"Não se aplica",SUMIF(TUSD!$E$69:'TUSD'!$E$127,$I$2,TUSD!$AB$69:'TUSD'!$AB$127),IF($D$2&lt;&gt;"Não se aplica",SUMIF(TUSD!$D$69:'TUSD'!$D$127,$I$2,TUSD!$AB$69:'TUSD'!$AB$127),IF($C$2&lt;&gt;"Não se aplica",SUMIF(TUSD!$C$69:'TUSD'!$C$127,$I$2,TUSD!$AB$69:'TUSD'!$AB$127),IF($B$2&lt;&gt;"Não se aplica",SUMIF(TUSD!$B$69:'TUSD'!$B$127,$I$2,TUSD!$AB$69:'TUSD'!$AB$127),SUMIF(TUSD!$A$69:'TUSD'!$A$127,$I$2,TUSD!$AB$69:'TUSD'!$AB$127)))))))</f>
        <v>-44001.427968092394</v>
      </c>
      <c r="S9" s="39">
        <f ca="1">IF($G$2&lt;&gt;"Não se aplica",SUMIF(TUSD!$G$69:'TUSD'!$G$127,$I$2,TUSD!$AC$69:'TUSD'!$AC$127),IF($F$2&lt;&gt;"Não se aplica",SUMIF(TUSD!$F$69:'TUSD'!$F$127,$I$2,TUSD!$AC$69:'TUSD'!$AC$127),IF($E$2&lt;&gt;"Não se aplica",SUMIF(TUSD!$E$69:'TUSD'!$E$127,$I$2,TUSD!$AC$69:'TUSD'!$AC$127),IF($D$2&lt;&gt;"Não se aplica",SUMIF(TUSD!$D$69:'TUSD'!$D$127,$I$2,TUSD!$AC$69:'TUSD'!$AC$127),IF($C$2&lt;&gt;"Não se aplica",SUMIF(TUSD!$C$69:'TUSD'!$C$127,$I$2,TUSD!$AC$69:'TUSD'!$AC$127),IF($B$2&lt;&gt;"Não se aplica",SUMIF(TUSD!$B$69:'TUSD'!$B$127,$I$2,TUSD!$AC$69:'TUSD'!$AC$127),SUMIF(TUSD!$A$69:'TUSD'!$A$127,$I$2,TUSD!$AC$69:'TUSD'!$AC$127)))))))</f>
        <v>0</v>
      </c>
      <c r="T9" s="39">
        <f>IF($G$2&lt;&gt;"Não se aplica",SUMIF(TUSD!$G$69:'TUSD'!$G$127,$I$2,TUSD!$AD$69:'TUSD'!$AD$127),IF($F$2&lt;&gt;"Não se aplica",SUMIF(TUSD!$F$69:'TUSD'!$F$127,$I$2,TUSD!$AD$69:'TUSD'!$AD$127),IF($E$2&lt;&gt;"Não se aplica",SUMIF(TUSD!$E$69:'TUSD'!$E$127,$I$2,TUSD!$AD$69:'TUSD'!$AD$127),IF($D$2&lt;&gt;"Não se aplica",SUMIF(TUSD!$D$69:'TUSD'!$D$127,$I$2,TUSD!$AD$69:'TUSD'!$AD$127),IF($C$2&lt;&gt;"Não se aplica",SUMIF(TUSD!$C$69:'TUSD'!$C$127,$I$2,TUSD!$AD$69:'TUSD'!$AD$127),IF($B$2&lt;&gt;"Não se aplica",SUMIF(TUSD!$B$69:'TUSD'!$B$127,$I$2,TUSD!$AD$69:'TUSD'!$AD$127),SUMIF(TUSD!$A$69:'TUSD'!$A$127,$I$2,TUSD!$AD$69:'TUSD'!$AD$127)))))))</f>
        <v>21553.721601693363</v>
      </c>
      <c r="U9" s="39">
        <f>IF($G$2&lt;&gt;"Não se aplica",SUMIF(TUSD!$G$69:'TUSD'!$G$127,$I$2,TUSD!$AE$69:'TUSD'!$AE$127),IF($F$2&lt;&gt;"Não se aplica",SUMIF(TUSD!$F$69:'TUSD'!$F$127,$I$2,TUSD!$AE$69:'TUSD'!$AE$127),IF($E$2&lt;&gt;"Não se aplica",SUMIF(TUSD!$E$69:'TUSD'!$E$127,$I$2,TUSD!$AE$69:'TUSD'!$AE$127),IF($D$2&lt;&gt;"Não se aplica",SUMIF(TUSD!$D$69:'TUSD'!$D$127,$I$2,TUSD!$AE$69:'TUSD'!$AE$127),IF($C$2&lt;&gt;"Não se aplica",SUMIF(TUSD!$C$69:'TUSD'!$C$127,$I$2,TUSD!$AE$69:'TUSD'!$AE$127),IF($B$2&lt;&gt;"Não se aplica",SUMIF(TUSD!$B$69:'TUSD'!$B$127,$I$2,TUSD!$AE$69:'TUSD'!$AE$127),SUMIF(TUSD!$A$69:'TUSD'!$A$127,$I$2,TUSD!$AE$69:'TUSD'!$AE$127)))))))</f>
        <v>626.86012961299252</v>
      </c>
      <c r="V9" s="39">
        <f ca="1">IF($G$2&lt;&gt;"Não se aplica",SUMIF(TUSD!$G$69:'TUSD'!$G$127,$I$2,TUSD!$AF$69:'TUSD'!$AF$127),IF($F$2&lt;&gt;"Não se aplica",SUMIF(TUSD!$F$69:'TUSD'!$F$127,$I$2,TUSD!$AF$69:'TUSD'!$AF$127),IF($E$2&lt;&gt;"Não se aplica",SUMIF(TUSD!$E$69:'TUSD'!$E$127,$I$2,TUSD!$AF$69:'TUSD'!$AF$127),IF($D$2&lt;&gt;"Não se aplica",SUMIF(TUSD!$D$69:'TUSD'!$D$127,$I$2,TUSD!$AF$69:'TUSD'!$AF$127),IF($C$2&lt;&gt;"Não se aplica",SUMIF(TUSD!$C$69:'TUSD'!$C$127,$I$2,TUSD!$AF$69:'TUSD'!$AF$127),IF($B$2&lt;&gt;"Não se aplica",SUMIF(TUSD!$B$69:'TUSD'!$B$127,$I$2,TUSD!$AF$69:'TUSD'!$AF$127),SUMIF(TUSD!$A$69:'TUSD'!$A$127,$I$2,TUSD!$AF$69:'TUSD'!$AF$127)))))))</f>
        <v>1918.7622057598019</v>
      </c>
      <c r="W9" s="39">
        <f ca="1">IF($G$2&lt;&gt;"Não se aplica",SUMIF(TUSD!$G$69:'TUSD'!$G$127,$I$2,TUSD!$AG$69:'TUSD'!$AG$127),IF($F$2&lt;&gt;"Não se aplica",SUMIF(TUSD!$F$69:'TUSD'!$F$127,$I$2,TUSD!$AG$69:'TUSD'!$AG$127),IF($E$2&lt;&gt;"Não se aplica",SUMIF(TUSD!$E$69:'TUSD'!$E$127,$I$2,TUSD!$AG$69:'TUSD'!$AG$127),IF($D$2&lt;&gt;"Não se aplica",SUMIF(TUSD!$D$69:'TUSD'!$D$127,$I$2,TUSD!$AG$69:'TUSD'!$AG$127),IF($C$2&lt;&gt;"Não se aplica",SUMIF(TUSD!$C$69:'TUSD'!$C$127,$I$2,TUSD!$AG$69:'TUSD'!$AG$127),IF($B$2&lt;&gt;"Não se aplica",SUMIF(TUSD!$B$69:'TUSD'!$B$127,$I$2,TUSD!$AG$69:'TUSD'!$AG$127),SUMIF(TUSD!$A$69:'TUSD'!$A$127,$I$2,TUSD!$AG$69:'TUSD'!$AG$127)))))))</f>
        <v>446.276860837789</v>
      </c>
      <c r="X9" s="39">
        <f t="shared" ca="1" si="0"/>
        <v>1040398.0941668299</v>
      </c>
      <c r="AD9" s="14" t="s">
        <v>49</v>
      </c>
    </row>
    <row r="10" spans="1:33" x14ac:dyDescent="0.2">
      <c r="A10" s="14" t="s">
        <v>1370</v>
      </c>
      <c r="B10" s="39">
        <f>SUMIF(TUSD!$A$69:'TUSD'!$A$127,$A$2,TUSD!$AI$69:'TUSD'!$AI$127)</f>
        <v>20352.994964617861</v>
      </c>
      <c r="C10" s="39">
        <f>SUMIF(TUSD!$A$69:'TUSD'!$A$127,$A$2,TUSD!$AJ$69:'TUSD'!$AJ$127)</f>
        <v>3222.6056018931263</v>
      </c>
      <c r="D10" s="39">
        <f>SUMIF(TUSD!$A$69:'TUSD'!$A$127,$A$2,TUSD!$AK$69:'TUSD'!$AK$127)</f>
        <v>7243.0126698340573</v>
      </c>
      <c r="E10" s="39">
        <f>SUMIF(TUSD!$A$69:'TUSD'!$A$127,$A$2,TUSD!$AL$69:'TUSD'!$AL$127)</f>
        <v>0</v>
      </c>
      <c r="F10" s="39">
        <f>SUMIF(TUSD!$A$69:'TUSD'!$A$127,$A$2,TUSD!$AM$69:'TUSD'!$AM$127)</f>
        <v>0</v>
      </c>
      <c r="G10" s="39">
        <f>SUMIF(TUSD!$A$69:'TUSD'!$A$127,$A$2,TUSD!$AN$69:'TUSD'!$AN$127)</f>
        <v>92046.757438172281</v>
      </c>
      <c r="H10" s="39">
        <f>SUMIF(TUSD!$A$69:'TUSD'!$A$127,$A$2,TUSD!$AO$69:'TUSD'!$AO$127)</f>
        <v>23109.098866189423</v>
      </c>
      <c r="I10" s="39">
        <f>SUMIF(TUSD!$A$69:'TUSD'!$A$127,$A$2,TUSD!$AP$69:'TUSD'!$AP$127)</f>
        <v>0</v>
      </c>
      <c r="J10" s="39">
        <f>SUMIF(TUSD!$A$69:'TUSD'!$A$127,$A$2,TUSD!$AQ$69:'TUSD'!$AQ$127)</f>
        <v>47248.215711121811</v>
      </c>
      <c r="K10" s="39">
        <f>SUMIF(TUSD!$A$69:'TUSD'!$A$127,$A$2,TUSD!$AR$69:'TUSD'!$AR$127)</f>
        <v>25222.07463566056</v>
      </c>
      <c r="L10" s="39">
        <f>SUMIF(TUSD!$A$69:'TUSD'!$A$127,$A$2,TUSD!$AS$69:'TUSD'!$AS$127)</f>
        <v>0</v>
      </c>
      <c r="M10" s="39">
        <f>SUMIF(TUSD!$A$69:'TUSD'!$A$127,$A$2,TUSD!$AT$69:'TUSD'!$AT$127)</f>
        <v>0</v>
      </c>
      <c r="N10" s="39">
        <f>SUMIF(TUSD!$A$69:'TUSD'!$A$127,$A$2,TUSD!$AU$69:'TUSD'!$AU$127)</f>
        <v>0</v>
      </c>
      <c r="O10" s="39">
        <f>SUMIF(TUSD!$A$69:'TUSD'!$A$127,$A$2,TUSD!$AV$69:'TUSD'!$AV$127)</f>
        <v>0</v>
      </c>
      <c r="P10" s="39">
        <f>SUMIF(TUSD!$A$69:'TUSD'!$A$127,$A$2,TUSD!$AW$69:'TUSD'!$AW$127)</f>
        <v>0</v>
      </c>
      <c r="Q10" s="39">
        <f>SUMIF(TUSD!$A$69:'TUSD'!$A$127,$A$2,TUSD!$AX$69:'TUSD'!$AX$127)</f>
        <v>668324.80376639834</v>
      </c>
      <c r="R10" s="39">
        <f>SUMIF(TUSD!$A$69:'TUSD'!$A$127,$A$2,TUSD!$AY$69:'TUSD'!$AY$127)</f>
        <v>-52446.760594044674</v>
      </c>
      <c r="S10" s="39">
        <f>SUMIF(TUSD!$A$69:'TUSD'!$A$127,$A$2,TUSD!$AZ$69:'TUSD'!$AZ$127)</f>
        <v>0</v>
      </c>
      <c r="T10" s="39">
        <f>SUMIF(TUSD!$A$69:'TUSD'!$A$127,$A$2,TUSD!$BA$69:'TUSD'!$BA$127)</f>
        <v>23289.545582689323</v>
      </c>
      <c r="U10" s="39">
        <f>SUMIF(TUSD!$A$69:'TUSD'!$A$127,$A$2,TUSD!$BB$69:'TUSD'!$BB$127)</f>
        <v>610.11169081313301</v>
      </c>
      <c r="V10" s="39">
        <f>SUMIF(TUSD!$A$69:'TUSD'!$A$127,$A$2,TUSD!$BC$69:'TUSD'!$BC$127)</f>
        <v>1888.4954215675489</v>
      </c>
      <c r="W10" s="39">
        <f>SUMIF(TUSD!$A$69:'TUSD'!$A$127,$A$2,TUSD!$BD$69:'TUSD'!$BD$127)</f>
        <v>655.8648201105043</v>
      </c>
      <c r="X10" s="39">
        <f t="shared" si="0"/>
        <v>860766.8205750233</v>
      </c>
      <c r="AD10" s="14" t="s">
        <v>96</v>
      </c>
    </row>
    <row r="11" spans="1:33" x14ac:dyDescent="0.2">
      <c r="A11" s="14" t="s">
        <v>1371</v>
      </c>
      <c r="B11" s="39">
        <f>SUMIF(TUSD!$A$69:'TUSD'!$A$127,$A$2,TUSD!$L$69:'TUSD'!$L$127)</f>
        <v>21513.622140516418</v>
      </c>
      <c r="C11" s="39">
        <f>SUMIF(TUSD!$A$69:'TUSD'!$A$127,$A$2,TUSD!$M$69:'TUSD'!$M$127)</f>
        <v>3426.3031953514624</v>
      </c>
      <c r="D11" s="39">
        <f ca="1">SUMIF(TUSD!$A$69:'TUSD'!$A$127,$A$2,TUSD!$N$69:'TUSD'!$N$127)</f>
        <v>8019.4350477537992</v>
      </c>
      <c r="E11" s="39">
        <f>SUMIF(TUSD!$A$69:'TUSD'!$A$127,$A$2,TUSD!$O$69:'TUSD'!$O$127)</f>
        <v>0</v>
      </c>
      <c r="F11" s="39">
        <f>SUMIF(TUSD!$A$69:'TUSD'!$A$127,$A$2,TUSD!$P$69:'TUSD'!$P$127)</f>
        <v>0</v>
      </c>
      <c r="G11" s="39">
        <f>SUMIF(TUSD!$A$69:'TUSD'!$A$127,$A$2,TUSD!$Q$69:'TUSD'!$Q$127)</f>
        <v>188971.6544892994</v>
      </c>
      <c r="H11" s="39">
        <f>SUMIF(TUSD!$A$69:'TUSD'!$A$127,$A$2,TUSD!$R$69:'TUSD'!$R$127)</f>
        <v>37087.011776628337</v>
      </c>
      <c r="I11" s="39">
        <f>SUMIF(TUSD!$A$69:'TUSD'!$A$127,$A$2,TUSD!$S$69:'TUSD'!$S$127)</f>
        <v>0</v>
      </c>
      <c r="J11" s="39">
        <f>SUMIF(TUSD!$A$69:'TUSD'!$A$127,$A$2,TUSD!$T$69:'TUSD'!$T$127)</f>
        <v>60088.31397100685</v>
      </c>
      <c r="K11" s="39">
        <f>SUMIF(TUSD!$A$69:'TUSD'!$A$127,$A$2,TUSD!$U$69:'TUSD'!$U$127)</f>
        <v>28274.004296832871</v>
      </c>
      <c r="L11" s="39">
        <f>SUMIF(TUSD!$A$69:'TUSD'!$A$127,$A$2,TUSD!$V$69:'TUSD'!$V$127)</f>
        <v>0</v>
      </c>
      <c r="M11" s="39">
        <f>SUMIF(TUSD!$A$69:'TUSD'!$A$127,$A$2,TUSD!$W$69:'TUSD'!$W$127)</f>
        <v>0</v>
      </c>
      <c r="N11" s="39">
        <f>SUMIF(TUSD!$A$69:'TUSD'!$A$127,$A$2,TUSD!$X$69:'TUSD'!$X$127)</f>
        <v>0</v>
      </c>
      <c r="O11" s="39">
        <f>SUMIF(TUSD!$A$69:'TUSD'!$A$127,$A$2,TUSD!$Y$69:'TUSD'!$Y$127)</f>
        <v>0</v>
      </c>
      <c r="P11" s="39">
        <f>SUMIF(TUSD!$A$69:'TUSD'!$A$127,$A$2,TUSD!$Z$69:'TUSD'!$Z$127)</f>
        <v>0</v>
      </c>
      <c r="Q11" s="39">
        <f>SUMIF(TUSD!$A$69:'TUSD'!$A$127,$A$2,TUSD!$AA$69:'TUSD'!$AA$127)</f>
        <v>712473.55641962925</v>
      </c>
      <c r="R11" s="39">
        <f ca="1">SUMIF(TUSD!$A$69:'TUSD'!$A$127,$A$2,TUSD!$AB$69:'TUSD'!$AB$127)</f>
        <v>-44001.427968092394</v>
      </c>
      <c r="S11" s="39">
        <f ca="1">SUMIF(TUSD!$A$69:'TUSD'!$A$127,$A$2,TUSD!$AC$69:'TUSD'!$AC$127)</f>
        <v>0</v>
      </c>
      <c r="T11" s="39">
        <f>SUMIF(TUSD!$A$69:'TUSD'!$A$127,$A$2,TUSD!$AD$69:'TUSD'!$AD$127)</f>
        <v>21553.721601693363</v>
      </c>
      <c r="U11" s="39">
        <f>SUMIF(TUSD!$A$69:'TUSD'!$A$127,$A$2,TUSD!$AE$69:'TUSD'!$AE$127)</f>
        <v>626.86012961299252</v>
      </c>
      <c r="V11" s="39">
        <f ca="1">SUMIF(TUSD!$A$69:'TUSD'!$A$127,$A$2,TUSD!$AF$69:'TUSD'!$AF$127)</f>
        <v>1918.7622057598019</v>
      </c>
      <c r="W11" s="39">
        <f ca="1">SUMIF(TUSD!$A$69:'TUSD'!$A$127,$A$2,TUSD!$AG$69:'TUSD'!$AG$127)</f>
        <v>446.276860837789</v>
      </c>
      <c r="X11" s="39">
        <f t="shared" ca="1" si="0"/>
        <v>1040398.0941668299</v>
      </c>
    </row>
    <row r="13" spans="1:33" x14ac:dyDescent="0.2">
      <c r="A13" s="14" t="s">
        <v>1375</v>
      </c>
      <c r="B13" s="92">
        <f t="shared" ref="B13:X13" si="1">IF($X$6&lt;&gt;0,(B$7-B$6)/$X$6,0)</f>
        <v>3.3905064106053836E-3</v>
      </c>
      <c r="C13" s="92">
        <f t="shared" si="1"/>
        <v>2.3953795251907542E-4</v>
      </c>
      <c r="D13" s="92">
        <f t="shared" ca="1" si="1"/>
        <v>9.6047542582011411E-4</v>
      </c>
      <c r="E13" s="92">
        <f t="shared" si="1"/>
        <v>0</v>
      </c>
      <c r="F13" s="92">
        <f t="shared" si="1"/>
        <v>0</v>
      </c>
      <c r="G13" s="92">
        <f t="shared" si="1"/>
        <v>0.17964888437583859</v>
      </c>
      <c r="H13" s="92">
        <f t="shared" si="1"/>
        <v>2.2225339271035486E-2</v>
      </c>
      <c r="I13" s="92">
        <f t="shared" si="1"/>
        <v>0</v>
      </c>
      <c r="J13" s="92">
        <f t="shared" si="1"/>
        <v>2.5600210048034928E-2</v>
      </c>
      <c r="K13" s="92">
        <f t="shared" si="1"/>
        <v>6.3462964484378688E-3</v>
      </c>
      <c r="L13" s="92">
        <f t="shared" si="1"/>
        <v>0</v>
      </c>
      <c r="M13" s="92">
        <f t="shared" si="1"/>
        <v>0</v>
      </c>
      <c r="N13" s="92">
        <f t="shared" si="1"/>
        <v>0</v>
      </c>
      <c r="O13" s="92">
        <f t="shared" si="1"/>
        <v>0</v>
      </c>
      <c r="P13" s="92">
        <f t="shared" si="1"/>
        <v>0</v>
      </c>
      <c r="Q13" s="92">
        <f t="shared" si="1"/>
        <v>4.6309578553794313E-2</v>
      </c>
      <c r="R13" s="92">
        <f t="shared" ca="1" si="1"/>
        <v>7.5720082364457751E-3</v>
      </c>
      <c r="S13" s="92">
        <f t="shared" ca="1" si="1"/>
        <v>0</v>
      </c>
      <c r="T13" s="92">
        <f t="shared" si="1"/>
        <v>-4.3561697469397661E-3</v>
      </c>
      <c r="U13" s="92">
        <f t="shared" si="1"/>
        <v>6.6326391005196809E-5</v>
      </c>
      <c r="V13" s="92">
        <f t="shared" ca="1" si="1"/>
        <v>-2.4488632946308896E-4</v>
      </c>
      <c r="W13" s="92">
        <f t="shared" ca="1" si="1"/>
        <v>-5.8565604974930661E-4</v>
      </c>
      <c r="X13" s="92">
        <f t="shared" ca="1" si="1"/>
        <v>0.2871724509873847</v>
      </c>
    </row>
    <row r="14" spans="1:33" x14ac:dyDescent="0.2">
      <c r="A14" s="14" t="s">
        <v>1376</v>
      </c>
      <c r="B14" s="92">
        <f t="shared" ref="B14:X14" si="2">IF($X$10&lt;&gt;0,(B$9-B$8)/$X$10,0)</f>
        <v>1.3483642121837548E-3</v>
      </c>
      <c r="C14" s="92">
        <f t="shared" si="2"/>
        <v>2.3664666038388741E-4</v>
      </c>
      <c r="D14" s="92">
        <f t="shared" ca="1" si="2"/>
        <v>9.0201243746949227E-4</v>
      </c>
      <c r="E14" s="92">
        <f t="shared" si="2"/>
        <v>0</v>
      </c>
      <c r="F14" s="92">
        <f t="shared" si="2"/>
        <v>0</v>
      </c>
      <c r="G14" s="92">
        <f t="shared" si="2"/>
        <v>0.11260296602322309</v>
      </c>
      <c r="H14" s="92">
        <f t="shared" si="2"/>
        <v>1.6238907653412064E-2</v>
      </c>
      <c r="I14" s="92">
        <f t="shared" si="2"/>
        <v>0</v>
      </c>
      <c r="J14" s="92">
        <f t="shared" si="2"/>
        <v>1.491704600243233E-2</v>
      </c>
      <c r="K14" s="92">
        <f t="shared" si="2"/>
        <v>3.5455939845979566E-3</v>
      </c>
      <c r="L14" s="92">
        <f t="shared" si="2"/>
        <v>0</v>
      </c>
      <c r="M14" s="92">
        <f t="shared" si="2"/>
        <v>0</v>
      </c>
      <c r="N14" s="92">
        <f t="shared" si="2"/>
        <v>0</v>
      </c>
      <c r="O14" s="92">
        <f t="shared" si="2"/>
        <v>0</v>
      </c>
      <c r="P14" s="92">
        <f t="shared" si="2"/>
        <v>0</v>
      </c>
      <c r="Q14" s="92">
        <f t="shared" si="2"/>
        <v>5.1290026053441455E-2</v>
      </c>
      <c r="R14" s="92">
        <f t="shared" ca="1" si="2"/>
        <v>9.8114058582212688E-3</v>
      </c>
      <c r="S14" s="92">
        <f t="shared" ca="1" si="2"/>
        <v>0</v>
      </c>
      <c r="T14" s="92">
        <f t="shared" si="2"/>
        <v>-2.0166018711506172E-3</v>
      </c>
      <c r="U14" s="92">
        <f t="shared" si="2"/>
        <v>1.9457579450693689E-5</v>
      </c>
      <c r="V14" s="92">
        <f t="shared" ca="1" si="2"/>
        <v>3.5162582326342101E-5</v>
      </c>
      <c r="W14" s="92">
        <f t="shared" ca="1" si="2"/>
        <v>-2.4348982124183525E-4</v>
      </c>
      <c r="X14" s="92">
        <f t="shared" ca="1" si="2"/>
        <v>0.2086874973547499</v>
      </c>
    </row>
    <row r="15" spans="1:33" x14ac:dyDescent="0.2">
      <c r="A15" s="14" t="s">
        <v>1377</v>
      </c>
      <c r="B15" s="92">
        <f t="shared" ref="B15:X15" si="3">IF($X$8&lt;&gt;0,(B$9-B$8)/$X$8,0)</f>
        <v>1.3483642121837548E-3</v>
      </c>
      <c r="C15" s="92">
        <f t="shared" si="3"/>
        <v>2.3664666038388741E-4</v>
      </c>
      <c r="D15" s="92">
        <f t="shared" ca="1" si="3"/>
        <v>9.0201243746949227E-4</v>
      </c>
      <c r="E15" s="92">
        <f t="shared" si="3"/>
        <v>0</v>
      </c>
      <c r="F15" s="92">
        <f t="shared" si="3"/>
        <v>0</v>
      </c>
      <c r="G15" s="92">
        <f t="shared" si="3"/>
        <v>0.11260296602322309</v>
      </c>
      <c r="H15" s="92">
        <f t="shared" si="3"/>
        <v>1.6238907653412064E-2</v>
      </c>
      <c r="I15" s="92">
        <f t="shared" si="3"/>
        <v>0</v>
      </c>
      <c r="J15" s="92">
        <f t="shared" si="3"/>
        <v>1.491704600243233E-2</v>
      </c>
      <c r="K15" s="92">
        <f t="shared" si="3"/>
        <v>3.5455939845979566E-3</v>
      </c>
      <c r="L15" s="92">
        <f t="shared" si="3"/>
        <v>0</v>
      </c>
      <c r="M15" s="92">
        <f t="shared" si="3"/>
        <v>0</v>
      </c>
      <c r="N15" s="92">
        <f t="shared" si="3"/>
        <v>0</v>
      </c>
      <c r="O15" s="92">
        <f t="shared" si="3"/>
        <v>0</v>
      </c>
      <c r="P15" s="92">
        <f t="shared" si="3"/>
        <v>0</v>
      </c>
      <c r="Q15" s="92">
        <f t="shared" si="3"/>
        <v>5.1290026053441455E-2</v>
      </c>
      <c r="R15" s="92">
        <f t="shared" ca="1" si="3"/>
        <v>9.8114058582212688E-3</v>
      </c>
      <c r="S15" s="92">
        <f t="shared" ca="1" si="3"/>
        <v>0</v>
      </c>
      <c r="T15" s="92">
        <f t="shared" si="3"/>
        <v>-2.0166018711506172E-3</v>
      </c>
      <c r="U15" s="92">
        <f t="shared" si="3"/>
        <v>1.9457579450693689E-5</v>
      </c>
      <c r="V15" s="92">
        <f t="shared" ca="1" si="3"/>
        <v>3.5162582326342101E-5</v>
      </c>
      <c r="W15" s="92">
        <f t="shared" ca="1" si="3"/>
        <v>-2.4348982124183525E-4</v>
      </c>
      <c r="X15" s="92">
        <f t="shared" ca="1" si="3"/>
        <v>0.2086874973547499</v>
      </c>
    </row>
  </sheetData>
  <dataValidations count="5">
    <dataValidation type="list" allowBlank="1" showInputMessage="1" showErrorMessage="1" error="Deve-se selecionar grupo válido" sqref="A2:B2" xr:uid="{BEF460B9-D332-4F52-905A-F2CBC4FE0DE7}">
      <formula1>AA1:AA7</formula1>
    </dataValidation>
    <dataValidation type="list" allowBlank="1" showInputMessage="1" showErrorMessage="1" error="Deve-se selecionar grupo válido" sqref="C2 E2" xr:uid="{63E896B3-2CB2-4FC4-8214-0D9D3FD57E50}">
      <formula1>AC1:AC4</formula1>
    </dataValidation>
    <dataValidation type="list" allowBlank="1" showInputMessage="1" showErrorMessage="1" error="Deve-se selecionar grupo válido" sqref="D2" xr:uid="{6DB23DAF-7F72-4527-A950-A0FD40AAB792}">
      <formula1>AD1:AD10</formula1>
    </dataValidation>
    <dataValidation type="list" allowBlank="1" showInputMessage="1" showErrorMessage="1" error="Deve-se selecionar grupo válido" sqref="F2" xr:uid="{DEC79825-D1A7-4345-A7AA-274BCDB89E7E}">
      <formula1>AF1:AF1</formula1>
    </dataValidation>
    <dataValidation type="list" allowBlank="1" showInputMessage="1" showErrorMessage="1" error="Deve-se selecionar grupo válido" sqref="G2" xr:uid="{18484CE7-02B6-4B06-B144-28AEF0DC7647}">
      <formula1>AG1:AG8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3CE73-9F52-4CC8-942B-9DD006CF07F7}">
  <sheetPr codeName="Planilha25"/>
  <dimension ref="A1:AG15"/>
  <sheetViews>
    <sheetView showGridLines="0" workbookViewId="0">
      <selection activeCell="J15" sqref="J15"/>
    </sheetView>
  </sheetViews>
  <sheetFormatPr defaultRowHeight="10.199999999999999" x14ac:dyDescent="0.2"/>
  <cols>
    <col min="1" max="1" width="18.5546875" style="14" bestFit="1" customWidth="1"/>
    <col min="2" max="2" width="10.21875" style="14" bestFit="1" customWidth="1"/>
    <col min="3" max="5" width="10" style="14" bestFit="1" customWidth="1"/>
    <col min="6" max="6" width="10.21875" style="14" bestFit="1" customWidth="1"/>
    <col min="7" max="7" width="14.77734375" style="14" bestFit="1" customWidth="1"/>
    <col min="8" max="8" width="8.44140625" style="14" bestFit="1" customWidth="1"/>
    <col min="9" max="9" width="9.33203125" style="14" bestFit="1" customWidth="1"/>
    <col min="10" max="10" width="6.21875" style="14" bestFit="1" customWidth="1"/>
    <col min="11" max="11" width="7.5546875" style="14" bestFit="1" customWidth="1"/>
    <col min="12" max="12" width="10.6640625" style="14" bestFit="1" customWidth="1"/>
    <col min="13" max="13" width="10.5546875" style="14" bestFit="1" customWidth="1"/>
    <col min="14" max="26" width="8.88671875" style="14"/>
    <col min="27" max="27" width="3.77734375" style="14" bestFit="1" customWidth="1"/>
    <col min="28" max="28" width="26.33203125" style="14" bestFit="1" customWidth="1"/>
    <col min="29" max="29" width="13.21875" style="14" bestFit="1" customWidth="1"/>
    <col min="30" max="30" width="24.44140625" style="14" bestFit="1" customWidth="1"/>
    <col min="31" max="33" width="10" style="14" bestFit="1" customWidth="1"/>
    <col min="34" max="16384" width="8.88671875" style="14"/>
  </cols>
  <sheetData>
    <row r="1" spans="1:33" x14ac:dyDescent="0.2">
      <c r="A1" s="14" t="s">
        <v>69</v>
      </c>
      <c r="B1" s="14" t="s">
        <v>70</v>
      </c>
      <c r="C1" s="14" t="s">
        <v>71</v>
      </c>
      <c r="D1" s="14" t="s">
        <v>72</v>
      </c>
      <c r="E1" s="14" t="s">
        <v>73</v>
      </c>
      <c r="F1" s="14" t="s">
        <v>15</v>
      </c>
      <c r="G1" s="14" t="s">
        <v>75</v>
      </c>
      <c r="I1" s="14" t="s">
        <v>1374</v>
      </c>
      <c r="AA1" s="14" t="s">
        <v>45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45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A3a</v>
      </c>
      <c r="AA2" s="14" t="s">
        <v>39</v>
      </c>
      <c r="AB2" s="14" t="s">
        <v>78</v>
      </c>
      <c r="AC2" s="14" t="s">
        <v>24</v>
      </c>
      <c r="AD2" s="14" t="s">
        <v>24</v>
      </c>
      <c r="AG2" s="14" t="s">
        <v>80</v>
      </c>
    </row>
    <row r="3" spans="1:33" x14ac:dyDescent="0.2">
      <c r="AA3" s="14" t="s">
        <v>22</v>
      </c>
      <c r="AB3" s="14" t="s">
        <v>82</v>
      </c>
      <c r="AC3" s="14" t="s">
        <v>44</v>
      </c>
      <c r="AD3" s="14" t="s">
        <v>29</v>
      </c>
      <c r="AG3" s="14" t="s">
        <v>81</v>
      </c>
    </row>
    <row r="4" spans="1:33" x14ac:dyDescent="0.2">
      <c r="AA4" s="14" t="s">
        <v>43</v>
      </c>
      <c r="AB4" s="14" t="s">
        <v>92</v>
      </c>
      <c r="AC4" s="14" t="s">
        <v>48</v>
      </c>
      <c r="AD4" s="14" t="s">
        <v>30</v>
      </c>
      <c r="AG4" s="14" t="s">
        <v>83</v>
      </c>
    </row>
    <row r="5" spans="1:33" x14ac:dyDescent="0.2">
      <c r="A5" s="14" t="s">
        <v>1367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653</v>
      </c>
      <c r="AA5" s="14" t="s">
        <v>37</v>
      </c>
      <c r="AD5" s="14" t="s">
        <v>31</v>
      </c>
      <c r="AG5" s="14" t="s">
        <v>91</v>
      </c>
    </row>
    <row r="6" spans="1:33" x14ac:dyDescent="0.2">
      <c r="A6" s="14" t="s">
        <v>1368</v>
      </c>
      <c r="B6" s="39">
        <f>SUM(TE!$X$50:'TE'!$X$89)</f>
        <v>274901.02012255514</v>
      </c>
      <c r="C6" s="39">
        <f>SUM(TE!$Y$50:'TE'!$Y$89)</f>
        <v>1663917.5195936803</v>
      </c>
      <c r="D6" s="39">
        <f>SUM(TE!$Z$50:'TE'!$Z$89)</f>
        <v>0</v>
      </c>
      <c r="E6" s="39">
        <f>SUM(TE!$AA$50:'TE'!$AA$89)</f>
        <v>0</v>
      </c>
      <c r="F6" s="39">
        <f>SUM(TE!$AB$50:'TE'!$AB$89)</f>
        <v>0</v>
      </c>
      <c r="G6" s="39">
        <f>SUM(TE!$AC$50:'TE'!$AC$89)</f>
        <v>26260529.980137348</v>
      </c>
      <c r="H6" s="39">
        <f>SUM(TE!$AD$50:'TE'!$AD$89)</f>
        <v>649850.12034087116</v>
      </c>
      <c r="I6" s="39">
        <f>SUM(TE!$AE$50:'TE'!$AE$89)</f>
        <v>470053.82079580805</v>
      </c>
      <c r="J6" s="39">
        <f>SUM(TE!$AF$50:'TE'!$AF$89)</f>
        <v>0</v>
      </c>
      <c r="K6" s="39">
        <f>SUM(TE!$AG$50:'TE'!$AG$89)</f>
        <v>-1459133.7396558602</v>
      </c>
      <c r="L6" s="39">
        <f>SUM(TE!$AH$50:'TE'!$AH$89)</f>
        <v>650614.07518524106</v>
      </c>
      <c r="M6" s="39">
        <f t="shared" ref="M6:M11" si="0">SUM(B6:L6)</f>
        <v>28510732.796519645</v>
      </c>
      <c r="AA6" s="14" t="s">
        <v>47</v>
      </c>
      <c r="AD6" s="14" t="s">
        <v>32</v>
      </c>
    </row>
    <row r="7" spans="1:33" x14ac:dyDescent="0.2">
      <c r="A7" s="14" t="s">
        <v>1369</v>
      </c>
      <c r="B7" s="39">
        <f>SUM(TE!$L$50:'TE'!$L$89)</f>
        <v>277695.73294884647</v>
      </c>
      <c r="C7" s="39">
        <f>SUM(TE!$M$50:'TE'!$M$89)</f>
        <v>2594698.2150742239</v>
      </c>
      <c r="D7" s="39">
        <f>SUM(TE!$N$50:'TE'!$N$89)</f>
        <v>0</v>
      </c>
      <c r="E7" s="39">
        <f>SUM(TE!$O$50:'TE'!$O$89)</f>
        <v>663849.78477364895</v>
      </c>
      <c r="F7" s="39">
        <f>SUM(TE!$P$50:'TE'!$P$89)</f>
        <v>-2017908.7241970915</v>
      </c>
      <c r="G7" s="39">
        <f>SUM(TE!$Q$50:'TE'!$Q$89)</f>
        <v>24695078.993285276</v>
      </c>
      <c r="H7" s="39">
        <f>SUM(TE!$R$50:'TE'!$R$89)</f>
        <v>722977.6378746035</v>
      </c>
      <c r="I7" s="39">
        <f>SUM(TE!$S$50:'TE'!$S$89)</f>
        <v>514800.56489096343</v>
      </c>
      <c r="J7" s="39">
        <f>SUM(TE!$T$50:'TE'!$T$89)</f>
        <v>0</v>
      </c>
      <c r="K7" s="39">
        <f>SUM(TE!$U$50:'TE'!$U$89)</f>
        <v>-1167499.9729206976</v>
      </c>
      <c r="L7" s="39">
        <f>SUM(TE!$V$50:'TE'!$V$89)</f>
        <v>679114.56728658476</v>
      </c>
      <c r="M7" s="39">
        <f t="shared" si="0"/>
        <v>26962806.799016356</v>
      </c>
      <c r="AD7" s="14" t="s">
        <v>94</v>
      </c>
    </row>
    <row r="8" spans="1:33" x14ac:dyDescent="0.2">
      <c r="A8" s="14" t="s">
        <v>1372</v>
      </c>
      <c r="B8" s="39">
        <f>IF($G$2&lt;&gt;"Não se aplica",SUMIF(TE!$G$50:'TE'!$G$89,$I$2,TE!$X$50:'TE'!$X$89),IF($F$2&lt;&gt;"Não se aplica",SUMIF(TE!$F$50:'TE'!$F$89,$I$2,TE!$X$50:'TE'!$X$89),IF($E$2&lt;&gt;"Não se aplica",SUMIF(TE!$E$50:'TE'!$E$89,$I$2,TE!$X$50:'TE'!$X$89),IF($D$2&lt;&gt;"Não se aplica",SUMIF(TE!$D$50:'TE'!$D$89,$I$2,TE!$X$50:'TE'!$X$89),IF($C$2&lt;&gt;"Não se aplica",SUMIF(TE!$C$50:'TE'!$C$89,$I$2,TE!$X$50:'TE'!$X$89),IF($B$2&lt;&gt;"Não se aplica",SUMIF(TE!$B$50:'TE'!$B$89,$I$2,TE!$X$50:'TE'!$X$89),SUMIF(TE!$A$50:'TE'!$A$89,$I$2,TE!$X$50:'TE'!$X$89)))))))</f>
        <v>4350.0326921565284</v>
      </c>
      <c r="C8" s="39">
        <f>IF($G$2&lt;&gt;"Não se aplica",SUMIF(TE!$G$50:'TE'!$G$89,$I$2,TE!$Y$50:'TE'!$Y$89),IF($F$2&lt;&gt;"Não se aplica",SUMIF(TE!$F$50:'TE'!$F$89,$I$2,TE!$Y$50:'TE'!$Y$89),IF($E$2&lt;&gt;"Não se aplica",SUMIF(TE!$E$50:'TE'!$E$89,$I$2,TE!$Y$50:'TE'!$Y$89),IF($D$2&lt;&gt;"Não se aplica",SUMIF(TE!$D$50:'TE'!$D$89,$I$2,TE!$Y$50:'TE'!$Y$89),IF($C$2&lt;&gt;"Não se aplica",SUMIF(TE!$C$50:'TE'!$C$89,$I$2,TE!$Y$50:'TE'!$Y$89),IF($B$2&lt;&gt;"Não se aplica",SUMIF(TE!$B$50:'TE'!$B$89,$I$2,TE!$Y$50:'TE'!$Y$89),SUMIF(TE!$A$50:'TE'!$A$89,$I$2,TE!$Y$50:'TE'!$Y$89)))))))</f>
        <v>26329.824473032691</v>
      </c>
      <c r="D8" s="39">
        <f>IF($G$2&lt;&gt;"Não se aplica",SUMIF(TE!$G$50:'TE'!$G$89,$I$2,TE!$Z$50:'TE'!$Z$89),IF($F$2&lt;&gt;"Não se aplica",SUMIF(TE!$F$50:'TE'!$F$89,$I$2,TE!$Z$50:'TE'!$Z$89),IF($E$2&lt;&gt;"Não se aplica",SUMIF(TE!$E$50:'TE'!$E$89,$I$2,TE!$Z$50:'TE'!$Z$89),IF($D$2&lt;&gt;"Não se aplica",SUMIF(TE!$D$50:'TE'!$D$89,$I$2,TE!$Z$50:'TE'!$Z$89),IF($C$2&lt;&gt;"Não se aplica",SUMIF(TE!$C$50:'TE'!$C$89,$I$2,TE!$Z$50:'TE'!$Z$89),IF($B$2&lt;&gt;"Não se aplica",SUMIF(TE!$B$50:'TE'!$B$89,$I$2,TE!$Z$50:'TE'!$Z$89),SUMIF(TE!$A$50:'TE'!$A$89,$I$2,TE!$Z$50:'TE'!$Z$89)))))))</f>
        <v>0</v>
      </c>
      <c r="E8" s="39">
        <f>IF($G$2&lt;&gt;"Não se aplica",SUMIF(TE!$G$50:'TE'!$G$89,$I$2,TE!$AA$50:'TE'!$AA$89),IF($F$2&lt;&gt;"Não se aplica",SUMIF(TE!$F$50:'TE'!$F$89,$I$2,TE!$AA$50:'TE'!$AA$89),IF($E$2&lt;&gt;"Não se aplica",SUMIF(TE!$E$50:'TE'!$E$89,$I$2,TE!$AA$50:'TE'!$AA$89),IF($D$2&lt;&gt;"Não se aplica",SUMIF(TE!$D$50:'TE'!$D$89,$I$2,TE!$AA$50:'TE'!$AA$89),IF($C$2&lt;&gt;"Não se aplica",SUMIF(TE!$C$50:'TE'!$C$89,$I$2,TE!$AA$50:'TE'!$AA$89),IF($B$2&lt;&gt;"Não se aplica",SUMIF(TE!$B$50:'TE'!$B$89,$I$2,TE!$AA$50:'TE'!$AA$89),SUMIF(TE!$A$50:'TE'!$A$89,$I$2,TE!$AA$50:'TE'!$AA$89)))))))</f>
        <v>0</v>
      </c>
      <c r="F8" s="39">
        <f>IF($G$2&lt;&gt;"Não se aplica",SUMIF(TE!$G$50:'TE'!$G$89,$I$2,TE!$AB$50:'TE'!$AB$89),IF($F$2&lt;&gt;"Não se aplica",SUMIF(TE!$F$50:'TE'!$F$89,$I$2,TE!$AB$50:'TE'!$AB$89),IF($E$2&lt;&gt;"Não se aplica",SUMIF(TE!$E$50:'TE'!$E$89,$I$2,TE!$AB$50:'TE'!$AB$89),IF($D$2&lt;&gt;"Não se aplica",SUMIF(TE!$D$50:'TE'!$D$89,$I$2,TE!$AB$50:'TE'!$AB$89),IF($C$2&lt;&gt;"Não se aplica",SUMIF(TE!$C$50:'TE'!$C$89,$I$2,TE!$AB$50:'TE'!$AB$89),IF($B$2&lt;&gt;"Não se aplica",SUMIF(TE!$B$50:'TE'!$B$89,$I$2,TE!$AB$50:'TE'!$AB$89),SUMIF(TE!$A$50:'TE'!$A$89,$I$2,TE!$AB$50:'TE'!$AB$89)))))))</f>
        <v>0</v>
      </c>
      <c r="G8" s="39">
        <f>IF($G$2&lt;&gt;"Não se aplica",SUMIF(TE!$G$50:'TE'!$G$89,$I$2,TE!$AC$50:'TE'!$AC$89),IF($F$2&lt;&gt;"Não se aplica",SUMIF(TE!$F$50:'TE'!$F$89,$I$2,TE!$AC$50:'TE'!$AC$89),IF($E$2&lt;&gt;"Não se aplica",SUMIF(TE!$E$50:'TE'!$E$89,$I$2,TE!$AC$50:'TE'!$AC$89),IF($D$2&lt;&gt;"Não se aplica",SUMIF(TE!$D$50:'TE'!$D$89,$I$2,TE!$AC$50:'TE'!$AC$89),IF($C$2&lt;&gt;"Não se aplica",SUMIF(TE!$C$50:'TE'!$C$89,$I$2,TE!$AC$50:'TE'!$AC$89),IF($B$2&lt;&gt;"Não se aplica",SUMIF(TE!$B$50:'TE'!$B$89,$I$2,TE!$AC$50:'TE'!$AC$89),SUMIF(TE!$A$50:'TE'!$A$89,$I$2,TE!$AC$50:'TE'!$AC$89)))))))</f>
        <v>394455.01225490641</v>
      </c>
      <c r="H8" s="39">
        <f>IF($G$2&lt;&gt;"Não se aplica",SUMIF(TE!$G$50:'TE'!$G$89,$I$2,TE!$AD$50:'TE'!$AD$89),IF($F$2&lt;&gt;"Não se aplica",SUMIF(TE!$F$50:'TE'!$F$89,$I$2,TE!$AD$50:'TE'!$AD$89),IF($E$2&lt;&gt;"Não se aplica",SUMIF(TE!$E$50:'TE'!$E$89,$I$2,TE!$AD$50:'TE'!$AD$89),IF($D$2&lt;&gt;"Não se aplica",SUMIF(TE!$D$50:'TE'!$D$89,$I$2,TE!$AD$50:'TE'!$AD$89),IF($C$2&lt;&gt;"Não se aplica",SUMIF(TE!$C$50:'TE'!$C$89,$I$2,TE!$AD$50:'TE'!$AD$89),IF($B$2&lt;&gt;"Não se aplica",SUMIF(TE!$B$50:'TE'!$B$89,$I$2,TE!$AD$50:'TE'!$AD$89),SUMIF(TE!$A$50:'TE'!$A$89,$I$2,TE!$AD$50:'TE'!$AD$89)))))))</f>
        <v>10283.225821513432</v>
      </c>
      <c r="I8" s="39">
        <f>IF($G$2&lt;&gt;"Não se aplica",SUMIF(TE!$G$50:'TE'!$G$89,$I$2,TE!$AE$50:'TE'!$AE$89),IF($F$2&lt;&gt;"Não se aplica",SUMIF(TE!$F$50:'TE'!$F$89,$I$2,TE!$AE$50:'TE'!$AE$89),IF($E$2&lt;&gt;"Não se aplica",SUMIF(TE!$E$50:'TE'!$E$89,$I$2,TE!$AE$50:'TE'!$AE$89),IF($D$2&lt;&gt;"Não se aplica",SUMIF(TE!$D$50:'TE'!$D$89,$I$2,TE!$AE$50:'TE'!$AE$89),IF($C$2&lt;&gt;"Não se aplica",SUMIF(TE!$C$50:'TE'!$C$89,$I$2,TE!$AE$50:'TE'!$AE$89),IF($B$2&lt;&gt;"Não se aplica",SUMIF(TE!$B$50:'TE'!$B$89,$I$2,TE!$AE$50:'TE'!$AE$89),SUMIF(TE!$A$50:'TE'!$A$89,$I$2,TE!$AE$50:'TE'!$AE$89)))))))</f>
        <v>7438.1298644263643</v>
      </c>
      <c r="J8" s="39">
        <f>IF($G$2&lt;&gt;"Não se aplica",SUMIF(TE!$G$50:'TE'!$G$89,$I$2,TE!$AF$50:'TE'!$AF$89),IF($F$2&lt;&gt;"Não se aplica",SUMIF(TE!$F$50:'TE'!$F$89,$I$2,TE!$AF$50:'TE'!$AF$89),IF($E$2&lt;&gt;"Não se aplica",SUMIF(TE!$E$50:'TE'!$E$89,$I$2,TE!$AF$50:'TE'!$AF$89),IF($D$2&lt;&gt;"Não se aplica",SUMIF(TE!$D$50:'TE'!$D$89,$I$2,TE!$AF$50:'TE'!$AF$89),IF($C$2&lt;&gt;"Não se aplica",SUMIF(TE!$C$50:'TE'!$C$89,$I$2,TE!$AF$50:'TE'!$AF$89),IF($B$2&lt;&gt;"Não se aplica",SUMIF(TE!$B$50:'TE'!$B$89,$I$2,TE!$AF$50:'TE'!$AF$89),SUMIF(TE!$A$50:'TE'!$A$89,$I$2,TE!$AF$50:'TE'!$AF$89)))))))</f>
        <v>0</v>
      </c>
      <c r="K8" s="39">
        <f>IF($G$2&lt;&gt;"Não se aplica",SUMIF(TE!$G$50:'TE'!$G$89,$I$2,TE!$AG$50:'TE'!$AG$89),IF($F$2&lt;&gt;"Não se aplica",SUMIF(TE!$F$50:'TE'!$F$89,$I$2,TE!$AG$50:'TE'!$AG$89),IF($E$2&lt;&gt;"Não se aplica",SUMIF(TE!$E$50:'TE'!$E$89,$I$2,TE!$AG$50:'TE'!$AG$89),IF($D$2&lt;&gt;"Não se aplica",SUMIF(TE!$D$50:'TE'!$D$89,$I$2,TE!$AG$50:'TE'!$AG$89),IF($C$2&lt;&gt;"Não se aplica",SUMIF(TE!$C$50:'TE'!$C$89,$I$2,TE!$AG$50:'TE'!$AG$89),IF($B$2&lt;&gt;"Não se aplica",SUMIF(TE!$B$50:'TE'!$B$89,$I$2,TE!$AG$50:'TE'!$AG$89),SUMIF(TE!$A$50:'TE'!$A$89,$I$2,TE!$AG$50:'TE'!$AG$89)))))))</f>
        <v>-22070.089844359525</v>
      </c>
      <c r="L8" s="39">
        <f>IF($G$2&lt;&gt;"Não se aplica",SUMIF(TE!$G$50:'TE'!$G$89,$I$2,TE!$AH$50:'TE'!$AH$89),IF($F$2&lt;&gt;"Não se aplica",SUMIF(TE!$F$50:'TE'!$F$89,$I$2,TE!$AH$50:'TE'!$AH$89),IF($E$2&lt;&gt;"Não se aplica",SUMIF(TE!$E$50:'TE'!$E$89,$I$2,TE!$AH$50:'TE'!$AH$89),IF($D$2&lt;&gt;"Não se aplica",SUMIF(TE!$D$50:'TE'!$D$89,$I$2,TE!$AH$50:'TE'!$AH$89),IF($C$2&lt;&gt;"Não se aplica",SUMIF(TE!$C$50:'TE'!$C$89,$I$2,TE!$AH$50:'TE'!$AH$89),IF($B$2&lt;&gt;"Não se aplica",SUMIF(TE!$B$50:'TE'!$B$89,$I$2,TE!$AH$50:'TE'!$AH$89),SUMIF(TE!$A$50:'TE'!$A$89,$I$2,TE!$AH$50:'TE'!$AH$89)))))))</f>
        <v>10295.314640052042</v>
      </c>
      <c r="M8" s="39">
        <f t="shared" si="0"/>
        <v>431081.44990172796</v>
      </c>
      <c r="AD8" s="14" t="s">
        <v>95</v>
      </c>
    </row>
    <row r="9" spans="1:33" x14ac:dyDescent="0.2">
      <c r="A9" s="14" t="s">
        <v>1373</v>
      </c>
      <c r="B9" s="39">
        <f>IF($G$2&lt;&gt;"Não se aplica",SUMIF(TE!$G$50:'TE'!$G$89,$I$2,TE!$L$50:'TE'!$L$89),IF($F$2&lt;&gt;"Não se aplica",SUMIF(TE!$F$50:'TE'!$F$89,$I$2,TE!$L$50:'TE'!$L$89),IF($E$2&lt;&gt;"Não se aplica",SUMIF(TE!$E$50:'TE'!$E$89,$I$2,TE!$L$50:'TE'!$L$89),IF($D$2&lt;&gt;"Não se aplica",SUMIF(TE!$D$50:'TE'!$D$89,$I$2,TE!$L$50:'TE'!$L$89),IF($C$2&lt;&gt;"Não se aplica",SUMIF(TE!$C$50:'TE'!$C$89,$I$2,TE!$L$50:'TE'!$L$89),IF($B$2&lt;&gt;"Não se aplica",SUMIF(TE!$B$50:'TE'!$B$89,$I$2,TE!$L$50:'TE'!$L$89),SUMIF(TE!$A$50:'TE'!$A$89,$I$2,TE!$L$50:'TE'!$L$89)))))))</f>
        <v>4354.0755540465707</v>
      </c>
      <c r="C9" s="39">
        <f>IF($G$2&lt;&gt;"Não se aplica",SUMIF(TE!$G$50:'TE'!$G$89,$I$2,TE!$M$50:'TE'!$M$89),IF($F$2&lt;&gt;"Não se aplica",SUMIF(TE!$F$50:'TE'!$F$89,$I$2,TE!$M$50:'TE'!$M$89),IF($E$2&lt;&gt;"Não se aplica",SUMIF(TE!$E$50:'TE'!$E$89,$I$2,TE!$M$50:'TE'!$M$89),IF($D$2&lt;&gt;"Não se aplica",SUMIF(TE!$D$50:'TE'!$D$89,$I$2,TE!$M$50:'TE'!$M$89),IF($C$2&lt;&gt;"Não se aplica",SUMIF(TE!$C$50:'TE'!$C$89,$I$2,TE!$M$50:'TE'!$M$89),IF($B$2&lt;&gt;"Não se aplica",SUMIF(TE!$B$50:'TE'!$B$89,$I$2,TE!$M$50:'TE'!$M$89),SUMIF(TE!$A$50:'TE'!$A$89,$I$2,TE!$M$50:'TE'!$M$89)))))))</f>
        <v>40683.059650988704</v>
      </c>
      <c r="D9" s="39">
        <f>IF($G$2&lt;&gt;"Não se aplica",SUMIF(TE!$G$50:'TE'!$G$89,$I$2,TE!$N$50:'TE'!$N$89),IF($F$2&lt;&gt;"Não se aplica",SUMIF(TE!$F$50:'TE'!$F$89,$I$2,TE!$N$50:'TE'!$N$89),IF($E$2&lt;&gt;"Não se aplica",SUMIF(TE!$E$50:'TE'!$E$89,$I$2,TE!$N$50:'TE'!$N$89),IF($D$2&lt;&gt;"Não se aplica",SUMIF(TE!$D$50:'TE'!$D$89,$I$2,TE!$N$50:'TE'!$N$89),IF($C$2&lt;&gt;"Não se aplica",SUMIF(TE!$C$50:'TE'!$C$89,$I$2,TE!$N$50:'TE'!$N$89),IF($B$2&lt;&gt;"Não se aplica",SUMIF(TE!$B$50:'TE'!$B$89,$I$2,TE!$N$50:'TE'!$N$89),SUMIF(TE!$A$50:'TE'!$A$89,$I$2,TE!$N$50:'TE'!$N$89)))))))</f>
        <v>0</v>
      </c>
      <c r="E9" s="39">
        <f>IF($G$2&lt;&gt;"Não se aplica",SUMIF(TE!$G$50:'TE'!$G$89,$I$2,TE!$O$50:'TE'!$O$89),IF($F$2&lt;&gt;"Não se aplica",SUMIF(TE!$F$50:'TE'!$F$89,$I$2,TE!$O$50:'TE'!$O$89),IF($E$2&lt;&gt;"Não se aplica",SUMIF(TE!$E$50:'TE'!$E$89,$I$2,TE!$O$50:'TE'!$O$89),IF($D$2&lt;&gt;"Não se aplica",SUMIF(TE!$D$50:'TE'!$D$89,$I$2,TE!$O$50:'TE'!$O$89),IF($C$2&lt;&gt;"Não se aplica",SUMIF(TE!$C$50:'TE'!$C$89,$I$2,TE!$O$50:'TE'!$O$89),IF($B$2&lt;&gt;"Não se aplica",SUMIF(TE!$B$50:'TE'!$B$89,$I$2,TE!$O$50:'TE'!$O$89),SUMIF(TE!$A$50:'TE'!$A$89,$I$2,TE!$O$50:'TE'!$O$89)))))))</f>
        <v>10408.701958609008</v>
      </c>
      <c r="F9" s="39">
        <f>IF($G$2&lt;&gt;"Não se aplica",SUMIF(TE!$G$50:'TE'!$G$89,$I$2,TE!$P$50:'TE'!$P$89),IF($F$2&lt;&gt;"Não se aplica",SUMIF(TE!$F$50:'TE'!$F$89,$I$2,TE!$P$50:'TE'!$P$89),IF($E$2&lt;&gt;"Não se aplica",SUMIF(TE!$E$50:'TE'!$E$89,$I$2,TE!$P$50:'TE'!$P$89),IF($D$2&lt;&gt;"Não se aplica",SUMIF(TE!$D$50:'TE'!$D$89,$I$2,TE!$P$50:'TE'!$P$89),IF($C$2&lt;&gt;"Não se aplica",SUMIF(TE!$C$50:'TE'!$C$89,$I$2,TE!$P$50:'TE'!$P$89),IF($B$2&lt;&gt;"Não se aplica",SUMIF(TE!$B$50:'TE'!$B$89,$I$2,TE!$P$50:'TE'!$P$89),SUMIF(TE!$A$50:'TE'!$A$89,$I$2,TE!$P$50:'TE'!$P$89)))))))</f>
        <v>-31639.402424459746</v>
      </c>
      <c r="G9" s="39">
        <f>IF($G$2&lt;&gt;"Não se aplica",SUMIF(TE!$G$50:'TE'!$G$89,$I$2,TE!$Q$50:'TE'!$Q$89),IF($F$2&lt;&gt;"Não se aplica",SUMIF(TE!$F$50:'TE'!$F$89,$I$2,TE!$Q$50:'TE'!$Q$89),IF($E$2&lt;&gt;"Não se aplica",SUMIF(TE!$E$50:'TE'!$E$89,$I$2,TE!$Q$50:'TE'!$Q$89),IF($D$2&lt;&gt;"Não se aplica",SUMIF(TE!$D$50:'TE'!$D$89,$I$2,TE!$Q$50:'TE'!$Q$89),IF($C$2&lt;&gt;"Não se aplica",SUMIF(TE!$C$50:'TE'!$C$89,$I$2,TE!$Q$50:'TE'!$Q$89),IF($B$2&lt;&gt;"Não se aplica",SUMIF(TE!$B$50:'TE'!$B$89,$I$2,TE!$Q$50:'TE'!$Q$89),SUMIF(TE!$A$50:'TE'!$A$89,$I$2,TE!$Q$50:'TE'!$Q$89)))))))</f>
        <v>367536.56156950904</v>
      </c>
      <c r="H9" s="39">
        <f>IF($G$2&lt;&gt;"Não se aplica",SUMIF(TE!$G$50:'TE'!$G$89,$I$2,TE!$R$50:'TE'!$R$89),IF($F$2&lt;&gt;"Não se aplica",SUMIF(TE!$F$50:'TE'!$F$89,$I$2,TE!$R$50:'TE'!$R$89),IF($E$2&lt;&gt;"Não se aplica",SUMIF(TE!$E$50:'TE'!$E$89,$I$2,TE!$R$50:'TE'!$R$89),IF($D$2&lt;&gt;"Não se aplica",SUMIF(TE!$D$50:'TE'!$D$89,$I$2,TE!$R$50:'TE'!$R$89),IF($C$2&lt;&gt;"Não se aplica",SUMIF(TE!$C$50:'TE'!$C$89,$I$2,TE!$R$50:'TE'!$R$89),IF($B$2&lt;&gt;"Não se aplica",SUMIF(TE!$B$50:'TE'!$B$89,$I$2,TE!$R$50:'TE'!$R$89),SUMIF(TE!$A$50:'TE'!$A$89,$I$2,TE!$R$50:'TE'!$R$89)))))))</f>
        <v>11335.78548638344</v>
      </c>
      <c r="I9" s="39">
        <f>IF($G$2&lt;&gt;"Não se aplica",SUMIF(TE!$G$50:'TE'!$G$89,$I$2,TE!$S$50:'TE'!$S$89),IF($F$2&lt;&gt;"Não se aplica",SUMIF(TE!$F$50:'TE'!$F$89,$I$2,TE!$S$50:'TE'!$S$89),IF($E$2&lt;&gt;"Não se aplica",SUMIF(TE!$E$50:'TE'!$E$89,$I$2,TE!$S$50:'TE'!$S$89),IF($D$2&lt;&gt;"Não se aplica",SUMIF(TE!$D$50:'TE'!$D$89,$I$2,TE!$S$50:'TE'!$S$89),IF($C$2&lt;&gt;"Não se aplica",SUMIF(TE!$C$50:'TE'!$C$89,$I$2,TE!$S$50:'TE'!$S$89),IF($B$2&lt;&gt;"Não se aplica",SUMIF(TE!$B$50:'TE'!$B$89,$I$2,TE!$S$50:'TE'!$S$89),SUMIF(TE!$A$50:'TE'!$A$89,$I$2,TE!$S$50:'TE'!$S$89)))))))</f>
        <v>8071.71406992417</v>
      </c>
      <c r="J9" s="39">
        <f>IF($G$2&lt;&gt;"Não se aplica",SUMIF(TE!$G$50:'TE'!$G$89,$I$2,TE!$T$50:'TE'!$T$89),IF($F$2&lt;&gt;"Não se aplica",SUMIF(TE!$F$50:'TE'!$F$89,$I$2,TE!$T$50:'TE'!$T$89),IF($E$2&lt;&gt;"Não se aplica",SUMIF(TE!$E$50:'TE'!$E$89,$I$2,TE!$T$50:'TE'!$T$89),IF($D$2&lt;&gt;"Não se aplica",SUMIF(TE!$D$50:'TE'!$D$89,$I$2,TE!$T$50:'TE'!$T$89),IF($C$2&lt;&gt;"Não se aplica",SUMIF(TE!$C$50:'TE'!$C$89,$I$2,TE!$T$50:'TE'!$T$89),IF($B$2&lt;&gt;"Não se aplica",SUMIF(TE!$B$50:'TE'!$B$89,$I$2,TE!$T$50:'TE'!$T$89),SUMIF(TE!$A$50:'TE'!$A$89,$I$2,TE!$T$50:'TE'!$T$89)))))))</f>
        <v>0</v>
      </c>
      <c r="K9" s="39">
        <f>IF($G$2&lt;&gt;"Não se aplica",SUMIF(TE!$G$50:'TE'!$G$89,$I$2,TE!$U$50:'TE'!$U$89),IF($F$2&lt;&gt;"Não se aplica",SUMIF(TE!$F$50:'TE'!$F$89,$I$2,TE!$U$50:'TE'!$U$89),IF($E$2&lt;&gt;"Não se aplica",SUMIF(TE!$E$50:'TE'!$E$89,$I$2,TE!$U$50:'TE'!$U$89),IF($D$2&lt;&gt;"Não se aplica",SUMIF(TE!$D$50:'TE'!$D$89,$I$2,TE!$U$50:'TE'!$U$89),IF($C$2&lt;&gt;"Não se aplica",SUMIF(TE!$C$50:'TE'!$C$89,$I$2,TE!$U$50:'TE'!$U$89),IF($B$2&lt;&gt;"Não se aplica",SUMIF(TE!$B$50:'TE'!$B$89,$I$2,TE!$U$50:'TE'!$U$89),SUMIF(TE!$A$50:'TE'!$A$89,$I$2,TE!$U$50:'TE'!$U$89)))))))</f>
        <v>-17482.633596579319</v>
      </c>
      <c r="L9" s="39">
        <f>IF($G$2&lt;&gt;"Não se aplica",SUMIF(TE!$G$50:'TE'!$G$89,$I$2,TE!$V$50:'TE'!$V$89),IF($F$2&lt;&gt;"Não se aplica",SUMIF(TE!$F$50:'TE'!$F$89,$I$2,TE!$V$50:'TE'!$V$89),IF($E$2&lt;&gt;"Não se aplica",SUMIF(TE!$E$50:'TE'!$E$89,$I$2,TE!$V$50:'TE'!$V$89),IF($D$2&lt;&gt;"Não se aplica",SUMIF(TE!$D$50:'TE'!$D$89,$I$2,TE!$V$50:'TE'!$V$89),IF($C$2&lt;&gt;"Não se aplica",SUMIF(TE!$C$50:'TE'!$C$89,$I$2,TE!$V$50:'TE'!$V$89),IF($B$2&lt;&gt;"Não se aplica",SUMIF(TE!$B$50:'TE'!$B$89,$I$2,TE!$V$50:'TE'!$V$89),SUMIF(TE!$A$50:'TE'!$A$89,$I$2,TE!$V$50:'TE'!$V$89)))))))</f>
        <v>10648.043109701361</v>
      </c>
      <c r="M9" s="39">
        <f t="shared" si="0"/>
        <v>403915.90537812316</v>
      </c>
      <c r="AD9" s="14" t="s">
        <v>49</v>
      </c>
    </row>
    <row r="10" spans="1:33" x14ac:dyDescent="0.2">
      <c r="A10" s="14" t="s">
        <v>1370</v>
      </c>
      <c r="B10" s="39">
        <f>SUMIF(TE!$A$50:'TE'!$A$89,$A$2,TE!$X$50:'TE'!$X$89)</f>
        <v>4350.0326921565284</v>
      </c>
      <c r="C10" s="39">
        <f>SUMIF(TE!$A$50:'TE'!$A$89,$A$2,TE!$Y$50:'TE'!$Y$89)</f>
        <v>26329.824473032691</v>
      </c>
      <c r="D10" s="39">
        <f>SUMIF(TE!$A$50:'TE'!$A$89,$A$2,TE!$Z$50:'TE'!$Z$89)</f>
        <v>0</v>
      </c>
      <c r="E10" s="39">
        <f>SUMIF(TE!$A$50:'TE'!$A$89,$A$2,TE!$AA$50:'TE'!$AA$89)</f>
        <v>0</v>
      </c>
      <c r="F10" s="39">
        <f>SUMIF(TE!$A$50:'TE'!$A$89,$A$2,TE!$AB$50:'TE'!$AB$89)</f>
        <v>0</v>
      </c>
      <c r="G10" s="39">
        <f>SUMIF(TE!$A$50:'TE'!$A$89,$A$2,TE!$AC$50:'TE'!$AC$89)</f>
        <v>394455.01225490641</v>
      </c>
      <c r="H10" s="39">
        <f>SUMIF(TE!$A$50:'TE'!$A$89,$A$2,TE!$AD$50:'TE'!$AD$89)</f>
        <v>10283.225821513432</v>
      </c>
      <c r="I10" s="39">
        <f>SUMIF(TE!$A$50:'TE'!$A$89,$A$2,TE!$AE$50:'TE'!$AE$89)</f>
        <v>7438.1298644263643</v>
      </c>
      <c r="J10" s="39">
        <f>SUMIF(TE!$A$50:'TE'!$A$89,$A$2,TE!$AF$50:'TE'!$AF$89)</f>
        <v>0</v>
      </c>
      <c r="K10" s="39">
        <f>SUMIF(TE!$A$50:'TE'!$A$89,$A$2,TE!$AG$50:'TE'!$AG$89)</f>
        <v>-22070.089844359525</v>
      </c>
      <c r="L10" s="39">
        <f>SUMIF(TE!$A$50:'TE'!$A$89,$A$2,TE!$AH$50:'TE'!$AH$89)</f>
        <v>10295.314640052042</v>
      </c>
      <c r="M10" s="39">
        <f t="shared" si="0"/>
        <v>431081.44990172796</v>
      </c>
      <c r="AD10" s="14" t="s">
        <v>96</v>
      </c>
    </row>
    <row r="11" spans="1:33" x14ac:dyDescent="0.2">
      <c r="A11" s="14" t="s">
        <v>1371</v>
      </c>
      <c r="B11" s="39">
        <f>SUMIF(TE!$A$50:'TE'!$A$89,$A$2,TE!$L$50:'TE'!$L$89)</f>
        <v>4354.0755540465707</v>
      </c>
      <c r="C11" s="39">
        <f>SUMIF(TE!$A$50:'TE'!$A$89,$A$2,TE!$M$50:'TE'!$M$89)</f>
        <v>40683.059650988704</v>
      </c>
      <c r="D11" s="39">
        <f>SUMIF(TE!$A$50:'TE'!$A$89,$A$2,TE!$N$50:'TE'!$N$89)</f>
        <v>0</v>
      </c>
      <c r="E11" s="39">
        <f>SUMIF(TE!$A$50:'TE'!$A$89,$A$2,TE!$O$50:'TE'!$O$89)</f>
        <v>10408.701958609008</v>
      </c>
      <c r="F11" s="39">
        <f>SUMIF(TE!$A$50:'TE'!$A$89,$A$2,TE!$P$50:'TE'!$P$89)</f>
        <v>-31639.402424459746</v>
      </c>
      <c r="G11" s="39">
        <f>SUMIF(TE!$A$50:'TE'!$A$89,$A$2,TE!$Q$50:'TE'!$Q$89)</f>
        <v>367536.56156950904</v>
      </c>
      <c r="H11" s="39">
        <f>SUMIF(TE!$A$50:'TE'!$A$89,$A$2,TE!$R$50:'TE'!$R$89)</f>
        <v>11335.78548638344</v>
      </c>
      <c r="I11" s="39">
        <f>SUMIF(TE!$A$50:'TE'!$A$89,$A$2,TE!$S$50:'TE'!$S$89)</f>
        <v>8071.71406992417</v>
      </c>
      <c r="J11" s="39">
        <f>SUMIF(TE!$A$50:'TE'!$A$89,$A$2,TE!$T$50:'TE'!$T$89)</f>
        <v>0</v>
      </c>
      <c r="K11" s="39">
        <f>SUMIF(TE!$A$50:'TE'!$A$89,$A$2,TE!$U$50:'TE'!$U$89)</f>
        <v>-17482.633596579319</v>
      </c>
      <c r="L11" s="39">
        <f>SUMIF(TE!$A$50:'TE'!$A$89,$A$2,TE!$V$50:'TE'!$V$89)</f>
        <v>10648.043109701361</v>
      </c>
      <c r="M11" s="39">
        <f t="shared" si="0"/>
        <v>403915.90537812316</v>
      </c>
    </row>
    <row r="13" spans="1:33" x14ac:dyDescent="0.2">
      <c r="A13" s="14" t="s">
        <v>1375</v>
      </c>
      <c r="B13" s="92">
        <f t="shared" ref="B13:M13" si="1">IF($M$6&lt;&gt;0,(B$7-B$6)/$M$6,0)</f>
        <v>9.8023184680559575E-5</v>
      </c>
      <c r="C13" s="92">
        <f t="shared" si="1"/>
        <v>3.2646677380181746E-2</v>
      </c>
      <c r="D13" s="92">
        <f t="shared" si="1"/>
        <v>0</v>
      </c>
      <c r="E13" s="92">
        <f t="shared" si="1"/>
        <v>2.3284206320178705E-2</v>
      </c>
      <c r="F13" s="92">
        <f t="shared" si="1"/>
        <v>-7.0777160958957225E-2</v>
      </c>
      <c r="G13" s="92">
        <f t="shared" si="1"/>
        <v>-5.4907427249403055E-2</v>
      </c>
      <c r="H13" s="92">
        <f t="shared" si="1"/>
        <v>2.5649118896957693E-3</v>
      </c>
      <c r="I13" s="92">
        <f t="shared" si="1"/>
        <v>1.5694701505749337E-3</v>
      </c>
      <c r="J13" s="92">
        <f t="shared" si="1"/>
        <v>0</v>
      </c>
      <c r="K13" s="92">
        <f t="shared" si="1"/>
        <v>1.0228911645889467E-2</v>
      </c>
      <c r="L13" s="92">
        <f t="shared" si="1"/>
        <v>9.9964081262838688E-4</v>
      </c>
      <c r="M13" s="92">
        <f t="shared" si="1"/>
        <v>-5.4292746824530801E-2</v>
      </c>
    </row>
    <row r="14" spans="1:33" x14ac:dyDescent="0.2">
      <c r="A14" s="14" t="s">
        <v>1376</v>
      </c>
      <c r="B14" s="92">
        <f t="shared" ref="B14:M14" si="2">IF($M$10&lt;&gt;0,(B$9-B$8)/$M$10,0)</f>
        <v>9.3784176771326338E-6</v>
      </c>
      <c r="C14" s="92">
        <f t="shared" si="2"/>
        <v>3.3295877568445743E-2</v>
      </c>
      <c r="D14" s="92">
        <f t="shared" si="2"/>
        <v>0</v>
      </c>
      <c r="E14" s="92">
        <f t="shared" si="2"/>
        <v>2.4145557552944674E-2</v>
      </c>
      <c r="F14" s="92">
        <f t="shared" si="2"/>
        <v>-7.3395416183351117E-2</v>
      </c>
      <c r="G14" s="92">
        <f t="shared" si="2"/>
        <v>-6.2444001456183909E-2</v>
      </c>
      <c r="H14" s="92">
        <f t="shared" si="2"/>
        <v>2.4416723686671196E-3</v>
      </c>
      <c r="I14" s="92">
        <f t="shared" si="2"/>
        <v>1.4697552066836592E-3</v>
      </c>
      <c r="J14" s="92">
        <f t="shared" si="2"/>
        <v>0</v>
      </c>
      <c r="K14" s="92">
        <f t="shared" si="2"/>
        <v>1.0641738930835441E-2</v>
      </c>
      <c r="L14" s="92">
        <f t="shared" si="2"/>
        <v>8.1824089097252755E-4</v>
      </c>
      <c r="M14" s="92">
        <f t="shared" si="2"/>
        <v>-6.3017196703308909E-2</v>
      </c>
    </row>
    <row r="15" spans="1:33" x14ac:dyDescent="0.2">
      <c r="A15" s="14" t="s">
        <v>1377</v>
      </c>
      <c r="B15" s="92">
        <f t="shared" ref="B15:M15" si="3">IF($M$8&lt;&gt;0,(B$9-B$8)/$M$8,0)</f>
        <v>9.3784176771326338E-6</v>
      </c>
      <c r="C15" s="92">
        <f t="shared" si="3"/>
        <v>3.3295877568445743E-2</v>
      </c>
      <c r="D15" s="92">
        <f t="shared" si="3"/>
        <v>0</v>
      </c>
      <c r="E15" s="92">
        <f t="shared" si="3"/>
        <v>2.4145557552944674E-2</v>
      </c>
      <c r="F15" s="92">
        <f t="shared" si="3"/>
        <v>-7.3395416183351117E-2</v>
      </c>
      <c r="G15" s="92">
        <f t="shared" si="3"/>
        <v>-6.2444001456183909E-2</v>
      </c>
      <c r="H15" s="92">
        <f t="shared" si="3"/>
        <v>2.4416723686671196E-3</v>
      </c>
      <c r="I15" s="92">
        <f t="shared" si="3"/>
        <v>1.4697552066836592E-3</v>
      </c>
      <c r="J15" s="92">
        <f t="shared" si="3"/>
        <v>0</v>
      </c>
      <c r="K15" s="92">
        <f t="shared" si="3"/>
        <v>1.0641738930835441E-2</v>
      </c>
      <c r="L15" s="92">
        <f t="shared" si="3"/>
        <v>8.1824089097252755E-4</v>
      </c>
      <c r="M15" s="92">
        <f t="shared" si="3"/>
        <v>-6.3017196703308909E-2</v>
      </c>
    </row>
  </sheetData>
  <dataValidations count="5">
    <dataValidation type="list" allowBlank="1" showInputMessage="1" showErrorMessage="1" sqref="A2" xr:uid="{39041939-F80F-4248-997E-88BD54667405}">
      <formula1>AA1:AA6</formula1>
    </dataValidation>
    <dataValidation type="list" allowBlank="1" showInputMessage="1" showErrorMessage="1" sqref="B2 C2" xr:uid="{E1CADA41-8ECE-4946-9BB1-48B0B7D3045B}">
      <formula1>AB1:AB4</formula1>
    </dataValidation>
    <dataValidation type="list" allowBlank="1" showInputMessage="1" showErrorMessage="1" sqref="D2" xr:uid="{3E05575B-1195-4D6B-B9A5-206A23751242}">
      <formula1>AD1:AD10</formula1>
    </dataValidation>
    <dataValidation type="list" allowBlank="1" showInputMessage="1" showErrorMessage="1" sqref="E2 F2" xr:uid="{07463E6B-EEF4-4648-984F-16CC5495FC10}">
      <formula1>AE1:AE1</formula1>
    </dataValidation>
    <dataValidation type="list" allowBlank="1" showInputMessage="1" showErrorMessage="1" sqref="G2" xr:uid="{26D5FE70-A13A-4ABD-921D-6D8DB5E97E05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A9D87-2F5D-455C-A199-57A4467D2951}">
  <sheetPr codeName="Planilha26">
    <tabColor indexed="12" tint="-0.249977111117893"/>
  </sheetPr>
  <dimension ref="A1:BC70"/>
  <sheetViews>
    <sheetView showGridLines="0" topLeftCell="W47" workbookViewId="0">
      <selection activeCell="AO65" sqref="AO65:AP67"/>
    </sheetView>
  </sheetViews>
  <sheetFormatPr defaultRowHeight="11.25" customHeight="1" x14ac:dyDescent="0.3"/>
  <cols>
    <col min="1" max="1" width="9" style="9" bestFit="1" customWidth="1"/>
    <col min="2" max="2" width="21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9" width="8.44140625" style="9" bestFit="1" customWidth="1"/>
    <col min="10" max="10" width="8.88671875" style="9"/>
    <col min="11" max="11" width="14.109375" style="9" bestFit="1" customWidth="1"/>
    <col min="12" max="12" width="13" style="9" bestFit="1" customWidth="1"/>
    <col min="13" max="14" width="8.44140625" style="9" bestFit="1" customWidth="1"/>
    <col min="15" max="15" width="4" style="9" bestFit="1" customWidth="1"/>
    <col min="16" max="16" width="4.33203125" style="9" bestFit="1" customWidth="1"/>
    <col min="17" max="17" width="10.5546875" style="9" bestFit="1" customWidth="1"/>
    <col min="18" max="18" width="9.6640625" style="9" bestFit="1" customWidth="1"/>
    <col min="19" max="19" width="8.44140625" style="9" bestFit="1" customWidth="1"/>
    <col min="20" max="20" width="10.5546875" style="9" bestFit="1" customWidth="1"/>
    <col min="21" max="22" width="9.6640625" style="9" bestFit="1" customWidth="1"/>
    <col min="23" max="24" width="9.5546875" style="9" bestFit="1" customWidth="1"/>
    <col min="25" max="25" width="5" style="9" bestFit="1" customWidth="1"/>
    <col min="26" max="26" width="7.44140625" style="9" bestFit="1" customWidth="1"/>
    <col min="27" max="27" width="9.5546875" style="9" bestFit="1" customWidth="1"/>
    <col min="28" max="28" width="9.6640625" style="9" bestFit="1" customWidth="1"/>
    <col min="29" max="29" width="11.33203125" style="9" bestFit="1" customWidth="1"/>
    <col min="30" max="30" width="10.5546875" style="9" bestFit="1" customWidth="1"/>
    <col min="31" max="31" width="8.21875" style="9" bestFit="1" customWidth="1"/>
    <col min="32" max="32" width="7.109375" style="9" bestFit="1" customWidth="1"/>
    <col min="33" max="33" width="9" style="9" bestFit="1" customWidth="1"/>
    <col min="34" max="34" width="14.88671875" style="9" bestFit="1" customWidth="1"/>
    <col min="35" max="35" width="17.5546875" style="9" bestFit="1" customWidth="1"/>
    <col min="36" max="36" width="18.5546875" style="9" bestFit="1" customWidth="1"/>
    <col min="37" max="37" width="7.6640625" style="9" bestFit="1" customWidth="1"/>
    <col min="38" max="38" width="9.6640625" style="9" bestFit="1" customWidth="1"/>
    <col min="39" max="39" width="10.5546875" style="9" bestFit="1" customWidth="1"/>
    <col min="40" max="40" width="8.88671875" style="9"/>
    <col min="41" max="41" width="10.6640625" style="9" bestFit="1" customWidth="1"/>
    <col min="42" max="42" width="10.109375" style="9" bestFit="1" customWidth="1"/>
    <col min="43" max="16384" width="8.88671875" style="9"/>
  </cols>
  <sheetData>
    <row r="1" spans="1:55" ht="11.25" customHeight="1" x14ac:dyDescent="0.3">
      <c r="A1" s="139" t="s">
        <v>69</v>
      </c>
      <c r="B1" s="139" t="s">
        <v>70</v>
      </c>
      <c r="C1" s="139" t="s">
        <v>71</v>
      </c>
      <c r="D1" s="139" t="s">
        <v>72</v>
      </c>
      <c r="E1" s="139" t="s">
        <v>73</v>
      </c>
      <c r="F1" s="139" t="s">
        <v>15</v>
      </c>
      <c r="G1" s="139" t="s">
        <v>75</v>
      </c>
      <c r="H1" s="139" t="s">
        <v>76</v>
      </c>
      <c r="I1" s="139" t="s">
        <v>716</v>
      </c>
      <c r="J1" s="131"/>
      <c r="L1" s="138" t="s">
        <v>733</v>
      </c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/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O1" s="20"/>
      <c r="AP1" s="142" t="s">
        <v>718</v>
      </c>
      <c r="AQ1" s="156" t="s">
        <v>1</v>
      </c>
      <c r="AR1" s="158" t="s">
        <v>2</v>
      </c>
      <c r="AS1" s="158" t="s">
        <v>3</v>
      </c>
      <c r="AT1" s="158" t="s">
        <v>4</v>
      </c>
      <c r="AU1" s="158" t="s">
        <v>5</v>
      </c>
      <c r="AV1" s="158" t="s">
        <v>914</v>
      </c>
      <c r="AW1" s="158" t="s">
        <v>915</v>
      </c>
      <c r="AX1" s="158" t="s">
        <v>916</v>
      </c>
      <c r="AY1" s="158" t="s">
        <v>917</v>
      </c>
      <c r="AZ1" s="158" t="s">
        <v>918</v>
      </c>
      <c r="BC1" s="158" t="s">
        <v>919</v>
      </c>
    </row>
    <row r="2" spans="1:55" ht="11.25" customHeight="1" x14ac:dyDescent="0.3">
      <c r="A2" s="139"/>
      <c r="B2" s="139"/>
      <c r="C2" s="139"/>
      <c r="D2" s="139"/>
      <c r="E2" s="139"/>
      <c r="F2" s="139"/>
      <c r="G2" s="139"/>
      <c r="H2" s="139"/>
      <c r="I2" s="139"/>
      <c r="J2" s="131"/>
      <c r="L2" s="138" t="s">
        <v>615</v>
      </c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O2" s="20"/>
      <c r="AP2" s="143"/>
      <c r="AQ2" s="157"/>
      <c r="AR2" s="159"/>
      <c r="AS2" s="159"/>
      <c r="AT2" s="159"/>
      <c r="AU2" s="159"/>
      <c r="AV2" s="159"/>
      <c r="AW2" s="159"/>
      <c r="AX2" s="159"/>
      <c r="AY2" s="159"/>
      <c r="AZ2" s="159"/>
      <c r="BC2" s="159"/>
    </row>
    <row r="3" spans="1:55" ht="11.25" customHeight="1" x14ac:dyDescent="0.3">
      <c r="A3" s="139"/>
      <c r="B3" s="139"/>
      <c r="C3" s="139"/>
      <c r="D3" s="139"/>
      <c r="E3" s="139"/>
      <c r="F3" s="139"/>
      <c r="G3" s="139"/>
      <c r="H3" s="139"/>
      <c r="I3" s="139"/>
      <c r="J3" s="131"/>
      <c r="L3" s="138" t="s">
        <v>616</v>
      </c>
      <c r="M3" s="138"/>
      <c r="N3" s="138"/>
      <c r="O3" s="138"/>
      <c r="P3" s="138"/>
      <c r="Q3" s="138"/>
      <c r="R3" s="138"/>
      <c r="S3" s="138"/>
      <c r="T3" s="138"/>
      <c r="U3" s="138" t="s">
        <v>625</v>
      </c>
      <c r="V3" s="138"/>
      <c r="W3" s="138"/>
      <c r="X3" s="138"/>
      <c r="Y3" s="138"/>
      <c r="Z3" s="138"/>
      <c r="AA3" s="138"/>
      <c r="AB3" s="138"/>
      <c r="AC3" s="138" t="s">
        <v>633</v>
      </c>
      <c r="AD3" s="138"/>
      <c r="AE3" s="138" t="s">
        <v>635</v>
      </c>
      <c r="AF3" s="138"/>
      <c r="AG3" s="138"/>
      <c r="AH3" s="138" t="s">
        <v>638</v>
      </c>
      <c r="AI3" s="138"/>
      <c r="AJ3" s="138"/>
      <c r="AK3" s="138"/>
      <c r="AL3" s="138"/>
      <c r="AM3" s="138" t="s">
        <v>624</v>
      </c>
      <c r="AO3" s="20"/>
      <c r="AP3" s="143"/>
      <c r="AQ3" s="157"/>
      <c r="AR3" s="159"/>
      <c r="AS3" s="159"/>
      <c r="AT3" s="159"/>
      <c r="AU3" s="159"/>
      <c r="AV3" s="159"/>
      <c r="AW3" s="159"/>
      <c r="AX3" s="159"/>
      <c r="AY3" s="159"/>
      <c r="AZ3" s="159"/>
      <c r="BC3" s="159"/>
    </row>
    <row r="4" spans="1:55" ht="11.25" customHeight="1" x14ac:dyDescent="0.3">
      <c r="A4" s="139"/>
      <c r="B4" s="139"/>
      <c r="C4" s="139"/>
      <c r="D4" s="139"/>
      <c r="E4" s="139"/>
      <c r="F4" s="139"/>
      <c r="G4" s="139"/>
      <c r="H4" s="139"/>
      <c r="I4" s="139"/>
      <c r="J4" s="131"/>
      <c r="L4" s="10" t="s">
        <v>701</v>
      </c>
      <c r="M4" s="10" t="s">
        <v>617</v>
      </c>
      <c r="N4" s="10" t="s">
        <v>618</v>
      </c>
      <c r="O4" s="10" t="s">
        <v>619</v>
      </c>
      <c r="P4" s="10" t="s">
        <v>620</v>
      </c>
      <c r="Q4" s="10" t="s">
        <v>621</v>
      </c>
      <c r="R4" s="10" t="s">
        <v>622</v>
      </c>
      <c r="S4" s="10" t="s">
        <v>623</v>
      </c>
      <c r="T4" s="10" t="s">
        <v>624</v>
      </c>
      <c r="U4" s="10" t="s">
        <v>626</v>
      </c>
      <c r="V4" s="10" t="s">
        <v>627</v>
      </c>
      <c r="W4" s="10" t="s">
        <v>628</v>
      </c>
      <c r="X4" s="10" t="s">
        <v>629</v>
      </c>
      <c r="Y4" s="10" t="s">
        <v>630</v>
      </c>
      <c r="Z4" s="10" t="s">
        <v>631</v>
      </c>
      <c r="AA4" s="10" t="s">
        <v>632</v>
      </c>
      <c r="AB4" s="10" t="s">
        <v>624</v>
      </c>
      <c r="AC4" s="10" t="s">
        <v>634</v>
      </c>
      <c r="AD4" s="10" t="s">
        <v>624</v>
      </c>
      <c r="AE4" s="10" t="s">
        <v>636</v>
      </c>
      <c r="AF4" s="10" t="s">
        <v>637</v>
      </c>
      <c r="AG4" s="10" t="s">
        <v>624</v>
      </c>
      <c r="AH4" s="10" t="s">
        <v>639</v>
      </c>
      <c r="AI4" s="10" t="s">
        <v>640</v>
      </c>
      <c r="AJ4" s="10" t="s">
        <v>641</v>
      </c>
      <c r="AK4" s="10" t="s">
        <v>642</v>
      </c>
      <c r="AL4" s="10" t="s">
        <v>624</v>
      </c>
      <c r="AM4" s="141"/>
      <c r="AO4" s="21" t="s">
        <v>735</v>
      </c>
      <c r="AP4" s="144"/>
      <c r="AQ4" s="157"/>
      <c r="AR4" s="159"/>
      <c r="AS4" s="159"/>
      <c r="AT4" s="159"/>
      <c r="AU4" s="159"/>
      <c r="AV4" s="159"/>
      <c r="AW4" s="159"/>
      <c r="AX4" s="159"/>
      <c r="AY4" s="159"/>
      <c r="AZ4" s="159"/>
      <c r="BC4" s="159"/>
    </row>
    <row r="5" spans="1:55" ht="11.25" customHeight="1" x14ac:dyDescent="0.3">
      <c r="A5" s="137" t="s">
        <v>45</v>
      </c>
      <c r="B5" s="137" t="s">
        <v>42</v>
      </c>
      <c r="C5" s="137" t="s">
        <v>25</v>
      </c>
      <c r="D5" s="137" t="s">
        <v>25</v>
      </c>
      <c r="E5" s="137" t="s">
        <v>25</v>
      </c>
      <c r="F5" s="137" t="s">
        <v>25</v>
      </c>
      <c r="G5" s="18" t="s">
        <v>85</v>
      </c>
      <c r="H5" s="18" t="s">
        <v>84</v>
      </c>
      <c r="I5" s="18">
        <f>'MERCADO TUSD'!$U$2</f>
        <v>4216</v>
      </c>
      <c r="J5" s="15"/>
      <c r="L5" s="13">
        <f>'TUSD BE'!$L$5*'TUSD BE'!$L$70</f>
        <v>0</v>
      </c>
      <c r="M5" s="13">
        <f>'TUSD BE'!$M$5*'TUSD BE'!$M$70</f>
        <v>0</v>
      </c>
      <c r="N5" s="13">
        <f ca="1">'TUSD BE'!$N$5*'TUSD BE'!$N$70</f>
        <v>0</v>
      </c>
      <c r="O5" s="13">
        <f>'TUSD BE'!$O$5*'TUSD BE'!$O$70</f>
        <v>0</v>
      </c>
      <c r="P5" s="13">
        <f>'TUSD BE'!$P$5*'TUSD BE'!$P$70</f>
        <v>0</v>
      </c>
      <c r="Q5" s="13">
        <f>'TUSD BE'!$Q$5*'TUSD BE'!$Q$70</f>
        <v>0</v>
      </c>
      <c r="R5" s="13">
        <f>'TUSD BE'!$R$5*'TUSD BE'!$R$70</f>
        <v>0</v>
      </c>
      <c r="S5" s="13">
        <f>'TUSD BE'!$R$5*'TUSD BE'!$S$70</f>
        <v>0</v>
      </c>
      <c r="T5" s="13">
        <f ca="1">SUM($L$5:$S$5)</f>
        <v>0</v>
      </c>
      <c r="U5" s="13">
        <f>'TUSD BE'!$U$5*'TUSD BE'!$U$70</f>
        <v>-5.1809720293537094E-2</v>
      </c>
      <c r="V5" s="13">
        <f>'TUSD BE'!$V$5*'TUSD BE'!$V$70</f>
        <v>-4.706997792019111E-2</v>
      </c>
      <c r="W5" s="13">
        <f>'TUSD BE'!$W$5*'TUSD BE'!$W$70</f>
        <v>0</v>
      </c>
      <c r="X5" s="13">
        <f>'TUSD BE'!$X$5*'TUSD BE'!$X$70</f>
        <v>0</v>
      </c>
      <c r="Y5" s="13">
        <f>'TUSD BE'!$Y$5*'TUSD BE'!$Y$70</f>
        <v>0</v>
      </c>
      <c r="Z5" s="13">
        <f>'TUSD BE'!$Z$5*'TUSD BE'!$Z$70</f>
        <v>0</v>
      </c>
      <c r="AA5" s="13">
        <f>'TUSD BE'!$AA$5*'TUSD BE'!$AA$70</f>
        <v>0</v>
      </c>
      <c r="AB5" s="13">
        <f>SUM($U$5:$AA$5)</f>
        <v>-9.8879698213728204E-2</v>
      </c>
      <c r="AC5" s="13">
        <f>'TUSD BE'!$AC$5*'TUSD BE'!$AC$70</f>
        <v>0</v>
      </c>
      <c r="AD5" s="13">
        <f>SUM($AC$5:$AC$5)</f>
        <v>0</v>
      </c>
      <c r="AE5" s="13">
        <f ca="1">$AO$5*$AO$67</f>
        <v>-2.2609563594644144</v>
      </c>
      <c r="AF5" s="13">
        <f ca="1">$AP$5*$AP$67</f>
        <v>0</v>
      </c>
      <c r="AG5" s="13">
        <f ca="1">SUM($AE$5:$AF$5)</f>
        <v>-2.2609563594644144</v>
      </c>
      <c r="AH5" s="13">
        <f>'TUSD BE'!$AH$5*'TUSD BE'!$AH$70</f>
        <v>0</v>
      </c>
      <c r="AI5" s="13">
        <f>'TUSD BE'!$AI$5*'TUSD BE'!$AI$70</f>
        <v>0</v>
      </c>
      <c r="AJ5" s="13">
        <f ca="1">'TUSD BE'!$AJ$5*'TUSD BE'!$AJ$70</f>
        <v>0</v>
      </c>
      <c r="AK5" s="13">
        <f ca="1">'TUSD BE'!$AK$5*'TUSD BE'!$AK$70</f>
        <v>0</v>
      </c>
      <c r="AL5" s="13">
        <f ca="1">SUM($AH$5:$AK$5)</f>
        <v>0</v>
      </c>
      <c r="AM5" s="13">
        <f ca="1">SUMIF($L$4:$AL$4,"SUBTOTAL",$L$5:$AL$5)+AZ5</f>
        <v>-2.3598360576781428</v>
      </c>
      <c r="AO5" s="20">
        <f ca="1">+'TUSD BE'!$T$5+'TUSD BE'!$AB$5+'TUSD BE'!$AD$5+'TUSD BE'!$AL$5</f>
        <v>52.338742572566609</v>
      </c>
      <c r="AP5" s="20">
        <f ca="1">+'TUSD BE'!$T$5+'TUSD BE'!$AB$5+'TUSD BE'!$AD$5+'TUSD BE'!$AL$5</f>
        <v>52.338742572566609</v>
      </c>
      <c r="AQ5" s="9" t="str">
        <f t="shared" ref="AQ5:AQ36" si="0">IF($A5="",AQ4,$A5)</f>
        <v>A3a</v>
      </c>
      <c r="AR5" s="9" t="str">
        <f t="shared" ref="AR5:AR36" si="1">IF($B5="",AR4,$B5)</f>
        <v>Azul</v>
      </c>
      <c r="AS5" s="9" t="str">
        <f t="shared" ref="AS5:AS36" si="2">IF($C5="",AS4,$C5)</f>
        <v>Não se aplica</v>
      </c>
      <c r="AT5" s="9" t="str">
        <f t="shared" ref="AT5:AT36" si="3">IF($D5="",AT4,$D5)</f>
        <v>Não se aplica</v>
      </c>
      <c r="AU5" s="9" t="str">
        <f t="shared" ref="AU5:AU36" si="4">IF($E5="",AU4,$E5)</f>
        <v>Não se aplica</v>
      </c>
      <c r="AV5" s="9">
        <f t="shared" ref="AV5:AV36" si="5">IF(OR(AR5="Distribuição",AR5="Geração"),0,1)</f>
        <v>1</v>
      </c>
      <c r="AW5" s="9">
        <f ca="1">IFERROR(VLOOKUP(AQ5,TarifaMedia!$C$30:$G$31,5,0),0)</f>
        <v>0</v>
      </c>
      <c r="AX5" s="15">
        <f ca="1">'TUSD BE'!$AM5+'TUSD BF'!$AM5+'TUSD CVA'!$AM5</f>
        <v>51.039453840016805</v>
      </c>
      <c r="AY5" s="9">
        <v>55.05</v>
      </c>
      <c r="AZ5" s="9">
        <f t="shared" ref="AZ5:AZ36" ca="1" si="6">(AY5-AX5)*AW5*AV5</f>
        <v>0</v>
      </c>
      <c r="BC5" s="80" t="s">
        <v>920</v>
      </c>
    </row>
    <row r="6" spans="1:55" ht="11.25" customHeight="1" x14ac:dyDescent="0.3">
      <c r="A6" s="137"/>
      <c r="B6" s="137"/>
      <c r="C6" s="137"/>
      <c r="D6" s="137"/>
      <c r="E6" s="137"/>
      <c r="F6" s="137"/>
      <c r="G6" s="18" t="s">
        <v>86</v>
      </c>
      <c r="H6" s="18" t="s">
        <v>84</v>
      </c>
      <c r="I6" s="18">
        <f>'MERCADO TUSD'!$U$3</f>
        <v>4234</v>
      </c>
      <c r="J6" s="15"/>
      <c r="L6" s="13">
        <f>'TUSD BE'!$L$6*'TUSD BE'!$L$70</f>
        <v>0</v>
      </c>
      <c r="M6" s="13">
        <f>'TUSD BE'!$M$6*'TUSD BE'!$M$70</f>
        <v>0</v>
      </c>
      <c r="N6" s="13">
        <f ca="1">'TUSD BE'!$N$6*'TUSD BE'!$N$70</f>
        <v>0</v>
      </c>
      <c r="O6" s="13">
        <f>'TUSD BE'!$O$6*'TUSD BE'!$O$70</f>
        <v>0</v>
      </c>
      <c r="P6" s="13">
        <f>'TUSD BE'!$P$6*'TUSD BE'!$P$70</f>
        <v>0</v>
      </c>
      <c r="Q6" s="13">
        <f>'TUSD BE'!$Q$6*'TUSD BE'!$Q$70</f>
        <v>0</v>
      </c>
      <c r="R6" s="13">
        <f>'TUSD BE'!$R$6*'TUSD BE'!$R$70</f>
        <v>0</v>
      </c>
      <c r="S6" s="13">
        <f>'TUSD BE'!$R$6*'TUSD BE'!$S$70</f>
        <v>0</v>
      </c>
      <c r="T6" s="13">
        <f ca="1">SUM($L$6:$S$6)</f>
        <v>0</v>
      </c>
      <c r="U6" s="13">
        <f>'TUSD BE'!$U$6*'TUSD BE'!$U$70</f>
        <v>-2.9889066068735849E-2</v>
      </c>
      <c r="V6" s="13">
        <f>'TUSD BE'!$V$6*'TUSD BE'!$V$70</f>
        <v>-2.8126919413250191E-2</v>
      </c>
      <c r="W6" s="13">
        <f>'TUSD BE'!$W$6*'TUSD BE'!$W$70</f>
        <v>0</v>
      </c>
      <c r="X6" s="13">
        <f>'TUSD BE'!$X$6*'TUSD BE'!$X$70</f>
        <v>0</v>
      </c>
      <c r="Y6" s="13">
        <f>'TUSD BE'!$Y$6*'TUSD BE'!$Y$70</f>
        <v>0</v>
      </c>
      <c r="Z6" s="13">
        <f>'TUSD BE'!$Z$6*'TUSD BE'!$Z$70</f>
        <v>0</v>
      </c>
      <c r="AA6" s="13">
        <f>'TUSD BE'!$AA$6*'TUSD BE'!$AA$70</f>
        <v>0</v>
      </c>
      <c r="AB6" s="13">
        <f>SUM($U$6:$AA$6)</f>
        <v>-5.801598548198604E-2</v>
      </c>
      <c r="AC6" s="13">
        <f>'TUSD BE'!$AC$6*'TUSD BE'!$AC$70</f>
        <v>0</v>
      </c>
      <c r="AD6" s="13">
        <f>SUM($AC$6:$AC$6)</f>
        <v>0</v>
      </c>
      <c r="AE6" s="13">
        <f ca="1">$AO$6*$AO$67</f>
        <v>-0.93948305983127323</v>
      </c>
      <c r="AF6" s="13">
        <f ca="1">$AP$6*$AP$67</f>
        <v>0</v>
      </c>
      <c r="AG6" s="13">
        <f ca="1">SUM($AE$6:$AF$6)</f>
        <v>-0.93948305983127323</v>
      </c>
      <c r="AH6" s="13">
        <f>'TUSD BE'!$AH$6*'TUSD BE'!$AH$70</f>
        <v>0</v>
      </c>
      <c r="AI6" s="13">
        <f>'TUSD BE'!$AI$6*'TUSD BE'!$AI$70</f>
        <v>0</v>
      </c>
      <c r="AJ6" s="13">
        <f ca="1">'TUSD BE'!$AJ$6*'TUSD BE'!$AJ$70</f>
        <v>0</v>
      </c>
      <c r="AK6" s="13">
        <f ca="1">'TUSD BE'!$AK$6*'TUSD BE'!$AK$70</f>
        <v>0</v>
      </c>
      <c r="AL6" s="13">
        <f ca="1">SUM($AH$6:$AK$6)</f>
        <v>0</v>
      </c>
      <c r="AM6" s="13">
        <f ca="1">SUMIF($L$4:$AL$4,"SUBTOTAL",$L$6:$AL$6)+AZ6</f>
        <v>-0.99749904531325928</v>
      </c>
      <c r="AO6" s="20">
        <f ca="1">+'TUSD BE'!$T$6+'TUSD BE'!$AB$6+'TUSD BE'!$AD$6+'TUSD BE'!$AL$6</f>
        <v>21.748036760622899</v>
      </c>
      <c r="AP6" s="20">
        <f ca="1">+'TUSD BE'!$T$6+'TUSD BE'!$AB$6+'TUSD BE'!$AD$6+'TUSD BE'!$AL$6</f>
        <v>21.748036760622899</v>
      </c>
      <c r="AQ6" s="9" t="str">
        <f t="shared" si="0"/>
        <v>A3a</v>
      </c>
      <c r="AR6" s="9" t="str">
        <f t="shared" si="1"/>
        <v>Azul</v>
      </c>
      <c r="AS6" s="9" t="str">
        <f t="shared" si="2"/>
        <v>Não se aplica</v>
      </c>
      <c r="AT6" s="9" t="str">
        <f t="shared" si="3"/>
        <v>Não se aplica</v>
      </c>
      <c r="AU6" s="9" t="str">
        <f t="shared" si="4"/>
        <v>Não se aplica</v>
      </c>
      <c r="AV6" s="9">
        <f t="shared" si="5"/>
        <v>1</v>
      </c>
      <c r="AW6" s="9">
        <f ca="1">IFERROR(VLOOKUP(AQ6,TarifaMedia!$C$30:$G$31,5,0),0)</f>
        <v>0</v>
      </c>
      <c r="AX6" s="15">
        <f ca="1">'TUSD BE'!$AM6+'TUSD BF'!$AM6+'TUSD CVA'!$AM6</f>
        <v>21.369338625624472</v>
      </c>
      <c r="AY6" s="9">
        <v>22.94</v>
      </c>
      <c r="AZ6" s="9">
        <f t="shared" ca="1" si="6"/>
        <v>0</v>
      </c>
      <c r="BC6" s="80" t="s">
        <v>921</v>
      </c>
    </row>
    <row r="7" spans="1:55" ht="11.25" customHeight="1" x14ac:dyDescent="0.3">
      <c r="A7" s="137"/>
      <c r="B7" s="137"/>
      <c r="C7" s="137"/>
      <c r="D7" s="137"/>
      <c r="E7" s="137"/>
      <c r="F7" s="137"/>
      <c r="G7" s="18" t="s">
        <v>83</v>
      </c>
      <c r="H7" s="18" t="s">
        <v>79</v>
      </c>
      <c r="I7" s="18">
        <f>'MERCADO TUSD'!$U$4</f>
        <v>1760.1130000000001</v>
      </c>
      <c r="J7" s="15"/>
      <c r="L7" s="13">
        <f>'TUSD BE'!$L$7*'TUSD BE'!$L$70</f>
        <v>-0.10411610791539876</v>
      </c>
      <c r="M7" s="13">
        <f>'TUSD BE'!$M$7*'TUSD BE'!$M$70</f>
        <v>2.3429818431922067E-3</v>
      </c>
      <c r="N7" s="13">
        <f ca="1">'TUSD BE'!$N$7*'TUSD BE'!$N$70</f>
        <v>5.3249573966212759E-9</v>
      </c>
      <c r="O7" s="13">
        <f>'TUSD BE'!$O$7*'TUSD BE'!$O$70</f>
        <v>0</v>
      </c>
      <c r="P7" s="13">
        <f>'TUSD BE'!$P$7*'TUSD BE'!$P$70</f>
        <v>0</v>
      </c>
      <c r="Q7" s="13">
        <f>'TUSD BE'!$Q$7*'TUSD BE'!$Q$70</f>
        <v>1.4204634625228039</v>
      </c>
      <c r="R7" s="13">
        <f>'TUSD BE'!$R$7*'TUSD BE'!$R$70</f>
        <v>0.40310841228953048</v>
      </c>
      <c r="S7" s="13">
        <f>'TUSD BE'!$R$7*'TUSD BE'!$S$70</f>
        <v>0</v>
      </c>
      <c r="T7" s="13">
        <f ca="1">SUM($L$7:$S$7)</f>
        <v>1.7217987540650852</v>
      </c>
      <c r="U7" s="13">
        <f>'TUSD BE'!$U$7*'TUSD BE'!$U$70</f>
        <v>0</v>
      </c>
      <c r="V7" s="13">
        <f>'TUSD BE'!$V$7*'TUSD BE'!$V$70</f>
        <v>0</v>
      </c>
      <c r="W7" s="13">
        <f>'TUSD BE'!$W$7*'TUSD BE'!$W$70</f>
        <v>0</v>
      </c>
      <c r="X7" s="13">
        <f>'TUSD BE'!$X$7*'TUSD BE'!$X$70</f>
        <v>0</v>
      </c>
      <c r="Y7" s="13">
        <f>'TUSD BE'!$Y$7*'TUSD BE'!$Y$70</f>
        <v>0</v>
      </c>
      <c r="Z7" s="13">
        <f>'TUSD BE'!$Z$7*'TUSD BE'!$Z$70</f>
        <v>0</v>
      </c>
      <c r="AA7" s="13">
        <f>'TUSD BE'!$AA$7*'TUSD BE'!$AA$70</f>
        <v>0</v>
      </c>
      <c r="AB7" s="13">
        <f>SUM($U$7:$AA$7)</f>
        <v>0</v>
      </c>
      <c r="AC7" s="13">
        <f>'TUSD BE'!$AC$7*'TUSD BE'!$AC$70</f>
        <v>0</v>
      </c>
      <c r="AD7" s="13">
        <f>SUM($AC$7:$AC$7)</f>
        <v>0</v>
      </c>
      <c r="AE7" s="13">
        <f ca="1">$AO$7*$AO$67</f>
        <v>-5.1129232277829155</v>
      </c>
      <c r="AF7" s="13">
        <f ca="1">$AP$7*$AP$67</f>
        <v>0</v>
      </c>
      <c r="AG7" s="13">
        <f ca="1">SUM($AE$7:$AF$7)</f>
        <v>-5.1129232277829155</v>
      </c>
      <c r="AH7" s="13">
        <f>'TUSD BE'!$AH$7*'TUSD BE'!$AH$70</f>
        <v>0.94825685003856086</v>
      </c>
      <c r="AI7" s="13">
        <f>'TUSD BE'!$AI$7*'TUSD BE'!$AI$70</f>
        <v>2.7903683855507361E-2</v>
      </c>
      <c r="AJ7" s="13">
        <f ca="1">'TUSD BE'!$AJ$7*'TUSD BE'!$AJ$70</f>
        <v>8.5410654552989393E-2</v>
      </c>
      <c r="AK7" s="13">
        <f ca="1">'TUSD BE'!$AK$7*'TUSD BE'!$AK$70</f>
        <v>-2.09925014984093E-2</v>
      </c>
      <c r="AL7" s="13">
        <f ca="1">SUM($AH$7:$AK$7)</f>
        <v>1.0405786869486482</v>
      </c>
      <c r="AM7" s="13">
        <f ca="1">SUMIF($L$4:$AL$4,"SUBTOTAL",$L$7:$AL$7)+AZ7</f>
        <v>-2.3505457867691821</v>
      </c>
      <c r="AO7" s="20">
        <f ca="1">+'TUSD BE'!$T$7+'TUSD BE'!$AB$7+'TUSD BE'!$AD$7+'TUSD BE'!$AL$7</f>
        <v>118.35875181404104</v>
      </c>
      <c r="AP7" s="20">
        <f ca="1">+'TUSD BE'!$T$7+'TUSD BE'!$AB$7+'TUSD BE'!$AD$7+'TUSD BE'!$AL$7</f>
        <v>118.35875181404104</v>
      </c>
      <c r="AQ7" s="9" t="str">
        <f t="shared" si="0"/>
        <v>A3a</v>
      </c>
      <c r="AR7" s="9" t="str">
        <f t="shared" si="1"/>
        <v>Azul</v>
      </c>
      <c r="AS7" s="9" t="str">
        <f t="shared" si="2"/>
        <v>Não se aplica</v>
      </c>
      <c r="AT7" s="9" t="str">
        <f t="shared" si="3"/>
        <v>Não se aplica</v>
      </c>
      <c r="AU7" s="9" t="str">
        <f t="shared" si="4"/>
        <v>Não se aplica</v>
      </c>
      <c r="AV7" s="9">
        <f t="shared" si="5"/>
        <v>1</v>
      </c>
      <c r="AW7" s="9">
        <f ca="1">IFERROR(VLOOKUP(AQ7,TarifaMedia!$C$30:$G$31,5,0),0)</f>
        <v>0</v>
      </c>
      <c r="AX7" s="15">
        <f ca="1">'TUSD BE'!$AM7+'TUSD BF'!$AM7+'TUSD CVA'!$AM7</f>
        <v>145.72237393634796</v>
      </c>
      <c r="AY7" s="9">
        <v>139.33000000000001</v>
      </c>
      <c r="AZ7" s="9">
        <f t="shared" ca="1" si="6"/>
        <v>0</v>
      </c>
      <c r="BC7" s="80" t="s">
        <v>922</v>
      </c>
    </row>
    <row r="8" spans="1:55" ht="11.25" customHeight="1" x14ac:dyDescent="0.3">
      <c r="A8" s="137"/>
      <c r="B8" s="137"/>
      <c r="C8" s="137"/>
      <c r="D8" s="137"/>
      <c r="E8" s="17" t="s">
        <v>87</v>
      </c>
      <c r="F8" s="17" t="s">
        <v>25</v>
      </c>
      <c r="G8" s="18" t="s">
        <v>83</v>
      </c>
      <c r="H8" s="18" t="s">
        <v>79</v>
      </c>
      <c r="I8" s="18">
        <f>'MERCADO TUSD'!$U$5</f>
        <v>0</v>
      </c>
      <c r="J8" s="15"/>
      <c r="L8" s="13">
        <f>'TUSD BE'!$L$8*'TUSD BE'!$L$70</f>
        <v>0</v>
      </c>
      <c r="M8" s="13">
        <f>'TUSD BE'!$M$8*'TUSD BE'!$M$70</f>
        <v>2.3429818431922067E-3</v>
      </c>
      <c r="N8" s="13">
        <f ca="1">'TUSD BE'!$N$8*'TUSD BE'!$N$70</f>
        <v>5.1240475737926074E-9</v>
      </c>
      <c r="O8" s="13">
        <f>'TUSD BE'!$O$8*'TUSD BE'!$O$70</f>
        <v>0</v>
      </c>
      <c r="P8" s="13">
        <f>'TUSD BE'!$P$8*'TUSD BE'!$P$70</f>
        <v>0</v>
      </c>
      <c r="Q8" s="13">
        <f>'TUSD BE'!$Q$8*'TUSD BE'!$Q$70</f>
        <v>0</v>
      </c>
      <c r="R8" s="13">
        <f>'TUSD BE'!$R$8*'TUSD BE'!$R$70</f>
        <v>0</v>
      </c>
      <c r="S8" s="13">
        <f>'TUSD BE'!$R$8*'TUSD BE'!$S$70</f>
        <v>0</v>
      </c>
      <c r="T8" s="13">
        <f ca="1">SUM($L$8:$S$8)</f>
        <v>2.3429869672397805E-3</v>
      </c>
      <c r="U8" s="13">
        <f>'TUSD BE'!$U$8*'TUSD BE'!$U$70</f>
        <v>0</v>
      </c>
      <c r="V8" s="13">
        <f>'TUSD BE'!$V$8*'TUSD BE'!$V$70</f>
        <v>0</v>
      </c>
      <c r="W8" s="13">
        <f>'TUSD BE'!$W$8*'TUSD BE'!$W$70</f>
        <v>0</v>
      </c>
      <c r="X8" s="13">
        <f>'TUSD BE'!$X$8*'TUSD BE'!$X$70</f>
        <v>0</v>
      </c>
      <c r="Y8" s="13">
        <f>'TUSD BE'!$Y$8*'TUSD BE'!$Y$70</f>
        <v>0</v>
      </c>
      <c r="Z8" s="13">
        <f>'TUSD BE'!$Z$8*'TUSD BE'!$Z$70</f>
        <v>0</v>
      </c>
      <c r="AA8" s="13">
        <f>'TUSD BE'!$AA$8*'TUSD BE'!$AA$70</f>
        <v>0</v>
      </c>
      <c r="AB8" s="13">
        <f>SUM($U$8:$AA$8)</f>
        <v>0</v>
      </c>
      <c r="AC8" s="13">
        <f>'TUSD BE'!$AC$8*'TUSD BE'!$AC$70</f>
        <v>0</v>
      </c>
      <c r="AD8" s="13">
        <f>SUM($AC$8:$AC$8)</f>
        <v>0</v>
      </c>
      <c r="AE8" s="13">
        <f ca="1">$AO$8*$AO$67</f>
        <v>-0.5968285265562624</v>
      </c>
      <c r="AF8" s="13">
        <f ca="1">$AP$8*$AP$67</f>
        <v>0</v>
      </c>
      <c r="AG8" s="13">
        <f ca="1">SUM($AE$8:$AF$8)</f>
        <v>-0.5968285265562624</v>
      </c>
      <c r="AH8" s="13">
        <f>'TUSD BE'!$AH$8*'TUSD BE'!$AH$70</f>
        <v>0.94825685003856086</v>
      </c>
      <c r="AI8" s="13">
        <f>'TUSD BE'!$AI$8*'TUSD BE'!$AI$70</f>
        <v>2.7903683855507361E-2</v>
      </c>
      <c r="AJ8" s="13">
        <f ca="1">'TUSD BE'!$AJ$8*'TUSD BE'!$AJ$70</f>
        <v>8.5410654552989393E-2</v>
      </c>
      <c r="AK8" s="13">
        <f ca="1">'TUSD BE'!$AK$8*'TUSD BE'!$AK$70</f>
        <v>-2.09925014984093E-2</v>
      </c>
      <c r="AL8" s="13">
        <f ca="1">SUM($AH$8:$AK$8)</f>
        <v>1.0405786869486482</v>
      </c>
      <c r="AM8" s="13">
        <f ca="1">SUMIF($L$4:$AL$4,"SUBTOTAL",$L$8:$AL$8)+AZ8</f>
        <v>0.44609314735962557</v>
      </c>
      <c r="AO8" s="20">
        <f ca="1">+'TUSD BE'!$T$8+'TUSD BE'!$AB$8+'TUSD BE'!$AD$8+'TUSD BE'!$AL$8</f>
        <v>13.815947610236968</v>
      </c>
      <c r="AP8" s="20">
        <f ca="1">+'TUSD BE'!$T$8+'TUSD BE'!$AB$8+'TUSD BE'!$AD$8+'TUSD BE'!$AL$8</f>
        <v>13.815947610236968</v>
      </c>
      <c r="AQ8" s="9" t="str">
        <f t="shared" si="0"/>
        <v>A3a</v>
      </c>
      <c r="AR8" s="9" t="str">
        <f t="shared" si="1"/>
        <v>Azul</v>
      </c>
      <c r="AS8" s="9" t="str">
        <f t="shared" si="2"/>
        <v>Não se aplica</v>
      </c>
      <c r="AT8" s="9" t="str">
        <f t="shared" si="3"/>
        <v>Não se aplica</v>
      </c>
      <c r="AU8" s="9" t="str">
        <f t="shared" si="4"/>
        <v>APE</v>
      </c>
      <c r="AV8" s="9">
        <f t="shared" si="5"/>
        <v>1</v>
      </c>
      <c r="AW8" s="9">
        <f ca="1">IFERROR(VLOOKUP(AQ8,TarifaMedia!$C$30:$G$31,5,0),0)</f>
        <v>0</v>
      </c>
      <c r="AX8" s="15">
        <f ca="1">'TUSD BE'!$AM8+'TUSD BF'!$AM8+'TUSD CVA'!$AM8</f>
        <v>13.611758073268874</v>
      </c>
      <c r="AY8" s="9">
        <v>24.68</v>
      </c>
      <c r="AZ8" s="9">
        <f t="shared" ca="1" si="6"/>
        <v>0</v>
      </c>
      <c r="BC8" s="80" t="s">
        <v>923</v>
      </c>
    </row>
    <row r="9" spans="1:55" ht="11.25" customHeight="1" x14ac:dyDescent="0.3">
      <c r="A9" s="137"/>
      <c r="B9" s="17" t="s">
        <v>60</v>
      </c>
      <c r="C9" s="17" t="s">
        <v>25</v>
      </c>
      <c r="D9" s="17" t="s">
        <v>25</v>
      </c>
      <c r="E9" s="17" t="s">
        <v>25</v>
      </c>
      <c r="F9" s="17" t="s">
        <v>25</v>
      </c>
      <c r="G9" s="18" t="s">
        <v>9</v>
      </c>
      <c r="H9" s="18" t="s">
        <v>84</v>
      </c>
      <c r="I9" s="18">
        <f>'MERCADO TUSD'!$U$6</f>
        <v>36120</v>
      </c>
      <c r="J9" s="15"/>
      <c r="L9" s="13">
        <f>'TUSD BE'!$L$9*'TUSD BE'!$L$70</f>
        <v>0</v>
      </c>
      <c r="M9" s="13">
        <f>'TUSD BE'!$M$9*'TUSD BE'!$M$70</f>
        <v>3.2429097696743948E-4</v>
      </c>
      <c r="N9" s="13">
        <f ca="1">'TUSD BE'!$N$9*'TUSD BE'!$N$70</f>
        <v>3.4998491136753881E-9</v>
      </c>
      <c r="O9" s="13">
        <f>'TUSD BE'!$O$9*'TUSD BE'!$O$70</f>
        <v>0</v>
      </c>
      <c r="P9" s="13">
        <f>'TUSD BE'!$P$9*'TUSD BE'!$P$70</f>
        <v>0</v>
      </c>
      <c r="Q9" s="13">
        <f>'TUSD BE'!$Q$9*'TUSD BE'!$Q$70</f>
        <v>0</v>
      </c>
      <c r="R9" s="13">
        <f>'TUSD BE'!$R$9*'TUSD BE'!$R$70</f>
        <v>0</v>
      </c>
      <c r="S9" s="13">
        <f>'TUSD BE'!$R$9*'TUSD BE'!$S$70</f>
        <v>0</v>
      </c>
      <c r="T9" s="13">
        <f ca="1">SUM($L$9:$S$9)</f>
        <v>3.2429447681655318E-4</v>
      </c>
      <c r="U9" s="13">
        <f>'TUSD BE'!$U$9*'TUSD BE'!$U$70</f>
        <v>0</v>
      </c>
      <c r="V9" s="13">
        <f>'TUSD BE'!$V$9*'TUSD BE'!$V$70</f>
        <v>0</v>
      </c>
      <c r="W9" s="13">
        <f>'TUSD BE'!$W$9*'TUSD BE'!$W$70</f>
        <v>0</v>
      </c>
      <c r="X9" s="13">
        <f>'TUSD BE'!$X$9*'TUSD BE'!$X$70</f>
        <v>0</v>
      </c>
      <c r="Y9" s="13">
        <f>'TUSD BE'!$Y$9*'TUSD BE'!$Y$70</f>
        <v>0</v>
      </c>
      <c r="Z9" s="13">
        <f>'TUSD BE'!$Z$9*'TUSD BE'!$Z$70</f>
        <v>0</v>
      </c>
      <c r="AA9" s="13">
        <f>'TUSD BE'!$AA$9*'TUSD BE'!$AA$70</f>
        <v>0</v>
      </c>
      <c r="AB9" s="13">
        <f>SUM($U$9:$AA$9)</f>
        <v>0</v>
      </c>
      <c r="AC9" s="13">
        <f>'TUSD BE'!$AC$9*'TUSD BE'!$AC$70</f>
        <v>0</v>
      </c>
      <c r="AD9" s="13">
        <f>SUM($AC$9:$AC$9)</f>
        <v>0</v>
      </c>
      <c r="AE9" s="13">
        <f ca="1">$AO$9*$AO$67</f>
        <v>-0.56148140367372812</v>
      </c>
      <c r="AF9" s="13">
        <f ca="1">$AP$9*$AP$67</f>
        <v>0</v>
      </c>
      <c r="AG9" s="13">
        <f ca="1">SUM($AE$9:$AF$9)</f>
        <v>-0.56148140367372812</v>
      </c>
      <c r="AH9" s="13">
        <f>'TUSD BE'!$AH$9*'TUSD BE'!$AH$70</f>
        <v>5.6055781633113663E-4</v>
      </c>
      <c r="AI9" s="13">
        <f>'TUSD BE'!$AI$9*'TUSD BE'!$AI$70</f>
        <v>0</v>
      </c>
      <c r="AJ9" s="13">
        <f ca="1">'TUSD BE'!$AJ$9*'TUSD BE'!$AJ$70</f>
        <v>0</v>
      </c>
      <c r="AK9" s="13">
        <f ca="1">'TUSD BE'!$AK$9*'TUSD BE'!$AK$70</f>
        <v>0</v>
      </c>
      <c r="AL9" s="13">
        <f ca="1">SUM($AH$9:$AK$9)</f>
        <v>5.6055781633113663E-4</v>
      </c>
      <c r="AM9" s="13">
        <f ca="1">SUMIF($L$4:$AL$4,"SUBTOTAL",$L$9:$AL$9)+AZ9</f>
        <v>-0.5605965513805804</v>
      </c>
      <c r="AO9" s="20">
        <f ca="1">+'TUSD BE'!$T$9+'TUSD BE'!$AB$9+'TUSD BE'!$AD$9+'TUSD BE'!$AL$9</f>
        <v>12.997699191825177</v>
      </c>
      <c r="AP9" s="20">
        <f ca="1">+'TUSD BE'!$T$9+'TUSD BE'!$AB$9+'TUSD BE'!$AD$9+'TUSD BE'!$AL$9</f>
        <v>12.997699191825177</v>
      </c>
      <c r="AQ9" s="9" t="str">
        <f t="shared" si="0"/>
        <v>A3a</v>
      </c>
      <c r="AR9" s="9" t="str">
        <f t="shared" si="1"/>
        <v>Geração</v>
      </c>
      <c r="AS9" s="9" t="str">
        <f t="shared" si="2"/>
        <v>Não se aplica</v>
      </c>
      <c r="AT9" s="9" t="str">
        <f t="shared" si="3"/>
        <v>Não se aplica</v>
      </c>
      <c r="AU9" s="9" t="str">
        <f t="shared" si="4"/>
        <v>Não se aplica</v>
      </c>
      <c r="AV9" s="9">
        <f t="shared" si="5"/>
        <v>0</v>
      </c>
      <c r="AW9" s="9">
        <f ca="1">IFERROR(VLOOKUP(AQ9,TarifaMedia!$C$30:$G$31,5,0),0)</f>
        <v>0</v>
      </c>
      <c r="AX9" s="15">
        <f ca="1">'TUSD BE'!$AM9+'TUSD BF'!$AM9+'TUSD CVA'!$AM9</f>
        <v>12.436759261643918</v>
      </c>
      <c r="AY9" s="9">
        <v>11.21</v>
      </c>
      <c r="AZ9" s="9">
        <f t="shared" ca="1" si="6"/>
        <v>0</v>
      </c>
      <c r="BC9" s="80" t="s">
        <v>924</v>
      </c>
    </row>
    <row r="10" spans="1:55" ht="11.25" customHeight="1" x14ac:dyDescent="0.3">
      <c r="A10" s="137"/>
      <c r="B10" s="137" t="s">
        <v>40</v>
      </c>
      <c r="C10" s="137" t="s">
        <v>25</v>
      </c>
      <c r="D10" s="137" t="s">
        <v>25</v>
      </c>
      <c r="E10" s="137" t="s">
        <v>25</v>
      </c>
      <c r="F10" s="137" t="s">
        <v>25</v>
      </c>
      <c r="G10" s="18" t="s">
        <v>9</v>
      </c>
      <c r="H10" s="18" t="s">
        <v>84</v>
      </c>
      <c r="I10" s="18">
        <f>'MERCADO TUSD'!$U$7</f>
        <v>685</v>
      </c>
      <c r="J10" s="15"/>
      <c r="L10" s="13">
        <f>'TUSD BE'!$L$10*'TUSD BE'!$L$70</f>
        <v>0</v>
      </c>
      <c r="M10" s="13">
        <f>'TUSD BE'!$M$10*'TUSD BE'!$M$70</f>
        <v>0</v>
      </c>
      <c r="N10" s="13">
        <f ca="1">'TUSD BE'!$N$10*'TUSD BE'!$N$70</f>
        <v>0</v>
      </c>
      <c r="O10" s="13">
        <f>'TUSD BE'!$O$10*'TUSD BE'!$O$70</f>
        <v>0</v>
      </c>
      <c r="P10" s="13">
        <f>'TUSD BE'!$P$10*'TUSD BE'!$P$70</f>
        <v>0</v>
      </c>
      <c r="Q10" s="13">
        <f>'TUSD BE'!$Q$10*'TUSD BE'!$Q$70</f>
        <v>0</v>
      </c>
      <c r="R10" s="13">
        <f>'TUSD BE'!$R$10*'TUSD BE'!$R$70</f>
        <v>0</v>
      </c>
      <c r="S10" s="13">
        <f>'TUSD BE'!$R$10*'TUSD BE'!$S$70</f>
        <v>0</v>
      </c>
      <c r="T10" s="13">
        <f ca="1">SUM($L$10:$S$10)</f>
        <v>0</v>
      </c>
      <c r="U10" s="13">
        <f>'TUSD BE'!$U$10*'TUSD BE'!$U$70</f>
        <v>-2.9889066068735849E-2</v>
      </c>
      <c r="V10" s="13">
        <f>'TUSD BE'!$V$10*'TUSD BE'!$V$70</f>
        <v>-2.8126919413250191E-2</v>
      </c>
      <c r="W10" s="13">
        <f>'TUSD BE'!$W$10*'TUSD BE'!$W$70</f>
        <v>0</v>
      </c>
      <c r="X10" s="13">
        <f>'TUSD BE'!$X$10*'TUSD BE'!$X$70</f>
        <v>0</v>
      </c>
      <c r="Y10" s="13">
        <f>'TUSD BE'!$Y$10*'TUSD BE'!$Y$70</f>
        <v>0</v>
      </c>
      <c r="Z10" s="13">
        <f>'TUSD BE'!$Z$10*'TUSD BE'!$Z$70</f>
        <v>0</v>
      </c>
      <c r="AA10" s="13">
        <f>'TUSD BE'!$AA$10*'TUSD BE'!$AA$70</f>
        <v>0</v>
      </c>
      <c r="AB10" s="13">
        <f>SUM($U$10:$AA$10)</f>
        <v>-5.801598548198604E-2</v>
      </c>
      <c r="AC10" s="13">
        <f>'TUSD BE'!$AC$10*'TUSD BE'!$AC$70</f>
        <v>0</v>
      </c>
      <c r="AD10" s="13">
        <f>SUM($AC$10:$AC$10)</f>
        <v>0</v>
      </c>
      <c r="AE10" s="13">
        <f ca="1">$AO$10*$AO$67</f>
        <v>-0.93948305983127323</v>
      </c>
      <c r="AF10" s="13">
        <f ca="1">$AP$10*$AP$67</f>
        <v>0</v>
      </c>
      <c r="AG10" s="13">
        <f ca="1">SUM($AE$10:$AF$10)</f>
        <v>-0.93948305983127323</v>
      </c>
      <c r="AH10" s="13">
        <f>'TUSD BE'!$AH$10*'TUSD BE'!$AH$70</f>
        <v>0</v>
      </c>
      <c r="AI10" s="13">
        <f>'TUSD BE'!$AI$10*'TUSD BE'!$AI$70</f>
        <v>0</v>
      </c>
      <c r="AJ10" s="13">
        <f ca="1">'TUSD BE'!$AJ$10*'TUSD BE'!$AJ$70</f>
        <v>0</v>
      </c>
      <c r="AK10" s="13">
        <f ca="1">'TUSD BE'!$AK$10*'TUSD BE'!$AK$70</f>
        <v>0</v>
      </c>
      <c r="AL10" s="13">
        <f ca="1">SUM($AH$10:$AK$10)</f>
        <v>0</v>
      </c>
      <c r="AM10" s="13">
        <f ca="1">SUMIF($L$4:$AL$4,"SUBTOTAL",$L$10:$AL$10)+AZ10</f>
        <v>-0.99749904531325928</v>
      </c>
      <c r="AO10" s="20">
        <f ca="1">+'TUSD BE'!$T$10+'TUSD BE'!$AB$10+'TUSD BE'!$AD$10+'TUSD BE'!$AL$10</f>
        <v>21.748036760622899</v>
      </c>
      <c r="AP10" s="20">
        <f ca="1">+'TUSD BE'!$T$10+'TUSD BE'!$AB$10+'TUSD BE'!$AD$10+'TUSD BE'!$AL$10</f>
        <v>21.748036760622899</v>
      </c>
      <c r="AQ10" s="9" t="str">
        <f t="shared" si="0"/>
        <v>A3a</v>
      </c>
      <c r="AR10" s="9" t="str">
        <f t="shared" si="1"/>
        <v>Verde</v>
      </c>
      <c r="AS10" s="9" t="str">
        <f t="shared" si="2"/>
        <v>Não se aplica</v>
      </c>
      <c r="AT10" s="9" t="str">
        <f t="shared" si="3"/>
        <v>Não se aplica</v>
      </c>
      <c r="AU10" s="9" t="str">
        <f t="shared" si="4"/>
        <v>Não se aplica</v>
      </c>
      <c r="AV10" s="9">
        <f t="shared" si="5"/>
        <v>1</v>
      </c>
      <c r="AW10" s="9">
        <f ca="1">IFERROR(VLOOKUP(AQ10,TarifaMedia!$C$30:$G$31,5,0),0)</f>
        <v>0</v>
      </c>
      <c r="AX10" s="15">
        <f ca="1">'TUSD BE'!$AM10+'TUSD BF'!$AM10+'TUSD CVA'!$AM10</f>
        <v>21.369338625624472</v>
      </c>
      <c r="AY10" s="9">
        <v>22.94</v>
      </c>
      <c r="AZ10" s="9">
        <f t="shared" ca="1" si="6"/>
        <v>0</v>
      </c>
      <c r="BC10" s="80" t="s">
        <v>925</v>
      </c>
    </row>
    <row r="11" spans="1:55" ht="11.25" customHeight="1" x14ac:dyDescent="0.3">
      <c r="A11" s="137"/>
      <c r="B11" s="137"/>
      <c r="C11" s="137"/>
      <c r="D11" s="137"/>
      <c r="E11" s="137"/>
      <c r="F11" s="137"/>
      <c r="G11" s="18" t="s">
        <v>80</v>
      </c>
      <c r="H11" s="18" t="s">
        <v>79</v>
      </c>
      <c r="I11" s="18">
        <f>'MERCADO TUSD'!$U$8</f>
        <v>5.4909999999999997</v>
      </c>
      <c r="J11" s="15"/>
      <c r="L11" s="13">
        <f>'TUSD BE'!$L$11*'TUSD BE'!$L$70</f>
        <v>-0.10411610791539876</v>
      </c>
      <c r="M11" s="13">
        <f>'TUSD BE'!$M$11*'TUSD BE'!$M$70</f>
        <v>2.3429818431922067E-3</v>
      </c>
      <c r="N11" s="13">
        <f ca="1">'TUSD BE'!$N$11*'TUSD BE'!$N$70</f>
        <v>2.249584847725827E-7</v>
      </c>
      <c r="O11" s="13">
        <f>'TUSD BE'!$O$11*'TUSD BE'!$O$70</f>
        <v>0</v>
      </c>
      <c r="P11" s="13">
        <f>'TUSD BE'!$P$11*'TUSD BE'!$P$70</f>
        <v>0</v>
      </c>
      <c r="Q11" s="13">
        <f>'TUSD BE'!$Q$11*'TUSD BE'!$Q$70</f>
        <v>1.4204634625228039</v>
      </c>
      <c r="R11" s="13">
        <f>'TUSD BE'!$R$11*'TUSD BE'!$R$70</f>
        <v>0.40310841228953048</v>
      </c>
      <c r="S11" s="13">
        <f>'TUSD BE'!$R$11*'TUSD BE'!$S$70</f>
        <v>0</v>
      </c>
      <c r="T11" s="13">
        <f ca="1">SUM($L$11:$S$11)</f>
        <v>1.7217989736986126</v>
      </c>
      <c r="U11" s="13">
        <f>'TUSD BE'!$U$11*'TUSD BE'!$U$70</f>
        <v>-1.246023006702369</v>
      </c>
      <c r="V11" s="13">
        <f>'TUSD BE'!$V$11*'TUSD BE'!$V$70</f>
        <v>-1.1320248477313397</v>
      </c>
      <c r="W11" s="13">
        <f>'TUSD BE'!$W$11*'TUSD BE'!$W$70</f>
        <v>0</v>
      </c>
      <c r="X11" s="13">
        <f>'TUSD BE'!$X$11*'TUSD BE'!$X$70</f>
        <v>0</v>
      </c>
      <c r="Y11" s="13">
        <f>'TUSD BE'!$Y$11*'TUSD BE'!$Y$70</f>
        <v>0</v>
      </c>
      <c r="Z11" s="13">
        <f>'TUSD BE'!$Z$11*'TUSD BE'!$Z$70</f>
        <v>0</v>
      </c>
      <c r="AA11" s="13">
        <f>'TUSD BE'!$AA$11*'TUSD BE'!$AA$70</f>
        <v>0</v>
      </c>
      <c r="AB11" s="13">
        <f>SUM($U$11:$AA$11)</f>
        <v>-2.3780478544337087</v>
      </c>
      <c r="AC11" s="13">
        <f>'TUSD BE'!$AC$11*'TUSD BE'!$AC$70</f>
        <v>0</v>
      </c>
      <c r="AD11" s="13">
        <f>SUM($AC$11:$AC$11)</f>
        <v>0</v>
      </c>
      <c r="AE11" s="13">
        <f ca="1">$AO$11*$AO$67</f>
        <v>-60.043198301429882</v>
      </c>
      <c r="AF11" s="13">
        <f ca="1">$AP$11*$AP$67</f>
        <v>0</v>
      </c>
      <c r="AG11" s="13">
        <f ca="1">SUM($AE$11:$AF$11)</f>
        <v>-60.043198301429882</v>
      </c>
      <c r="AH11" s="13">
        <f>'TUSD BE'!$AH$11*'TUSD BE'!$AH$70</f>
        <v>0.94825685003856086</v>
      </c>
      <c r="AI11" s="13">
        <f>'TUSD BE'!$AI$11*'TUSD BE'!$AI$70</f>
        <v>2.7903683855507361E-2</v>
      </c>
      <c r="AJ11" s="13">
        <f ca="1">'TUSD BE'!$AJ$11*'TUSD BE'!$AJ$70</f>
        <v>8.5410654552989393E-2</v>
      </c>
      <c r="AK11" s="13">
        <f ca="1">'TUSD BE'!$AK$11*'TUSD BE'!$AK$70</f>
        <v>-2.09925014984093E-2</v>
      </c>
      <c r="AL11" s="13">
        <f ca="1">SUM($AH$11:$AK$11)</f>
        <v>1.0405786869486482</v>
      </c>
      <c r="AM11" s="13">
        <f ca="1">SUMIF($L$4:$AL$4,"SUBTOTAL",$L$11:$AL$11)+AZ11</f>
        <v>-59.658868495216332</v>
      </c>
      <c r="AO11" s="20">
        <f ca="1">+'TUSD BE'!$T$11+'TUSD BE'!$AB$11+'TUSD BE'!$AD$11+'TUSD BE'!$AL$11</f>
        <v>1389.9363806723529</v>
      </c>
      <c r="AP11" s="20">
        <f ca="1">+'TUSD BE'!$T$11+'TUSD BE'!$AB$11+'TUSD BE'!$AD$11+'TUSD BE'!$AL$11</f>
        <v>1389.9363806723529</v>
      </c>
      <c r="AQ11" s="9" t="str">
        <f t="shared" si="0"/>
        <v>A3a</v>
      </c>
      <c r="AR11" s="9" t="str">
        <f t="shared" si="1"/>
        <v>Verde</v>
      </c>
      <c r="AS11" s="9" t="str">
        <f t="shared" si="2"/>
        <v>Não se aplica</v>
      </c>
      <c r="AT11" s="9" t="str">
        <f t="shared" si="3"/>
        <v>Não se aplica</v>
      </c>
      <c r="AU11" s="9" t="str">
        <f t="shared" si="4"/>
        <v>Não se aplica</v>
      </c>
      <c r="AV11" s="9">
        <f t="shared" si="5"/>
        <v>1</v>
      </c>
      <c r="AW11" s="9">
        <f ca="1">IFERROR(VLOOKUP(AQ11,TarifaMedia!$C$30:$G$31,5,0),0)</f>
        <v>0</v>
      </c>
      <c r="AX11" s="15">
        <f ca="1">'TUSD BE'!$AM11+'TUSD BF'!$AM11+'TUSD CVA'!$AM11</f>
        <v>1385.4977743340116</v>
      </c>
      <c r="AY11" s="9">
        <v>1473.76</v>
      </c>
      <c r="AZ11" s="9">
        <f t="shared" ca="1" si="6"/>
        <v>0</v>
      </c>
      <c r="BC11" s="80" t="s">
        <v>926</v>
      </c>
    </row>
    <row r="12" spans="1:55" ht="11.25" customHeight="1" x14ac:dyDescent="0.3">
      <c r="A12" s="137"/>
      <c r="B12" s="137"/>
      <c r="C12" s="137"/>
      <c r="D12" s="137"/>
      <c r="E12" s="137"/>
      <c r="F12" s="137"/>
      <c r="G12" s="18" t="s">
        <v>81</v>
      </c>
      <c r="H12" s="18" t="s">
        <v>79</v>
      </c>
      <c r="I12" s="18">
        <f>'MERCADO TUSD'!$U$9</f>
        <v>46.585999999999999</v>
      </c>
      <c r="J12" s="15"/>
      <c r="L12" s="13">
        <f>'TUSD BE'!$L$12*'TUSD BE'!$L$70</f>
        <v>-0.10411610791539876</v>
      </c>
      <c r="M12" s="13">
        <f>'TUSD BE'!$M$12*'TUSD BE'!$M$70</f>
        <v>2.3429818431922067E-3</v>
      </c>
      <c r="N12" s="13">
        <f ca="1">'TUSD BE'!$N$12*'TUSD BE'!$N$70</f>
        <v>5.3249573966212759E-9</v>
      </c>
      <c r="O12" s="13">
        <f>'TUSD BE'!$O$12*'TUSD BE'!$O$70</f>
        <v>0</v>
      </c>
      <c r="P12" s="13">
        <f>'TUSD BE'!$P$12*'TUSD BE'!$P$70</f>
        <v>0</v>
      </c>
      <c r="Q12" s="13">
        <f>'TUSD BE'!$Q$12*'TUSD BE'!$Q$70</f>
        <v>1.4204634625228039</v>
      </c>
      <c r="R12" s="13">
        <f>'TUSD BE'!$R$12*'TUSD BE'!$R$70</f>
        <v>0.40310841228953048</v>
      </c>
      <c r="S12" s="13">
        <f>'TUSD BE'!$R$12*'TUSD BE'!$S$70</f>
        <v>0</v>
      </c>
      <c r="T12" s="13">
        <f ca="1">SUM($L$12:$S$12)</f>
        <v>1.7217987540650852</v>
      </c>
      <c r="U12" s="13">
        <f>'TUSD BE'!$U$12*'TUSD BE'!$U$70</f>
        <v>0</v>
      </c>
      <c r="V12" s="13">
        <f>'TUSD BE'!$V$12*'TUSD BE'!$V$70</f>
        <v>0</v>
      </c>
      <c r="W12" s="13">
        <f>'TUSD BE'!$W$12*'TUSD BE'!$W$70</f>
        <v>0</v>
      </c>
      <c r="X12" s="13">
        <f>'TUSD BE'!$X$12*'TUSD BE'!$X$70</f>
        <v>0</v>
      </c>
      <c r="Y12" s="13">
        <f>'TUSD BE'!$Y$12*'TUSD BE'!$Y$70</f>
        <v>0</v>
      </c>
      <c r="Z12" s="13">
        <f>'TUSD BE'!$Z$12*'TUSD BE'!$Z$70</f>
        <v>0</v>
      </c>
      <c r="AA12" s="13">
        <f>'TUSD BE'!$AA$12*'TUSD BE'!$AA$70</f>
        <v>0</v>
      </c>
      <c r="AB12" s="13">
        <f>SUM($U$12:$AA$12)</f>
        <v>0</v>
      </c>
      <c r="AC12" s="13">
        <f>'TUSD BE'!$AC$12*'TUSD BE'!$AC$70</f>
        <v>0</v>
      </c>
      <c r="AD12" s="13">
        <f>SUM($AC$12:$AC$12)</f>
        <v>0</v>
      </c>
      <c r="AE12" s="13">
        <f ca="1">$AO$12*$AO$67</f>
        <v>-5.1129232277829155</v>
      </c>
      <c r="AF12" s="13">
        <f ca="1">$AP$12*$AP$67</f>
        <v>0</v>
      </c>
      <c r="AG12" s="13">
        <f ca="1">SUM($AE$12:$AF$12)</f>
        <v>-5.1129232277829155</v>
      </c>
      <c r="AH12" s="13">
        <f>'TUSD BE'!$AH$12*'TUSD BE'!$AH$70</f>
        <v>0.94825685003856086</v>
      </c>
      <c r="AI12" s="13">
        <f>'TUSD BE'!$AI$12*'TUSD BE'!$AI$70</f>
        <v>2.7903683855507361E-2</v>
      </c>
      <c r="AJ12" s="13">
        <f ca="1">'TUSD BE'!$AJ$12*'TUSD BE'!$AJ$70</f>
        <v>8.5410654552989393E-2</v>
      </c>
      <c r="AK12" s="13">
        <f ca="1">'TUSD BE'!$AK$12*'TUSD BE'!$AK$70</f>
        <v>-2.09925014984093E-2</v>
      </c>
      <c r="AL12" s="13">
        <f ca="1">SUM($AH$12:$AK$12)</f>
        <v>1.0405786869486482</v>
      </c>
      <c r="AM12" s="13">
        <f ca="1">SUMIF($L$4:$AL$4,"SUBTOTAL",$L$12:$AL$12)+AZ12</f>
        <v>-2.3505457867691821</v>
      </c>
      <c r="AO12" s="20">
        <f ca="1">+'TUSD BE'!$T$12+'TUSD BE'!$AB$12+'TUSD BE'!$AD$12+'TUSD BE'!$AL$12</f>
        <v>118.35875181404104</v>
      </c>
      <c r="AP12" s="20">
        <f ca="1">+'TUSD BE'!$T$12+'TUSD BE'!$AB$12+'TUSD BE'!$AD$12+'TUSD BE'!$AL$12</f>
        <v>118.35875181404104</v>
      </c>
      <c r="AQ12" s="9" t="str">
        <f t="shared" si="0"/>
        <v>A3a</v>
      </c>
      <c r="AR12" s="9" t="str">
        <f t="shared" si="1"/>
        <v>Verde</v>
      </c>
      <c r="AS12" s="9" t="str">
        <f t="shared" si="2"/>
        <v>Não se aplica</v>
      </c>
      <c r="AT12" s="9" t="str">
        <f t="shared" si="3"/>
        <v>Não se aplica</v>
      </c>
      <c r="AU12" s="9" t="str">
        <f t="shared" si="4"/>
        <v>Não se aplica</v>
      </c>
      <c r="AV12" s="9">
        <f t="shared" si="5"/>
        <v>1</v>
      </c>
      <c r="AW12" s="9">
        <f ca="1">IFERROR(VLOOKUP(AQ12,TarifaMedia!$C$30:$G$31,5,0),0)</f>
        <v>0</v>
      </c>
      <c r="AX12" s="15">
        <f ca="1">'TUSD BE'!$AM12+'TUSD BF'!$AM12+'TUSD CVA'!$AM12</f>
        <v>145.72237393634796</v>
      </c>
      <c r="AY12" s="9">
        <v>139.33000000000001</v>
      </c>
      <c r="AZ12" s="9">
        <f t="shared" ca="1" si="6"/>
        <v>0</v>
      </c>
      <c r="BC12" s="80" t="s">
        <v>927</v>
      </c>
    </row>
    <row r="13" spans="1:55" ht="11.25" customHeight="1" x14ac:dyDescent="0.3">
      <c r="A13" s="137"/>
      <c r="B13" s="137"/>
      <c r="C13" s="137"/>
      <c r="D13" s="137"/>
      <c r="E13" s="137" t="s">
        <v>87</v>
      </c>
      <c r="F13" s="137" t="s">
        <v>25</v>
      </c>
      <c r="G13" s="18" t="s">
        <v>80</v>
      </c>
      <c r="H13" s="18" t="s">
        <v>79</v>
      </c>
      <c r="I13" s="18">
        <f>'MERCADO TUSD'!$U$10</f>
        <v>0</v>
      </c>
      <c r="J13" s="15"/>
      <c r="L13" s="13">
        <f>'TUSD BE'!$L$13*'TUSD BE'!$L$70</f>
        <v>0</v>
      </c>
      <c r="M13" s="13">
        <f>'TUSD BE'!$M$13*'TUSD BE'!$M$70</f>
        <v>2.3429818431922067E-3</v>
      </c>
      <c r="N13" s="13">
        <f ca="1">'TUSD BE'!$N$13*'TUSD BE'!$N$70</f>
        <v>2.2475757494975401E-7</v>
      </c>
      <c r="O13" s="13">
        <f>'TUSD BE'!$O$13*'TUSD BE'!$O$70</f>
        <v>0</v>
      </c>
      <c r="P13" s="13">
        <f>'TUSD BE'!$P$13*'TUSD BE'!$P$70</f>
        <v>0</v>
      </c>
      <c r="Q13" s="13">
        <f>'TUSD BE'!$Q$13*'TUSD BE'!$Q$70</f>
        <v>0</v>
      </c>
      <c r="R13" s="13">
        <f>'TUSD BE'!$R$13*'TUSD BE'!$R$70</f>
        <v>0</v>
      </c>
      <c r="S13" s="13">
        <f>'TUSD BE'!$R$13*'TUSD BE'!$S$70</f>
        <v>0</v>
      </c>
      <c r="T13" s="13">
        <f ca="1">SUM($L$13:$S$13)</f>
        <v>2.3432066007671565E-3</v>
      </c>
      <c r="U13" s="13">
        <f>'TUSD BE'!$U$13*'TUSD BE'!$U$70</f>
        <v>-1.246023006702369</v>
      </c>
      <c r="V13" s="13">
        <f>'TUSD BE'!$V$13*'TUSD BE'!$V$70</f>
        <v>-1.1320248477313397</v>
      </c>
      <c r="W13" s="13">
        <f>'TUSD BE'!$W$13*'TUSD BE'!$W$70</f>
        <v>0</v>
      </c>
      <c r="X13" s="13">
        <f>'TUSD BE'!$X$13*'TUSD BE'!$X$70</f>
        <v>0</v>
      </c>
      <c r="Y13" s="13">
        <f>'TUSD BE'!$Y$13*'TUSD BE'!$Y$70</f>
        <v>0</v>
      </c>
      <c r="Z13" s="13">
        <f>'TUSD BE'!$Z$13*'TUSD BE'!$Z$70</f>
        <v>0</v>
      </c>
      <c r="AA13" s="13">
        <f>'TUSD BE'!$AA$13*'TUSD BE'!$AA$70</f>
        <v>0</v>
      </c>
      <c r="AB13" s="13">
        <f>SUM($U$13:$AA$13)</f>
        <v>-2.3780478544337087</v>
      </c>
      <c r="AC13" s="13">
        <f>'TUSD BE'!$AC$13*'TUSD BE'!$AC$70</f>
        <v>0</v>
      </c>
      <c r="AD13" s="13">
        <f>SUM($AC$13:$AC$13)</f>
        <v>0</v>
      </c>
      <c r="AE13" s="13">
        <f ca="1">$AO$13*$AO$67</f>
        <v>-55.527103600203233</v>
      </c>
      <c r="AF13" s="13">
        <f ca="1">$AP$13*$AP$67</f>
        <v>0</v>
      </c>
      <c r="AG13" s="13">
        <f ca="1">SUM($AE$13:$AF$13)</f>
        <v>-55.527103600203233</v>
      </c>
      <c r="AH13" s="13">
        <f>'TUSD BE'!$AH$13*'TUSD BE'!$AH$70</f>
        <v>0.94825685003856086</v>
      </c>
      <c r="AI13" s="13">
        <f>'TUSD BE'!$AI$13*'TUSD BE'!$AI$70</f>
        <v>2.7903683855507361E-2</v>
      </c>
      <c r="AJ13" s="13">
        <f ca="1">'TUSD BE'!$AJ$13*'TUSD BE'!$AJ$70</f>
        <v>8.5410654552989393E-2</v>
      </c>
      <c r="AK13" s="13">
        <f ca="1">'TUSD BE'!$AK$13*'TUSD BE'!$AK$70</f>
        <v>-2.09925014984093E-2</v>
      </c>
      <c r="AL13" s="13">
        <f ca="1">SUM($AH$13:$AK$13)</f>
        <v>1.0405786869486482</v>
      </c>
      <c r="AM13" s="13">
        <f ca="1">SUMIF($L$4:$AL$4,"SUBTOTAL",$L$13:$AL$13)+AZ13</f>
        <v>-56.862229561087524</v>
      </c>
      <c r="AO13" s="20">
        <f ca="1">+'TUSD BE'!$T$13+'TUSD BE'!$AB$13+'TUSD BE'!$AD$13+'TUSD BE'!$AL$13</f>
        <v>1285.3935764685489</v>
      </c>
      <c r="AP13" s="20">
        <f ca="1">+'TUSD BE'!$T$13+'TUSD BE'!$AB$13+'TUSD BE'!$AD$13+'TUSD BE'!$AL$13</f>
        <v>1285.3935764685489</v>
      </c>
      <c r="AQ13" s="9" t="str">
        <f t="shared" si="0"/>
        <v>A3a</v>
      </c>
      <c r="AR13" s="9" t="str">
        <f t="shared" si="1"/>
        <v>Verde</v>
      </c>
      <c r="AS13" s="9" t="str">
        <f t="shared" si="2"/>
        <v>Não se aplica</v>
      </c>
      <c r="AT13" s="9" t="str">
        <f t="shared" si="3"/>
        <v>Não se aplica</v>
      </c>
      <c r="AU13" s="9" t="str">
        <f t="shared" si="4"/>
        <v>APE</v>
      </c>
      <c r="AV13" s="9">
        <f t="shared" si="5"/>
        <v>1</v>
      </c>
      <c r="AW13" s="9">
        <f ca="1">IFERROR(VLOOKUP(AQ13,TarifaMedia!$C$30:$G$31,5,0),0)</f>
        <v>0</v>
      </c>
      <c r="AX13" s="15">
        <f ca="1">'TUSD BE'!$AM13+'TUSD BF'!$AM13+'TUSD CVA'!$AM13</f>
        <v>1253.3871584709327</v>
      </c>
      <c r="AY13" s="9">
        <v>1359.11</v>
      </c>
      <c r="AZ13" s="9">
        <f t="shared" ca="1" si="6"/>
        <v>0</v>
      </c>
      <c r="BC13" s="80" t="s">
        <v>928</v>
      </c>
    </row>
    <row r="14" spans="1:55" ht="11.25" customHeight="1" x14ac:dyDescent="0.3">
      <c r="A14" s="137"/>
      <c r="B14" s="137"/>
      <c r="C14" s="137"/>
      <c r="D14" s="137"/>
      <c r="E14" s="137"/>
      <c r="F14" s="137"/>
      <c r="G14" s="18" t="s">
        <v>81</v>
      </c>
      <c r="H14" s="18" t="s">
        <v>79</v>
      </c>
      <c r="I14" s="18">
        <f>'MERCADO TUSD'!$U$11</f>
        <v>0</v>
      </c>
      <c r="J14" s="15"/>
      <c r="L14" s="13">
        <f>'TUSD BE'!$L$14*'TUSD BE'!$L$70</f>
        <v>0</v>
      </c>
      <c r="M14" s="13">
        <f>'TUSD BE'!$M$14*'TUSD BE'!$M$70</f>
        <v>2.3429818431922067E-3</v>
      </c>
      <c r="N14" s="13">
        <f ca="1">'TUSD BE'!$N$14*'TUSD BE'!$N$70</f>
        <v>5.1240475737926074E-9</v>
      </c>
      <c r="O14" s="13">
        <f>'TUSD BE'!$O$14*'TUSD BE'!$O$70</f>
        <v>0</v>
      </c>
      <c r="P14" s="13">
        <f>'TUSD BE'!$P$14*'TUSD BE'!$P$70</f>
        <v>0</v>
      </c>
      <c r="Q14" s="13">
        <f>'TUSD BE'!$Q$14*'TUSD BE'!$Q$70</f>
        <v>0</v>
      </c>
      <c r="R14" s="13">
        <f>'TUSD BE'!$R$14*'TUSD BE'!$R$70</f>
        <v>0</v>
      </c>
      <c r="S14" s="13">
        <f>'TUSD BE'!$R$14*'TUSD BE'!$S$70</f>
        <v>0</v>
      </c>
      <c r="T14" s="13">
        <f ca="1">SUM($L$14:$S$14)</f>
        <v>2.3429869672397805E-3</v>
      </c>
      <c r="U14" s="13">
        <f>'TUSD BE'!$U$14*'TUSD BE'!$U$70</f>
        <v>0</v>
      </c>
      <c r="V14" s="13">
        <f>'TUSD BE'!$V$14*'TUSD BE'!$V$70</f>
        <v>0</v>
      </c>
      <c r="W14" s="13">
        <f>'TUSD BE'!$W$14*'TUSD BE'!$W$70</f>
        <v>0</v>
      </c>
      <c r="X14" s="13">
        <f>'TUSD BE'!$X$14*'TUSD BE'!$X$70</f>
        <v>0</v>
      </c>
      <c r="Y14" s="13">
        <f>'TUSD BE'!$Y$14*'TUSD BE'!$Y$70</f>
        <v>0</v>
      </c>
      <c r="Z14" s="13">
        <f>'TUSD BE'!$Z$14*'TUSD BE'!$Z$70</f>
        <v>0</v>
      </c>
      <c r="AA14" s="13">
        <f>'TUSD BE'!$AA$14*'TUSD BE'!$AA$70</f>
        <v>0</v>
      </c>
      <c r="AB14" s="13">
        <f>SUM($U$14:$AA$14)</f>
        <v>0</v>
      </c>
      <c r="AC14" s="13">
        <f>'TUSD BE'!$AC$14*'TUSD BE'!$AC$70</f>
        <v>0</v>
      </c>
      <c r="AD14" s="13">
        <f>SUM($AC$14:$AC$14)</f>
        <v>0</v>
      </c>
      <c r="AE14" s="13">
        <f ca="1">$AO$14*$AO$67</f>
        <v>-0.5968285265562624</v>
      </c>
      <c r="AF14" s="13">
        <f ca="1">$AP$14*$AP$67</f>
        <v>0</v>
      </c>
      <c r="AG14" s="13">
        <f ca="1">SUM($AE$14:$AF$14)</f>
        <v>-0.5968285265562624</v>
      </c>
      <c r="AH14" s="13">
        <f>'TUSD BE'!$AH$14*'TUSD BE'!$AH$70</f>
        <v>0.94825685003856086</v>
      </c>
      <c r="AI14" s="13">
        <f>'TUSD BE'!$AI$14*'TUSD BE'!$AI$70</f>
        <v>2.7903683855507361E-2</v>
      </c>
      <c r="AJ14" s="13">
        <f ca="1">'TUSD BE'!$AJ$14*'TUSD BE'!$AJ$70</f>
        <v>8.5410654552989393E-2</v>
      </c>
      <c r="AK14" s="13">
        <f ca="1">'TUSD BE'!$AK$14*'TUSD BE'!$AK$70</f>
        <v>-2.09925014984093E-2</v>
      </c>
      <c r="AL14" s="13">
        <f ca="1">SUM($AH$14:$AK$14)</f>
        <v>1.0405786869486482</v>
      </c>
      <c r="AM14" s="13">
        <f ca="1">SUMIF($L$4:$AL$4,"SUBTOTAL",$L$14:$AL$14)+AZ14</f>
        <v>0.44609314735962557</v>
      </c>
      <c r="AO14" s="20">
        <f ca="1">+'TUSD BE'!$T$14+'TUSD BE'!$AB$14+'TUSD BE'!$AD$14+'TUSD BE'!$AL$14</f>
        <v>13.815947610236968</v>
      </c>
      <c r="AP14" s="20">
        <f ca="1">+'TUSD BE'!$T$14+'TUSD BE'!$AB$14+'TUSD BE'!$AD$14+'TUSD BE'!$AL$14</f>
        <v>13.815947610236968</v>
      </c>
      <c r="AQ14" s="9" t="str">
        <f t="shared" si="0"/>
        <v>A3a</v>
      </c>
      <c r="AR14" s="9" t="str">
        <f t="shared" si="1"/>
        <v>Verde</v>
      </c>
      <c r="AS14" s="9" t="str">
        <f t="shared" si="2"/>
        <v>Não se aplica</v>
      </c>
      <c r="AT14" s="9" t="str">
        <f t="shared" si="3"/>
        <v>Não se aplica</v>
      </c>
      <c r="AU14" s="9" t="str">
        <f t="shared" si="4"/>
        <v>APE</v>
      </c>
      <c r="AV14" s="9">
        <f t="shared" si="5"/>
        <v>1</v>
      </c>
      <c r="AW14" s="9">
        <f ca="1">IFERROR(VLOOKUP(AQ14,TarifaMedia!$C$30:$G$31,5,0),0)</f>
        <v>0</v>
      </c>
      <c r="AX14" s="15">
        <f ca="1">'TUSD BE'!$AM14+'TUSD BF'!$AM14+'TUSD CVA'!$AM14</f>
        <v>13.611758073268874</v>
      </c>
      <c r="AY14" s="9">
        <v>24.68</v>
      </c>
      <c r="AZ14" s="9">
        <f t="shared" ca="1" si="6"/>
        <v>0</v>
      </c>
      <c r="BC14" s="80" t="s">
        <v>929</v>
      </c>
    </row>
    <row r="15" spans="1:55" ht="11.25" customHeight="1" x14ac:dyDescent="0.3">
      <c r="A15" s="137"/>
      <c r="B15" s="137" t="s">
        <v>23</v>
      </c>
      <c r="C15" s="137" t="s">
        <v>25</v>
      </c>
      <c r="D15" s="137" t="s">
        <v>25</v>
      </c>
      <c r="E15" s="137" t="s">
        <v>25</v>
      </c>
      <c r="F15" s="137" t="s">
        <v>25</v>
      </c>
      <c r="G15" s="18" t="s">
        <v>9</v>
      </c>
      <c r="H15" s="18" t="s">
        <v>84</v>
      </c>
      <c r="I15" s="18">
        <f>'MERCADO TUSD'!$U$12</f>
        <v>0</v>
      </c>
      <c r="J15" s="15"/>
      <c r="L15" s="13">
        <f>'TUSD BE'!$L$15*'TUSD BE'!$L$70</f>
        <v>0</v>
      </c>
      <c r="M15" s="13">
        <f>'TUSD BE'!$M$15*'TUSD BE'!$M$70</f>
        <v>0</v>
      </c>
      <c r="N15" s="13">
        <f ca="1">'TUSD BE'!$N$15*'TUSD BE'!$N$70</f>
        <v>0</v>
      </c>
      <c r="O15" s="13">
        <f>'TUSD BE'!$O$15*'TUSD BE'!$O$70</f>
        <v>0</v>
      </c>
      <c r="P15" s="13">
        <f>'TUSD BE'!$P$15*'TUSD BE'!$P$70</f>
        <v>0</v>
      </c>
      <c r="Q15" s="13">
        <f>'TUSD BE'!$Q$15*'TUSD BE'!$Q$70</f>
        <v>0</v>
      </c>
      <c r="R15" s="13">
        <f>'TUSD BE'!$R$15*'TUSD BE'!$R$70</f>
        <v>0</v>
      </c>
      <c r="S15" s="13">
        <f>'TUSD BE'!$R$15*'TUSD BE'!$S$70</f>
        <v>0</v>
      </c>
      <c r="T15" s="13">
        <f ca="1">SUM($L$15:$S$15)</f>
        <v>0</v>
      </c>
      <c r="U15" s="13">
        <f>'TUSD BE'!$U$15*'TUSD BE'!$U$70</f>
        <v>-6.7191928438802881E-2</v>
      </c>
      <c r="V15" s="13">
        <f>'TUSD BE'!$V$15*'TUSD BE'!$V$70</f>
        <v>-6.2016990407382719E-2</v>
      </c>
      <c r="W15" s="13">
        <f>'TUSD BE'!$W$15*'TUSD BE'!$W$70</f>
        <v>0</v>
      </c>
      <c r="X15" s="13">
        <f>'TUSD BE'!$X$15*'TUSD BE'!$X$70</f>
        <v>0</v>
      </c>
      <c r="Y15" s="13">
        <f>'TUSD BE'!$Y$15*'TUSD BE'!$Y$70</f>
        <v>0</v>
      </c>
      <c r="Z15" s="13">
        <f>'TUSD BE'!$Z$15*'TUSD BE'!$Z$70</f>
        <v>0</v>
      </c>
      <c r="AA15" s="13">
        <f>'TUSD BE'!$AA$15*'TUSD BE'!$AA$70</f>
        <v>0</v>
      </c>
      <c r="AB15" s="13">
        <f>SUM($U$15:$AA$15)</f>
        <v>-0.1292089188461856</v>
      </c>
      <c r="AC15" s="13">
        <f>'TUSD BE'!$AC$15*'TUSD BE'!$AC$70</f>
        <v>0</v>
      </c>
      <c r="AD15" s="13">
        <f>SUM($AC$15:$AC$15)</f>
        <v>0</v>
      </c>
      <c r="AE15" s="13">
        <f ca="1">$AO$15*$AO$67</f>
        <v>-2.5673699869641209</v>
      </c>
      <c r="AF15" s="13">
        <f ca="1">$AP$15*$AP$67</f>
        <v>0</v>
      </c>
      <c r="AG15" s="13">
        <f ca="1">SUM($AE$15:$AF$15)</f>
        <v>-2.5673699869641209</v>
      </c>
      <c r="AH15" s="13">
        <f>'TUSD BE'!$AH$15*'TUSD BE'!$AH$70</f>
        <v>0</v>
      </c>
      <c r="AI15" s="13">
        <f>'TUSD BE'!$AI$15*'TUSD BE'!$AI$70</f>
        <v>0</v>
      </c>
      <c r="AJ15" s="13">
        <f ca="1">'TUSD BE'!$AJ$15*'TUSD BE'!$AJ$70</f>
        <v>0</v>
      </c>
      <c r="AK15" s="13">
        <f ca="1">'TUSD BE'!$AK$15*'TUSD BE'!$AK$70</f>
        <v>0</v>
      </c>
      <c r="AL15" s="13">
        <f ca="1">SUM($AH$15:$AK$15)</f>
        <v>0</v>
      </c>
      <c r="AM15" s="13">
        <f ca="1">SUMIF($L$4:$AL$4,"SUBTOTAL",$L$15:$AL$15)+AZ15</f>
        <v>-2.6965789058103065</v>
      </c>
      <c r="AO15" s="20">
        <f ca="1">+'TUSD BE'!$T$15+'TUSD BE'!$AB$15+'TUSD BE'!$AD$15+'TUSD BE'!$AL$15</f>
        <v>59.431893178194599</v>
      </c>
      <c r="AP15" s="20">
        <f ca="1">+'TUSD BE'!$T$15+'TUSD BE'!$AB$15+'TUSD BE'!$AD$15+'TUSD BE'!$AL$15</f>
        <v>59.431893178194599</v>
      </c>
      <c r="AQ15" s="9" t="str">
        <f t="shared" si="0"/>
        <v>A3a</v>
      </c>
      <c r="AR15" s="9" t="str">
        <f t="shared" si="1"/>
        <v>Convencional</v>
      </c>
      <c r="AS15" s="9" t="str">
        <f t="shared" si="2"/>
        <v>Não se aplica</v>
      </c>
      <c r="AT15" s="9" t="str">
        <f t="shared" si="3"/>
        <v>Não se aplica</v>
      </c>
      <c r="AU15" s="9" t="str">
        <f t="shared" si="4"/>
        <v>Não se aplica</v>
      </c>
      <c r="AV15" s="9">
        <f t="shared" si="5"/>
        <v>1</v>
      </c>
      <c r="AW15" s="9">
        <f ca="1">IFERROR(VLOOKUP(AQ15,TarifaMedia!$C$30:$G$31,5,0),0)</f>
        <v>0</v>
      </c>
      <c r="AX15" s="15">
        <f ca="1">'TUSD BE'!$AM15+'TUSD BF'!$AM15+'TUSD CVA'!$AM15</f>
        <v>58.117705110502001</v>
      </c>
      <c r="AY15" s="9">
        <v>0</v>
      </c>
      <c r="AZ15" s="9">
        <f t="shared" ca="1" si="6"/>
        <v>0</v>
      </c>
      <c r="BC15" s="80" t="s">
        <v>930</v>
      </c>
    </row>
    <row r="16" spans="1:55" ht="11.25" customHeight="1" x14ac:dyDescent="0.3">
      <c r="A16" s="137"/>
      <c r="B16" s="137"/>
      <c r="C16" s="137"/>
      <c r="D16" s="137"/>
      <c r="E16" s="137"/>
      <c r="F16" s="137"/>
      <c r="G16" s="18" t="s">
        <v>83</v>
      </c>
      <c r="H16" s="18" t="s">
        <v>79</v>
      </c>
      <c r="I16" s="18">
        <f>'MERCADO TUSD'!$U$13</f>
        <v>0</v>
      </c>
      <c r="J16" s="15"/>
      <c r="L16" s="13">
        <f>'TUSD BE'!$L$16*'TUSD BE'!$L$70</f>
        <v>-0.10411610791539876</v>
      </c>
      <c r="M16" s="13">
        <f>'TUSD BE'!$M$16*'TUSD BE'!$M$70</f>
        <v>2.3429818431922067E-3</v>
      </c>
      <c r="N16" s="13">
        <f ca="1">'TUSD BE'!$N$16*'TUSD BE'!$N$70</f>
        <v>5.3249573966212759E-9</v>
      </c>
      <c r="O16" s="13">
        <f>'TUSD BE'!$O$16*'TUSD BE'!$O$70</f>
        <v>0</v>
      </c>
      <c r="P16" s="13">
        <f>'TUSD BE'!$P$16*'TUSD BE'!$P$70</f>
        <v>0</v>
      </c>
      <c r="Q16" s="13">
        <f>'TUSD BE'!$Q$16*'TUSD BE'!$Q$70</f>
        <v>1.4204634625228039</v>
      </c>
      <c r="R16" s="13">
        <f>'TUSD BE'!$R$16*'TUSD BE'!$R$70</f>
        <v>0.40310841228953048</v>
      </c>
      <c r="S16" s="13">
        <f>'TUSD BE'!$R$16*'TUSD BE'!$S$70</f>
        <v>0</v>
      </c>
      <c r="T16" s="13">
        <f ca="1">SUM($L$16:$S$16)</f>
        <v>1.7217987540650852</v>
      </c>
      <c r="U16" s="13">
        <f>'TUSD BE'!$U$16*'TUSD BE'!$U$70</f>
        <v>0</v>
      </c>
      <c r="V16" s="13">
        <f>'TUSD BE'!$V$16*'TUSD BE'!$V$70</f>
        <v>0</v>
      </c>
      <c r="W16" s="13">
        <f>'TUSD BE'!$W$16*'TUSD BE'!$W$70</f>
        <v>0</v>
      </c>
      <c r="X16" s="13">
        <f>'TUSD BE'!$X$16*'TUSD BE'!$X$70</f>
        <v>0</v>
      </c>
      <c r="Y16" s="13">
        <f>'TUSD BE'!$Y$16*'TUSD BE'!$Y$70</f>
        <v>0</v>
      </c>
      <c r="Z16" s="13">
        <f>'TUSD BE'!$Z$16*'TUSD BE'!$Z$70</f>
        <v>0</v>
      </c>
      <c r="AA16" s="13">
        <f>'TUSD BE'!$AA$16*'TUSD BE'!$AA$70</f>
        <v>0</v>
      </c>
      <c r="AB16" s="13">
        <f>SUM($U$16:$AA$16)</f>
        <v>0</v>
      </c>
      <c r="AC16" s="13">
        <f>'TUSD BE'!$AC$16*'TUSD BE'!$AC$70</f>
        <v>0</v>
      </c>
      <c r="AD16" s="13">
        <f>SUM($AC$16:$AC$16)</f>
        <v>0</v>
      </c>
      <c r="AE16" s="13">
        <f ca="1">$AO$16*$AO$67</f>
        <v>-5.1129232277829155</v>
      </c>
      <c r="AF16" s="13">
        <f ca="1">$AP$16*$AP$67</f>
        <v>0</v>
      </c>
      <c r="AG16" s="13">
        <f ca="1">SUM($AE$16:$AF$16)</f>
        <v>-5.1129232277829155</v>
      </c>
      <c r="AH16" s="13">
        <f>'TUSD BE'!$AH$16*'TUSD BE'!$AH$70</f>
        <v>0.94825685003856086</v>
      </c>
      <c r="AI16" s="13">
        <f>'TUSD BE'!$AI$16*'TUSD BE'!$AI$70</f>
        <v>2.7903683855507361E-2</v>
      </c>
      <c r="AJ16" s="13">
        <f ca="1">'TUSD BE'!$AJ$16*'TUSD BE'!$AJ$70</f>
        <v>8.5410654552989393E-2</v>
      </c>
      <c r="AK16" s="13">
        <f ca="1">'TUSD BE'!$AK$16*'TUSD BE'!$AK$70</f>
        <v>-2.09925014984093E-2</v>
      </c>
      <c r="AL16" s="13">
        <f ca="1">SUM($AH$16:$AK$16)</f>
        <v>1.0405786869486482</v>
      </c>
      <c r="AM16" s="13">
        <f ca="1">SUMIF($L$4:$AL$4,"SUBTOTAL",$L$16:$AL$16)+AZ16</f>
        <v>-2.3505457867691821</v>
      </c>
      <c r="AO16" s="20">
        <f ca="1">+'TUSD BE'!$T$16+'TUSD BE'!$AB$16+'TUSD BE'!$AD$16+'TUSD BE'!$AL$16</f>
        <v>118.35875181404104</v>
      </c>
      <c r="AP16" s="20">
        <f ca="1">+'TUSD BE'!$T$16+'TUSD BE'!$AB$16+'TUSD BE'!$AD$16+'TUSD BE'!$AL$16</f>
        <v>118.35875181404104</v>
      </c>
      <c r="AQ16" s="9" t="str">
        <f t="shared" si="0"/>
        <v>A3a</v>
      </c>
      <c r="AR16" s="9" t="str">
        <f t="shared" si="1"/>
        <v>Convencional</v>
      </c>
      <c r="AS16" s="9" t="str">
        <f t="shared" si="2"/>
        <v>Não se aplica</v>
      </c>
      <c r="AT16" s="9" t="str">
        <f t="shared" si="3"/>
        <v>Não se aplica</v>
      </c>
      <c r="AU16" s="9" t="str">
        <f t="shared" si="4"/>
        <v>Não se aplica</v>
      </c>
      <c r="AV16" s="9">
        <f t="shared" si="5"/>
        <v>1</v>
      </c>
      <c r="AW16" s="9">
        <f ca="1">IFERROR(VLOOKUP(AQ16,TarifaMedia!$C$30:$G$31,5,0),0)</f>
        <v>0</v>
      </c>
      <c r="AX16" s="15">
        <f ca="1">'TUSD BE'!$AM16+'TUSD BF'!$AM16+'TUSD CVA'!$AM16</f>
        <v>145.72237393634796</v>
      </c>
      <c r="AY16" s="9">
        <v>0</v>
      </c>
      <c r="AZ16" s="9">
        <f t="shared" ca="1" si="6"/>
        <v>0</v>
      </c>
      <c r="BC16" s="80" t="s">
        <v>931</v>
      </c>
    </row>
    <row r="17" spans="1:55" ht="11.25" customHeight="1" x14ac:dyDescent="0.3">
      <c r="A17" s="137" t="s">
        <v>39</v>
      </c>
      <c r="B17" s="137" t="s">
        <v>42</v>
      </c>
      <c r="C17" s="137" t="s">
        <v>25</v>
      </c>
      <c r="D17" s="137" t="s">
        <v>25</v>
      </c>
      <c r="E17" s="137" t="s">
        <v>25</v>
      </c>
      <c r="F17" s="137" t="s">
        <v>25</v>
      </c>
      <c r="G17" s="18" t="s">
        <v>85</v>
      </c>
      <c r="H17" s="18" t="s">
        <v>84</v>
      </c>
      <c r="I17" s="18">
        <f>'MERCADO TUSD'!$U$14</f>
        <v>6798</v>
      </c>
      <c r="J17" s="15"/>
      <c r="L17" s="13">
        <f>'TUSD BE'!$L$17*'TUSD BE'!$L$70</f>
        <v>0</v>
      </c>
      <c r="M17" s="13">
        <f>'TUSD BE'!$M$17*'TUSD BE'!$M$70</f>
        <v>0</v>
      </c>
      <c r="N17" s="13">
        <f ca="1">'TUSD BE'!$N$17*'TUSD BE'!$N$70</f>
        <v>0</v>
      </c>
      <c r="O17" s="13">
        <f>'TUSD BE'!$O$17*'TUSD BE'!$O$70</f>
        <v>0</v>
      </c>
      <c r="P17" s="13">
        <f>'TUSD BE'!$P$17*'TUSD BE'!$P$70</f>
        <v>0</v>
      </c>
      <c r="Q17" s="13">
        <f>'TUSD BE'!$Q$17*'TUSD BE'!$Q$70</f>
        <v>0</v>
      </c>
      <c r="R17" s="13">
        <f>'TUSD BE'!$R$17*'TUSD BE'!$R$70</f>
        <v>0</v>
      </c>
      <c r="S17" s="13">
        <f>'TUSD BE'!$R$17*'TUSD BE'!$S$70</f>
        <v>0</v>
      </c>
      <c r="T17" s="13">
        <f ca="1">SUM($L$17:$S$17)</f>
        <v>0</v>
      </c>
      <c r="U17" s="13">
        <f>'TUSD BE'!$U$17*'TUSD BE'!$U$70</f>
        <v>-5.1809720293537094E-2</v>
      </c>
      <c r="V17" s="13">
        <f>'TUSD BE'!$V$17*'TUSD BE'!$V$70</f>
        <v>-4.706997792019111E-2</v>
      </c>
      <c r="W17" s="13">
        <f>'TUSD BE'!$W$17*'TUSD BE'!$W$70</f>
        <v>0</v>
      </c>
      <c r="X17" s="13">
        <f>'TUSD BE'!$X$17*'TUSD BE'!$X$70</f>
        <v>0</v>
      </c>
      <c r="Y17" s="13">
        <f>'TUSD BE'!$Y$17*'TUSD BE'!$Y$70</f>
        <v>0</v>
      </c>
      <c r="Z17" s="13">
        <f>'TUSD BE'!$Z$17*'TUSD BE'!$Z$70</f>
        <v>0</v>
      </c>
      <c r="AA17" s="13">
        <f>'TUSD BE'!$AA$17*'TUSD BE'!$AA$70</f>
        <v>0</v>
      </c>
      <c r="AB17" s="13">
        <f>SUM($U$17:$AA$17)</f>
        <v>-9.8879698213728204E-2</v>
      </c>
      <c r="AC17" s="13">
        <f>'TUSD BE'!$AC$17*'TUSD BE'!$AC$70</f>
        <v>0</v>
      </c>
      <c r="AD17" s="13">
        <f>SUM($AC$17:$AC$17)</f>
        <v>0</v>
      </c>
      <c r="AE17" s="13">
        <f ca="1">$AO$17*$AO$67</f>
        <v>-2.2609563594644144</v>
      </c>
      <c r="AF17" s="13">
        <f ca="1">$AP$17*$AP$67</f>
        <v>0</v>
      </c>
      <c r="AG17" s="13">
        <f ca="1">SUM($AE$17:$AF$17)</f>
        <v>-2.2609563594644144</v>
      </c>
      <c r="AH17" s="13">
        <f>'TUSD BE'!$AH$17*'TUSD BE'!$AH$70</f>
        <v>0</v>
      </c>
      <c r="AI17" s="13">
        <f>'TUSD BE'!$AI$17*'TUSD BE'!$AI$70</f>
        <v>0</v>
      </c>
      <c r="AJ17" s="13">
        <f ca="1">'TUSD BE'!$AJ$17*'TUSD BE'!$AJ$70</f>
        <v>0</v>
      </c>
      <c r="AK17" s="13">
        <f ca="1">'TUSD BE'!$AK$17*'TUSD BE'!$AK$70</f>
        <v>0</v>
      </c>
      <c r="AL17" s="13">
        <f ca="1">SUM($AH$17:$AK$17)</f>
        <v>0</v>
      </c>
      <c r="AM17" s="13">
        <f ca="1">SUMIF($L$4:$AL$4,"SUBTOTAL",$L$17:$AL$17)+AZ17</f>
        <v>-2.3598360576781428</v>
      </c>
      <c r="AO17" s="20">
        <f ca="1">+'TUSD BE'!$T$17+'TUSD BE'!$AB$17+'TUSD BE'!$AD$17+'TUSD BE'!$AL$17</f>
        <v>52.338742572566609</v>
      </c>
      <c r="AP17" s="20">
        <f ca="1">+'TUSD BE'!$T$17+'TUSD BE'!$AB$17+'TUSD BE'!$AD$17+'TUSD BE'!$AL$17</f>
        <v>52.338742572566609</v>
      </c>
      <c r="AQ17" s="9" t="str">
        <f t="shared" si="0"/>
        <v>A4</v>
      </c>
      <c r="AR17" s="9" t="str">
        <f t="shared" si="1"/>
        <v>Azul</v>
      </c>
      <c r="AS17" s="9" t="str">
        <f t="shared" si="2"/>
        <v>Não se aplica</v>
      </c>
      <c r="AT17" s="9" t="str">
        <f t="shared" si="3"/>
        <v>Não se aplica</v>
      </c>
      <c r="AU17" s="9" t="str">
        <f t="shared" si="4"/>
        <v>Não se aplica</v>
      </c>
      <c r="AV17" s="9">
        <f t="shared" si="5"/>
        <v>1</v>
      </c>
      <c r="AW17" s="9">
        <f ca="1">IFERROR(VLOOKUP(AQ17,TarifaMedia!$C$30:$G$31,5,0),0)</f>
        <v>0</v>
      </c>
      <c r="AX17" s="15">
        <f ca="1">'TUSD BE'!$AM17+'TUSD BF'!$AM17+'TUSD CVA'!$AM17</f>
        <v>51.039453840016805</v>
      </c>
      <c r="AY17" s="9">
        <v>55.05</v>
      </c>
      <c r="AZ17" s="9">
        <f t="shared" ca="1" si="6"/>
        <v>0</v>
      </c>
      <c r="BC17" s="80" t="s">
        <v>932</v>
      </c>
    </row>
    <row r="18" spans="1:55" ht="11.25" customHeight="1" x14ac:dyDescent="0.3">
      <c r="A18" s="137"/>
      <c r="B18" s="137"/>
      <c r="C18" s="137"/>
      <c r="D18" s="137"/>
      <c r="E18" s="137"/>
      <c r="F18" s="137"/>
      <c r="G18" s="18" t="s">
        <v>86</v>
      </c>
      <c r="H18" s="18" t="s">
        <v>84</v>
      </c>
      <c r="I18" s="18">
        <f>'MERCADO TUSD'!$U$15</f>
        <v>6877</v>
      </c>
      <c r="J18" s="15"/>
      <c r="L18" s="13">
        <f>'TUSD BE'!$L$18*'TUSD BE'!$L$70</f>
        <v>0</v>
      </c>
      <c r="M18" s="13">
        <f>'TUSD BE'!$M$18*'TUSD BE'!$M$70</f>
        <v>0</v>
      </c>
      <c r="N18" s="13">
        <f ca="1">'TUSD BE'!$N$18*'TUSD BE'!$N$70</f>
        <v>0</v>
      </c>
      <c r="O18" s="13">
        <f>'TUSD BE'!$O$18*'TUSD BE'!$O$70</f>
        <v>0</v>
      </c>
      <c r="P18" s="13">
        <f>'TUSD BE'!$P$18*'TUSD BE'!$P$70</f>
        <v>0</v>
      </c>
      <c r="Q18" s="13">
        <f>'TUSD BE'!$Q$18*'TUSD BE'!$Q$70</f>
        <v>0</v>
      </c>
      <c r="R18" s="13">
        <f>'TUSD BE'!$R$18*'TUSD BE'!$R$70</f>
        <v>0</v>
      </c>
      <c r="S18" s="13">
        <f>'TUSD BE'!$R$18*'TUSD BE'!$S$70</f>
        <v>0</v>
      </c>
      <c r="T18" s="13">
        <f ca="1">SUM($L$18:$S$18)</f>
        <v>0</v>
      </c>
      <c r="U18" s="13">
        <f>'TUSD BE'!$U$18*'TUSD BE'!$U$70</f>
        <v>-2.9889066068735849E-2</v>
      </c>
      <c r="V18" s="13">
        <f>'TUSD BE'!$V$18*'TUSD BE'!$V$70</f>
        <v>-2.8126919413250191E-2</v>
      </c>
      <c r="W18" s="13">
        <f>'TUSD BE'!$W$18*'TUSD BE'!$W$70</f>
        <v>0</v>
      </c>
      <c r="X18" s="13">
        <f>'TUSD BE'!$X$18*'TUSD BE'!$X$70</f>
        <v>0</v>
      </c>
      <c r="Y18" s="13">
        <f>'TUSD BE'!$Y$18*'TUSD BE'!$Y$70</f>
        <v>0</v>
      </c>
      <c r="Z18" s="13">
        <f>'TUSD BE'!$Z$18*'TUSD BE'!$Z$70</f>
        <v>0</v>
      </c>
      <c r="AA18" s="13">
        <f>'TUSD BE'!$AA$18*'TUSD BE'!$AA$70</f>
        <v>0</v>
      </c>
      <c r="AB18" s="13">
        <f>SUM($U$18:$AA$18)</f>
        <v>-5.801598548198604E-2</v>
      </c>
      <c r="AC18" s="13">
        <f>'TUSD BE'!$AC$18*'TUSD BE'!$AC$70</f>
        <v>0</v>
      </c>
      <c r="AD18" s="13">
        <f>SUM($AC$18:$AC$18)</f>
        <v>0</v>
      </c>
      <c r="AE18" s="13">
        <f ca="1">$AO$18*$AO$67</f>
        <v>-0.93948305983127323</v>
      </c>
      <c r="AF18" s="13">
        <f ca="1">$AP$18*$AP$67</f>
        <v>0</v>
      </c>
      <c r="AG18" s="13">
        <f ca="1">SUM($AE$18:$AF$18)</f>
        <v>-0.93948305983127323</v>
      </c>
      <c r="AH18" s="13">
        <f>'TUSD BE'!$AH$18*'TUSD BE'!$AH$70</f>
        <v>0</v>
      </c>
      <c r="AI18" s="13">
        <f>'TUSD BE'!$AI$18*'TUSD BE'!$AI$70</f>
        <v>0</v>
      </c>
      <c r="AJ18" s="13">
        <f ca="1">'TUSD BE'!$AJ$18*'TUSD BE'!$AJ$70</f>
        <v>0</v>
      </c>
      <c r="AK18" s="13">
        <f ca="1">'TUSD BE'!$AK$18*'TUSD BE'!$AK$70</f>
        <v>0</v>
      </c>
      <c r="AL18" s="13">
        <f ca="1">SUM($AH$18:$AK$18)</f>
        <v>0</v>
      </c>
      <c r="AM18" s="13">
        <f ca="1">SUMIF($L$4:$AL$4,"SUBTOTAL",$L$18:$AL$18)+AZ18</f>
        <v>-0.99749904531325928</v>
      </c>
      <c r="AO18" s="20">
        <f ca="1">+'TUSD BE'!$T$18+'TUSD BE'!$AB$18+'TUSD BE'!$AD$18+'TUSD BE'!$AL$18</f>
        <v>21.748036760622899</v>
      </c>
      <c r="AP18" s="20">
        <f ca="1">+'TUSD BE'!$T$18+'TUSD BE'!$AB$18+'TUSD BE'!$AD$18+'TUSD BE'!$AL$18</f>
        <v>21.748036760622899</v>
      </c>
      <c r="AQ18" s="9" t="str">
        <f t="shared" si="0"/>
        <v>A4</v>
      </c>
      <c r="AR18" s="9" t="str">
        <f t="shared" si="1"/>
        <v>Azul</v>
      </c>
      <c r="AS18" s="9" t="str">
        <f t="shared" si="2"/>
        <v>Não se aplica</v>
      </c>
      <c r="AT18" s="9" t="str">
        <f t="shared" si="3"/>
        <v>Não se aplica</v>
      </c>
      <c r="AU18" s="9" t="str">
        <f t="shared" si="4"/>
        <v>Não se aplica</v>
      </c>
      <c r="AV18" s="9">
        <f t="shared" si="5"/>
        <v>1</v>
      </c>
      <c r="AW18" s="9">
        <f ca="1">IFERROR(VLOOKUP(AQ18,TarifaMedia!$C$30:$G$31,5,0),0)</f>
        <v>0</v>
      </c>
      <c r="AX18" s="15">
        <f ca="1">'TUSD BE'!$AM18+'TUSD BF'!$AM18+'TUSD CVA'!$AM18</f>
        <v>21.369338625624472</v>
      </c>
      <c r="AY18" s="9">
        <v>22.94</v>
      </c>
      <c r="AZ18" s="9">
        <f t="shared" ca="1" si="6"/>
        <v>0</v>
      </c>
      <c r="BC18" s="80" t="s">
        <v>933</v>
      </c>
    </row>
    <row r="19" spans="1:55" ht="11.25" customHeight="1" x14ac:dyDescent="0.3">
      <c r="A19" s="137"/>
      <c r="B19" s="137"/>
      <c r="C19" s="137"/>
      <c r="D19" s="137"/>
      <c r="E19" s="137"/>
      <c r="F19" s="137"/>
      <c r="G19" s="18" t="s">
        <v>83</v>
      </c>
      <c r="H19" s="18" t="s">
        <v>79</v>
      </c>
      <c r="I19" s="18">
        <f>'MERCADO TUSD'!$U$16</f>
        <v>3550.4059999999995</v>
      </c>
      <c r="J19" s="15"/>
      <c r="L19" s="13">
        <f>'TUSD BE'!$L$19*'TUSD BE'!$L$70</f>
        <v>-0.10411610791539876</v>
      </c>
      <c r="M19" s="13">
        <f>'TUSD BE'!$M$19*'TUSD BE'!$M$70</f>
        <v>2.3429818431922067E-3</v>
      </c>
      <c r="N19" s="13">
        <f ca="1">'TUSD BE'!$N$19*'TUSD BE'!$N$70</f>
        <v>5.3249573966212759E-9</v>
      </c>
      <c r="O19" s="13">
        <f>'TUSD BE'!$O$19*'TUSD BE'!$O$70</f>
        <v>0</v>
      </c>
      <c r="P19" s="13">
        <f>'TUSD BE'!$P$19*'TUSD BE'!$P$70</f>
        <v>0</v>
      </c>
      <c r="Q19" s="13">
        <f>'TUSD BE'!$Q$19*'TUSD BE'!$Q$70</f>
        <v>1.4204634625228039</v>
      </c>
      <c r="R19" s="13">
        <f>'TUSD BE'!$R$19*'TUSD BE'!$R$70</f>
        <v>0.40310841228953048</v>
      </c>
      <c r="S19" s="13">
        <f>'TUSD BE'!$R$19*'TUSD BE'!$S$70</f>
        <v>0</v>
      </c>
      <c r="T19" s="13">
        <f ca="1">SUM($L$19:$S$19)</f>
        <v>1.7217987540650852</v>
      </c>
      <c r="U19" s="13">
        <f>'TUSD BE'!$U$19*'TUSD BE'!$U$70</f>
        <v>0</v>
      </c>
      <c r="V19" s="13">
        <f>'TUSD BE'!$V$19*'TUSD BE'!$V$70</f>
        <v>0</v>
      </c>
      <c r="W19" s="13">
        <f>'TUSD BE'!$W$19*'TUSD BE'!$W$70</f>
        <v>0</v>
      </c>
      <c r="X19" s="13">
        <f>'TUSD BE'!$X$19*'TUSD BE'!$X$70</f>
        <v>0</v>
      </c>
      <c r="Y19" s="13">
        <f>'TUSD BE'!$Y$19*'TUSD BE'!$Y$70</f>
        <v>0</v>
      </c>
      <c r="Z19" s="13">
        <f>'TUSD BE'!$Z$19*'TUSD BE'!$Z$70</f>
        <v>0</v>
      </c>
      <c r="AA19" s="13">
        <f>'TUSD BE'!$AA$19*'TUSD BE'!$AA$70</f>
        <v>0</v>
      </c>
      <c r="AB19" s="13">
        <f>SUM($U$19:$AA$19)</f>
        <v>0</v>
      </c>
      <c r="AC19" s="13">
        <f>'TUSD BE'!$AC$19*'TUSD BE'!$AC$70</f>
        <v>0</v>
      </c>
      <c r="AD19" s="13">
        <f>SUM($AC$19:$AC$19)</f>
        <v>0</v>
      </c>
      <c r="AE19" s="13">
        <f ca="1">$AO$19*$AO$67</f>
        <v>-5.1129232277829155</v>
      </c>
      <c r="AF19" s="13">
        <f ca="1">$AP$19*$AP$67</f>
        <v>0</v>
      </c>
      <c r="AG19" s="13">
        <f ca="1">SUM($AE$19:$AF$19)</f>
        <v>-5.1129232277829155</v>
      </c>
      <c r="AH19" s="13">
        <f>'TUSD BE'!$AH$19*'TUSD BE'!$AH$70</f>
        <v>0.94825685003856086</v>
      </c>
      <c r="AI19" s="13">
        <f>'TUSD BE'!$AI$19*'TUSD BE'!$AI$70</f>
        <v>2.7903683855507361E-2</v>
      </c>
      <c r="AJ19" s="13">
        <f ca="1">'TUSD BE'!$AJ$19*'TUSD BE'!$AJ$70</f>
        <v>8.5410654552989393E-2</v>
      </c>
      <c r="AK19" s="13">
        <f ca="1">'TUSD BE'!$AK$19*'TUSD BE'!$AK$70</f>
        <v>-2.09925014984093E-2</v>
      </c>
      <c r="AL19" s="13">
        <f ca="1">SUM($AH$19:$AK$19)</f>
        <v>1.0405786869486482</v>
      </c>
      <c r="AM19" s="13">
        <f ca="1">SUMIF($L$4:$AL$4,"SUBTOTAL",$L$19:$AL$19)+AZ19</f>
        <v>-2.3505457867691821</v>
      </c>
      <c r="AO19" s="20">
        <f ca="1">+'TUSD BE'!$T$19+'TUSD BE'!$AB$19+'TUSD BE'!$AD$19+'TUSD BE'!$AL$19</f>
        <v>118.35875181404104</v>
      </c>
      <c r="AP19" s="20">
        <f ca="1">+'TUSD BE'!$T$19+'TUSD BE'!$AB$19+'TUSD BE'!$AD$19+'TUSD BE'!$AL$19</f>
        <v>118.35875181404104</v>
      </c>
      <c r="AQ19" s="9" t="str">
        <f t="shared" si="0"/>
        <v>A4</v>
      </c>
      <c r="AR19" s="9" t="str">
        <f t="shared" si="1"/>
        <v>Azul</v>
      </c>
      <c r="AS19" s="9" t="str">
        <f t="shared" si="2"/>
        <v>Não se aplica</v>
      </c>
      <c r="AT19" s="9" t="str">
        <f t="shared" si="3"/>
        <v>Não se aplica</v>
      </c>
      <c r="AU19" s="9" t="str">
        <f t="shared" si="4"/>
        <v>Não se aplica</v>
      </c>
      <c r="AV19" s="9">
        <f t="shared" si="5"/>
        <v>1</v>
      </c>
      <c r="AW19" s="9">
        <f ca="1">IFERROR(VLOOKUP(AQ19,TarifaMedia!$C$30:$G$31,5,0),0)</f>
        <v>0</v>
      </c>
      <c r="AX19" s="15">
        <f ca="1">'TUSD BE'!$AM19+'TUSD BF'!$AM19+'TUSD CVA'!$AM19</f>
        <v>145.72237393634796</v>
      </c>
      <c r="AY19" s="9">
        <v>139.33000000000001</v>
      </c>
      <c r="AZ19" s="9">
        <f t="shared" ca="1" si="6"/>
        <v>0</v>
      </c>
      <c r="BC19" s="80" t="s">
        <v>934</v>
      </c>
    </row>
    <row r="20" spans="1:55" ht="11.25" customHeight="1" x14ac:dyDescent="0.3">
      <c r="A20" s="137"/>
      <c r="B20" s="137"/>
      <c r="C20" s="137"/>
      <c r="D20" s="137"/>
      <c r="E20" s="17" t="s">
        <v>87</v>
      </c>
      <c r="F20" s="17" t="s">
        <v>25</v>
      </c>
      <c r="G20" s="18" t="s">
        <v>83</v>
      </c>
      <c r="H20" s="18" t="s">
        <v>79</v>
      </c>
      <c r="I20" s="18">
        <f>'MERCADO TUSD'!$U$17</f>
        <v>0</v>
      </c>
      <c r="J20" s="15"/>
      <c r="L20" s="13">
        <f>'TUSD BE'!$L$20*'TUSD BE'!$L$70</f>
        <v>0</v>
      </c>
      <c r="M20" s="13">
        <f>'TUSD BE'!$M$20*'TUSD BE'!$M$70</f>
        <v>2.3429818431922067E-3</v>
      </c>
      <c r="N20" s="13">
        <f ca="1">'TUSD BE'!$N$20*'TUSD BE'!$N$70</f>
        <v>5.1240475737926074E-9</v>
      </c>
      <c r="O20" s="13">
        <f>'TUSD BE'!$O$20*'TUSD BE'!$O$70</f>
        <v>0</v>
      </c>
      <c r="P20" s="13">
        <f>'TUSD BE'!$P$20*'TUSD BE'!$P$70</f>
        <v>0</v>
      </c>
      <c r="Q20" s="13">
        <f>'TUSD BE'!$Q$20*'TUSD BE'!$Q$70</f>
        <v>0</v>
      </c>
      <c r="R20" s="13">
        <f>'TUSD BE'!$R$20*'TUSD BE'!$R$70</f>
        <v>0</v>
      </c>
      <c r="S20" s="13">
        <f>'TUSD BE'!$R$20*'TUSD BE'!$S$70</f>
        <v>0</v>
      </c>
      <c r="T20" s="13">
        <f ca="1">SUM($L$20:$S$20)</f>
        <v>2.3429869672397805E-3</v>
      </c>
      <c r="U20" s="13">
        <f>'TUSD BE'!$U$20*'TUSD BE'!$U$70</f>
        <v>0</v>
      </c>
      <c r="V20" s="13">
        <f>'TUSD BE'!$V$20*'TUSD BE'!$V$70</f>
        <v>0</v>
      </c>
      <c r="W20" s="13">
        <f>'TUSD BE'!$W$20*'TUSD BE'!$W$70</f>
        <v>0</v>
      </c>
      <c r="X20" s="13">
        <f>'TUSD BE'!$X$20*'TUSD BE'!$X$70</f>
        <v>0</v>
      </c>
      <c r="Y20" s="13">
        <f>'TUSD BE'!$Y$20*'TUSD BE'!$Y$70</f>
        <v>0</v>
      </c>
      <c r="Z20" s="13">
        <f>'TUSD BE'!$Z$20*'TUSD BE'!$Z$70</f>
        <v>0</v>
      </c>
      <c r="AA20" s="13">
        <f>'TUSD BE'!$AA$20*'TUSD BE'!$AA$70</f>
        <v>0</v>
      </c>
      <c r="AB20" s="13">
        <f>SUM($U$20:$AA$20)</f>
        <v>0</v>
      </c>
      <c r="AC20" s="13">
        <f>'TUSD BE'!$AC$20*'TUSD BE'!$AC$70</f>
        <v>0</v>
      </c>
      <c r="AD20" s="13">
        <f>SUM($AC$20:$AC$20)</f>
        <v>0</v>
      </c>
      <c r="AE20" s="13">
        <f ca="1">$AO$20*$AO$67</f>
        <v>-0.5968285265562624</v>
      </c>
      <c r="AF20" s="13">
        <f ca="1">$AP$20*$AP$67</f>
        <v>0</v>
      </c>
      <c r="AG20" s="13">
        <f ca="1">SUM($AE$20:$AF$20)</f>
        <v>-0.5968285265562624</v>
      </c>
      <c r="AH20" s="13">
        <f>'TUSD BE'!$AH$20*'TUSD BE'!$AH$70</f>
        <v>0.94825685003856086</v>
      </c>
      <c r="AI20" s="13">
        <f>'TUSD BE'!$AI$20*'TUSD BE'!$AI$70</f>
        <v>2.7903683855507361E-2</v>
      </c>
      <c r="AJ20" s="13">
        <f ca="1">'TUSD BE'!$AJ$20*'TUSD BE'!$AJ$70</f>
        <v>8.5410654552989393E-2</v>
      </c>
      <c r="AK20" s="13">
        <f ca="1">'TUSD BE'!$AK$20*'TUSD BE'!$AK$70</f>
        <v>-2.09925014984093E-2</v>
      </c>
      <c r="AL20" s="13">
        <f ca="1">SUM($AH$20:$AK$20)</f>
        <v>1.0405786869486482</v>
      </c>
      <c r="AM20" s="13">
        <f ca="1">SUMIF($L$4:$AL$4,"SUBTOTAL",$L$20:$AL$20)+AZ20</f>
        <v>0.44609314735962557</v>
      </c>
      <c r="AO20" s="20">
        <f ca="1">+'TUSD BE'!$T$20+'TUSD BE'!$AB$20+'TUSD BE'!$AD$20+'TUSD BE'!$AL$20</f>
        <v>13.815947610236968</v>
      </c>
      <c r="AP20" s="20">
        <f ca="1">+'TUSD BE'!$T$20+'TUSD BE'!$AB$20+'TUSD BE'!$AD$20+'TUSD BE'!$AL$20</f>
        <v>13.815947610236968</v>
      </c>
      <c r="AQ20" s="9" t="str">
        <f t="shared" si="0"/>
        <v>A4</v>
      </c>
      <c r="AR20" s="9" t="str">
        <f t="shared" si="1"/>
        <v>Azul</v>
      </c>
      <c r="AS20" s="9" t="str">
        <f t="shared" si="2"/>
        <v>Não se aplica</v>
      </c>
      <c r="AT20" s="9" t="str">
        <f t="shared" si="3"/>
        <v>Não se aplica</v>
      </c>
      <c r="AU20" s="9" t="str">
        <f t="shared" si="4"/>
        <v>APE</v>
      </c>
      <c r="AV20" s="9">
        <f t="shared" si="5"/>
        <v>1</v>
      </c>
      <c r="AW20" s="9">
        <f ca="1">IFERROR(VLOOKUP(AQ20,TarifaMedia!$C$30:$G$31,5,0),0)</f>
        <v>0</v>
      </c>
      <c r="AX20" s="15">
        <f ca="1">'TUSD BE'!$AM20+'TUSD BF'!$AM20+'TUSD CVA'!$AM20</f>
        <v>13.611758073268874</v>
      </c>
      <c r="AY20" s="9">
        <v>24.68</v>
      </c>
      <c r="AZ20" s="9">
        <f t="shared" ca="1" si="6"/>
        <v>0</v>
      </c>
      <c r="BC20" s="80" t="s">
        <v>935</v>
      </c>
    </row>
    <row r="21" spans="1:55" ht="11.25" customHeight="1" x14ac:dyDescent="0.3">
      <c r="A21" s="137"/>
      <c r="B21" s="17" t="s">
        <v>60</v>
      </c>
      <c r="C21" s="17" t="s">
        <v>25</v>
      </c>
      <c r="D21" s="17" t="s">
        <v>25</v>
      </c>
      <c r="E21" s="17" t="s">
        <v>25</v>
      </c>
      <c r="F21" s="17" t="s">
        <v>25</v>
      </c>
      <c r="G21" s="18" t="s">
        <v>9</v>
      </c>
      <c r="H21" s="18" t="s">
        <v>84</v>
      </c>
      <c r="I21" s="18">
        <f>'MERCADO TUSD'!$U$18</f>
        <v>0</v>
      </c>
      <c r="J21" s="15"/>
      <c r="L21" s="13">
        <f>'TUSD BE'!$L$21*'TUSD BE'!$L$70</f>
        <v>0</v>
      </c>
      <c r="M21" s="13">
        <f>'TUSD BE'!$M$21*'TUSD BE'!$M$70</f>
        <v>3.2429097696743948E-4</v>
      </c>
      <c r="N21" s="13">
        <f ca="1">'TUSD BE'!$N$21*'TUSD BE'!$N$70</f>
        <v>3.4998491136753881E-9</v>
      </c>
      <c r="O21" s="13">
        <f>'TUSD BE'!$O$21*'TUSD BE'!$O$70</f>
        <v>0</v>
      </c>
      <c r="P21" s="13">
        <f>'TUSD BE'!$P$21*'TUSD BE'!$P$70</f>
        <v>0</v>
      </c>
      <c r="Q21" s="13">
        <f>'TUSD BE'!$Q$21*'TUSD BE'!$Q$70</f>
        <v>0</v>
      </c>
      <c r="R21" s="13">
        <f>'TUSD BE'!$R$21*'TUSD BE'!$R$70</f>
        <v>0</v>
      </c>
      <c r="S21" s="13">
        <f>'TUSD BE'!$R$21*'TUSD BE'!$S$70</f>
        <v>0</v>
      </c>
      <c r="T21" s="13">
        <f ca="1">SUM($L$21:$S$21)</f>
        <v>3.2429447681655318E-4</v>
      </c>
      <c r="U21" s="13">
        <f>'TUSD BE'!$U$21*'TUSD BE'!$U$70</f>
        <v>0</v>
      </c>
      <c r="V21" s="13">
        <f>'TUSD BE'!$V$21*'TUSD BE'!$V$70</f>
        <v>0</v>
      </c>
      <c r="W21" s="13">
        <f>'TUSD BE'!$W$21*'TUSD BE'!$W$70</f>
        <v>0</v>
      </c>
      <c r="X21" s="13">
        <f>'TUSD BE'!$X$21*'TUSD BE'!$X$70</f>
        <v>0</v>
      </c>
      <c r="Y21" s="13">
        <f>'TUSD BE'!$Y$21*'TUSD BE'!$Y$70</f>
        <v>0</v>
      </c>
      <c r="Z21" s="13">
        <f>'TUSD BE'!$Z$21*'TUSD BE'!$Z$70</f>
        <v>0</v>
      </c>
      <c r="AA21" s="13">
        <f>'TUSD BE'!$AA$21*'TUSD BE'!$AA$70</f>
        <v>0</v>
      </c>
      <c r="AB21" s="13">
        <f>SUM($U$21:$AA$21)</f>
        <v>0</v>
      </c>
      <c r="AC21" s="13">
        <f>'TUSD BE'!$AC$21*'TUSD BE'!$AC$70</f>
        <v>0</v>
      </c>
      <c r="AD21" s="13">
        <f>SUM($AC$21:$AC$21)</f>
        <v>0</v>
      </c>
      <c r="AE21" s="13">
        <f ca="1">$AO$21*$AO$67</f>
        <v>-0.56148140367372812</v>
      </c>
      <c r="AF21" s="13">
        <f ca="1">$AP$21*$AP$67</f>
        <v>0</v>
      </c>
      <c r="AG21" s="13">
        <f ca="1">SUM($AE$21:$AF$21)</f>
        <v>-0.56148140367372812</v>
      </c>
      <c r="AH21" s="13">
        <f>'TUSD BE'!$AH$21*'TUSD BE'!$AH$70</f>
        <v>5.6055781633113663E-4</v>
      </c>
      <c r="AI21" s="13">
        <f>'TUSD BE'!$AI$21*'TUSD BE'!$AI$70</f>
        <v>0</v>
      </c>
      <c r="AJ21" s="13">
        <f ca="1">'TUSD BE'!$AJ$21*'TUSD BE'!$AJ$70</f>
        <v>0</v>
      </c>
      <c r="AK21" s="13">
        <f ca="1">'TUSD BE'!$AK$21*'TUSD BE'!$AK$70</f>
        <v>0</v>
      </c>
      <c r="AL21" s="13">
        <f ca="1">SUM($AH$21:$AK$21)</f>
        <v>5.6055781633113663E-4</v>
      </c>
      <c r="AM21" s="13">
        <f ca="1">SUMIF($L$4:$AL$4,"SUBTOTAL",$L$21:$AL$21)+AZ21</f>
        <v>-0.5605965513805804</v>
      </c>
      <c r="AO21" s="20">
        <f ca="1">+'TUSD BE'!$T$21+'TUSD BE'!$AB$21+'TUSD BE'!$AD$21+'TUSD BE'!$AL$21</f>
        <v>12.997699191825177</v>
      </c>
      <c r="AP21" s="20">
        <f ca="1">+'TUSD BE'!$T$21+'TUSD BE'!$AB$21+'TUSD BE'!$AD$21+'TUSD BE'!$AL$21</f>
        <v>12.997699191825177</v>
      </c>
      <c r="AQ21" s="9" t="str">
        <f t="shared" si="0"/>
        <v>A4</v>
      </c>
      <c r="AR21" s="9" t="str">
        <f t="shared" si="1"/>
        <v>Geração</v>
      </c>
      <c r="AS21" s="9" t="str">
        <f t="shared" si="2"/>
        <v>Não se aplica</v>
      </c>
      <c r="AT21" s="9" t="str">
        <f t="shared" si="3"/>
        <v>Não se aplica</v>
      </c>
      <c r="AU21" s="9" t="str">
        <f t="shared" si="4"/>
        <v>Não se aplica</v>
      </c>
      <c r="AV21" s="9">
        <f t="shared" si="5"/>
        <v>0</v>
      </c>
      <c r="AW21" s="9">
        <f ca="1">IFERROR(VLOOKUP(AQ21,TarifaMedia!$C$30:$G$31,5,0),0)</f>
        <v>0</v>
      </c>
      <c r="AX21" s="15">
        <f ca="1">'TUSD BE'!$AM21+'TUSD BF'!$AM21+'TUSD CVA'!$AM21</f>
        <v>12.436759261643918</v>
      </c>
      <c r="AY21" s="9">
        <v>11.21</v>
      </c>
      <c r="AZ21" s="9">
        <f t="shared" ca="1" si="6"/>
        <v>0</v>
      </c>
      <c r="BC21" s="80" t="s">
        <v>936</v>
      </c>
    </row>
    <row r="22" spans="1:55" ht="11.25" customHeight="1" x14ac:dyDescent="0.3">
      <c r="A22" s="137"/>
      <c r="B22" s="137" t="s">
        <v>40</v>
      </c>
      <c r="C22" s="137" t="s">
        <v>25</v>
      </c>
      <c r="D22" s="137" t="s">
        <v>25</v>
      </c>
      <c r="E22" s="137" t="s">
        <v>25</v>
      </c>
      <c r="F22" s="137" t="s">
        <v>25</v>
      </c>
      <c r="G22" s="18" t="s">
        <v>9</v>
      </c>
      <c r="H22" s="18" t="s">
        <v>84</v>
      </c>
      <c r="I22" s="18">
        <f>'MERCADO TUSD'!$U$19</f>
        <v>125381</v>
      </c>
      <c r="J22" s="15"/>
      <c r="L22" s="13">
        <f>'TUSD BE'!$L$22*'TUSD BE'!$L$70</f>
        <v>0</v>
      </c>
      <c r="M22" s="13">
        <f>'TUSD BE'!$M$22*'TUSD BE'!$M$70</f>
        <v>0</v>
      </c>
      <c r="N22" s="13">
        <f ca="1">'TUSD BE'!$N$22*'TUSD BE'!$N$70</f>
        <v>0</v>
      </c>
      <c r="O22" s="13">
        <f>'TUSD BE'!$O$22*'TUSD BE'!$O$70</f>
        <v>0</v>
      </c>
      <c r="P22" s="13">
        <f>'TUSD BE'!$P$22*'TUSD BE'!$P$70</f>
        <v>0</v>
      </c>
      <c r="Q22" s="13">
        <f>'TUSD BE'!$Q$22*'TUSD BE'!$Q$70</f>
        <v>0</v>
      </c>
      <c r="R22" s="13">
        <f>'TUSD BE'!$R$22*'TUSD BE'!$R$70</f>
        <v>0</v>
      </c>
      <c r="S22" s="13">
        <f>'TUSD BE'!$R$22*'TUSD BE'!$S$70</f>
        <v>0</v>
      </c>
      <c r="T22" s="13">
        <f ca="1">SUM($L$22:$S$22)</f>
        <v>0</v>
      </c>
      <c r="U22" s="13">
        <f>'TUSD BE'!$U$22*'TUSD BE'!$U$70</f>
        <v>-2.9889066068735849E-2</v>
      </c>
      <c r="V22" s="13">
        <f>'TUSD BE'!$V$22*'TUSD BE'!$V$70</f>
        <v>-2.8126919413250191E-2</v>
      </c>
      <c r="W22" s="13">
        <f>'TUSD BE'!$W$22*'TUSD BE'!$W$70</f>
        <v>0</v>
      </c>
      <c r="X22" s="13">
        <f>'TUSD BE'!$X$22*'TUSD BE'!$X$70</f>
        <v>0</v>
      </c>
      <c r="Y22" s="13">
        <f>'TUSD BE'!$Y$22*'TUSD BE'!$Y$70</f>
        <v>0</v>
      </c>
      <c r="Z22" s="13">
        <f>'TUSD BE'!$Z$22*'TUSD BE'!$Z$70</f>
        <v>0</v>
      </c>
      <c r="AA22" s="13">
        <f>'TUSD BE'!$AA$22*'TUSD BE'!$AA$70</f>
        <v>0</v>
      </c>
      <c r="AB22" s="13">
        <f>SUM($U$22:$AA$22)</f>
        <v>-5.801598548198604E-2</v>
      </c>
      <c r="AC22" s="13">
        <f>'TUSD BE'!$AC$22*'TUSD BE'!$AC$70</f>
        <v>0</v>
      </c>
      <c r="AD22" s="13">
        <f>SUM($AC$22:$AC$22)</f>
        <v>0</v>
      </c>
      <c r="AE22" s="13">
        <f ca="1">$AO$22*$AO$67</f>
        <v>-0.93948305983127323</v>
      </c>
      <c r="AF22" s="13">
        <f ca="1">$AP$22*$AP$67</f>
        <v>0</v>
      </c>
      <c r="AG22" s="13">
        <f ca="1">SUM($AE$22:$AF$22)</f>
        <v>-0.93948305983127323</v>
      </c>
      <c r="AH22" s="13">
        <f>'TUSD BE'!$AH$22*'TUSD BE'!$AH$70</f>
        <v>0</v>
      </c>
      <c r="AI22" s="13">
        <f>'TUSD BE'!$AI$22*'TUSD BE'!$AI$70</f>
        <v>0</v>
      </c>
      <c r="AJ22" s="13">
        <f ca="1">'TUSD BE'!$AJ$22*'TUSD BE'!$AJ$70</f>
        <v>0</v>
      </c>
      <c r="AK22" s="13">
        <f ca="1">'TUSD BE'!$AK$22*'TUSD BE'!$AK$70</f>
        <v>0</v>
      </c>
      <c r="AL22" s="13">
        <f ca="1">SUM($AH$22:$AK$22)</f>
        <v>0</v>
      </c>
      <c r="AM22" s="13">
        <f ca="1">SUMIF($L$4:$AL$4,"SUBTOTAL",$L$22:$AL$22)+AZ22</f>
        <v>-0.99749904531325928</v>
      </c>
      <c r="AO22" s="20">
        <f ca="1">+'TUSD BE'!$T$22+'TUSD BE'!$AB$22+'TUSD BE'!$AD$22+'TUSD BE'!$AL$22</f>
        <v>21.748036760622899</v>
      </c>
      <c r="AP22" s="20">
        <f ca="1">+'TUSD BE'!$T$22+'TUSD BE'!$AB$22+'TUSD BE'!$AD$22+'TUSD BE'!$AL$22</f>
        <v>21.748036760622899</v>
      </c>
      <c r="AQ22" s="9" t="str">
        <f t="shared" si="0"/>
        <v>A4</v>
      </c>
      <c r="AR22" s="9" t="str">
        <f t="shared" si="1"/>
        <v>Verde</v>
      </c>
      <c r="AS22" s="9" t="str">
        <f t="shared" si="2"/>
        <v>Não se aplica</v>
      </c>
      <c r="AT22" s="9" t="str">
        <f t="shared" si="3"/>
        <v>Não se aplica</v>
      </c>
      <c r="AU22" s="9" t="str">
        <f t="shared" si="4"/>
        <v>Não se aplica</v>
      </c>
      <c r="AV22" s="9">
        <f t="shared" si="5"/>
        <v>1</v>
      </c>
      <c r="AW22" s="9">
        <f ca="1">IFERROR(VLOOKUP(AQ22,TarifaMedia!$C$30:$G$31,5,0),0)</f>
        <v>0</v>
      </c>
      <c r="AX22" s="15">
        <f ca="1">'TUSD BE'!$AM22+'TUSD BF'!$AM22+'TUSD CVA'!$AM22</f>
        <v>21.369338625624472</v>
      </c>
      <c r="AY22" s="9">
        <v>22.94</v>
      </c>
      <c r="AZ22" s="9">
        <f t="shared" ca="1" si="6"/>
        <v>0</v>
      </c>
      <c r="BC22" s="80" t="s">
        <v>937</v>
      </c>
    </row>
    <row r="23" spans="1:55" ht="11.25" customHeight="1" x14ac:dyDescent="0.3">
      <c r="A23" s="137"/>
      <c r="B23" s="137"/>
      <c r="C23" s="137"/>
      <c r="D23" s="137"/>
      <c r="E23" s="137"/>
      <c r="F23" s="137"/>
      <c r="G23" s="18" t="s">
        <v>80</v>
      </c>
      <c r="H23" s="18" t="s">
        <v>79</v>
      </c>
      <c r="I23" s="18">
        <f>'MERCADO TUSD'!$U$20</f>
        <v>1113.1679999999999</v>
      </c>
      <c r="J23" s="15"/>
      <c r="L23" s="13">
        <f>'TUSD BE'!$L$23*'TUSD BE'!$L$70</f>
        <v>-0.10411610791539876</v>
      </c>
      <c r="M23" s="13">
        <f>'TUSD BE'!$M$23*'TUSD BE'!$M$70</f>
        <v>2.3429818431922067E-3</v>
      </c>
      <c r="N23" s="13">
        <f ca="1">'TUSD BE'!$N$23*'TUSD BE'!$N$70</f>
        <v>2.249584847725827E-7</v>
      </c>
      <c r="O23" s="13">
        <f>'TUSD BE'!$O$23*'TUSD BE'!$O$70</f>
        <v>0</v>
      </c>
      <c r="P23" s="13">
        <f>'TUSD BE'!$P$23*'TUSD BE'!$P$70</f>
        <v>0</v>
      </c>
      <c r="Q23" s="13">
        <f>'TUSD BE'!$Q$23*'TUSD BE'!$Q$70</f>
        <v>1.4204634625228039</v>
      </c>
      <c r="R23" s="13">
        <f>'TUSD BE'!$R$23*'TUSD BE'!$R$70</f>
        <v>0.40310841228953048</v>
      </c>
      <c r="S23" s="13">
        <f>'TUSD BE'!$R$23*'TUSD BE'!$S$70</f>
        <v>0</v>
      </c>
      <c r="T23" s="13">
        <f ca="1">SUM($L$23:$S$23)</f>
        <v>1.7217989736986126</v>
      </c>
      <c r="U23" s="13">
        <f>'TUSD BE'!$U$23*'TUSD BE'!$U$70</f>
        <v>-1.246023006702369</v>
      </c>
      <c r="V23" s="13">
        <f>'TUSD BE'!$V$23*'TUSD BE'!$V$70</f>
        <v>-1.1320248477313397</v>
      </c>
      <c r="W23" s="13">
        <f>'TUSD BE'!$W$23*'TUSD BE'!$W$70</f>
        <v>0</v>
      </c>
      <c r="X23" s="13">
        <f>'TUSD BE'!$X$23*'TUSD BE'!$X$70</f>
        <v>0</v>
      </c>
      <c r="Y23" s="13">
        <f>'TUSD BE'!$Y$23*'TUSD BE'!$Y$70</f>
        <v>0</v>
      </c>
      <c r="Z23" s="13">
        <f>'TUSD BE'!$Z$23*'TUSD BE'!$Z$70</f>
        <v>0</v>
      </c>
      <c r="AA23" s="13">
        <f>'TUSD BE'!$AA$23*'TUSD BE'!$AA$70</f>
        <v>0</v>
      </c>
      <c r="AB23" s="13">
        <f>SUM($U$23:$AA$23)</f>
        <v>-2.3780478544337087</v>
      </c>
      <c r="AC23" s="13">
        <f>'TUSD BE'!$AC$23*'TUSD BE'!$AC$70</f>
        <v>0</v>
      </c>
      <c r="AD23" s="13">
        <f>SUM($AC$23:$AC$23)</f>
        <v>0</v>
      </c>
      <c r="AE23" s="13">
        <f ca="1">$AO$23*$AO$67</f>
        <v>-60.043198301429882</v>
      </c>
      <c r="AF23" s="13">
        <f ca="1">$AP$23*$AP$67</f>
        <v>0</v>
      </c>
      <c r="AG23" s="13">
        <f ca="1">SUM($AE$23:$AF$23)</f>
        <v>-60.043198301429882</v>
      </c>
      <c r="AH23" s="13">
        <f>'TUSD BE'!$AH$23*'TUSD BE'!$AH$70</f>
        <v>0.94825685003856086</v>
      </c>
      <c r="AI23" s="13">
        <f>'TUSD BE'!$AI$23*'TUSD BE'!$AI$70</f>
        <v>2.7903683855507361E-2</v>
      </c>
      <c r="AJ23" s="13">
        <f ca="1">'TUSD BE'!$AJ$23*'TUSD BE'!$AJ$70</f>
        <v>8.5410654552989393E-2</v>
      </c>
      <c r="AK23" s="13">
        <f ca="1">'TUSD BE'!$AK$23*'TUSD BE'!$AK$70</f>
        <v>-2.09925014984093E-2</v>
      </c>
      <c r="AL23" s="13">
        <f ca="1">SUM($AH$23:$AK$23)</f>
        <v>1.0405786869486482</v>
      </c>
      <c r="AM23" s="13">
        <f ca="1">SUMIF($L$4:$AL$4,"SUBTOTAL",$L$23:$AL$23)+AZ23</f>
        <v>-59.658868495216332</v>
      </c>
      <c r="AO23" s="20">
        <f ca="1">+'TUSD BE'!$T$23+'TUSD BE'!$AB$23+'TUSD BE'!$AD$23+'TUSD BE'!$AL$23</f>
        <v>1389.9363806723529</v>
      </c>
      <c r="AP23" s="20">
        <f ca="1">+'TUSD BE'!$T$23+'TUSD BE'!$AB$23+'TUSD BE'!$AD$23+'TUSD BE'!$AL$23</f>
        <v>1389.9363806723529</v>
      </c>
      <c r="AQ23" s="9" t="str">
        <f t="shared" si="0"/>
        <v>A4</v>
      </c>
      <c r="AR23" s="9" t="str">
        <f t="shared" si="1"/>
        <v>Verde</v>
      </c>
      <c r="AS23" s="9" t="str">
        <f t="shared" si="2"/>
        <v>Não se aplica</v>
      </c>
      <c r="AT23" s="9" t="str">
        <f t="shared" si="3"/>
        <v>Não se aplica</v>
      </c>
      <c r="AU23" s="9" t="str">
        <f t="shared" si="4"/>
        <v>Não se aplica</v>
      </c>
      <c r="AV23" s="9">
        <f t="shared" si="5"/>
        <v>1</v>
      </c>
      <c r="AW23" s="9">
        <f ca="1">IFERROR(VLOOKUP(AQ23,TarifaMedia!$C$30:$G$31,5,0),0)</f>
        <v>0</v>
      </c>
      <c r="AX23" s="15">
        <f ca="1">'TUSD BE'!$AM23+'TUSD BF'!$AM23+'TUSD CVA'!$AM23</f>
        <v>1385.4977743340116</v>
      </c>
      <c r="AY23" s="9">
        <v>1473.76</v>
      </c>
      <c r="AZ23" s="9">
        <f t="shared" ca="1" si="6"/>
        <v>0</v>
      </c>
      <c r="BC23" s="80" t="s">
        <v>938</v>
      </c>
    </row>
    <row r="24" spans="1:55" ht="11.25" customHeight="1" x14ac:dyDescent="0.3">
      <c r="A24" s="137"/>
      <c r="B24" s="137"/>
      <c r="C24" s="137"/>
      <c r="D24" s="137"/>
      <c r="E24" s="137"/>
      <c r="F24" s="137"/>
      <c r="G24" s="18" t="s">
        <v>81</v>
      </c>
      <c r="H24" s="18" t="s">
        <v>79</v>
      </c>
      <c r="I24" s="18">
        <f>'MERCADO TUSD'!$U$21</f>
        <v>23039.734000000004</v>
      </c>
      <c r="J24" s="15"/>
      <c r="L24" s="13">
        <f>'TUSD BE'!$L$24*'TUSD BE'!$L$70</f>
        <v>-0.10411610791539876</v>
      </c>
      <c r="M24" s="13">
        <f>'TUSD BE'!$M$24*'TUSD BE'!$M$70</f>
        <v>2.3429818431922067E-3</v>
      </c>
      <c r="N24" s="13">
        <f ca="1">'TUSD BE'!$N$24*'TUSD BE'!$N$70</f>
        <v>5.3249573966212759E-9</v>
      </c>
      <c r="O24" s="13">
        <f>'TUSD BE'!$O$24*'TUSD BE'!$O$70</f>
        <v>0</v>
      </c>
      <c r="P24" s="13">
        <f>'TUSD BE'!$P$24*'TUSD BE'!$P$70</f>
        <v>0</v>
      </c>
      <c r="Q24" s="13">
        <f>'TUSD BE'!$Q$24*'TUSD BE'!$Q$70</f>
        <v>1.4204634625228039</v>
      </c>
      <c r="R24" s="13">
        <f>'TUSD BE'!$R$24*'TUSD BE'!$R$70</f>
        <v>0.40310841228953048</v>
      </c>
      <c r="S24" s="13">
        <f>'TUSD BE'!$R$24*'TUSD BE'!$S$70</f>
        <v>0</v>
      </c>
      <c r="T24" s="13">
        <f ca="1">SUM($L$24:$S$24)</f>
        <v>1.7217987540650852</v>
      </c>
      <c r="U24" s="13">
        <f>'TUSD BE'!$U$24*'TUSD BE'!$U$70</f>
        <v>0</v>
      </c>
      <c r="V24" s="13">
        <f>'TUSD BE'!$V$24*'TUSD BE'!$V$70</f>
        <v>0</v>
      </c>
      <c r="W24" s="13">
        <f>'TUSD BE'!$W$24*'TUSD BE'!$W$70</f>
        <v>0</v>
      </c>
      <c r="X24" s="13">
        <f>'TUSD BE'!$X$24*'TUSD BE'!$X$70</f>
        <v>0</v>
      </c>
      <c r="Y24" s="13">
        <f>'TUSD BE'!$Y$24*'TUSD BE'!$Y$70</f>
        <v>0</v>
      </c>
      <c r="Z24" s="13">
        <f>'TUSD BE'!$Z$24*'TUSD BE'!$Z$70</f>
        <v>0</v>
      </c>
      <c r="AA24" s="13">
        <f>'TUSD BE'!$AA$24*'TUSD BE'!$AA$70</f>
        <v>0</v>
      </c>
      <c r="AB24" s="13">
        <f>SUM($U$24:$AA$24)</f>
        <v>0</v>
      </c>
      <c r="AC24" s="13">
        <f>'TUSD BE'!$AC$24*'TUSD BE'!$AC$70</f>
        <v>0</v>
      </c>
      <c r="AD24" s="13">
        <f>SUM($AC$24:$AC$24)</f>
        <v>0</v>
      </c>
      <c r="AE24" s="13">
        <f ca="1">$AO$24*$AO$67</f>
        <v>-5.1129232277829155</v>
      </c>
      <c r="AF24" s="13">
        <f ca="1">$AP$24*$AP$67</f>
        <v>0</v>
      </c>
      <c r="AG24" s="13">
        <f ca="1">SUM($AE$24:$AF$24)</f>
        <v>-5.1129232277829155</v>
      </c>
      <c r="AH24" s="13">
        <f>'TUSD BE'!$AH$24*'TUSD BE'!$AH$70</f>
        <v>0.94825685003856086</v>
      </c>
      <c r="AI24" s="13">
        <f>'TUSD BE'!$AI$24*'TUSD BE'!$AI$70</f>
        <v>2.7903683855507361E-2</v>
      </c>
      <c r="AJ24" s="13">
        <f ca="1">'TUSD BE'!$AJ$24*'TUSD BE'!$AJ$70</f>
        <v>8.5410654552989393E-2</v>
      </c>
      <c r="AK24" s="13">
        <f ca="1">'TUSD BE'!$AK$24*'TUSD BE'!$AK$70</f>
        <v>-2.09925014984093E-2</v>
      </c>
      <c r="AL24" s="13">
        <f ca="1">SUM($AH$24:$AK$24)</f>
        <v>1.0405786869486482</v>
      </c>
      <c r="AM24" s="13">
        <f ca="1">SUMIF($L$4:$AL$4,"SUBTOTAL",$L$24:$AL$24)+AZ24</f>
        <v>-2.3505457867691821</v>
      </c>
      <c r="AO24" s="20">
        <f ca="1">+'TUSD BE'!$T$24+'TUSD BE'!$AB$24+'TUSD BE'!$AD$24+'TUSD BE'!$AL$24</f>
        <v>118.35875181404104</v>
      </c>
      <c r="AP24" s="20">
        <f ca="1">+'TUSD BE'!$T$24+'TUSD BE'!$AB$24+'TUSD BE'!$AD$24+'TUSD BE'!$AL$24</f>
        <v>118.35875181404104</v>
      </c>
      <c r="AQ24" s="9" t="str">
        <f t="shared" si="0"/>
        <v>A4</v>
      </c>
      <c r="AR24" s="9" t="str">
        <f t="shared" si="1"/>
        <v>Verde</v>
      </c>
      <c r="AS24" s="9" t="str">
        <f t="shared" si="2"/>
        <v>Não se aplica</v>
      </c>
      <c r="AT24" s="9" t="str">
        <f t="shared" si="3"/>
        <v>Não se aplica</v>
      </c>
      <c r="AU24" s="9" t="str">
        <f t="shared" si="4"/>
        <v>Não se aplica</v>
      </c>
      <c r="AV24" s="9">
        <f t="shared" si="5"/>
        <v>1</v>
      </c>
      <c r="AW24" s="9">
        <f ca="1">IFERROR(VLOOKUP(AQ24,TarifaMedia!$C$30:$G$31,5,0),0)</f>
        <v>0</v>
      </c>
      <c r="AX24" s="15">
        <f ca="1">'TUSD BE'!$AM24+'TUSD BF'!$AM24+'TUSD CVA'!$AM24</f>
        <v>145.72237393634796</v>
      </c>
      <c r="AY24" s="9">
        <v>139.33000000000001</v>
      </c>
      <c r="AZ24" s="9">
        <f t="shared" ca="1" si="6"/>
        <v>0</v>
      </c>
      <c r="BC24" s="80" t="s">
        <v>939</v>
      </c>
    </row>
    <row r="25" spans="1:55" ht="11.25" customHeight="1" x14ac:dyDescent="0.3">
      <c r="A25" s="137"/>
      <c r="B25" s="137"/>
      <c r="C25" s="137"/>
      <c r="D25" s="137"/>
      <c r="E25" s="137" t="s">
        <v>87</v>
      </c>
      <c r="F25" s="137" t="s">
        <v>25</v>
      </c>
      <c r="G25" s="18" t="s">
        <v>80</v>
      </c>
      <c r="H25" s="18" t="s">
        <v>79</v>
      </c>
      <c r="I25" s="18">
        <f>'MERCADO TUSD'!$U$22</f>
        <v>0</v>
      </c>
      <c r="J25" s="15"/>
      <c r="L25" s="13">
        <f>'TUSD BE'!$L$25*'TUSD BE'!$L$70</f>
        <v>0</v>
      </c>
      <c r="M25" s="13">
        <f>'TUSD BE'!$M$25*'TUSD BE'!$M$70</f>
        <v>2.3429818431922067E-3</v>
      </c>
      <c r="N25" s="13">
        <f ca="1">'TUSD BE'!$N$25*'TUSD BE'!$N$70</f>
        <v>2.2475757494975401E-7</v>
      </c>
      <c r="O25" s="13">
        <f>'TUSD BE'!$O$25*'TUSD BE'!$O$70</f>
        <v>0</v>
      </c>
      <c r="P25" s="13">
        <f>'TUSD BE'!$P$25*'TUSD BE'!$P$70</f>
        <v>0</v>
      </c>
      <c r="Q25" s="13">
        <f>'TUSD BE'!$Q$25*'TUSD BE'!$Q$70</f>
        <v>0</v>
      </c>
      <c r="R25" s="13">
        <f>'TUSD BE'!$R$25*'TUSD BE'!$R$70</f>
        <v>0</v>
      </c>
      <c r="S25" s="13">
        <f>'TUSD BE'!$R$25*'TUSD BE'!$S$70</f>
        <v>0</v>
      </c>
      <c r="T25" s="13">
        <f ca="1">SUM($L$25:$S$25)</f>
        <v>2.3432066007671565E-3</v>
      </c>
      <c r="U25" s="13">
        <f>'TUSD BE'!$U$25*'TUSD BE'!$U$70</f>
        <v>-1.246023006702369</v>
      </c>
      <c r="V25" s="13">
        <f>'TUSD BE'!$V$25*'TUSD BE'!$V$70</f>
        <v>-1.1320248477313397</v>
      </c>
      <c r="W25" s="13">
        <f>'TUSD BE'!$W$25*'TUSD BE'!$W$70</f>
        <v>0</v>
      </c>
      <c r="X25" s="13">
        <f>'TUSD BE'!$X$25*'TUSD BE'!$X$70</f>
        <v>0</v>
      </c>
      <c r="Y25" s="13">
        <f>'TUSD BE'!$Y$25*'TUSD BE'!$Y$70</f>
        <v>0</v>
      </c>
      <c r="Z25" s="13">
        <f>'TUSD BE'!$Z$25*'TUSD BE'!$Z$70</f>
        <v>0</v>
      </c>
      <c r="AA25" s="13">
        <f>'TUSD BE'!$AA$25*'TUSD BE'!$AA$70</f>
        <v>0</v>
      </c>
      <c r="AB25" s="13">
        <f>SUM($U$25:$AA$25)</f>
        <v>-2.3780478544337087</v>
      </c>
      <c r="AC25" s="13">
        <f>'TUSD BE'!$AC$25*'TUSD BE'!$AC$70</f>
        <v>0</v>
      </c>
      <c r="AD25" s="13">
        <f>SUM($AC$25:$AC$25)</f>
        <v>0</v>
      </c>
      <c r="AE25" s="13">
        <f ca="1">$AO$25*$AO$67</f>
        <v>-55.527103600203233</v>
      </c>
      <c r="AF25" s="13">
        <f ca="1">$AP$25*$AP$67</f>
        <v>0</v>
      </c>
      <c r="AG25" s="13">
        <f ca="1">SUM($AE$25:$AF$25)</f>
        <v>-55.527103600203233</v>
      </c>
      <c r="AH25" s="13">
        <f>'TUSD BE'!$AH$25*'TUSD BE'!$AH$70</f>
        <v>0.94825685003856086</v>
      </c>
      <c r="AI25" s="13">
        <f>'TUSD BE'!$AI$25*'TUSD BE'!$AI$70</f>
        <v>2.7903683855507361E-2</v>
      </c>
      <c r="AJ25" s="13">
        <f ca="1">'TUSD BE'!$AJ$25*'TUSD BE'!$AJ$70</f>
        <v>8.5410654552989393E-2</v>
      </c>
      <c r="AK25" s="13">
        <f ca="1">'TUSD BE'!$AK$25*'TUSD BE'!$AK$70</f>
        <v>-2.09925014984093E-2</v>
      </c>
      <c r="AL25" s="13">
        <f ca="1">SUM($AH$25:$AK$25)</f>
        <v>1.0405786869486482</v>
      </c>
      <c r="AM25" s="13">
        <f ca="1">SUMIF($L$4:$AL$4,"SUBTOTAL",$L$25:$AL$25)+AZ25</f>
        <v>-56.862229561087524</v>
      </c>
      <c r="AO25" s="20">
        <f ca="1">+'TUSD BE'!$T$25+'TUSD BE'!$AB$25+'TUSD BE'!$AD$25+'TUSD BE'!$AL$25</f>
        <v>1285.3935764685489</v>
      </c>
      <c r="AP25" s="20">
        <f ca="1">+'TUSD BE'!$T$25+'TUSD BE'!$AB$25+'TUSD BE'!$AD$25+'TUSD BE'!$AL$25</f>
        <v>1285.3935764685489</v>
      </c>
      <c r="AQ25" s="9" t="str">
        <f t="shared" si="0"/>
        <v>A4</v>
      </c>
      <c r="AR25" s="9" t="str">
        <f t="shared" si="1"/>
        <v>Verde</v>
      </c>
      <c r="AS25" s="9" t="str">
        <f t="shared" si="2"/>
        <v>Não se aplica</v>
      </c>
      <c r="AT25" s="9" t="str">
        <f t="shared" si="3"/>
        <v>Não se aplica</v>
      </c>
      <c r="AU25" s="9" t="str">
        <f t="shared" si="4"/>
        <v>APE</v>
      </c>
      <c r="AV25" s="9">
        <f t="shared" si="5"/>
        <v>1</v>
      </c>
      <c r="AW25" s="9">
        <f ca="1">IFERROR(VLOOKUP(AQ25,TarifaMedia!$C$30:$G$31,5,0),0)</f>
        <v>0</v>
      </c>
      <c r="AX25" s="15">
        <f ca="1">'TUSD BE'!$AM25+'TUSD BF'!$AM25+'TUSD CVA'!$AM25</f>
        <v>1253.3871584709327</v>
      </c>
      <c r="AY25" s="9">
        <v>1359.11</v>
      </c>
      <c r="AZ25" s="9">
        <f t="shared" ca="1" si="6"/>
        <v>0</v>
      </c>
      <c r="BC25" s="80" t="s">
        <v>940</v>
      </c>
    </row>
    <row r="26" spans="1:55" ht="11.25" customHeight="1" x14ac:dyDescent="0.3">
      <c r="A26" s="137"/>
      <c r="B26" s="137"/>
      <c r="C26" s="137"/>
      <c r="D26" s="137"/>
      <c r="E26" s="137"/>
      <c r="F26" s="137"/>
      <c r="G26" s="18" t="s">
        <v>81</v>
      </c>
      <c r="H26" s="18" t="s">
        <v>79</v>
      </c>
      <c r="I26" s="18">
        <f>'MERCADO TUSD'!$U$23</f>
        <v>0</v>
      </c>
      <c r="J26" s="15"/>
      <c r="L26" s="13">
        <f>'TUSD BE'!$L$26*'TUSD BE'!$L$70</f>
        <v>0</v>
      </c>
      <c r="M26" s="13">
        <f>'TUSD BE'!$M$26*'TUSD BE'!$M$70</f>
        <v>2.3429818431922067E-3</v>
      </c>
      <c r="N26" s="13">
        <f ca="1">'TUSD BE'!$N$26*'TUSD BE'!$N$70</f>
        <v>5.1240475737926074E-9</v>
      </c>
      <c r="O26" s="13">
        <f>'TUSD BE'!$O$26*'TUSD BE'!$O$70</f>
        <v>0</v>
      </c>
      <c r="P26" s="13">
        <f>'TUSD BE'!$P$26*'TUSD BE'!$P$70</f>
        <v>0</v>
      </c>
      <c r="Q26" s="13">
        <f>'TUSD BE'!$Q$26*'TUSD BE'!$Q$70</f>
        <v>0</v>
      </c>
      <c r="R26" s="13">
        <f>'TUSD BE'!$R$26*'TUSD BE'!$R$70</f>
        <v>0</v>
      </c>
      <c r="S26" s="13">
        <f>'TUSD BE'!$R$26*'TUSD BE'!$S$70</f>
        <v>0</v>
      </c>
      <c r="T26" s="13">
        <f ca="1">SUM($L$26:$S$26)</f>
        <v>2.3429869672397805E-3</v>
      </c>
      <c r="U26" s="13">
        <f>'TUSD BE'!$U$26*'TUSD BE'!$U$70</f>
        <v>0</v>
      </c>
      <c r="V26" s="13">
        <f>'TUSD BE'!$V$26*'TUSD BE'!$V$70</f>
        <v>0</v>
      </c>
      <c r="W26" s="13">
        <f>'TUSD BE'!$W$26*'TUSD BE'!$W$70</f>
        <v>0</v>
      </c>
      <c r="X26" s="13">
        <f>'TUSD BE'!$X$26*'TUSD BE'!$X$70</f>
        <v>0</v>
      </c>
      <c r="Y26" s="13">
        <f>'TUSD BE'!$Y$26*'TUSD BE'!$Y$70</f>
        <v>0</v>
      </c>
      <c r="Z26" s="13">
        <f>'TUSD BE'!$Z$26*'TUSD BE'!$Z$70</f>
        <v>0</v>
      </c>
      <c r="AA26" s="13">
        <f>'TUSD BE'!$AA$26*'TUSD BE'!$AA$70</f>
        <v>0</v>
      </c>
      <c r="AB26" s="13">
        <f>SUM($U$26:$AA$26)</f>
        <v>0</v>
      </c>
      <c r="AC26" s="13">
        <f>'TUSD BE'!$AC$26*'TUSD BE'!$AC$70</f>
        <v>0</v>
      </c>
      <c r="AD26" s="13">
        <f>SUM($AC$26:$AC$26)</f>
        <v>0</v>
      </c>
      <c r="AE26" s="13">
        <f ca="1">$AO$26*$AO$67</f>
        <v>-0.5968285265562624</v>
      </c>
      <c r="AF26" s="13">
        <f ca="1">$AP$26*$AP$67</f>
        <v>0</v>
      </c>
      <c r="AG26" s="13">
        <f ca="1">SUM($AE$26:$AF$26)</f>
        <v>-0.5968285265562624</v>
      </c>
      <c r="AH26" s="13">
        <f>'TUSD BE'!$AH$26*'TUSD BE'!$AH$70</f>
        <v>0.94825685003856086</v>
      </c>
      <c r="AI26" s="13">
        <f>'TUSD BE'!$AI$26*'TUSD BE'!$AI$70</f>
        <v>2.7903683855507361E-2</v>
      </c>
      <c r="AJ26" s="13">
        <f ca="1">'TUSD BE'!$AJ$26*'TUSD BE'!$AJ$70</f>
        <v>8.5410654552989393E-2</v>
      </c>
      <c r="AK26" s="13">
        <f ca="1">'TUSD BE'!$AK$26*'TUSD BE'!$AK$70</f>
        <v>-2.09925014984093E-2</v>
      </c>
      <c r="AL26" s="13">
        <f ca="1">SUM($AH$26:$AK$26)</f>
        <v>1.0405786869486482</v>
      </c>
      <c r="AM26" s="13">
        <f ca="1">SUMIF($L$4:$AL$4,"SUBTOTAL",$L$26:$AL$26)+AZ26</f>
        <v>0.44609314735962557</v>
      </c>
      <c r="AO26" s="20">
        <f ca="1">+'TUSD BE'!$T$26+'TUSD BE'!$AB$26+'TUSD BE'!$AD$26+'TUSD BE'!$AL$26</f>
        <v>13.815947610236968</v>
      </c>
      <c r="AP26" s="20">
        <f ca="1">+'TUSD BE'!$T$26+'TUSD BE'!$AB$26+'TUSD BE'!$AD$26+'TUSD BE'!$AL$26</f>
        <v>13.815947610236968</v>
      </c>
      <c r="AQ26" s="9" t="str">
        <f t="shared" si="0"/>
        <v>A4</v>
      </c>
      <c r="AR26" s="9" t="str">
        <f t="shared" si="1"/>
        <v>Verde</v>
      </c>
      <c r="AS26" s="9" t="str">
        <f t="shared" si="2"/>
        <v>Não se aplica</v>
      </c>
      <c r="AT26" s="9" t="str">
        <f t="shared" si="3"/>
        <v>Não se aplica</v>
      </c>
      <c r="AU26" s="9" t="str">
        <f t="shared" si="4"/>
        <v>APE</v>
      </c>
      <c r="AV26" s="9">
        <f t="shared" si="5"/>
        <v>1</v>
      </c>
      <c r="AW26" s="9">
        <f ca="1">IFERROR(VLOOKUP(AQ26,TarifaMedia!$C$30:$G$31,5,0),0)</f>
        <v>0</v>
      </c>
      <c r="AX26" s="15">
        <f ca="1">'TUSD BE'!$AM26+'TUSD BF'!$AM26+'TUSD CVA'!$AM26</f>
        <v>13.611758073268874</v>
      </c>
      <c r="AY26" s="9">
        <v>24.68</v>
      </c>
      <c r="AZ26" s="9">
        <f t="shared" ca="1" si="6"/>
        <v>0</v>
      </c>
      <c r="BC26" s="80" t="s">
        <v>941</v>
      </c>
    </row>
    <row r="27" spans="1:55" ht="11.25" customHeight="1" x14ac:dyDescent="0.3">
      <c r="A27" s="137" t="s">
        <v>88</v>
      </c>
      <c r="B27" s="137" t="s">
        <v>60</v>
      </c>
      <c r="C27" s="137" t="s">
        <v>25</v>
      </c>
      <c r="D27" s="137" t="s">
        <v>25</v>
      </c>
      <c r="E27" s="17" t="s">
        <v>89</v>
      </c>
      <c r="F27" s="17" t="s">
        <v>25</v>
      </c>
      <c r="G27" s="18" t="s">
        <v>9</v>
      </c>
      <c r="H27" s="18" t="s">
        <v>84</v>
      </c>
      <c r="I27" s="18">
        <f>'MERCADO TUSD'!$U$24+0.00000001</f>
        <v>1E-8</v>
      </c>
      <c r="J27" s="15"/>
      <c r="L27" s="13">
        <f>'TUSD BE'!$L$27*'TUSD BE'!$L$70</f>
        <v>0</v>
      </c>
      <c r="M27" s="13">
        <f>'TUSD BE'!$M$27*'TUSD BE'!$M$70</f>
        <v>9.7661115542067503E-5</v>
      </c>
      <c r="N27" s="13">
        <f ca="1">'TUSD BE'!$N$27*'TUSD BE'!$N$70</f>
        <v>1.0507583733939311E-9</v>
      </c>
      <c r="O27" s="13">
        <f>'TUSD BE'!$O$27*'TUSD BE'!$O$70</f>
        <v>0</v>
      </c>
      <c r="P27" s="13">
        <f>'TUSD BE'!$P$27*'TUSD BE'!$P$70</f>
        <v>0</v>
      </c>
      <c r="Q27" s="13">
        <f>'TUSD BE'!$Q$27*'TUSD BE'!$Q$70</f>
        <v>0</v>
      </c>
      <c r="R27" s="13">
        <f>'TUSD BE'!$R$27*'TUSD BE'!$R$70</f>
        <v>0</v>
      </c>
      <c r="S27" s="13">
        <f>'TUSD BE'!$R$27*'TUSD BE'!$S$70</f>
        <v>0</v>
      </c>
      <c r="T27" s="13">
        <f ca="1">SUM($L$27:$S$27)</f>
        <v>9.7662166300440894E-5</v>
      </c>
      <c r="U27" s="13">
        <f>'TUSD BE'!$U$27*'TUSD BE'!$U$70</f>
        <v>0</v>
      </c>
      <c r="V27" s="13">
        <f>'TUSD BE'!$V$27*'TUSD BE'!$V$70</f>
        <v>0</v>
      </c>
      <c r="W27" s="13">
        <f>'TUSD BE'!$W$27*'TUSD BE'!$W$70</f>
        <v>0</v>
      </c>
      <c r="X27" s="13">
        <f>'TUSD BE'!$X$27*'TUSD BE'!$X$70</f>
        <v>0</v>
      </c>
      <c r="Y27" s="13">
        <f>'TUSD BE'!$Y$27*'TUSD BE'!$Y$70</f>
        <v>0</v>
      </c>
      <c r="Z27" s="13">
        <f>'TUSD BE'!$Z$27*'TUSD BE'!$Z$70</f>
        <v>0</v>
      </c>
      <c r="AA27" s="13">
        <f>'TUSD BE'!$AA$27*'TUSD BE'!$AA$70</f>
        <v>0</v>
      </c>
      <c r="AB27" s="13">
        <f>SUM($U$27:$AA$27)</f>
        <v>0</v>
      </c>
      <c r="AC27" s="13">
        <f>'TUSD BE'!$AC$27*'TUSD BE'!$AC$70</f>
        <v>0</v>
      </c>
      <c r="AD27" s="13">
        <f>SUM($AC$27:$AC$27)</f>
        <v>0</v>
      </c>
      <c r="AE27" s="13">
        <f ca="1">$AO$27*$AO$67</f>
        <v>-0.25761151370032465</v>
      </c>
      <c r="AF27" s="13">
        <f ca="1">$AP$27*$AP$67</f>
        <v>0</v>
      </c>
      <c r="AG27" s="13">
        <f ca="1">SUM($AE$27:$AF$27)</f>
        <v>-0.25761151370032465</v>
      </c>
      <c r="AH27" s="13">
        <f>'TUSD BE'!$AH$27*'TUSD BE'!$AH$70</f>
        <v>0</v>
      </c>
      <c r="AI27" s="13">
        <f>'TUSD BE'!$AI$27*'TUSD BE'!$AI$70</f>
        <v>0</v>
      </c>
      <c r="AJ27" s="13">
        <f ca="1">'TUSD BE'!$AJ$27*'TUSD BE'!$AJ$70</f>
        <v>0</v>
      </c>
      <c r="AK27" s="13">
        <f ca="1">'TUSD BE'!$AK$27*'TUSD BE'!$AK$70</f>
        <v>0</v>
      </c>
      <c r="AL27" s="13">
        <f ca="1">SUM($AH$27:$AK$27)</f>
        <v>0</v>
      </c>
      <c r="AM27" s="13">
        <f ca="1">SUMIF($L$4:$AL$4,"SUBTOTAL",$L$27:$AL$27)+AZ27</f>
        <v>-0.25751385153402423</v>
      </c>
      <c r="AO27" s="20">
        <f ca="1">+'TUSD BE'!$T$27+'TUSD BE'!$AB$27+'TUSD BE'!$AD$27+'TUSD BE'!$AL$27</f>
        <v>5.9634334129670856</v>
      </c>
      <c r="AP27" s="20">
        <f ca="1">+'TUSD BE'!$T$27+'TUSD BE'!$AB$27+'TUSD BE'!$AD$27+'TUSD BE'!$AL$27</f>
        <v>5.9634334129670856</v>
      </c>
      <c r="AQ27" s="9" t="str">
        <f t="shared" si="0"/>
        <v>B</v>
      </c>
      <c r="AR27" s="9" t="str">
        <f t="shared" si="1"/>
        <v>Geração</v>
      </c>
      <c r="AS27" s="9" t="str">
        <f t="shared" si="2"/>
        <v>Não se aplica</v>
      </c>
      <c r="AT27" s="9" t="str">
        <f t="shared" si="3"/>
        <v>Não se aplica</v>
      </c>
      <c r="AU27" s="9" t="str">
        <f t="shared" si="4"/>
        <v>TIPO 01</v>
      </c>
      <c r="AV27" s="9">
        <f t="shared" si="5"/>
        <v>0</v>
      </c>
      <c r="AW27" s="9">
        <f ca="1">TarifaMedia!$G$36</f>
        <v>1</v>
      </c>
      <c r="AX27" s="15">
        <f ca="1">'TUSD BE'!$AM27+'TUSD BF'!$AM27+'TUSD CVA'!$AM27</f>
        <v>5.7059195614330616</v>
      </c>
      <c r="AY27" s="9">
        <v>2.16</v>
      </c>
      <c r="AZ27" s="9">
        <f t="shared" ca="1" si="6"/>
        <v>0</v>
      </c>
      <c r="BC27" s="80" t="s">
        <v>942</v>
      </c>
    </row>
    <row r="28" spans="1:55" ht="11.25" customHeight="1" x14ac:dyDescent="0.3">
      <c r="A28" s="137"/>
      <c r="B28" s="137"/>
      <c r="C28" s="137"/>
      <c r="D28" s="137"/>
      <c r="E28" s="17" t="s">
        <v>90</v>
      </c>
      <c r="F28" s="17" t="s">
        <v>25</v>
      </c>
      <c r="G28" s="18" t="s">
        <v>9</v>
      </c>
      <c r="H28" s="18" t="s">
        <v>84</v>
      </c>
      <c r="I28" s="18">
        <f>'MERCADO TUSD'!$U$25+0.00000001</f>
        <v>1E-8</v>
      </c>
      <c r="J28" s="15"/>
      <c r="L28" s="13">
        <f>'TUSD BE'!$L$28*'TUSD BE'!$L$70</f>
        <v>0</v>
      </c>
      <c r="M28" s="13">
        <f>'TUSD BE'!$M$28*'TUSD BE'!$M$70</f>
        <v>9.7661115542067503E-5</v>
      </c>
      <c r="N28" s="13">
        <f ca="1">'TUSD BE'!$N$28*'TUSD BE'!$N$70</f>
        <v>1.0507583733939311E-9</v>
      </c>
      <c r="O28" s="13">
        <f>'TUSD BE'!$O$28*'TUSD BE'!$O$70</f>
        <v>0</v>
      </c>
      <c r="P28" s="13">
        <f>'TUSD BE'!$P$28*'TUSD BE'!$P$70</f>
        <v>0</v>
      </c>
      <c r="Q28" s="13">
        <f>'TUSD BE'!$Q$28*'TUSD BE'!$Q$70</f>
        <v>0</v>
      </c>
      <c r="R28" s="13">
        <f>'TUSD BE'!$R$28*'TUSD BE'!$R$70</f>
        <v>0</v>
      </c>
      <c r="S28" s="13">
        <f>'TUSD BE'!$R$28*'TUSD BE'!$S$70</f>
        <v>0</v>
      </c>
      <c r="T28" s="13">
        <f ca="1">SUM($L$28:$S$28)</f>
        <v>9.7662166300440894E-5</v>
      </c>
      <c r="U28" s="13">
        <f>'TUSD BE'!$U$28*'TUSD BE'!$U$70</f>
        <v>0</v>
      </c>
      <c r="V28" s="13">
        <f>'TUSD BE'!$V$28*'TUSD BE'!$V$70</f>
        <v>0</v>
      </c>
      <c r="W28" s="13">
        <f>'TUSD BE'!$W$28*'TUSD BE'!$W$70</f>
        <v>0</v>
      </c>
      <c r="X28" s="13">
        <f>'TUSD BE'!$X$28*'TUSD BE'!$X$70</f>
        <v>0</v>
      </c>
      <c r="Y28" s="13">
        <f>'TUSD BE'!$Y$28*'TUSD BE'!$Y$70</f>
        <v>0</v>
      </c>
      <c r="Z28" s="13">
        <f>'TUSD BE'!$Z$28*'TUSD BE'!$Z$70</f>
        <v>0</v>
      </c>
      <c r="AA28" s="13">
        <f>'TUSD BE'!$AA$28*'TUSD BE'!$AA$70</f>
        <v>0</v>
      </c>
      <c r="AB28" s="13">
        <f>SUM($U$28:$AA$28)</f>
        <v>0</v>
      </c>
      <c r="AC28" s="13">
        <f>'TUSD BE'!$AC$28*'TUSD BE'!$AC$70</f>
        <v>0</v>
      </c>
      <c r="AD28" s="13">
        <f>SUM($AC$28:$AC$28)</f>
        <v>0</v>
      </c>
      <c r="AE28" s="13">
        <f ca="1">$AO$28*$AO$67</f>
        <v>-0.9408391582045954</v>
      </c>
      <c r="AF28" s="13">
        <f ca="1">$AP$28*$AP$67</f>
        <v>0</v>
      </c>
      <c r="AG28" s="13">
        <f ca="1">SUM($AE$28:$AF$28)</f>
        <v>-0.9408391582045954</v>
      </c>
      <c r="AH28" s="13">
        <f>'TUSD BE'!$AH$28*'TUSD BE'!$AH$70</f>
        <v>0</v>
      </c>
      <c r="AI28" s="13">
        <f>'TUSD BE'!$AI$28*'TUSD BE'!$AI$70</f>
        <v>0</v>
      </c>
      <c r="AJ28" s="13">
        <f ca="1">'TUSD BE'!$AJ$28*'TUSD BE'!$AJ$70</f>
        <v>0</v>
      </c>
      <c r="AK28" s="13">
        <f ca="1">'TUSD BE'!$AK$28*'TUSD BE'!$AK$70</f>
        <v>0</v>
      </c>
      <c r="AL28" s="13">
        <f ca="1">SUM($AH$28:$AK$28)</f>
        <v>0</v>
      </c>
      <c r="AM28" s="13">
        <f ca="1">SUMIF($L$4:$AL$4,"SUBTOTAL",$L$28:$AL$28)+AZ28</f>
        <v>-0.94074149603829493</v>
      </c>
      <c r="AO28" s="20">
        <f ca="1">+'TUSD BE'!$T$28+'TUSD BE'!$AB$28+'TUSD BE'!$AD$28+'TUSD BE'!$AL$28</f>
        <v>21.779429000179967</v>
      </c>
      <c r="AP28" s="20">
        <f ca="1">+'TUSD BE'!$T$28+'TUSD BE'!$AB$28+'TUSD BE'!$AD$28+'TUSD BE'!$AL$28</f>
        <v>21.779429000179967</v>
      </c>
      <c r="AQ28" s="9" t="str">
        <f t="shared" si="0"/>
        <v>B</v>
      </c>
      <c r="AR28" s="9" t="str">
        <f t="shared" si="1"/>
        <v>Geração</v>
      </c>
      <c r="AS28" s="9" t="str">
        <f t="shared" si="2"/>
        <v>Não se aplica</v>
      </c>
      <c r="AT28" s="9" t="str">
        <f t="shared" si="3"/>
        <v>Não se aplica</v>
      </c>
      <c r="AU28" s="9" t="str">
        <f t="shared" si="4"/>
        <v>TIPO 02</v>
      </c>
      <c r="AV28" s="9">
        <f t="shared" si="5"/>
        <v>0</v>
      </c>
      <c r="AW28" s="9">
        <f ca="1">TarifaMedia!$G$36</f>
        <v>1</v>
      </c>
      <c r="AX28" s="15">
        <f ca="1">'TUSD BE'!$AM28+'TUSD BF'!$AM28+'TUSD CVA'!$AM28</f>
        <v>20.838687504141671</v>
      </c>
      <c r="AY28" s="9">
        <v>10.94</v>
      </c>
      <c r="AZ28" s="9">
        <f t="shared" ca="1" si="6"/>
        <v>0</v>
      </c>
      <c r="BC28" s="80" t="s">
        <v>943</v>
      </c>
    </row>
    <row r="29" spans="1:55" ht="11.25" customHeight="1" x14ac:dyDescent="0.3">
      <c r="A29" s="137" t="s">
        <v>22</v>
      </c>
      <c r="B29" s="137" t="s">
        <v>33</v>
      </c>
      <c r="C29" s="137" t="s">
        <v>24</v>
      </c>
      <c r="D29" s="137" t="s">
        <v>24</v>
      </c>
      <c r="E29" s="137" t="s">
        <v>25</v>
      </c>
      <c r="F29" s="137" t="s">
        <v>25</v>
      </c>
      <c r="G29" s="18" t="s">
        <v>80</v>
      </c>
      <c r="H29" s="18" t="s">
        <v>79</v>
      </c>
      <c r="I29" s="18">
        <f>'MERCADO TUSD'!$U$26</f>
        <v>5.2</v>
      </c>
      <c r="J29" s="15"/>
      <c r="L29" s="13">
        <f>'TUSD BE'!$L$29*'TUSD BE'!$L$70</f>
        <v>-0.12394774751833187</v>
      </c>
      <c r="M29" s="13">
        <f>'TUSD BE'!$M$29*'TUSD BE'!$M$70</f>
        <v>4.7521062421596759E-3</v>
      </c>
      <c r="N29" s="13">
        <f ca="1">'TUSD BE'!$N$29*'TUSD BE'!$N$70</f>
        <v>1.8473314287221167E-7</v>
      </c>
      <c r="O29" s="13">
        <f>'TUSD BE'!$O$29*'TUSD BE'!$O$70</f>
        <v>0</v>
      </c>
      <c r="P29" s="13">
        <f>'TUSD BE'!$P$29*'TUSD BE'!$P$70</f>
        <v>0</v>
      </c>
      <c r="Q29" s="13">
        <f>'TUSD BE'!$Q$29*'TUSD BE'!$Q$70</f>
        <v>1.6910279315747665</v>
      </c>
      <c r="R29" s="13">
        <f>'TUSD BE'!$R$29*'TUSD BE'!$R$70</f>
        <v>0.40310841228953048</v>
      </c>
      <c r="S29" s="13">
        <f>'TUSD BE'!$R$29*'TUSD BE'!$S$70</f>
        <v>0</v>
      </c>
      <c r="T29" s="13">
        <f ca="1">SUM($L$29:$S$29)</f>
        <v>1.9749408873212677</v>
      </c>
      <c r="U29" s="13">
        <f>'TUSD BE'!$U$29*'TUSD BE'!$U$70</f>
        <v>-0.8404838076435639</v>
      </c>
      <c r="V29" s="13">
        <f>'TUSD BE'!$V$29*'TUSD BE'!$V$70</f>
        <v>-0.77540694384880204</v>
      </c>
      <c r="W29" s="13">
        <f>'TUSD BE'!$W$29*'TUSD BE'!$W$70</f>
        <v>0</v>
      </c>
      <c r="X29" s="13">
        <f>'TUSD BE'!$X$29*'TUSD BE'!$X$70</f>
        <v>0</v>
      </c>
      <c r="Y29" s="13">
        <f>'TUSD BE'!$Y$29*'TUSD BE'!$Y$70</f>
        <v>0</v>
      </c>
      <c r="Z29" s="13">
        <f>'TUSD BE'!$Z$29*'TUSD BE'!$Z$70</f>
        <v>0</v>
      </c>
      <c r="AA29" s="13">
        <f>'TUSD BE'!$AA$29*'TUSD BE'!$AA$70</f>
        <v>0</v>
      </c>
      <c r="AB29" s="13">
        <f>SUM($U$29:$AA$29)</f>
        <v>-1.6158907514923659</v>
      </c>
      <c r="AC29" s="13">
        <f>'TUSD BE'!$AC$29*'TUSD BE'!$AC$70</f>
        <v>0</v>
      </c>
      <c r="AD29" s="13">
        <f>SUM($AC$29:$AC$29)</f>
        <v>0</v>
      </c>
      <c r="AE29" s="13">
        <f ca="1">$AO$29*$AO$67</f>
        <v>-49.936423679398871</v>
      </c>
      <c r="AF29" s="13">
        <f ca="1">$AP$29*$AP$67</f>
        <v>0</v>
      </c>
      <c r="AG29" s="13">
        <f ca="1">SUM($AE$29:$AF$29)</f>
        <v>-49.936423679398871</v>
      </c>
      <c r="AH29" s="13">
        <f>'TUSD BE'!$AH$29*'TUSD BE'!$AH$70</f>
        <v>1.9598136134905149</v>
      </c>
      <c r="AI29" s="13">
        <f>'TUSD BE'!$AI$29*'TUSD BE'!$AI$70</f>
        <v>5.7670049506454941E-2</v>
      </c>
      <c r="AJ29" s="13">
        <f ca="1">'TUSD BE'!$AJ$29*'TUSD BE'!$AJ$70</f>
        <v>0.13149134875098287</v>
      </c>
      <c r="AK29" s="13">
        <f ca="1">'TUSD BE'!$AK$29*'TUSD BE'!$AK$70</f>
        <v>-3.2318360632283147E-2</v>
      </c>
      <c r="AL29" s="13">
        <f ca="1">SUM($AH$29:$AK$29)</f>
        <v>2.1166566511156693</v>
      </c>
      <c r="AM29" s="13">
        <f ca="1">SUMIF($L$4:$AL$4,"SUBTOTAL",$L$29:$AL$29)+AZ29</f>
        <v>-479.07403565707551</v>
      </c>
      <c r="AO29" s="20">
        <f ca="1">+'TUSD BE'!$T$29+'TUSD BE'!$AB$29+'TUSD BE'!$AD$29+'TUSD BE'!$AL$29</f>
        <v>1155.9752637462675</v>
      </c>
      <c r="AP29" s="20">
        <f ca="1">+'TUSD BE'!$T$29+'TUSD BE'!$AB$29+'TUSD BE'!$AD$29+'TUSD BE'!$AL$29</f>
        <v>1155.9752637462675</v>
      </c>
      <c r="AQ29" s="9" t="str">
        <f t="shared" si="0"/>
        <v>B1</v>
      </c>
      <c r="AR29" s="9" t="str">
        <f t="shared" si="1"/>
        <v>Branca</v>
      </c>
      <c r="AS29" s="9" t="str">
        <f t="shared" si="2"/>
        <v>Residencial</v>
      </c>
      <c r="AT29" s="9" t="str">
        <f t="shared" si="3"/>
        <v>Residencial</v>
      </c>
      <c r="AU29" s="9" t="str">
        <f t="shared" si="4"/>
        <v>Não se aplica</v>
      </c>
      <c r="AV29" s="9">
        <f t="shared" si="5"/>
        <v>1</v>
      </c>
      <c r="AW29" s="9">
        <f ca="1">TarifaMedia!$G$36</f>
        <v>1</v>
      </c>
      <c r="AX29" s="15">
        <f ca="1">'TUSD BE'!$AM29+'TUSD BF'!$AM29+'TUSD CVA'!$AM29</f>
        <v>1159.6333187646212</v>
      </c>
      <c r="AY29" s="9">
        <v>728.02</v>
      </c>
      <c r="AZ29" s="9">
        <f t="shared" ca="1" si="6"/>
        <v>-431.61331876462123</v>
      </c>
      <c r="BC29" s="80" t="s">
        <v>944</v>
      </c>
    </row>
    <row r="30" spans="1:55" ht="11.25" customHeight="1" x14ac:dyDescent="0.3">
      <c r="A30" s="137"/>
      <c r="B30" s="137"/>
      <c r="C30" s="137"/>
      <c r="D30" s="137"/>
      <c r="E30" s="137"/>
      <c r="F30" s="137"/>
      <c r="G30" s="18" t="s">
        <v>91</v>
      </c>
      <c r="H30" s="18" t="s">
        <v>79</v>
      </c>
      <c r="I30" s="18">
        <f>'MERCADO TUSD'!$U$27</f>
        <v>3.3950000000000005</v>
      </c>
      <c r="J30" s="15"/>
      <c r="L30" s="13">
        <f>'TUSD BE'!$L$30*'TUSD BE'!$L$70</f>
        <v>-0.12394774751833187</v>
      </c>
      <c r="M30" s="13">
        <f>'TUSD BE'!$M$30*'TUSD BE'!$M$70</f>
        <v>4.7521062421596759E-3</v>
      </c>
      <c r="N30" s="13">
        <f ca="1">'TUSD BE'!$N$30*'TUSD BE'!$N$70</f>
        <v>1.1498380204632251E-7</v>
      </c>
      <c r="O30" s="13">
        <f>'TUSD BE'!$O$30*'TUSD BE'!$O$70</f>
        <v>0</v>
      </c>
      <c r="P30" s="13">
        <f>'TUSD BE'!$P$30*'TUSD BE'!$P$70</f>
        <v>0</v>
      </c>
      <c r="Q30" s="13">
        <f>'TUSD BE'!$Q$30*'TUSD BE'!$Q$70</f>
        <v>1.6910279315747665</v>
      </c>
      <c r="R30" s="13">
        <f>'TUSD BE'!$R$30*'TUSD BE'!$R$70</f>
        <v>0.40310841228953048</v>
      </c>
      <c r="S30" s="13">
        <f>'TUSD BE'!$R$30*'TUSD BE'!$S$70</f>
        <v>0</v>
      </c>
      <c r="T30" s="13">
        <f ca="1">SUM($L$30:$S$30)</f>
        <v>1.974940817571927</v>
      </c>
      <c r="U30" s="13">
        <f>'TUSD BE'!$U$30*'TUSD BE'!$U$70</f>
        <v>-0.50429010991783108</v>
      </c>
      <c r="V30" s="13">
        <f>'TUSD BE'!$V$30*'TUSD BE'!$V$70</f>
        <v>-0.46524446737505532</v>
      </c>
      <c r="W30" s="13">
        <f>'TUSD BE'!$W$30*'TUSD BE'!$W$70</f>
        <v>0</v>
      </c>
      <c r="X30" s="13">
        <f>'TUSD BE'!$X$30*'TUSD BE'!$X$70</f>
        <v>0</v>
      </c>
      <c r="Y30" s="13">
        <f>'TUSD BE'!$Y$30*'TUSD BE'!$Y$70</f>
        <v>0</v>
      </c>
      <c r="Z30" s="13">
        <f>'TUSD BE'!$Z$30*'TUSD BE'!$Z$70</f>
        <v>0</v>
      </c>
      <c r="AA30" s="13">
        <f>'TUSD BE'!$AA$30*'TUSD BE'!$AA$70</f>
        <v>0</v>
      </c>
      <c r="AB30" s="13">
        <f>SUM($U$30:$AA$30)</f>
        <v>-0.96953457729288639</v>
      </c>
      <c r="AC30" s="13">
        <f>'TUSD BE'!$AC$30*'TUSD BE'!$AC$70</f>
        <v>0</v>
      </c>
      <c r="AD30" s="13">
        <f>SUM($AC$30:$AC$30)</f>
        <v>0</v>
      </c>
      <c r="AE30" s="13">
        <f ca="1">$AO$30*$AO$67</f>
        <v>-32.54448022462261</v>
      </c>
      <c r="AF30" s="13">
        <f ca="1">$AP$30*$AP$67</f>
        <v>0</v>
      </c>
      <c r="AG30" s="13">
        <f ca="1">SUM($AE$30:$AF$30)</f>
        <v>-32.54448022462261</v>
      </c>
      <c r="AH30" s="13">
        <f>'TUSD BE'!$AH$30*'TUSD BE'!$AH$70</f>
        <v>1.9598136134905149</v>
      </c>
      <c r="AI30" s="13">
        <f>'TUSD BE'!$AI$30*'TUSD BE'!$AI$70</f>
        <v>5.7670049506454941E-2</v>
      </c>
      <c r="AJ30" s="13">
        <f ca="1">'TUSD BE'!$AJ$30*'TUSD BE'!$AJ$70</f>
        <v>0.13149134875098287</v>
      </c>
      <c r="AK30" s="13">
        <f ca="1">'TUSD BE'!$AK$30*'TUSD BE'!$AK$70</f>
        <v>-3.2318360632283147E-2</v>
      </c>
      <c r="AL30" s="13">
        <f ca="1">SUM($AH$30:$AK$30)</f>
        <v>2.1166566511156693</v>
      </c>
      <c r="AM30" s="13">
        <f ca="1">SUMIF($L$4:$AL$4,"SUBTOTAL",$L$30:$AL$30)+AZ30</f>
        <v>-287.80320768465361</v>
      </c>
      <c r="AO30" s="20">
        <f ca="1">+'TUSD BE'!$T$30+'TUSD BE'!$AB$30+'TUSD BE'!$AD$30+'TUSD BE'!$AL$30</f>
        <v>753.37021234589497</v>
      </c>
      <c r="AP30" s="20">
        <f ca="1">+'TUSD BE'!$T$30+'TUSD BE'!$AB$30+'TUSD BE'!$AD$30+'TUSD BE'!$AL$30</f>
        <v>753.37021234589497</v>
      </c>
      <c r="AQ30" s="9" t="str">
        <f t="shared" si="0"/>
        <v>B1</v>
      </c>
      <c r="AR30" s="9" t="str">
        <f t="shared" si="1"/>
        <v>Branca</v>
      </c>
      <c r="AS30" s="9" t="str">
        <f t="shared" si="2"/>
        <v>Residencial</v>
      </c>
      <c r="AT30" s="9" t="str">
        <f t="shared" si="3"/>
        <v>Residencial</v>
      </c>
      <c r="AU30" s="9" t="str">
        <f t="shared" si="4"/>
        <v>Não se aplica</v>
      </c>
      <c r="AV30" s="9">
        <f t="shared" si="5"/>
        <v>1</v>
      </c>
      <c r="AW30" s="9">
        <f ca="1">TarifaMedia!$G$36</f>
        <v>1</v>
      </c>
      <c r="AX30" s="15">
        <f ca="1">'TUSD BE'!$AM30+'TUSD BF'!$AM30+'TUSD CVA'!$AM30</f>
        <v>768.15079035142571</v>
      </c>
      <c r="AY30" s="9">
        <v>509.77</v>
      </c>
      <c r="AZ30" s="9">
        <f t="shared" ca="1" si="6"/>
        <v>-258.38079035142573</v>
      </c>
      <c r="BC30" s="80" t="s">
        <v>945</v>
      </c>
    </row>
    <row r="31" spans="1:55" ht="11.25" customHeight="1" x14ac:dyDescent="0.3">
      <c r="A31" s="137"/>
      <c r="B31" s="137"/>
      <c r="C31" s="137"/>
      <c r="D31" s="137"/>
      <c r="E31" s="137"/>
      <c r="F31" s="137"/>
      <c r="G31" s="18" t="s">
        <v>81</v>
      </c>
      <c r="H31" s="18" t="s">
        <v>79</v>
      </c>
      <c r="I31" s="18">
        <f>'MERCADO TUSD'!$U$28</f>
        <v>48.124000000000009</v>
      </c>
      <c r="J31" s="15"/>
      <c r="L31" s="13">
        <f>'TUSD BE'!$L$31*'TUSD BE'!$L$70</f>
        <v>-0.12394774751833187</v>
      </c>
      <c r="M31" s="13">
        <f>'TUSD BE'!$M$31*'TUSD BE'!$M$70</f>
        <v>4.7521062421596759E-3</v>
      </c>
      <c r="N31" s="13">
        <f ca="1">'TUSD BE'!$N$31*'TUSD BE'!$N$70</f>
        <v>4.5234441129451117E-8</v>
      </c>
      <c r="O31" s="13">
        <f>'TUSD BE'!$O$31*'TUSD BE'!$O$70</f>
        <v>0</v>
      </c>
      <c r="P31" s="13">
        <f>'TUSD BE'!$P$31*'TUSD BE'!$P$70</f>
        <v>0</v>
      </c>
      <c r="Q31" s="13">
        <f>'TUSD BE'!$Q$31*'TUSD BE'!$Q$70</f>
        <v>1.6910279315747665</v>
      </c>
      <c r="R31" s="13">
        <f>'TUSD BE'!$R$31*'TUSD BE'!$R$70</f>
        <v>0.40310841228953048</v>
      </c>
      <c r="S31" s="13">
        <f>'TUSD BE'!$R$31*'TUSD BE'!$S$70</f>
        <v>0</v>
      </c>
      <c r="T31" s="13">
        <f ca="1">SUM($L$31:$S$31)</f>
        <v>1.974940747822566</v>
      </c>
      <c r="U31" s="13">
        <f>'TUSD BE'!$U$31*'TUSD BE'!$U$70</f>
        <v>-0.16809641219209825</v>
      </c>
      <c r="V31" s="13">
        <f>'TUSD BE'!$V$31*'TUSD BE'!$V$70</f>
        <v>-0.15508199090130859</v>
      </c>
      <c r="W31" s="13">
        <f>'TUSD BE'!$W$31*'TUSD BE'!$W$70</f>
        <v>0</v>
      </c>
      <c r="X31" s="13">
        <f>'TUSD BE'!$X$31*'TUSD BE'!$X$70</f>
        <v>0</v>
      </c>
      <c r="Y31" s="13">
        <f>'TUSD BE'!$Y$31*'TUSD BE'!$Y$70</f>
        <v>0</v>
      </c>
      <c r="Z31" s="13">
        <f>'TUSD BE'!$Z$31*'TUSD BE'!$Z$70</f>
        <v>0</v>
      </c>
      <c r="AA31" s="13">
        <f>'TUSD BE'!$AA$31*'TUSD BE'!$AA$70</f>
        <v>0</v>
      </c>
      <c r="AB31" s="13">
        <f>SUM($U$31:$AA$31)</f>
        <v>-0.32317840309340684</v>
      </c>
      <c r="AC31" s="13">
        <f>'TUSD BE'!$AC$31*'TUSD BE'!$AC$70</f>
        <v>0</v>
      </c>
      <c r="AD31" s="13">
        <f>SUM($AC$31:$AC$31)</f>
        <v>0</v>
      </c>
      <c r="AE31" s="13">
        <f ca="1">$AO$31*$AO$67</f>
        <v>-15.152531845872499</v>
      </c>
      <c r="AF31" s="13">
        <f ca="1">$AP$31*$AP$67</f>
        <v>0</v>
      </c>
      <c r="AG31" s="13">
        <f ca="1">SUM($AE$31:$AF$31)</f>
        <v>-15.152531845872499</v>
      </c>
      <c r="AH31" s="13">
        <f>'TUSD BE'!$AH$31*'TUSD BE'!$AH$70</f>
        <v>1.9598136134905149</v>
      </c>
      <c r="AI31" s="13">
        <f>'TUSD BE'!$AI$31*'TUSD BE'!$AI$70</f>
        <v>5.7670049506454941E-2</v>
      </c>
      <c r="AJ31" s="13">
        <f ca="1">'TUSD BE'!$AJ$31*'TUSD BE'!$AJ$70</f>
        <v>0.13149134875098287</v>
      </c>
      <c r="AK31" s="13">
        <f ca="1">'TUSD BE'!$AK$31*'TUSD BE'!$AK$70</f>
        <v>-3.2318360632283147E-2</v>
      </c>
      <c r="AL31" s="13">
        <f ca="1">SUM($AH$31:$AK$31)</f>
        <v>2.1166566511156693</v>
      </c>
      <c r="AM31" s="13">
        <f ca="1">SUMIF($L$4:$AL$4,"SUBTOTAL",$L$31:$AL$31)+AZ31</f>
        <v>-96.522265727458077</v>
      </c>
      <c r="AO31" s="20">
        <f ca="1">+'TUSD BE'!$T$31+'TUSD BE'!$AB$31+'TUSD BE'!$AD$31+'TUSD BE'!$AL$31</f>
        <v>350.76504696074852</v>
      </c>
      <c r="AP31" s="20">
        <f ca="1">+'TUSD BE'!$T$31+'TUSD BE'!$AB$31+'TUSD BE'!$AD$31+'TUSD BE'!$AL$31</f>
        <v>350.76504696074852</v>
      </c>
      <c r="AQ31" s="9" t="str">
        <f t="shared" si="0"/>
        <v>B1</v>
      </c>
      <c r="AR31" s="9" t="str">
        <f t="shared" si="1"/>
        <v>Branca</v>
      </c>
      <c r="AS31" s="9" t="str">
        <f t="shared" si="2"/>
        <v>Residencial</v>
      </c>
      <c r="AT31" s="9" t="str">
        <f t="shared" si="3"/>
        <v>Residencial</v>
      </c>
      <c r="AU31" s="9" t="str">
        <f t="shared" si="4"/>
        <v>Não se aplica</v>
      </c>
      <c r="AV31" s="9">
        <f t="shared" si="5"/>
        <v>1</v>
      </c>
      <c r="AW31" s="9">
        <f ca="1">TarifaMedia!$G$36</f>
        <v>1</v>
      </c>
      <c r="AX31" s="15">
        <f ca="1">'TUSD BE'!$AM31+'TUSD BF'!$AM31+'TUSD CVA'!$AM31</f>
        <v>376.66815287743037</v>
      </c>
      <c r="AY31" s="9">
        <v>291.52999999999997</v>
      </c>
      <c r="AZ31" s="9">
        <f t="shared" ca="1" si="6"/>
        <v>-85.1381528774304</v>
      </c>
      <c r="BC31" s="80" t="s">
        <v>946</v>
      </c>
    </row>
    <row r="32" spans="1:55" ht="11.25" customHeight="1" x14ac:dyDescent="0.3">
      <c r="A32" s="137"/>
      <c r="B32" s="137" t="s">
        <v>23</v>
      </c>
      <c r="C32" s="137" t="s">
        <v>24</v>
      </c>
      <c r="D32" s="17" t="s">
        <v>24</v>
      </c>
      <c r="E32" s="17" t="s">
        <v>25</v>
      </c>
      <c r="F32" s="17" t="s">
        <v>25</v>
      </c>
      <c r="G32" s="18" t="s">
        <v>83</v>
      </c>
      <c r="H32" s="18" t="s">
        <v>79</v>
      </c>
      <c r="I32" s="18">
        <f>'MERCADO TUSD'!$U$29</f>
        <v>46756.356999999996</v>
      </c>
      <c r="J32" s="15"/>
      <c r="L32" s="13">
        <f>'TUSD BE'!$L$32*'TUSD BE'!$L$70</f>
        <v>-0.12394774751833187</v>
      </c>
      <c r="M32" s="13">
        <f>'TUSD BE'!$M$32*'TUSD BE'!$M$70</f>
        <v>4.7521062421596759E-3</v>
      </c>
      <c r="N32" s="13">
        <f ca="1">'TUSD BE'!$N$32*'TUSD BE'!$N$70</f>
        <v>6.4013120631565557E-8</v>
      </c>
      <c r="O32" s="13">
        <f>'TUSD BE'!$O$32*'TUSD BE'!$O$70</f>
        <v>0</v>
      </c>
      <c r="P32" s="13">
        <f>'TUSD BE'!$P$32*'TUSD BE'!$P$70</f>
        <v>0</v>
      </c>
      <c r="Q32" s="13">
        <f>'TUSD BE'!$Q$32*'TUSD BE'!$Q$70</f>
        <v>1.6910279315747665</v>
      </c>
      <c r="R32" s="13">
        <f>'TUSD BE'!$R$32*'TUSD BE'!$R$70</f>
        <v>0.40310841228953048</v>
      </c>
      <c r="S32" s="13">
        <f>'TUSD BE'!$R$32*'TUSD BE'!$S$70</f>
        <v>0</v>
      </c>
      <c r="T32" s="13">
        <f ca="1">SUM($L$32:$S$32)</f>
        <v>1.9749407666012455</v>
      </c>
      <c r="U32" s="13">
        <f>'TUSD BE'!$U$32*'TUSD BE'!$U$70</f>
        <v>-0.25861040235186578</v>
      </c>
      <c r="V32" s="13">
        <f>'TUSD BE'!$V$32*'TUSD BE'!$V$70</f>
        <v>-0.23858709933706304</v>
      </c>
      <c r="W32" s="13">
        <f>'TUSD BE'!$W$32*'TUSD BE'!$W$70</f>
        <v>0</v>
      </c>
      <c r="X32" s="13">
        <f>'TUSD BE'!$X$32*'TUSD BE'!$X$70</f>
        <v>0</v>
      </c>
      <c r="Y32" s="13">
        <f>'TUSD BE'!$Y$32*'TUSD BE'!$Y$70</f>
        <v>0</v>
      </c>
      <c r="Z32" s="13">
        <f>'TUSD BE'!$Z$32*'TUSD BE'!$Z$70</f>
        <v>0</v>
      </c>
      <c r="AA32" s="13">
        <f>'TUSD BE'!$AA$32*'TUSD BE'!$AA$70</f>
        <v>0</v>
      </c>
      <c r="AB32" s="13">
        <f>SUM($U$32:$AA$32)</f>
        <v>-0.49719750168892884</v>
      </c>
      <c r="AC32" s="13">
        <f>'TUSD BE'!$AC$32*'TUSD BE'!$AC$70</f>
        <v>0</v>
      </c>
      <c r="AD32" s="13">
        <f>SUM($AC$32:$AC$32)</f>
        <v>0</v>
      </c>
      <c r="AE32" s="13">
        <f ca="1">$AO$32*$AO$67</f>
        <v>-19.834981053784773</v>
      </c>
      <c r="AF32" s="13">
        <f ca="1">$AP$32*$AP$67</f>
        <v>0</v>
      </c>
      <c r="AG32" s="13">
        <f ca="1">SUM($AE$32:$AF$32)</f>
        <v>-19.834981053784773</v>
      </c>
      <c r="AH32" s="13">
        <f>'TUSD BE'!$AH$32*'TUSD BE'!$AH$70</f>
        <v>1.9598136134905149</v>
      </c>
      <c r="AI32" s="13">
        <f>'TUSD BE'!$AI$32*'TUSD BE'!$AI$70</f>
        <v>5.7670049506454941E-2</v>
      </c>
      <c r="AJ32" s="13">
        <f ca="1">'TUSD BE'!$AJ$32*'TUSD BE'!$AJ$70</f>
        <v>0.13149134875098287</v>
      </c>
      <c r="AK32" s="13">
        <f ca="1">'TUSD BE'!$AK$32*'TUSD BE'!$AK$70</f>
        <v>-3.2318360632283147E-2</v>
      </c>
      <c r="AL32" s="13">
        <f ca="1">SUM($AH$32:$AK$32)</f>
        <v>2.1166566511156693</v>
      </c>
      <c r="AM32" s="13">
        <f ca="1">SUMIF($L$4:$AL$4,"SUBTOTAL",$L$32:$AL$32)+AZ32</f>
        <v>-113.82794320604971</v>
      </c>
      <c r="AO32" s="20">
        <f ca="1">+'TUSD BE'!$T$32+'TUSD BE'!$AB$32+'TUSD BE'!$AD$32+'TUSD BE'!$AL$32</f>
        <v>459.15878161916231</v>
      </c>
      <c r="AP32" s="20">
        <f ca="1">+'TUSD BE'!$T$32+'TUSD BE'!$AB$32+'TUSD BE'!$AD$32+'TUSD BE'!$AL$32</f>
        <v>459.15878161916231</v>
      </c>
      <c r="AQ32" s="9" t="str">
        <f t="shared" si="0"/>
        <v>B1</v>
      </c>
      <c r="AR32" s="9" t="str">
        <f t="shared" si="1"/>
        <v>Convencional</v>
      </c>
      <c r="AS32" s="9" t="str">
        <f t="shared" si="2"/>
        <v>Residencial</v>
      </c>
      <c r="AT32" s="9" t="str">
        <f t="shared" si="3"/>
        <v>Residencial</v>
      </c>
      <c r="AU32" s="9" t="str">
        <f t="shared" si="4"/>
        <v>Não se aplica</v>
      </c>
      <c r="AV32" s="9">
        <f t="shared" si="5"/>
        <v>1</v>
      </c>
      <c r="AW32" s="9">
        <f ca="1">TarifaMedia!$G$36</f>
        <v>1</v>
      </c>
      <c r="AX32" s="15">
        <f ca="1">'TUSD BE'!$AM32+'TUSD BF'!$AM32+'TUSD CVA'!$AM32</f>
        <v>482.06736206829294</v>
      </c>
      <c r="AY32" s="9">
        <v>384.48</v>
      </c>
      <c r="AZ32" s="9">
        <f t="shared" ca="1" si="6"/>
        <v>-97.587362068292919</v>
      </c>
      <c r="BC32" s="80" t="s">
        <v>947</v>
      </c>
    </row>
    <row r="33" spans="1:55" ht="11.25" customHeight="1" x14ac:dyDescent="0.3">
      <c r="A33" s="137"/>
      <c r="B33" s="137"/>
      <c r="C33" s="137"/>
      <c r="D33" s="17" t="s">
        <v>29</v>
      </c>
      <c r="E33" s="17" t="s">
        <v>25</v>
      </c>
      <c r="F33" s="17" t="s">
        <v>25</v>
      </c>
      <c r="G33" s="18" t="s">
        <v>83</v>
      </c>
      <c r="H33" s="18" t="s">
        <v>79</v>
      </c>
      <c r="I33" s="18">
        <f>'MERCADO TUSD'!$U$30</f>
        <v>1110.3100000000002</v>
      </c>
      <c r="J33" s="15"/>
      <c r="L33" s="13">
        <f>'TUSD BE'!$L$33*'TUSD BE'!$L$70</f>
        <v>0</v>
      </c>
      <c r="M33" s="13">
        <f>'TUSD BE'!$M$33*'TUSD BE'!$M$70</f>
        <v>4.7521062421596759E-3</v>
      </c>
      <c r="N33" s="13">
        <f ca="1">'TUSD BE'!$N$33*'TUSD BE'!$N$70</f>
        <v>6.381221080873689E-8</v>
      </c>
      <c r="O33" s="13">
        <f>'TUSD BE'!$O$33*'TUSD BE'!$O$70</f>
        <v>0</v>
      </c>
      <c r="P33" s="13">
        <f>'TUSD BE'!$P$33*'TUSD BE'!$P$70</f>
        <v>0</v>
      </c>
      <c r="Q33" s="13">
        <f>'TUSD BE'!$Q$33*'TUSD BE'!$Q$70</f>
        <v>0</v>
      </c>
      <c r="R33" s="13">
        <f>'TUSD BE'!$R$33*'TUSD BE'!$R$70</f>
        <v>0</v>
      </c>
      <c r="S33" s="13">
        <f>'TUSD BE'!$R$33*'TUSD BE'!$S$70</f>
        <v>0</v>
      </c>
      <c r="T33" s="13">
        <f ca="1">SUM($L$33:$S$33)</f>
        <v>4.7521700543704847E-3</v>
      </c>
      <c r="U33" s="13">
        <f>'TUSD BE'!$U$33*'TUSD BE'!$U$70</f>
        <v>-0.25861040235186578</v>
      </c>
      <c r="V33" s="13">
        <f>'TUSD BE'!$V$33*'TUSD BE'!$V$70</f>
        <v>-0.23858709933706304</v>
      </c>
      <c r="W33" s="13">
        <f>'TUSD BE'!$W$33*'TUSD BE'!$W$70</f>
        <v>0</v>
      </c>
      <c r="X33" s="13">
        <f>'TUSD BE'!$X$33*'TUSD BE'!$X$70</f>
        <v>0</v>
      </c>
      <c r="Y33" s="13">
        <f>'TUSD BE'!$Y$33*'TUSD BE'!$Y$70</f>
        <v>0</v>
      </c>
      <c r="Z33" s="13">
        <f>'TUSD BE'!$Z$33*'TUSD BE'!$Z$70</f>
        <v>0</v>
      </c>
      <c r="AA33" s="13">
        <f>'TUSD BE'!$AA$33*'TUSD BE'!$AA$70</f>
        <v>0</v>
      </c>
      <c r="AB33" s="13">
        <f>SUM($U$33:$AA$33)</f>
        <v>-0.49719750168892884</v>
      </c>
      <c r="AC33" s="13">
        <f>'TUSD BE'!$AC$33*'TUSD BE'!$AC$70</f>
        <v>0</v>
      </c>
      <c r="AD33" s="13">
        <f>SUM($AC$33:$AC$33)</f>
        <v>0</v>
      </c>
      <c r="AE33" s="13">
        <f ca="1">$AO$33*$AO$67</f>
        <v>-14.58054824703766</v>
      </c>
      <c r="AF33" s="13">
        <f ca="1">$AP$33*$AP$67</f>
        <v>0</v>
      </c>
      <c r="AG33" s="13">
        <f ca="1">SUM($AE$33:$AF$33)</f>
        <v>-14.58054824703766</v>
      </c>
      <c r="AH33" s="13">
        <f>'TUSD BE'!$AH$33*'TUSD BE'!$AH$70</f>
        <v>1.9598136134905149</v>
      </c>
      <c r="AI33" s="13">
        <f>'TUSD BE'!$AI$33*'TUSD BE'!$AI$70</f>
        <v>5.7670049506454941E-2</v>
      </c>
      <c r="AJ33" s="13">
        <f ca="1">'TUSD BE'!$AJ$33*'TUSD BE'!$AJ$70</f>
        <v>0.13149134875098287</v>
      </c>
      <c r="AK33" s="13">
        <f ca="1">'TUSD BE'!$AK$33*'TUSD BE'!$AK$70</f>
        <v>-3.2318360632283147E-2</v>
      </c>
      <c r="AL33" s="13">
        <f ca="1">SUM($AH$33:$AK$33)</f>
        <v>2.1166566511156693</v>
      </c>
      <c r="AM33" s="13">
        <f ca="1">SUMIF($L$4:$AL$4,"SUBTOTAL",$L$33:$AL$33)+AZ33</f>
        <v>-90.127673924943764</v>
      </c>
      <c r="AO33" s="20">
        <f ca="1">+'TUSD BE'!$T$33+'TUSD BE'!$AB$33+'TUSD BE'!$AD$33+'TUSD BE'!$AL$33</f>
        <v>337.52423308575692</v>
      </c>
      <c r="AP33" s="20">
        <f ca="1">+'TUSD BE'!$T$33+'TUSD BE'!$AB$33+'TUSD BE'!$AD$33+'TUSD BE'!$AL$33</f>
        <v>337.52423308575692</v>
      </c>
      <c r="AQ33" s="9" t="str">
        <f t="shared" si="0"/>
        <v>B1</v>
      </c>
      <c r="AR33" s="9" t="str">
        <f t="shared" si="1"/>
        <v>Convencional</v>
      </c>
      <c r="AS33" s="9" t="str">
        <f t="shared" si="2"/>
        <v>Residencial</v>
      </c>
      <c r="AT33" s="9" t="str">
        <f t="shared" si="3"/>
        <v>Residencial baixa renda – faixa 01</v>
      </c>
      <c r="AU33" s="9" t="str">
        <f t="shared" si="4"/>
        <v>Não se aplica</v>
      </c>
      <c r="AV33" s="9">
        <f t="shared" si="5"/>
        <v>1</v>
      </c>
      <c r="AW33" s="9">
        <f ca="1">TarifaMedia!$G$36</f>
        <v>1</v>
      </c>
      <c r="AX33" s="15">
        <f ca="1">'TUSD BE'!$AM33+'TUSD BF'!$AM33+'TUSD CVA'!$AM33</f>
        <v>328.57133699738722</v>
      </c>
      <c r="AY33" s="9">
        <v>251.4</v>
      </c>
      <c r="AZ33" s="9">
        <f t="shared" ca="1" si="6"/>
        <v>-77.171336997387215</v>
      </c>
      <c r="BC33" s="80" t="s">
        <v>948</v>
      </c>
    </row>
    <row r="34" spans="1:55" ht="11.25" customHeight="1" x14ac:dyDescent="0.3">
      <c r="A34" s="137"/>
      <c r="B34" s="137"/>
      <c r="C34" s="137"/>
      <c r="D34" s="17" t="s">
        <v>30</v>
      </c>
      <c r="E34" s="17" t="s">
        <v>25</v>
      </c>
      <c r="F34" s="17" t="s">
        <v>25</v>
      </c>
      <c r="G34" s="18" t="s">
        <v>83</v>
      </c>
      <c r="H34" s="18" t="s">
        <v>79</v>
      </c>
      <c r="I34" s="18">
        <f>'MERCADO TUSD'!$U$31</f>
        <v>2263.0230000000001</v>
      </c>
      <c r="J34" s="15"/>
      <c r="L34" s="13">
        <f>'TUSD BE'!$L$34*'TUSD BE'!$L$70</f>
        <v>0</v>
      </c>
      <c r="M34" s="13">
        <f>'TUSD BE'!$M$34*'TUSD BE'!$M$70</f>
        <v>4.7521062421596759E-3</v>
      </c>
      <c r="N34" s="13">
        <f ca="1">'TUSD BE'!$N$34*'TUSD BE'!$N$70</f>
        <v>6.381221080873689E-8</v>
      </c>
      <c r="O34" s="13">
        <f>'TUSD BE'!$O$34*'TUSD BE'!$O$70</f>
        <v>0</v>
      </c>
      <c r="P34" s="13">
        <f>'TUSD BE'!$P$34*'TUSD BE'!$P$70</f>
        <v>0</v>
      </c>
      <c r="Q34" s="13">
        <f>'TUSD BE'!$Q$34*'TUSD BE'!$Q$70</f>
        <v>0</v>
      </c>
      <c r="R34" s="13">
        <f>'TUSD BE'!$R$34*'TUSD BE'!$R$70</f>
        <v>0</v>
      </c>
      <c r="S34" s="13">
        <f>'TUSD BE'!$R$34*'TUSD BE'!$S$70</f>
        <v>0</v>
      </c>
      <c r="T34" s="13">
        <f ca="1">SUM($L$34:$S$34)</f>
        <v>4.7521700543704847E-3</v>
      </c>
      <c r="U34" s="13">
        <f>'TUSD BE'!$U$34*'TUSD BE'!$U$70</f>
        <v>-0.25861040235186578</v>
      </c>
      <c r="V34" s="13">
        <f>'TUSD BE'!$V$34*'TUSD BE'!$V$70</f>
        <v>-0.23858709933706304</v>
      </c>
      <c r="W34" s="13">
        <f>'TUSD BE'!$W$34*'TUSD BE'!$W$70</f>
        <v>0</v>
      </c>
      <c r="X34" s="13">
        <f>'TUSD BE'!$X$34*'TUSD BE'!$X$70</f>
        <v>0</v>
      </c>
      <c r="Y34" s="13">
        <f>'TUSD BE'!$Y$34*'TUSD BE'!$Y$70</f>
        <v>0</v>
      </c>
      <c r="Z34" s="13">
        <f>'TUSD BE'!$Z$34*'TUSD BE'!$Z$70</f>
        <v>0</v>
      </c>
      <c r="AA34" s="13">
        <f>'TUSD BE'!$AA$34*'TUSD BE'!$AA$70</f>
        <v>0</v>
      </c>
      <c r="AB34" s="13">
        <f>SUM($U$34:$AA$34)</f>
        <v>-0.49719750168892884</v>
      </c>
      <c r="AC34" s="13">
        <f>'TUSD BE'!$AC$34*'TUSD BE'!$AC$70</f>
        <v>0</v>
      </c>
      <c r="AD34" s="13">
        <f>SUM($AC$34:$AC$34)</f>
        <v>0</v>
      </c>
      <c r="AE34" s="13">
        <f ca="1">$AO$34*$AO$67</f>
        <v>-14.58054824703766</v>
      </c>
      <c r="AF34" s="13">
        <f ca="1">$AP$34*$AP$67</f>
        <v>0</v>
      </c>
      <c r="AG34" s="13">
        <f ca="1">SUM($AE$34:$AF$34)</f>
        <v>-14.58054824703766</v>
      </c>
      <c r="AH34" s="13">
        <f>'TUSD BE'!$AH$34*'TUSD BE'!$AH$70</f>
        <v>1.9598136134905149</v>
      </c>
      <c r="AI34" s="13">
        <f>'TUSD BE'!$AI$34*'TUSD BE'!$AI$70</f>
        <v>5.7670049506454941E-2</v>
      </c>
      <c r="AJ34" s="13">
        <f ca="1">'TUSD BE'!$AJ$34*'TUSD BE'!$AJ$70</f>
        <v>0.13149134875098287</v>
      </c>
      <c r="AK34" s="13">
        <f ca="1">'TUSD BE'!$AK$34*'TUSD BE'!$AK$70</f>
        <v>-3.2318360632283147E-2</v>
      </c>
      <c r="AL34" s="13">
        <f ca="1">SUM($AH$34:$AK$34)</f>
        <v>2.1166566511156693</v>
      </c>
      <c r="AM34" s="13">
        <f ca="1">SUMIF($L$4:$AL$4,"SUBTOTAL",$L$34:$AL$34)+AZ34</f>
        <v>-90.127673924943764</v>
      </c>
      <c r="AO34" s="20">
        <f ca="1">+'TUSD BE'!$T$34+'TUSD BE'!$AB$34+'TUSD BE'!$AD$34+'TUSD BE'!$AL$34</f>
        <v>337.52423308575692</v>
      </c>
      <c r="AP34" s="20">
        <f ca="1">+'TUSD BE'!$T$34+'TUSD BE'!$AB$34+'TUSD BE'!$AD$34+'TUSD BE'!$AL$34</f>
        <v>337.52423308575692</v>
      </c>
      <c r="AQ34" s="9" t="str">
        <f t="shared" si="0"/>
        <v>B1</v>
      </c>
      <c r="AR34" s="9" t="str">
        <f t="shared" si="1"/>
        <v>Convencional</v>
      </c>
      <c r="AS34" s="9" t="str">
        <f t="shared" si="2"/>
        <v>Residencial</v>
      </c>
      <c r="AT34" s="9" t="str">
        <f t="shared" si="3"/>
        <v>Residencial baixa renda – faixa 02</v>
      </c>
      <c r="AU34" s="9" t="str">
        <f t="shared" si="4"/>
        <v>Não se aplica</v>
      </c>
      <c r="AV34" s="9">
        <f t="shared" si="5"/>
        <v>1</v>
      </c>
      <c r="AW34" s="9">
        <f ca="1">TarifaMedia!$G$36</f>
        <v>1</v>
      </c>
      <c r="AX34" s="15">
        <f ca="1">'TUSD BE'!$AM34+'TUSD BF'!$AM34+'TUSD CVA'!$AM34</f>
        <v>328.57133699738722</v>
      </c>
      <c r="AY34" s="9">
        <v>251.4</v>
      </c>
      <c r="AZ34" s="9">
        <f t="shared" ca="1" si="6"/>
        <v>-77.171336997387215</v>
      </c>
      <c r="BC34" s="80" t="s">
        <v>948</v>
      </c>
    </row>
    <row r="35" spans="1:55" ht="11.25" customHeight="1" x14ac:dyDescent="0.3">
      <c r="A35" s="137"/>
      <c r="B35" s="137"/>
      <c r="C35" s="137"/>
      <c r="D35" s="17" t="s">
        <v>31</v>
      </c>
      <c r="E35" s="17" t="s">
        <v>25</v>
      </c>
      <c r="F35" s="17" t="s">
        <v>25</v>
      </c>
      <c r="G35" s="18" t="s">
        <v>83</v>
      </c>
      <c r="H35" s="18" t="s">
        <v>79</v>
      </c>
      <c r="I35" s="18">
        <f>'MERCADO TUSD'!$U$32</f>
        <v>1590.454</v>
      </c>
      <c r="J35" s="15"/>
      <c r="L35" s="13">
        <f>'TUSD BE'!$L$35*'TUSD BE'!$L$70</f>
        <v>0</v>
      </c>
      <c r="M35" s="13">
        <f>'TUSD BE'!$M$35*'TUSD BE'!$M$70</f>
        <v>4.7521062421596759E-3</v>
      </c>
      <c r="N35" s="13">
        <f ca="1">'TUSD BE'!$N$35*'TUSD BE'!$N$70</f>
        <v>6.381221080873689E-8</v>
      </c>
      <c r="O35" s="13">
        <f>'TUSD BE'!$O$35*'TUSD BE'!$O$70</f>
        <v>0</v>
      </c>
      <c r="P35" s="13">
        <f>'TUSD BE'!$P$35*'TUSD BE'!$P$70</f>
        <v>0</v>
      </c>
      <c r="Q35" s="13">
        <f>'TUSD BE'!$Q$35*'TUSD BE'!$Q$70</f>
        <v>0</v>
      </c>
      <c r="R35" s="13">
        <f>'TUSD BE'!$R$35*'TUSD BE'!$R$70</f>
        <v>0</v>
      </c>
      <c r="S35" s="13">
        <f>'TUSD BE'!$R$35*'TUSD BE'!$S$70</f>
        <v>0</v>
      </c>
      <c r="T35" s="13">
        <f ca="1">SUM($L$35:$S$35)</f>
        <v>4.7521700543704847E-3</v>
      </c>
      <c r="U35" s="13">
        <f>'TUSD BE'!$U$35*'TUSD BE'!$U$70</f>
        <v>-0.25861040235186578</v>
      </c>
      <c r="V35" s="13">
        <f>'TUSD BE'!$V$35*'TUSD BE'!$V$70</f>
        <v>-0.23858709933706304</v>
      </c>
      <c r="W35" s="13">
        <f>'TUSD BE'!$W$35*'TUSD BE'!$W$70</f>
        <v>0</v>
      </c>
      <c r="X35" s="13">
        <f>'TUSD BE'!$X$35*'TUSD BE'!$X$70</f>
        <v>0</v>
      </c>
      <c r="Y35" s="13">
        <f>'TUSD BE'!$Y$35*'TUSD BE'!$Y$70</f>
        <v>0</v>
      </c>
      <c r="Z35" s="13">
        <f>'TUSD BE'!$Z$35*'TUSD BE'!$Z$70</f>
        <v>0</v>
      </c>
      <c r="AA35" s="13">
        <f>'TUSD BE'!$AA$35*'TUSD BE'!$AA$70</f>
        <v>0</v>
      </c>
      <c r="AB35" s="13">
        <f>SUM($U$35:$AA$35)</f>
        <v>-0.49719750168892884</v>
      </c>
      <c r="AC35" s="13">
        <f>'TUSD BE'!$AC$35*'TUSD BE'!$AC$70</f>
        <v>0</v>
      </c>
      <c r="AD35" s="13">
        <f>SUM($AC$35:$AC$35)</f>
        <v>0</v>
      </c>
      <c r="AE35" s="13">
        <f ca="1">$AO$35*$AO$67</f>
        <v>-14.58054824703766</v>
      </c>
      <c r="AF35" s="13">
        <f ca="1">$AP$35*$AP$67</f>
        <v>0</v>
      </c>
      <c r="AG35" s="13">
        <f ca="1">SUM($AE$35:$AF$35)</f>
        <v>-14.58054824703766</v>
      </c>
      <c r="AH35" s="13">
        <f>'TUSD BE'!$AH$35*'TUSD BE'!$AH$70</f>
        <v>1.9598136134905149</v>
      </c>
      <c r="AI35" s="13">
        <f>'TUSD BE'!$AI$35*'TUSD BE'!$AI$70</f>
        <v>5.7670049506454941E-2</v>
      </c>
      <c r="AJ35" s="13">
        <f ca="1">'TUSD BE'!$AJ$35*'TUSD BE'!$AJ$70</f>
        <v>0.13149134875098287</v>
      </c>
      <c r="AK35" s="13">
        <f ca="1">'TUSD BE'!$AK$35*'TUSD BE'!$AK$70</f>
        <v>-3.2318360632283147E-2</v>
      </c>
      <c r="AL35" s="13">
        <f ca="1">SUM($AH$35:$AK$35)</f>
        <v>2.1166566511156693</v>
      </c>
      <c r="AM35" s="13">
        <f ca="1">SUMIF($L$4:$AL$4,"SUBTOTAL",$L$35:$AL$35)+AZ35</f>
        <v>-90.127673924943764</v>
      </c>
      <c r="AO35" s="20">
        <f ca="1">+'TUSD BE'!$T$35+'TUSD BE'!$AB$35+'TUSD BE'!$AD$35+'TUSD BE'!$AL$35</f>
        <v>337.52423308575692</v>
      </c>
      <c r="AP35" s="20">
        <f ca="1">+'TUSD BE'!$T$35+'TUSD BE'!$AB$35+'TUSD BE'!$AD$35+'TUSD BE'!$AL$35</f>
        <v>337.52423308575692</v>
      </c>
      <c r="AQ35" s="9" t="str">
        <f t="shared" si="0"/>
        <v>B1</v>
      </c>
      <c r="AR35" s="9" t="str">
        <f t="shared" si="1"/>
        <v>Convencional</v>
      </c>
      <c r="AS35" s="9" t="str">
        <f t="shared" si="2"/>
        <v>Residencial</v>
      </c>
      <c r="AT35" s="9" t="str">
        <f t="shared" si="3"/>
        <v>Residencial baixa renda – faixa 03</v>
      </c>
      <c r="AU35" s="9" t="str">
        <f t="shared" si="4"/>
        <v>Não se aplica</v>
      </c>
      <c r="AV35" s="9">
        <f t="shared" si="5"/>
        <v>1</v>
      </c>
      <c r="AW35" s="9">
        <f ca="1">TarifaMedia!$G$36</f>
        <v>1</v>
      </c>
      <c r="AX35" s="15">
        <f ca="1">'TUSD BE'!$AM35+'TUSD BF'!$AM35+'TUSD CVA'!$AM35</f>
        <v>328.57133699738722</v>
      </c>
      <c r="AY35" s="9">
        <v>251.4</v>
      </c>
      <c r="AZ35" s="9">
        <f t="shared" ca="1" si="6"/>
        <v>-77.171336997387215</v>
      </c>
      <c r="BC35" s="80" t="s">
        <v>948</v>
      </c>
    </row>
    <row r="36" spans="1:55" ht="11.25" customHeight="1" x14ac:dyDescent="0.3">
      <c r="A36" s="137"/>
      <c r="B36" s="137"/>
      <c r="C36" s="137"/>
      <c r="D36" s="17" t="s">
        <v>32</v>
      </c>
      <c r="E36" s="17" t="s">
        <v>25</v>
      </c>
      <c r="F36" s="17" t="s">
        <v>25</v>
      </c>
      <c r="G36" s="18" t="s">
        <v>83</v>
      </c>
      <c r="H36" s="18" t="s">
        <v>79</v>
      </c>
      <c r="I36" s="18">
        <f>'MERCADO TUSD'!$U$33</f>
        <v>284.12699999999995</v>
      </c>
      <c r="J36" s="15"/>
      <c r="L36" s="13">
        <f>'TUSD BE'!$L$36*'TUSD BE'!$L$70</f>
        <v>0</v>
      </c>
      <c r="M36" s="13">
        <f>'TUSD BE'!$M$36*'TUSD BE'!$M$70</f>
        <v>4.7521062421596759E-3</v>
      </c>
      <c r="N36" s="13">
        <f ca="1">'TUSD BE'!$N$36*'TUSD BE'!$N$70</f>
        <v>6.381221080873689E-8</v>
      </c>
      <c r="O36" s="13">
        <f>'TUSD BE'!$O$36*'TUSD BE'!$O$70</f>
        <v>0</v>
      </c>
      <c r="P36" s="13">
        <f>'TUSD BE'!$P$36*'TUSD BE'!$P$70</f>
        <v>0</v>
      </c>
      <c r="Q36" s="13">
        <f>'TUSD BE'!$Q$36*'TUSD BE'!$Q$70</f>
        <v>0</v>
      </c>
      <c r="R36" s="13">
        <f>'TUSD BE'!$R$36*'TUSD BE'!$R$70</f>
        <v>0</v>
      </c>
      <c r="S36" s="13">
        <f>'TUSD BE'!$R$36*'TUSD BE'!$S$70</f>
        <v>0</v>
      </c>
      <c r="T36" s="13">
        <f ca="1">SUM($L$36:$S$36)</f>
        <v>4.7521700543704847E-3</v>
      </c>
      <c r="U36" s="13">
        <f>'TUSD BE'!$U$36*'TUSD BE'!$U$70</f>
        <v>-0.25861040235186578</v>
      </c>
      <c r="V36" s="13">
        <f>'TUSD BE'!$V$36*'TUSD BE'!$V$70</f>
        <v>-0.23858709933706304</v>
      </c>
      <c r="W36" s="13">
        <f>'TUSD BE'!$W$36*'TUSD BE'!$W$70</f>
        <v>0</v>
      </c>
      <c r="X36" s="13">
        <f>'TUSD BE'!$X$36*'TUSD BE'!$X$70</f>
        <v>0</v>
      </c>
      <c r="Y36" s="13">
        <f>'TUSD BE'!$Y$36*'TUSD BE'!$Y$70</f>
        <v>0</v>
      </c>
      <c r="Z36" s="13">
        <f>'TUSD BE'!$Z$36*'TUSD BE'!$Z$70</f>
        <v>0</v>
      </c>
      <c r="AA36" s="13">
        <f>'TUSD BE'!$AA$36*'TUSD BE'!$AA$70</f>
        <v>0</v>
      </c>
      <c r="AB36" s="13">
        <f>SUM($U$36:$AA$36)</f>
        <v>-0.49719750168892884</v>
      </c>
      <c r="AC36" s="13">
        <f>'TUSD BE'!$AC$36*'TUSD BE'!$AC$70</f>
        <v>0</v>
      </c>
      <c r="AD36" s="13">
        <f>SUM($AC$36:$AC$36)</f>
        <v>0</v>
      </c>
      <c r="AE36" s="13">
        <f ca="1">$AO$36*$AO$67</f>
        <v>-14.58054824703766</v>
      </c>
      <c r="AF36" s="13">
        <f ca="1">$AP$36*$AP$67</f>
        <v>0</v>
      </c>
      <c r="AG36" s="13">
        <f ca="1">SUM($AE$36:$AF$36)</f>
        <v>-14.58054824703766</v>
      </c>
      <c r="AH36" s="13">
        <f>'TUSD BE'!$AH$36*'TUSD BE'!$AH$70</f>
        <v>1.9598136134905149</v>
      </c>
      <c r="AI36" s="13">
        <f>'TUSD BE'!$AI$36*'TUSD BE'!$AI$70</f>
        <v>5.7670049506454941E-2</v>
      </c>
      <c r="AJ36" s="13">
        <f ca="1">'TUSD BE'!$AJ$36*'TUSD BE'!$AJ$70</f>
        <v>0.13149134875098287</v>
      </c>
      <c r="AK36" s="13">
        <f ca="1">'TUSD BE'!$AK$36*'TUSD BE'!$AK$70</f>
        <v>-3.2318360632283147E-2</v>
      </c>
      <c r="AL36" s="13">
        <f ca="1">SUM($AH$36:$AK$36)</f>
        <v>2.1166566511156693</v>
      </c>
      <c r="AM36" s="13">
        <f ca="1">SUMIF($L$4:$AL$4,"SUBTOTAL",$L$36:$AL$36)+AZ36</f>
        <v>-90.127673924943764</v>
      </c>
      <c r="AO36" s="20">
        <f ca="1">+'TUSD BE'!$T$36+'TUSD BE'!$AB$36+'TUSD BE'!$AD$36+'TUSD BE'!$AL$36</f>
        <v>337.52423308575692</v>
      </c>
      <c r="AP36" s="20">
        <f ca="1">+'TUSD BE'!$T$36+'TUSD BE'!$AB$36+'TUSD BE'!$AD$36+'TUSD BE'!$AL$36</f>
        <v>337.52423308575692</v>
      </c>
      <c r="AQ36" s="9" t="str">
        <f t="shared" si="0"/>
        <v>B1</v>
      </c>
      <c r="AR36" s="9" t="str">
        <f t="shared" si="1"/>
        <v>Convencional</v>
      </c>
      <c r="AS36" s="9" t="str">
        <f t="shared" si="2"/>
        <v>Residencial</v>
      </c>
      <c r="AT36" s="9" t="str">
        <f t="shared" si="3"/>
        <v>Residencial baixa renda – faixa 04</v>
      </c>
      <c r="AU36" s="9" t="str">
        <f t="shared" si="4"/>
        <v>Não se aplica</v>
      </c>
      <c r="AV36" s="9">
        <f t="shared" si="5"/>
        <v>1</v>
      </c>
      <c r="AW36" s="9">
        <f ca="1">TarifaMedia!$G$36</f>
        <v>1</v>
      </c>
      <c r="AX36" s="15">
        <f ca="1">'TUSD BE'!$AM36+'TUSD BF'!$AM36+'TUSD CVA'!$AM36</f>
        <v>328.57133699738722</v>
      </c>
      <c r="AY36" s="9">
        <v>251.4</v>
      </c>
      <c r="AZ36" s="9">
        <f t="shared" ca="1" si="6"/>
        <v>-77.171336997387215</v>
      </c>
      <c r="BC36" s="80" t="s">
        <v>948</v>
      </c>
    </row>
    <row r="37" spans="1:55" ht="11.25" customHeight="1" x14ac:dyDescent="0.3">
      <c r="A37" s="137"/>
      <c r="B37" s="137" t="s">
        <v>93</v>
      </c>
      <c r="C37" s="137" t="s">
        <v>24</v>
      </c>
      <c r="D37" s="17" t="s">
        <v>24</v>
      </c>
      <c r="E37" s="17" t="s">
        <v>25</v>
      </c>
      <c r="F37" s="17" t="s">
        <v>25</v>
      </c>
      <c r="G37" s="18" t="s">
        <v>83</v>
      </c>
      <c r="H37" s="18" t="s">
        <v>79</v>
      </c>
      <c r="I37" s="18">
        <f>'MERCADO TUSD'!$U$34</f>
        <v>0</v>
      </c>
      <c r="J37" s="15"/>
      <c r="L37" s="13">
        <f>'TUSD BE'!$L$37*'TUSD BE'!$L$70</f>
        <v>-0.12394774751833187</v>
      </c>
      <c r="M37" s="13">
        <f>'TUSD BE'!$M$37*'TUSD BE'!$M$70</f>
        <v>4.7521062421596759E-3</v>
      </c>
      <c r="N37" s="13">
        <f ca="1">'TUSD BE'!$N$37*'TUSD BE'!$N$70</f>
        <v>6.4013120631565557E-8</v>
      </c>
      <c r="O37" s="13">
        <f>'TUSD BE'!$O$37*'TUSD BE'!$O$70</f>
        <v>0</v>
      </c>
      <c r="P37" s="13">
        <f>'TUSD BE'!$P$37*'TUSD BE'!$P$70</f>
        <v>0</v>
      </c>
      <c r="Q37" s="13">
        <f>'TUSD BE'!$Q$37*'TUSD BE'!$Q$70</f>
        <v>1.6910279315747665</v>
      </c>
      <c r="R37" s="13">
        <f>'TUSD BE'!$R$37*'TUSD BE'!$R$70</f>
        <v>0.40310841228953048</v>
      </c>
      <c r="S37" s="13">
        <f>'TUSD BE'!$R$37*'TUSD BE'!$S$70</f>
        <v>0</v>
      </c>
      <c r="T37" s="13">
        <f ca="1">SUM($L$37:$S$37)</f>
        <v>1.9749407666012455</v>
      </c>
      <c r="U37" s="13">
        <f>'TUSD BE'!$U$37*'TUSD BE'!$U$70</f>
        <v>-0.25861040235186578</v>
      </c>
      <c r="V37" s="13">
        <f>'TUSD BE'!$V$37*'TUSD BE'!$V$70</f>
        <v>-0.23858709933706304</v>
      </c>
      <c r="W37" s="13">
        <f>'TUSD BE'!$W$37*'TUSD BE'!$W$70</f>
        <v>0</v>
      </c>
      <c r="X37" s="13">
        <f>'TUSD BE'!$X$37*'TUSD BE'!$X$70</f>
        <v>0</v>
      </c>
      <c r="Y37" s="13">
        <f>'TUSD BE'!$Y$37*'TUSD BE'!$Y$70</f>
        <v>0</v>
      </c>
      <c r="Z37" s="13">
        <f>'TUSD BE'!$Z$37*'TUSD BE'!$Z$70</f>
        <v>0</v>
      </c>
      <c r="AA37" s="13">
        <f>'TUSD BE'!$AA$37*'TUSD BE'!$AA$70</f>
        <v>0</v>
      </c>
      <c r="AB37" s="13">
        <f>SUM($U$37:$AA$37)</f>
        <v>-0.49719750168892884</v>
      </c>
      <c r="AC37" s="13">
        <f>'TUSD BE'!$AC$37*'TUSD BE'!$AC$70</f>
        <v>0</v>
      </c>
      <c r="AD37" s="13">
        <f>SUM($AC$37:$AC$37)</f>
        <v>0</v>
      </c>
      <c r="AE37" s="13">
        <f ca="1">$AO$37*$AO$67</f>
        <v>-19.834981053784773</v>
      </c>
      <c r="AF37" s="13">
        <f ca="1">$AP$37*$AP$67</f>
        <v>0</v>
      </c>
      <c r="AG37" s="13">
        <f ca="1">SUM($AE$37:$AF$37)</f>
        <v>-19.834981053784773</v>
      </c>
      <c r="AH37" s="13">
        <f>'TUSD BE'!$AH$37*'TUSD BE'!$AH$70</f>
        <v>1.9598136134905149</v>
      </c>
      <c r="AI37" s="13">
        <f>'TUSD BE'!$AI$37*'TUSD BE'!$AI$70</f>
        <v>5.7670049506454941E-2</v>
      </c>
      <c r="AJ37" s="13">
        <f ca="1">'TUSD BE'!$AJ$37*'TUSD BE'!$AJ$70</f>
        <v>0.13149134875098287</v>
      </c>
      <c r="AK37" s="13">
        <f ca="1">'TUSD BE'!$AK$37*'TUSD BE'!$AK$70</f>
        <v>-3.2318360632283147E-2</v>
      </c>
      <c r="AL37" s="13">
        <f ca="1">SUM($AH$37:$AK$37)</f>
        <v>2.1166566511156693</v>
      </c>
      <c r="AM37" s="13">
        <f ca="1">SUMIF($L$4:$AL$4,"SUBTOTAL",$L$37:$AL$37)+AZ37</f>
        <v>-113.82794320604971</v>
      </c>
      <c r="AO37" s="20">
        <f ca="1">+'TUSD BE'!$T$37+'TUSD BE'!$AB$37+'TUSD BE'!$AD$37+'TUSD BE'!$AL$37</f>
        <v>459.15878161916231</v>
      </c>
      <c r="AP37" s="20">
        <f ca="1">+'TUSD BE'!$T$37+'TUSD BE'!$AB$37+'TUSD BE'!$AD$37+'TUSD BE'!$AL$37</f>
        <v>459.15878161916231</v>
      </c>
      <c r="AQ37" s="9" t="str">
        <f t="shared" ref="AQ37:AQ63" si="7">IF($A37="",AQ36,$A37)</f>
        <v>B1</v>
      </c>
      <c r="AR37" s="9" t="str">
        <f t="shared" ref="AR37:AR63" si="8">IF($B37="",AR36,$B37)</f>
        <v>Convencional pré-pagamento</v>
      </c>
      <c r="AS37" s="9" t="str">
        <f t="shared" ref="AS37:AS63" si="9">IF($C37="",AS36,$C37)</f>
        <v>Residencial</v>
      </c>
      <c r="AT37" s="9" t="str">
        <f t="shared" ref="AT37:AT63" si="10">IF($D37="",AT36,$D37)</f>
        <v>Residencial</v>
      </c>
      <c r="AU37" s="9" t="str">
        <f t="shared" ref="AU37:AU63" si="11">IF($E37="",AU36,$E37)</f>
        <v>Não se aplica</v>
      </c>
      <c r="AV37" s="9">
        <f t="shared" ref="AV37:AV63" si="12">IF(OR(AR37="Distribuição",AR37="Geração"),0,1)</f>
        <v>1</v>
      </c>
      <c r="AW37" s="9">
        <f ca="1">TarifaMedia!$G$36</f>
        <v>1</v>
      </c>
      <c r="AX37" s="15">
        <f ca="1">'TUSD BE'!$AM37+'TUSD BF'!$AM37+'TUSD CVA'!$AM37</f>
        <v>482.06736206829294</v>
      </c>
      <c r="AY37" s="9">
        <v>384.48</v>
      </c>
      <c r="AZ37" s="9">
        <f t="shared" ref="AZ37:AZ63" ca="1" si="13">(AY37-AX37)*AW37*AV37</f>
        <v>-97.587362068292919</v>
      </c>
      <c r="BC37" s="80" t="s">
        <v>949</v>
      </c>
    </row>
    <row r="38" spans="1:55" ht="11.25" customHeight="1" x14ac:dyDescent="0.3">
      <c r="A38" s="137"/>
      <c r="B38" s="137"/>
      <c r="C38" s="137"/>
      <c r="D38" s="17" t="s">
        <v>29</v>
      </c>
      <c r="E38" s="17" t="s">
        <v>25</v>
      </c>
      <c r="F38" s="17" t="s">
        <v>25</v>
      </c>
      <c r="G38" s="18" t="s">
        <v>83</v>
      </c>
      <c r="H38" s="18" t="s">
        <v>79</v>
      </c>
      <c r="I38" s="18">
        <f>'MERCADO TUSD'!$U$35</f>
        <v>0</v>
      </c>
      <c r="J38" s="15"/>
      <c r="L38" s="13">
        <f>'TUSD BE'!$L$38*'TUSD BE'!$L$70</f>
        <v>0</v>
      </c>
      <c r="M38" s="13">
        <f>'TUSD BE'!$M$38*'TUSD BE'!$M$70</f>
        <v>4.7521062421596759E-3</v>
      </c>
      <c r="N38" s="13">
        <f ca="1">'TUSD BE'!$N$38*'TUSD BE'!$N$70</f>
        <v>6.381221080873689E-8</v>
      </c>
      <c r="O38" s="13">
        <f>'TUSD BE'!$O$38*'TUSD BE'!$O$70</f>
        <v>0</v>
      </c>
      <c r="P38" s="13">
        <f>'TUSD BE'!$P$38*'TUSD BE'!$P$70</f>
        <v>0</v>
      </c>
      <c r="Q38" s="13">
        <f>'TUSD BE'!$Q$38*'TUSD BE'!$Q$70</f>
        <v>0</v>
      </c>
      <c r="R38" s="13">
        <f>'TUSD BE'!$R$38*'TUSD BE'!$R$70</f>
        <v>0</v>
      </c>
      <c r="S38" s="13">
        <f>'TUSD BE'!$R$38*'TUSD BE'!$S$70</f>
        <v>0</v>
      </c>
      <c r="T38" s="13">
        <f ca="1">SUM($L$38:$S$38)</f>
        <v>4.7521700543704847E-3</v>
      </c>
      <c r="U38" s="13">
        <f>'TUSD BE'!$U$38*'TUSD BE'!$U$70</f>
        <v>-0.25861040235186578</v>
      </c>
      <c r="V38" s="13">
        <f>'TUSD BE'!$V$38*'TUSD BE'!$V$70</f>
        <v>-0.23858709933706304</v>
      </c>
      <c r="W38" s="13">
        <f>'TUSD BE'!$W$38*'TUSD BE'!$W$70</f>
        <v>0</v>
      </c>
      <c r="X38" s="13">
        <f>'TUSD BE'!$X$38*'TUSD BE'!$X$70</f>
        <v>0</v>
      </c>
      <c r="Y38" s="13">
        <f>'TUSD BE'!$Y$38*'TUSD BE'!$Y$70</f>
        <v>0</v>
      </c>
      <c r="Z38" s="13">
        <f>'TUSD BE'!$Z$38*'TUSD BE'!$Z$70</f>
        <v>0</v>
      </c>
      <c r="AA38" s="13">
        <f>'TUSD BE'!$AA$38*'TUSD BE'!$AA$70</f>
        <v>0</v>
      </c>
      <c r="AB38" s="13">
        <f>SUM($U$38:$AA$38)</f>
        <v>-0.49719750168892884</v>
      </c>
      <c r="AC38" s="13">
        <f>'TUSD BE'!$AC$38*'TUSD BE'!$AC$70</f>
        <v>0</v>
      </c>
      <c r="AD38" s="13">
        <f>SUM($AC$38:$AC$38)</f>
        <v>0</v>
      </c>
      <c r="AE38" s="13">
        <f ca="1">$AO$38*$AO$67</f>
        <v>-14.58054824703766</v>
      </c>
      <c r="AF38" s="13">
        <f ca="1">$AP$38*$AP$67</f>
        <v>0</v>
      </c>
      <c r="AG38" s="13">
        <f ca="1">SUM($AE$38:$AF$38)</f>
        <v>-14.58054824703766</v>
      </c>
      <c r="AH38" s="13">
        <f>'TUSD BE'!$AH$38*'TUSD BE'!$AH$70</f>
        <v>1.9598136134905149</v>
      </c>
      <c r="AI38" s="13">
        <f>'TUSD BE'!$AI$38*'TUSD BE'!$AI$70</f>
        <v>5.7670049506454941E-2</v>
      </c>
      <c r="AJ38" s="13">
        <f ca="1">'TUSD BE'!$AJ$38*'TUSD BE'!$AJ$70</f>
        <v>0.13149134875098287</v>
      </c>
      <c r="AK38" s="13">
        <f ca="1">'TUSD BE'!$AK$38*'TUSD BE'!$AK$70</f>
        <v>-3.2318360632283147E-2</v>
      </c>
      <c r="AL38" s="13">
        <f ca="1">SUM($AH$38:$AK$38)</f>
        <v>2.1166566511156693</v>
      </c>
      <c r="AM38" s="13">
        <f ca="1">SUMIF($L$4:$AL$4,"SUBTOTAL",$L$38:$AL$38)+AZ38</f>
        <v>-90.127673924943764</v>
      </c>
      <c r="AO38" s="20">
        <f ca="1">+'TUSD BE'!$T$38+'TUSD BE'!$AB$38+'TUSD BE'!$AD$38+'TUSD BE'!$AL$38</f>
        <v>337.52423308575692</v>
      </c>
      <c r="AP38" s="20">
        <f ca="1">+'TUSD BE'!$T$38+'TUSD BE'!$AB$38+'TUSD BE'!$AD$38+'TUSD BE'!$AL$38</f>
        <v>337.52423308575692</v>
      </c>
      <c r="AQ38" s="9" t="str">
        <f t="shared" si="7"/>
        <v>B1</v>
      </c>
      <c r="AR38" s="9" t="str">
        <f t="shared" si="8"/>
        <v>Convencional pré-pagamento</v>
      </c>
      <c r="AS38" s="9" t="str">
        <f t="shared" si="9"/>
        <v>Residencial</v>
      </c>
      <c r="AT38" s="9" t="str">
        <f t="shared" si="10"/>
        <v>Residencial baixa renda – faixa 01</v>
      </c>
      <c r="AU38" s="9" t="str">
        <f t="shared" si="11"/>
        <v>Não se aplica</v>
      </c>
      <c r="AV38" s="9">
        <f t="shared" si="12"/>
        <v>1</v>
      </c>
      <c r="AW38" s="9">
        <f ca="1">TarifaMedia!$G$36</f>
        <v>1</v>
      </c>
      <c r="AX38" s="15">
        <f ca="1">'TUSD BE'!$AM38+'TUSD BF'!$AM38+'TUSD CVA'!$AM38</f>
        <v>328.57133699738722</v>
      </c>
      <c r="AY38" s="9">
        <v>251.4</v>
      </c>
      <c r="AZ38" s="9">
        <f t="shared" ca="1" si="13"/>
        <v>-77.171336997387215</v>
      </c>
      <c r="BC38" s="80" t="s">
        <v>950</v>
      </c>
    </row>
    <row r="39" spans="1:55" ht="11.25" customHeight="1" x14ac:dyDescent="0.3">
      <c r="A39" s="137"/>
      <c r="B39" s="137"/>
      <c r="C39" s="137"/>
      <c r="D39" s="17" t="s">
        <v>30</v>
      </c>
      <c r="E39" s="17" t="s">
        <v>25</v>
      </c>
      <c r="F39" s="17" t="s">
        <v>25</v>
      </c>
      <c r="G39" s="18" t="s">
        <v>83</v>
      </c>
      <c r="H39" s="18" t="s">
        <v>79</v>
      </c>
      <c r="I39" s="18">
        <f>'MERCADO TUSD'!$U$36</f>
        <v>0</v>
      </c>
      <c r="J39" s="15"/>
      <c r="L39" s="13">
        <f>'TUSD BE'!$L$39*'TUSD BE'!$L$70</f>
        <v>0</v>
      </c>
      <c r="M39" s="13">
        <f>'TUSD BE'!$M$39*'TUSD BE'!$M$70</f>
        <v>4.7521062421596759E-3</v>
      </c>
      <c r="N39" s="13">
        <f ca="1">'TUSD BE'!$N$39*'TUSD BE'!$N$70</f>
        <v>6.381221080873689E-8</v>
      </c>
      <c r="O39" s="13">
        <f>'TUSD BE'!$O$39*'TUSD BE'!$O$70</f>
        <v>0</v>
      </c>
      <c r="P39" s="13">
        <f>'TUSD BE'!$P$39*'TUSD BE'!$P$70</f>
        <v>0</v>
      </c>
      <c r="Q39" s="13">
        <f>'TUSD BE'!$Q$39*'TUSD BE'!$Q$70</f>
        <v>0</v>
      </c>
      <c r="R39" s="13">
        <f>'TUSD BE'!$R$39*'TUSD BE'!$R$70</f>
        <v>0</v>
      </c>
      <c r="S39" s="13">
        <f>'TUSD BE'!$R$39*'TUSD BE'!$S$70</f>
        <v>0</v>
      </c>
      <c r="T39" s="13">
        <f ca="1">SUM($L$39:$S$39)</f>
        <v>4.7521700543704847E-3</v>
      </c>
      <c r="U39" s="13">
        <f>'TUSD BE'!$U$39*'TUSD BE'!$U$70</f>
        <v>-0.25861040235186578</v>
      </c>
      <c r="V39" s="13">
        <f>'TUSD BE'!$V$39*'TUSD BE'!$V$70</f>
        <v>-0.23858709933706304</v>
      </c>
      <c r="W39" s="13">
        <f>'TUSD BE'!$W$39*'TUSD BE'!$W$70</f>
        <v>0</v>
      </c>
      <c r="X39" s="13">
        <f>'TUSD BE'!$X$39*'TUSD BE'!$X$70</f>
        <v>0</v>
      </c>
      <c r="Y39" s="13">
        <f>'TUSD BE'!$Y$39*'TUSD BE'!$Y$70</f>
        <v>0</v>
      </c>
      <c r="Z39" s="13">
        <f>'TUSD BE'!$Z$39*'TUSD BE'!$Z$70</f>
        <v>0</v>
      </c>
      <c r="AA39" s="13">
        <f>'TUSD BE'!$AA$39*'TUSD BE'!$AA$70</f>
        <v>0</v>
      </c>
      <c r="AB39" s="13">
        <f>SUM($U$39:$AA$39)</f>
        <v>-0.49719750168892884</v>
      </c>
      <c r="AC39" s="13">
        <f>'TUSD BE'!$AC$39*'TUSD BE'!$AC$70</f>
        <v>0</v>
      </c>
      <c r="AD39" s="13">
        <f>SUM($AC$39:$AC$39)</f>
        <v>0</v>
      </c>
      <c r="AE39" s="13">
        <f ca="1">$AO$39*$AO$67</f>
        <v>-14.58054824703766</v>
      </c>
      <c r="AF39" s="13">
        <f ca="1">$AP$39*$AP$67</f>
        <v>0</v>
      </c>
      <c r="AG39" s="13">
        <f ca="1">SUM($AE$39:$AF$39)</f>
        <v>-14.58054824703766</v>
      </c>
      <c r="AH39" s="13">
        <f>'TUSD BE'!$AH$39*'TUSD BE'!$AH$70</f>
        <v>1.9598136134905149</v>
      </c>
      <c r="AI39" s="13">
        <f>'TUSD BE'!$AI$39*'TUSD BE'!$AI$70</f>
        <v>5.7670049506454941E-2</v>
      </c>
      <c r="AJ39" s="13">
        <f ca="1">'TUSD BE'!$AJ$39*'TUSD BE'!$AJ$70</f>
        <v>0.13149134875098287</v>
      </c>
      <c r="AK39" s="13">
        <f ca="1">'TUSD BE'!$AK$39*'TUSD BE'!$AK$70</f>
        <v>-3.2318360632283147E-2</v>
      </c>
      <c r="AL39" s="13">
        <f ca="1">SUM($AH$39:$AK$39)</f>
        <v>2.1166566511156693</v>
      </c>
      <c r="AM39" s="13">
        <f ca="1">SUMIF($L$4:$AL$4,"SUBTOTAL",$L$39:$AL$39)+AZ39</f>
        <v>-90.127673924943764</v>
      </c>
      <c r="AO39" s="20">
        <f ca="1">+'TUSD BE'!$T$39+'TUSD BE'!$AB$39+'TUSD BE'!$AD$39+'TUSD BE'!$AL$39</f>
        <v>337.52423308575692</v>
      </c>
      <c r="AP39" s="20">
        <f ca="1">+'TUSD BE'!$T$39+'TUSD BE'!$AB$39+'TUSD BE'!$AD$39+'TUSD BE'!$AL$39</f>
        <v>337.52423308575692</v>
      </c>
      <c r="AQ39" s="9" t="str">
        <f t="shared" si="7"/>
        <v>B1</v>
      </c>
      <c r="AR39" s="9" t="str">
        <f t="shared" si="8"/>
        <v>Convencional pré-pagamento</v>
      </c>
      <c r="AS39" s="9" t="str">
        <f t="shared" si="9"/>
        <v>Residencial</v>
      </c>
      <c r="AT39" s="9" t="str">
        <f t="shared" si="10"/>
        <v>Residencial baixa renda – faixa 02</v>
      </c>
      <c r="AU39" s="9" t="str">
        <f t="shared" si="11"/>
        <v>Não se aplica</v>
      </c>
      <c r="AV39" s="9">
        <f t="shared" si="12"/>
        <v>1</v>
      </c>
      <c r="AW39" s="9">
        <f ca="1">TarifaMedia!$G$36</f>
        <v>1</v>
      </c>
      <c r="AX39" s="15">
        <f ca="1">'TUSD BE'!$AM39+'TUSD BF'!$AM39+'TUSD CVA'!$AM39</f>
        <v>328.57133699738722</v>
      </c>
      <c r="AY39" s="9">
        <v>251.4</v>
      </c>
      <c r="AZ39" s="9">
        <f t="shared" ca="1" si="13"/>
        <v>-77.171336997387215</v>
      </c>
      <c r="BC39" s="80" t="s">
        <v>950</v>
      </c>
    </row>
    <row r="40" spans="1:55" ht="11.25" customHeight="1" x14ac:dyDescent="0.3">
      <c r="A40" s="137"/>
      <c r="B40" s="137"/>
      <c r="C40" s="137"/>
      <c r="D40" s="17" t="s">
        <v>31</v>
      </c>
      <c r="E40" s="17" t="s">
        <v>25</v>
      </c>
      <c r="F40" s="17" t="s">
        <v>25</v>
      </c>
      <c r="G40" s="18" t="s">
        <v>83</v>
      </c>
      <c r="H40" s="18" t="s">
        <v>79</v>
      </c>
      <c r="I40" s="18">
        <f>'MERCADO TUSD'!$U$37</f>
        <v>0</v>
      </c>
      <c r="J40" s="15"/>
      <c r="L40" s="13">
        <f>'TUSD BE'!$L$40*'TUSD BE'!$L$70</f>
        <v>0</v>
      </c>
      <c r="M40" s="13">
        <f>'TUSD BE'!$M$40*'TUSD BE'!$M$70</f>
        <v>4.7521062421596759E-3</v>
      </c>
      <c r="N40" s="13">
        <f ca="1">'TUSD BE'!$N$40*'TUSD BE'!$N$70</f>
        <v>6.381221080873689E-8</v>
      </c>
      <c r="O40" s="13">
        <f>'TUSD BE'!$O$40*'TUSD BE'!$O$70</f>
        <v>0</v>
      </c>
      <c r="P40" s="13">
        <f>'TUSD BE'!$P$40*'TUSD BE'!$P$70</f>
        <v>0</v>
      </c>
      <c r="Q40" s="13">
        <f>'TUSD BE'!$Q$40*'TUSD BE'!$Q$70</f>
        <v>0</v>
      </c>
      <c r="R40" s="13">
        <f>'TUSD BE'!$R$40*'TUSD BE'!$R$70</f>
        <v>0</v>
      </c>
      <c r="S40" s="13">
        <f>'TUSD BE'!$R$40*'TUSD BE'!$S$70</f>
        <v>0</v>
      </c>
      <c r="T40" s="13">
        <f ca="1">SUM($L$40:$S$40)</f>
        <v>4.7521700543704847E-3</v>
      </c>
      <c r="U40" s="13">
        <f>'TUSD BE'!$U$40*'TUSD BE'!$U$70</f>
        <v>-0.25861040235186578</v>
      </c>
      <c r="V40" s="13">
        <f>'TUSD BE'!$V$40*'TUSD BE'!$V$70</f>
        <v>-0.23858709933706304</v>
      </c>
      <c r="W40" s="13">
        <f>'TUSD BE'!$W$40*'TUSD BE'!$W$70</f>
        <v>0</v>
      </c>
      <c r="X40" s="13">
        <f>'TUSD BE'!$X$40*'TUSD BE'!$X$70</f>
        <v>0</v>
      </c>
      <c r="Y40" s="13">
        <f>'TUSD BE'!$Y$40*'TUSD BE'!$Y$70</f>
        <v>0</v>
      </c>
      <c r="Z40" s="13">
        <f>'TUSD BE'!$Z$40*'TUSD BE'!$Z$70</f>
        <v>0</v>
      </c>
      <c r="AA40" s="13">
        <f>'TUSD BE'!$AA$40*'TUSD BE'!$AA$70</f>
        <v>0</v>
      </c>
      <c r="AB40" s="13">
        <f>SUM($U$40:$AA$40)</f>
        <v>-0.49719750168892884</v>
      </c>
      <c r="AC40" s="13">
        <f>'TUSD BE'!$AC$40*'TUSD BE'!$AC$70</f>
        <v>0</v>
      </c>
      <c r="AD40" s="13">
        <f>SUM($AC$40:$AC$40)</f>
        <v>0</v>
      </c>
      <c r="AE40" s="13">
        <f ca="1">$AO$40*$AO$67</f>
        <v>-14.58054824703766</v>
      </c>
      <c r="AF40" s="13">
        <f ca="1">$AP$40*$AP$67</f>
        <v>0</v>
      </c>
      <c r="AG40" s="13">
        <f ca="1">SUM($AE$40:$AF$40)</f>
        <v>-14.58054824703766</v>
      </c>
      <c r="AH40" s="13">
        <f>'TUSD BE'!$AH$40*'TUSD BE'!$AH$70</f>
        <v>1.9598136134905149</v>
      </c>
      <c r="AI40" s="13">
        <f>'TUSD BE'!$AI$40*'TUSD BE'!$AI$70</f>
        <v>5.7670049506454941E-2</v>
      </c>
      <c r="AJ40" s="13">
        <f ca="1">'TUSD BE'!$AJ$40*'TUSD BE'!$AJ$70</f>
        <v>0.13149134875098287</v>
      </c>
      <c r="AK40" s="13">
        <f ca="1">'TUSD BE'!$AK$40*'TUSD BE'!$AK$70</f>
        <v>-3.2318360632283147E-2</v>
      </c>
      <c r="AL40" s="13">
        <f ca="1">SUM($AH$40:$AK$40)</f>
        <v>2.1166566511156693</v>
      </c>
      <c r="AM40" s="13">
        <f ca="1">SUMIF($L$4:$AL$4,"SUBTOTAL",$L$40:$AL$40)+AZ40</f>
        <v>-90.127673924943764</v>
      </c>
      <c r="AO40" s="20">
        <f ca="1">+'TUSD BE'!$T$40+'TUSD BE'!$AB$40+'TUSD BE'!$AD$40+'TUSD BE'!$AL$40</f>
        <v>337.52423308575692</v>
      </c>
      <c r="AP40" s="20">
        <f ca="1">+'TUSD BE'!$T$40+'TUSD BE'!$AB$40+'TUSD BE'!$AD$40+'TUSD BE'!$AL$40</f>
        <v>337.52423308575692</v>
      </c>
      <c r="AQ40" s="9" t="str">
        <f t="shared" si="7"/>
        <v>B1</v>
      </c>
      <c r="AR40" s="9" t="str">
        <f t="shared" si="8"/>
        <v>Convencional pré-pagamento</v>
      </c>
      <c r="AS40" s="9" t="str">
        <f t="shared" si="9"/>
        <v>Residencial</v>
      </c>
      <c r="AT40" s="9" t="str">
        <f t="shared" si="10"/>
        <v>Residencial baixa renda – faixa 03</v>
      </c>
      <c r="AU40" s="9" t="str">
        <f t="shared" si="11"/>
        <v>Não se aplica</v>
      </c>
      <c r="AV40" s="9">
        <f t="shared" si="12"/>
        <v>1</v>
      </c>
      <c r="AW40" s="9">
        <f ca="1">TarifaMedia!$G$36</f>
        <v>1</v>
      </c>
      <c r="AX40" s="15">
        <f ca="1">'TUSD BE'!$AM40+'TUSD BF'!$AM40+'TUSD CVA'!$AM40</f>
        <v>328.57133699738722</v>
      </c>
      <c r="AY40" s="9">
        <v>251.4</v>
      </c>
      <c r="AZ40" s="9">
        <f t="shared" ca="1" si="13"/>
        <v>-77.171336997387215</v>
      </c>
      <c r="BC40" s="80" t="s">
        <v>950</v>
      </c>
    </row>
    <row r="41" spans="1:55" ht="11.25" customHeight="1" x14ac:dyDescent="0.3">
      <c r="A41" s="137"/>
      <c r="B41" s="137"/>
      <c r="C41" s="137"/>
      <c r="D41" s="17" t="s">
        <v>32</v>
      </c>
      <c r="E41" s="17" t="s">
        <v>25</v>
      </c>
      <c r="F41" s="17" t="s">
        <v>25</v>
      </c>
      <c r="G41" s="18" t="s">
        <v>83</v>
      </c>
      <c r="H41" s="18" t="s">
        <v>79</v>
      </c>
      <c r="I41" s="18">
        <f>'MERCADO TUSD'!$U$38</f>
        <v>0</v>
      </c>
      <c r="J41" s="15"/>
      <c r="L41" s="13">
        <f>'TUSD BE'!$L$41*'TUSD BE'!$L$70</f>
        <v>0</v>
      </c>
      <c r="M41" s="13">
        <f>'TUSD BE'!$M$41*'TUSD BE'!$M$70</f>
        <v>4.7521062421596759E-3</v>
      </c>
      <c r="N41" s="13">
        <f ca="1">'TUSD BE'!$N$41*'TUSD BE'!$N$70</f>
        <v>6.381221080873689E-8</v>
      </c>
      <c r="O41" s="13">
        <f>'TUSD BE'!$O$41*'TUSD BE'!$O$70</f>
        <v>0</v>
      </c>
      <c r="P41" s="13">
        <f>'TUSD BE'!$P$41*'TUSD BE'!$P$70</f>
        <v>0</v>
      </c>
      <c r="Q41" s="13">
        <f>'TUSD BE'!$Q$41*'TUSD BE'!$Q$70</f>
        <v>0</v>
      </c>
      <c r="R41" s="13">
        <f>'TUSD BE'!$R$41*'TUSD BE'!$R$70</f>
        <v>0</v>
      </c>
      <c r="S41" s="13">
        <f>'TUSD BE'!$R$41*'TUSD BE'!$S$70</f>
        <v>0</v>
      </c>
      <c r="T41" s="13">
        <f ca="1">SUM($L$41:$S$41)</f>
        <v>4.7521700543704847E-3</v>
      </c>
      <c r="U41" s="13">
        <f>'TUSD BE'!$U$41*'TUSD BE'!$U$70</f>
        <v>-0.25861040235186578</v>
      </c>
      <c r="V41" s="13">
        <f>'TUSD BE'!$V$41*'TUSD BE'!$V$70</f>
        <v>-0.23858709933706304</v>
      </c>
      <c r="W41" s="13">
        <f>'TUSD BE'!$W$41*'TUSD BE'!$W$70</f>
        <v>0</v>
      </c>
      <c r="X41" s="13">
        <f>'TUSD BE'!$X$41*'TUSD BE'!$X$70</f>
        <v>0</v>
      </c>
      <c r="Y41" s="13">
        <f>'TUSD BE'!$Y$41*'TUSD BE'!$Y$70</f>
        <v>0</v>
      </c>
      <c r="Z41" s="13">
        <f>'TUSD BE'!$Z$41*'TUSD BE'!$Z$70</f>
        <v>0</v>
      </c>
      <c r="AA41" s="13">
        <f>'TUSD BE'!$AA$41*'TUSD BE'!$AA$70</f>
        <v>0</v>
      </c>
      <c r="AB41" s="13">
        <f>SUM($U$41:$AA$41)</f>
        <v>-0.49719750168892884</v>
      </c>
      <c r="AC41" s="13">
        <f>'TUSD BE'!$AC$41*'TUSD BE'!$AC$70</f>
        <v>0</v>
      </c>
      <c r="AD41" s="13">
        <f>SUM($AC$41:$AC$41)</f>
        <v>0</v>
      </c>
      <c r="AE41" s="13">
        <f ca="1">$AO$41*$AO$67</f>
        <v>-14.58054824703766</v>
      </c>
      <c r="AF41" s="13">
        <f ca="1">$AP$41*$AP$67</f>
        <v>0</v>
      </c>
      <c r="AG41" s="13">
        <f ca="1">SUM($AE$41:$AF$41)</f>
        <v>-14.58054824703766</v>
      </c>
      <c r="AH41" s="13">
        <f>'TUSD BE'!$AH$41*'TUSD BE'!$AH$70</f>
        <v>1.9598136134905149</v>
      </c>
      <c r="AI41" s="13">
        <f>'TUSD BE'!$AI$41*'TUSD BE'!$AI$70</f>
        <v>5.7670049506454941E-2</v>
      </c>
      <c r="AJ41" s="13">
        <f ca="1">'TUSD BE'!$AJ$41*'TUSD BE'!$AJ$70</f>
        <v>0.13149134875098287</v>
      </c>
      <c r="AK41" s="13">
        <f ca="1">'TUSD BE'!$AK$41*'TUSD BE'!$AK$70</f>
        <v>-3.2318360632283147E-2</v>
      </c>
      <c r="AL41" s="13">
        <f ca="1">SUM($AH$41:$AK$41)</f>
        <v>2.1166566511156693</v>
      </c>
      <c r="AM41" s="13">
        <f ca="1">SUMIF($L$4:$AL$4,"SUBTOTAL",$L$41:$AL$41)+AZ41</f>
        <v>-90.127673924943764</v>
      </c>
      <c r="AO41" s="20">
        <f ca="1">+'TUSD BE'!$T$41+'TUSD BE'!$AB$41+'TUSD BE'!$AD$41+'TUSD BE'!$AL$41</f>
        <v>337.52423308575692</v>
      </c>
      <c r="AP41" s="20">
        <f ca="1">+'TUSD BE'!$T$41+'TUSD BE'!$AB$41+'TUSD BE'!$AD$41+'TUSD BE'!$AL$41</f>
        <v>337.52423308575692</v>
      </c>
      <c r="AQ41" s="9" t="str">
        <f t="shared" si="7"/>
        <v>B1</v>
      </c>
      <c r="AR41" s="9" t="str">
        <f t="shared" si="8"/>
        <v>Convencional pré-pagamento</v>
      </c>
      <c r="AS41" s="9" t="str">
        <f t="shared" si="9"/>
        <v>Residencial</v>
      </c>
      <c r="AT41" s="9" t="str">
        <f t="shared" si="10"/>
        <v>Residencial baixa renda – faixa 04</v>
      </c>
      <c r="AU41" s="9" t="str">
        <f t="shared" si="11"/>
        <v>Não se aplica</v>
      </c>
      <c r="AV41" s="9">
        <f t="shared" si="12"/>
        <v>1</v>
      </c>
      <c r="AW41" s="9">
        <f ca="1">TarifaMedia!$G$36</f>
        <v>1</v>
      </c>
      <c r="AX41" s="15">
        <f ca="1">'TUSD BE'!$AM41+'TUSD BF'!$AM41+'TUSD CVA'!$AM41</f>
        <v>328.57133699738722</v>
      </c>
      <c r="AY41" s="9">
        <v>251.4</v>
      </c>
      <c r="AZ41" s="9">
        <f t="shared" ca="1" si="13"/>
        <v>-77.171336997387215</v>
      </c>
      <c r="BC41" s="80" t="s">
        <v>950</v>
      </c>
    </row>
    <row r="42" spans="1:55" ht="11.25" customHeight="1" x14ac:dyDescent="0.3">
      <c r="A42" s="137" t="s">
        <v>43</v>
      </c>
      <c r="B42" s="137" t="s">
        <v>33</v>
      </c>
      <c r="C42" s="137" t="s">
        <v>44</v>
      </c>
      <c r="D42" s="137" t="s">
        <v>25</v>
      </c>
      <c r="E42" s="137" t="s">
        <v>25</v>
      </c>
      <c r="F42" s="137" t="s">
        <v>25</v>
      </c>
      <c r="G42" s="18" t="s">
        <v>80</v>
      </c>
      <c r="H42" s="18" t="s">
        <v>79</v>
      </c>
      <c r="I42" s="18">
        <f>'MERCADO TUSD'!$U$39</f>
        <v>0</v>
      </c>
      <c r="J42" s="15"/>
      <c r="L42" s="13">
        <f>'TUSD BE'!$L$42*'TUSD BE'!$L$70</f>
        <v>-0.12394774751833187</v>
      </c>
      <c r="M42" s="13">
        <f>'TUSD BE'!$M$42*'TUSD BE'!$M$70</f>
        <v>4.7521062421596759E-3</v>
      </c>
      <c r="N42" s="13">
        <f ca="1">'TUSD BE'!$N$42*'TUSD BE'!$N$70</f>
        <v>1.8741583146349602E-7</v>
      </c>
      <c r="O42" s="13">
        <f>'TUSD BE'!$O$42*'TUSD BE'!$O$70</f>
        <v>0</v>
      </c>
      <c r="P42" s="13">
        <f>'TUSD BE'!$P$42*'TUSD BE'!$P$70</f>
        <v>0</v>
      </c>
      <c r="Q42" s="13">
        <f>'TUSD BE'!$Q$42*'TUSD BE'!$Q$70</f>
        <v>1.6910279315747665</v>
      </c>
      <c r="R42" s="13">
        <f>'TUSD BE'!$R$42*'TUSD BE'!$R$70</f>
        <v>0.40310841228953048</v>
      </c>
      <c r="S42" s="13">
        <f>'TUSD BE'!$R$42*'TUSD BE'!$S$70</f>
        <v>0</v>
      </c>
      <c r="T42" s="13">
        <f ca="1">SUM($L$42:$S$42)</f>
        <v>1.9749408900039562</v>
      </c>
      <c r="U42" s="13">
        <f>'TUSD BE'!$U$42*'TUSD BE'!$U$70</f>
        <v>-0.85341450242946437</v>
      </c>
      <c r="V42" s="13">
        <f>'TUSD BE'!$V$42*'TUSD BE'!$V$70</f>
        <v>-0.78733667514787276</v>
      </c>
      <c r="W42" s="13">
        <f>'TUSD BE'!$W$42*'TUSD BE'!$W$70</f>
        <v>0</v>
      </c>
      <c r="X42" s="13">
        <f>'TUSD BE'!$X$42*'TUSD BE'!$X$70</f>
        <v>0</v>
      </c>
      <c r="Y42" s="13">
        <f>'TUSD BE'!$Y$42*'TUSD BE'!$Y$70</f>
        <v>0</v>
      </c>
      <c r="Z42" s="13">
        <f>'TUSD BE'!$Z$42*'TUSD BE'!$Z$70</f>
        <v>0</v>
      </c>
      <c r="AA42" s="13">
        <f>'TUSD BE'!$AA$42*'TUSD BE'!$AA$70</f>
        <v>0</v>
      </c>
      <c r="AB42" s="13">
        <f>SUM($U$42:$AA$42)</f>
        <v>-1.6407511775773371</v>
      </c>
      <c r="AC42" s="13">
        <f>'TUSD BE'!$AC$42*'TUSD BE'!$AC$70</f>
        <v>0</v>
      </c>
      <c r="AD42" s="13">
        <f>SUM($AC$42:$AC$42)</f>
        <v>0</v>
      </c>
      <c r="AE42" s="13">
        <f ca="1">$AO$42*$AO$67</f>
        <v>-50.605350047105745</v>
      </c>
      <c r="AF42" s="13">
        <f ca="1">$AP$42*$AP$67</f>
        <v>0</v>
      </c>
      <c r="AG42" s="13">
        <f ca="1">SUM($AE$42:$AF$42)</f>
        <v>-50.605350047105745</v>
      </c>
      <c r="AH42" s="13">
        <f>'TUSD BE'!$AH$42*'TUSD BE'!$AH$70</f>
        <v>1.9598136134905149</v>
      </c>
      <c r="AI42" s="13">
        <f>'TUSD BE'!$AI$42*'TUSD BE'!$AI$70</f>
        <v>5.7670049506454941E-2</v>
      </c>
      <c r="AJ42" s="13">
        <f ca="1">'TUSD BE'!$AJ$42*'TUSD BE'!$AJ$70</f>
        <v>0.13149134875098287</v>
      </c>
      <c r="AK42" s="13">
        <f ca="1">'TUSD BE'!$AK$42*'TUSD BE'!$AK$70</f>
        <v>-3.2318360632283147E-2</v>
      </c>
      <c r="AL42" s="13">
        <f ca="1">SUM($AH$42:$AK$42)</f>
        <v>2.1166566511156693</v>
      </c>
      <c r="AM42" s="13">
        <f ca="1">SUMIF($L$4:$AL$4,"SUBTOTAL",$L$42:$AL$42)+AZ42</f>
        <v>-464.51496850545516</v>
      </c>
      <c r="AO42" s="20">
        <f ca="1">+'TUSD BE'!$T$42+'TUSD BE'!$AB$42+'TUSD BE'!$AD$42+'TUSD BE'!$AL$42</f>
        <v>1171.4601999383599</v>
      </c>
      <c r="AP42" s="20">
        <f ca="1">+'TUSD BE'!$T$42+'TUSD BE'!$AB$42+'TUSD BE'!$AD$42+'TUSD BE'!$AL$42</f>
        <v>1171.4601999383599</v>
      </c>
      <c r="AQ42" s="9" t="str">
        <f t="shared" si="7"/>
        <v>B2</v>
      </c>
      <c r="AR42" s="9" t="str">
        <f t="shared" si="8"/>
        <v>Branca</v>
      </c>
      <c r="AS42" s="9" t="str">
        <f t="shared" si="9"/>
        <v>Rural</v>
      </c>
      <c r="AT42" s="9" t="str">
        <f t="shared" si="10"/>
        <v>Não se aplica</v>
      </c>
      <c r="AU42" s="9" t="str">
        <f t="shared" si="11"/>
        <v>Não se aplica</v>
      </c>
      <c r="AV42" s="9">
        <f t="shared" si="12"/>
        <v>1</v>
      </c>
      <c r="AW42" s="9">
        <f ca="1">TarifaMedia!$G$36</f>
        <v>1</v>
      </c>
      <c r="AX42" s="15">
        <f ca="1">'TUSD BE'!$AM42+'TUSD BF'!$AM42+'TUSD CVA'!$AM42</f>
        <v>1174.6904648218917</v>
      </c>
      <c r="AY42" s="9">
        <f>ROUND(712.83/(1-CUSTOS!$M$38),2)</f>
        <v>758.33</v>
      </c>
      <c r="AZ42" s="9">
        <f t="shared" ca="1" si="13"/>
        <v>-416.3604648218917</v>
      </c>
      <c r="BC42" s="80" t="s">
        <v>951</v>
      </c>
    </row>
    <row r="43" spans="1:55" ht="11.25" customHeight="1" x14ac:dyDescent="0.3">
      <c r="A43" s="137"/>
      <c r="B43" s="137"/>
      <c r="C43" s="137"/>
      <c r="D43" s="137"/>
      <c r="E43" s="137"/>
      <c r="F43" s="137"/>
      <c r="G43" s="18" t="s">
        <v>91</v>
      </c>
      <c r="H43" s="18" t="s">
        <v>79</v>
      </c>
      <c r="I43" s="18">
        <f>'MERCADO TUSD'!$U$40</f>
        <v>0</v>
      </c>
      <c r="J43" s="15"/>
      <c r="L43" s="13">
        <f>'TUSD BE'!$L$43*'TUSD BE'!$L$70</f>
        <v>-0.12394774751833187</v>
      </c>
      <c r="M43" s="13">
        <f>'TUSD BE'!$M$43*'TUSD BE'!$M$70</f>
        <v>4.7521062421596759E-3</v>
      </c>
      <c r="N43" s="13">
        <f ca="1">'TUSD BE'!$N$43*'TUSD BE'!$N$70</f>
        <v>1.1659341118289667E-7</v>
      </c>
      <c r="O43" s="13">
        <f>'TUSD BE'!$O$43*'TUSD BE'!$O$70</f>
        <v>0</v>
      </c>
      <c r="P43" s="13">
        <f>'TUSD BE'!$P$43*'TUSD BE'!$P$70</f>
        <v>0</v>
      </c>
      <c r="Q43" s="13">
        <f>'TUSD BE'!$Q$43*'TUSD BE'!$Q$70</f>
        <v>1.6910279315747665</v>
      </c>
      <c r="R43" s="13">
        <f>'TUSD BE'!$R$43*'TUSD BE'!$R$70</f>
        <v>0.40310841228953048</v>
      </c>
      <c r="S43" s="13">
        <f>'TUSD BE'!$R$43*'TUSD BE'!$S$70</f>
        <v>0</v>
      </c>
      <c r="T43" s="13">
        <f ca="1">SUM($L$43:$S$43)</f>
        <v>1.9749408191815361</v>
      </c>
      <c r="U43" s="13">
        <f>'TUSD BE'!$U$43*'TUSD BE'!$U$70</f>
        <v>-0.51204887612598582</v>
      </c>
      <c r="V43" s="13">
        <f>'TUSD BE'!$V$43*'TUSD BE'!$V$70</f>
        <v>-0.4724023061544978</v>
      </c>
      <c r="W43" s="13">
        <f>'TUSD BE'!$W$43*'TUSD BE'!$W$70</f>
        <v>0</v>
      </c>
      <c r="X43" s="13">
        <f>'TUSD BE'!$X$43*'TUSD BE'!$X$70</f>
        <v>0</v>
      </c>
      <c r="Y43" s="13">
        <f>'TUSD BE'!$Y$43*'TUSD BE'!$Y$70</f>
        <v>0</v>
      </c>
      <c r="Z43" s="13">
        <f>'TUSD BE'!$Z$43*'TUSD BE'!$Z$70</f>
        <v>0</v>
      </c>
      <c r="AA43" s="13">
        <f>'TUSD BE'!$AA$43*'TUSD BE'!$AA$70</f>
        <v>0</v>
      </c>
      <c r="AB43" s="13">
        <f>SUM($U$43:$AA$43)</f>
        <v>-0.98445118228048356</v>
      </c>
      <c r="AC43" s="13">
        <f>'TUSD BE'!$AC$43*'TUSD BE'!$AC$70</f>
        <v>0</v>
      </c>
      <c r="AD43" s="13">
        <f>SUM($AC$43:$AC$43)</f>
        <v>0</v>
      </c>
      <c r="AE43" s="13">
        <f ca="1">$AO$43*$AO$67</f>
        <v>-32.945835351270247</v>
      </c>
      <c r="AF43" s="13">
        <f ca="1">$AP$43*$AP$67</f>
        <v>0</v>
      </c>
      <c r="AG43" s="13">
        <f ca="1">SUM($AE$43:$AF$43)</f>
        <v>-32.945835351270247</v>
      </c>
      <c r="AH43" s="13">
        <f>'TUSD BE'!$AH$43*'TUSD BE'!$AH$70</f>
        <v>1.9598136134905149</v>
      </c>
      <c r="AI43" s="13">
        <f>'TUSD BE'!$AI$43*'TUSD BE'!$AI$70</f>
        <v>5.7670049506454941E-2</v>
      </c>
      <c r="AJ43" s="13">
        <f ca="1">'TUSD BE'!$AJ$43*'TUSD BE'!$AJ$70</f>
        <v>0.13149134875098287</v>
      </c>
      <c r="AK43" s="13">
        <f ca="1">'TUSD BE'!$AK$43*'TUSD BE'!$AK$70</f>
        <v>-3.2318360632283147E-2</v>
      </c>
      <c r="AL43" s="13">
        <f ca="1">SUM($AH$43:$AK$43)</f>
        <v>2.1166566511156693</v>
      </c>
      <c r="AM43" s="13">
        <f ca="1">SUMIF($L$4:$AL$4,"SUBTOTAL",$L$43:$AL$43)+AZ43</f>
        <v>-279.06375620432954</v>
      </c>
      <c r="AO43" s="20">
        <f ca="1">+'TUSD BE'!$T$43+'TUSD BE'!$AB$43+'TUSD BE'!$AD$43+'TUSD BE'!$AL$43</f>
        <v>762.66115799633064</v>
      </c>
      <c r="AP43" s="20">
        <f ca="1">+'TUSD BE'!$T$43+'TUSD BE'!$AB$43+'TUSD BE'!$AD$43+'TUSD BE'!$AL$43</f>
        <v>762.66115799633064</v>
      </c>
      <c r="AQ43" s="9" t="str">
        <f t="shared" si="7"/>
        <v>B2</v>
      </c>
      <c r="AR43" s="9" t="str">
        <f t="shared" si="8"/>
        <v>Branca</v>
      </c>
      <c r="AS43" s="9" t="str">
        <f t="shared" si="9"/>
        <v>Rural</v>
      </c>
      <c r="AT43" s="9" t="str">
        <f t="shared" si="10"/>
        <v>Não se aplica</v>
      </c>
      <c r="AU43" s="9" t="str">
        <f t="shared" si="11"/>
        <v>Não se aplica</v>
      </c>
      <c r="AV43" s="9">
        <f t="shared" si="12"/>
        <v>1</v>
      </c>
      <c r="AW43" s="9">
        <f ca="1">TarifaMedia!$G$36</f>
        <v>1</v>
      </c>
      <c r="AX43" s="15">
        <f ca="1">'TUSD BE'!$AM43+'TUSD BF'!$AM43+'TUSD CVA'!$AM43</f>
        <v>777.18506714107605</v>
      </c>
      <c r="AY43" s="9">
        <f>ROUND(496.28/(1-CUSTOS!$M$38),2)</f>
        <v>527.96</v>
      </c>
      <c r="AZ43" s="9">
        <f t="shared" ca="1" si="13"/>
        <v>-249.22506714107601</v>
      </c>
      <c r="BC43" s="80" t="s">
        <v>952</v>
      </c>
    </row>
    <row r="44" spans="1:55" ht="11.25" customHeight="1" x14ac:dyDescent="0.3">
      <c r="A44" s="137"/>
      <c r="B44" s="137"/>
      <c r="C44" s="137"/>
      <c r="D44" s="137"/>
      <c r="E44" s="137"/>
      <c r="F44" s="137"/>
      <c r="G44" s="18" t="s">
        <v>81</v>
      </c>
      <c r="H44" s="18" t="s">
        <v>79</v>
      </c>
      <c r="I44" s="18">
        <f>'MERCADO TUSD'!$U$41</f>
        <v>0</v>
      </c>
      <c r="J44" s="15"/>
      <c r="L44" s="13">
        <f>'TUSD BE'!$L$44*'TUSD BE'!$L$70</f>
        <v>-0.12394774751833187</v>
      </c>
      <c r="M44" s="13">
        <f>'TUSD BE'!$M$44*'TUSD BE'!$M$70</f>
        <v>4.7521062421596759E-3</v>
      </c>
      <c r="N44" s="13">
        <f ca="1">'TUSD BE'!$N$44*'TUSD BE'!$N$70</f>
        <v>4.5770990902297351E-8</v>
      </c>
      <c r="O44" s="13">
        <f>'TUSD BE'!$O$44*'TUSD BE'!$O$70</f>
        <v>0</v>
      </c>
      <c r="P44" s="13">
        <f>'TUSD BE'!$P$44*'TUSD BE'!$P$70</f>
        <v>0</v>
      </c>
      <c r="Q44" s="13">
        <f>'TUSD BE'!$Q$44*'TUSD BE'!$Q$70</f>
        <v>1.6910279315747665</v>
      </c>
      <c r="R44" s="13">
        <f>'TUSD BE'!$R$44*'TUSD BE'!$R$70</f>
        <v>0.40310841228953048</v>
      </c>
      <c r="S44" s="13">
        <f>'TUSD BE'!$R$44*'TUSD BE'!$S$70</f>
        <v>0</v>
      </c>
      <c r="T44" s="13">
        <f ca="1">SUM($L$44:$S$44)</f>
        <v>1.9749407483591157</v>
      </c>
      <c r="U44" s="13">
        <f>'TUSD BE'!$U$44*'TUSD BE'!$U$70</f>
        <v>-0.1706832498225074</v>
      </c>
      <c r="V44" s="13">
        <f>'TUSD BE'!$V$44*'TUSD BE'!$V$70</f>
        <v>-0.15746793716112276</v>
      </c>
      <c r="W44" s="13">
        <f>'TUSD BE'!$W$44*'TUSD BE'!$W$70</f>
        <v>0</v>
      </c>
      <c r="X44" s="13">
        <f>'TUSD BE'!$X$44*'TUSD BE'!$X$70</f>
        <v>0</v>
      </c>
      <c r="Y44" s="13">
        <f>'TUSD BE'!$Y$44*'TUSD BE'!$Y$70</f>
        <v>0</v>
      </c>
      <c r="Z44" s="13">
        <f>'TUSD BE'!$Z$44*'TUSD BE'!$Z$70</f>
        <v>0</v>
      </c>
      <c r="AA44" s="13">
        <f>'TUSD BE'!$AA$44*'TUSD BE'!$AA$70</f>
        <v>0</v>
      </c>
      <c r="AB44" s="13">
        <f>SUM($U$44:$AA$44)</f>
        <v>-0.32815118698363016</v>
      </c>
      <c r="AC44" s="13">
        <f>'TUSD BE'!$AC$44*'TUSD BE'!$AC$70</f>
        <v>0</v>
      </c>
      <c r="AD44" s="13">
        <f>SUM($AC$44:$AC$44)</f>
        <v>0</v>
      </c>
      <c r="AE44" s="13">
        <f ca="1">$AO$44*$AO$67</f>
        <v>-15.286320655434743</v>
      </c>
      <c r="AF44" s="13">
        <f ca="1">$AP$44*$AP$67</f>
        <v>0</v>
      </c>
      <c r="AG44" s="13">
        <f ca="1">SUM($AE$44:$AF$44)</f>
        <v>-15.286320655434743</v>
      </c>
      <c r="AH44" s="13">
        <f>'TUSD BE'!$AH$44*'TUSD BE'!$AH$70</f>
        <v>1.9598136134905149</v>
      </c>
      <c r="AI44" s="13">
        <f>'TUSD BE'!$AI$44*'TUSD BE'!$AI$70</f>
        <v>5.7670049506454941E-2</v>
      </c>
      <c r="AJ44" s="13">
        <f ca="1">'TUSD BE'!$AJ$44*'TUSD BE'!$AJ$70</f>
        <v>0.13149134875098287</v>
      </c>
      <c r="AK44" s="13">
        <f ca="1">'TUSD BE'!$AK$44*'TUSD BE'!$AK$70</f>
        <v>-3.2318360632283147E-2</v>
      </c>
      <c r="AL44" s="13">
        <f ca="1">SUM($AH$44:$AK$44)</f>
        <v>2.1166566511156693</v>
      </c>
      <c r="AM44" s="13">
        <f ca="1">SUMIF($L$4:$AL$4,"SUBTOTAL",$L$44:$AL$44)+AZ44</f>
        <v>-93.602543903203923</v>
      </c>
      <c r="AO44" s="20">
        <f ca="1">+'TUSD BE'!$T$44+'TUSD BE'!$AB$44+'TUSD BE'!$AD$44+'TUSD BE'!$AL$44</f>
        <v>353.86211605430111</v>
      </c>
      <c r="AP44" s="20">
        <f ca="1">+'TUSD BE'!$T$44+'TUSD BE'!$AB$44+'TUSD BE'!$AD$44+'TUSD BE'!$AL$44</f>
        <v>353.86211605430111</v>
      </c>
      <c r="AQ44" s="9" t="str">
        <f t="shared" si="7"/>
        <v>B2</v>
      </c>
      <c r="AR44" s="9" t="str">
        <f t="shared" si="8"/>
        <v>Branca</v>
      </c>
      <c r="AS44" s="9" t="str">
        <f t="shared" si="9"/>
        <v>Rural</v>
      </c>
      <c r="AT44" s="9" t="str">
        <f t="shared" si="10"/>
        <v>Não se aplica</v>
      </c>
      <c r="AU44" s="9" t="str">
        <f t="shared" si="11"/>
        <v>Não se aplica</v>
      </c>
      <c r="AV44" s="9">
        <f t="shared" si="12"/>
        <v>1</v>
      </c>
      <c r="AW44" s="9">
        <f ca="1">TarifaMedia!$G$36</f>
        <v>1</v>
      </c>
      <c r="AX44" s="15">
        <f ca="1">'TUSD BE'!$AM44+'TUSD BF'!$AM44+'TUSD CVA'!$AM44</f>
        <v>379.67966946026036</v>
      </c>
      <c r="AY44" s="9">
        <f>ROUND(279.74/(1-CUSTOS!$M$38),2)</f>
        <v>297.60000000000002</v>
      </c>
      <c r="AZ44" s="9">
        <f t="shared" ca="1" si="13"/>
        <v>-82.079669460260334</v>
      </c>
      <c r="BC44" s="80" t="s">
        <v>953</v>
      </c>
    </row>
    <row r="45" spans="1:55" ht="11.25" customHeight="1" x14ac:dyDescent="0.3">
      <c r="A45" s="137"/>
      <c r="B45" s="17" t="s">
        <v>23</v>
      </c>
      <c r="C45" s="17" t="s">
        <v>44</v>
      </c>
      <c r="D45" s="17" t="s">
        <v>25</v>
      </c>
      <c r="E45" s="17" t="s">
        <v>25</v>
      </c>
      <c r="F45" s="17" t="s">
        <v>25</v>
      </c>
      <c r="G45" s="18" t="s">
        <v>83</v>
      </c>
      <c r="H45" s="18" t="s">
        <v>79</v>
      </c>
      <c r="I45" s="18">
        <f>'MERCADO TUSD'!$U$42</f>
        <v>17613.978000000003</v>
      </c>
      <c r="J45" s="15"/>
      <c r="L45" s="13">
        <f>'TUSD BE'!$L$45*'TUSD BE'!$L$70</f>
        <v>-0.12394774751833187</v>
      </c>
      <c r="M45" s="13">
        <f>'TUSD BE'!$M$45*'TUSD BE'!$M$70</f>
        <v>4.7521062421596759E-3</v>
      </c>
      <c r="N45" s="13">
        <f ca="1">'TUSD BE'!$N$45*'TUSD BE'!$N$70</f>
        <v>6.4013120631565557E-8</v>
      </c>
      <c r="O45" s="13">
        <f>'TUSD BE'!$O$45*'TUSD BE'!$O$70</f>
        <v>0</v>
      </c>
      <c r="P45" s="13">
        <f>'TUSD BE'!$P$45*'TUSD BE'!$P$70</f>
        <v>0</v>
      </c>
      <c r="Q45" s="13">
        <f>'TUSD BE'!$Q$45*'TUSD BE'!$Q$70</f>
        <v>1.6910279315747665</v>
      </c>
      <c r="R45" s="13">
        <f>'TUSD BE'!$R$45*'TUSD BE'!$R$70</f>
        <v>0.40310841228953048</v>
      </c>
      <c r="S45" s="13">
        <f>'TUSD BE'!$R$45*'TUSD BE'!$S$70</f>
        <v>0</v>
      </c>
      <c r="T45" s="13">
        <f ca="1">SUM($L$45:$S$45)</f>
        <v>1.9749407666012455</v>
      </c>
      <c r="U45" s="13">
        <f>'TUSD BE'!$U$45*'TUSD BE'!$U$70</f>
        <v>-0.25861040235186578</v>
      </c>
      <c r="V45" s="13">
        <f>'TUSD BE'!$V$45*'TUSD BE'!$V$70</f>
        <v>-0.23858709933706304</v>
      </c>
      <c r="W45" s="13">
        <f>'TUSD BE'!$W$45*'TUSD BE'!$W$70</f>
        <v>0</v>
      </c>
      <c r="X45" s="13">
        <f>'TUSD BE'!$X$45*'TUSD BE'!$X$70</f>
        <v>0</v>
      </c>
      <c r="Y45" s="13">
        <f>'TUSD BE'!$Y$45*'TUSD BE'!$Y$70</f>
        <v>0</v>
      </c>
      <c r="Z45" s="13">
        <f>'TUSD BE'!$Z$45*'TUSD BE'!$Z$70</f>
        <v>0</v>
      </c>
      <c r="AA45" s="13">
        <f>'TUSD BE'!$AA$45*'TUSD BE'!$AA$70</f>
        <v>0</v>
      </c>
      <c r="AB45" s="13">
        <f>SUM($U$45:$AA$45)</f>
        <v>-0.49719750168892884</v>
      </c>
      <c r="AC45" s="13">
        <f>'TUSD BE'!$AC$45*'TUSD BE'!$AC$70</f>
        <v>0</v>
      </c>
      <c r="AD45" s="13">
        <f>SUM($AC$45:$AC$45)</f>
        <v>0</v>
      </c>
      <c r="AE45" s="13">
        <f ca="1">$AO$45*$AO$67</f>
        <v>-19.834981053784773</v>
      </c>
      <c r="AF45" s="13">
        <f ca="1">$AP$45*$AP$67</f>
        <v>0</v>
      </c>
      <c r="AG45" s="13">
        <f ca="1">SUM($AE$45:$AF$45)</f>
        <v>-19.834981053784773</v>
      </c>
      <c r="AH45" s="13">
        <f>'TUSD BE'!$AH$45*'TUSD BE'!$AH$70</f>
        <v>1.9598136134905149</v>
      </c>
      <c r="AI45" s="13">
        <f>'TUSD BE'!$AI$45*'TUSD BE'!$AI$70</f>
        <v>5.7670049506454941E-2</v>
      </c>
      <c r="AJ45" s="13">
        <f ca="1">'TUSD BE'!$AJ$45*'TUSD BE'!$AJ$70</f>
        <v>0.13149134875098287</v>
      </c>
      <c r="AK45" s="13">
        <f ca="1">'TUSD BE'!$AK$45*'TUSD BE'!$AK$70</f>
        <v>-3.2318360632283147E-2</v>
      </c>
      <c r="AL45" s="13">
        <f ca="1">SUM($AH$45:$AK$45)</f>
        <v>2.1166566511156693</v>
      </c>
      <c r="AM45" s="13">
        <f ca="1">SUMIF($L$4:$AL$4,"SUBTOTAL",$L$45:$AL$45)+AZ45</f>
        <v>-113.82794320604971</v>
      </c>
      <c r="AO45" s="20">
        <f ca="1">+'TUSD BE'!$T$45+'TUSD BE'!$AB$45+'TUSD BE'!$AD$45+'TUSD BE'!$AL$45</f>
        <v>459.15878161916231</v>
      </c>
      <c r="AP45" s="20">
        <f ca="1">+'TUSD BE'!$T$45+'TUSD BE'!$AB$45+'TUSD BE'!$AD$45+'TUSD BE'!$AL$45</f>
        <v>459.15878161916231</v>
      </c>
      <c r="AQ45" s="9" t="str">
        <f t="shared" si="7"/>
        <v>B2</v>
      </c>
      <c r="AR45" s="9" t="str">
        <f t="shared" si="8"/>
        <v>Convencional</v>
      </c>
      <c r="AS45" s="9" t="str">
        <f t="shared" si="9"/>
        <v>Rural</v>
      </c>
      <c r="AT45" s="9" t="str">
        <f t="shared" si="10"/>
        <v>Não se aplica</v>
      </c>
      <c r="AU45" s="9" t="str">
        <f t="shared" si="11"/>
        <v>Não se aplica</v>
      </c>
      <c r="AV45" s="9">
        <f t="shared" si="12"/>
        <v>1</v>
      </c>
      <c r="AW45" s="9">
        <f ca="1">TarifaMedia!$G$36</f>
        <v>1</v>
      </c>
      <c r="AX45" s="15">
        <f ca="1">'TUSD BE'!$AM45+'TUSD BF'!$AM45+'TUSD CVA'!$AM45</f>
        <v>482.06736206829294</v>
      </c>
      <c r="AY45" s="9">
        <v>384.48</v>
      </c>
      <c r="AZ45" s="9">
        <f t="shared" ca="1" si="13"/>
        <v>-97.587362068292919</v>
      </c>
      <c r="BC45" s="80" t="s">
        <v>947</v>
      </c>
    </row>
    <row r="46" spans="1:55" ht="11.25" customHeight="1" x14ac:dyDescent="0.3">
      <c r="A46" s="137"/>
      <c r="B46" s="137" t="s">
        <v>33</v>
      </c>
      <c r="C46" s="137" t="s">
        <v>44</v>
      </c>
      <c r="D46" s="137" t="s">
        <v>94</v>
      </c>
      <c r="E46" s="137" t="s">
        <v>25</v>
      </c>
      <c r="F46" s="137" t="s">
        <v>25</v>
      </c>
      <c r="G46" s="18" t="s">
        <v>80</v>
      </c>
      <c r="H46" s="18" t="s">
        <v>79</v>
      </c>
      <c r="I46" s="18">
        <f>'MERCADO TUSD'!$U$43</f>
        <v>0</v>
      </c>
      <c r="J46" s="15"/>
      <c r="L46" s="13">
        <f>'TUSD BE'!$L$46*'TUSD BE'!$L$70</f>
        <v>-0.12394774751833187</v>
      </c>
      <c r="M46" s="13">
        <f>'TUSD BE'!$M$46*'TUSD BE'!$M$70</f>
        <v>4.7521062421596759E-3</v>
      </c>
      <c r="N46" s="13">
        <f ca="1">'TUSD BE'!$N$46*'TUSD BE'!$N$70</f>
        <v>1.8741583146349602E-7</v>
      </c>
      <c r="O46" s="13">
        <f>'TUSD BE'!$O$46*'TUSD BE'!$O$70</f>
        <v>0</v>
      </c>
      <c r="P46" s="13">
        <f>'TUSD BE'!$P$46*'TUSD BE'!$P$70</f>
        <v>0</v>
      </c>
      <c r="Q46" s="13">
        <f>'TUSD BE'!$Q$46*'TUSD BE'!$Q$70</f>
        <v>1.6910279315747665</v>
      </c>
      <c r="R46" s="13">
        <f>'TUSD BE'!$R$46*'TUSD BE'!$R$70</f>
        <v>0.40310841228953048</v>
      </c>
      <c r="S46" s="13">
        <f>'TUSD BE'!$R$46*'TUSD BE'!$S$70</f>
        <v>0</v>
      </c>
      <c r="T46" s="13">
        <f ca="1">SUM($L$46:$S$46)</f>
        <v>1.9749408900039562</v>
      </c>
      <c r="U46" s="13">
        <f>'TUSD BE'!$U$46*'TUSD BE'!$U$70</f>
        <v>-0.85341450242946437</v>
      </c>
      <c r="V46" s="13">
        <f>'TUSD BE'!$V$46*'TUSD BE'!$V$70</f>
        <v>-0.78733667514787276</v>
      </c>
      <c r="W46" s="13">
        <f>'TUSD BE'!$W$46*'TUSD BE'!$W$70</f>
        <v>0</v>
      </c>
      <c r="X46" s="13">
        <f>'TUSD BE'!$X$46*'TUSD BE'!$X$70</f>
        <v>0</v>
      </c>
      <c r="Y46" s="13">
        <f>'TUSD BE'!$Y$46*'TUSD BE'!$Y$70</f>
        <v>0</v>
      </c>
      <c r="Z46" s="13">
        <f>'TUSD BE'!$Z$46*'TUSD BE'!$Z$70</f>
        <v>0</v>
      </c>
      <c r="AA46" s="13">
        <f>'TUSD BE'!$AA$46*'TUSD BE'!$AA$70</f>
        <v>0</v>
      </c>
      <c r="AB46" s="13">
        <f>SUM($U$46:$AA$46)</f>
        <v>-1.6407511775773371</v>
      </c>
      <c r="AC46" s="13">
        <f>'TUSD BE'!$AC$46*'TUSD BE'!$AC$70</f>
        <v>0</v>
      </c>
      <c r="AD46" s="13">
        <f>SUM($AC$46:$AC$46)</f>
        <v>0</v>
      </c>
      <c r="AE46" s="13">
        <f ca="1">$AO$46*$AO$67</f>
        <v>-50.605350047105745</v>
      </c>
      <c r="AF46" s="13">
        <f ca="1">$AP$46*$AP$67</f>
        <v>0</v>
      </c>
      <c r="AG46" s="13">
        <f ca="1">SUM($AE$46:$AF$46)</f>
        <v>-50.605350047105745</v>
      </c>
      <c r="AH46" s="13">
        <f>'TUSD BE'!$AH$46*'TUSD BE'!$AH$70</f>
        <v>1.9598136134905149</v>
      </c>
      <c r="AI46" s="13">
        <f>'TUSD BE'!$AI$46*'TUSD BE'!$AI$70</f>
        <v>5.7670049506454941E-2</v>
      </c>
      <c r="AJ46" s="13">
        <f ca="1">'TUSD BE'!$AJ$46*'TUSD BE'!$AJ$70</f>
        <v>0.13149134875098287</v>
      </c>
      <c r="AK46" s="13">
        <f ca="1">'TUSD BE'!$AK$46*'TUSD BE'!$AK$70</f>
        <v>-3.2318360632283147E-2</v>
      </c>
      <c r="AL46" s="13">
        <f ca="1">SUM($AH$46:$AK$46)</f>
        <v>2.1166566511156693</v>
      </c>
      <c r="AM46" s="13">
        <f ca="1">SUMIF($L$4:$AL$4,"SUBTOTAL",$L$46:$AL$46)+AZ46</f>
        <v>-464.51496850545516</v>
      </c>
      <c r="AO46" s="20">
        <f ca="1">+'TUSD BE'!$T$46+'TUSD BE'!$AB$46+'TUSD BE'!$AD$46+'TUSD BE'!$AL$46</f>
        <v>1171.4601999383599</v>
      </c>
      <c r="AP46" s="20">
        <f ca="1">+'TUSD BE'!$T$46+'TUSD BE'!$AB$46+'TUSD BE'!$AD$46+'TUSD BE'!$AL$46</f>
        <v>1171.4601999383599</v>
      </c>
      <c r="AQ46" s="9" t="str">
        <f t="shared" si="7"/>
        <v>B2</v>
      </c>
      <c r="AR46" s="9" t="str">
        <f t="shared" si="8"/>
        <v>Branca</v>
      </c>
      <c r="AS46" s="9" t="str">
        <f t="shared" si="9"/>
        <v>Rural</v>
      </c>
      <c r="AT46" s="9" t="str">
        <f t="shared" si="10"/>
        <v>Cooperativa de eletrificação rural</v>
      </c>
      <c r="AU46" s="9" t="str">
        <f t="shared" si="11"/>
        <v>Não se aplica</v>
      </c>
      <c r="AV46" s="9">
        <f t="shared" si="12"/>
        <v>1</v>
      </c>
      <c r="AW46" s="9">
        <f ca="1">TarifaMedia!$G$36</f>
        <v>1</v>
      </c>
      <c r="AX46" s="15">
        <f ca="1">'TUSD BE'!$AM46+'TUSD BF'!$AM46+'TUSD CVA'!$AM46</f>
        <v>1174.6904648218917</v>
      </c>
      <c r="AY46" s="9">
        <f>ROUND(712.83/(1-CUSTOS!$M$38),2)</f>
        <v>758.33</v>
      </c>
      <c r="AZ46" s="9">
        <f t="shared" ca="1" si="13"/>
        <v>-416.3604648218917</v>
      </c>
      <c r="BC46" s="80" t="s">
        <v>951</v>
      </c>
    </row>
    <row r="47" spans="1:55" ht="11.25" customHeight="1" x14ac:dyDescent="0.3">
      <c r="A47" s="137"/>
      <c r="B47" s="137"/>
      <c r="C47" s="137"/>
      <c r="D47" s="137"/>
      <c r="E47" s="137"/>
      <c r="F47" s="137"/>
      <c r="G47" s="18" t="s">
        <v>91</v>
      </c>
      <c r="H47" s="18" t="s">
        <v>79</v>
      </c>
      <c r="I47" s="18">
        <f>'MERCADO TUSD'!$U$44</f>
        <v>0</v>
      </c>
      <c r="J47" s="15"/>
      <c r="L47" s="13">
        <f>'TUSD BE'!$L$47*'TUSD BE'!$L$70</f>
        <v>-0.12394774751833187</v>
      </c>
      <c r="M47" s="13">
        <f>'TUSD BE'!$M$47*'TUSD BE'!$M$70</f>
        <v>4.7521062421596759E-3</v>
      </c>
      <c r="N47" s="13">
        <f ca="1">'TUSD BE'!$N$47*'TUSD BE'!$N$70</f>
        <v>1.1659341118289667E-7</v>
      </c>
      <c r="O47" s="13">
        <f>'TUSD BE'!$O$47*'TUSD BE'!$O$70</f>
        <v>0</v>
      </c>
      <c r="P47" s="13">
        <f>'TUSD BE'!$P$47*'TUSD BE'!$P$70</f>
        <v>0</v>
      </c>
      <c r="Q47" s="13">
        <f>'TUSD BE'!$Q$47*'TUSD BE'!$Q$70</f>
        <v>1.6910279315747665</v>
      </c>
      <c r="R47" s="13">
        <f>'TUSD BE'!$R$47*'TUSD BE'!$R$70</f>
        <v>0.40310841228953048</v>
      </c>
      <c r="S47" s="13">
        <f>'TUSD BE'!$R$47*'TUSD BE'!$S$70</f>
        <v>0</v>
      </c>
      <c r="T47" s="13">
        <f ca="1">SUM($L$47:$S$47)</f>
        <v>1.9749408191815361</v>
      </c>
      <c r="U47" s="13">
        <f>'TUSD BE'!$U$47*'TUSD BE'!$U$70</f>
        <v>-0.51204887612598582</v>
      </c>
      <c r="V47" s="13">
        <f>'TUSD BE'!$V$47*'TUSD BE'!$V$70</f>
        <v>-0.4724023061544978</v>
      </c>
      <c r="W47" s="13">
        <f>'TUSD BE'!$W$47*'TUSD BE'!$W$70</f>
        <v>0</v>
      </c>
      <c r="X47" s="13">
        <f>'TUSD BE'!$X$47*'TUSD BE'!$X$70</f>
        <v>0</v>
      </c>
      <c r="Y47" s="13">
        <f>'TUSD BE'!$Y$47*'TUSD BE'!$Y$70</f>
        <v>0</v>
      </c>
      <c r="Z47" s="13">
        <f>'TUSD BE'!$Z$47*'TUSD BE'!$Z$70</f>
        <v>0</v>
      </c>
      <c r="AA47" s="13">
        <f>'TUSD BE'!$AA$47*'TUSD BE'!$AA$70</f>
        <v>0</v>
      </c>
      <c r="AB47" s="13">
        <f>SUM($U$47:$AA$47)</f>
        <v>-0.98445118228048356</v>
      </c>
      <c r="AC47" s="13">
        <f>'TUSD BE'!$AC$47*'TUSD BE'!$AC$70</f>
        <v>0</v>
      </c>
      <c r="AD47" s="13">
        <f>SUM($AC$47:$AC$47)</f>
        <v>0</v>
      </c>
      <c r="AE47" s="13">
        <f ca="1">$AO$47*$AO$67</f>
        <v>-32.945835351270247</v>
      </c>
      <c r="AF47" s="13">
        <f ca="1">$AP$47*$AP$67</f>
        <v>0</v>
      </c>
      <c r="AG47" s="13">
        <f ca="1">SUM($AE$47:$AF$47)</f>
        <v>-32.945835351270247</v>
      </c>
      <c r="AH47" s="13">
        <f>'TUSD BE'!$AH$47*'TUSD BE'!$AH$70</f>
        <v>1.9598136134905149</v>
      </c>
      <c r="AI47" s="13">
        <f>'TUSD BE'!$AI$47*'TUSD BE'!$AI$70</f>
        <v>5.7670049506454941E-2</v>
      </c>
      <c r="AJ47" s="13">
        <f ca="1">'TUSD BE'!$AJ$47*'TUSD BE'!$AJ$70</f>
        <v>0.13149134875098287</v>
      </c>
      <c r="AK47" s="13">
        <f ca="1">'TUSD BE'!$AK$47*'TUSD BE'!$AK$70</f>
        <v>-3.2318360632283147E-2</v>
      </c>
      <c r="AL47" s="13">
        <f ca="1">SUM($AH$47:$AK$47)</f>
        <v>2.1166566511156693</v>
      </c>
      <c r="AM47" s="13">
        <f ca="1">SUMIF($L$4:$AL$4,"SUBTOTAL",$L$47:$AL$47)+AZ47</f>
        <v>-279.06375620432954</v>
      </c>
      <c r="AO47" s="20">
        <f ca="1">+'TUSD BE'!$T$47+'TUSD BE'!$AB$47+'TUSD BE'!$AD$47+'TUSD BE'!$AL$47</f>
        <v>762.66115799633064</v>
      </c>
      <c r="AP47" s="20">
        <f ca="1">+'TUSD BE'!$T$47+'TUSD BE'!$AB$47+'TUSD BE'!$AD$47+'TUSD BE'!$AL$47</f>
        <v>762.66115799633064</v>
      </c>
      <c r="AQ47" s="9" t="str">
        <f t="shared" si="7"/>
        <v>B2</v>
      </c>
      <c r="AR47" s="9" t="str">
        <f t="shared" si="8"/>
        <v>Branca</v>
      </c>
      <c r="AS47" s="9" t="str">
        <f t="shared" si="9"/>
        <v>Rural</v>
      </c>
      <c r="AT47" s="9" t="str">
        <f t="shared" si="10"/>
        <v>Cooperativa de eletrificação rural</v>
      </c>
      <c r="AU47" s="9" t="str">
        <f t="shared" si="11"/>
        <v>Não se aplica</v>
      </c>
      <c r="AV47" s="9">
        <f t="shared" si="12"/>
        <v>1</v>
      </c>
      <c r="AW47" s="9">
        <f ca="1">TarifaMedia!$G$36</f>
        <v>1</v>
      </c>
      <c r="AX47" s="15">
        <f ca="1">'TUSD BE'!$AM47+'TUSD BF'!$AM47+'TUSD CVA'!$AM47</f>
        <v>777.18506714107605</v>
      </c>
      <c r="AY47" s="9">
        <f>ROUND(496.28/(1-CUSTOS!$M$38),2)</f>
        <v>527.96</v>
      </c>
      <c r="AZ47" s="9">
        <f t="shared" ca="1" si="13"/>
        <v>-249.22506714107601</v>
      </c>
      <c r="BC47" s="80" t="s">
        <v>952</v>
      </c>
    </row>
    <row r="48" spans="1:55" ht="11.25" customHeight="1" x14ac:dyDescent="0.3">
      <c r="A48" s="137"/>
      <c r="B48" s="137"/>
      <c r="C48" s="137"/>
      <c r="D48" s="137"/>
      <c r="E48" s="137"/>
      <c r="F48" s="137"/>
      <c r="G48" s="18" t="s">
        <v>81</v>
      </c>
      <c r="H48" s="18" t="s">
        <v>79</v>
      </c>
      <c r="I48" s="18">
        <f>'MERCADO TUSD'!$U$45</f>
        <v>0</v>
      </c>
      <c r="J48" s="15"/>
      <c r="L48" s="13">
        <f>'TUSD BE'!$L$48*'TUSD BE'!$L$70</f>
        <v>-0.12394774751833187</v>
      </c>
      <c r="M48" s="13">
        <f>'TUSD BE'!$M$48*'TUSD BE'!$M$70</f>
        <v>4.7521062421596759E-3</v>
      </c>
      <c r="N48" s="13">
        <f ca="1">'TUSD BE'!$N$48*'TUSD BE'!$N$70</f>
        <v>4.5770990902297351E-8</v>
      </c>
      <c r="O48" s="13">
        <f>'TUSD BE'!$O$48*'TUSD BE'!$O$70</f>
        <v>0</v>
      </c>
      <c r="P48" s="13">
        <f>'TUSD BE'!$P$48*'TUSD BE'!$P$70</f>
        <v>0</v>
      </c>
      <c r="Q48" s="13">
        <f>'TUSD BE'!$Q$48*'TUSD BE'!$Q$70</f>
        <v>1.6910279315747665</v>
      </c>
      <c r="R48" s="13">
        <f>'TUSD BE'!$R$48*'TUSD BE'!$R$70</f>
        <v>0.40310841228953048</v>
      </c>
      <c r="S48" s="13">
        <f>'TUSD BE'!$R$48*'TUSD BE'!$S$70</f>
        <v>0</v>
      </c>
      <c r="T48" s="13">
        <f ca="1">SUM($L$48:$S$48)</f>
        <v>1.9749407483591157</v>
      </c>
      <c r="U48" s="13">
        <f>'TUSD BE'!$U$48*'TUSD BE'!$U$70</f>
        <v>-0.1706832498225074</v>
      </c>
      <c r="V48" s="13">
        <f>'TUSD BE'!$V$48*'TUSD BE'!$V$70</f>
        <v>-0.15746793716112276</v>
      </c>
      <c r="W48" s="13">
        <f>'TUSD BE'!$W$48*'TUSD BE'!$W$70</f>
        <v>0</v>
      </c>
      <c r="X48" s="13">
        <f>'TUSD BE'!$X$48*'TUSD BE'!$X$70</f>
        <v>0</v>
      </c>
      <c r="Y48" s="13">
        <f>'TUSD BE'!$Y$48*'TUSD BE'!$Y$70</f>
        <v>0</v>
      </c>
      <c r="Z48" s="13">
        <f>'TUSD BE'!$Z$48*'TUSD BE'!$Z$70</f>
        <v>0</v>
      </c>
      <c r="AA48" s="13">
        <f>'TUSD BE'!$AA$48*'TUSD BE'!$AA$70</f>
        <v>0</v>
      </c>
      <c r="AB48" s="13">
        <f>SUM($U$48:$AA$48)</f>
        <v>-0.32815118698363016</v>
      </c>
      <c r="AC48" s="13">
        <f>'TUSD BE'!$AC$48*'TUSD BE'!$AC$70</f>
        <v>0</v>
      </c>
      <c r="AD48" s="13">
        <f>SUM($AC$48:$AC$48)</f>
        <v>0</v>
      </c>
      <c r="AE48" s="13">
        <f ca="1">$AO$48*$AO$67</f>
        <v>-15.286320655434743</v>
      </c>
      <c r="AF48" s="13">
        <f ca="1">$AP$48*$AP$67</f>
        <v>0</v>
      </c>
      <c r="AG48" s="13">
        <f ca="1">SUM($AE$48:$AF$48)</f>
        <v>-15.286320655434743</v>
      </c>
      <c r="AH48" s="13">
        <f>'TUSD BE'!$AH$48*'TUSD BE'!$AH$70</f>
        <v>1.9598136134905149</v>
      </c>
      <c r="AI48" s="13">
        <f>'TUSD BE'!$AI$48*'TUSD BE'!$AI$70</f>
        <v>5.7670049506454941E-2</v>
      </c>
      <c r="AJ48" s="13">
        <f ca="1">'TUSD BE'!$AJ$48*'TUSD BE'!$AJ$70</f>
        <v>0.13149134875098287</v>
      </c>
      <c r="AK48" s="13">
        <f ca="1">'TUSD BE'!$AK$48*'TUSD BE'!$AK$70</f>
        <v>-3.2318360632283147E-2</v>
      </c>
      <c r="AL48" s="13">
        <f ca="1">SUM($AH$48:$AK$48)</f>
        <v>2.1166566511156693</v>
      </c>
      <c r="AM48" s="13">
        <f ca="1">SUMIF($L$4:$AL$4,"SUBTOTAL",$L$48:$AL$48)+AZ48</f>
        <v>-93.602543903203923</v>
      </c>
      <c r="AO48" s="20">
        <f ca="1">+'TUSD BE'!$T$48+'TUSD BE'!$AB$48+'TUSD BE'!$AD$48+'TUSD BE'!$AL$48</f>
        <v>353.86211605430111</v>
      </c>
      <c r="AP48" s="20">
        <f ca="1">+'TUSD BE'!$T$48+'TUSD BE'!$AB$48+'TUSD BE'!$AD$48+'TUSD BE'!$AL$48</f>
        <v>353.86211605430111</v>
      </c>
      <c r="AQ48" s="9" t="str">
        <f t="shared" si="7"/>
        <v>B2</v>
      </c>
      <c r="AR48" s="9" t="str">
        <f t="shared" si="8"/>
        <v>Branca</v>
      </c>
      <c r="AS48" s="9" t="str">
        <f t="shared" si="9"/>
        <v>Rural</v>
      </c>
      <c r="AT48" s="9" t="str">
        <f t="shared" si="10"/>
        <v>Cooperativa de eletrificação rural</v>
      </c>
      <c r="AU48" s="9" t="str">
        <f t="shared" si="11"/>
        <v>Não se aplica</v>
      </c>
      <c r="AV48" s="9">
        <f t="shared" si="12"/>
        <v>1</v>
      </c>
      <c r="AW48" s="9">
        <f ca="1">TarifaMedia!$G$36</f>
        <v>1</v>
      </c>
      <c r="AX48" s="15">
        <f ca="1">'TUSD BE'!$AM48+'TUSD BF'!$AM48+'TUSD CVA'!$AM48</f>
        <v>379.67966946026036</v>
      </c>
      <c r="AY48" s="9">
        <f>ROUND(279.74/(1-CUSTOS!$M$38),2)</f>
        <v>297.60000000000002</v>
      </c>
      <c r="AZ48" s="9">
        <f t="shared" ca="1" si="13"/>
        <v>-82.079669460260334</v>
      </c>
      <c r="BC48" s="80" t="s">
        <v>953</v>
      </c>
    </row>
    <row r="49" spans="1:55" ht="11.25" customHeight="1" x14ac:dyDescent="0.3">
      <c r="A49" s="137"/>
      <c r="B49" s="17" t="s">
        <v>23</v>
      </c>
      <c r="C49" s="17" t="s">
        <v>44</v>
      </c>
      <c r="D49" s="17" t="s">
        <v>94</v>
      </c>
      <c r="E49" s="17" t="s">
        <v>25</v>
      </c>
      <c r="F49" s="17" t="s">
        <v>25</v>
      </c>
      <c r="G49" s="18" t="s">
        <v>83</v>
      </c>
      <c r="H49" s="18" t="s">
        <v>79</v>
      </c>
      <c r="I49" s="18">
        <f>'MERCADO TUSD'!$U$46</f>
        <v>0</v>
      </c>
      <c r="J49" s="15"/>
      <c r="L49" s="13">
        <f>'TUSD BE'!$L$49*'TUSD BE'!$L$70</f>
        <v>-0.12394774751833187</v>
      </c>
      <c r="M49" s="13">
        <f>'TUSD BE'!$M$49*'TUSD BE'!$M$70</f>
        <v>4.7521062421596759E-3</v>
      </c>
      <c r="N49" s="13">
        <f ca="1">'TUSD BE'!$N$49*'TUSD BE'!$N$70</f>
        <v>6.4013120631565557E-8</v>
      </c>
      <c r="O49" s="13">
        <f>'TUSD BE'!$O$49*'TUSD BE'!$O$70</f>
        <v>0</v>
      </c>
      <c r="P49" s="13">
        <f>'TUSD BE'!$P$49*'TUSD BE'!$P$70</f>
        <v>0</v>
      </c>
      <c r="Q49" s="13">
        <f>'TUSD BE'!$Q$49*'TUSD BE'!$Q$70</f>
        <v>1.6910279315747665</v>
      </c>
      <c r="R49" s="13">
        <f>'TUSD BE'!$R$49*'TUSD BE'!$R$70</f>
        <v>0.40310841228953048</v>
      </c>
      <c r="S49" s="13">
        <f>'TUSD BE'!$R$49*'TUSD BE'!$S$70</f>
        <v>0</v>
      </c>
      <c r="T49" s="13">
        <f ca="1">SUM($L$49:$S$49)</f>
        <v>1.9749407666012455</v>
      </c>
      <c r="U49" s="13">
        <f>'TUSD BE'!$U$49*'TUSD BE'!$U$70</f>
        <v>-0.25861040235186578</v>
      </c>
      <c r="V49" s="13">
        <f>'TUSD BE'!$V$49*'TUSD BE'!$V$70</f>
        <v>-0.23858709933706304</v>
      </c>
      <c r="W49" s="13">
        <f>'TUSD BE'!$W$49*'TUSD BE'!$W$70</f>
        <v>0</v>
      </c>
      <c r="X49" s="13">
        <f>'TUSD BE'!$X$49*'TUSD BE'!$X$70</f>
        <v>0</v>
      </c>
      <c r="Y49" s="13">
        <f>'TUSD BE'!$Y$49*'TUSD BE'!$Y$70</f>
        <v>0</v>
      </c>
      <c r="Z49" s="13">
        <f>'TUSD BE'!$Z$49*'TUSD BE'!$Z$70</f>
        <v>0</v>
      </c>
      <c r="AA49" s="13">
        <f>'TUSD BE'!$AA$49*'TUSD BE'!$AA$70</f>
        <v>0</v>
      </c>
      <c r="AB49" s="13">
        <f>SUM($U$49:$AA$49)</f>
        <v>-0.49719750168892884</v>
      </c>
      <c r="AC49" s="13">
        <f>'TUSD BE'!$AC$49*'TUSD BE'!$AC$70</f>
        <v>0</v>
      </c>
      <c r="AD49" s="13">
        <f>SUM($AC$49:$AC$49)</f>
        <v>0</v>
      </c>
      <c r="AE49" s="13">
        <f ca="1">$AO$49*$AO$67</f>
        <v>-19.834981053784773</v>
      </c>
      <c r="AF49" s="13">
        <f ca="1">$AP$49*$AP$67</f>
        <v>0</v>
      </c>
      <c r="AG49" s="13">
        <f ca="1">SUM($AE$49:$AF$49)</f>
        <v>-19.834981053784773</v>
      </c>
      <c r="AH49" s="13">
        <f>'TUSD BE'!$AH$49*'TUSD BE'!$AH$70</f>
        <v>1.9598136134905149</v>
      </c>
      <c r="AI49" s="13">
        <f>'TUSD BE'!$AI$49*'TUSD BE'!$AI$70</f>
        <v>5.7670049506454941E-2</v>
      </c>
      <c r="AJ49" s="13">
        <f ca="1">'TUSD BE'!$AJ$49*'TUSD BE'!$AJ$70</f>
        <v>0.13149134875098287</v>
      </c>
      <c r="AK49" s="13">
        <f ca="1">'TUSD BE'!$AK$49*'TUSD BE'!$AK$70</f>
        <v>-3.2318360632283147E-2</v>
      </c>
      <c r="AL49" s="13">
        <f ca="1">SUM($AH$49:$AK$49)</f>
        <v>2.1166566511156693</v>
      </c>
      <c r="AM49" s="13">
        <f ca="1">SUMIF($L$4:$AL$4,"SUBTOTAL",$L$49:$AL$49)+AZ49</f>
        <v>-113.82794320604971</v>
      </c>
      <c r="AO49" s="20">
        <f ca="1">+'TUSD BE'!$T$49+'TUSD BE'!$AB$49+'TUSD BE'!$AD$49+'TUSD BE'!$AL$49</f>
        <v>459.15878161916231</v>
      </c>
      <c r="AP49" s="20">
        <f ca="1">+'TUSD BE'!$T$49+'TUSD BE'!$AB$49+'TUSD BE'!$AD$49+'TUSD BE'!$AL$49</f>
        <v>459.15878161916231</v>
      </c>
      <c r="AQ49" s="9" t="str">
        <f t="shared" si="7"/>
        <v>B2</v>
      </c>
      <c r="AR49" s="9" t="str">
        <f t="shared" si="8"/>
        <v>Convencional</v>
      </c>
      <c r="AS49" s="9" t="str">
        <f t="shared" si="9"/>
        <v>Rural</v>
      </c>
      <c r="AT49" s="9" t="str">
        <f t="shared" si="10"/>
        <v>Cooperativa de eletrificação rural</v>
      </c>
      <c r="AU49" s="9" t="str">
        <f t="shared" si="11"/>
        <v>Não se aplica</v>
      </c>
      <c r="AV49" s="9">
        <f t="shared" si="12"/>
        <v>1</v>
      </c>
      <c r="AW49" s="9">
        <f ca="1">TarifaMedia!$G$36</f>
        <v>1</v>
      </c>
      <c r="AX49" s="15">
        <f ca="1">'TUSD BE'!$AM49+'TUSD BF'!$AM49+'TUSD CVA'!$AM49</f>
        <v>482.06736206829294</v>
      </c>
      <c r="AY49" s="9">
        <v>384.48</v>
      </c>
      <c r="AZ49" s="9">
        <f t="shared" ca="1" si="13"/>
        <v>-97.587362068292919</v>
      </c>
      <c r="BC49" s="80" t="s">
        <v>947</v>
      </c>
    </row>
    <row r="50" spans="1:55" ht="11.25" customHeight="1" x14ac:dyDescent="0.3">
      <c r="A50" s="137"/>
      <c r="B50" s="137" t="s">
        <v>33</v>
      </c>
      <c r="C50" s="137" t="s">
        <v>44</v>
      </c>
      <c r="D50" s="137" t="s">
        <v>95</v>
      </c>
      <c r="E50" s="137" t="s">
        <v>25</v>
      </c>
      <c r="F50" s="137" t="s">
        <v>25</v>
      </c>
      <c r="G50" s="18" t="s">
        <v>80</v>
      </c>
      <c r="H50" s="18" t="s">
        <v>79</v>
      </c>
      <c r="I50" s="18">
        <f>'MERCADO TUSD'!$U$47</f>
        <v>0</v>
      </c>
      <c r="J50" s="15"/>
      <c r="L50" s="13">
        <f>'TUSD BE'!$L$50*'TUSD BE'!$L$70</f>
        <v>-0.12394774751833187</v>
      </c>
      <c r="M50" s="13">
        <f>'TUSD BE'!$M$50*'TUSD BE'!$M$70</f>
        <v>4.7521062421596759E-3</v>
      </c>
      <c r="N50" s="13">
        <f ca="1">'TUSD BE'!$N$50*'TUSD BE'!$N$70</f>
        <v>1.8741583146349602E-7</v>
      </c>
      <c r="O50" s="13">
        <f>'TUSD BE'!$O$50*'TUSD BE'!$O$70</f>
        <v>0</v>
      </c>
      <c r="P50" s="13">
        <f>'TUSD BE'!$P$50*'TUSD BE'!$P$70</f>
        <v>0</v>
      </c>
      <c r="Q50" s="13">
        <f>'TUSD BE'!$Q$50*'TUSD BE'!$Q$70</f>
        <v>1.6910279315747665</v>
      </c>
      <c r="R50" s="13">
        <f>'TUSD BE'!$R$50*'TUSD BE'!$R$70</f>
        <v>0.40310841228953048</v>
      </c>
      <c r="S50" s="13">
        <f>'TUSD BE'!$R$50*'TUSD BE'!$S$70</f>
        <v>0</v>
      </c>
      <c r="T50" s="13">
        <f ca="1">SUM($L$50:$S$50)</f>
        <v>1.9749408900039562</v>
      </c>
      <c r="U50" s="13">
        <f>'TUSD BE'!$U$50*'TUSD BE'!$U$70</f>
        <v>-0.85341450242946437</v>
      </c>
      <c r="V50" s="13">
        <f>'TUSD BE'!$V$50*'TUSD BE'!$V$70</f>
        <v>-0.78733667514787276</v>
      </c>
      <c r="W50" s="13">
        <f>'TUSD BE'!$W$50*'TUSD BE'!$W$70</f>
        <v>0</v>
      </c>
      <c r="X50" s="13">
        <f>'TUSD BE'!$X$50*'TUSD BE'!$X$70</f>
        <v>0</v>
      </c>
      <c r="Y50" s="13">
        <f>'TUSD BE'!$Y$50*'TUSD BE'!$Y$70</f>
        <v>0</v>
      </c>
      <c r="Z50" s="13">
        <f>'TUSD BE'!$Z$50*'TUSD BE'!$Z$70</f>
        <v>0</v>
      </c>
      <c r="AA50" s="13">
        <f>'TUSD BE'!$AA$50*'TUSD BE'!$AA$70</f>
        <v>0</v>
      </c>
      <c r="AB50" s="13">
        <f>SUM($U$50:$AA$50)</f>
        <v>-1.6407511775773371</v>
      </c>
      <c r="AC50" s="13">
        <f>'TUSD BE'!$AC$50*'TUSD BE'!$AC$70</f>
        <v>0</v>
      </c>
      <c r="AD50" s="13">
        <f>SUM($AC$50:$AC$50)</f>
        <v>0</v>
      </c>
      <c r="AE50" s="13">
        <f ca="1">$AO$50*$AO$67</f>
        <v>-50.605350047105745</v>
      </c>
      <c r="AF50" s="13">
        <f ca="1">$AP$50*$AP$67</f>
        <v>0</v>
      </c>
      <c r="AG50" s="13">
        <f ca="1">SUM($AE$50:$AF$50)</f>
        <v>-50.605350047105745</v>
      </c>
      <c r="AH50" s="13">
        <f>'TUSD BE'!$AH$50*'TUSD BE'!$AH$70</f>
        <v>1.9598136134905149</v>
      </c>
      <c r="AI50" s="13">
        <f>'TUSD BE'!$AI$50*'TUSD BE'!$AI$70</f>
        <v>5.7670049506454941E-2</v>
      </c>
      <c r="AJ50" s="13">
        <f ca="1">'TUSD BE'!$AJ$50*'TUSD BE'!$AJ$70</f>
        <v>0.13149134875098287</v>
      </c>
      <c r="AK50" s="13">
        <f ca="1">'TUSD BE'!$AK$50*'TUSD BE'!$AK$70</f>
        <v>-3.2318360632283147E-2</v>
      </c>
      <c r="AL50" s="13">
        <f ca="1">SUM($AH$50:$AK$50)</f>
        <v>2.1166566511156693</v>
      </c>
      <c r="AM50" s="13">
        <f ca="1">SUMIF($L$4:$AL$4,"SUBTOTAL",$L$50:$AL$50)+AZ50</f>
        <v>-464.51496850545516</v>
      </c>
      <c r="AO50" s="20">
        <f ca="1">+'TUSD BE'!$T$50+'TUSD BE'!$AB$50+'TUSD BE'!$AD$50+'TUSD BE'!$AL$50</f>
        <v>1171.4601999383599</v>
      </c>
      <c r="AP50" s="20">
        <f ca="1">+'TUSD BE'!$T$50+'TUSD BE'!$AB$50+'TUSD BE'!$AD$50+'TUSD BE'!$AL$50</f>
        <v>1171.4601999383599</v>
      </c>
      <c r="AQ50" s="9" t="str">
        <f t="shared" si="7"/>
        <v>B2</v>
      </c>
      <c r="AR50" s="9" t="str">
        <f t="shared" si="8"/>
        <v>Branca</v>
      </c>
      <c r="AS50" s="9" t="str">
        <f t="shared" si="9"/>
        <v>Rural</v>
      </c>
      <c r="AT50" s="9" t="str">
        <f t="shared" si="10"/>
        <v>Serviço público de irrigação rural</v>
      </c>
      <c r="AU50" s="9" t="str">
        <f t="shared" si="11"/>
        <v>Não se aplica</v>
      </c>
      <c r="AV50" s="9">
        <f t="shared" si="12"/>
        <v>1</v>
      </c>
      <c r="AW50" s="9">
        <f ca="1">TarifaMedia!$G$36</f>
        <v>1</v>
      </c>
      <c r="AX50" s="15">
        <f ca="1">'TUSD BE'!$AM50+'TUSD BF'!$AM50+'TUSD CVA'!$AM50</f>
        <v>1174.6904648218917</v>
      </c>
      <c r="AY50" s="9">
        <f>ROUND(712.83/(1-CUSTOS!$M$38),2)</f>
        <v>758.33</v>
      </c>
      <c r="AZ50" s="9">
        <f t="shared" ca="1" si="13"/>
        <v>-416.3604648218917</v>
      </c>
      <c r="BC50" s="80" t="s">
        <v>951</v>
      </c>
    </row>
    <row r="51" spans="1:55" ht="11.25" customHeight="1" x14ac:dyDescent="0.3">
      <c r="A51" s="137"/>
      <c r="B51" s="137"/>
      <c r="C51" s="137"/>
      <c r="D51" s="137"/>
      <c r="E51" s="137"/>
      <c r="F51" s="137"/>
      <c r="G51" s="18" t="s">
        <v>91</v>
      </c>
      <c r="H51" s="18" t="s">
        <v>79</v>
      </c>
      <c r="I51" s="18">
        <f>'MERCADO TUSD'!$U$48</f>
        <v>0</v>
      </c>
      <c r="J51" s="15"/>
      <c r="L51" s="13">
        <f>'TUSD BE'!$L$51*'TUSD BE'!$L$70</f>
        <v>-0.12394774751833187</v>
      </c>
      <c r="M51" s="13">
        <f>'TUSD BE'!$M$51*'TUSD BE'!$M$70</f>
        <v>4.7521062421596759E-3</v>
      </c>
      <c r="N51" s="13">
        <f ca="1">'TUSD BE'!$N$51*'TUSD BE'!$N$70</f>
        <v>1.1659341118289667E-7</v>
      </c>
      <c r="O51" s="13">
        <f>'TUSD BE'!$O$51*'TUSD BE'!$O$70</f>
        <v>0</v>
      </c>
      <c r="P51" s="13">
        <f>'TUSD BE'!$P$51*'TUSD BE'!$P$70</f>
        <v>0</v>
      </c>
      <c r="Q51" s="13">
        <f>'TUSD BE'!$Q$51*'TUSD BE'!$Q$70</f>
        <v>1.6910279315747665</v>
      </c>
      <c r="R51" s="13">
        <f>'TUSD BE'!$R$51*'TUSD BE'!$R$70</f>
        <v>0.40310841228953048</v>
      </c>
      <c r="S51" s="13">
        <f>'TUSD BE'!$R$51*'TUSD BE'!$S$70</f>
        <v>0</v>
      </c>
      <c r="T51" s="13">
        <f ca="1">SUM($L$51:$S$51)</f>
        <v>1.9749408191815361</v>
      </c>
      <c r="U51" s="13">
        <f>'TUSD BE'!$U$51*'TUSD BE'!$U$70</f>
        <v>-0.51204887612598582</v>
      </c>
      <c r="V51" s="13">
        <f>'TUSD BE'!$V$51*'TUSD BE'!$V$70</f>
        <v>-0.4724023061544978</v>
      </c>
      <c r="W51" s="13">
        <f>'TUSD BE'!$W$51*'TUSD BE'!$W$70</f>
        <v>0</v>
      </c>
      <c r="X51" s="13">
        <f>'TUSD BE'!$X$51*'TUSD BE'!$X$70</f>
        <v>0</v>
      </c>
      <c r="Y51" s="13">
        <f>'TUSD BE'!$Y$51*'TUSD BE'!$Y$70</f>
        <v>0</v>
      </c>
      <c r="Z51" s="13">
        <f>'TUSD BE'!$Z$51*'TUSD BE'!$Z$70</f>
        <v>0</v>
      </c>
      <c r="AA51" s="13">
        <f>'TUSD BE'!$AA$51*'TUSD BE'!$AA$70</f>
        <v>0</v>
      </c>
      <c r="AB51" s="13">
        <f>SUM($U$51:$AA$51)</f>
        <v>-0.98445118228048356</v>
      </c>
      <c r="AC51" s="13">
        <f>'TUSD BE'!$AC$51*'TUSD BE'!$AC$70</f>
        <v>0</v>
      </c>
      <c r="AD51" s="13">
        <f>SUM($AC$51:$AC$51)</f>
        <v>0</v>
      </c>
      <c r="AE51" s="13">
        <f ca="1">$AO$51*$AO$67</f>
        <v>-32.945835351270247</v>
      </c>
      <c r="AF51" s="13">
        <f ca="1">$AP$51*$AP$67</f>
        <v>0</v>
      </c>
      <c r="AG51" s="13">
        <f ca="1">SUM($AE$51:$AF$51)</f>
        <v>-32.945835351270247</v>
      </c>
      <c r="AH51" s="13">
        <f>'TUSD BE'!$AH$51*'TUSD BE'!$AH$70</f>
        <v>1.9598136134905149</v>
      </c>
      <c r="AI51" s="13">
        <f>'TUSD BE'!$AI$51*'TUSD BE'!$AI$70</f>
        <v>5.7670049506454941E-2</v>
      </c>
      <c r="AJ51" s="13">
        <f ca="1">'TUSD BE'!$AJ$51*'TUSD BE'!$AJ$70</f>
        <v>0.13149134875098287</v>
      </c>
      <c r="AK51" s="13">
        <f ca="1">'TUSD BE'!$AK$51*'TUSD BE'!$AK$70</f>
        <v>-3.2318360632283147E-2</v>
      </c>
      <c r="AL51" s="13">
        <f ca="1">SUM($AH$51:$AK$51)</f>
        <v>2.1166566511156693</v>
      </c>
      <c r="AM51" s="13">
        <f ca="1">SUMIF($L$4:$AL$4,"SUBTOTAL",$L$51:$AL$51)+AZ51</f>
        <v>-279.06375620432954</v>
      </c>
      <c r="AO51" s="20">
        <f ca="1">+'TUSD BE'!$T$51+'TUSD BE'!$AB$51+'TUSD BE'!$AD$51+'TUSD BE'!$AL$51</f>
        <v>762.66115799633064</v>
      </c>
      <c r="AP51" s="20">
        <f ca="1">+'TUSD BE'!$T$51+'TUSD BE'!$AB$51+'TUSD BE'!$AD$51+'TUSD BE'!$AL$51</f>
        <v>762.66115799633064</v>
      </c>
      <c r="AQ51" s="9" t="str">
        <f t="shared" si="7"/>
        <v>B2</v>
      </c>
      <c r="AR51" s="9" t="str">
        <f t="shared" si="8"/>
        <v>Branca</v>
      </c>
      <c r="AS51" s="9" t="str">
        <f t="shared" si="9"/>
        <v>Rural</v>
      </c>
      <c r="AT51" s="9" t="str">
        <f t="shared" si="10"/>
        <v>Serviço público de irrigação rural</v>
      </c>
      <c r="AU51" s="9" t="str">
        <f t="shared" si="11"/>
        <v>Não se aplica</v>
      </c>
      <c r="AV51" s="9">
        <f t="shared" si="12"/>
        <v>1</v>
      </c>
      <c r="AW51" s="9">
        <f ca="1">TarifaMedia!$G$36</f>
        <v>1</v>
      </c>
      <c r="AX51" s="15">
        <f ca="1">'TUSD BE'!$AM51+'TUSD BF'!$AM51+'TUSD CVA'!$AM51</f>
        <v>777.18506714107605</v>
      </c>
      <c r="AY51" s="9">
        <f>ROUND(496.28/(1-CUSTOS!$M$38),2)</f>
        <v>527.96</v>
      </c>
      <c r="AZ51" s="9">
        <f t="shared" ca="1" si="13"/>
        <v>-249.22506714107601</v>
      </c>
      <c r="BC51" s="80" t="s">
        <v>952</v>
      </c>
    </row>
    <row r="52" spans="1:55" ht="11.25" customHeight="1" x14ac:dyDescent="0.3">
      <c r="A52" s="137"/>
      <c r="B52" s="137"/>
      <c r="C52" s="137"/>
      <c r="D52" s="137"/>
      <c r="E52" s="137"/>
      <c r="F52" s="137"/>
      <c r="G52" s="18" t="s">
        <v>81</v>
      </c>
      <c r="H52" s="18" t="s">
        <v>79</v>
      </c>
      <c r="I52" s="18">
        <f>'MERCADO TUSD'!$U$49</f>
        <v>0</v>
      </c>
      <c r="J52" s="15"/>
      <c r="L52" s="13">
        <f>'TUSD BE'!$L$52*'TUSD BE'!$L$70</f>
        <v>-0.12394774751833187</v>
      </c>
      <c r="M52" s="13">
        <f>'TUSD BE'!$M$52*'TUSD BE'!$M$70</f>
        <v>4.7521062421596759E-3</v>
      </c>
      <c r="N52" s="13">
        <f ca="1">'TUSD BE'!$N$52*'TUSD BE'!$N$70</f>
        <v>4.5770990902297351E-8</v>
      </c>
      <c r="O52" s="13">
        <f>'TUSD BE'!$O$52*'TUSD BE'!$O$70</f>
        <v>0</v>
      </c>
      <c r="P52" s="13">
        <f>'TUSD BE'!$P$52*'TUSD BE'!$P$70</f>
        <v>0</v>
      </c>
      <c r="Q52" s="13">
        <f>'TUSD BE'!$Q$52*'TUSD BE'!$Q$70</f>
        <v>1.6910279315747665</v>
      </c>
      <c r="R52" s="13">
        <f>'TUSD BE'!$R$52*'TUSD BE'!$R$70</f>
        <v>0.40310841228953048</v>
      </c>
      <c r="S52" s="13">
        <f>'TUSD BE'!$R$52*'TUSD BE'!$S$70</f>
        <v>0</v>
      </c>
      <c r="T52" s="13">
        <f ca="1">SUM($L$52:$S$52)</f>
        <v>1.9749407483591157</v>
      </c>
      <c r="U52" s="13">
        <f>'TUSD BE'!$U$52*'TUSD BE'!$U$70</f>
        <v>-0.1706832498225074</v>
      </c>
      <c r="V52" s="13">
        <f>'TUSD BE'!$V$52*'TUSD BE'!$V$70</f>
        <v>-0.15746793716112276</v>
      </c>
      <c r="W52" s="13">
        <f>'TUSD BE'!$W$52*'TUSD BE'!$W$70</f>
        <v>0</v>
      </c>
      <c r="X52" s="13">
        <f>'TUSD BE'!$X$52*'TUSD BE'!$X$70</f>
        <v>0</v>
      </c>
      <c r="Y52" s="13">
        <f>'TUSD BE'!$Y$52*'TUSD BE'!$Y$70</f>
        <v>0</v>
      </c>
      <c r="Z52" s="13">
        <f>'TUSD BE'!$Z$52*'TUSD BE'!$Z$70</f>
        <v>0</v>
      </c>
      <c r="AA52" s="13">
        <f>'TUSD BE'!$AA$52*'TUSD BE'!$AA$70</f>
        <v>0</v>
      </c>
      <c r="AB52" s="13">
        <f>SUM($U$52:$AA$52)</f>
        <v>-0.32815118698363016</v>
      </c>
      <c r="AC52" s="13">
        <f>'TUSD BE'!$AC$52*'TUSD BE'!$AC$70</f>
        <v>0</v>
      </c>
      <c r="AD52" s="13">
        <f>SUM($AC$52:$AC$52)</f>
        <v>0</v>
      </c>
      <c r="AE52" s="13">
        <f ca="1">$AO$52*$AO$67</f>
        <v>-15.286320655434743</v>
      </c>
      <c r="AF52" s="13">
        <f ca="1">$AP$52*$AP$67</f>
        <v>0</v>
      </c>
      <c r="AG52" s="13">
        <f ca="1">SUM($AE$52:$AF$52)</f>
        <v>-15.286320655434743</v>
      </c>
      <c r="AH52" s="13">
        <f>'TUSD BE'!$AH$52*'TUSD BE'!$AH$70</f>
        <v>1.9598136134905149</v>
      </c>
      <c r="AI52" s="13">
        <f>'TUSD BE'!$AI$52*'TUSD BE'!$AI$70</f>
        <v>5.7670049506454941E-2</v>
      </c>
      <c r="AJ52" s="13">
        <f ca="1">'TUSD BE'!$AJ$52*'TUSD BE'!$AJ$70</f>
        <v>0.13149134875098287</v>
      </c>
      <c r="AK52" s="13">
        <f ca="1">'TUSD BE'!$AK$52*'TUSD BE'!$AK$70</f>
        <v>-3.2318360632283147E-2</v>
      </c>
      <c r="AL52" s="13">
        <f ca="1">SUM($AH$52:$AK$52)</f>
        <v>2.1166566511156693</v>
      </c>
      <c r="AM52" s="13">
        <f ca="1">SUMIF($L$4:$AL$4,"SUBTOTAL",$L$52:$AL$52)+AZ52</f>
        <v>-93.602543903203923</v>
      </c>
      <c r="AO52" s="20">
        <f ca="1">+'TUSD BE'!$T$52+'TUSD BE'!$AB$52+'TUSD BE'!$AD$52+'TUSD BE'!$AL$52</f>
        <v>353.86211605430111</v>
      </c>
      <c r="AP52" s="20">
        <f ca="1">+'TUSD BE'!$T$52+'TUSD BE'!$AB$52+'TUSD BE'!$AD$52+'TUSD BE'!$AL$52</f>
        <v>353.86211605430111</v>
      </c>
      <c r="AQ52" s="9" t="str">
        <f t="shared" si="7"/>
        <v>B2</v>
      </c>
      <c r="AR52" s="9" t="str">
        <f t="shared" si="8"/>
        <v>Branca</v>
      </c>
      <c r="AS52" s="9" t="str">
        <f t="shared" si="9"/>
        <v>Rural</v>
      </c>
      <c r="AT52" s="9" t="str">
        <f t="shared" si="10"/>
        <v>Serviço público de irrigação rural</v>
      </c>
      <c r="AU52" s="9" t="str">
        <f t="shared" si="11"/>
        <v>Não se aplica</v>
      </c>
      <c r="AV52" s="9">
        <f t="shared" si="12"/>
        <v>1</v>
      </c>
      <c r="AW52" s="9">
        <f ca="1">TarifaMedia!$G$36</f>
        <v>1</v>
      </c>
      <c r="AX52" s="15">
        <f ca="1">'TUSD BE'!$AM52+'TUSD BF'!$AM52+'TUSD CVA'!$AM52</f>
        <v>379.67966946026036</v>
      </c>
      <c r="AY52" s="9">
        <f>ROUND(279.74/(1-CUSTOS!$M$38),2)</f>
        <v>297.60000000000002</v>
      </c>
      <c r="AZ52" s="9">
        <f t="shared" ca="1" si="13"/>
        <v>-82.079669460260334</v>
      </c>
      <c r="BC52" s="80" t="s">
        <v>953</v>
      </c>
    </row>
    <row r="53" spans="1:55" ht="11.25" customHeight="1" x14ac:dyDescent="0.3">
      <c r="A53" s="137"/>
      <c r="B53" s="17" t="s">
        <v>23</v>
      </c>
      <c r="C53" s="17" t="s">
        <v>44</v>
      </c>
      <c r="D53" s="17" t="s">
        <v>95</v>
      </c>
      <c r="E53" s="17" t="s">
        <v>25</v>
      </c>
      <c r="F53" s="17" t="s">
        <v>25</v>
      </c>
      <c r="G53" s="18" t="s">
        <v>83</v>
      </c>
      <c r="H53" s="18" t="s">
        <v>79</v>
      </c>
      <c r="I53" s="18">
        <f>'MERCADO TUSD'!$U$50</f>
        <v>0</v>
      </c>
      <c r="J53" s="15"/>
      <c r="L53" s="13">
        <f>'TUSD BE'!$L$53*'TUSD BE'!$L$70</f>
        <v>-0.12394774751833187</v>
      </c>
      <c r="M53" s="13">
        <f>'TUSD BE'!$M$53*'TUSD BE'!$M$70</f>
        <v>4.7521062421596759E-3</v>
      </c>
      <c r="N53" s="13">
        <f ca="1">'TUSD BE'!$N$53*'TUSD BE'!$N$70</f>
        <v>6.4013120631565557E-8</v>
      </c>
      <c r="O53" s="13">
        <f>'TUSD BE'!$O$53*'TUSD BE'!$O$70</f>
        <v>0</v>
      </c>
      <c r="P53" s="13">
        <f>'TUSD BE'!$P$53*'TUSD BE'!$P$70</f>
        <v>0</v>
      </c>
      <c r="Q53" s="13">
        <f>'TUSD BE'!$Q$53*'TUSD BE'!$Q$70</f>
        <v>1.6910279315747665</v>
      </c>
      <c r="R53" s="13">
        <f>'TUSD BE'!$R$53*'TUSD BE'!$R$70</f>
        <v>0.40310841228953048</v>
      </c>
      <c r="S53" s="13">
        <f>'TUSD BE'!$R$53*'TUSD BE'!$S$70</f>
        <v>0</v>
      </c>
      <c r="T53" s="13">
        <f ca="1">SUM($L$53:$S$53)</f>
        <v>1.9749407666012455</v>
      </c>
      <c r="U53" s="13">
        <f>'TUSD BE'!$U$53*'TUSD BE'!$U$70</f>
        <v>-0.25861040235186578</v>
      </c>
      <c r="V53" s="13">
        <f>'TUSD BE'!$V$53*'TUSD BE'!$V$70</f>
        <v>-0.23858709933706304</v>
      </c>
      <c r="W53" s="13">
        <f>'TUSD BE'!$W$53*'TUSD BE'!$W$70</f>
        <v>0</v>
      </c>
      <c r="X53" s="13">
        <f>'TUSD BE'!$X$53*'TUSD BE'!$X$70</f>
        <v>0</v>
      </c>
      <c r="Y53" s="13">
        <f>'TUSD BE'!$Y$53*'TUSD BE'!$Y$70</f>
        <v>0</v>
      </c>
      <c r="Z53" s="13">
        <f>'TUSD BE'!$Z$53*'TUSD BE'!$Z$70</f>
        <v>0</v>
      </c>
      <c r="AA53" s="13">
        <f>'TUSD BE'!$AA$53*'TUSD BE'!$AA$70</f>
        <v>0</v>
      </c>
      <c r="AB53" s="13">
        <f>SUM($U$53:$AA$53)</f>
        <v>-0.49719750168892884</v>
      </c>
      <c r="AC53" s="13">
        <f>'TUSD BE'!$AC$53*'TUSD BE'!$AC$70</f>
        <v>0</v>
      </c>
      <c r="AD53" s="13">
        <f>SUM($AC$53:$AC$53)</f>
        <v>0</v>
      </c>
      <c r="AE53" s="13">
        <f ca="1">$AO$53*$AO$67</f>
        <v>-19.834981053784773</v>
      </c>
      <c r="AF53" s="13">
        <f ca="1">$AP$53*$AP$67</f>
        <v>0</v>
      </c>
      <c r="AG53" s="13">
        <f ca="1">SUM($AE$53:$AF$53)</f>
        <v>-19.834981053784773</v>
      </c>
      <c r="AH53" s="13">
        <f>'TUSD BE'!$AH$53*'TUSD BE'!$AH$70</f>
        <v>1.9598136134905149</v>
      </c>
      <c r="AI53" s="13">
        <f>'TUSD BE'!$AI$53*'TUSD BE'!$AI$70</f>
        <v>5.7670049506454941E-2</v>
      </c>
      <c r="AJ53" s="13">
        <f ca="1">'TUSD BE'!$AJ$53*'TUSD BE'!$AJ$70</f>
        <v>0.13149134875098287</v>
      </c>
      <c r="AK53" s="13">
        <f ca="1">'TUSD BE'!$AK$53*'TUSD BE'!$AK$70</f>
        <v>-3.2318360632283147E-2</v>
      </c>
      <c r="AL53" s="13">
        <f ca="1">SUM($AH$53:$AK$53)</f>
        <v>2.1166566511156693</v>
      </c>
      <c r="AM53" s="13">
        <f ca="1">SUMIF($L$4:$AL$4,"SUBTOTAL",$L$53:$AL$53)+AZ53</f>
        <v>-113.82794320604971</v>
      </c>
      <c r="AO53" s="20">
        <f ca="1">+'TUSD BE'!$T$53+'TUSD BE'!$AB$53+'TUSD BE'!$AD$53+'TUSD BE'!$AL$53</f>
        <v>459.15878161916231</v>
      </c>
      <c r="AP53" s="20">
        <f ca="1">+'TUSD BE'!$T$53+'TUSD BE'!$AB$53+'TUSD BE'!$AD$53+'TUSD BE'!$AL$53</f>
        <v>459.15878161916231</v>
      </c>
      <c r="AQ53" s="9" t="str">
        <f t="shared" si="7"/>
        <v>B2</v>
      </c>
      <c r="AR53" s="9" t="str">
        <f t="shared" si="8"/>
        <v>Convencional</v>
      </c>
      <c r="AS53" s="9" t="str">
        <f t="shared" si="9"/>
        <v>Rural</v>
      </c>
      <c r="AT53" s="9" t="str">
        <f t="shared" si="10"/>
        <v>Serviço público de irrigação rural</v>
      </c>
      <c r="AU53" s="9" t="str">
        <f t="shared" si="11"/>
        <v>Não se aplica</v>
      </c>
      <c r="AV53" s="9">
        <f t="shared" si="12"/>
        <v>1</v>
      </c>
      <c r="AW53" s="9">
        <f ca="1">TarifaMedia!$G$36</f>
        <v>1</v>
      </c>
      <c r="AX53" s="15">
        <f ca="1">'TUSD BE'!$AM53+'TUSD BF'!$AM53+'TUSD CVA'!$AM53</f>
        <v>482.06736206829294</v>
      </c>
      <c r="AY53" s="9">
        <v>384.48</v>
      </c>
      <c r="AZ53" s="9">
        <f t="shared" ca="1" si="13"/>
        <v>-97.587362068292919</v>
      </c>
      <c r="BC53" s="80" t="s">
        <v>947</v>
      </c>
    </row>
    <row r="54" spans="1:55" ht="11.25" customHeight="1" x14ac:dyDescent="0.3">
      <c r="A54" s="137"/>
      <c r="B54" s="137" t="s">
        <v>93</v>
      </c>
      <c r="C54" s="137" t="s">
        <v>44</v>
      </c>
      <c r="D54" s="17" t="s">
        <v>25</v>
      </c>
      <c r="E54" s="17" t="s">
        <v>25</v>
      </c>
      <c r="F54" s="17" t="s">
        <v>25</v>
      </c>
      <c r="G54" s="18" t="s">
        <v>83</v>
      </c>
      <c r="H54" s="18" t="s">
        <v>79</v>
      </c>
      <c r="I54" s="18">
        <f>'MERCADO TUSD'!$U$51</f>
        <v>0</v>
      </c>
      <c r="J54" s="15"/>
      <c r="L54" s="13">
        <f>'TUSD BE'!$L$54*'TUSD BE'!$L$70</f>
        <v>-0.12394774751833187</v>
      </c>
      <c r="M54" s="13">
        <f>'TUSD BE'!$M$54*'TUSD BE'!$M$70</f>
        <v>4.7521062421596759E-3</v>
      </c>
      <c r="N54" s="13">
        <f ca="1">'TUSD BE'!$N$54*'TUSD BE'!$N$70</f>
        <v>6.4013120631565557E-8</v>
      </c>
      <c r="O54" s="13">
        <f>'TUSD BE'!$O$54*'TUSD BE'!$O$70</f>
        <v>0</v>
      </c>
      <c r="P54" s="13">
        <f>'TUSD BE'!$P$54*'TUSD BE'!$P$70</f>
        <v>0</v>
      </c>
      <c r="Q54" s="13">
        <f>'TUSD BE'!$Q$54*'TUSD BE'!$Q$70</f>
        <v>1.6910279315747665</v>
      </c>
      <c r="R54" s="13">
        <f>'TUSD BE'!$R$54*'TUSD BE'!$R$70</f>
        <v>0.40310841228953048</v>
      </c>
      <c r="S54" s="13">
        <f>'TUSD BE'!$R$54*'TUSD BE'!$S$70</f>
        <v>0</v>
      </c>
      <c r="T54" s="13">
        <f ca="1">SUM($L$54:$S$54)</f>
        <v>1.9749407666012455</v>
      </c>
      <c r="U54" s="13">
        <f>'TUSD BE'!$U$54*'TUSD BE'!$U$70</f>
        <v>-0.25861040235186578</v>
      </c>
      <c r="V54" s="13">
        <f>'TUSD BE'!$V$54*'TUSD BE'!$V$70</f>
        <v>-0.23858709933706304</v>
      </c>
      <c r="W54" s="13">
        <f>'TUSD BE'!$W$54*'TUSD BE'!$W$70</f>
        <v>0</v>
      </c>
      <c r="X54" s="13">
        <f>'TUSD BE'!$X$54*'TUSD BE'!$X$70</f>
        <v>0</v>
      </c>
      <c r="Y54" s="13">
        <f>'TUSD BE'!$Y$54*'TUSD BE'!$Y$70</f>
        <v>0</v>
      </c>
      <c r="Z54" s="13">
        <f>'TUSD BE'!$Z$54*'TUSD BE'!$Z$70</f>
        <v>0</v>
      </c>
      <c r="AA54" s="13">
        <f>'TUSD BE'!$AA$54*'TUSD BE'!$AA$70</f>
        <v>0</v>
      </c>
      <c r="AB54" s="13">
        <f>SUM($U$54:$AA$54)</f>
        <v>-0.49719750168892884</v>
      </c>
      <c r="AC54" s="13">
        <f>'TUSD BE'!$AC$54*'TUSD BE'!$AC$70</f>
        <v>0</v>
      </c>
      <c r="AD54" s="13">
        <f>SUM($AC$54:$AC$54)</f>
        <v>0</v>
      </c>
      <c r="AE54" s="13">
        <f ca="1">$AO$54*$AO$67</f>
        <v>-19.834981053784773</v>
      </c>
      <c r="AF54" s="13">
        <f ca="1">$AP$54*$AP$67</f>
        <v>0</v>
      </c>
      <c r="AG54" s="13">
        <f ca="1">SUM($AE$54:$AF$54)</f>
        <v>-19.834981053784773</v>
      </c>
      <c r="AH54" s="13">
        <f>'TUSD BE'!$AH$54*'TUSD BE'!$AH$70</f>
        <v>1.9598136134905149</v>
      </c>
      <c r="AI54" s="13">
        <f>'TUSD BE'!$AI$54*'TUSD BE'!$AI$70</f>
        <v>5.7670049506454941E-2</v>
      </c>
      <c r="AJ54" s="13">
        <f ca="1">'TUSD BE'!$AJ$54*'TUSD BE'!$AJ$70</f>
        <v>0.13149134875098287</v>
      </c>
      <c r="AK54" s="13">
        <f ca="1">'TUSD BE'!$AK$54*'TUSD BE'!$AK$70</f>
        <v>-3.2318360632283147E-2</v>
      </c>
      <c r="AL54" s="13">
        <f ca="1">SUM($AH$54:$AK$54)</f>
        <v>2.1166566511156693</v>
      </c>
      <c r="AM54" s="13">
        <f ca="1">SUMIF($L$4:$AL$4,"SUBTOTAL",$L$54:$AL$54)+AZ54</f>
        <v>-113.82794320604971</v>
      </c>
      <c r="AO54" s="20">
        <f ca="1">+'TUSD BE'!$T$54+'TUSD BE'!$AB$54+'TUSD BE'!$AD$54+'TUSD BE'!$AL$54</f>
        <v>459.15878161916231</v>
      </c>
      <c r="AP54" s="20">
        <f ca="1">+'TUSD BE'!$T$54+'TUSD BE'!$AB$54+'TUSD BE'!$AD$54+'TUSD BE'!$AL$54</f>
        <v>459.15878161916231</v>
      </c>
      <c r="AQ54" s="9" t="str">
        <f t="shared" si="7"/>
        <v>B2</v>
      </c>
      <c r="AR54" s="9" t="str">
        <f t="shared" si="8"/>
        <v>Convencional pré-pagamento</v>
      </c>
      <c r="AS54" s="9" t="str">
        <f t="shared" si="9"/>
        <v>Rural</v>
      </c>
      <c r="AT54" s="9" t="str">
        <f t="shared" si="10"/>
        <v>Não se aplica</v>
      </c>
      <c r="AU54" s="9" t="str">
        <f t="shared" si="11"/>
        <v>Não se aplica</v>
      </c>
      <c r="AV54" s="9">
        <f t="shared" si="12"/>
        <v>1</v>
      </c>
      <c r="AW54" s="9">
        <f ca="1">TarifaMedia!$G$36</f>
        <v>1</v>
      </c>
      <c r="AX54" s="15">
        <f ca="1">'TUSD BE'!$AM54+'TUSD BF'!$AM54+'TUSD CVA'!$AM54</f>
        <v>482.06736206829294</v>
      </c>
      <c r="AY54" s="9">
        <v>384.48</v>
      </c>
      <c r="AZ54" s="9">
        <f t="shared" ca="1" si="13"/>
        <v>-97.587362068292919</v>
      </c>
      <c r="BC54" s="80" t="s">
        <v>947</v>
      </c>
    </row>
    <row r="55" spans="1:55" ht="11.25" customHeight="1" x14ac:dyDescent="0.3">
      <c r="A55" s="137"/>
      <c r="B55" s="137"/>
      <c r="C55" s="137"/>
      <c r="D55" s="17" t="s">
        <v>94</v>
      </c>
      <c r="E55" s="17" t="s">
        <v>25</v>
      </c>
      <c r="F55" s="17" t="s">
        <v>25</v>
      </c>
      <c r="G55" s="18" t="s">
        <v>83</v>
      </c>
      <c r="H55" s="18" t="s">
        <v>79</v>
      </c>
      <c r="I55" s="18">
        <f>'MERCADO TUSD'!$U$52</f>
        <v>0</v>
      </c>
      <c r="J55" s="15"/>
      <c r="L55" s="13">
        <f>'TUSD BE'!$L$55*'TUSD BE'!$L$70</f>
        <v>-0.12394774751833187</v>
      </c>
      <c r="M55" s="13">
        <f>'TUSD BE'!$M$55*'TUSD BE'!$M$70</f>
        <v>4.7521062421596759E-3</v>
      </c>
      <c r="N55" s="13">
        <f ca="1">'TUSD BE'!$N$55*'TUSD BE'!$N$70</f>
        <v>6.4013120631565557E-8</v>
      </c>
      <c r="O55" s="13">
        <f>'TUSD BE'!$O$55*'TUSD BE'!$O$70</f>
        <v>0</v>
      </c>
      <c r="P55" s="13">
        <f>'TUSD BE'!$P$55*'TUSD BE'!$P$70</f>
        <v>0</v>
      </c>
      <c r="Q55" s="13">
        <f>'TUSD BE'!$Q$55*'TUSD BE'!$Q$70</f>
        <v>1.6910279315747665</v>
      </c>
      <c r="R55" s="13">
        <f>'TUSD BE'!$R$55*'TUSD BE'!$R$70</f>
        <v>0.40310841228953048</v>
      </c>
      <c r="S55" s="13">
        <f>'TUSD BE'!$R$55*'TUSD BE'!$S$70</f>
        <v>0</v>
      </c>
      <c r="T55" s="13">
        <f ca="1">SUM($L$55:$S$55)</f>
        <v>1.9749407666012455</v>
      </c>
      <c r="U55" s="13">
        <f>'TUSD BE'!$U$55*'TUSD BE'!$U$70</f>
        <v>-0.25861040235186578</v>
      </c>
      <c r="V55" s="13">
        <f>'TUSD BE'!$V$55*'TUSD BE'!$V$70</f>
        <v>-0.23858709933706304</v>
      </c>
      <c r="W55" s="13">
        <f>'TUSD BE'!$W$55*'TUSD BE'!$W$70</f>
        <v>0</v>
      </c>
      <c r="X55" s="13">
        <f>'TUSD BE'!$X$55*'TUSD BE'!$X$70</f>
        <v>0</v>
      </c>
      <c r="Y55" s="13">
        <f>'TUSD BE'!$Y$55*'TUSD BE'!$Y$70</f>
        <v>0</v>
      </c>
      <c r="Z55" s="13">
        <f>'TUSD BE'!$Z$55*'TUSD BE'!$Z$70</f>
        <v>0</v>
      </c>
      <c r="AA55" s="13">
        <f>'TUSD BE'!$AA$55*'TUSD BE'!$AA$70</f>
        <v>0</v>
      </c>
      <c r="AB55" s="13">
        <f>SUM($U$55:$AA$55)</f>
        <v>-0.49719750168892884</v>
      </c>
      <c r="AC55" s="13">
        <f>'TUSD BE'!$AC$55*'TUSD BE'!$AC$70</f>
        <v>0</v>
      </c>
      <c r="AD55" s="13">
        <f>SUM($AC$55:$AC$55)</f>
        <v>0</v>
      </c>
      <c r="AE55" s="13">
        <f ca="1">$AO$55*$AO$67</f>
        <v>-19.834981053784773</v>
      </c>
      <c r="AF55" s="13">
        <f ca="1">$AP$55*$AP$67</f>
        <v>0</v>
      </c>
      <c r="AG55" s="13">
        <f ca="1">SUM($AE$55:$AF$55)</f>
        <v>-19.834981053784773</v>
      </c>
      <c r="AH55" s="13">
        <f>'TUSD BE'!$AH$55*'TUSD BE'!$AH$70</f>
        <v>1.9598136134905149</v>
      </c>
      <c r="AI55" s="13">
        <f>'TUSD BE'!$AI$55*'TUSD BE'!$AI$70</f>
        <v>5.7670049506454941E-2</v>
      </c>
      <c r="AJ55" s="13">
        <f ca="1">'TUSD BE'!$AJ$55*'TUSD BE'!$AJ$70</f>
        <v>0.13149134875098287</v>
      </c>
      <c r="AK55" s="13">
        <f ca="1">'TUSD BE'!$AK$55*'TUSD BE'!$AK$70</f>
        <v>-3.2318360632283147E-2</v>
      </c>
      <c r="AL55" s="13">
        <f ca="1">SUM($AH$55:$AK$55)</f>
        <v>2.1166566511156693</v>
      </c>
      <c r="AM55" s="13">
        <f ca="1">SUMIF($L$4:$AL$4,"SUBTOTAL",$L$55:$AL$55)+AZ55</f>
        <v>-113.82794320604971</v>
      </c>
      <c r="AO55" s="20">
        <f ca="1">+'TUSD BE'!$T$55+'TUSD BE'!$AB$55+'TUSD BE'!$AD$55+'TUSD BE'!$AL$55</f>
        <v>459.15878161916231</v>
      </c>
      <c r="AP55" s="20">
        <f ca="1">+'TUSD BE'!$T$55+'TUSD BE'!$AB$55+'TUSD BE'!$AD$55+'TUSD BE'!$AL$55</f>
        <v>459.15878161916231</v>
      </c>
      <c r="AQ55" s="9" t="str">
        <f t="shared" si="7"/>
        <v>B2</v>
      </c>
      <c r="AR55" s="9" t="str">
        <f t="shared" si="8"/>
        <v>Convencional pré-pagamento</v>
      </c>
      <c r="AS55" s="9" t="str">
        <f t="shared" si="9"/>
        <v>Rural</v>
      </c>
      <c r="AT55" s="9" t="str">
        <f t="shared" si="10"/>
        <v>Cooperativa de eletrificação rural</v>
      </c>
      <c r="AU55" s="9" t="str">
        <f t="shared" si="11"/>
        <v>Não se aplica</v>
      </c>
      <c r="AV55" s="9">
        <f t="shared" si="12"/>
        <v>1</v>
      </c>
      <c r="AW55" s="9">
        <f ca="1">TarifaMedia!$G$36</f>
        <v>1</v>
      </c>
      <c r="AX55" s="15">
        <f ca="1">'TUSD BE'!$AM55+'TUSD BF'!$AM55+'TUSD CVA'!$AM55</f>
        <v>482.06736206829294</v>
      </c>
      <c r="AY55" s="9">
        <v>384.48</v>
      </c>
      <c r="AZ55" s="9">
        <f t="shared" ca="1" si="13"/>
        <v>-97.587362068292919</v>
      </c>
      <c r="BC55" s="80" t="s">
        <v>947</v>
      </c>
    </row>
    <row r="56" spans="1:55" ht="11.25" customHeight="1" x14ac:dyDescent="0.3">
      <c r="A56" s="137"/>
      <c r="B56" s="137"/>
      <c r="C56" s="137"/>
      <c r="D56" s="17" t="s">
        <v>95</v>
      </c>
      <c r="E56" s="17" t="s">
        <v>25</v>
      </c>
      <c r="F56" s="17" t="s">
        <v>25</v>
      </c>
      <c r="G56" s="18" t="s">
        <v>83</v>
      </c>
      <c r="H56" s="18" t="s">
        <v>79</v>
      </c>
      <c r="I56" s="18">
        <f>'MERCADO TUSD'!$U$53</f>
        <v>0</v>
      </c>
      <c r="J56" s="15"/>
      <c r="L56" s="13">
        <f>'TUSD BE'!$L$56*'TUSD BE'!$L$70</f>
        <v>-0.12394774751833187</v>
      </c>
      <c r="M56" s="13">
        <f>'TUSD BE'!$M$56*'TUSD BE'!$M$70</f>
        <v>4.7521062421596759E-3</v>
      </c>
      <c r="N56" s="13">
        <f ca="1">'TUSD BE'!$N$56*'TUSD BE'!$N$70</f>
        <v>6.4013120631565557E-8</v>
      </c>
      <c r="O56" s="13">
        <f>'TUSD BE'!$O$56*'TUSD BE'!$O$70</f>
        <v>0</v>
      </c>
      <c r="P56" s="13">
        <f>'TUSD BE'!$P$56*'TUSD BE'!$P$70</f>
        <v>0</v>
      </c>
      <c r="Q56" s="13">
        <f>'TUSD BE'!$Q$56*'TUSD BE'!$Q$70</f>
        <v>1.6910279315747665</v>
      </c>
      <c r="R56" s="13">
        <f>'TUSD BE'!$R$56*'TUSD BE'!$R$70</f>
        <v>0.40310841228953048</v>
      </c>
      <c r="S56" s="13">
        <f>'TUSD BE'!$R$56*'TUSD BE'!$S$70</f>
        <v>0</v>
      </c>
      <c r="T56" s="13">
        <f ca="1">SUM($L$56:$S$56)</f>
        <v>1.9749407666012455</v>
      </c>
      <c r="U56" s="13">
        <f>'TUSD BE'!$U$56*'TUSD BE'!$U$70</f>
        <v>-0.25861040235186578</v>
      </c>
      <c r="V56" s="13">
        <f>'TUSD BE'!$V$56*'TUSD BE'!$V$70</f>
        <v>-0.23858709933706304</v>
      </c>
      <c r="W56" s="13">
        <f>'TUSD BE'!$W$56*'TUSD BE'!$W$70</f>
        <v>0</v>
      </c>
      <c r="X56" s="13">
        <f>'TUSD BE'!$X$56*'TUSD BE'!$X$70</f>
        <v>0</v>
      </c>
      <c r="Y56" s="13">
        <f>'TUSD BE'!$Y$56*'TUSD BE'!$Y$70</f>
        <v>0</v>
      </c>
      <c r="Z56" s="13">
        <f>'TUSD BE'!$Z$56*'TUSD BE'!$Z$70</f>
        <v>0</v>
      </c>
      <c r="AA56" s="13">
        <f>'TUSD BE'!$AA$56*'TUSD BE'!$AA$70</f>
        <v>0</v>
      </c>
      <c r="AB56" s="13">
        <f>SUM($U$56:$AA$56)</f>
        <v>-0.49719750168892884</v>
      </c>
      <c r="AC56" s="13">
        <f>'TUSD BE'!$AC$56*'TUSD BE'!$AC$70</f>
        <v>0</v>
      </c>
      <c r="AD56" s="13">
        <f>SUM($AC$56:$AC$56)</f>
        <v>0</v>
      </c>
      <c r="AE56" s="13">
        <f ca="1">$AO$56*$AO$67</f>
        <v>-19.834981053784773</v>
      </c>
      <c r="AF56" s="13">
        <f ca="1">$AP$56*$AP$67</f>
        <v>0</v>
      </c>
      <c r="AG56" s="13">
        <f ca="1">SUM($AE$56:$AF$56)</f>
        <v>-19.834981053784773</v>
      </c>
      <c r="AH56" s="13">
        <f>'TUSD BE'!$AH$56*'TUSD BE'!$AH$70</f>
        <v>1.9598136134905149</v>
      </c>
      <c r="AI56" s="13">
        <f>'TUSD BE'!$AI$56*'TUSD BE'!$AI$70</f>
        <v>5.7670049506454941E-2</v>
      </c>
      <c r="AJ56" s="13">
        <f ca="1">'TUSD BE'!$AJ$56*'TUSD BE'!$AJ$70</f>
        <v>0.13149134875098287</v>
      </c>
      <c r="AK56" s="13">
        <f ca="1">'TUSD BE'!$AK$56*'TUSD BE'!$AK$70</f>
        <v>-3.2318360632283147E-2</v>
      </c>
      <c r="AL56" s="13">
        <f ca="1">SUM($AH$56:$AK$56)</f>
        <v>2.1166566511156693</v>
      </c>
      <c r="AM56" s="13">
        <f ca="1">SUMIF($L$4:$AL$4,"SUBTOTAL",$L$56:$AL$56)+AZ56</f>
        <v>-113.82794320604971</v>
      </c>
      <c r="AO56" s="20">
        <f ca="1">+'TUSD BE'!$T$56+'TUSD BE'!$AB$56+'TUSD BE'!$AD$56+'TUSD BE'!$AL$56</f>
        <v>459.15878161916231</v>
      </c>
      <c r="AP56" s="20">
        <f ca="1">+'TUSD BE'!$T$56+'TUSD BE'!$AB$56+'TUSD BE'!$AD$56+'TUSD BE'!$AL$56</f>
        <v>459.15878161916231</v>
      </c>
      <c r="AQ56" s="9" t="str">
        <f t="shared" si="7"/>
        <v>B2</v>
      </c>
      <c r="AR56" s="9" t="str">
        <f t="shared" si="8"/>
        <v>Convencional pré-pagamento</v>
      </c>
      <c r="AS56" s="9" t="str">
        <f t="shared" si="9"/>
        <v>Rural</v>
      </c>
      <c r="AT56" s="9" t="str">
        <f t="shared" si="10"/>
        <v>Serviço público de irrigação rural</v>
      </c>
      <c r="AU56" s="9" t="str">
        <f t="shared" si="11"/>
        <v>Não se aplica</v>
      </c>
      <c r="AV56" s="9">
        <f t="shared" si="12"/>
        <v>1</v>
      </c>
      <c r="AW56" s="9">
        <f ca="1">TarifaMedia!$G$36</f>
        <v>1</v>
      </c>
      <c r="AX56" s="15">
        <f ca="1">'TUSD BE'!$AM56+'TUSD BF'!$AM56+'TUSD CVA'!$AM56</f>
        <v>482.06736206829294</v>
      </c>
      <c r="AY56" s="9">
        <v>384.48</v>
      </c>
      <c r="AZ56" s="9">
        <f t="shared" ca="1" si="13"/>
        <v>-97.587362068292919</v>
      </c>
      <c r="BC56" s="80" t="s">
        <v>947</v>
      </c>
    </row>
    <row r="57" spans="1:55" ht="11.25" customHeight="1" x14ac:dyDescent="0.3">
      <c r="A57" s="137" t="s">
        <v>37</v>
      </c>
      <c r="B57" s="137" t="s">
        <v>33</v>
      </c>
      <c r="C57" s="137" t="s">
        <v>25</v>
      </c>
      <c r="D57" s="137" t="s">
        <v>25</v>
      </c>
      <c r="E57" s="137" t="s">
        <v>25</v>
      </c>
      <c r="F57" s="137" t="s">
        <v>25</v>
      </c>
      <c r="G57" s="18" t="s">
        <v>80</v>
      </c>
      <c r="H57" s="18" t="s">
        <v>79</v>
      </c>
      <c r="I57" s="18">
        <f>'MERCADO TUSD'!$U$54</f>
        <v>10.468</v>
      </c>
      <c r="J57" s="15"/>
      <c r="L57" s="13">
        <f>'TUSD BE'!$L$57*'TUSD BE'!$L$70</f>
        <v>-0.12394774751833187</v>
      </c>
      <c r="M57" s="13">
        <f>'TUSD BE'!$M$57*'TUSD BE'!$M$70</f>
        <v>4.7521062421596759E-3</v>
      </c>
      <c r="N57" s="13">
        <f ca="1">'TUSD BE'!$N$57*'TUSD BE'!$N$70</f>
        <v>1.954638369644022E-7</v>
      </c>
      <c r="O57" s="13">
        <f>'TUSD BE'!$O$57*'TUSD BE'!$O$70</f>
        <v>0</v>
      </c>
      <c r="P57" s="13">
        <f>'TUSD BE'!$P$57*'TUSD BE'!$P$70</f>
        <v>0</v>
      </c>
      <c r="Q57" s="13">
        <f>'TUSD BE'!$Q$57*'TUSD BE'!$Q$70</f>
        <v>1.6910279315747665</v>
      </c>
      <c r="R57" s="13">
        <f>'TUSD BE'!$R$57*'TUSD BE'!$R$70</f>
        <v>0.40310841228953048</v>
      </c>
      <c r="S57" s="13">
        <f>'TUSD BE'!$R$57*'TUSD BE'!$S$70</f>
        <v>0</v>
      </c>
      <c r="T57" s="13">
        <f ca="1">SUM($L$57:$S$57)</f>
        <v>1.9749408980519618</v>
      </c>
      <c r="U57" s="13">
        <f>'TUSD BE'!$U$57*'TUSD BE'!$U$70</f>
        <v>-0.89220658678716602</v>
      </c>
      <c r="V57" s="13">
        <f>'TUSD BE'!$V$57*'TUSD BE'!$V$70</f>
        <v>-0.82312436371621456</v>
      </c>
      <c r="W57" s="13">
        <f>'TUSD BE'!$W$57*'TUSD BE'!$W$70</f>
        <v>0</v>
      </c>
      <c r="X57" s="13">
        <f>'TUSD BE'!$X$57*'TUSD BE'!$X$70</f>
        <v>0</v>
      </c>
      <c r="Y57" s="13">
        <f>'TUSD BE'!$Y$57*'TUSD BE'!$Y$70</f>
        <v>0</v>
      </c>
      <c r="Z57" s="13">
        <f>'TUSD BE'!$Z$57*'TUSD BE'!$Z$70</f>
        <v>0</v>
      </c>
      <c r="AA57" s="13">
        <f>'TUSD BE'!$AA$57*'TUSD BE'!$AA$70</f>
        <v>0</v>
      </c>
      <c r="AB57" s="13">
        <f>SUM($U$57:$AA$57)</f>
        <v>-1.7153309505033807</v>
      </c>
      <c r="AC57" s="13">
        <f>'TUSD BE'!$AC$57*'TUSD BE'!$AC$70</f>
        <v>0</v>
      </c>
      <c r="AD57" s="13">
        <f>SUM($AC$57:$AC$57)</f>
        <v>0</v>
      </c>
      <c r="AE57" s="13">
        <f ca="1">$AO$57*$AO$67</f>
        <v>-52.612114292718218</v>
      </c>
      <c r="AF57" s="13">
        <f ca="1">$AP$57*$AP$67</f>
        <v>0</v>
      </c>
      <c r="AG57" s="13">
        <f ca="1">SUM($AE$57:$AF$57)</f>
        <v>-52.612114292718218</v>
      </c>
      <c r="AH57" s="13">
        <f>'TUSD BE'!$AH$57*'TUSD BE'!$AH$70</f>
        <v>1.9598136134905149</v>
      </c>
      <c r="AI57" s="13">
        <f>'TUSD BE'!$AI$57*'TUSD BE'!$AI$70</f>
        <v>5.7670049506454941E-2</v>
      </c>
      <c r="AJ57" s="13">
        <f ca="1">'TUSD BE'!$AJ$57*'TUSD BE'!$AJ$70</f>
        <v>0.13149134875098287</v>
      </c>
      <c r="AK57" s="13">
        <f ca="1">'TUSD BE'!$AK$57*'TUSD BE'!$AK$70</f>
        <v>-3.2318360632283147E-2</v>
      </c>
      <c r="AL57" s="13">
        <f ca="1">SUM($AH$57:$AK$57)</f>
        <v>2.1166566511156693</v>
      </c>
      <c r="AM57" s="13">
        <f ca="1">SUMIF($L$4:$AL$4,"SUBTOTAL",$L$57:$AL$57)+AZ57</f>
        <v>-441.04741232245146</v>
      </c>
      <c r="AO57" s="20">
        <f ca="1">+'TUSD BE'!$T$57+'TUSD BE'!$AB$57+'TUSD BE'!$AD$57+'TUSD BE'!$AL$57</f>
        <v>1217.9146645790761</v>
      </c>
      <c r="AP57" s="20">
        <f ca="1">+'TUSD BE'!$T$57+'TUSD BE'!$AB$57+'TUSD BE'!$AD$57+'TUSD BE'!$AL$57</f>
        <v>1217.9146645790761</v>
      </c>
      <c r="AQ57" s="9" t="str">
        <f t="shared" si="7"/>
        <v>B3</v>
      </c>
      <c r="AR57" s="9" t="str">
        <f t="shared" si="8"/>
        <v>Branca</v>
      </c>
      <c r="AS57" s="9" t="str">
        <f t="shared" si="9"/>
        <v>Não se aplica</v>
      </c>
      <c r="AT57" s="9" t="str">
        <f t="shared" si="10"/>
        <v>Não se aplica</v>
      </c>
      <c r="AU57" s="9" t="str">
        <f t="shared" si="11"/>
        <v>Não se aplica</v>
      </c>
      <c r="AV57" s="9">
        <f t="shared" si="12"/>
        <v>1</v>
      </c>
      <c r="AW57" s="9">
        <f ca="1">TarifaMedia!$G$36</f>
        <v>1</v>
      </c>
      <c r="AX57" s="15">
        <f ca="1">'TUSD BE'!$AM57+'TUSD BF'!$AM57+'TUSD CVA'!$AM57</f>
        <v>1219.8615646283974</v>
      </c>
      <c r="AY57" s="9">
        <v>829.05</v>
      </c>
      <c r="AZ57" s="9">
        <f t="shared" ca="1" si="13"/>
        <v>-390.81156462839749</v>
      </c>
      <c r="BC57" s="80" t="s">
        <v>954</v>
      </c>
    </row>
    <row r="58" spans="1:55" ht="11.25" customHeight="1" x14ac:dyDescent="0.3">
      <c r="A58" s="137"/>
      <c r="B58" s="137"/>
      <c r="C58" s="137"/>
      <c r="D58" s="137"/>
      <c r="E58" s="137"/>
      <c r="F58" s="137"/>
      <c r="G58" s="18" t="s">
        <v>91</v>
      </c>
      <c r="H58" s="18" t="s">
        <v>79</v>
      </c>
      <c r="I58" s="18">
        <f>'MERCADO TUSD'!$U$55</f>
        <v>9.6909999999999989</v>
      </c>
      <c r="J58" s="15"/>
      <c r="L58" s="13">
        <f>'TUSD BE'!$L$58*'TUSD BE'!$L$70</f>
        <v>-0.12394774751833187</v>
      </c>
      <c r="M58" s="13">
        <f>'TUSD BE'!$M$58*'TUSD BE'!$M$70</f>
        <v>4.7521062421596759E-3</v>
      </c>
      <c r="N58" s="13">
        <f ca="1">'TUSD BE'!$N$58*'TUSD BE'!$N$70</f>
        <v>1.2142219841065456E-7</v>
      </c>
      <c r="O58" s="13">
        <f>'TUSD BE'!$O$58*'TUSD BE'!$O$70</f>
        <v>0</v>
      </c>
      <c r="P58" s="13">
        <f>'TUSD BE'!$P$58*'TUSD BE'!$P$70</f>
        <v>0</v>
      </c>
      <c r="Q58" s="13">
        <f>'TUSD BE'!$Q$58*'TUSD BE'!$Q$70</f>
        <v>1.6910279315747665</v>
      </c>
      <c r="R58" s="13">
        <f>'TUSD BE'!$R$58*'TUSD BE'!$R$70</f>
        <v>0.40310841228953048</v>
      </c>
      <c r="S58" s="13">
        <f>'TUSD BE'!$R$58*'TUSD BE'!$S$70</f>
        <v>0</v>
      </c>
      <c r="T58" s="13">
        <f ca="1">SUM($L$58:$S$58)</f>
        <v>1.9749408240103232</v>
      </c>
      <c r="U58" s="13">
        <f>'TUSD BE'!$U$58*'TUSD BE'!$U$70</f>
        <v>-0.53532342806737787</v>
      </c>
      <c r="V58" s="13">
        <f>'TUSD BE'!$V$58*'TUSD BE'!$V$70</f>
        <v>-0.49387431716395458</v>
      </c>
      <c r="W58" s="13">
        <f>'TUSD BE'!$W$58*'TUSD BE'!$W$70</f>
        <v>0</v>
      </c>
      <c r="X58" s="13">
        <f>'TUSD BE'!$X$58*'TUSD BE'!$X$70</f>
        <v>0</v>
      </c>
      <c r="Y58" s="13">
        <f>'TUSD BE'!$Y$58*'TUSD BE'!$Y$70</f>
        <v>0</v>
      </c>
      <c r="Z58" s="13">
        <f>'TUSD BE'!$Z$58*'TUSD BE'!$Z$70</f>
        <v>0</v>
      </c>
      <c r="AA58" s="13">
        <f>'TUSD BE'!$AA$58*'TUSD BE'!$AA$70</f>
        <v>0</v>
      </c>
      <c r="AB58" s="13">
        <f>SUM($U$58:$AA$58)</f>
        <v>-1.0291977452313326</v>
      </c>
      <c r="AC58" s="13">
        <f>'TUSD BE'!$AC$58*'TUSD BE'!$AC$70</f>
        <v>0</v>
      </c>
      <c r="AD58" s="13">
        <f>SUM($AC$58:$AC$58)</f>
        <v>0</v>
      </c>
      <c r="AE58" s="13">
        <f ca="1">$AO$58*$AO$67</f>
        <v>-34.149889343587439</v>
      </c>
      <c r="AF58" s="13">
        <f ca="1">$AP$58*$AP$67</f>
        <v>0</v>
      </c>
      <c r="AG58" s="13">
        <f ca="1">SUM($AE$58:$AF$58)</f>
        <v>-34.149889343587439</v>
      </c>
      <c r="AH58" s="13">
        <f>'TUSD BE'!$AH$58*'TUSD BE'!$AH$70</f>
        <v>1.9598136134905149</v>
      </c>
      <c r="AI58" s="13">
        <f>'TUSD BE'!$AI$58*'TUSD BE'!$AI$70</f>
        <v>5.7670049506454941E-2</v>
      </c>
      <c r="AJ58" s="13">
        <f ca="1">'TUSD BE'!$AJ$58*'TUSD BE'!$AJ$70</f>
        <v>0.13149134875098287</v>
      </c>
      <c r="AK58" s="13">
        <f ca="1">'TUSD BE'!$AK$58*'TUSD BE'!$AK$70</f>
        <v>-3.2318360632283147E-2</v>
      </c>
      <c r="AL58" s="13">
        <f ca="1">SUM($AH$58:$AK$58)</f>
        <v>2.1166566511156693</v>
      </c>
      <c r="AM58" s="13">
        <f ca="1">SUMIF($L$4:$AL$4,"SUBTOTAL",$L$58:$AL$58)+AZ58</f>
        <v>-264.97510298197403</v>
      </c>
      <c r="AO58" s="20">
        <f ca="1">+'TUSD BE'!$T$58+'TUSD BE'!$AB$58+'TUSD BE'!$AD$58+'TUSD BE'!$AL$58</f>
        <v>790.53373133617549</v>
      </c>
      <c r="AP58" s="20">
        <f ca="1">+'TUSD BE'!$T$58+'TUSD BE'!$AB$58+'TUSD BE'!$AD$58+'TUSD BE'!$AL$58</f>
        <v>790.53373133617549</v>
      </c>
      <c r="AQ58" s="9" t="str">
        <f t="shared" si="7"/>
        <v>B3</v>
      </c>
      <c r="AR58" s="9" t="str">
        <f t="shared" si="8"/>
        <v>Branca</v>
      </c>
      <c r="AS58" s="9" t="str">
        <f t="shared" si="9"/>
        <v>Não se aplica</v>
      </c>
      <c r="AT58" s="9" t="str">
        <f t="shared" si="10"/>
        <v>Não se aplica</v>
      </c>
      <c r="AU58" s="9" t="str">
        <f t="shared" si="11"/>
        <v>Não se aplica</v>
      </c>
      <c r="AV58" s="9">
        <f t="shared" si="12"/>
        <v>1</v>
      </c>
      <c r="AW58" s="9">
        <f ca="1">TarifaMedia!$G$36</f>
        <v>1</v>
      </c>
      <c r="AX58" s="15">
        <f ca="1">'TUSD BE'!$AM58+'TUSD BF'!$AM58+'TUSD CVA'!$AM58</f>
        <v>804.2876133682812</v>
      </c>
      <c r="AY58" s="9">
        <v>570.4</v>
      </c>
      <c r="AZ58" s="9">
        <f t="shared" ca="1" si="13"/>
        <v>-233.88761336828122</v>
      </c>
      <c r="BC58" s="80" t="s">
        <v>955</v>
      </c>
    </row>
    <row r="59" spans="1:55" ht="11.25" customHeight="1" x14ac:dyDescent="0.3">
      <c r="A59" s="137"/>
      <c r="B59" s="137"/>
      <c r="C59" s="137"/>
      <c r="D59" s="137"/>
      <c r="E59" s="137"/>
      <c r="F59" s="137"/>
      <c r="G59" s="18" t="s">
        <v>81</v>
      </c>
      <c r="H59" s="18" t="s">
        <v>79</v>
      </c>
      <c r="I59" s="18">
        <f>'MERCADO TUSD'!$U$56</f>
        <v>150.328</v>
      </c>
      <c r="J59" s="15"/>
      <c r="L59" s="13">
        <f>'TUSD BE'!$L$59*'TUSD BE'!$L$70</f>
        <v>-0.12394774751833187</v>
      </c>
      <c r="M59" s="13">
        <f>'TUSD BE'!$M$59*'TUSD BE'!$M$70</f>
        <v>4.7521062421596759E-3</v>
      </c>
      <c r="N59" s="13">
        <f ca="1">'TUSD BE'!$N$59*'TUSD BE'!$N$70</f>
        <v>4.7380579947889227E-8</v>
      </c>
      <c r="O59" s="13">
        <f>'TUSD BE'!$O$59*'TUSD BE'!$O$70</f>
        <v>0</v>
      </c>
      <c r="P59" s="13">
        <f>'TUSD BE'!$P$59*'TUSD BE'!$P$70</f>
        <v>0</v>
      </c>
      <c r="Q59" s="13">
        <f>'TUSD BE'!$Q$59*'TUSD BE'!$Q$70</f>
        <v>1.6910279315747665</v>
      </c>
      <c r="R59" s="13">
        <f>'TUSD BE'!$R$59*'TUSD BE'!$R$70</f>
        <v>0.40310841228953048</v>
      </c>
      <c r="S59" s="13">
        <f>'TUSD BE'!$R$59*'TUSD BE'!$S$70</f>
        <v>0</v>
      </c>
      <c r="T59" s="13">
        <f ca="1">SUM($L$59:$S$59)</f>
        <v>1.9749407499687048</v>
      </c>
      <c r="U59" s="13">
        <f>'TUSD BE'!$U$59*'TUSD BE'!$U$70</f>
        <v>-0.17844114268912595</v>
      </c>
      <c r="V59" s="13">
        <f>'TUSD BE'!$V$59*'TUSD BE'!$V$70</f>
        <v>-0.16462427061169468</v>
      </c>
      <c r="W59" s="13">
        <f>'TUSD BE'!$W$59*'TUSD BE'!$W$70</f>
        <v>0</v>
      </c>
      <c r="X59" s="13">
        <f>'TUSD BE'!$X$59*'TUSD BE'!$X$70</f>
        <v>0</v>
      </c>
      <c r="Y59" s="13">
        <f>'TUSD BE'!$Y$59*'TUSD BE'!$Y$70</f>
        <v>0</v>
      </c>
      <c r="Z59" s="13">
        <f>'TUSD BE'!$Z$59*'TUSD BE'!$Z$70</f>
        <v>0</v>
      </c>
      <c r="AA59" s="13">
        <f>'TUSD BE'!$AA$59*'TUSD BE'!$AA$70</f>
        <v>0</v>
      </c>
      <c r="AB59" s="13">
        <f>SUM($U$59:$AA$59)</f>
        <v>-0.34306541330082063</v>
      </c>
      <c r="AC59" s="13">
        <f>'TUSD BE'!$AC$59*'TUSD BE'!$AC$70</f>
        <v>0</v>
      </c>
      <c r="AD59" s="13">
        <f>SUM($AC$59:$AC$59)</f>
        <v>0</v>
      </c>
      <c r="AE59" s="13">
        <f ca="1">$AO$59*$AO$67</f>
        <v>-15.687670045476205</v>
      </c>
      <c r="AF59" s="13">
        <f ca="1">$AP$59*$AP$67</f>
        <v>0</v>
      </c>
      <c r="AG59" s="13">
        <f ca="1">SUM($AE$59:$AF$59)</f>
        <v>-15.687670045476205</v>
      </c>
      <c r="AH59" s="13">
        <f>'TUSD BE'!$AH$59*'TUSD BE'!$AH$70</f>
        <v>1.9598136134905149</v>
      </c>
      <c r="AI59" s="13">
        <f>'TUSD BE'!$AI$59*'TUSD BE'!$AI$70</f>
        <v>5.7670049506454941E-2</v>
      </c>
      <c r="AJ59" s="13">
        <f ca="1">'TUSD BE'!$AJ$59*'TUSD BE'!$AJ$70</f>
        <v>0.13149134875098287</v>
      </c>
      <c r="AK59" s="13">
        <f ca="1">'TUSD BE'!$AK$59*'TUSD BE'!$AK$70</f>
        <v>-3.2318360632283147E-2</v>
      </c>
      <c r="AL59" s="13">
        <f ca="1">SUM($AH$59:$AK$59)</f>
        <v>2.1166566511156693</v>
      </c>
      <c r="AM59" s="13">
        <f ca="1">SUMIF($L$4:$AL$4,"SUBTOTAL",$L$59:$AL$59)+AZ59</f>
        <v>-88.912936645277256</v>
      </c>
      <c r="AO59" s="20">
        <f ca="1">+'TUSD BE'!$T$59+'TUSD BE'!$AB$59+'TUSD BE'!$AD$59+'TUSD BE'!$AL$59</f>
        <v>363.15292890838589</v>
      </c>
      <c r="AP59" s="20">
        <f ca="1">+'TUSD BE'!$T$59+'TUSD BE'!$AB$59+'TUSD BE'!$AD$59+'TUSD BE'!$AL$59</f>
        <v>363.15292890838589</v>
      </c>
      <c r="AQ59" s="9" t="str">
        <f t="shared" si="7"/>
        <v>B3</v>
      </c>
      <c r="AR59" s="9" t="str">
        <f t="shared" si="8"/>
        <v>Branca</v>
      </c>
      <c r="AS59" s="9" t="str">
        <f t="shared" si="9"/>
        <v>Não se aplica</v>
      </c>
      <c r="AT59" s="9" t="str">
        <f t="shared" si="10"/>
        <v>Não se aplica</v>
      </c>
      <c r="AU59" s="9" t="str">
        <f t="shared" si="11"/>
        <v>Não se aplica</v>
      </c>
      <c r="AV59" s="9">
        <f t="shared" si="12"/>
        <v>1</v>
      </c>
      <c r="AW59" s="9">
        <f ca="1">TarifaMedia!$G$36</f>
        <v>1</v>
      </c>
      <c r="AX59" s="15">
        <f ca="1">'TUSD BE'!$AM59+'TUSD BF'!$AM59+'TUSD CVA'!$AM59</f>
        <v>388.71379858758462</v>
      </c>
      <c r="AY59" s="9">
        <v>311.74</v>
      </c>
      <c r="AZ59" s="9">
        <f t="shared" ca="1" si="13"/>
        <v>-76.973798587584611</v>
      </c>
      <c r="BC59" s="80" t="s">
        <v>956</v>
      </c>
    </row>
    <row r="60" spans="1:55" ht="11.25" customHeight="1" x14ac:dyDescent="0.3">
      <c r="A60" s="137"/>
      <c r="B60" s="17" t="s">
        <v>23</v>
      </c>
      <c r="C60" s="17" t="s">
        <v>25</v>
      </c>
      <c r="D60" s="17" t="s">
        <v>25</v>
      </c>
      <c r="E60" s="17" t="s">
        <v>25</v>
      </c>
      <c r="F60" s="17" t="s">
        <v>25</v>
      </c>
      <c r="G60" s="18" t="s">
        <v>83</v>
      </c>
      <c r="H60" s="18" t="s">
        <v>79</v>
      </c>
      <c r="I60" s="18">
        <f>'MERCADO TUSD'!$U$57</f>
        <v>24187.291000000001</v>
      </c>
      <c r="J60" s="15"/>
      <c r="L60" s="13">
        <f>'TUSD BE'!$L$60*'TUSD BE'!$L$70</f>
        <v>-0.12394774751833187</v>
      </c>
      <c r="M60" s="13">
        <f>'TUSD BE'!$M$60*'TUSD BE'!$M$70</f>
        <v>4.7521062421596759E-3</v>
      </c>
      <c r="N60" s="13">
        <f ca="1">'TUSD BE'!$N$60*'TUSD BE'!$N$70</f>
        <v>6.4013120631565557E-8</v>
      </c>
      <c r="O60" s="13">
        <f>'TUSD BE'!$O$60*'TUSD BE'!$O$70</f>
        <v>0</v>
      </c>
      <c r="P60" s="13">
        <f>'TUSD BE'!$P$60*'TUSD BE'!$P$70</f>
        <v>0</v>
      </c>
      <c r="Q60" s="13">
        <f>'TUSD BE'!$Q$60*'TUSD BE'!$Q$70</f>
        <v>1.6910279315747665</v>
      </c>
      <c r="R60" s="13">
        <f>'TUSD BE'!$R$60*'TUSD BE'!$R$70</f>
        <v>0.40310841228953048</v>
      </c>
      <c r="S60" s="13">
        <f>'TUSD BE'!$R$60*'TUSD BE'!$S$70</f>
        <v>0</v>
      </c>
      <c r="T60" s="13">
        <f ca="1">SUM($L$60:$S$60)</f>
        <v>1.9749407666012455</v>
      </c>
      <c r="U60" s="13">
        <f>'TUSD BE'!$U$60*'TUSD BE'!$U$70</f>
        <v>-0.25861040235186578</v>
      </c>
      <c r="V60" s="13">
        <f>'TUSD BE'!$V$60*'TUSD BE'!$V$70</f>
        <v>-0.23858709933706304</v>
      </c>
      <c r="W60" s="13">
        <f>'TUSD BE'!$W$60*'TUSD BE'!$W$70</f>
        <v>0</v>
      </c>
      <c r="X60" s="13">
        <f>'TUSD BE'!$X$60*'TUSD BE'!$X$70</f>
        <v>0</v>
      </c>
      <c r="Y60" s="13">
        <f>'TUSD BE'!$Y$60*'TUSD BE'!$Y$70</f>
        <v>0</v>
      </c>
      <c r="Z60" s="13">
        <f>'TUSD BE'!$Z$60*'TUSD BE'!$Z$70</f>
        <v>0</v>
      </c>
      <c r="AA60" s="13">
        <f>'TUSD BE'!$AA$60*'TUSD BE'!$AA$70</f>
        <v>0</v>
      </c>
      <c r="AB60" s="13">
        <f>SUM($U$60:$AA$60)</f>
        <v>-0.49719750168892884</v>
      </c>
      <c r="AC60" s="13">
        <f>'TUSD BE'!$AC$60*'TUSD BE'!$AC$70</f>
        <v>0</v>
      </c>
      <c r="AD60" s="13">
        <f>SUM($AC$60:$AC$60)</f>
        <v>0</v>
      </c>
      <c r="AE60" s="13">
        <f ca="1">$AO$60*$AO$67</f>
        <v>-19.834981053784773</v>
      </c>
      <c r="AF60" s="13">
        <f ca="1">$AP$60*$AP$67</f>
        <v>0</v>
      </c>
      <c r="AG60" s="13">
        <f ca="1">SUM($AE$60:$AF$60)</f>
        <v>-19.834981053784773</v>
      </c>
      <c r="AH60" s="13">
        <f>'TUSD BE'!$AH$60*'TUSD BE'!$AH$70</f>
        <v>1.9598136134905149</v>
      </c>
      <c r="AI60" s="13">
        <f>'TUSD BE'!$AI$60*'TUSD BE'!$AI$70</f>
        <v>5.7670049506454941E-2</v>
      </c>
      <c r="AJ60" s="13">
        <f ca="1">'TUSD BE'!$AJ$60*'TUSD BE'!$AJ$70</f>
        <v>0.13149134875098287</v>
      </c>
      <c r="AK60" s="13">
        <f ca="1">'TUSD BE'!$AK$60*'TUSD BE'!$AK$70</f>
        <v>-3.2318360632283147E-2</v>
      </c>
      <c r="AL60" s="13">
        <f ca="1">SUM($AH$60:$AK$60)</f>
        <v>2.1166566511156693</v>
      </c>
      <c r="AM60" s="13">
        <f ca="1">SUMIF($L$4:$AL$4,"SUBTOTAL",$L$60:$AL$60)+AZ60</f>
        <v>-113.82794320604971</v>
      </c>
      <c r="AO60" s="20">
        <f ca="1">+'TUSD BE'!$T$60+'TUSD BE'!$AB$60+'TUSD BE'!$AD$60+'TUSD BE'!$AL$60</f>
        <v>459.15878161916231</v>
      </c>
      <c r="AP60" s="20">
        <f ca="1">+'TUSD BE'!$T$60+'TUSD BE'!$AB$60+'TUSD BE'!$AD$60+'TUSD BE'!$AL$60</f>
        <v>459.15878161916231</v>
      </c>
      <c r="AQ60" s="9" t="str">
        <f t="shared" si="7"/>
        <v>B3</v>
      </c>
      <c r="AR60" s="9" t="str">
        <f t="shared" si="8"/>
        <v>Convencional</v>
      </c>
      <c r="AS60" s="9" t="str">
        <f t="shared" si="9"/>
        <v>Não se aplica</v>
      </c>
      <c r="AT60" s="9" t="str">
        <f t="shared" si="10"/>
        <v>Não se aplica</v>
      </c>
      <c r="AU60" s="9" t="str">
        <f t="shared" si="11"/>
        <v>Não se aplica</v>
      </c>
      <c r="AV60" s="9">
        <f t="shared" si="12"/>
        <v>1</v>
      </c>
      <c r="AW60" s="9">
        <f ca="1">TarifaMedia!$G$36</f>
        <v>1</v>
      </c>
      <c r="AX60" s="15">
        <f ca="1">'TUSD BE'!$AM60+'TUSD BF'!$AM60+'TUSD CVA'!$AM60</f>
        <v>482.06736206829294</v>
      </c>
      <c r="AY60" s="9">
        <v>384.48</v>
      </c>
      <c r="AZ60" s="9">
        <f t="shared" ca="1" si="13"/>
        <v>-97.587362068292919</v>
      </c>
      <c r="BC60" s="80" t="s">
        <v>957</v>
      </c>
    </row>
    <row r="61" spans="1:55" ht="11.25" customHeight="1" x14ac:dyDescent="0.3">
      <c r="A61" s="137"/>
      <c r="B61" s="17" t="s">
        <v>93</v>
      </c>
      <c r="C61" s="17" t="s">
        <v>25</v>
      </c>
      <c r="D61" s="17" t="s">
        <v>25</v>
      </c>
      <c r="E61" s="17" t="s">
        <v>25</v>
      </c>
      <c r="F61" s="17" t="s">
        <v>25</v>
      </c>
      <c r="G61" s="18" t="s">
        <v>83</v>
      </c>
      <c r="H61" s="18" t="s">
        <v>79</v>
      </c>
      <c r="I61" s="18">
        <f>'MERCADO TUSD'!$U$58</f>
        <v>0</v>
      </c>
      <c r="J61" s="15"/>
      <c r="L61" s="13">
        <f>'TUSD BE'!$L$61*'TUSD BE'!$L$70</f>
        <v>-0.12394774751833187</v>
      </c>
      <c r="M61" s="13">
        <f>'TUSD BE'!$M$61*'TUSD BE'!$M$70</f>
        <v>4.7521062421596759E-3</v>
      </c>
      <c r="N61" s="13">
        <f ca="1">'TUSD BE'!$N$61*'TUSD BE'!$N$70</f>
        <v>6.4013120631565557E-8</v>
      </c>
      <c r="O61" s="13">
        <f>'TUSD BE'!$O$61*'TUSD BE'!$O$70</f>
        <v>0</v>
      </c>
      <c r="P61" s="13">
        <f>'TUSD BE'!$P$61*'TUSD BE'!$P$70</f>
        <v>0</v>
      </c>
      <c r="Q61" s="13">
        <f>'TUSD BE'!$Q$61*'TUSD BE'!$Q$70</f>
        <v>1.6910279315747665</v>
      </c>
      <c r="R61" s="13">
        <f>'TUSD BE'!$R$61*'TUSD BE'!$R$70</f>
        <v>0.40310841228953048</v>
      </c>
      <c r="S61" s="13">
        <f>'TUSD BE'!$R$61*'TUSD BE'!$S$70</f>
        <v>0</v>
      </c>
      <c r="T61" s="13">
        <f ca="1">SUM($L$61:$S$61)</f>
        <v>1.9749407666012455</v>
      </c>
      <c r="U61" s="13">
        <f>'TUSD BE'!$U$61*'TUSD BE'!$U$70</f>
        <v>-0.25861040235186578</v>
      </c>
      <c r="V61" s="13">
        <f>'TUSD BE'!$V$61*'TUSD BE'!$V$70</f>
        <v>-0.23858709933706304</v>
      </c>
      <c r="W61" s="13">
        <f>'TUSD BE'!$W$61*'TUSD BE'!$W$70</f>
        <v>0</v>
      </c>
      <c r="X61" s="13">
        <f>'TUSD BE'!$X$61*'TUSD BE'!$X$70</f>
        <v>0</v>
      </c>
      <c r="Y61" s="13">
        <f>'TUSD BE'!$Y$61*'TUSD BE'!$Y$70</f>
        <v>0</v>
      </c>
      <c r="Z61" s="13">
        <f>'TUSD BE'!$Z$61*'TUSD BE'!$Z$70</f>
        <v>0</v>
      </c>
      <c r="AA61" s="13">
        <f>'TUSD BE'!$AA$61*'TUSD BE'!$AA$70</f>
        <v>0</v>
      </c>
      <c r="AB61" s="13">
        <f>SUM($U$61:$AA$61)</f>
        <v>-0.49719750168892884</v>
      </c>
      <c r="AC61" s="13">
        <f>'TUSD BE'!$AC$61*'TUSD BE'!$AC$70</f>
        <v>0</v>
      </c>
      <c r="AD61" s="13">
        <f>SUM($AC$61:$AC$61)</f>
        <v>0</v>
      </c>
      <c r="AE61" s="13">
        <f ca="1">$AO$61*$AO$67</f>
        <v>-19.834981053784773</v>
      </c>
      <c r="AF61" s="13">
        <f ca="1">$AP$61*$AP$67</f>
        <v>0</v>
      </c>
      <c r="AG61" s="13">
        <f ca="1">SUM($AE$61:$AF$61)</f>
        <v>-19.834981053784773</v>
      </c>
      <c r="AH61" s="13">
        <f>'TUSD BE'!$AH$61*'TUSD BE'!$AH$70</f>
        <v>1.9598136134905149</v>
      </c>
      <c r="AI61" s="13">
        <f>'TUSD BE'!$AI$61*'TUSD BE'!$AI$70</f>
        <v>5.7670049506454941E-2</v>
      </c>
      <c r="AJ61" s="13">
        <f ca="1">'TUSD BE'!$AJ$61*'TUSD BE'!$AJ$70</f>
        <v>0.13149134875098287</v>
      </c>
      <c r="AK61" s="13">
        <f ca="1">'TUSD BE'!$AK$61*'TUSD BE'!$AK$70</f>
        <v>-3.2318360632283147E-2</v>
      </c>
      <c r="AL61" s="13">
        <f ca="1">SUM($AH$61:$AK$61)</f>
        <v>2.1166566511156693</v>
      </c>
      <c r="AM61" s="13">
        <f ca="1">SUMIF($L$4:$AL$4,"SUBTOTAL",$L$61:$AL$61)+AZ61</f>
        <v>-113.82794320604971</v>
      </c>
      <c r="AO61" s="20">
        <f ca="1">+'TUSD BE'!$T$61+'TUSD BE'!$AB$61+'TUSD BE'!$AD$61+'TUSD BE'!$AL$61</f>
        <v>459.15878161916231</v>
      </c>
      <c r="AP61" s="20">
        <f ca="1">+'TUSD BE'!$T$61+'TUSD BE'!$AB$61+'TUSD BE'!$AD$61+'TUSD BE'!$AL$61</f>
        <v>459.15878161916231</v>
      </c>
      <c r="AQ61" s="9" t="str">
        <f t="shared" si="7"/>
        <v>B3</v>
      </c>
      <c r="AR61" s="9" t="str">
        <f t="shared" si="8"/>
        <v>Convencional pré-pagamento</v>
      </c>
      <c r="AS61" s="9" t="str">
        <f t="shared" si="9"/>
        <v>Não se aplica</v>
      </c>
      <c r="AT61" s="9" t="str">
        <f t="shared" si="10"/>
        <v>Não se aplica</v>
      </c>
      <c r="AU61" s="9" t="str">
        <f t="shared" si="11"/>
        <v>Não se aplica</v>
      </c>
      <c r="AV61" s="9">
        <f t="shared" si="12"/>
        <v>1</v>
      </c>
      <c r="AW61" s="9">
        <f ca="1">TarifaMedia!$G$36</f>
        <v>1</v>
      </c>
      <c r="AX61" s="15">
        <f ca="1">'TUSD BE'!$AM61+'TUSD BF'!$AM61+'TUSD CVA'!$AM61</f>
        <v>482.06736206829294</v>
      </c>
      <c r="AY61" s="9">
        <v>384.48</v>
      </c>
      <c r="AZ61" s="9">
        <f t="shared" ca="1" si="13"/>
        <v>-97.587362068292919</v>
      </c>
      <c r="BC61" s="80" t="s">
        <v>958</v>
      </c>
    </row>
    <row r="62" spans="1:55" ht="11.25" customHeight="1" x14ac:dyDescent="0.3">
      <c r="A62" s="137" t="s">
        <v>47</v>
      </c>
      <c r="B62" s="137" t="s">
        <v>23</v>
      </c>
      <c r="C62" s="137" t="s">
        <v>48</v>
      </c>
      <c r="D62" s="17" t="s">
        <v>49</v>
      </c>
      <c r="E62" s="17" t="s">
        <v>25</v>
      </c>
      <c r="F62" s="17" t="s">
        <v>25</v>
      </c>
      <c r="G62" s="18" t="s">
        <v>83</v>
      </c>
      <c r="H62" s="18" t="s">
        <v>79</v>
      </c>
      <c r="I62" s="18">
        <f>'MERCADO TUSD'!$U$59</f>
        <v>5104.487000000001</v>
      </c>
      <c r="J62" s="15"/>
      <c r="L62" s="13">
        <f>'TUSD BE'!$L$62*'TUSD BE'!$L$70</f>
        <v>-6.8171261135082525E-2</v>
      </c>
      <c r="M62" s="13">
        <f>'TUSD BE'!$M$62*'TUSD BE'!$M$70</f>
        <v>2.613658433187822E-3</v>
      </c>
      <c r="N62" s="13">
        <f ca="1">'TUSD BE'!$N$62*'TUSD BE'!$N$70</f>
        <v>3.520721634736106E-8</v>
      </c>
      <c r="O62" s="13">
        <f>'TUSD BE'!$O$62*'TUSD BE'!$O$70</f>
        <v>0</v>
      </c>
      <c r="P62" s="13">
        <f>'TUSD BE'!$P$62*'TUSD BE'!$P$70</f>
        <v>0</v>
      </c>
      <c r="Q62" s="13">
        <f>'TUSD BE'!$Q$62*'TUSD BE'!$Q$70</f>
        <v>0.9300653623661217</v>
      </c>
      <c r="R62" s="13">
        <f>'TUSD BE'!$R$62*'TUSD BE'!$R$70</f>
        <v>0.22170962675924177</v>
      </c>
      <c r="S62" s="13">
        <f>'TUSD BE'!$R$62*'TUSD BE'!$S$70</f>
        <v>0</v>
      </c>
      <c r="T62" s="13">
        <f ca="1">SUM($L$62:$S$62)</f>
        <v>1.086217421630685</v>
      </c>
      <c r="U62" s="13">
        <f>'TUSD BE'!$U$62*'TUSD BE'!$U$70</f>
        <v>-0.14223572129352621</v>
      </c>
      <c r="V62" s="13">
        <f>'TUSD BE'!$V$62*'TUSD BE'!$V$70</f>
        <v>-0.13122290463538469</v>
      </c>
      <c r="W62" s="13">
        <f>'TUSD BE'!$W$62*'TUSD BE'!$W$70</f>
        <v>0</v>
      </c>
      <c r="X62" s="13">
        <f>'TUSD BE'!$X$62*'TUSD BE'!$X$70</f>
        <v>0</v>
      </c>
      <c r="Y62" s="13">
        <f>'TUSD BE'!$Y$62*'TUSD BE'!$Y$70</f>
        <v>0</v>
      </c>
      <c r="Z62" s="13">
        <f>'TUSD BE'!$Z$62*'TUSD BE'!$Z$70</f>
        <v>0</v>
      </c>
      <c r="AA62" s="13">
        <f>'TUSD BE'!$AA$62*'TUSD BE'!$AA$70</f>
        <v>0</v>
      </c>
      <c r="AB62" s="13">
        <f>SUM($U$62:$AA$62)</f>
        <v>-0.2734586259289109</v>
      </c>
      <c r="AC62" s="13">
        <f>'TUSD BE'!$AC$62*'TUSD BE'!$AC$70</f>
        <v>0</v>
      </c>
      <c r="AD62" s="13">
        <f>SUM($AC$62:$AC$62)</f>
        <v>0</v>
      </c>
      <c r="AE62" s="13">
        <f ca="1">$AO$62*$AO$67</f>
        <v>-10.909239579581625</v>
      </c>
      <c r="AF62" s="13">
        <f ca="1">$AP$62*$AP$67</f>
        <v>0</v>
      </c>
      <c r="AG62" s="13">
        <f ca="1">SUM($AE$62:$AF$62)</f>
        <v>-10.909239579581625</v>
      </c>
      <c r="AH62" s="13">
        <f>'TUSD BE'!$AH$62*'TUSD BE'!$AH$70</f>
        <v>1.0778974874197833</v>
      </c>
      <c r="AI62" s="13">
        <f>'TUSD BE'!$AI$62*'TUSD BE'!$AI$70</f>
        <v>3.1718527228550217E-2</v>
      </c>
      <c r="AJ62" s="13">
        <f ca="1">'TUSD BE'!$AJ$62*'TUSD BE'!$AJ$70</f>
        <v>7.2320241813040573E-2</v>
      </c>
      <c r="AK62" s="13">
        <f ca="1">'TUSD BE'!$AK$62*'TUSD BE'!$AK$70</f>
        <v>-1.7775098347755734E-2</v>
      </c>
      <c r="AL62" s="13">
        <f ca="1">SUM($AH$62:$AK$62)</f>
        <v>1.1641611581136184</v>
      </c>
      <c r="AM62" s="13">
        <f ca="1">SUMIF($L$4:$AL$4,"SUBTOTAL",$L$62:$AL$62)+AZ62</f>
        <v>-62.599368763327355</v>
      </c>
      <c r="AO62" s="20">
        <f ca="1">+'TUSD BE'!$T$62+'TUSD BE'!$AB$62+'TUSD BE'!$AD$62+'TUSD BE'!$AL$62</f>
        <v>252.53732989053927</v>
      </c>
      <c r="AP62" s="20">
        <f ca="1">+'TUSD BE'!$T$62+'TUSD BE'!$AB$62+'TUSD BE'!$AD$62+'TUSD BE'!$AL$62</f>
        <v>252.53732989053927</v>
      </c>
      <c r="AQ62" s="9" t="str">
        <f t="shared" si="7"/>
        <v>B4</v>
      </c>
      <c r="AR62" s="9" t="str">
        <f t="shared" si="8"/>
        <v>Convencional</v>
      </c>
      <c r="AS62" s="9" t="str">
        <f t="shared" si="9"/>
        <v>Iluminação pública</v>
      </c>
      <c r="AT62" s="9" t="str">
        <f t="shared" si="10"/>
        <v>Iluminação pública – B4a</v>
      </c>
      <c r="AU62" s="9" t="str">
        <f t="shared" si="11"/>
        <v>Não se aplica</v>
      </c>
      <c r="AV62" s="9">
        <f t="shared" si="12"/>
        <v>1</v>
      </c>
      <c r="AW62" s="9">
        <f ca="1">TarifaMedia!$G$36</f>
        <v>1</v>
      </c>
      <c r="AX62" s="15">
        <f ca="1">'TUSD BE'!$AM62+'TUSD BF'!$AM62+'TUSD CVA'!$AM62</f>
        <v>265.13704913756112</v>
      </c>
      <c r="AY62" s="9">
        <v>211.47</v>
      </c>
      <c r="AZ62" s="9">
        <f t="shared" ca="1" si="13"/>
        <v>-53.667049137561122</v>
      </c>
      <c r="BC62" s="80" t="s">
        <v>959</v>
      </c>
    </row>
    <row r="63" spans="1:55" ht="11.25" customHeight="1" x14ac:dyDescent="0.3">
      <c r="A63" s="137"/>
      <c r="B63" s="137"/>
      <c r="C63" s="137"/>
      <c r="D63" s="18" t="s">
        <v>96</v>
      </c>
      <c r="E63" s="18" t="s">
        <v>25</v>
      </c>
      <c r="F63" s="18" t="s">
        <v>25</v>
      </c>
      <c r="G63" s="18" t="s">
        <v>83</v>
      </c>
      <c r="H63" s="18" t="s">
        <v>79</v>
      </c>
      <c r="I63" s="18">
        <f>'MERCADO TUSD'!$U$60</f>
        <v>0</v>
      </c>
      <c r="J63" s="15"/>
      <c r="L63" s="13">
        <f>'TUSD BE'!$L$63*'TUSD BE'!$L$70</f>
        <v>-7.4368648510999127E-2</v>
      </c>
      <c r="M63" s="13">
        <f>'TUSD BE'!$M$63*'TUSD BE'!$M$70</f>
        <v>2.8512637452958053E-3</v>
      </c>
      <c r="N63" s="13">
        <f ca="1">'TUSD BE'!$N$63*'TUSD BE'!$N$70</f>
        <v>3.8407872378939341E-8</v>
      </c>
      <c r="O63" s="13">
        <f>'TUSD BE'!$O$63*'TUSD BE'!$O$70</f>
        <v>0</v>
      </c>
      <c r="P63" s="13">
        <f>'TUSD BE'!$P$63*'TUSD BE'!$P$70</f>
        <v>0</v>
      </c>
      <c r="Q63" s="13">
        <f>'TUSD BE'!$Q$63*'TUSD BE'!$Q$70</f>
        <v>1.01461675894486</v>
      </c>
      <c r="R63" s="13">
        <f>'TUSD BE'!$R$63*'TUSD BE'!$R$70</f>
        <v>0.24186504737371831</v>
      </c>
      <c r="S63" s="13">
        <f>'TUSD BE'!$R$63*'TUSD BE'!$S$70</f>
        <v>0</v>
      </c>
      <c r="T63" s="13">
        <f ca="1">SUM($L$63:$S$63)</f>
        <v>1.1849644599607474</v>
      </c>
      <c r="U63" s="13">
        <f>'TUSD BE'!$U$63*'TUSD BE'!$U$70</f>
        <v>-0.15516624141111945</v>
      </c>
      <c r="V63" s="13">
        <f>'TUSD BE'!$V$63*'TUSD BE'!$V$70</f>
        <v>-0.14315225960223785</v>
      </c>
      <c r="W63" s="13">
        <f>'TUSD BE'!$W$63*'TUSD BE'!$W$70</f>
        <v>0</v>
      </c>
      <c r="X63" s="13">
        <f>'TUSD BE'!$X$63*'TUSD BE'!$X$70</f>
        <v>0</v>
      </c>
      <c r="Y63" s="13">
        <f>'TUSD BE'!$Y$63*'TUSD BE'!$Y$70</f>
        <v>0</v>
      </c>
      <c r="Z63" s="13">
        <f>'TUSD BE'!$Z$63*'TUSD BE'!$Z$70</f>
        <v>0</v>
      </c>
      <c r="AA63" s="13">
        <f>'TUSD BE'!$AA$63*'TUSD BE'!$AA$70</f>
        <v>0</v>
      </c>
      <c r="AB63" s="13">
        <f>SUM($U$63:$AA$63)</f>
        <v>-0.29831850101335733</v>
      </c>
      <c r="AC63" s="13">
        <f>'TUSD BE'!$AC$63*'TUSD BE'!$AC$70</f>
        <v>0</v>
      </c>
      <c r="AD63" s="13">
        <f>SUM($AC$63:$AC$63)</f>
        <v>0</v>
      </c>
      <c r="AE63" s="13">
        <f ca="1">$AO$63*$AO$67</f>
        <v>-11.900988632270863</v>
      </c>
      <c r="AF63" s="13">
        <f ca="1">$AP$63*$AP$67</f>
        <v>0</v>
      </c>
      <c r="AG63" s="13">
        <f ca="1">SUM($AE$63:$AF$63)</f>
        <v>-11.900988632270863</v>
      </c>
      <c r="AH63" s="13">
        <f>'TUSD BE'!$AH$63*'TUSD BE'!$AH$70</f>
        <v>1.175888168094309</v>
      </c>
      <c r="AI63" s="13">
        <f>'TUSD BE'!$AI$63*'TUSD BE'!$AI$70</f>
        <v>3.4602029703872966E-2</v>
      </c>
      <c r="AJ63" s="13">
        <f ca="1">'TUSD BE'!$AJ$63*'TUSD BE'!$AJ$70</f>
        <v>7.8894809250589712E-2</v>
      </c>
      <c r="AK63" s="13">
        <f ca="1">'TUSD BE'!$AK$63*'TUSD BE'!$AK$70</f>
        <v>-1.9391016379369887E-2</v>
      </c>
      <c r="AL63" s="13">
        <f ca="1">SUM($AH$63:$AK$63)</f>
        <v>1.2699939906694018</v>
      </c>
      <c r="AM63" s="13">
        <f ca="1">SUMIF($L$4:$AL$4,"SUBTOTAL",$L$63:$AL$63)+AZ63</f>
        <v>-68.294765923629853</v>
      </c>
      <c r="AO63" s="20">
        <f ca="1">+'TUSD BE'!$T$63+'TUSD BE'!$AB$63+'TUSD BE'!$AD$63+'TUSD BE'!$AL$63</f>
        <v>275.49526897149735</v>
      </c>
      <c r="AP63" s="20">
        <f ca="1">+'TUSD BE'!$T$63+'TUSD BE'!$AB$63+'TUSD BE'!$AD$63+'TUSD BE'!$AL$63</f>
        <v>275.49526897149735</v>
      </c>
      <c r="AQ63" s="9" t="str">
        <f t="shared" si="7"/>
        <v>B4</v>
      </c>
      <c r="AR63" s="9" t="str">
        <f t="shared" si="8"/>
        <v>Convencional</v>
      </c>
      <c r="AS63" s="9" t="str">
        <f t="shared" si="9"/>
        <v>Iluminação pública</v>
      </c>
      <c r="AT63" s="9" t="str">
        <f t="shared" si="10"/>
        <v>Iluminação pública – B4b</v>
      </c>
      <c r="AU63" s="9" t="str">
        <f t="shared" si="11"/>
        <v>Não se aplica</v>
      </c>
      <c r="AV63" s="9">
        <f t="shared" si="12"/>
        <v>1</v>
      </c>
      <c r="AW63" s="9">
        <f ca="1">TarifaMedia!$G$36</f>
        <v>1</v>
      </c>
      <c r="AX63" s="15">
        <f ca="1">'TUSD BE'!$AM63+'TUSD BF'!$AM63+'TUSD CVA'!$AM63</f>
        <v>289.24041724097577</v>
      </c>
      <c r="AY63" s="9">
        <v>230.69</v>
      </c>
      <c r="AZ63" s="9">
        <f t="shared" ca="1" si="13"/>
        <v>-58.550417240975776</v>
      </c>
      <c r="BC63" s="80" t="s">
        <v>960</v>
      </c>
    </row>
    <row r="65" spans="11:42" ht="11.25" customHeight="1" x14ac:dyDescent="0.3">
      <c r="K65" s="16" t="s">
        <v>725</v>
      </c>
      <c r="L65" s="13">
        <f>SUMPRODUCT($I$5:$I63,$L$5:$L63)</f>
        <v>-14425.698031375883</v>
      </c>
      <c r="M65" s="13">
        <f>SUMPRODUCT($I$5:$I63,$M$5:$M63)</f>
        <v>541.06265072350482</v>
      </c>
      <c r="N65" s="13">
        <f ca="1">SUMPRODUCT($I$5:$I63,$N$5:$N63)</f>
        <v>6.7265974004737253E-3</v>
      </c>
      <c r="O65" s="13">
        <f>SUMPRODUCT($I$5:$I63,$O$5:$O63)</f>
        <v>0</v>
      </c>
      <c r="P65" s="13">
        <f>SUMPRODUCT($I$5:$I63,$P$5:$P63)</f>
        <v>0</v>
      </c>
      <c r="Q65" s="13">
        <f>SUMPRODUCT($I$5:$I63,$Q$5:$Q63)</f>
        <v>196810.82385068623</v>
      </c>
      <c r="R65" s="13">
        <f>SUMPRODUCT($I$5:$I63,$R$5:$R63)</f>
        <v>48819.572107194901</v>
      </c>
      <c r="S65" s="13">
        <f>SUMPRODUCT($I$5:$I63,$S$5:$S63)</f>
        <v>0</v>
      </c>
      <c r="T65" s="13">
        <f ca="1">SUMPRODUCT($I$5:$I63,$T$5:$T63)</f>
        <v>231745.76730382608</v>
      </c>
      <c r="U65" s="13">
        <f>SUMPRODUCT($I$5:$I63,$U$5:$U63)</f>
        <v>-31105.252549044435</v>
      </c>
      <c r="V65" s="13">
        <f>SUMPRODUCT($I$5:$I63,$V$5:$V63)</f>
        <v>-28744.987272467522</v>
      </c>
      <c r="W65" s="13">
        <f>SUMPRODUCT($I$5:$I63,$W$5:$W63)</f>
        <v>0</v>
      </c>
      <c r="X65" s="13">
        <f>SUMPRODUCT($I$5:$I63,$X$5:$X63)</f>
        <v>0</v>
      </c>
      <c r="Y65" s="13">
        <f>SUMPRODUCT($I$5:$I63,$Y$5:$Y63)</f>
        <v>0</v>
      </c>
      <c r="Z65" s="13">
        <f>SUMPRODUCT($I$5:$I63,$Z$5:$Z63)</f>
        <v>0</v>
      </c>
      <c r="AA65" s="13">
        <f>SUMPRODUCT($I$5:$I63,$AA$5:$AA63)</f>
        <v>0</v>
      </c>
      <c r="AB65" s="13">
        <f>SUMPRODUCT($I$5:$I63,$AB$5:$AB63)</f>
        <v>-59850.239821511968</v>
      </c>
      <c r="AC65" s="13">
        <f>SUMPRODUCT($I$5:$I63,$AC$5:$AC63)</f>
        <v>0</v>
      </c>
      <c r="AD65" s="13">
        <f>SUMPRODUCT($I$5:$I63,$AD$5:$AD63)</f>
        <v>0</v>
      </c>
      <c r="AE65" s="13">
        <f ca="1">SUMPRODUCT($I$5:$I63,$AE$5:$AE63)</f>
        <v>-2279498.7846037229</v>
      </c>
      <c r="AF65" s="13">
        <f ca="1">SUMPRODUCT($I$5:$I63,$AF$5:$AF63)</f>
        <v>0</v>
      </c>
      <c r="AG65" s="13">
        <f ca="1">SUMPRODUCT($I$5:$I63,$AG$5:$AG63)</f>
        <v>-2279498.7846037229</v>
      </c>
      <c r="AH65" s="13">
        <f>SUMPRODUCT($I$5:$I63,$AH$5:$AH63)</f>
        <v>217797.28994568804</v>
      </c>
      <c r="AI65" s="13">
        <f>SUMPRODUCT($I$5:$I63,$AI$5:$AI63)</f>
        <v>6408.3710519750439</v>
      </c>
      <c r="AJ65" s="13">
        <f ca="1">SUMPRODUCT($I$5:$I63,$AJ$5:$AJ63)</f>
        <v>15254.588336107563</v>
      </c>
      <c r="AK65" s="13">
        <f ca="1">SUMPRODUCT($I$5:$I63,$AK$5:$AK63)</f>
        <v>-3749.3210909030181</v>
      </c>
      <c r="AL65" s="13">
        <f ca="1">SUMPRODUCT($I$5:$I63,$AL$5:$AL63)</f>
        <v>235710.92824286755</v>
      </c>
      <c r="AM65" s="13">
        <f ca="1">SUMPRODUCT($I$5:$I63,$AM$5:$AM63)</f>
        <v>-11218076.453751011</v>
      </c>
      <c r="AO65" s="18">
        <f ca="1">SUMPRODUCT($I$5:$I63,$AO$5:$AO63)</f>
        <v>52767980.055180945</v>
      </c>
      <c r="AP65" s="18">
        <f ca="1">SUMPRODUCT($I$5:$I63,$AP$5:$AP63)</f>
        <v>52767980.055180945</v>
      </c>
    </row>
    <row r="66" spans="11:42" ht="11.25" customHeight="1" x14ac:dyDescent="0.3">
      <c r="K66" s="16" t="s">
        <v>657</v>
      </c>
      <c r="L66" s="13">
        <f>'TR TUSD'!$L$68</f>
        <v>1551829.9039835632</v>
      </c>
      <c r="M66" s="13">
        <f>'TR TUSD'!$M$68</f>
        <v>115619.58079800264</v>
      </c>
      <c r="N66" s="13">
        <f>'TR TUSD'!$N$68</f>
        <v>392972.65161152824</v>
      </c>
      <c r="O66" s="13">
        <f>'TR TUSD'!$O$68</f>
        <v>0</v>
      </c>
      <c r="P66" s="13">
        <f>'TR TUSD'!$P$68</f>
        <v>0</v>
      </c>
      <c r="Q66" s="13">
        <f>'TR TUSD'!$Q$68</f>
        <v>10880845.732772296</v>
      </c>
      <c r="R66" s="13">
        <f>'TR TUSD'!$R$68</f>
        <v>1792323.8549367813</v>
      </c>
      <c r="S66" s="13">
        <f>'TR TUSD'!$S$68</f>
        <v>0</v>
      </c>
      <c r="T66" s="13">
        <f>'TR TUSD'!$T$68</f>
        <v>14733591.724102173</v>
      </c>
      <c r="U66" s="13">
        <f>'TR TUSD'!$U$68</f>
        <v>4617355</v>
      </c>
      <c r="V66" s="13">
        <f>'TR TUSD'!$V$68</f>
        <v>2192014.5200000005</v>
      </c>
      <c r="W66" s="13">
        <f>'TR TUSD'!$W$68</f>
        <v>0</v>
      </c>
      <c r="X66" s="13">
        <f>'TR TUSD'!$X$68</f>
        <v>0</v>
      </c>
      <c r="Y66" s="13">
        <f>'TR TUSD'!$Y$68</f>
        <v>0</v>
      </c>
      <c r="Z66" s="13">
        <f>'TR TUSD'!$Z$68</f>
        <v>0</v>
      </c>
      <c r="AA66" s="13">
        <f>'TR TUSD'!$AA$68</f>
        <v>0</v>
      </c>
      <c r="AB66" s="13">
        <f>'TR TUSD'!$AB$68</f>
        <v>6809369.5200000005</v>
      </c>
      <c r="AC66" s="13">
        <f>'TR TUSD'!$AC$68</f>
        <v>28301549.061569352</v>
      </c>
      <c r="AD66" s="13">
        <f>'TR TUSD'!$AD$68</f>
        <v>28301549.061569352</v>
      </c>
      <c r="AE66" s="13">
        <f>'TR TUSD'!$AE$68</f>
        <v>0</v>
      </c>
      <c r="AF66" s="13">
        <f>'TR TUSD'!$AF$68</f>
        <v>0</v>
      </c>
      <c r="AG66" s="13">
        <f>'TR TUSD'!$AG$68</f>
        <v>0</v>
      </c>
      <c r="AH66" s="13">
        <f>'TR TUSD'!$AH$68</f>
        <v>2615581.195068636</v>
      </c>
      <c r="AI66" s="13">
        <f>'TR TUSD'!$AI$68</f>
        <v>76959.703303691102</v>
      </c>
      <c r="AJ66" s="13">
        <f>'TR TUSD'!$AJ$68</f>
        <v>183196.10129394187</v>
      </c>
      <c r="AK66" s="13">
        <f>'TR TUSD'!$AK$68</f>
        <v>47732.749843158228</v>
      </c>
      <c r="AL66" s="13">
        <f>'TR TUSD'!$AL$68</f>
        <v>2923469.7495094272</v>
      </c>
      <c r="AM66" s="13">
        <f>'TUSD BE'!$AM$66</f>
        <v>52767980.055180952</v>
      </c>
      <c r="AO66" s="18">
        <f>$AE$67</f>
        <v>-2279498.7846037233</v>
      </c>
      <c r="AP66" s="18">
        <f>$AF$67</f>
        <v>0</v>
      </c>
    </row>
    <row r="67" spans="11:42" ht="11.25" customHeight="1" x14ac:dyDescent="0.3">
      <c r="K67" s="16" t="s">
        <v>658</v>
      </c>
      <c r="L67" s="13">
        <f>CUSTOS!$E$2</f>
        <v>-14425.698031375883</v>
      </c>
      <c r="M67" s="13">
        <f>CUSTOS!$E$3</f>
        <v>541.0626507235047</v>
      </c>
      <c r="N67" s="13">
        <f>CUSTOS!$E$4</f>
        <v>6.7265974004737262E-3</v>
      </c>
      <c r="O67" s="13">
        <f>CUSTOS!$E$5</f>
        <v>0</v>
      </c>
      <c r="P67" s="13">
        <f>CUSTOS!$E$6</f>
        <v>0</v>
      </c>
      <c r="Q67" s="13">
        <f>CUSTOS!$E$7</f>
        <v>196810.8238506862</v>
      </c>
      <c r="R67" s="13">
        <f>CUSTOS!$E$8</f>
        <v>48819.572107194923</v>
      </c>
      <c r="S67" s="13">
        <f>CUSTOS!$E$9</f>
        <v>0</v>
      </c>
      <c r="T67" s="13">
        <f>CUSTOS!$E$10</f>
        <v>231745.76730382614</v>
      </c>
      <c r="U67" s="13">
        <f>CUSTOS!$E$11</f>
        <v>-31105.252549044439</v>
      </c>
      <c r="V67" s="13">
        <f>CUSTOS!$E$12</f>
        <v>-28744.987272467522</v>
      </c>
      <c r="W67" s="13">
        <f>CUSTOS!$E$13</f>
        <v>0</v>
      </c>
      <c r="X67" s="13">
        <f>CUSTOS!$E$14</f>
        <v>0</v>
      </c>
      <c r="Y67" s="13">
        <f>CUSTOS!$E$15</f>
        <v>0</v>
      </c>
      <c r="Z67" s="13">
        <f>CUSTOS!$E$16</f>
        <v>0</v>
      </c>
      <c r="AA67" s="13">
        <f>CUSTOS!$E$17</f>
        <v>0</v>
      </c>
      <c r="AB67" s="13">
        <f>CUSTOS!$E$18</f>
        <v>-59850.239821511961</v>
      </c>
      <c r="AC67" s="13">
        <f>CUSTOS!$E$19</f>
        <v>0</v>
      </c>
      <c r="AD67" s="13">
        <f>CUSTOS!$E$20</f>
        <v>0</v>
      </c>
      <c r="AE67" s="13">
        <f>CUSTOS!$E$21</f>
        <v>-2279498.7846037233</v>
      </c>
      <c r="AF67" s="13">
        <f>CUSTOS!$E$22</f>
        <v>0</v>
      </c>
      <c r="AG67" s="13">
        <f>CUSTOS!$E$23</f>
        <v>-2279498.7846037233</v>
      </c>
      <c r="AH67" s="13">
        <f>CUSTOS!$E$24</f>
        <v>217797.28994568801</v>
      </c>
      <c r="AI67" s="13">
        <f>CUSTOS!$E$25</f>
        <v>6408.371051975043</v>
      </c>
      <c r="AJ67" s="13">
        <f>CUSTOS!$E$26</f>
        <v>15254.588336107561</v>
      </c>
      <c r="AK67" s="13">
        <f>CUSTOS!$E$27</f>
        <v>-3749.3210909030186</v>
      </c>
      <c r="AL67" s="13">
        <f>CUSTOS!$E$28</f>
        <v>235710.92824286758</v>
      </c>
      <c r="AM67" s="13">
        <f>CUSTOS!$E$29</f>
        <v>-1871892.3288785417</v>
      </c>
      <c r="AO67" s="18">
        <f ca="1">IF(AO65&lt;&gt;0,AO66/AO65,0)</f>
        <v>-4.3198522706762471E-2</v>
      </c>
      <c r="AP67" s="18">
        <f ca="1">IF(AP65&lt;&gt;0,AP66/AP65,0)</f>
        <v>0</v>
      </c>
    </row>
    <row r="68" spans="11:42" ht="11.25" customHeight="1" x14ac:dyDescent="0.3">
      <c r="K68" s="16" t="s">
        <v>659</v>
      </c>
      <c r="L68" s="13">
        <f>CUSTOS!$F$2</f>
        <v>107454.95932846866</v>
      </c>
      <c r="M68" s="13">
        <f>CUSTOS!$F$3</f>
        <v>0</v>
      </c>
      <c r="N68" s="13">
        <f>CUSTOS!$F$4</f>
        <v>0</v>
      </c>
      <c r="O68" s="13">
        <f>CUSTOS!$F$5</f>
        <v>0</v>
      </c>
      <c r="P68" s="13">
        <f>CUSTOS!$F$6</f>
        <v>0</v>
      </c>
      <c r="Q68" s="13">
        <f>CUSTOS!$F$7</f>
        <v>3370480.3417000002</v>
      </c>
      <c r="R68" s="13">
        <f>CUSTOS!$F$8</f>
        <v>637363.97290000005</v>
      </c>
      <c r="S68" s="13">
        <f>CUSTOS!$F$9</f>
        <v>0</v>
      </c>
      <c r="T68" s="13">
        <f>CUSTOS!$F$10</f>
        <v>4115299.2739284686</v>
      </c>
      <c r="U68" s="13">
        <f>CUSTOS!$F$11</f>
        <v>434116.13274168264</v>
      </c>
      <c r="V68" s="13">
        <f>CUSTOS!$F$12</f>
        <v>206089.60461909813</v>
      </c>
      <c r="W68" s="13">
        <f>CUSTOS!$F$13</f>
        <v>0</v>
      </c>
      <c r="X68" s="13">
        <f>CUSTOS!$F$14</f>
        <v>0</v>
      </c>
      <c r="Y68" s="13">
        <f>CUSTOS!$F$15</f>
        <v>0</v>
      </c>
      <c r="Z68" s="13">
        <f>CUSTOS!$F$16</f>
        <v>0</v>
      </c>
      <c r="AA68" s="13">
        <f>CUSTOS!$F$17</f>
        <v>0</v>
      </c>
      <c r="AB68" s="13">
        <f>CUSTOS!$F$18</f>
        <v>640205.73736078083</v>
      </c>
      <c r="AC68" s="13">
        <f>CUSTOS!$F$19</f>
        <v>0</v>
      </c>
      <c r="AD68" s="13">
        <f>CUSTOS!$F$20</f>
        <v>0</v>
      </c>
      <c r="AE68" s="13">
        <f>CUSTOS!$F$21</f>
        <v>0</v>
      </c>
      <c r="AF68" s="13">
        <f>CUSTOS!$F$22</f>
        <v>0</v>
      </c>
      <c r="AG68" s="13">
        <f>CUSTOS!$F$23</f>
        <v>0</v>
      </c>
      <c r="AH68" s="13">
        <f>CUSTOS!$F$24</f>
        <v>-133415.26963667042</v>
      </c>
      <c r="AI68" s="13">
        <f>CUSTOS!$F$25</f>
        <v>-3925.5518378777251</v>
      </c>
      <c r="AJ68" s="13">
        <f>CUSTOS!$F$26</f>
        <v>-9344.4460055757027</v>
      </c>
      <c r="AK68" s="13">
        <f>CUSTOS!$F$27</f>
        <v>0</v>
      </c>
      <c r="AL68" s="13">
        <f>CUSTOS!$F$28</f>
        <v>-146685.26748012385</v>
      </c>
      <c r="AM68" s="13">
        <f>CUSTOS!$F$29</f>
        <v>4608819.7438091254</v>
      </c>
    </row>
    <row r="69" spans="11:42" ht="11.25" customHeight="1" x14ac:dyDescent="0.3">
      <c r="K69" s="16" t="s">
        <v>722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f>SUM($L$69:$S$69)</f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f>SUM($U$69:$AA$69)</f>
        <v>0</v>
      </c>
      <c r="AC69" s="13">
        <v>0</v>
      </c>
      <c r="AD69" s="13">
        <f>SUM($AC$69:$AC$69)</f>
        <v>0</v>
      </c>
      <c r="AE69" s="13">
        <v>0</v>
      </c>
      <c r="AF69" s="13">
        <v>0</v>
      </c>
      <c r="AG69" s="13">
        <f>SUM($AE$69:$AF$69)</f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f>SUM($AH$69:$AK$69)</f>
        <v>0</v>
      </c>
      <c r="AM69" s="13"/>
    </row>
    <row r="70" spans="11:42" ht="11.25" customHeight="1" x14ac:dyDescent="0.3">
      <c r="K70" s="16" t="s">
        <v>734</v>
      </c>
      <c r="L70" s="13">
        <f t="shared" ref="L70:R70" si="14">IF((L66-(0))&lt;&gt;0,(L68)/(L66-(0)),0)</f>
        <v>6.924403187013646E-2</v>
      </c>
      <c r="M70" s="13">
        <f t="shared" si="14"/>
        <v>0</v>
      </c>
      <c r="N70" s="13">
        <f t="shared" si="14"/>
        <v>0</v>
      </c>
      <c r="O70" s="13">
        <f t="shared" si="14"/>
        <v>0</v>
      </c>
      <c r="P70" s="13">
        <f t="shared" si="14"/>
        <v>0</v>
      </c>
      <c r="Q70" s="13">
        <f t="shared" si="14"/>
        <v>0.30976271739138483</v>
      </c>
      <c r="R70" s="13">
        <f t="shared" si="14"/>
        <v>0.35560759354089</v>
      </c>
      <c r="S70" s="13">
        <f>IF((R65-(0)&lt;&gt;0),(S67)/(R65-(0)),0)</f>
        <v>0</v>
      </c>
      <c r="T70" s="13"/>
      <c r="U70" s="13">
        <f t="shared" ref="U70:AA70" si="15">IF((U66-(0))&lt;&gt;0,(U68)/(U66-(0)),0)</f>
        <v>9.4018357423607812E-2</v>
      </c>
      <c r="V70" s="13">
        <f t="shared" si="15"/>
        <v>9.4018357423607798E-2</v>
      </c>
      <c r="W70" s="13">
        <f t="shared" si="15"/>
        <v>0</v>
      </c>
      <c r="X70" s="13">
        <f t="shared" si="15"/>
        <v>0</v>
      </c>
      <c r="Y70" s="13">
        <f t="shared" si="15"/>
        <v>0</v>
      </c>
      <c r="Z70" s="13">
        <f t="shared" si="15"/>
        <v>0</v>
      </c>
      <c r="AA70" s="13">
        <f t="shared" si="15"/>
        <v>0</v>
      </c>
      <c r="AB70" s="13"/>
      <c r="AC70" s="13">
        <f>IF((AC66-(0))&lt;&gt;0,(AC68)/(AC66-(0)),0)</f>
        <v>0</v>
      </c>
      <c r="AD70" s="13"/>
      <c r="AE70" s="13">
        <f ca="1">IF(($AM65-(0))&lt;&gt;0,(AE67)/($AM65-(0)),0)</f>
        <v>0.20319872074338757</v>
      </c>
      <c r="AF70" s="13">
        <f ca="1">IF(($AM65-(0))&lt;&gt;0,(AF67)/($AM65-(0)),0)</f>
        <v>0</v>
      </c>
      <c r="AG70" s="13"/>
      <c r="AH70" s="13">
        <f>IF((AH66-(0))&lt;&gt;0,(AH68)/(AH66-(0)),0)</f>
        <v>-5.100788684679676E-2</v>
      </c>
      <c r="AI70" s="13">
        <f>IF((AI66-(0))&lt;&gt;0,(AI68)/(AI66-(0)),0)</f>
        <v>-5.1007886846796739E-2</v>
      </c>
      <c r="AJ70" s="13">
        <f>IF((AJ66-(0))&lt;&gt;0,(AJ68)/(AJ66-(0)),0)</f>
        <v>-5.1007886846796753E-2</v>
      </c>
      <c r="AK70" s="13">
        <f>IF((AK66-(0))&lt;&gt;0,(AK68)/(AK66-(0)),0)</f>
        <v>0</v>
      </c>
      <c r="AL70" s="13"/>
      <c r="AM70" s="13"/>
    </row>
  </sheetData>
  <mergeCells count="102">
    <mergeCell ref="AX1:AX4"/>
    <mergeCell ref="AY1:AY4"/>
    <mergeCell ref="AZ1:AZ4"/>
    <mergeCell ref="BC1:BC4"/>
    <mergeCell ref="AR1:AR4"/>
    <mergeCell ref="AS1:AS4"/>
    <mergeCell ref="AT1:AT4"/>
    <mergeCell ref="AU1:AU4"/>
    <mergeCell ref="AV1:AV4"/>
    <mergeCell ref="AW1:AW4"/>
    <mergeCell ref="E57:E59"/>
    <mergeCell ref="F57:F59"/>
    <mergeCell ref="A62:A63"/>
    <mergeCell ref="B62:B63"/>
    <mergeCell ref="C62:C63"/>
    <mergeCell ref="AQ1:AQ4"/>
    <mergeCell ref="B54:B56"/>
    <mergeCell ref="C54:C56"/>
    <mergeCell ref="A57:A61"/>
    <mergeCell ref="B57:B59"/>
    <mergeCell ref="C57:C59"/>
    <mergeCell ref="D57:D59"/>
    <mergeCell ref="F46:F48"/>
    <mergeCell ref="B50:B52"/>
    <mergeCell ref="C50:C52"/>
    <mergeCell ref="D50:D52"/>
    <mergeCell ref="E50:E52"/>
    <mergeCell ref="F50:F52"/>
    <mergeCell ref="A42:A56"/>
    <mergeCell ref="B42:B44"/>
    <mergeCell ref="C42:C44"/>
    <mergeCell ref="D42:D44"/>
    <mergeCell ref="E42:E44"/>
    <mergeCell ref="F42:F44"/>
    <mergeCell ref="B46:B48"/>
    <mergeCell ref="C46:C48"/>
    <mergeCell ref="D46:D48"/>
    <mergeCell ref="E46:E48"/>
    <mergeCell ref="E29:E31"/>
    <mergeCell ref="F29:F31"/>
    <mergeCell ref="B32:B36"/>
    <mergeCell ref="C32:C36"/>
    <mergeCell ref="B37:B41"/>
    <mergeCell ref="C37:C41"/>
    <mergeCell ref="A27:A28"/>
    <mergeCell ref="B27:B28"/>
    <mergeCell ref="C27:C28"/>
    <mergeCell ref="D27:D28"/>
    <mergeCell ref="A29:A41"/>
    <mergeCell ref="B29:B31"/>
    <mergeCell ref="C29:C31"/>
    <mergeCell ref="D29:D31"/>
    <mergeCell ref="F17:F19"/>
    <mergeCell ref="B22:B26"/>
    <mergeCell ref="C22:C26"/>
    <mergeCell ref="D22:D26"/>
    <mergeCell ref="E22:E24"/>
    <mergeCell ref="F22:F24"/>
    <mergeCell ref="E25:E26"/>
    <mergeCell ref="F25:F26"/>
    <mergeCell ref="A17:A26"/>
    <mergeCell ref="B17:B20"/>
    <mergeCell ref="C17:C20"/>
    <mergeCell ref="D17:D20"/>
    <mergeCell ref="E17:E19"/>
    <mergeCell ref="A5:A16"/>
    <mergeCell ref="B5:B8"/>
    <mergeCell ref="B10:B14"/>
    <mergeCell ref="C10:C14"/>
    <mergeCell ref="D10:D14"/>
    <mergeCell ref="E10:E12"/>
    <mergeCell ref="E13:E14"/>
    <mergeCell ref="C5:C8"/>
    <mergeCell ref="D5:D8"/>
    <mergeCell ref="E5:E7"/>
    <mergeCell ref="AP1:AP4"/>
    <mergeCell ref="L2:AM2"/>
    <mergeCell ref="L3:T3"/>
    <mergeCell ref="U3:AB3"/>
    <mergeCell ref="AC3:AD3"/>
    <mergeCell ref="B15:B16"/>
    <mergeCell ref="C15:C16"/>
    <mergeCell ref="D15:D16"/>
    <mergeCell ref="E15:E16"/>
    <mergeCell ref="F15:F16"/>
    <mergeCell ref="F10:F12"/>
    <mergeCell ref="F13:F14"/>
    <mergeCell ref="F5:F7"/>
    <mergeCell ref="A1:A4"/>
    <mergeCell ref="B1:B4"/>
    <mergeCell ref="C1:C4"/>
    <mergeCell ref="D1:D4"/>
    <mergeCell ref="E1:E4"/>
    <mergeCell ref="F1:F4"/>
    <mergeCell ref="AE3:AG3"/>
    <mergeCell ref="AH3:AL3"/>
    <mergeCell ref="AM3:AM4"/>
    <mergeCell ref="G1:G4"/>
    <mergeCell ref="H1:H4"/>
    <mergeCell ref="I1:I4"/>
    <mergeCell ref="J1:J4"/>
    <mergeCell ref="L1:AM1"/>
  </mergeCells>
  <conditionalFormatting sqref="L65">
    <cfRule type="cellIs" dxfId="278" priority="55" operator="notEqual">
      <formula>$L$67</formula>
    </cfRule>
    <cfRule type="cellIs" dxfId="277" priority="56" operator="equal">
      <formula>$L$67</formula>
    </cfRule>
  </conditionalFormatting>
  <conditionalFormatting sqref="M65">
    <cfRule type="cellIs" dxfId="276" priority="53" operator="notEqual">
      <formula>$M$67</formula>
    </cfRule>
    <cfRule type="cellIs" dxfId="275" priority="54" operator="equal">
      <formula>$M$67</formula>
    </cfRule>
  </conditionalFormatting>
  <conditionalFormatting sqref="N65">
    <cfRule type="cellIs" dxfId="274" priority="51" operator="notEqual">
      <formula>$N$67</formula>
    </cfRule>
    <cfRule type="cellIs" dxfId="273" priority="52" operator="equal">
      <formula>$N$67</formula>
    </cfRule>
  </conditionalFormatting>
  <conditionalFormatting sqref="O65">
    <cfRule type="cellIs" dxfId="272" priority="49" operator="notEqual">
      <formula>$O$67</formula>
    </cfRule>
    <cfRule type="cellIs" dxfId="271" priority="50" operator="equal">
      <formula>$O$67</formula>
    </cfRule>
  </conditionalFormatting>
  <conditionalFormatting sqref="P65">
    <cfRule type="cellIs" dxfId="270" priority="47" operator="notEqual">
      <formula>$P$67</formula>
    </cfRule>
    <cfRule type="cellIs" dxfId="269" priority="48" operator="equal">
      <formula>$P$67</formula>
    </cfRule>
  </conditionalFormatting>
  <conditionalFormatting sqref="Q65">
    <cfRule type="cellIs" dxfId="268" priority="45" operator="notEqual">
      <formula>$Q$67</formula>
    </cfRule>
    <cfRule type="cellIs" dxfId="267" priority="46" operator="equal">
      <formula>$Q$67</formula>
    </cfRule>
  </conditionalFormatting>
  <conditionalFormatting sqref="R65">
    <cfRule type="cellIs" dxfId="266" priority="43" operator="notEqual">
      <formula>$R$67</formula>
    </cfRule>
    <cfRule type="cellIs" dxfId="265" priority="44" operator="equal">
      <formula>$R$67</formula>
    </cfRule>
  </conditionalFormatting>
  <conditionalFormatting sqref="S65">
    <cfRule type="cellIs" dxfId="264" priority="41" operator="notEqual">
      <formula>$S$67</formula>
    </cfRule>
    <cfRule type="cellIs" dxfId="263" priority="42" operator="equal">
      <formula>$S$67</formula>
    </cfRule>
  </conditionalFormatting>
  <conditionalFormatting sqref="T65">
    <cfRule type="cellIs" dxfId="262" priority="39" operator="notEqual">
      <formula>$T$67</formula>
    </cfRule>
    <cfRule type="cellIs" dxfId="261" priority="40" operator="equal">
      <formula>$T$67</formula>
    </cfRule>
  </conditionalFormatting>
  <conditionalFormatting sqref="U65">
    <cfRule type="cellIs" dxfId="260" priority="37" operator="notEqual">
      <formula>$U$67</formula>
    </cfRule>
    <cfRule type="cellIs" dxfId="259" priority="38" operator="equal">
      <formula>$U$67</formula>
    </cfRule>
  </conditionalFormatting>
  <conditionalFormatting sqref="V65">
    <cfRule type="cellIs" dxfId="258" priority="35" operator="notEqual">
      <formula>$V$67</formula>
    </cfRule>
    <cfRule type="cellIs" dxfId="257" priority="36" operator="equal">
      <formula>$V$67</formula>
    </cfRule>
  </conditionalFormatting>
  <conditionalFormatting sqref="W65">
    <cfRule type="cellIs" dxfId="256" priority="33" operator="notEqual">
      <formula>$W$67</formula>
    </cfRule>
    <cfRule type="cellIs" dxfId="255" priority="34" operator="equal">
      <formula>$W$67</formula>
    </cfRule>
  </conditionalFormatting>
  <conditionalFormatting sqref="X65">
    <cfRule type="cellIs" dxfId="254" priority="31" operator="notEqual">
      <formula>$X$67</formula>
    </cfRule>
    <cfRule type="cellIs" dxfId="253" priority="32" operator="equal">
      <formula>$X$67</formula>
    </cfRule>
  </conditionalFormatting>
  <conditionalFormatting sqref="Y65">
    <cfRule type="cellIs" dxfId="252" priority="29" operator="notEqual">
      <formula>$Y$67</formula>
    </cfRule>
    <cfRule type="cellIs" dxfId="251" priority="30" operator="equal">
      <formula>$Y$67</formula>
    </cfRule>
  </conditionalFormatting>
  <conditionalFormatting sqref="Z65">
    <cfRule type="cellIs" dxfId="250" priority="27" operator="notEqual">
      <formula>$Z$67</formula>
    </cfRule>
    <cfRule type="cellIs" dxfId="249" priority="28" operator="equal">
      <formula>$Z$67</formula>
    </cfRule>
  </conditionalFormatting>
  <conditionalFormatting sqref="AA65">
    <cfRule type="cellIs" dxfId="248" priority="25" operator="notEqual">
      <formula>$AA$67</formula>
    </cfRule>
    <cfRule type="cellIs" dxfId="247" priority="26" operator="equal">
      <formula>$AA$67</formula>
    </cfRule>
  </conditionalFormatting>
  <conditionalFormatting sqref="AB65">
    <cfRule type="cellIs" dxfId="246" priority="23" operator="notEqual">
      <formula>$AB$67</formula>
    </cfRule>
    <cfRule type="cellIs" dxfId="245" priority="24" operator="equal">
      <formula>$AB$67</formula>
    </cfRule>
  </conditionalFormatting>
  <conditionalFormatting sqref="AC65">
    <cfRule type="cellIs" dxfId="244" priority="21" operator="notEqual">
      <formula>$AC$67</formula>
    </cfRule>
    <cfRule type="cellIs" dxfId="243" priority="22" operator="equal">
      <formula>$AC$67</formula>
    </cfRule>
  </conditionalFormatting>
  <conditionalFormatting sqref="AD65">
    <cfRule type="cellIs" dxfId="242" priority="19" operator="notEqual">
      <formula>$AD$67</formula>
    </cfRule>
    <cfRule type="cellIs" dxfId="241" priority="20" operator="equal">
      <formula>$AD$67</formula>
    </cfRule>
  </conditionalFormatting>
  <conditionalFormatting sqref="AE65">
    <cfRule type="cellIs" dxfId="240" priority="17" operator="notEqual">
      <formula>$AE$67</formula>
    </cfRule>
    <cfRule type="cellIs" dxfId="239" priority="18" operator="equal">
      <formula>$AE$67</formula>
    </cfRule>
  </conditionalFormatting>
  <conditionalFormatting sqref="AF65">
    <cfRule type="cellIs" dxfId="238" priority="16" operator="equal">
      <formula>$AF$67</formula>
    </cfRule>
  </conditionalFormatting>
  <conditionalFormatting sqref="AF65">
    <cfRule type="cellIs" dxfId="237" priority="15" operator="notEqual">
      <formula>$AF$67</formula>
    </cfRule>
  </conditionalFormatting>
  <conditionalFormatting sqref="AG65">
    <cfRule type="cellIs" dxfId="236" priority="14" operator="equal">
      <formula>$AG$67</formula>
    </cfRule>
  </conditionalFormatting>
  <conditionalFormatting sqref="AG65">
    <cfRule type="cellIs" dxfId="235" priority="13" operator="notEqual">
      <formula>$AG$67</formula>
    </cfRule>
  </conditionalFormatting>
  <conditionalFormatting sqref="AH65">
    <cfRule type="cellIs" dxfId="234" priority="12" operator="equal">
      <formula>$AH$67</formula>
    </cfRule>
  </conditionalFormatting>
  <conditionalFormatting sqref="AH65">
    <cfRule type="cellIs" dxfId="233" priority="11" operator="notEqual">
      <formula>$AH$67</formula>
    </cfRule>
  </conditionalFormatting>
  <conditionalFormatting sqref="AI65">
    <cfRule type="cellIs" dxfId="232" priority="10" operator="equal">
      <formula>$AI$67</formula>
    </cfRule>
  </conditionalFormatting>
  <conditionalFormatting sqref="AI65">
    <cfRule type="cellIs" dxfId="231" priority="9" operator="notEqual">
      <formula>$AI$67</formula>
    </cfRule>
  </conditionalFormatting>
  <conditionalFormatting sqref="AJ65">
    <cfRule type="cellIs" dxfId="230" priority="8" operator="equal">
      <formula>$AJ$67</formula>
    </cfRule>
  </conditionalFormatting>
  <conditionalFormatting sqref="AJ65">
    <cfRule type="cellIs" dxfId="229" priority="7" operator="notEqual">
      <formula>$AJ$67</formula>
    </cfRule>
  </conditionalFormatting>
  <conditionalFormatting sqref="AK65">
    <cfRule type="cellIs" dxfId="228" priority="6" operator="equal">
      <formula>$AK$67</formula>
    </cfRule>
  </conditionalFormatting>
  <conditionalFormatting sqref="AK65">
    <cfRule type="cellIs" dxfId="227" priority="5" operator="notEqual">
      <formula>$AK$67</formula>
    </cfRule>
  </conditionalFormatting>
  <conditionalFormatting sqref="AL65">
    <cfRule type="cellIs" dxfId="226" priority="4" operator="equal">
      <formula>$AL$67</formula>
    </cfRule>
  </conditionalFormatting>
  <conditionalFormatting sqref="AL65">
    <cfRule type="cellIs" dxfId="225" priority="3" operator="notEqual">
      <formula>$AL$67</formula>
    </cfRule>
  </conditionalFormatting>
  <conditionalFormatting sqref="AM65">
    <cfRule type="cellIs" dxfId="224" priority="2" operator="equal">
      <formula>$AM$67</formula>
    </cfRule>
  </conditionalFormatting>
  <conditionalFormatting sqref="AM65">
    <cfRule type="cellIs" dxfId="223" priority="1" operator="notEqual">
      <formula>$AM$67</formula>
    </cfRule>
  </conditionalFormatting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49137-8B8D-41CC-8828-834F000F620B}">
  <sheetPr codeName="Planilha27">
    <tabColor indexed="12" tint="-0.249977111117893"/>
  </sheetPr>
  <dimension ref="A1:AO52"/>
  <sheetViews>
    <sheetView showGridLines="0" topLeftCell="R28" workbookViewId="0">
      <selection activeCell="AB46" sqref="AB46"/>
    </sheetView>
  </sheetViews>
  <sheetFormatPr defaultRowHeight="11.25" customHeight="1" x14ac:dyDescent="0.3"/>
  <cols>
    <col min="1" max="1" width="9" style="9" bestFit="1" customWidth="1"/>
    <col min="2" max="2" width="26.33203125" style="9" bestFit="1" customWidth="1"/>
    <col min="3" max="3" width="13.21875" style="9" bestFit="1" customWidth="1"/>
    <col min="4" max="4" width="24.44140625" style="9" bestFit="1" customWidth="1"/>
    <col min="5" max="6" width="10" style="9" bestFit="1" customWidth="1"/>
    <col min="7" max="7" width="6.109375" style="9" bestFit="1" customWidth="1"/>
    <col min="8" max="8" width="7.21875" style="9" bestFit="1" customWidth="1"/>
    <col min="9" max="9" width="7.6640625" style="9" bestFit="1" customWidth="1"/>
    <col min="10" max="10" width="8.88671875" style="9"/>
    <col min="11" max="11" width="19.88671875" style="9" bestFit="1" customWidth="1"/>
    <col min="12" max="12" width="8.44140625" style="9" bestFit="1" customWidth="1"/>
    <col min="13" max="13" width="9.6640625" style="9" bestFit="1" customWidth="1"/>
    <col min="14" max="14" width="8.44140625" style="9" bestFit="1" customWidth="1"/>
    <col min="15" max="15" width="10.77734375" style="9" bestFit="1" customWidth="1"/>
    <col min="16" max="16" width="10.21875" style="9" bestFit="1" customWidth="1"/>
    <col min="17" max="17" width="9.6640625" style="9" bestFit="1" customWidth="1"/>
    <col min="18" max="18" width="14.5546875" style="9" bestFit="1" customWidth="1"/>
    <col min="19" max="19" width="10.5546875" style="9" bestFit="1" customWidth="1"/>
    <col min="20" max="20" width="8.44140625" style="9" bestFit="1" customWidth="1"/>
    <col min="21" max="21" width="10.109375" style="9" bestFit="1" customWidth="1"/>
    <col min="22" max="22" width="8.44140625" style="9" bestFit="1" customWidth="1"/>
    <col min="23" max="23" width="9.6640625" style="9" bestFit="1" customWidth="1"/>
    <col min="24" max="24" width="7.77734375" style="9" bestFit="1" customWidth="1"/>
    <col min="25" max="25" width="9" style="9" bestFit="1" customWidth="1"/>
    <col min="26" max="26" width="10.6640625" style="9" bestFit="1" customWidth="1"/>
    <col min="27" max="27" width="9" style="9" bestFit="1" customWidth="1"/>
    <col min="28" max="28" width="10.5546875" style="9" bestFit="1" customWidth="1"/>
    <col min="29" max="16384" width="8.88671875" style="9"/>
  </cols>
  <sheetData>
    <row r="1" spans="1:41" ht="11.25" customHeight="1" x14ac:dyDescent="0.3">
      <c r="A1" s="147" t="s">
        <v>69</v>
      </c>
      <c r="B1" s="147" t="s">
        <v>70</v>
      </c>
      <c r="C1" s="147" t="s">
        <v>71</v>
      </c>
      <c r="D1" s="147" t="s">
        <v>72</v>
      </c>
      <c r="E1" s="147" t="s">
        <v>73</v>
      </c>
      <c r="F1" s="147" t="s">
        <v>15</v>
      </c>
      <c r="G1" s="147" t="s">
        <v>75</v>
      </c>
      <c r="H1" s="147" t="s">
        <v>76</v>
      </c>
      <c r="I1" s="147" t="s">
        <v>716</v>
      </c>
      <c r="J1" s="131"/>
      <c r="L1" s="145" t="s">
        <v>743</v>
      </c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56" t="s">
        <v>1</v>
      </c>
      <c r="AD1" s="158" t="s">
        <v>2</v>
      </c>
      <c r="AE1" s="158" t="s">
        <v>3</v>
      </c>
      <c r="AF1" s="158" t="s">
        <v>4</v>
      </c>
      <c r="AG1" s="158" t="s">
        <v>5</v>
      </c>
      <c r="AH1" s="158" t="s">
        <v>914</v>
      </c>
      <c r="AI1" s="158" t="s">
        <v>961</v>
      </c>
      <c r="AJ1" s="158" t="s">
        <v>916</v>
      </c>
      <c r="AK1" s="158" t="s">
        <v>917</v>
      </c>
      <c r="AL1" s="158" t="s">
        <v>918</v>
      </c>
      <c r="AO1" s="158" t="s">
        <v>919</v>
      </c>
    </row>
    <row r="2" spans="1:41" ht="11.25" customHeight="1" x14ac:dyDescent="0.3">
      <c r="A2" s="147"/>
      <c r="B2" s="147"/>
      <c r="C2" s="147"/>
      <c r="D2" s="147"/>
      <c r="E2" s="147"/>
      <c r="F2" s="147"/>
      <c r="G2" s="147"/>
      <c r="H2" s="147"/>
      <c r="I2" s="147"/>
      <c r="J2" s="131"/>
      <c r="L2" s="145" t="s">
        <v>643</v>
      </c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57"/>
      <c r="AD2" s="159"/>
      <c r="AE2" s="159"/>
      <c r="AF2" s="159"/>
      <c r="AG2" s="159"/>
      <c r="AH2" s="159"/>
      <c r="AI2" s="159"/>
      <c r="AJ2" s="159"/>
      <c r="AK2" s="159"/>
      <c r="AL2" s="159"/>
      <c r="AO2" s="159"/>
    </row>
    <row r="3" spans="1:41" ht="11.25" customHeight="1" x14ac:dyDescent="0.3">
      <c r="A3" s="147"/>
      <c r="B3" s="147"/>
      <c r="C3" s="147"/>
      <c r="D3" s="147"/>
      <c r="E3" s="147"/>
      <c r="F3" s="147"/>
      <c r="G3" s="147"/>
      <c r="H3" s="147"/>
      <c r="I3" s="147"/>
      <c r="J3" s="131"/>
      <c r="L3" s="145" t="s">
        <v>616</v>
      </c>
      <c r="M3" s="145"/>
      <c r="N3" s="145"/>
      <c r="O3" s="145"/>
      <c r="P3" s="145"/>
      <c r="Q3" s="145"/>
      <c r="R3" s="145" t="s">
        <v>647</v>
      </c>
      <c r="S3" s="145"/>
      <c r="T3" s="145" t="s">
        <v>625</v>
      </c>
      <c r="U3" s="145"/>
      <c r="V3" s="145"/>
      <c r="W3" s="145"/>
      <c r="X3" s="145" t="s">
        <v>635</v>
      </c>
      <c r="Y3" s="145"/>
      <c r="Z3" s="145" t="s">
        <v>638</v>
      </c>
      <c r="AA3" s="145"/>
      <c r="AB3" s="145" t="s">
        <v>624</v>
      </c>
      <c r="AC3" s="157"/>
      <c r="AD3" s="159"/>
      <c r="AE3" s="159"/>
      <c r="AF3" s="159"/>
      <c r="AG3" s="159"/>
      <c r="AH3" s="159"/>
      <c r="AI3" s="159"/>
      <c r="AJ3" s="159"/>
      <c r="AK3" s="159"/>
      <c r="AL3" s="159"/>
      <c r="AO3" s="159"/>
    </row>
    <row r="4" spans="1:41" ht="11.25" customHeight="1" x14ac:dyDescent="0.3">
      <c r="A4" s="147"/>
      <c r="B4" s="147"/>
      <c r="C4" s="147"/>
      <c r="D4" s="147"/>
      <c r="E4" s="147"/>
      <c r="F4" s="147"/>
      <c r="G4" s="147"/>
      <c r="H4" s="147"/>
      <c r="I4" s="147"/>
      <c r="J4" s="131"/>
      <c r="L4" s="24" t="s">
        <v>618</v>
      </c>
      <c r="M4" s="24" t="s">
        <v>644</v>
      </c>
      <c r="N4" s="24" t="s">
        <v>645</v>
      </c>
      <c r="O4" s="24" t="s">
        <v>704</v>
      </c>
      <c r="P4" s="24" t="s">
        <v>646</v>
      </c>
      <c r="Q4" s="24" t="s">
        <v>624</v>
      </c>
      <c r="R4" s="24" t="s">
        <v>648</v>
      </c>
      <c r="S4" s="24" t="s">
        <v>624</v>
      </c>
      <c r="T4" s="24" t="s">
        <v>649</v>
      </c>
      <c r="U4" s="24" t="s">
        <v>650</v>
      </c>
      <c r="V4" s="24" t="s">
        <v>651</v>
      </c>
      <c r="W4" s="24" t="s">
        <v>624</v>
      </c>
      <c r="X4" s="24" t="s">
        <v>636</v>
      </c>
      <c r="Y4" s="24" t="s">
        <v>624</v>
      </c>
      <c r="Z4" s="24" t="s">
        <v>652</v>
      </c>
      <c r="AA4" s="24" t="s">
        <v>624</v>
      </c>
      <c r="AB4" s="146"/>
      <c r="AC4" s="157"/>
      <c r="AD4" s="159"/>
      <c r="AE4" s="159"/>
      <c r="AF4" s="159"/>
      <c r="AG4" s="159"/>
      <c r="AH4" s="159"/>
      <c r="AI4" s="159"/>
      <c r="AJ4" s="159"/>
      <c r="AK4" s="159"/>
      <c r="AL4" s="159"/>
      <c r="AO4" s="159"/>
    </row>
    <row r="5" spans="1:41" ht="11.25" customHeight="1" x14ac:dyDescent="0.3">
      <c r="A5" s="148" t="s">
        <v>45</v>
      </c>
      <c r="B5" s="148" t="s">
        <v>78</v>
      </c>
      <c r="C5" s="148" t="s">
        <v>25</v>
      </c>
      <c r="D5" s="148" t="s">
        <v>25</v>
      </c>
      <c r="E5" s="148" t="s">
        <v>25</v>
      </c>
      <c r="F5" s="148" t="s">
        <v>25</v>
      </c>
      <c r="G5" s="23" t="s">
        <v>80</v>
      </c>
      <c r="H5" s="23" t="s">
        <v>79</v>
      </c>
      <c r="I5" s="23">
        <f>'MERCADO TE'!$U$2</f>
        <v>6.42</v>
      </c>
      <c r="J5" s="15"/>
      <c r="L5" s="20">
        <f>'TE BE'!$L$5*'TE BE'!$L$51</f>
        <v>4.1126839063631094E-8</v>
      </c>
      <c r="M5" s="20">
        <f>'TE BE'!$M$5*'TE BE'!$M$51</f>
        <v>1.3731397526742513</v>
      </c>
      <c r="N5" s="20">
        <f>'TE BE'!$N$5*'TE BE'!$N$51</f>
        <v>0</v>
      </c>
      <c r="O5" s="20">
        <f>'TE BE'!$O$5*'TE BE'!$O$51</f>
        <v>-0.10237967455295723</v>
      </c>
      <c r="P5" s="20">
        <f>'TE BE'!$P$5*'TE BE'!$P$51</f>
        <v>0</v>
      </c>
      <c r="Q5" s="20">
        <f>SUM($L$5:$P$5)</f>
        <v>1.270760119248133</v>
      </c>
      <c r="R5" s="20">
        <f>'TE BE'!$R$5*'TE BE'!$R$51</f>
        <v>28.068133520617682</v>
      </c>
      <c r="S5" s="20">
        <f>SUM($R$5:$R$5)</f>
        <v>28.068133520617682</v>
      </c>
      <c r="T5" s="20">
        <f>'TE BE'!$T$5*'TE BE'!$T$51</f>
        <v>-7.1757594775857081E-2</v>
      </c>
      <c r="U5" s="20">
        <f>'TE BE'!$U$5*'TE BE'!$U$51</f>
        <v>6.1645251667860355E-2</v>
      </c>
      <c r="V5" s="20">
        <f>'TE BE'!$V$5*'TE BE'!$V$51</f>
        <v>0</v>
      </c>
      <c r="W5" s="20">
        <f>SUM($T$5:$V$5)</f>
        <v>-1.0112343107996725E-2</v>
      </c>
      <c r="X5" s="20">
        <f>'TE BE'!$AB$5*'TE BE'!$X$51</f>
        <v>-15.721046976212161</v>
      </c>
      <c r="Y5" s="20">
        <f>SUM($X$5:$X$5)</f>
        <v>-15.721046976212161</v>
      </c>
      <c r="Z5" s="20">
        <f>'TE BE'!$Z$5*'TE BE'!$Z$51</f>
        <v>0.47398074080154723</v>
      </c>
      <c r="AA5" s="20">
        <f>SUM($Z$5:$Z$5)</f>
        <v>0.47398074080154723</v>
      </c>
      <c r="AB5" s="20">
        <f ca="1">SUMIF($L$4:$AA$4,"SUBTOTAL",$L$5:$AA$5)+AL5</f>
        <v>14.081715061347204</v>
      </c>
      <c r="AC5" s="9" t="str">
        <f t="shared" ref="AC5:AC44" si="0">IF($A5="",AC4,$A5)</f>
        <v>A3a</v>
      </c>
      <c r="AD5" s="9" t="str">
        <f t="shared" ref="AD5:AD44" si="1">IF($B5="",AD4,$B5)</f>
        <v>Energia horária</v>
      </c>
      <c r="AE5" s="9" t="str">
        <f t="shared" ref="AE5:AE44" si="2">IF($C5="",AE4,$C5)</f>
        <v>Não se aplica</v>
      </c>
      <c r="AF5" s="9" t="str">
        <f t="shared" ref="AF5:AF44" si="3">IF($D5="",AF4,$D5)</f>
        <v>Não se aplica</v>
      </c>
      <c r="AG5" s="9" t="str">
        <f t="shared" ref="AG5:AG44" si="4">IF($E5="",AG4,$E5)</f>
        <v>Não se aplica</v>
      </c>
      <c r="AH5" s="9">
        <v>1</v>
      </c>
      <c r="AI5" s="9">
        <f ca="1">IFERROR(VLOOKUP(AC5,TarifaMedia!$C$32:$G$33,5,0),0)</f>
        <v>0</v>
      </c>
      <c r="AJ5" s="15">
        <f>'TE BE'!$AB5+'TE BF'!$AB5+'TE CVA'!$AB5</f>
        <v>361.95264704220779</v>
      </c>
      <c r="AK5" s="9">
        <v>437.01</v>
      </c>
      <c r="AL5" s="9">
        <f t="shared" ref="AL5:AL44" ca="1" si="5">(AK5-AJ5)*AI5*AH5</f>
        <v>0</v>
      </c>
      <c r="AO5" s="80" t="s">
        <v>962</v>
      </c>
    </row>
    <row r="6" spans="1:41" ht="11.25" customHeight="1" x14ac:dyDescent="0.3">
      <c r="A6" s="148"/>
      <c r="B6" s="148"/>
      <c r="C6" s="148"/>
      <c r="D6" s="148"/>
      <c r="E6" s="148"/>
      <c r="F6" s="148"/>
      <c r="G6" s="23" t="s">
        <v>81</v>
      </c>
      <c r="H6" s="23" t="s">
        <v>79</v>
      </c>
      <c r="I6" s="23">
        <f>'MERCADO TE'!$U$3</f>
        <v>1805.7700000000004</v>
      </c>
      <c r="J6" s="15"/>
      <c r="L6" s="20">
        <f>'TE BE'!$L$6*'TE BE'!$L$51</f>
        <v>4.1126839063631094E-8</v>
      </c>
      <c r="M6" s="20">
        <f>'TE BE'!$M$6*'TE BE'!$M$51</f>
        <v>1.3731397526742513</v>
      </c>
      <c r="N6" s="20">
        <f>'TE BE'!$N$6*'TE BE'!$N$51</f>
        <v>0</v>
      </c>
      <c r="O6" s="20">
        <f>'TE BE'!$O$6*'TE BE'!$O$51</f>
        <v>-0.10237967455295723</v>
      </c>
      <c r="P6" s="20">
        <f>'TE BE'!$P$6*'TE BE'!$P$51</f>
        <v>0</v>
      </c>
      <c r="Q6" s="20">
        <f>SUM($L$6:$P$6)</f>
        <v>1.270760119248133</v>
      </c>
      <c r="R6" s="20">
        <f>'TE BE'!$R$6*'TE BE'!$R$51</f>
        <v>16.318682279428888</v>
      </c>
      <c r="S6" s="20">
        <f>SUM($R$6:$R$6)</f>
        <v>16.318682279428888</v>
      </c>
      <c r="T6" s="20">
        <f>'TE BE'!$T$6*'TE BE'!$T$51</f>
        <v>-7.1757594775857081E-2</v>
      </c>
      <c r="U6" s="20">
        <f>'TE BE'!$U$6*'TE BE'!$U$51</f>
        <v>6.1645251667860355E-2</v>
      </c>
      <c r="V6" s="20">
        <f>'TE BE'!$V$6*'TE BE'!$V$51</f>
        <v>0</v>
      </c>
      <c r="W6" s="20">
        <f>SUM($T$6:$V$6)</f>
        <v>-1.0112343107996725E-2</v>
      </c>
      <c r="X6" s="20">
        <f>'TE BE'!$AB$6*'TE BE'!$X$51</f>
        <v>-9.6256469400820865</v>
      </c>
      <c r="Y6" s="20">
        <f>SUM($X$6:$X$6)</f>
        <v>-9.6256469400820865</v>
      </c>
      <c r="Z6" s="20">
        <f>'TE BE'!$Z$6*'TE BE'!$Z$51</f>
        <v>0.47398074080154723</v>
      </c>
      <c r="AA6" s="20">
        <f>SUM($Z$6:$Z$6)</f>
        <v>0.47398074080154723</v>
      </c>
      <c r="AB6" s="20">
        <f ca="1">SUMIF($L$4:$AA$4,"SUBTOTAL",$L$6:$AA$6)+AL6</f>
        <v>8.4276638562884845</v>
      </c>
      <c r="AC6" s="9" t="str">
        <f t="shared" si="0"/>
        <v>A3a</v>
      </c>
      <c r="AD6" s="9" t="str">
        <f t="shared" si="1"/>
        <v>Energia horária</v>
      </c>
      <c r="AE6" s="9" t="str">
        <f t="shared" si="2"/>
        <v>Não se aplica</v>
      </c>
      <c r="AF6" s="9" t="str">
        <f t="shared" si="3"/>
        <v>Não se aplica</v>
      </c>
      <c r="AG6" s="9" t="str">
        <f t="shared" si="4"/>
        <v>Não se aplica</v>
      </c>
      <c r="AH6" s="9">
        <v>1</v>
      </c>
      <c r="AI6" s="9">
        <f ca="1">IFERROR(VLOOKUP(AC6,TarifaMedia!$C$32:$G$33,5,0),0)</f>
        <v>0</v>
      </c>
      <c r="AJ6" s="15">
        <f>'TE BE'!$AB6+'TE BF'!$AB6+'TE CVA'!$AB6</f>
        <v>222.39386487986414</v>
      </c>
      <c r="AK6" s="9">
        <v>272.82</v>
      </c>
      <c r="AL6" s="9">
        <f t="shared" ca="1" si="5"/>
        <v>0</v>
      </c>
      <c r="AO6" s="80" t="s">
        <v>963</v>
      </c>
    </row>
    <row r="7" spans="1:41" ht="11.25" customHeight="1" x14ac:dyDescent="0.3">
      <c r="A7" s="148"/>
      <c r="B7" s="22" t="s">
        <v>82</v>
      </c>
      <c r="C7" s="22" t="s">
        <v>25</v>
      </c>
      <c r="D7" s="22" t="s">
        <v>25</v>
      </c>
      <c r="E7" s="22" t="s">
        <v>25</v>
      </c>
      <c r="F7" s="22" t="s">
        <v>25</v>
      </c>
      <c r="G7" s="23" t="s">
        <v>83</v>
      </c>
      <c r="H7" s="23" t="s">
        <v>79</v>
      </c>
      <c r="I7" s="23">
        <f>'MERCADO TE'!$U$4</f>
        <v>0</v>
      </c>
      <c r="J7" s="15"/>
      <c r="L7" s="20">
        <f>'TE BE'!$L$7*'TE BE'!$L$51</f>
        <v>4.1126839063631094E-8</v>
      </c>
      <c r="M7" s="20">
        <f>'TE BE'!$M$7*'TE BE'!$M$51</f>
        <v>1.3731397526742513</v>
      </c>
      <c r="N7" s="20">
        <f>'TE BE'!$N$7*'TE BE'!$N$51</f>
        <v>0</v>
      </c>
      <c r="O7" s="20">
        <f>'TE BE'!$O$7*'TE BE'!$O$51</f>
        <v>-0.10237967455295723</v>
      </c>
      <c r="P7" s="20">
        <f>'TE BE'!$P$7*'TE BE'!$P$51</f>
        <v>0</v>
      </c>
      <c r="Q7" s="20">
        <f>SUM($L$7:$P$7)</f>
        <v>1.270760119248133</v>
      </c>
      <c r="R7" s="20">
        <f>'TE BE'!$R$7*'TE BE'!$R$51</f>
        <v>17.29780321619462</v>
      </c>
      <c r="S7" s="20">
        <f>SUM($R$7:$R$7)</f>
        <v>17.29780321619462</v>
      </c>
      <c r="T7" s="20">
        <f>'TE BE'!$T$7*'TE BE'!$T$51</f>
        <v>-7.1757594775857081E-2</v>
      </c>
      <c r="U7" s="20">
        <f>'TE BE'!$U$7*'TE BE'!$U$51</f>
        <v>6.1645251667860355E-2</v>
      </c>
      <c r="V7" s="20">
        <f>'TE BE'!$V$7*'TE BE'!$V$51</f>
        <v>0</v>
      </c>
      <c r="W7" s="20">
        <f>SUM($T$7:$V$7)</f>
        <v>-1.0112343107996725E-2</v>
      </c>
      <c r="X7" s="20">
        <f>'TE BE'!$AB$7*'TE BE'!$X$51</f>
        <v>-10.133596943092927</v>
      </c>
      <c r="Y7" s="20">
        <f>SUM($X$7:$X$7)</f>
        <v>-10.133596943092927</v>
      </c>
      <c r="Z7" s="20">
        <f>'TE BE'!$Z$7*'TE BE'!$Z$51</f>
        <v>0.47398074080154723</v>
      </c>
      <c r="AA7" s="20">
        <f>SUM($Z$7:$Z$7)</f>
        <v>0.47398074080154723</v>
      </c>
      <c r="AB7" s="20">
        <f ca="1">SUMIF($L$4:$AA$4,"SUBTOTAL",$L$7:$AA$7)+AL7</f>
        <v>8.8988347900433755</v>
      </c>
      <c r="AC7" s="9" t="str">
        <f t="shared" si="0"/>
        <v>A3a</v>
      </c>
      <c r="AD7" s="9" t="str">
        <f t="shared" si="1"/>
        <v>Energia convencional</v>
      </c>
      <c r="AE7" s="9" t="str">
        <f t="shared" si="2"/>
        <v>Não se aplica</v>
      </c>
      <c r="AF7" s="9" t="str">
        <f t="shared" si="3"/>
        <v>Não se aplica</v>
      </c>
      <c r="AG7" s="9" t="str">
        <f t="shared" si="4"/>
        <v>Não se aplica</v>
      </c>
      <c r="AH7" s="9">
        <v>1</v>
      </c>
      <c r="AI7" s="9">
        <f ca="1">IFERROR(VLOOKUP(AC7,TarifaMedia!$C$32:$G$33,5,0),0)</f>
        <v>0</v>
      </c>
      <c r="AJ7" s="15">
        <f>'TE BE'!$AB7+'TE BF'!$AB7+'TE CVA'!$AB7</f>
        <v>234.02376339339278</v>
      </c>
      <c r="AK7" s="9">
        <v>286.51</v>
      </c>
      <c r="AL7" s="9">
        <f t="shared" ca="1" si="5"/>
        <v>0</v>
      </c>
      <c r="AO7" s="80" t="s">
        <v>964</v>
      </c>
    </row>
    <row r="8" spans="1:41" ht="11.25" customHeight="1" x14ac:dyDescent="0.3">
      <c r="A8" s="148" t="s">
        <v>39</v>
      </c>
      <c r="B8" s="148" t="s">
        <v>78</v>
      </c>
      <c r="C8" s="148" t="s">
        <v>25</v>
      </c>
      <c r="D8" s="148" t="s">
        <v>25</v>
      </c>
      <c r="E8" s="148" t="s">
        <v>25</v>
      </c>
      <c r="F8" s="148" t="s">
        <v>25</v>
      </c>
      <c r="G8" s="23" t="s">
        <v>80</v>
      </c>
      <c r="H8" s="23" t="s">
        <v>79</v>
      </c>
      <c r="I8" s="23">
        <f>'MERCADO TE'!$U$5</f>
        <v>1184.028</v>
      </c>
      <c r="J8" s="15"/>
      <c r="L8" s="20">
        <f>'TE BE'!$L$8*'TE BE'!$L$51</f>
        <v>4.1126839063631094E-8</v>
      </c>
      <c r="M8" s="20">
        <f>'TE BE'!$M$8*'TE BE'!$M$51</f>
        <v>1.3731397526742513</v>
      </c>
      <c r="N8" s="20">
        <f>'TE BE'!$N$8*'TE BE'!$N$51</f>
        <v>0</v>
      </c>
      <c r="O8" s="20">
        <f>'TE BE'!$O$8*'TE BE'!$O$51</f>
        <v>-0.10237967455295723</v>
      </c>
      <c r="P8" s="20">
        <f>'TE BE'!$P$8*'TE BE'!$P$51</f>
        <v>0</v>
      </c>
      <c r="Q8" s="20">
        <f>SUM($L$8:$P$8)</f>
        <v>1.270760119248133</v>
      </c>
      <c r="R8" s="20">
        <f>'TE BE'!$R$8*'TE BE'!$R$51</f>
        <v>28.068133520617682</v>
      </c>
      <c r="S8" s="20">
        <f>SUM($R$8:$R$8)</f>
        <v>28.068133520617682</v>
      </c>
      <c r="T8" s="20">
        <f>'TE BE'!$T$8*'TE BE'!$T$51</f>
        <v>-7.1757594775857081E-2</v>
      </c>
      <c r="U8" s="20">
        <f>'TE BE'!$U$8*'TE BE'!$U$51</f>
        <v>6.1645251667860355E-2</v>
      </c>
      <c r="V8" s="20">
        <f>'TE BE'!$V$8*'TE BE'!$V$51</f>
        <v>0</v>
      </c>
      <c r="W8" s="20">
        <f>SUM($T$8:$V$8)</f>
        <v>-1.0112343107996725E-2</v>
      </c>
      <c r="X8" s="20">
        <f>'TE BE'!$AB$8*'TE BE'!$X$51</f>
        <v>-15.721046976212161</v>
      </c>
      <c r="Y8" s="20">
        <f>SUM($X$8:$X$8)</f>
        <v>-15.721046976212161</v>
      </c>
      <c r="Z8" s="20">
        <f>'TE BE'!$Z$8*'TE BE'!$Z$51</f>
        <v>0.47398074080154723</v>
      </c>
      <c r="AA8" s="20">
        <f>SUM($Z$8:$Z$8)</f>
        <v>0.47398074080154723</v>
      </c>
      <c r="AB8" s="20">
        <f ca="1">SUMIF($L$4:$AA$4,"SUBTOTAL",$L$8:$AA$8)+AL8</f>
        <v>14.081715061347204</v>
      </c>
      <c r="AC8" s="9" t="str">
        <f t="shared" si="0"/>
        <v>A4</v>
      </c>
      <c r="AD8" s="9" t="str">
        <f t="shared" si="1"/>
        <v>Energia horária</v>
      </c>
      <c r="AE8" s="9" t="str">
        <f t="shared" si="2"/>
        <v>Não se aplica</v>
      </c>
      <c r="AF8" s="9" t="str">
        <f t="shared" si="3"/>
        <v>Não se aplica</v>
      </c>
      <c r="AG8" s="9" t="str">
        <f t="shared" si="4"/>
        <v>Não se aplica</v>
      </c>
      <c r="AH8" s="9">
        <v>1</v>
      </c>
      <c r="AI8" s="9">
        <f ca="1">IFERROR(VLOOKUP(AC8,TarifaMedia!$C$32:$G$33,5,0),0)</f>
        <v>0</v>
      </c>
      <c r="AJ8" s="15">
        <f>'TE BE'!$AB8+'TE BF'!$AB8+'TE CVA'!$AB8</f>
        <v>361.95264704220779</v>
      </c>
      <c r="AK8" s="9">
        <v>437.01</v>
      </c>
      <c r="AL8" s="9">
        <f t="shared" ca="1" si="5"/>
        <v>0</v>
      </c>
      <c r="AO8" s="80" t="s">
        <v>965</v>
      </c>
    </row>
    <row r="9" spans="1:41" ht="11.25" customHeight="1" x14ac:dyDescent="0.3">
      <c r="A9" s="148"/>
      <c r="B9" s="148"/>
      <c r="C9" s="148"/>
      <c r="D9" s="148"/>
      <c r="E9" s="148"/>
      <c r="F9" s="148"/>
      <c r="G9" s="23" t="s">
        <v>81</v>
      </c>
      <c r="H9" s="23" t="s">
        <v>79</v>
      </c>
      <c r="I9" s="23">
        <f>'MERCADO TE'!$U$6</f>
        <v>18584.842000000001</v>
      </c>
      <c r="J9" s="15"/>
      <c r="L9" s="20">
        <f>'TE BE'!$L$9*'TE BE'!$L$51</f>
        <v>4.1126839063631094E-8</v>
      </c>
      <c r="M9" s="20">
        <f>'TE BE'!$M$9*'TE BE'!$M$51</f>
        <v>1.3731397526742513</v>
      </c>
      <c r="N9" s="20">
        <f>'TE BE'!$N$9*'TE BE'!$N$51</f>
        <v>0</v>
      </c>
      <c r="O9" s="20">
        <f>'TE BE'!$O$9*'TE BE'!$O$51</f>
        <v>-0.10237967455295723</v>
      </c>
      <c r="P9" s="20">
        <f>'TE BE'!$P$9*'TE BE'!$P$51</f>
        <v>0</v>
      </c>
      <c r="Q9" s="20">
        <f>SUM($L$9:$P$9)</f>
        <v>1.270760119248133</v>
      </c>
      <c r="R9" s="20">
        <f>'TE BE'!$R$9*'TE BE'!$R$51</f>
        <v>16.318682279428888</v>
      </c>
      <c r="S9" s="20">
        <f>SUM($R$9:$R$9)</f>
        <v>16.318682279428888</v>
      </c>
      <c r="T9" s="20">
        <f>'TE BE'!$T$9*'TE BE'!$T$51</f>
        <v>-7.1757594775857081E-2</v>
      </c>
      <c r="U9" s="20">
        <f>'TE BE'!$U$9*'TE BE'!$U$51</f>
        <v>6.1645251667860355E-2</v>
      </c>
      <c r="V9" s="20">
        <f>'TE BE'!$V$9*'TE BE'!$V$51</f>
        <v>0</v>
      </c>
      <c r="W9" s="20">
        <f>SUM($T$9:$V$9)</f>
        <v>-1.0112343107996725E-2</v>
      </c>
      <c r="X9" s="20">
        <f>'TE BE'!$AB$9*'TE BE'!$X$51</f>
        <v>-9.6256469400820865</v>
      </c>
      <c r="Y9" s="20">
        <f>SUM($X$9:$X$9)</f>
        <v>-9.6256469400820865</v>
      </c>
      <c r="Z9" s="20">
        <f>'TE BE'!$Z$9*'TE BE'!$Z$51</f>
        <v>0.47398074080154723</v>
      </c>
      <c r="AA9" s="20">
        <f>SUM($Z$9:$Z$9)</f>
        <v>0.47398074080154723</v>
      </c>
      <c r="AB9" s="20">
        <f ca="1">SUMIF($L$4:$AA$4,"SUBTOTAL",$L$9:$AA$9)+AL9</f>
        <v>8.4276638562884845</v>
      </c>
      <c r="AC9" s="9" t="str">
        <f t="shared" si="0"/>
        <v>A4</v>
      </c>
      <c r="AD9" s="9" t="str">
        <f t="shared" si="1"/>
        <v>Energia horária</v>
      </c>
      <c r="AE9" s="9" t="str">
        <f t="shared" si="2"/>
        <v>Não se aplica</v>
      </c>
      <c r="AF9" s="9" t="str">
        <f t="shared" si="3"/>
        <v>Não se aplica</v>
      </c>
      <c r="AG9" s="9" t="str">
        <f t="shared" si="4"/>
        <v>Não se aplica</v>
      </c>
      <c r="AH9" s="9">
        <v>1</v>
      </c>
      <c r="AI9" s="9">
        <f ca="1">IFERROR(VLOOKUP(AC9,TarifaMedia!$C$32:$G$33,5,0),0)</f>
        <v>0</v>
      </c>
      <c r="AJ9" s="15">
        <f>'TE BE'!$AB9+'TE BF'!$AB9+'TE CVA'!$AB9</f>
        <v>222.39386487986414</v>
      </c>
      <c r="AK9" s="9">
        <v>272.82</v>
      </c>
      <c r="AL9" s="9">
        <f t="shared" ca="1" si="5"/>
        <v>0</v>
      </c>
      <c r="AO9" s="80" t="s">
        <v>966</v>
      </c>
    </row>
    <row r="10" spans="1:41" ht="11.25" customHeight="1" x14ac:dyDescent="0.3">
      <c r="A10" s="148" t="s">
        <v>22</v>
      </c>
      <c r="B10" s="148" t="s">
        <v>78</v>
      </c>
      <c r="C10" s="148" t="s">
        <v>24</v>
      </c>
      <c r="D10" s="148" t="s">
        <v>24</v>
      </c>
      <c r="E10" s="148" t="s">
        <v>25</v>
      </c>
      <c r="F10" s="148" t="s">
        <v>25</v>
      </c>
      <c r="G10" s="23" t="s">
        <v>80</v>
      </c>
      <c r="H10" s="23" t="s">
        <v>79</v>
      </c>
      <c r="I10" s="23">
        <f>'MERCADO TE'!$U$7</f>
        <v>5.2</v>
      </c>
      <c r="J10" s="15"/>
      <c r="L10" s="20">
        <f>'TE BE'!$L$10*'TE BE'!$L$51</f>
        <v>4.1126839063631094E-8</v>
      </c>
      <c r="M10" s="20">
        <f>'TE BE'!$M$10*'TE BE'!$M$51</f>
        <v>1.3731397526742513</v>
      </c>
      <c r="N10" s="20">
        <f>'TE BE'!$N$10*'TE BE'!$N$51</f>
        <v>0</v>
      </c>
      <c r="O10" s="20">
        <f>'TE BE'!$O$10*'TE BE'!$O$51</f>
        <v>-0.10237967455295723</v>
      </c>
      <c r="P10" s="20">
        <f>'TE BE'!$P$10*'TE BE'!$P$51</f>
        <v>0</v>
      </c>
      <c r="Q10" s="20">
        <f>SUM($L$10:$P$10)</f>
        <v>1.270760119248133</v>
      </c>
      <c r="R10" s="20">
        <f>'TE BE'!$R$10*'TE BE'!$R$51</f>
        <v>28.068133520617682</v>
      </c>
      <c r="S10" s="20">
        <f>SUM($R$10:$R$10)</f>
        <v>28.068133520617682</v>
      </c>
      <c r="T10" s="20">
        <f>'TE BE'!$T$10*'TE BE'!$T$51</f>
        <v>-7.1757594775857081E-2</v>
      </c>
      <c r="U10" s="20">
        <f>'TE BE'!$U$10*'TE BE'!$U$51</f>
        <v>6.1645251667860355E-2</v>
      </c>
      <c r="V10" s="20">
        <f>'TE BE'!$V$10*'TE BE'!$V$51</f>
        <v>0</v>
      </c>
      <c r="W10" s="20">
        <f>SUM($T$10:$V$10)</f>
        <v>-1.0112343107996725E-2</v>
      </c>
      <c r="X10" s="20">
        <f>'TE BE'!$AB$10*'TE BE'!$X$51</f>
        <v>-15.721046976212161</v>
      </c>
      <c r="Y10" s="20">
        <f>SUM($X$10:$X$10)</f>
        <v>-15.721046976212161</v>
      </c>
      <c r="Z10" s="20">
        <f>'TE BE'!$Z$10*'TE BE'!$Z$51</f>
        <v>0.47398074080154723</v>
      </c>
      <c r="AA10" s="20">
        <f>SUM($Z$10:$Z$10)</f>
        <v>0.47398074080154723</v>
      </c>
      <c r="AB10" s="20">
        <f ca="1">SUMIF($L$4:$AA$4,"SUBTOTAL",$L$10:$AA$10)+AL10</f>
        <v>89.139068019139415</v>
      </c>
      <c r="AC10" s="9" t="str">
        <f t="shared" si="0"/>
        <v>B1</v>
      </c>
      <c r="AD10" s="9" t="str">
        <f t="shared" si="1"/>
        <v>Energia horária</v>
      </c>
      <c r="AE10" s="9" t="str">
        <f t="shared" si="2"/>
        <v>Residencial</v>
      </c>
      <c r="AF10" s="9" t="str">
        <f t="shared" si="3"/>
        <v>Residencial</v>
      </c>
      <c r="AG10" s="9" t="str">
        <f t="shared" si="4"/>
        <v>Não se aplica</v>
      </c>
      <c r="AH10" s="9">
        <v>1</v>
      </c>
      <c r="AI10" s="9">
        <f ca="1">TarifaMedia!$G$36</f>
        <v>1</v>
      </c>
      <c r="AJ10" s="15">
        <f>'TE BE'!$AB10+'TE BF'!$AB10+'TE CVA'!$AB10</f>
        <v>361.95264704220779</v>
      </c>
      <c r="AK10" s="9">
        <v>437.01</v>
      </c>
      <c r="AL10" s="9">
        <f t="shared" ca="1" si="5"/>
        <v>75.057352957792205</v>
      </c>
      <c r="AO10" s="80" t="s">
        <v>967</v>
      </c>
    </row>
    <row r="11" spans="1:41" ht="11.25" customHeight="1" x14ac:dyDescent="0.3">
      <c r="A11" s="148"/>
      <c r="B11" s="148"/>
      <c r="C11" s="148"/>
      <c r="D11" s="148"/>
      <c r="E11" s="148"/>
      <c r="F11" s="148"/>
      <c r="G11" s="23" t="s">
        <v>91</v>
      </c>
      <c r="H11" s="23" t="s">
        <v>79</v>
      </c>
      <c r="I11" s="23">
        <f>'MERCADO TE'!$U$8</f>
        <v>3.3950000000000005</v>
      </c>
      <c r="J11" s="15"/>
      <c r="L11" s="20">
        <f>'TE BE'!$L$11*'TE BE'!$L$51</f>
        <v>4.1126839063631094E-8</v>
      </c>
      <c r="M11" s="20">
        <f>'TE BE'!$M$11*'TE BE'!$M$51</f>
        <v>1.3731397526742513</v>
      </c>
      <c r="N11" s="20">
        <f>'TE BE'!$N$11*'TE BE'!$N$51</f>
        <v>0</v>
      </c>
      <c r="O11" s="20">
        <f>'TE BE'!$O$11*'TE BE'!$O$51</f>
        <v>-0.10237967455295723</v>
      </c>
      <c r="P11" s="20">
        <f>'TE BE'!$P$11*'TE BE'!$P$51</f>
        <v>0</v>
      </c>
      <c r="Q11" s="20">
        <f>SUM($L$11:$P$11)</f>
        <v>1.270760119248133</v>
      </c>
      <c r="R11" s="20">
        <f>'TE BE'!$R$11*'TE BE'!$R$51</f>
        <v>16.318682279428888</v>
      </c>
      <c r="S11" s="20">
        <f>SUM($R$11:$R$11)</f>
        <v>16.318682279428888</v>
      </c>
      <c r="T11" s="20">
        <f>'TE BE'!$T$11*'TE BE'!$T$51</f>
        <v>-7.1757594775857081E-2</v>
      </c>
      <c r="U11" s="20">
        <f>'TE BE'!$U$11*'TE BE'!$U$51</f>
        <v>6.1645251667860355E-2</v>
      </c>
      <c r="V11" s="20">
        <f>'TE BE'!$V$11*'TE BE'!$V$51</f>
        <v>0</v>
      </c>
      <c r="W11" s="20">
        <f>SUM($T$11:$V$11)</f>
        <v>-1.0112343107996725E-2</v>
      </c>
      <c r="X11" s="20">
        <f>'TE BE'!$AB$11*'TE BE'!$X$51</f>
        <v>-9.6256469400820865</v>
      </c>
      <c r="Y11" s="20">
        <f>SUM($X$11:$X$11)</f>
        <v>-9.6256469400820865</v>
      </c>
      <c r="Z11" s="20">
        <f>'TE BE'!$Z$11*'TE BE'!$Z$51</f>
        <v>0.47398074080154723</v>
      </c>
      <c r="AA11" s="20">
        <f>SUM($Z$11:$Z$11)</f>
        <v>0.47398074080154723</v>
      </c>
      <c r="AB11" s="20">
        <f ca="1">SUMIF($L$4:$AA$4,"SUBTOTAL",$L$11:$AA$11)+AL11</f>
        <v>58.853798976424336</v>
      </c>
      <c r="AC11" s="9" t="str">
        <f t="shared" si="0"/>
        <v>B1</v>
      </c>
      <c r="AD11" s="9" t="str">
        <f t="shared" si="1"/>
        <v>Energia horária</v>
      </c>
      <c r="AE11" s="9" t="str">
        <f t="shared" si="2"/>
        <v>Residencial</v>
      </c>
      <c r="AF11" s="9" t="str">
        <f t="shared" si="3"/>
        <v>Residencial</v>
      </c>
      <c r="AG11" s="9" t="str">
        <f t="shared" si="4"/>
        <v>Não se aplica</v>
      </c>
      <c r="AH11" s="9">
        <v>1</v>
      </c>
      <c r="AI11" s="9">
        <f ca="1">TarifaMedia!$G$36</f>
        <v>1</v>
      </c>
      <c r="AJ11" s="15">
        <f>'TE BE'!$AB11+'TE BF'!$AB11+'TE CVA'!$AB11</f>
        <v>222.39386487986414</v>
      </c>
      <c r="AK11" s="9">
        <v>272.82</v>
      </c>
      <c r="AL11" s="9">
        <f t="shared" ca="1" si="5"/>
        <v>50.426135120135854</v>
      </c>
      <c r="AO11" s="80" t="s">
        <v>968</v>
      </c>
    </row>
    <row r="12" spans="1:41" ht="11.25" customHeight="1" x14ac:dyDescent="0.3">
      <c r="A12" s="148"/>
      <c r="B12" s="148"/>
      <c r="C12" s="148"/>
      <c r="D12" s="148"/>
      <c r="E12" s="148"/>
      <c r="F12" s="148"/>
      <c r="G12" s="23" t="s">
        <v>81</v>
      </c>
      <c r="H12" s="23" t="s">
        <v>79</v>
      </c>
      <c r="I12" s="23">
        <f>'MERCADO TE'!$U$9</f>
        <v>48.124000000000009</v>
      </c>
      <c r="J12" s="15"/>
      <c r="L12" s="20">
        <f>'TE BE'!$L$12*'TE BE'!$L$51</f>
        <v>4.1126839063631094E-8</v>
      </c>
      <c r="M12" s="20">
        <f>'TE BE'!$M$12*'TE BE'!$M$51</f>
        <v>1.3731397526742513</v>
      </c>
      <c r="N12" s="20">
        <f>'TE BE'!$N$12*'TE BE'!$N$51</f>
        <v>0</v>
      </c>
      <c r="O12" s="20">
        <f>'TE BE'!$O$12*'TE BE'!$O$51</f>
        <v>-0.10237967455295723</v>
      </c>
      <c r="P12" s="20">
        <f>'TE BE'!$P$12*'TE BE'!$P$51</f>
        <v>0</v>
      </c>
      <c r="Q12" s="20">
        <f>SUM($L$12:$P$12)</f>
        <v>1.270760119248133</v>
      </c>
      <c r="R12" s="20">
        <f>'TE BE'!$R$12*'TE BE'!$R$51</f>
        <v>16.318682279428888</v>
      </c>
      <c r="S12" s="20">
        <f>SUM($R$12:$R$12)</f>
        <v>16.318682279428888</v>
      </c>
      <c r="T12" s="20">
        <f>'TE BE'!$T$12*'TE BE'!$T$51</f>
        <v>-7.1757594775857081E-2</v>
      </c>
      <c r="U12" s="20">
        <f>'TE BE'!$U$12*'TE BE'!$U$51</f>
        <v>6.1645251667860355E-2</v>
      </c>
      <c r="V12" s="20">
        <f>'TE BE'!$V$12*'TE BE'!$V$51</f>
        <v>0</v>
      </c>
      <c r="W12" s="20">
        <f>SUM($T$12:$V$12)</f>
        <v>-1.0112343107996725E-2</v>
      </c>
      <c r="X12" s="20">
        <f>'TE BE'!$AB$12*'TE BE'!$X$51</f>
        <v>-9.6256469400820865</v>
      </c>
      <c r="Y12" s="20">
        <f>SUM($X$12:$X$12)</f>
        <v>-9.6256469400820865</v>
      </c>
      <c r="Z12" s="20">
        <f>'TE BE'!$Z$12*'TE BE'!$Z$51</f>
        <v>0.47398074080154723</v>
      </c>
      <c r="AA12" s="20">
        <f>SUM($Z$12:$Z$12)</f>
        <v>0.47398074080154723</v>
      </c>
      <c r="AB12" s="20">
        <f ca="1">SUMIF($L$4:$AA$4,"SUBTOTAL",$L$12:$AA$12)+AL12</f>
        <v>58.853798976424336</v>
      </c>
      <c r="AC12" s="9" t="str">
        <f t="shared" si="0"/>
        <v>B1</v>
      </c>
      <c r="AD12" s="9" t="str">
        <f t="shared" si="1"/>
        <v>Energia horária</v>
      </c>
      <c r="AE12" s="9" t="str">
        <f t="shared" si="2"/>
        <v>Residencial</v>
      </c>
      <c r="AF12" s="9" t="str">
        <f t="shared" si="3"/>
        <v>Residencial</v>
      </c>
      <c r="AG12" s="9" t="str">
        <f t="shared" si="4"/>
        <v>Não se aplica</v>
      </c>
      <c r="AH12" s="9">
        <v>1</v>
      </c>
      <c r="AI12" s="9">
        <f ca="1">TarifaMedia!$G$36</f>
        <v>1</v>
      </c>
      <c r="AJ12" s="15">
        <f>'TE BE'!$AB12+'TE BF'!$AB12+'TE CVA'!$AB12</f>
        <v>222.39386487986414</v>
      </c>
      <c r="AK12" s="9">
        <v>272.82</v>
      </c>
      <c r="AL12" s="9">
        <f t="shared" ca="1" si="5"/>
        <v>50.426135120135854</v>
      </c>
      <c r="AO12" s="80" t="s">
        <v>969</v>
      </c>
    </row>
    <row r="13" spans="1:41" ht="11.25" customHeight="1" x14ac:dyDescent="0.3">
      <c r="A13" s="148"/>
      <c r="B13" s="148" t="s">
        <v>82</v>
      </c>
      <c r="C13" s="148" t="s">
        <v>24</v>
      </c>
      <c r="D13" s="22" t="s">
        <v>24</v>
      </c>
      <c r="E13" s="22" t="s">
        <v>25</v>
      </c>
      <c r="F13" s="22" t="s">
        <v>25</v>
      </c>
      <c r="G13" s="23" t="s">
        <v>83</v>
      </c>
      <c r="H13" s="23" t="s">
        <v>79</v>
      </c>
      <c r="I13" s="23">
        <f>'MERCADO TE'!$U$10</f>
        <v>46756.356999999996</v>
      </c>
      <c r="J13" s="15"/>
      <c r="L13" s="20">
        <f>'TE BE'!$L$13*'TE BE'!$L$51</f>
        <v>4.1126839063631094E-8</v>
      </c>
      <c r="M13" s="20">
        <f>'TE BE'!$M$13*'TE BE'!$M$51</f>
        <v>1.3731397526742513</v>
      </c>
      <c r="N13" s="20">
        <f>'TE BE'!$N$13*'TE BE'!$N$51</f>
        <v>0</v>
      </c>
      <c r="O13" s="20">
        <f>'TE BE'!$O$13*'TE BE'!$O$51</f>
        <v>-0.10237967455295723</v>
      </c>
      <c r="P13" s="20">
        <f>'TE BE'!$P$13*'TE BE'!$P$51</f>
        <v>0</v>
      </c>
      <c r="Q13" s="20">
        <f>SUM($L$13:$P$13)</f>
        <v>1.270760119248133</v>
      </c>
      <c r="R13" s="20">
        <f>'TE BE'!$R$13*'TE BE'!$R$51</f>
        <v>17.29780321619462</v>
      </c>
      <c r="S13" s="20">
        <f>SUM($R$13:$R$13)</f>
        <v>17.29780321619462</v>
      </c>
      <c r="T13" s="20">
        <f>'TE BE'!$T$13*'TE BE'!$T$51</f>
        <v>-7.1757594775857081E-2</v>
      </c>
      <c r="U13" s="20">
        <f>'TE BE'!$U$13*'TE BE'!$U$51</f>
        <v>6.1645251667860355E-2</v>
      </c>
      <c r="V13" s="20">
        <f>'TE BE'!$V$13*'TE BE'!$V$51</f>
        <v>0</v>
      </c>
      <c r="W13" s="20">
        <f>SUM($T$13:$V$13)</f>
        <v>-1.0112343107996725E-2</v>
      </c>
      <c r="X13" s="20">
        <f>'TE BE'!$AB$13*'TE BE'!$X$51</f>
        <v>-10.133596943092927</v>
      </c>
      <c r="Y13" s="20">
        <f>SUM($X$13:$X$13)</f>
        <v>-10.133596943092927</v>
      </c>
      <c r="Z13" s="20">
        <f>'TE BE'!$Z$13*'TE BE'!$Z$51</f>
        <v>0.47398074080154723</v>
      </c>
      <c r="AA13" s="20">
        <f>SUM($Z$13:$Z$13)</f>
        <v>0.47398074080154723</v>
      </c>
      <c r="AB13" s="20">
        <f ca="1">SUMIF($L$4:$AA$4,"SUBTOTAL",$L$13:$AA$13)+AL13</f>
        <v>61.385071396650581</v>
      </c>
      <c r="AC13" s="9" t="str">
        <f t="shared" si="0"/>
        <v>B1</v>
      </c>
      <c r="AD13" s="9" t="str">
        <f t="shared" si="1"/>
        <v>Energia convencional</v>
      </c>
      <c r="AE13" s="9" t="str">
        <f t="shared" si="2"/>
        <v>Residencial</v>
      </c>
      <c r="AF13" s="9" t="str">
        <f t="shared" si="3"/>
        <v>Residencial</v>
      </c>
      <c r="AG13" s="9" t="str">
        <f t="shared" si="4"/>
        <v>Não se aplica</v>
      </c>
      <c r="AH13" s="9">
        <v>1</v>
      </c>
      <c r="AI13" s="9">
        <f ca="1">TarifaMedia!$G$36</f>
        <v>1</v>
      </c>
      <c r="AJ13" s="15">
        <f>'TE BE'!$AB13+'TE BF'!$AB13+'TE CVA'!$AB13</f>
        <v>234.02376339339278</v>
      </c>
      <c r="AK13" s="9">
        <v>286.51</v>
      </c>
      <c r="AL13" s="9">
        <f t="shared" ca="1" si="5"/>
        <v>52.486236606607207</v>
      </c>
      <c r="AO13" s="80" t="s">
        <v>970</v>
      </c>
    </row>
    <row r="14" spans="1:41" ht="11.25" customHeight="1" x14ac:dyDescent="0.3">
      <c r="A14" s="148"/>
      <c r="B14" s="148"/>
      <c r="C14" s="148"/>
      <c r="D14" s="22" t="s">
        <v>29</v>
      </c>
      <c r="E14" s="22" t="s">
        <v>25</v>
      </c>
      <c r="F14" s="22" t="s">
        <v>25</v>
      </c>
      <c r="G14" s="23" t="s">
        <v>83</v>
      </c>
      <c r="H14" s="23" t="s">
        <v>79</v>
      </c>
      <c r="I14" s="23">
        <f>'MERCADO TE'!$U$11</f>
        <v>1110.3100000000002</v>
      </c>
      <c r="J14" s="15"/>
      <c r="L14" s="20">
        <f>'TE BE'!$L$14*'TE BE'!$L$51</f>
        <v>4.1126839063631094E-8</v>
      </c>
      <c r="M14" s="20">
        <f>'TE BE'!$M$14*'TE BE'!$M$51</f>
        <v>1.3731397526742513</v>
      </c>
      <c r="N14" s="20">
        <f>'TE BE'!$N$14*'TE BE'!$N$51</f>
        <v>0</v>
      </c>
      <c r="O14" s="20">
        <f>'TE BE'!$O$14*'TE BE'!$O$51</f>
        <v>-0.10237967455295723</v>
      </c>
      <c r="P14" s="20">
        <f>'TE BE'!$P$14*'TE BE'!$P$51</f>
        <v>0</v>
      </c>
      <c r="Q14" s="20">
        <f>SUM($L$14:$P$14)</f>
        <v>1.270760119248133</v>
      </c>
      <c r="R14" s="20">
        <f>'TE BE'!$R$14*'TE BE'!$R$51</f>
        <v>17.29780321619462</v>
      </c>
      <c r="S14" s="20">
        <f>SUM($R$14:$R$14)</f>
        <v>17.29780321619462</v>
      </c>
      <c r="T14" s="20">
        <f>'TE BE'!$T$14*'TE BE'!$T$51</f>
        <v>-7.1757594775857081E-2</v>
      </c>
      <c r="U14" s="20">
        <f>'TE BE'!$U$14*'TE BE'!$U$51</f>
        <v>6.1645251667860355E-2</v>
      </c>
      <c r="V14" s="20">
        <f>'TE BE'!$V$14*'TE BE'!$V$51</f>
        <v>0</v>
      </c>
      <c r="W14" s="20">
        <f>SUM($T$14:$V$14)</f>
        <v>-1.0112343107996725E-2</v>
      </c>
      <c r="X14" s="20">
        <f>'TE BE'!$AB$14*'TE BE'!$X$51</f>
        <v>-10.133596943092927</v>
      </c>
      <c r="Y14" s="20">
        <f>SUM($X$14:$X$14)</f>
        <v>-10.133596943092927</v>
      </c>
      <c r="Z14" s="20">
        <f>'TE BE'!$Z$14*'TE BE'!$Z$51</f>
        <v>0.47398074080154723</v>
      </c>
      <c r="AA14" s="20">
        <f>SUM($Z$14:$Z$14)</f>
        <v>0.47398074080154723</v>
      </c>
      <c r="AB14" s="20">
        <f ca="1">SUMIF($L$4:$AA$4,"SUBTOTAL",$L$14:$AA$14)+AL14</f>
        <v>61.385071396650581</v>
      </c>
      <c r="AC14" s="9" t="str">
        <f t="shared" si="0"/>
        <v>B1</v>
      </c>
      <c r="AD14" s="9" t="str">
        <f t="shared" si="1"/>
        <v>Energia convencional</v>
      </c>
      <c r="AE14" s="9" t="str">
        <f t="shared" si="2"/>
        <v>Residencial</v>
      </c>
      <c r="AF14" s="9" t="str">
        <f t="shared" si="3"/>
        <v>Residencial baixa renda – faixa 01</v>
      </c>
      <c r="AG14" s="9" t="str">
        <f t="shared" si="4"/>
        <v>Não se aplica</v>
      </c>
      <c r="AH14" s="9">
        <v>1</v>
      </c>
      <c r="AI14" s="9">
        <f ca="1">TarifaMedia!$G$36</f>
        <v>1</v>
      </c>
      <c r="AJ14" s="15">
        <f>'TE BE'!$AB14+'TE BF'!$AB14+'TE CVA'!$AB14</f>
        <v>234.02376339339278</v>
      </c>
      <c r="AK14" s="9">
        <v>286.51</v>
      </c>
      <c r="AL14" s="9">
        <f t="shared" ca="1" si="5"/>
        <v>52.486236606607207</v>
      </c>
      <c r="AO14" s="80" t="s">
        <v>971</v>
      </c>
    </row>
    <row r="15" spans="1:41" ht="11.25" customHeight="1" x14ac:dyDescent="0.3">
      <c r="A15" s="148"/>
      <c r="B15" s="148"/>
      <c r="C15" s="148"/>
      <c r="D15" s="22" t="s">
        <v>30</v>
      </c>
      <c r="E15" s="22" t="s">
        <v>25</v>
      </c>
      <c r="F15" s="22" t="s">
        <v>25</v>
      </c>
      <c r="G15" s="23" t="s">
        <v>83</v>
      </c>
      <c r="H15" s="23" t="s">
        <v>79</v>
      </c>
      <c r="I15" s="23">
        <f>'MERCADO TE'!$U$12</f>
        <v>2263.0230000000001</v>
      </c>
      <c r="J15" s="15"/>
      <c r="L15" s="20">
        <f>'TE BE'!$L$15*'TE BE'!$L$51</f>
        <v>4.1126839063631094E-8</v>
      </c>
      <c r="M15" s="20">
        <f>'TE BE'!$M$15*'TE BE'!$M$51</f>
        <v>1.3731397526742513</v>
      </c>
      <c r="N15" s="20">
        <f>'TE BE'!$N$15*'TE BE'!$N$51</f>
        <v>0</v>
      </c>
      <c r="O15" s="20">
        <f>'TE BE'!$O$15*'TE BE'!$O$51</f>
        <v>-0.10237967455295723</v>
      </c>
      <c r="P15" s="20">
        <f>'TE BE'!$P$15*'TE BE'!$P$51</f>
        <v>0</v>
      </c>
      <c r="Q15" s="20">
        <f>SUM($L$15:$P$15)</f>
        <v>1.270760119248133</v>
      </c>
      <c r="R15" s="20">
        <f>'TE BE'!$R$15*'TE BE'!$R$51</f>
        <v>17.29780321619462</v>
      </c>
      <c r="S15" s="20">
        <f>SUM($R$15:$R$15)</f>
        <v>17.29780321619462</v>
      </c>
      <c r="T15" s="20">
        <f>'TE BE'!$T$15*'TE BE'!$T$51</f>
        <v>-7.1757594775857081E-2</v>
      </c>
      <c r="U15" s="20">
        <f>'TE BE'!$U$15*'TE BE'!$U$51</f>
        <v>6.1645251667860355E-2</v>
      </c>
      <c r="V15" s="20">
        <f>'TE BE'!$V$15*'TE BE'!$V$51</f>
        <v>0</v>
      </c>
      <c r="W15" s="20">
        <f>SUM($T$15:$V$15)</f>
        <v>-1.0112343107996725E-2</v>
      </c>
      <c r="X15" s="20">
        <f>'TE BE'!$AB$15*'TE BE'!$X$51</f>
        <v>-10.133596943092927</v>
      </c>
      <c r="Y15" s="20">
        <f>SUM($X$15:$X$15)</f>
        <v>-10.133596943092927</v>
      </c>
      <c r="Z15" s="20">
        <f>'TE BE'!$Z$15*'TE BE'!$Z$51</f>
        <v>0.47398074080154723</v>
      </c>
      <c r="AA15" s="20">
        <f>SUM($Z$15:$Z$15)</f>
        <v>0.47398074080154723</v>
      </c>
      <c r="AB15" s="20">
        <f ca="1">SUMIF($L$4:$AA$4,"SUBTOTAL",$L$15:$AA$15)+AL15</f>
        <v>61.385071396650581</v>
      </c>
      <c r="AC15" s="9" t="str">
        <f t="shared" si="0"/>
        <v>B1</v>
      </c>
      <c r="AD15" s="9" t="str">
        <f t="shared" si="1"/>
        <v>Energia convencional</v>
      </c>
      <c r="AE15" s="9" t="str">
        <f t="shared" si="2"/>
        <v>Residencial</v>
      </c>
      <c r="AF15" s="9" t="str">
        <f t="shared" si="3"/>
        <v>Residencial baixa renda – faixa 02</v>
      </c>
      <c r="AG15" s="9" t="str">
        <f t="shared" si="4"/>
        <v>Não se aplica</v>
      </c>
      <c r="AH15" s="9">
        <v>1</v>
      </c>
      <c r="AI15" s="9">
        <f ca="1">TarifaMedia!$G$36</f>
        <v>1</v>
      </c>
      <c r="AJ15" s="15">
        <f>'TE BE'!$AB15+'TE BF'!$AB15+'TE CVA'!$AB15</f>
        <v>234.02376339339278</v>
      </c>
      <c r="AK15" s="9">
        <v>286.51</v>
      </c>
      <c r="AL15" s="9">
        <f t="shared" ca="1" si="5"/>
        <v>52.486236606607207</v>
      </c>
      <c r="AO15" s="80" t="s">
        <v>971</v>
      </c>
    </row>
    <row r="16" spans="1:41" ht="11.25" customHeight="1" x14ac:dyDescent="0.3">
      <c r="A16" s="148"/>
      <c r="B16" s="148"/>
      <c r="C16" s="148"/>
      <c r="D16" s="22" t="s">
        <v>31</v>
      </c>
      <c r="E16" s="22" t="s">
        <v>25</v>
      </c>
      <c r="F16" s="22" t="s">
        <v>25</v>
      </c>
      <c r="G16" s="23" t="s">
        <v>83</v>
      </c>
      <c r="H16" s="23" t="s">
        <v>79</v>
      </c>
      <c r="I16" s="23">
        <f>'MERCADO TE'!$U$13</f>
        <v>1590.454</v>
      </c>
      <c r="J16" s="15"/>
      <c r="L16" s="20">
        <f>'TE BE'!$L$16*'TE BE'!$L$51</f>
        <v>4.1126839063631094E-8</v>
      </c>
      <c r="M16" s="20">
        <f>'TE BE'!$M$16*'TE BE'!$M$51</f>
        <v>1.3731397526742513</v>
      </c>
      <c r="N16" s="20">
        <f>'TE BE'!$N$16*'TE BE'!$N$51</f>
        <v>0</v>
      </c>
      <c r="O16" s="20">
        <f>'TE BE'!$O$16*'TE BE'!$O$51</f>
        <v>-0.10237967455295723</v>
      </c>
      <c r="P16" s="20">
        <f>'TE BE'!$P$16*'TE BE'!$P$51</f>
        <v>0</v>
      </c>
      <c r="Q16" s="20">
        <f>SUM($L$16:$P$16)</f>
        <v>1.270760119248133</v>
      </c>
      <c r="R16" s="20">
        <f>'TE BE'!$R$16*'TE BE'!$R$51</f>
        <v>17.29780321619462</v>
      </c>
      <c r="S16" s="20">
        <f>SUM($R$16:$R$16)</f>
        <v>17.29780321619462</v>
      </c>
      <c r="T16" s="20">
        <f>'TE BE'!$T$16*'TE BE'!$T$51</f>
        <v>-7.1757594775857081E-2</v>
      </c>
      <c r="U16" s="20">
        <f>'TE BE'!$U$16*'TE BE'!$U$51</f>
        <v>6.1645251667860355E-2</v>
      </c>
      <c r="V16" s="20">
        <f>'TE BE'!$V$16*'TE BE'!$V$51</f>
        <v>0</v>
      </c>
      <c r="W16" s="20">
        <f>SUM($T$16:$V$16)</f>
        <v>-1.0112343107996725E-2</v>
      </c>
      <c r="X16" s="20">
        <f>'TE BE'!$AB$16*'TE BE'!$X$51</f>
        <v>-10.133596943092927</v>
      </c>
      <c r="Y16" s="20">
        <f>SUM($X$16:$X$16)</f>
        <v>-10.133596943092927</v>
      </c>
      <c r="Z16" s="20">
        <f>'TE BE'!$Z$16*'TE BE'!$Z$51</f>
        <v>0.47398074080154723</v>
      </c>
      <c r="AA16" s="20">
        <f>SUM($Z$16:$Z$16)</f>
        <v>0.47398074080154723</v>
      </c>
      <c r="AB16" s="20">
        <f ca="1">SUMIF($L$4:$AA$4,"SUBTOTAL",$L$16:$AA$16)+AL16</f>
        <v>61.385071396650581</v>
      </c>
      <c r="AC16" s="9" t="str">
        <f t="shared" si="0"/>
        <v>B1</v>
      </c>
      <c r="AD16" s="9" t="str">
        <f t="shared" si="1"/>
        <v>Energia convencional</v>
      </c>
      <c r="AE16" s="9" t="str">
        <f t="shared" si="2"/>
        <v>Residencial</v>
      </c>
      <c r="AF16" s="9" t="str">
        <f t="shared" si="3"/>
        <v>Residencial baixa renda – faixa 03</v>
      </c>
      <c r="AG16" s="9" t="str">
        <f t="shared" si="4"/>
        <v>Não se aplica</v>
      </c>
      <c r="AH16" s="9">
        <v>1</v>
      </c>
      <c r="AI16" s="9">
        <f ca="1">TarifaMedia!$G$36</f>
        <v>1</v>
      </c>
      <c r="AJ16" s="15">
        <f>'TE BE'!$AB16+'TE BF'!$AB16+'TE CVA'!$AB16</f>
        <v>234.02376339339278</v>
      </c>
      <c r="AK16" s="9">
        <v>286.51</v>
      </c>
      <c r="AL16" s="9">
        <f t="shared" ca="1" si="5"/>
        <v>52.486236606607207</v>
      </c>
      <c r="AO16" s="80" t="s">
        <v>971</v>
      </c>
    </row>
    <row r="17" spans="1:41" ht="11.25" customHeight="1" x14ac:dyDescent="0.3">
      <c r="A17" s="148"/>
      <c r="B17" s="148"/>
      <c r="C17" s="148"/>
      <c r="D17" s="22" t="s">
        <v>32</v>
      </c>
      <c r="E17" s="22" t="s">
        <v>25</v>
      </c>
      <c r="F17" s="22" t="s">
        <v>25</v>
      </c>
      <c r="G17" s="23" t="s">
        <v>83</v>
      </c>
      <c r="H17" s="23" t="s">
        <v>79</v>
      </c>
      <c r="I17" s="23">
        <f>'MERCADO TE'!$U$14</f>
        <v>284.12699999999995</v>
      </c>
      <c r="J17" s="15"/>
      <c r="L17" s="20">
        <f>'TE BE'!$L$17*'TE BE'!$L$51</f>
        <v>4.1126839063631094E-8</v>
      </c>
      <c r="M17" s="20">
        <f>'TE BE'!$M$17*'TE BE'!$M$51</f>
        <v>1.3731397526742513</v>
      </c>
      <c r="N17" s="20">
        <f>'TE BE'!$N$17*'TE BE'!$N$51</f>
        <v>0</v>
      </c>
      <c r="O17" s="20">
        <f>'TE BE'!$O$17*'TE BE'!$O$51</f>
        <v>-0.10237967455295723</v>
      </c>
      <c r="P17" s="20">
        <f>'TE BE'!$P$17*'TE BE'!$P$51</f>
        <v>0</v>
      </c>
      <c r="Q17" s="20">
        <f>SUM($L$17:$P$17)</f>
        <v>1.270760119248133</v>
      </c>
      <c r="R17" s="20">
        <f>'TE BE'!$R$17*'TE BE'!$R$51</f>
        <v>17.29780321619462</v>
      </c>
      <c r="S17" s="20">
        <f>SUM($R$17:$R$17)</f>
        <v>17.29780321619462</v>
      </c>
      <c r="T17" s="20">
        <f>'TE BE'!$T$17*'TE BE'!$T$51</f>
        <v>-7.1757594775857081E-2</v>
      </c>
      <c r="U17" s="20">
        <f>'TE BE'!$U$17*'TE BE'!$U$51</f>
        <v>6.1645251667860355E-2</v>
      </c>
      <c r="V17" s="20">
        <f>'TE BE'!$V$17*'TE BE'!$V$51</f>
        <v>0</v>
      </c>
      <c r="W17" s="20">
        <f>SUM($T$17:$V$17)</f>
        <v>-1.0112343107996725E-2</v>
      </c>
      <c r="X17" s="20">
        <f>'TE BE'!$AB$17*'TE BE'!$X$51</f>
        <v>-10.133596943092927</v>
      </c>
      <c r="Y17" s="20">
        <f>SUM($X$17:$X$17)</f>
        <v>-10.133596943092927</v>
      </c>
      <c r="Z17" s="20">
        <f>'TE BE'!$Z$17*'TE BE'!$Z$51</f>
        <v>0.47398074080154723</v>
      </c>
      <c r="AA17" s="20">
        <f>SUM($Z$17:$Z$17)</f>
        <v>0.47398074080154723</v>
      </c>
      <c r="AB17" s="20">
        <f ca="1">SUMIF($L$4:$AA$4,"SUBTOTAL",$L$17:$AA$17)+AL17</f>
        <v>61.385071396650581</v>
      </c>
      <c r="AC17" s="9" t="str">
        <f t="shared" si="0"/>
        <v>B1</v>
      </c>
      <c r="AD17" s="9" t="str">
        <f t="shared" si="1"/>
        <v>Energia convencional</v>
      </c>
      <c r="AE17" s="9" t="str">
        <f t="shared" si="2"/>
        <v>Residencial</v>
      </c>
      <c r="AF17" s="9" t="str">
        <f t="shared" si="3"/>
        <v>Residencial baixa renda – faixa 04</v>
      </c>
      <c r="AG17" s="9" t="str">
        <f t="shared" si="4"/>
        <v>Não se aplica</v>
      </c>
      <c r="AH17" s="9">
        <v>1</v>
      </c>
      <c r="AI17" s="9">
        <f ca="1">TarifaMedia!$G$36</f>
        <v>1</v>
      </c>
      <c r="AJ17" s="15">
        <f>'TE BE'!$AB17+'TE BF'!$AB17+'TE CVA'!$AB17</f>
        <v>234.02376339339278</v>
      </c>
      <c r="AK17" s="9">
        <v>286.51</v>
      </c>
      <c r="AL17" s="9">
        <f t="shared" ca="1" si="5"/>
        <v>52.486236606607207</v>
      </c>
      <c r="AO17" s="80" t="s">
        <v>971</v>
      </c>
    </row>
    <row r="18" spans="1:41" ht="11.25" customHeight="1" x14ac:dyDescent="0.3">
      <c r="A18" s="148"/>
      <c r="B18" s="148" t="s">
        <v>92</v>
      </c>
      <c r="C18" s="148" t="s">
        <v>24</v>
      </c>
      <c r="D18" s="22" t="s">
        <v>24</v>
      </c>
      <c r="E18" s="22" t="s">
        <v>25</v>
      </c>
      <c r="F18" s="22" t="s">
        <v>25</v>
      </c>
      <c r="G18" s="23" t="s">
        <v>83</v>
      </c>
      <c r="H18" s="23" t="s">
        <v>79</v>
      </c>
      <c r="I18" s="23">
        <f>'MERCADO TE'!$U$15</f>
        <v>0</v>
      </c>
      <c r="J18" s="15"/>
      <c r="L18" s="20">
        <f>'TE BE'!$L$18*'TE BE'!$L$51</f>
        <v>4.1126839063631094E-8</v>
      </c>
      <c r="M18" s="20">
        <f>'TE BE'!$M$18*'TE BE'!$M$51</f>
        <v>1.3731397526742513</v>
      </c>
      <c r="N18" s="20">
        <f>'TE BE'!$N$18*'TE BE'!$N$51</f>
        <v>0</v>
      </c>
      <c r="O18" s="20">
        <f>'TE BE'!$O$18*'TE BE'!$O$51</f>
        <v>-0.10237967455295723</v>
      </c>
      <c r="P18" s="20">
        <f>'TE BE'!$P$18*'TE BE'!$P$51</f>
        <v>0</v>
      </c>
      <c r="Q18" s="20">
        <f>SUM($L$18:$P$18)</f>
        <v>1.270760119248133</v>
      </c>
      <c r="R18" s="20">
        <f>'TE BE'!$R$18*'TE BE'!$R$51</f>
        <v>17.29780321619462</v>
      </c>
      <c r="S18" s="20">
        <f>SUM($R$18:$R$18)</f>
        <v>17.29780321619462</v>
      </c>
      <c r="T18" s="20">
        <f>'TE BE'!$T$18*'TE BE'!$T$51</f>
        <v>-7.1757594775857081E-2</v>
      </c>
      <c r="U18" s="20">
        <f>'TE BE'!$U$18*'TE BE'!$U$51</f>
        <v>6.1645251667860355E-2</v>
      </c>
      <c r="V18" s="20">
        <f>'TE BE'!$V$18*'TE BE'!$V$51</f>
        <v>0</v>
      </c>
      <c r="W18" s="20">
        <f>SUM($T$18:$V$18)</f>
        <v>-1.0112343107996725E-2</v>
      </c>
      <c r="X18" s="20">
        <f>'TE BE'!$AB$18*'TE BE'!$X$51</f>
        <v>-10.133596943092927</v>
      </c>
      <c r="Y18" s="20">
        <f>SUM($X$18:$X$18)</f>
        <v>-10.133596943092927</v>
      </c>
      <c r="Z18" s="20">
        <f>'TE BE'!$Z$18*'TE BE'!$Z$51</f>
        <v>0.47398074080154723</v>
      </c>
      <c r="AA18" s="20">
        <f>SUM($Z$18:$Z$18)</f>
        <v>0.47398074080154723</v>
      </c>
      <c r="AB18" s="20">
        <f ca="1">SUMIF($L$4:$AA$4,"SUBTOTAL",$L$18:$AA$18)+AL18</f>
        <v>61.385071396650581</v>
      </c>
      <c r="AC18" s="9" t="str">
        <f t="shared" si="0"/>
        <v>B1</v>
      </c>
      <c r="AD18" s="9" t="str">
        <f t="shared" si="1"/>
        <v>Energia convencional pré-pagamento</v>
      </c>
      <c r="AE18" s="9" t="str">
        <f t="shared" si="2"/>
        <v>Residencial</v>
      </c>
      <c r="AF18" s="9" t="str">
        <f t="shared" si="3"/>
        <v>Residencial</v>
      </c>
      <c r="AG18" s="9" t="str">
        <f t="shared" si="4"/>
        <v>Não se aplica</v>
      </c>
      <c r="AH18" s="9">
        <v>1</v>
      </c>
      <c r="AI18" s="9">
        <f ca="1">TarifaMedia!$G$36</f>
        <v>1</v>
      </c>
      <c r="AJ18" s="15">
        <f>'TE BE'!$AB18+'TE BF'!$AB18+'TE CVA'!$AB18</f>
        <v>234.02376339339278</v>
      </c>
      <c r="AK18" s="9">
        <v>286.51</v>
      </c>
      <c r="AL18" s="9">
        <f t="shared" ca="1" si="5"/>
        <v>52.486236606607207</v>
      </c>
      <c r="AO18" s="80" t="s">
        <v>972</v>
      </c>
    </row>
    <row r="19" spans="1:41" ht="11.25" customHeight="1" x14ac:dyDescent="0.3">
      <c r="A19" s="148"/>
      <c r="B19" s="148"/>
      <c r="C19" s="148"/>
      <c r="D19" s="22" t="s">
        <v>29</v>
      </c>
      <c r="E19" s="22" t="s">
        <v>25</v>
      </c>
      <c r="F19" s="22" t="s">
        <v>25</v>
      </c>
      <c r="G19" s="23" t="s">
        <v>83</v>
      </c>
      <c r="H19" s="23" t="s">
        <v>79</v>
      </c>
      <c r="I19" s="23">
        <f>'MERCADO TE'!$U$16</f>
        <v>0</v>
      </c>
      <c r="J19" s="15"/>
      <c r="L19" s="20">
        <f>'TE BE'!$L$19*'TE BE'!$L$51</f>
        <v>4.1126839063631094E-8</v>
      </c>
      <c r="M19" s="20">
        <f>'TE BE'!$M$19*'TE BE'!$M$51</f>
        <v>1.3731397526742513</v>
      </c>
      <c r="N19" s="20">
        <f>'TE BE'!$N$19*'TE BE'!$N$51</f>
        <v>0</v>
      </c>
      <c r="O19" s="20">
        <f>'TE BE'!$O$19*'TE BE'!$O$51</f>
        <v>-0.10237967455295723</v>
      </c>
      <c r="P19" s="20">
        <f>'TE BE'!$P$19*'TE BE'!$P$51</f>
        <v>0</v>
      </c>
      <c r="Q19" s="20">
        <f>SUM($L$19:$P$19)</f>
        <v>1.270760119248133</v>
      </c>
      <c r="R19" s="20">
        <f>'TE BE'!$R$19*'TE BE'!$R$51</f>
        <v>17.29780321619462</v>
      </c>
      <c r="S19" s="20">
        <f>SUM($R$19:$R$19)</f>
        <v>17.29780321619462</v>
      </c>
      <c r="T19" s="20">
        <f>'TE BE'!$T$19*'TE BE'!$T$51</f>
        <v>-7.1757594775857081E-2</v>
      </c>
      <c r="U19" s="20">
        <f>'TE BE'!$U$19*'TE BE'!$U$51</f>
        <v>6.1645251667860355E-2</v>
      </c>
      <c r="V19" s="20">
        <f>'TE BE'!$V$19*'TE BE'!$V$51</f>
        <v>0</v>
      </c>
      <c r="W19" s="20">
        <f>SUM($T$19:$V$19)</f>
        <v>-1.0112343107996725E-2</v>
      </c>
      <c r="X19" s="20">
        <f>'TE BE'!$AB$19*'TE BE'!$X$51</f>
        <v>-10.133596943092927</v>
      </c>
      <c r="Y19" s="20">
        <f>SUM($X$19:$X$19)</f>
        <v>-10.133596943092927</v>
      </c>
      <c r="Z19" s="20">
        <f>'TE BE'!$Z$19*'TE BE'!$Z$51</f>
        <v>0.47398074080154723</v>
      </c>
      <c r="AA19" s="20">
        <f>SUM($Z$19:$Z$19)</f>
        <v>0.47398074080154723</v>
      </c>
      <c r="AB19" s="20">
        <f ca="1">SUMIF($L$4:$AA$4,"SUBTOTAL",$L$19:$AA$19)+AL19</f>
        <v>61.385071396650581</v>
      </c>
      <c r="AC19" s="9" t="str">
        <f t="shared" si="0"/>
        <v>B1</v>
      </c>
      <c r="AD19" s="9" t="str">
        <f t="shared" si="1"/>
        <v>Energia convencional pré-pagamento</v>
      </c>
      <c r="AE19" s="9" t="str">
        <f t="shared" si="2"/>
        <v>Residencial</v>
      </c>
      <c r="AF19" s="9" t="str">
        <f t="shared" si="3"/>
        <v>Residencial baixa renda – faixa 01</v>
      </c>
      <c r="AG19" s="9" t="str">
        <f t="shared" si="4"/>
        <v>Não se aplica</v>
      </c>
      <c r="AH19" s="9">
        <v>1</v>
      </c>
      <c r="AI19" s="9">
        <f ca="1">TarifaMedia!$G$36</f>
        <v>1</v>
      </c>
      <c r="AJ19" s="15">
        <f>'TE BE'!$AB19+'TE BF'!$AB19+'TE CVA'!$AB19</f>
        <v>234.02376339339278</v>
      </c>
      <c r="AK19" s="9">
        <v>286.51</v>
      </c>
      <c r="AL19" s="9">
        <f t="shared" ca="1" si="5"/>
        <v>52.486236606607207</v>
      </c>
      <c r="AO19" s="80" t="s">
        <v>973</v>
      </c>
    </row>
    <row r="20" spans="1:41" ht="11.25" customHeight="1" x14ac:dyDescent="0.3">
      <c r="A20" s="148"/>
      <c r="B20" s="148"/>
      <c r="C20" s="148"/>
      <c r="D20" s="22" t="s">
        <v>30</v>
      </c>
      <c r="E20" s="22" t="s">
        <v>25</v>
      </c>
      <c r="F20" s="22" t="s">
        <v>25</v>
      </c>
      <c r="G20" s="23" t="s">
        <v>83</v>
      </c>
      <c r="H20" s="23" t="s">
        <v>79</v>
      </c>
      <c r="I20" s="23">
        <f>'MERCADO TE'!$U$17</f>
        <v>0</v>
      </c>
      <c r="J20" s="15"/>
      <c r="L20" s="20">
        <f>'TE BE'!$L$20*'TE BE'!$L$51</f>
        <v>4.1126839063631094E-8</v>
      </c>
      <c r="M20" s="20">
        <f>'TE BE'!$M$20*'TE BE'!$M$51</f>
        <v>1.3731397526742513</v>
      </c>
      <c r="N20" s="20">
        <f>'TE BE'!$N$20*'TE BE'!$N$51</f>
        <v>0</v>
      </c>
      <c r="O20" s="20">
        <f>'TE BE'!$O$20*'TE BE'!$O$51</f>
        <v>-0.10237967455295723</v>
      </c>
      <c r="P20" s="20">
        <f>'TE BE'!$P$20*'TE BE'!$P$51</f>
        <v>0</v>
      </c>
      <c r="Q20" s="20">
        <f>SUM($L$20:$P$20)</f>
        <v>1.270760119248133</v>
      </c>
      <c r="R20" s="20">
        <f>'TE BE'!$R$20*'TE BE'!$R$51</f>
        <v>17.29780321619462</v>
      </c>
      <c r="S20" s="20">
        <f>SUM($R$20:$R$20)</f>
        <v>17.29780321619462</v>
      </c>
      <c r="T20" s="20">
        <f>'TE BE'!$T$20*'TE BE'!$T$51</f>
        <v>-7.1757594775857081E-2</v>
      </c>
      <c r="U20" s="20">
        <f>'TE BE'!$U$20*'TE BE'!$U$51</f>
        <v>6.1645251667860355E-2</v>
      </c>
      <c r="V20" s="20">
        <f>'TE BE'!$V$20*'TE BE'!$V$51</f>
        <v>0</v>
      </c>
      <c r="W20" s="20">
        <f>SUM($T$20:$V$20)</f>
        <v>-1.0112343107996725E-2</v>
      </c>
      <c r="X20" s="20">
        <f>'TE BE'!$AB$20*'TE BE'!$X$51</f>
        <v>-10.133596943092927</v>
      </c>
      <c r="Y20" s="20">
        <f>SUM($X$20:$X$20)</f>
        <v>-10.133596943092927</v>
      </c>
      <c r="Z20" s="20">
        <f>'TE BE'!$Z$20*'TE BE'!$Z$51</f>
        <v>0.47398074080154723</v>
      </c>
      <c r="AA20" s="20">
        <f>SUM($Z$20:$Z$20)</f>
        <v>0.47398074080154723</v>
      </c>
      <c r="AB20" s="20">
        <f ca="1">SUMIF($L$4:$AA$4,"SUBTOTAL",$L$20:$AA$20)+AL20</f>
        <v>61.385071396650581</v>
      </c>
      <c r="AC20" s="9" t="str">
        <f t="shared" si="0"/>
        <v>B1</v>
      </c>
      <c r="AD20" s="9" t="str">
        <f t="shared" si="1"/>
        <v>Energia convencional pré-pagamento</v>
      </c>
      <c r="AE20" s="9" t="str">
        <f t="shared" si="2"/>
        <v>Residencial</v>
      </c>
      <c r="AF20" s="9" t="str">
        <f t="shared" si="3"/>
        <v>Residencial baixa renda – faixa 02</v>
      </c>
      <c r="AG20" s="9" t="str">
        <f t="shared" si="4"/>
        <v>Não se aplica</v>
      </c>
      <c r="AH20" s="9">
        <v>1</v>
      </c>
      <c r="AI20" s="9">
        <f ca="1">TarifaMedia!$G$36</f>
        <v>1</v>
      </c>
      <c r="AJ20" s="15">
        <f>'TE BE'!$AB20+'TE BF'!$AB20+'TE CVA'!$AB20</f>
        <v>234.02376339339278</v>
      </c>
      <c r="AK20" s="9">
        <v>286.51</v>
      </c>
      <c r="AL20" s="9">
        <f t="shared" ca="1" si="5"/>
        <v>52.486236606607207</v>
      </c>
      <c r="AO20" s="80" t="s">
        <v>973</v>
      </c>
    </row>
    <row r="21" spans="1:41" ht="11.25" customHeight="1" x14ac:dyDescent="0.3">
      <c r="A21" s="148"/>
      <c r="B21" s="148"/>
      <c r="C21" s="148"/>
      <c r="D21" s="22" t="s">
        <v>31</v>
      </c>
      <c r="E21" s="22" t="s">
        <v>25</v>
      </c>
      <c r="F21" s="22" t="s">
        <v>25</v>
      </c>
      <c r="G21" s="23" t="s">
        <v>83</v>
      </c>
      <c r="H21" s="23" t="s">
        <v>79</v>
      </c>
      <c r="I21" s="23">
        <f>'MERCADO TE'!$U$18</f>
        <v>0</v>
      </c>
      <c r="J21" s="15"/>
      <c r="L21" s="20">
        <f>'TE BE'!$L$21*'TE BE'!$L$51</f>
        <v>4.1126839063631094E-8</v>
      </c>
      <c r="M21" s="20">
        <f>'TE BE'!$M$21*'TE BE'!$M$51</f>
        <v>1.3731397526742513</v>
      </c>
      <c r="N21" s="20">
        <f>'TE BE'!$N$21*'TE BE'!$N$51</f>
        <v>0</v>
      </c>
      <c r="O21" s="20">
        <f>'TE BE'!$O$21*'TE BE'!$O$51</f>
        <v>-0.10237967455295723</v>
      </c>
      <c r="P21" s="20">
        <f>'TE BE'!$P$21*'TE BE'!$P$51</f>
        <v>0</v>
      </c>
      <c r="Q21" s="20">
        <f>SUM($L$21:$P$21)</f>
        <v>1.270760119248133</v>
      </c>
      <c r="R21" s="20">
        <f>'TE BE'!$R$21*'TE BE'!$R$51</f>
        <v>17.29780321619462</v>
      </c>
      <c r="S21" s="20">
        <f>SUM($R$21:$R$21)</f>
        <v>17.29780321619462</v>
      </c>
      <c r="T21" s="20">
        <f>'TE BE'!$T$21*'TE BE'!$T$51</f>
        <v>-7.1757594775857081E-2</v>
      </c>
      <c r="U21" s="20">
        <f>'TE BE'!$U$21*'TE BE'!$U$51</f>
        <v>6.1645251667860355E-2</v>
      </c>
      <c r="V21" s="20">
        <f>'TE BE'!$V$21*'TE BE'!$V$51</f>
        <v>0</v>
      </c>
      <c r="W21" s="20">
        <f>SUM($T$21:$V$21)</f>
        <v>-1.0112343107996725E-2</v>
      </c>
      <c r="X21" s="20">
        <f>'TE BE'!$AB$21*'TE BE'!$X$51</f>
        <v>-10.133596943092927</v>
      </c>
      <c r="Y21" s="20">
        <f>SUM($X$21:$X$21)</f>
        <v>-10.133596943092927</v>
      </c>
      <c r="Z21" s="20">
        <f>'TE BE'!$Z$21*'TE BE'!$Z$51</f>
        <v>0.47398074080154723</v>
      </c>
      <c r="AA21" s="20">
        <f>SUM($Z$21:$Z$21)</f>
        <v>0.47398074080154723</v>
      </c>
      <c r="AB21" s="20">
        <f ca="1">SUMIF($L$4:$AA$4,"SUBTOTAL",$L$21:$AA$21)+AL21</f>
        <v>61.385071396650581</v>
      </c>
      <c r="AC21" s="9" t="str">
        <f t="shared" si="0"/>
        <v>B1</v>
      </c>
      <c r="AD21" s="9" t="str">
        <f t="shared" si="1"/>
        <v>Energia convencional pré-pagamento</v>
      </c>
      <c r="AE21" s="9" t="str">
        <f t="shared" si="2"/>
        <v>Residencial</v>
      </c>
      <c r="AF21" s="9" t="str">
        <f t="shared" si="3"/>
        <v>Residencial baixa renda – faixa 03</v>
      </c>
      <c r="AG21" s="9" t="str">
        <f t="shared" si="4"/>
        <v>Não se aplica</v>
      </c>
      <c r="AH21" s="9">
        <v>1</v>
      </c>
      <c r="AI21" s="9">
        <f ca="1">TarifaMedia!$G$36</f>
        <v>1</v>
      </c>
      <c r="AJ21" s="15">
        <f>'TE BE'!$AB21+'TE BF'!$AB21+'TE CVA'!$AB21</f>
        <v>234.02376339339278</v>
      </c>
      <c r="AK21" s="9">
        <v>286.51</v>
      </c>
      <c r="AL21" s="9">
        <f t="shared" ca="1" si="5"/>
        <v>52.486236606607207</v>
      </c>
      <c r="AO21" s="80" t="s">
        <v>973</v>
      </c>
    </row>
    <row r="22" spans="1:41" ht="11.25" customHeight="1" x14ac:dyDescent="0.3">
      <c r="A22" s="148"/>
      <c r="B22" s="148"/>
      <c r="C22" s="148"/>
      <c r="D22" s="22" t="s">
        <v>32</v>
      </c>
      <c r="E22" s="22" t="s">
        <v>25</v>
      </c>
      <c r="F22" s="22" t="s">
        <v>25</v>
      </c>
      <c r="G22" s="23" t="s">
        <v>83</v>
      </c>
      <c r="H22" s="23" t="s">
        <v>79</v>
      </c>
      <c r="I22" s="23">
        <f>'MERCADO TE'!$U$19</f>
        <v>0</v>
      </c>
      <c r="J22" s="15"/>
      <c r="L22" s="20">
        <f>'TE BE'!$L$22*'TE BE'!$L$51</f>
        <v>4.1126839063631094E-8</v>
      </c>
      <c r="M22" s="20">
        <f>'TE BE'!$M$22*'TE BE'!$M$51</f>
        <v>1.3731397526742513</v>
      </c>
      <c r="N22" s="20">
        <f>'TE BE'!$N$22*'TE BE'!$N$51</f>
        <v>0</v>
      </c>
      <c r="O22" s="20">
        <f>'TE BE'!$O$22*'TE BE'!$O$51</f>
        <v>-0.10237967455295723</v>
      </c>
      <c r="P22" s="20">
        <f>'TE BE'!$P$22*'TE BE'!$P$51</f>
        <v>0</v>
      </c>
      <c r="Q22" s="20">
        <f>SUM($L$22:$P$22)</f>
        <v>1.270760119248133</v>
      </c>
      <c r="R22" s="20">
        <f>'TE BE'!$R$22*'TE BE'!$R$51</f>
        <v>17.29780321619462</v>
      </c>
      <c r="S22" s="20">
        <f>SUM($R$22:$R$22)</f>
        <v>17.29780321619462</v>
      </c>
      <c r="T22" s="20">
        <f>'TE BE'!$T$22*'TE BE'!$T$51</f>
        <v>-7.1757594775857081E-2</v>
      </c>
      <c r="U22" s="20">
        <f>'TE BE'!$U$22*'TE BE'!$U$51</f>
        <v>6.1645251667860355E-2</v>
      </c>
      <c r="V22" s="20">
        <f>'TE BE'!$V$22*'TE BE'!$V$51</f>
        <v>0</v>
      </c>
      <c r="W22" s="20">
        <f>SUM($T$22:$V$22)</f>
        <v>-1.0112343107996725E-2</v>
      </c>
      <c r="X22" s="20">
        <f>'TE BE'!$AB$22*'TE BE'!$X$51</f>
        <v>-10.133596943092927</v>
      </c>
      <c r="Y22" s="20">
        <f>SUM($X$22:$X$22)</f>
        <v>-10.133596943092927</v>
      </c>
      <c r="Z22" s="20">
        <f>'TE BE'!$Z$22*'TE BE'!$Z$51</f>
        <v>0.47398074080154723</v>
      </c>
      <c r="AA22" s="20">
        <f>SUM($Z$22:$Z$22)</f>
        <v>0.47398074080154723</v>
      </c>
      <c r="AB22" s="20">
        <f ca="1">SUMIF($L$4:$AA$4,"SUBTOTAL",$L$22:$AA$22)+AL22</f>
        <v>61.385071396650581</v>
      </c>
      <c r="AC22" s="9" t="str">
        <f t="shared" si="0"/>
        <v>B1</v>
      </c>
      <c r="AD22" s="9" t="str">
        <f t="shared" si="1"/>
        <v>Energia convencional pré-pagamento</v>
      </c>
      <c r="AE22" s="9" t="str">
        <f t="shared" si="2"/>
        <v>Residencial</v>
      </c>
      <c r="AF22" s="9" t="str">
        <f t="shared" si="3"/>
        <v>Residencial baixa renda – faixa 04</v>
      </c>
      <c r="AG22" s="9" t="str">
        <f t="shared" si="4"/>
        <v>Não se aplica</v>
      </c>
      <c r="AH22" s="9">
        <v>1</v>
      </c>
      <c r="AI22" s="9">
        <f ca="1">TarifaMedia!$G$36</f>
        <v>1</v>
      </c>
      <c r="AJ22" s="15">
        <f>'TE BE'!$AB22+'TE BF'!$AB22+'TE CVA'!$AB22</f>
        <v>234.02376339339278</v>
      </c>
      <c r="AK22" s="9">
        <v>286.51</v>
      </c>
      <c r="AL22" s="9">
        <f t="shared" ca="1" si="5"/>
        <v>52.486236606607207</v>
      </c>
      <c r="AO22" s="80" t="s">
        <v>973</v>
      </c>
    </row>
    <row r="23" spans="1:41" ht="11.25" customHeight="1" x14ac:dyDescent="0.3">
      <c r="A23" s="148" t="s">
        <v>43</v>
      </c>
      <c r="B23" s="148" t="s">
        <v>78</v>
      </c>
      <c r="C23" s="148" t="s">
        <v>44</v>
      </c>
      <c r="D23" s="148" t="s">
        <v>25</v>
      </c>
      <c r="E23" s="148" t="s">
        <v>25</v>
      </c>
      <c r="F23" s="148" t="s">
        <v>25</v>
      </c>
      <c r="G23" s="23" t="s">
        <v>80</v>
      </c>
      <c r="H23" s="23" t="s">
        <v>79</v>
      </c>
      <c r="I23" s="23">
        <f>'MERCADO TE'!$U$20</f>
        <v>0</v>
      </c>
      <c r="J23" s="15"/>
      <c r="L23" s="20">
        <f>'TE BE'!$L$23*'TE BE'!$L$51</f>
        <v>4.1126839063631094E-8</v>
      </c>
      <c r="M23" s="20">
        <f>'TE BE'!$M$23*'TE BE'!$M$51</f>
        <v>1.3731397526742513</v>
      </c>
      <c r="N23" s="20">
        <f>'TE BE'!$N$23*'TE BE'!$N$51</f>
        <v>0</v>
      </c>
      <c r="O23" s="20">
        <f>'TE BE'!$O$23*'TE BE'!$O$51</f>
        <v>-0.10237967455295723</v>
      </c>
      <c r="P23" s="20">
        <f>'TE BE'!$P$23*'TE BE'!$P$51</f>
        <v>0</v>
      </c>
      <c r="Q23" s="20">
        <f>SUM($L$23:$P$23)</f>
        <v>1.270760119248133</v>
      </c>
      <c r="R23" s="20">
        <f>'TE BE'!$R$23*'TE BE'!$R$51</f>
        <v>28.068133520617682</v>
      </c>
      <c r="S23" s="20">
        <f>SUM($R$23:$R$23)</f>
        <v>28.068133520617682</v>
      </c>
      <c r="T23" s="20">
        <f>'TE BE'!$T$23*'TE BE'!$T$51</f>
        <v>-7.1757594775857081E-2</v>
      </c>
      <c r="U23" s="20">
        <f>'TE BE'!$U$23*'TE BE'!$U$51</f>
        <v>6.1645251667860355E-2</v>
      </c>
      <c r="V23" s="20">
        <f>'TE BE'!$V$23*'TE BE'!$V$51</f>
        <v>0</v>
      </c>
      <c r="W23" s="20">
        <f>SUM($T$23:$V$23)</f>
        <v>-1.0112343107996725E-2</v>
      </c>
      <c r="X23" s="20">
        <f>'TE BE'!$AB$23*'TE BE'!$X$51</f>
        <v>-15.721046976212161</v>
      </c>
      <c r="Y23" s="20">
        <f>SUM($X$23:$X$23)</f>
        <v>-15.721046976212161</v>
      </c>
      <c r="Z23" s="20">
        <f>'TE BE'!$Z$23*'TE BE'!$Z$51</f>
        <v>0.47398074080154723</v>
      </c>
      <c r="AA23" s="20">
        <f>SUM($Z$23:$Z$23)</f>
        <v>0.47398074080154723</v>
      </c>
      <c r="AB23" s="20">
        <f ca="1">SUMIF($L$4:$AA$4,"SUBTOTAL",$L$23:$AA$23)+AL23</f>
        <v>89.139068019139415</v>
      </c>
      <c r="AC23" s="9" t="str">
        <f t="shared" si="0"/>
        <v>B2</v>
      </c>
      <c r="AD23" s="9" t="str">
        <f t="shared" si="1"/>
        <v>Energia horária</v>
      </c>
      <c r="AE23" s="9" t="str">
        <f t="shared" si="2"/>
        <v>Rural</v>
      </c>
      <c r="AF23" s="9" t="str">
        <f t="shared" si="3"/>
        <v>Não se aplica</v>
      </c>
      <c r="AG23" s="9" t="str">
        <f t="shared" si="4"/>
        <v>Não se aplica</v>
      </c>
      <c r="AH23" s="9">
        <v>1</v>
      </c>
      <c r="AI23" s="9">
        <f ca="1">TarifaMedia!$G$36</f>
        <v>1</v>
      </c>
      <c r="AJ23" s="15">
        <f>'TE BE'!$AB23+'TE BF'!$AB23+'TE CVA'!$AB23</f>
        <v>361.95264704220779</v>
      </c>
      <c r="AK23" s="9">
        <f>ROUND(410.79/(1-CUSTOS!$M$38),2)</f>
        <v>437.01</v>
      </c>
      <c r="AL23" s="9">
        <f t="shared" ca="1" si="5"/>
        <v>75.057352957792205</v>
      </c>
      <c r="AO23" s="80" t="s">
        <v>974</v>
      </c>
    </row>
    <row r="24" spans="1:41" ht="11.25" customHeight="1" x14ac:dyDescent="0.3">
      <c r="A24" s="148"/>
      <c r="B24" s="148"/>
      <c r="C24" s="148"/>
      <c r="D24" s="148"/>
      <c r="E24" s="148"/>
      <c r="F24" s="148"/>
      <c r="G24" s="23" t="s">
        <v>91</v>
      </c>
      <c r="H24" s="23" t="s">
        <v>79</v>
      </c>
      <c r="I24" s="23">
        <f>'MERCADO TE'!$U$21</f>
        <v>0</v>
      </c>
      <c r="J24" s="15"/>
      <c r="L24" s="20">
        <f>'TE BE'!$L$24*'TE BE'!$L$51</f>
        <v>4.1126839063631094E-8</v>
      </c>
      <c r="M24" s="20">
        <f>'TE BE'!$M$24*'TE BE'!$M$51</f>
        <v>1.3731397526742513</v>
      </c>
      <c r="N24" s="20">
        <f>'TE BE'!$N$24*'TE BE'!$N$51</f>
        <v>0</v>
      </c>
      <c r="O24" s="20">
        <f>'TE BE'!$O$24*'TE BE'!$O$51</f>
        <v>-0.10237967455295723</v>
      </c>
      <c r="P24" s="20">
        <f>'TE BE'!$P$24*'TE BE'!$P$51</f>
        <v>0</v>
      </c>
      <c r="Q24" s="20">
        <f>SUM($L$24:$P$24)</f>
        <v>1.270760119248133</v>
      </c>
      <c r="R24" s="20">
        <f>'TE BE'!$R$24*'TE BE'!$R$51</f>
        <v>16.318682279428888</v>
      </c>
      <c r="S24" s="20">
        <f>SUM($R$24:$R$24)</f>
        <v>16.318682279428888</v>
      </c>
      <c r="T24" s="20">
        <f>'TE BE'!$T$24*'TE BE'!$T$51</f>
        <v>-7.1757594775857081E-2</v>
      </c>
      <c r="U24" s="20">
        <f>'TE BE'!$U$24*'TE BE'!$U$51</f>
        <v>6.1645251667860355E-2</v>
      </c>
      <c r="V24" s="20">
        <f>'TE BE'!$V$24*'TE BE'!$V$51</f>
        <v>0</v>
      </c>
      <c r="W24" s="20">
        <f>SUM($T$24:$V$24)</f>
        <v>-1.0112343107996725E-2</v>
      </c>
      <c r="X24" s="20">
        <f>'TE BE'!$AB$24*'TE BE'!$X$51</f>
        <v>-9.6256469400820865</v>
      </c>
      <c r="Y24" s="20">
        <f>SUM($X$24:$X$24)</f>
        <v>-9.6256469400820865</v>
      </c>
      <c r="Z24" s="20">
        <f>'TE BE'!$Z$24*'TE BE'!$Z$51</f>
        <v>0.47398074080154723</v>
      </c>
      <c r="AA24" s="20">
        <f>SUM($Z$24:$Z$24)</f>
        <v>0.47398074080154723</v>
      </c>
      <c r="AB24" s="20">
        <f ca="1">SUMIF($L$4:$AA$4,"SUBTOTAL",$L$24:$AA$24)+AL24</f>
        <v>58.853798976424336</v>
      </c>
      <c r="AC24" s="9" t="str">
        <f t="shared" si="0"/>
        <v>B2</v>
      </c>
      <c r="AD24" s="9" t="str">
        <f t="shared" si="1"/>
        <v>Energia horária</v>
      </c>
      <c r="AE24" s="9" t="str">
        <f t="shared" si="2"/>
        <v>Rural</v>
      </c>
      <c r="AF24" s="9" t="str">
        <f t="shared" si="3"/>
        <v>Não se aplica</v>
      </c>
      <c r="AG24" s="9" t="str">
        <f t="shared" si="4"/>
        <v>Não se aplica</v>
      </c>
      <c r="AH24" s="9">
        <v>1</v>
      </c>
      <c r="AI24" s="9">
        <f ca="1">TarifaMedia!$G$36</f>
        <v>1</v>
      </c>
      <c r="AJ24" s="15">
        <f>'TE BE'!$AB24+'TE BF'!$AB24+'TE CVA'!$AB24</f>
        <v>222.39386487986414</v>
      </c>
      <c r="AK24" s="9">
        <f>ROUND(256.45/(1-CUSTOS!$M$38),2)</f>
        <v>272.82</v>
      </c>
      <c r="AL24" s="9">
        <f t="shared" ca="1" si="5"/>
        <v>50.426135120135854</v>
      </c>
      <c r="AO24" s="80" t="s">
        <v>975</v>
      </c>
    </row>
    <row r="25" spans="1:41" ht="11.25" customHeight="1" x14ac:dyDescent="0.3">
      <c r="A25" s="148"/>
      <c r="B25" s="148"/>
      <c r="C25" s="148"/>
      <c r="D25" s="148"/>
      <c r="E25" s="148"/>
      <c r="F25" s="148"/>
      <c r="G25" s="23" t="s">
        <v>81</v>
      </c>
      <c r="H25" s="23" t="s">
        <v>79</v>
      </c>
      <c r="I25" s="23">
        <f>'MERCADO TE'!$U$22</f>
        <v>0</v>
      </c>
      <c r="J25" s="15"/>
      <c r="L25" s="20">
        <f>'TE BE'!$L$25*'TE BE'!$L$51</f>
        <v>4.1126839063631094E-8</v>
      </c>
      <c r="M25" s="20">
        <f>'TE BE'!$M$25*'TE BE'!$M$51</f>
        <v>1.3731397526742513</v>
      </c>
      <c r="N25" s="20">
        <f>'TE BE'!$N$25*'TE BE'!$N$51</f>
        <v>0</v>
      </c>
      <c r="O25" s="20">
        <f>'TE BE'!$O$25*'TE BE'!$O$51</f>
        <v>-0.10237967455295723</v>
      </c>
      <c r="P25" s="20">
        <f>'TE BE'!$P$25*'TE BE'!$P$51</f>
        <v>0</v>
      </c>
      <c r="Q25" s="20">
        <f>SUM($L$25:$P$25)</f>
        <v>1.270760119248133</v>
      </c>
      <c r="R25" s="20">
        <f>'TE BE'!$R$25*'TE BE'!$R$51</f>
        <v>16.318682279428888</v>
      </c>
      <c r="S25" s="20">
        <f>SUM($R$25:$R$25)</f>
        <v>16.318682279428888</v>
      </c>
      <c r="T25" s="20">
        <f>'TE BE'!$T$25*'TE BE'!$T$51</f>
        <v>-7.1757594775857081E-2</v>
      </c>
      <c r="U25" s="20">
        <f>'TE BE'!$U$25*'TE BE'!$U$51</f>
        <v>6.1645251667860355E-2</v>
      </c>
      <c r="V25" s="20">
        <f>'TE BE'!$V$25*'TE BE'!$V$51</f>
        <v>0</v>
      </c>
      <c r="W25" s="20">
        <f>SUM($T$25:$V$25)</f>
        <v>-1.0112343107996725E-2</v>
      </c>
      <c r="X25" s="20">
        <f>'TE BE'!$AB$25*'TE BE'!$X$51</f>
        <v>-9.6256469400820865</v>
      </c>
      <c r="Y25" s="20">
        <f>SUM($X$25:$X$25)</f>
        <v>-9.6256469400820865</v>
      </c>
      <c r="Z25" s="20">
        <f>'TE BE'!$Z$25*'TE BE'!$Z$51</f>
        <v>0.47398074080154723</v>
      </c>
      <c r="AA25" s="20">
        <f>SUM($Z$25:$Z$25)</f>
        <v>0.47398074080154723</v>
      </c>
      <c r="AB25" s="20">
        <f ca="1">SUMIF($L$4:$AA$4,"SUBTOTAL",$L$25:$AA$25)+AL25</f>
        <v>58.853798976424336</v>
      </c>
      <c r="AC25" s="9" t="str">
        <f t="shared" si="0"/>
        <v>B2</v>
      </c>
      <c r="AD25" s="9" t="str">
        <f t="shared" si="1"/>
        <v>Energia horária</v>
      </c>
      <c r="AE25" s="9" t="str">
        <f t="shared" si="2"/>
        <v>Rural</v>
      </c>
      <c r="AF25" s="9" t="str">
        <f t="shared" si="3"/>
        <v>Não se aplica</v>
      </c>
      <c r="AG25" s="9" t="str">
        <f t="shared" si="4"/>
        <v>Não se aplica</v>
      </c>
      <c r="AH25" s="9">
        <v>1</v>
      </c>
      <c r="AI25" s="9">
        <f ca="1">TarifaMedia!$G$36</f>
        <v>1</v>
      </c>
      <c r="AJ25" s="15">
        <f>'TE BE'!$AB25+'TE BF'!$AB25+'TE CVA'!$AB25</f>
        <v>222.39386487986414</v>
      </c>
      <c r="AK25" s="9">
        <f>ROUND(256.45/(1-CUSTOS!$M$38),2)</f>
        <v>272.82</v>
      </c>
      <c r="AL25" s="9">
        <f t="shared" ca="1" si="5"/>
        <v>50.426135120135854</v>
      </c>
      <c r="AO25" s="80" t="s">
        <v>976</v>
      </c>
    </row>
    <row r="26" spans="1:41" ht="11.25" customHeight="1" x14ac:dyDescent="0.3">
      <c r="A26" s="148"/>
      <c r="B26" s="22" t="s">
        <v>82</v>
      </c>
      <c r="C26" s="22" t="s">
        <v>44</v>
      </c>
      <c r="D26" s="22" t="s">
        <v>25</v>
      </c>
      <c r="E26" s="22" t="s">
        <v>25</v>
      </c>
      <c r="F26" s="22" t="s">
        <v>25</v>
      </c>
      <c r="G26" s="23" t="s">
        <v>83</v>
      </c>
      <c r="H26" s="23" t="s">
        <v>79</v>
      </c>
      <c r="I26" s="23">
        <f>'MERCADO TE'!$U$23</f>
        <v>17613.978000000003</v>
      </c>
      <c r="J26" s="15"/>
      <c r="L26" s="20">
        <f>'TE BE'!$L$26*'TE BE'!$L$51</f>
        <v>4.1126839063631094E-8</v>
      </c>
      <c r="M26" s="20">
        <f>'TE BE'!$M$26*'TE BE'!$M$51</f>
        <v>1.3731397526742513</v>
      </c>
      <c r="N26" s="20">
        <f>'TE BE'!$N$26*'TE BE'!$N$51</f>
        <v>0</v>
      </c>
      <c r="O26" s="20">
        <f>'TE BE'!$O$26*'TE BE'!$O$51</f>
        <v>-0.10237967455295723</v>
      </c>
      <c r="P26" s="20">
        <f>'TE BE'!$P$26*'TE BE'!$P$51</f>
        <v>0</v>
      </c>
      <c r="Q26" s="20">
        <f>SUM($L$26:$P$26)</f>
        <v>1.270760119248133</v>
      </c>
      <c r="R26" s="20">
        <f>'TE BE'!$R$26*'TE BE'!$R$51</f>
        <v>17.29780321619462</v>
      </c>
      <c r="S26" s="20">
        <f>SUM($R$26:$R$26)</f>
        <v>17.29780321619462</v>
      </c>
      <c r="T26" s="20">
        <f>'TE BE'!$T$26*'TE BE'!$T$51</f>
        <v>-7.1757594775857081E-2</v>
      </c>
      <c r="U26" s="20">
        <f>'TE BE'!$U$26*'TE BE'!$U$51</f>
        <v>6.1645251667860355E-2</v>
      </c>
      <c r="V26" s="20">
        <f>'TE BE'!$V$26*'TE BE'!$V$51</f>
        <v>0</v>
      </c>
      <c r="W26" s="20">
        <f>SUM($T$26:$V$26)</f>
        <v>-1.0112343107996725E-2</v>
      </c>
      <c r="X26" s="20">
        <f>'TE BE'!$AB$26*'TE BE'!$X$51</f>
        <v>-10.133596943092927</v>
      </c>
      <c r="Y26" s="20">
        <f>SUM($X$26:$X$26)</f>
        <v>-10.133596943092927</v>
      </c>
      <c r="Z26" s="20">
        <f>'TE BE'!$Z$26*'TE BE'!$Z$51</f>
        <v>0.47398074080154723</v>
      </c>
      <c r="AA26" s="20">
        <f>SUM($Z$26:$Z$26)</f>
        <v>0.47398074080154723</v>
      </c>
      <c r="AB26" s="20">
        <f ca="1">SUMIF($L$4:$AA$4,"SUBTOTAL",$L$26:$AA$26)+AL26</f>
        <v>61.385071396650581</v>
      </c>
      <c r="AC26" s="9" t="str">
        <f t="shared" si="0"/>
        <v>B2</v>
      </c>
      <c r="AD26" s="9" t="str">
        <f t="shared" si="1"/>
        <v>Energia convencional</v>
      </c>
      <c r="AE26" s="9" t="str">
        <f t="shared" si="2"/>
        <v>Rural</v>
      </c>
      <c r="AF26" s="9" t="str">
        <f t="shared" si="3"/>
        <v>Não se aplica</v>
      </c>
      <c r="AG26" s="9" t="str">
        <f t="shared" si="4"/>
        <v>Não se aplica</v>
      </c>
      <c r="AH26" s="9">
        <v>1</v>
      </c>
      <c r="AI26" s="9">
        <f ca="1">TarifaMedia!$G$36</f>
        <v>1</v>
      </c>
      <c r="AJ26" s="15">
        <f>'TE BE'!$AB26+'TE BF'!$AB26+'TE CVA'!$AB26</f>
        <v>234.02376339339278</v>
      </c>
      <c r="AK26" s="9">
        <v>286.51</v>
      </c>
      <c r="AL26" s="9">
        <f t="shared" ca="1" si="5"/>
        <v>52.486236606607207</v>
      </c>
      <c r="AO26" s="80" t="s">
        <v>970</v>
      </c>
    </row>
    <row r="27" spans="1:41" ht="11.25" customHeight="1" x14ac:dyDescent="0.3">
      <c r="A27" s="148"/>
      <c r="B27" s="148" t="s">
        <v>78</v>
      </c>
      <c r="C27" s="148" t="s">
        <v>44</v>
      </c>
      <c r="D27" s="148" t="s">
        <v>94</v>
      </c>
      <c r="E27" s="148" t="s">
        <v>25</v>
      </c>
      <c r="F27" s="148" t="s">
        <v>25</v>
      </c>
      <c r="G27" s="23" t="s">
        <v>80</v>
      </c>
      <c r="H27" s="23" t="s">
        <v>79</v>
      </c>
      <c r="I27" s="23">
        <f>'MERCADO TE'!$U$24</f>
        <v>0</v>
      </c>
      <c r="J27" s="15"/>
      <c r="L27" s="20">
        <f>'TE BE'!$L$27*'TE BE'!$L$51</f>
        <v>4.1126839063631094E-8</v>
      </c>
      <c r="M27" s="20">
        <f>'TE BE'!$M$27*'TE BE'!$M$51</f>
        <v>1.3731397526742513</v>
      </c>
      <c r="N27" s="20">
        <f>'TE BE'!$N$27*'TE BE'!$N$51</f>
        <v>0</v>
      </c>
      <c r="O27" s="20">
        <f>'TE BE'!$O$27*'TE BE'!$O$51</f>
        <v>-0.10237967455295723</v>
      </c>
      <c r="P27" s="20">
        <f>'TE BE'!$P$27*'TE BE'!$P$51</f>
        <v>0</v>
      </c>
      <c r="Q27" s="20">
        <f>SUM($L$27:$P$27)</f>
        <v>1.270760119248133</v>
      </c>
      <c r="R27" s="20">
        <f>'TE BE'!$R$27*'TE BE'!$R$51</f>
        <v>28.068133520617682</v>
      </c>
      <c r="S27" s="20">
        <f>SUM($R$27:$R$27)</f>
        <v>28.068133520617682</v>
      </c>
      <c r="T27" s="20">
        <f>'TE BE'!$T$27*'TE BE'!$T$51</f>
        <v>-7.1757594775857081E-2</v>
      </c>
      <c r="U27" s="20">
        <f>'TE BE'!$U$27*'TE BE'!$U$51</f>
        <v>6.1645251667860355E-2</v>
      </c>
      <c r="V27" s="20">
        <f>'TE BE'!$V$27*'TE BE'!$V$51</f>
        <v>0</v>
      </c>
      <c r="W27" s="20">
        <f>SUM($T$27:$V$27)</f>
        <v>-1.0112343107996725E-2</v>
      </c>
      <c r="X27" s="20">
        <f>'TE BE'!$AB$27*'TE BE'!$X$51</f>
        <v>-15.721046976212161</v>
      </c>
      <c r="Y27" s="20">
        <f>SUM($X$27:$X$27)</f>
        <v>-15.721046976212161</v>
      </c>
      <c r="Z27" s="20">
        <f>'TE BE'!$Z$27*'TE BE'!$Z$51</f>
        <v>0.47398074080154723</v>
      </c>
      <c r="AA27" s="20">
        <f>SUM($Z$27:$Z$27)</f>
        <v>0.47398074080154723</v>
      </c>
      <c r="AB27" s="20">
        <f ca="1">SUMIF($L$4:$AA$4,"SUBTOTAL",$L$27:$AA$27)+AL27</f>
        <v>89.139068019139415</v>
      </c>
      <c r="AC27" s="9" t="str">
        <f t="shared" si="0"/>
        <v>B2</v>
      </c>
      <c r="AD27" s="9" t="str">
        <f t="shared" si="1"/>
        <v>Energia horária</v>
      </c>
      <c r="AE27" s="9" t="str">
        <f t="shared" si="2"/>
        <v>Rural</v>
      </c>
      <c r="AF27" s="9" t="str">
        <f t="shared" si="3"/>
        <v>Cooperativa de eletrificação rural</v>
      </c>
      <c r="AG27" s="9" t="str">
        <f t="shared" si="4"/>
        <v>Não se aplica</v>
      </c>
      <c r="AH27" s="9">
        <v>1</v>
      </c>
      <c r="AI27" s="9">
        <f ca="1">TarifaMedia!$G$36</f>
        <v>1</v>
      </c>
      <c r="AJ27" s="15">
        <f>'TE BE'!$AB27+'TE BF'!$AB27+'TE CVA'!$AB27</f>
        <v>361.95264704220779</v>
      </c>
      <c r="AK27" s="9">
        <f>ROUND(410.79/(1-CUSTOS!$M$38),2)</f>
        <v>437.01</v>
      </c>
      <c r="AL27" s="9">
        <f t="shared" ca="1" si="5"/>
        <v>75.057352957792205</v>
      </c>
      <c r="AO27" s="80" t="s">
        <v>974</v>
      </c>
    </row>
    <row r="28" spans="1:41" ht="11.25" customHeight="1" x14ac:dyDescent="0.3">
      <c r="A28" s="148"/>
      <c r="B28" s="148"/>
      <c r="C28" s="148"/>
      <c r="D28" s="148"/>
      <c r="E28" s="148"/>
      <c r="F28" s="148"/>
      <c r="G28" s="23" t="s">
        <v>91</v>
      </c>
      <c r="H28" s="23" t="s">
        <v>79</v>
      </c>
      <c r="I28" s="23">
        <f>'MERCADO TE'!$U$25</f>
        <v>0</v>
      </c>
      <c r="J28" s="15"/>
      <c r="L28" s="20">
        <f>'TE BE'!$L$28*'TE BE'!$L$51</f>
        <v>4.1126839063631094E-8</v>
      </c>
      <c r="M28" s="20">
        <f>'TE BE'!$M$28*'TE BE'!$M$51</f>
        <v>1.3731397526742513</v>
      </c>
      <c r="N28" s="20">
        <f>'TE BE'!$N$28*'TE BE'!$N$51</f>
        <v>0</v>
      </c>
      <c r="O28" s="20">
        <f>'TE BE'!$O$28*'TE BE'!$O$51</f>
        <v>-0.10237967455295723</v>
      </c>
      <c r="P28" s="20">
        <f>'TE BE'!$P$28*'TE BE'!$P$51</f>
        <v>0</v>
      </c>
      <c r="Q28" s="20">
        <f>SUM($L$28:$P$28)</f>
        <v>1.270760119248133</v>
      </c>
      <c r="R28" s="20">
        <f>'TE BE'!$R$28*'TE BE'!$R$51</f>
        <v>16.318682279428888</v>
      </c>
      <c r="S28" s="20">
        <f>SUM($R$28:$R$28)</f>
        <v>16.318682279428888</v>
      </c>
      <c r="T28" s="20">
        <f>'TE BE'!$T$28*'TE BE'!$T$51</f>
        <v>-7.1757594775857081E-2</v>
      </c>
      <c r="U28" s="20">
        <f>'TE BE'!$U$28*'TE BE'!$U$51</f>
        <v>6.1645251667860355E-2</v>
      </c>
      <c r="V28" s="20">
        <f>'TE BE'!$V$28*'TE BE'!$V$51</f>
        <v>0</v>
      </c>
      <c r="W28" s="20">
        <f>SUM($T$28:$V$28)</f>
        <v>-1.0112343107996725E-2</v>
      </c>
      <c r="X28" s="20">
        <f>'TE BE'!$AB$28*'TE BE'!$X$51</f>
        <v>-9.6256469400820865</v>
      </c>
      <c r="Y28" s="20">
        <f>SUM($X$28:$X$28)</f>
        <v>-9.6256469400820865</v>
      </c>
      <c r="Z28" s="20">
        <f>'TE BE'!$Z$28*'TE BE'!$Z$51</f>
        <v>0.47398074080154723</v>
      </c>
      <c r="AA28" s="20">
        <f>SUM($Z$28:$Z$28)</f>
        <v>0.47398074080154723</v>
      </c>
      <c r="AB28" s="20">
        <f ca="1">SUMIF($L$4:$AA$4,"SUBTOTAL",$L$28:$AA$28)+AL28</f>
        <v>58.853798976424336</v>
      </c>
      <c r="AC28" s="9" t="str">
        <f t="shared" si="0"/>
        <v>B2</v>
      </c>
      <c r="AD28" s="9" t="str">
        <f t="shared" si="1"/>
        <v>Energia horária</v>
      </c>
      <c r="AE28" s="9" t="str">
        <f t="shared" si="2"/>
        <v>Rural</v>
      </c>
      <c r="AF28" s="9" t="str">
        <f t="shared" si="3"/>
        <v>Cooperativa de eletrificação rural</v>
      </c>
      <c r="AG28" s="9" t="str">
        <f t="shared" si="4"/>
        <v>Não se aplica</v>
      </c>
      <c r="AH28" s="9">
        <v>1</v>
      </c>
      <c r="AI28" s="9">
        <f ca="1">TarifaMedia!$G$36</f>
        <v>1</v>
      </c>
      <c r="AJ28" s="15">
        <f>'TE BE'!$AB28+'TE BF'!$AB28+'TE CVA'!$AB28</f>
        <v>222.39386487986414</v>
      </c>
      <c r="AK28" s="9">
        <f>ROUND(256.45/(1-CUSTOS!$M$38),2)</f>
        <v>272.82</v>
      </c>
      <c r="AL28" s="9">
        <f t="shared" ca="1" si="5"/>
        <v>50.426135120135854</v>
      </c>
      <c r="AO28" s="80" t="s">
        <v>975</v>
      </c>
    </row>
    <row r="29" spans="1:41" ht="11.25" customHeight="1" x14ac:dyDescent="0.3">
      <c r="A29" s="148"/>
      <c r="B29" s="148"/>
      <c r="C29" s="148"/>
      <c r="D29" s="148"/>
      <c r="E29" s="148"/>
      <c r="F29" s="148"/>
      <c r="G29" s="23" t="s">
        <v>81</v>
      </c>
      <c r="H29" s="23" t="s">
        <v>79</v>
      </c>
      <c r="I29" s="23">
        <f>'MERCADO TE'!$U$26</f>
        <v>0</v>
      </c>
      <c r="J29" s="15"/>
      <c r="L29" s="20">
        <f>'TE BE'!$L$29*'TE BE'!$L$51</f>
        <v>4.1126839063631094E-8</v>
      </c>
      <c r="M29" s="20">
        <f>'TE BE'!$M$29*'TE BE'!$M$51</f>
        <v>1.3731397526742513</v>
      </c>
      <c r="N29" s="20">
        <f>'TE BE'!$N$29*'TE BE'!$N$51</f>
        <v>0</v>
      </c>
      <c r="O29" s="20">
        <f>'TE BE'!$O$29*'TE BE'!$O$51</f>
        <v>-0.10237967455295723</v>
      </c>
      <c r="P29" s="20">
        <f>'TE BE'!$P$29*'TE BE'!$P$51</f>
        <v>0</v>
      </c>
      <c r="Q29" s="20">
        <f>SUM($L$29:$P$29)</f>
        <v>1.270760119248133</v>
      </c>
      <c r="R29" s="20">
        <f>'TE BE'!$R$29*'TE BE'!$R$51</f>
        <v>16.318682279428888</v>
      </c>
      <c r="S29" s="20">
        <f>SUM($R$29:$R$29)</f>
        <v>16.318682279428888</v>
      </c>
      <c r="T29" s="20">
        <f>'TE BE'!$T$29*'TE BE'!$T$51</f>
        <v>-7.1757594775857081E-2</v>
      </c>
      <c r="U29" s="20">
        <f>'TE BE'!$U$29*'TE BE'!$U$51</f>
        <v>6.1645251667860355E-2</v>
      </c>
      <c r="V29" s="20">
        <f>'TE BE'!$V$29*'TE BE'!$V$51</f>
        <v>0</v>
      </c>
      <c r="W29" s="20">
        <f>SUM($T$29:$V$29)</f>
        <v>-1.0112343107996725E-2</v>
      </c>
      <c r="X29" s="20">
        <f>'TE BE'!$AB$29*'TE BE'!$X$51</f>
        <v>-9.6256469400820865</v>
      </c>
      <c r="Y29" s="20">
        <f>SUM($X$29:$X$29)</f>
        <v>-9.6256469400820865</v>
      </c>
      <c r="Z29" s="20">
        <f>'TE BE'!$Z$29*'TE BE'!$Z$51</f>
        <v>0.47398074080154723</v>
      </c>
      <c r="AA29" s="20">
        <f>SUM($Z$29:$Z$29)</f>
        <v>0.47398074080154723</v>
      </c>
      <c r="AB29" s="20">
        <f ca="1">SUMIF($L$4:$AA$4,"SUBTOTAL",$L$29:$AA$29)+AL29</f>
        <v>58.853798976424336</v>
      </c>
      <c r="AC29" s="9" t="str">
        <f t="shared" si="0"/>
        <v>B2</v>
      </c>
      <c r="AD29" s="9" t="str">
        <f t="shared" si="1"/>
        <v>Energia horária</v>
      </c>
      <c r="AE29" s="9" t="str">
        <f t="shared" si="2"/>
        <v>Rural</v>
      </c>
      <c r="AF29" s="9" t="str">
        <f t="shared" si="3"/>
        <v>Cooperativa de eletrificação rural</v>
      </c>
      <c r="AG29" s="9" t="str">
        <f t="shared" si="4"/>
        <v>Não se aplica</v>
      </c>
      <c r="AH29" s="9">
        <v>1</v>
      </c>
      <c r="AI29" s="9">
        <f ca="1">TarifaMedia!$G$36</f>
        <v>1</v>
      </c>
      <c r="AJ29" s="15">
        <f>'TE BE'!$AB29+'TE BF'!$AB29+'TE CVA'!$AB29</f>
        <v>222.39386487986414</v>
      </c>
      <c r="AK29" s="9">
        <f>ROUND(256.45/(1-CUSTOS!$M$38),2)</f>
        <v>272.82</v>
      </c>
      <c r="AL29" s="9">
        <f t="shared" ca="1" si="5"/>
        <v>50.426135120135854</v>
      </c>
      <c r="AO29" s="80" t="s">
        <v>976</v>
      </c>
    </row>
    <row r="30" spans="1:41" ht="11.25" customHeight="1" x14ac:dyDescent="0.3">
      <c r="A30" s="148"/>
      <c r="B30" s="22" t="s">
        <v>82</v>
      </c>
      <c r="C30" s="22" t="s">
        <v>44</v>
      </c>
      <c r="D30" s="22" t="s">
        <v>94</v>
      </c>
      <c r="E30" s="22" t="s">
        <v>25</v>
      </c>
      <c r="F30" s="22" t="s">
        <v>25</v>
      </c>
      <c r="G30" s="23" t="s">
        <v>83</v>
      </c>
      <c r="H30" s="23" t="s">
        <v>79</v>
      </c>
      <c r="I30" s="23">
        <f>'MERCADO TE'!$U$27</f>
        <v>0</v>
      </c>
      <c r="J30" s="15"/>
      <c r="L30" s="20">
        <f>'TE BE'!$L$30*'TE BE'!$L$51</f>
        <v>4.1126839063631094E-8</v>
      </c>
      <c r="M30" s="20">
        <f>'TE BE'!$M$30*'TE BE'!$M$51</f>
        <v>1.3731397526742513</v>
      </c>
      <c r="N30" s="20">
        <f>'TE BE'!$N$30*'TE BE'!$N$51</f>
        <v>0</v>
      </c>
      <c r="O30" s="20">
        <f>'TE BE'!$O$30*'TE BE'!$O$51</f>
        <v>-0.10237967455295723</v>
      </c>
      <c r="P30" s="20">
        <f>'TE BE'!$P$30*'TE BE'!$P$51</f>
        <v>0</v>
      </c>
      <c r="Q30" s="20">
        <f>SUM($L$30:$P$30)</f>
        <v>1.270760119248133</v>
      </c>
      <c r="R30" s="20">
        <f>'TE BE'!$R$30*'TE BE'!$R$51</f>
        <v>17.29780321619462</v>
      </c>
      <c r="S30" s="20">
        <f>SUM($R$30:$R$30)</f>
        <v>17.29780321619462</v>
      </c>
      <c r="T30" s="20">
        <f>'TE BE'!$T$30*'TE BE'!$T$51</f>
        <v>-7.1757594775857081E-2</v>
      </c>
      <c r="U30" s="20">
        <f>'TE BE'!$U$30*'TE BE'!$U$51</f>
        <v>6.1645251667860355E-2</v>
      </c>
      <c r="V30" s="20">
        <f>'TE BE'!$V$30*'TE BE'!$V$51</f>
        <v>0</v>
      </c>
      <c r="W30" s="20">
        <f>SUM($T$30:$V$30)</f>
        <v>-1.0112343107996725E-2</v>
      </c>
      <c r="X30" s="20">
        <f>'TE BE'!$AB$30*'TE BE'!$X$51</f>
        <v>-10.133596943092927</v>
      </c>
      <c r="Y30" s="20">
        <f>SUM($X$30:$X$30)</f>
        <v>-10.133596943092927</v>
      </c>
      <c r="Z30" s="20">
        <f>'TE BE'!$Z$30*'TE BE'!$Z$51</f>
        <v>0.47398074080154723</v>
      </c>
      <c r="AA30" s="20">
        <f>SUM($Z$30:$Z$30)</f>
        <v>0.47398074080154723</v>
      </c>
      <c r="AB30" s="20">
        <f ca="1">SUMIF($L$4:$AA$4,"SUBTOTAL",$L$30:$AA$30)+AL30</f>
        <v>61.385071396650581</v>
      </c>
      <c r="AC30" s="9" t="str">
        <f t="shared" si="0"/>
        <v>B2</v>
      </c>
      <c r="AD30" s="9" t="str">
        <f t="shared" si="1"/>
        <v>Energia convencional</v>
      </c>
      <c r="AE30" s="9" t="str">
        <f t="shared" si="2"/>
        <v>Rural</v>
      </c>
      <c r="AF30" s="9" t="str">
        <f t="shared" si="3"/>
        <v>Cooperativa de eletrificação rural</v>
      </c>
      <c r="AG30" s="9" t="str">
        <f t="shared" si="4"/>
        <v>Não se aplica</v>
      </c>
      <c r="AH30" s="9">
        <v>1</v>
      </c>
      <c r="AI30" s="9">
        <f ca="1">TarifaMedia!$G$36</f>
        <v>1</v>
      </c>
      <c r="AJ30" s="15">
        <f>'TE BE'!$AB30+'TE BF'!$AB30+'TE CVA'!$AB30</f>
        <v>234.02376339339278</v>
      </c>
      <c r="AK30" s="9">
        <v>286.51</v>
      </c>
      <c r="AL30" s="9">
        <f t="shared" ca="1" si="5"/>
        <v>52.486236606607207</v>
      </c>
      <c r="AO30" s="80" t="s">
        <v>970</v>
      </c>
    </row>
    <row r="31" spans="1:41" ht="11.25" customHeight="1" x14ac:dyDescent="0.3">
      <c r="A31" s="148"/>
      <c r="B31" s="148" t="s">
        <v>78</v>
      </c>
      <c r="C31" s="148" t="s">
        <v>44</v>
      </c>
      <c r="D31" s="148" t="s">
        <v>95</v>
      </c>
      <c r="E31" s="148" t="s">
        <v>25</v>
      </c>
      <c r="F31" s="148" t="s">
        <v>25</v>
      </c>
      <c r="G31" s="23" t="s">
        <v>80</v>
      </c>
      <c r="H31" s="23" t="s">
        <v>79</v>
      </c>
      <c r="I31" s="23">
        <f>'MERCADO TE'!$U$28</f>
        <v>0</v>
      </c>
      <c r="J31" s="15"/>
      <c r="L31" s="20">
        <f>'TE BE'!$L$31*'TE BE'!$L$51</f>
        <v>4.1126839063631094E-8</v>
      </c>
      <c r="M31" s="20">
        <f>'TE BE'!$M$31*'TE BE'!$M$51</f>
        <v>1.3731397526742513</v>
      </c>
      <c r="N31" s="20">
        <f>'TE BE'!$N$31*'TE BE'!$N$51</f>
        <v>0</v>
      </c>
      <c r="O31" s="20">
        <f>'TE BE'!$O$31*'TE BE'!$O$51</f>
        <v>-0.10237967455295723</v>
      </c>
      <c r="P31" s="20">
        <f>'TE BE'!$P$31*'TE BE'!$P$51</f>
        <v>0</v>
      </c>
      <c r="Q31" s="20">
        <f>SUM($L$31:$P$31)</f>
        <v>1.270760119248133</v>
      </c>
      <c r="R31" s="20">
        <f>'TE BE'!$R$31*'TE BE'!$R$51</f>
        <v>28.068133520617682</v>
      </c>
      <c r="S31" s="20">
        <f>SUM($R$31:$R$31)</f>
        <v>28.068133520617682</v>
      </c>
      <c r="T31" s="20">
        <f>'TE BE'!$T$31*'TE BE'!$T$51</f>
        <v>-7.1757594775857081E-2</v>
      </c>
      <c r="U31" s="20">
        <f>'TE BE'!$U$31*'TE BE'!$U$51</f>
        <v>6.1645251667860355E-2</v>
      </c>
      <c r="V31" s="20">
        <f>'TE BE'!$V$31*'TE BE'!$V$51</f>
        <v>0</v>
      </c>
      <c r="W31" s="20">
        <f>SUM($T$31:$V$31)</f>
        <v>-1.0112343107996725E-2</v>
      </c>
      <c r="X31" s="20">
        <f>'TE BE'!$AB$31*'TE BE'!$X$51</f>
        <v>-15.721046976212161</v>
      </c>
      <c r="Y31" s="20">
        <f>SUM($X$31:$X$31)</f>
        <v>-15.721046976212161</v>
      </c>
      <c r="Z31" s="20">
        <f>'TE BE'!$Z$31*'TE BE'!$Z$51</f>
        <v>0.47398074080154723</v>
      </c>
      <c r="AA31" s="20">
        <f>SUM($Z$31:$Z$31)</f>
        <v>0.47398074080154723</v>
      </c>
      <c r="AB31" s="20">
        <f ca="1">SUMIF($L$4:$AA$4,"SUBTOTAL",$L$31:$AA$31)+AL31</f>
        <v>89.139068019139415</v>
      </c>
      <c r="AC31" s="9" t="str">
        <f t="shared" si="0"/>
        <v>B2</v>
      </c>
      <c r="AD31" s="9" t="str">
        <f t="shared" si="1"/>
        <v>Energia horária</v>
      </c>
      <c r="AE31" s="9" t="str">
        <f t="shared" si="2"/>
        <v>Rural</v>
      </c>
      <c r="AF31" s="9" t="str">
        <f t="shared" si="3"/>
        <v>Serviço público de irrigação rural</v>
      </c>
      <c r="AG31" s="9" t="str">
        <f t="shared" si="4"/>
        <v>Não se aplica</v>
      </c>
      <c r="AH31" s="9">
        <v>1</v>
      </c>
      <c r="AI31" s="9">
        <f ca="1">TarifaMedia!$G$36</f>
        <v>1</v>
      </c>
      <c r="AJ31" s="15">
        <f>'TE BE'!$AB31+'TE BF'!$AB31+'TE CVA'!$AB31</f>
        <v>361.95264704220779</v>
      </c>
      <c r="AK31" s="9">
        <f>ROUND(410.79/(1-CUSTOS!$M$38),2)</f>
        <v>437.01</v>
      </c>
      <c r="AL31" s="9">
        <f t="shared" ca="1" si="5"/>
        <v>75.057352957792205</v>
      </c>
      <c r="AO31" s="80" t="s">
        <v>974</v>
      </c>
    </row>
    <row r="32" spans="1:41" ht="11.25" customHeight="1" x14ac:dyDescent="0.3">
      <c r="A32" s="148"/>
      <c r="B32" s="148"/>
      <c r="C32" s="148"/>
      <c r="D32" s="148"/>
      <c r="E32" s="148"/>
      <c r="F32" s="148"/>
      <c r="G32" s="23" t="s">
        <v>91</v>
      </c>
      <c r="H32" s="23" t="s">
        <v>79</v>
      </c>
      <c r="I32" s="23">
        <f>'MERCADO TE'!$U$29</f>
        <v>0</v>
      </c>
      <c r="J32" s="15"/>
      <c r="L32" s="20">
        <f>'TE BE'!$L$32*'TE BE'!$L$51</f>
        <v>4.1126839063631094E-8</v>
      </c>
      <c r="M32" s="20">
        <f>'TE BE'!$M$32*'TE BE'!$M$51</f>
        <v>1.3731397526742513</v>
      </c>
      <c r="N32" s="20">
        <f>'TE BE'!$N$32*'TE BE'!$N$51</f>
        <v>0</v>
      </c>
      <c r="O32" s="20">
        <f>'TE BE'!$O$32*'TE BE'!$O$51</f>
        <v>-0.10237967455295723</v>
      </c>
      <c r="P32" s="20">
        <f>'TE BE'!$P$32*'TE BE'!$P$51</f>
        <v>0</v>
      </c>
      <c r="Q32" s="20">
        <f>SUM($L$32:$P$32)</f>
        <v>1.270760119248133</v>
      </c>
      <c r="R32" s="20">
        <f>'TE BE'!$R$32*'TE BE'!$R$51</f>
        <v>16.318682279428888</v>
      </c>
      <c r="S32" s="20">
        <f>SUM($R$32:$R$32)</f>
        <v>16.318682279428888</v>
      </c>
      <c r="T32" s="20">
        <f>'TE BE'!$T$32*'TE BE'!$T$51</f>
        <v>-7.1757594775857081E-2</v>
      </c>
      <c r="U32" s="20">
        <f>'TE BE'!$U$32*'TE BE'!$U$51</f>
        <v>6.1645251667860355E-2</v>
      </c>
      <c r="V32" s="20">
        <f>'TE BE'!$V$32*'TE BE'!$V$51</f>
        <v>0</v>
      </c>
      <c r="W32" s="20">
        <f>SUM($T$32:$V$32)</f>
        <v>-1.0112343107996725E-2</v>
      </c>
      <c r="X32" s="20">
        <f>'TE BE'!$AB$32*'TE BE'!$X$51</f>
        <v>-9.6256469400820865</v>
      </c>
      <c r="Y32" s="20">
        <f>SUM($X$32:$X$32)</f>
        <v>-9.6256469400820865</v>
      </c>
      <c r="Z32" s="20">
        <f>'TE BE'!$Z$32*'TE BE'!$Z$51</f>
        <v>0.47398074080154723</v>
      </c>
      <c r="AA32" s="20">
        <f>SUM($Z$32:$Z$32)</f>
        <v>0.47398074080154723</v>
      </c>
      <c r="AB32" s="20">
        <f ca="1">SUMIF($L$4:$AA$4,"SUBTOTAL",$L$32:$AA$32)+AL32</f>
        <v>58.853798976424336</v>
      </c>
      <c r="AC32" s="9" t="str">
        <f t="shared" si="0"/>
        <v>B2</v>
      </c>
      <c r="AD32" s="9" t="str">
        <f t="shared" si="1"/>
        <v>Energia horária</v>
      </c>
      <c r="AE32" s="9" t="str">
        <f t="shared" si="2"/>
        <v>Rural</v>
      </c>
      <c r="AF32" s="9" t="str">
        <f t="shared" si="3"/>
        <v>Serviço público de irrigação rural</v>
      </c>
      <c r="AG32" s="9" t="str">
        <f t="shared" si="4"/>
        <v>Não se aplica</v>
      </c>
      <c r="AH32" s="9">
        <v>1</v>
      </c>
      <c r="AI32" s="9">
        <f ca="1">TarifaMedia!$G$36</f>
        <v>1</v>
      </c>
      <c r="AJ32" s="15">
        <f>'TE BE'!$AB32+'TE BF'!$AB32+'TE CVA'!$AB32</f>
        <v>222.39386487986414</v>
      </c>
      <c r="AK32" s="9">
        <f>ROUND(256.45/(1-CUSTOS!$M$38),2)</f>
        <v>272.82</v>
      </c>
      <c r="AL32" s="9">
        <f t="shared" ca="1" si="5"/>
        <v>50.426135120135854</v>
      </c>
      <c r="AO32" s="80" t="s">
        <v>975</v>
      </c>
    </row>
    <row r="33" spans="1:41" ht="11.25" customHeight="1" x14ac:dyDescent="0.3">
      <c r="A33" s="148"/>
      <c r="B33" s="148"/>
      <c r="C33" s="148"/>
      <c r="D33" s="148"/>
      <c r="E33" s="148"/>
      <c r="F33" s="148"/>
      <c r="G33" s="23" t="s">
        <v>81</v>
      </c>
      <c r="H33" s="23" t="s">
        <v>79</v>
      </c>
      <c r="I33" s="23">
        <f>'MERCADO TE'!$U$30</f>
        <v>0</v>
      </c>
      <c r="J33" s="15"/>
      <c r="L33" s="20">
        <f>'TE BE'!$L$33*'TE BE'!$L$51</f>
        <v>4.1126839063631094E-8</v>
      </c>
      <c r="M33" s="20">
        <f>'TE BE'!$M$33*'TE BE'!$M$51</f>
        <v>1.3731397526742513</v>
      </c>
      <c r="N33" s="20">
        <f>'TE BE'!$N$33*'TE BE'!$N$51</f>
        <v>0</v>
      </c>
      <c r="O33" s="20">
        <f>'TE BE'!$O$33*'TE BE'!$O$51</f>
        <v>-0.10237967455295723</v>
      </c>
      <c r="P33" s="20">
        <f>'TE BE'!$P$33*'TE BE'!$P$51</f>
        <v>0</v>
      </c>
      <c r="Q33" s="20">
        <f>SUM($L$33:$P$33)</f>
        <v>1.270760119248133</v>
      </c>
      <c r="R33" s="20">
        <f>'TE BE'!$R$33*'TE BE'!$R$51</f>
        <v>16.318682279428888</v>
      </c>
      <c r="S33" s="20">
        <f>SUM($R$33:$R$33)</f>
        <v>16.318682279428888</v>
      </c>
      <c r="T33" s="20">
        <f>'TE BE'!$T$33*'TE BE'!$T$51</f>
        <v>-7.1757594775857081E-2</v>
      </c>
      <c r="U33" s="20">
        <f>'TE BE'!$U$33*'TE BE'!$U$51</f>
        <v>6.1645251667860355E-2</v>
      </c>
      <c r="V33" s="20">
        <f>'TE BE'!$V$33*'TE BE'!$V$51</f>
        <v>0</v>
      </c>
      <c r="W33" s="20">
        <f>SUM($T$33:$V$33)</f>
        <v>-1.0112343107996725E-2</v>
      </c>
      <c r="X33" s="20">
        <f>'TE BE'!$AB$33*'TE BE'!$X$51</f>
        <v>-9.6256469400820865</v>
      </c>
      <c r="Y33" s="20">
        <f>SUM($X$33:$X$33)</f>
        <v>-9.6256469400820865</v>
      </c>
      <c r="Z33" s="20">
        <f>'TE BE'!$Z$33*'TE BE'!$Z$51</f>
        <v>0.47398074080154723</v>
      </c>
      <c r="AA33" s="20">
        <f>SUM($Z$33:$Z$33)</f>
        <v>0.47398074080154723</v>
      </c>
      <c r="AB33" s="20">
        <f ca="1">SUMIF($L$4:$AA$4,"SUBTOTAL",$L$33:$AA$33)+AL33</f>
        <v>58.853798976424336</v>
      </c>
      <c r="AC33" s="9" t="str">
        <f t="shared" si="0"/>
        <v>B2</v>
      </c>
      <c r="AD33" s="9" t="str">
        <f t="shared" si="1"/>
        <v>Energia horária</v>
      </c>
      <c r="AE33" s="9" t="str">
        <f t="shared" si="2"/>
        <v>Rural</v>
      </c>
      <c r="AF33" s="9" t="str">
        <f t="shared" si="3"/>
        <v>Serviço público de irrigação rural</v>
      </c>
      <c r="AG33" s="9" t="str">
        <f t="shared" si="4"/>
        <v>Não se aplica</v>
      </c>
      <c r="AH33" s="9">
        <v>1</v>
      </c>
      <c r="AI33" s="9">
        <f ca="1">TarifaMedia!$G$36</f>
        <v>1</v>
      </c>
      <c r="AJ33" s="15">
        <f>'TE BE'!$AB33+'TE BF'!$AB33+'TE CVA'!$AB33</f>
        <v>222.39386487986414</v>
      </c>
      <c r="AK33" s="9">
        <f>ROUND(256.45/(1-CUSTOS!$M$38),2)</f>
        <v>272.82</v>
      </c>
      <c r="AL33" s="9">
        <f t="shared" ca="1" si="5"/>
        <v>50.426135120135854</v>
      </c>
      <c r="AO33" s="80" t="s">
        <v>976</v>
      </c>
    </row>
    <row r="34" spans="1:41" ht="11.25" customHeight="1" x14ac:dyDescent="0.3">
      <c r="A34" s="148"/>
      <c r="B34" s="22" t="s">
        <v>82</v>
      </c>
      <c r="C34" s="22" t="s">
        <v>44</v>
      </c>
      <c r="D34" s="22" t="s">
        <v>95</v>
      </c>
      <c r="E34" s="22" t="s">
        <v>25</v>
      </c>
      <c r="F34" s="22" t="s">
        <v>25</v>
      </c>
      <c r="G34" s="23" t="s">
        <v>83</v>
      </c>
      <c r="H34" s="23" t="s">
        <v>79</v>
      </c>
      <c r="I34" s="23">
        <f>'MERCADO TE'!$U$31</f>
        <v>0</v>
      </c>
      <c r="J34" s="15"/>
      <c r="L34" s="20">
        <f>'TE BE'!$L$34*'TE BE'!$L$51</f>
        <v>4.1126839063631094E-8</v>
      </c>
      <c r="M34" s="20">
        <f>'TE BE'!$M$34*'TE BE'!$M$51</f>
        <v>1.3731397526742513</v>
      </c>
      <c r="N34" s="20">
        <f>'TE BE'!$N$34*'TE BE'!$N$51</f>
        <v>0</v>
      </c>
      <c r="O34" s="20">
        <f>'TE BE'!$O$34*'TE BE'!$O$51</f>
        <v>-0.10237967455295723</v>
      </c>
      <c r="P34" s="20">
        <f>'TE BE'!$P$34*'TE BE'!$P$51</f>
        <v>0</v>
      </c>
      <c r="Q34" s="20">
        <f>SUM($L$34:$P$34)</f>
        <v>1.270760119248133</v>
      </c>
      <c r="R34" s="20">
        <f>'TE BE'!$R$34*'TE BE'!$R$51</f>
        <v>17.29780321619462</v>
      </c>
      <c r="S34" s="20">
        <f>SUM($R$34:$R$34)</f>
        <v>17.29780321619462</v>
      </c>
      <c r="T34" s="20">
        <f>'TE BE'!$T$34*'TE BE'!$T$51</f>
        <v>-7.1757594775857081E-2</v>
      </c>
      <c r="U34" s="20">
        <f>'TE BE'!$U$34*'TE BE'!$U$51</f>
        <v>6.1645251667860355E-2</v>
      </c>
      <c r="V34" s="20">
        <f>'TE BE'!$V$34*'TE BE'!$V$51</f>
        <v>0</v>
      </c>
      <c r="W34" s="20">
        <f>SUM($T$34:$V$34)</f>
        <v>-1.0112343107996725E-2</v>
      </c>
      <c r="X34" s="20">
        <f>'TE BE'!$AB$34*'TE BE'!$X$51</f>
        <v>-10.133596943092927</v>
      </c>
      <c r="Y34" s="20">
        <f>SUM($X$34:$X$34)</f>
        <v>-10.133596943092927</v>
      </c>
      <c r="Z34" s="20">
        <f>'TE BE'!$Z$34*'TE BE'!$Z$51</f>
        <v>0.47398074080154723</v>
      </c>
      <c r="AA34" s="20">
        <f>SUM($Z$34:$Z$34)</f>
        <v>0.47398074080154723</v>
      </c>
      <c r="AB34" s="20">
        <f ca="1">SUMIF($L$4:$AA$4,"SUBTOTAL",$L$34:$AA$34)+AL34</f>
        <v>61.385071396650581</v>
      </c>
      <c r="AC34" s="9" t="str">
        <f t="shared" si="0"/>
        <v>B2</v>
      </c>
      <c r="AD34" s="9" t="str">
        <f t="shared" si="1"/>
        <v>Energia convencional</v>
      </c>
      <c r="AE34" s="9" t="str">
        <f t="shared" si="2"/>
        <v>Rural</v>
      </c>
      <c r="AF34" s="9" t="str">
        <f t="shared" si="3"/>
        <v>Serviço público de irrigação rural</v>
      </c>
      <c r="AG34" s="9" t="str">
        <f t="shared" si="4"/>
        <v>Não se aplica</v>
      </c>
      <c r="AH34" s="9">
        <v>1</v>
      </c>
      <c r="AI34" s="9">
        <f ca="1">TarifaMedia!$G$36</f>
        <v>1</v>
      </c>
      <c r="AJ34" s="15">
        <f>'TE BE'!$AB34+'TE BF'!$AB34+'TE CVA'!$AB34</f>
        <v>234.02376339339278</v>
      </c>
      <c r="AK34" s="9">
        <v>286.51</v>
      </c>
      <c r="AL34" s="9">
        <f t="shared" ca="1" si="5"/>
        <v>52.486236606607207</v>
      </c>
      <c r="AO34" s="80" t="s">
        <v>970</v>
      </c>
    </row>
    <row r="35" spans="1:41" ht="11.25" customHeight="1" x14ac:dyDescent="0.3">
      <c r="A35" s="148"/>
      <c r="B35" s="148" t="s">
        <v>92</v>
      </c>
      <c r="C35" s="148" t="s">
        <v>44</v>
      </c>
      <c r="D35" s="22" t="s">
        <v>25</v>
      </c>
      <c r="E35" s="22" t="s">
        <v>25</v>
      </c>
      <c r="F35" s="22" t="s">
        <v>25</v>
      </c>
      <c r="G35" s="23" t="s">
        <v>83</v>
      </c>
      <c r="H35" s="23" t="s">
        <v>79</v>
      </c>
      <c r="I35" s="23">
        <f>'MERCADO TE'!$U$32</f>
        <v>0</v>
      </c>
      <c r="J35" s="15"/>
      <c r="L35" s="20">
        <f>'TE BE'!$L$35*'TE BE'!$L$51</f>
        <v>4.1126839063631094E-8</v>
      </c>
      <c r="M35" s="20">
        <f>'TE BE'!$M$35*'TE BE'!$M$51</f>
        <v>1.3731397526742513</v>
      </c>
      <c r="N35" s="20">
        <f>'TE BE'!$N$35*'TE BE'!$N$51</f>
        <v>0</v>
      </c>
      <c r="O35" s="20">
        <f>'TE BE'!$O$35*'TE BE'!$O$51</f>
        <v>-0.10237967455295723</v>
      </c>
      <c r="P35" s="20">
        <f>'TE BE'!$P$35*'TE BE'!$P$51</f>
        <v>0</v>
      </c>
      <c r="Q35" s="20">
        <f>SUM($L$35:$P$35)</f>
        <v>1.270760119248133</v>
      </c>
      <c r="R35" s="20">
        <f>'TE BE'!$R$35*'TE BE'!$R$51</f>
        <v>17.29780321619462</v>
      </c>
      <c r="S35" s="20">
        <f>SUM($R$35:$R$35)</f>
        <v>17.29780321619462</v>
      </c>
      <c r="T35" s="20">
        <f>'TE BE'!$T$35*'TE BE'!$T$51</f>
        <v>-7.1757594775857081E-2</v>
      </c>
      <c r="U35" s="20">
        <f>'TE BE'!$U$35*'TE BE'!$U$51</f>
        <v>6.1645251667860355E-2</v>
      </c>
      <c r="V35" s="20">
        <f>'TE BE'!$V$35*'TE BE'!$V$51</f>
        <v>0</v>
      </c>
      <c r="W35" s="20">
        <f>SUM($T$35:$V$35)</f>
        <v>-1.0112343107996725E-2</v>
      </c>
      <c r="X35" s="20">
        <f>'TE BE'!$AB$35*'TE BE'!$X$51</f>
        <v>-10.133596943092927</v>
      </c>
      <c r="Y35" s="20">
        <f>SUM($X$35:$X$35)</f>
        <v>-10.133596943092927</v>
      </c>
      <c r="Z35" s="20">
        <f>'TE BE'!$Z$35*'TE BE'!$Z$51</f>
        <v>0.47398074080154723</v>
      </c>
      <c r="AA35" s="20">
        <f>SUM($Z$35:$Z$35)</f>
        <v>0.47398074080154723</v>
      </c>
      <c r="AB35" s="20">
        <f ca="1">SUMIF($L$4:$AA$4,"SUBTOTAL",$L$35:$AA$35)+AL35</f>
        <v>61.385071396650581</v>
      </c>
      <c r="AC35" s="9" t="str">
        <f t="shared" si="0"/>
        <v>B2</v>
      </c>
      <c r="AD35" s="9" t="str">
        <f t="shared" si="1"/>
        <v>Energia convencional pré-pagamento</v>
      </c>
      <c r="AE35" s="9" t="str">
        <f t="shared" si="2"/>
        <v>Rural</v>
      </c>
      <c r="AF35" s="9" t="str">
        <f t="shared" si="3"/>
        <v>Não se aplica</v>
      </c>
      <c r="AG35" s="9" t="str">
        <f t="shared" si="4"/>
        <v>Não se aplica</v>
      </c>
      <c r="AH35" s="9">
        <v>1</v>
      </c>
      <c r="AI35" s="9">
        <f ca="1">TarifaMedia!$G$36</f>
        <v>1</v>
      </c>
      <c r="AJ35" s="15">
        <f>'TE BE'!$AB35+'TE BF'!$AB35+'TE CVA'!$AB35</f>
        <v>234.02376339339278</v>
      </c>
      <c r="AK35" s="9">
        <v>286.51</v>
      </c>
      <c r="AL35" s="9">
        <f t="shared" ca="1" si="5"/>
        <v>52.486236606607207</v>
      </c>
      <c r="AO35" s="80" t="s">
        <v>970</v>
      </c>
    </row>
    <row r="36" spans="1:41" ht="11.25" customHeight="1" x14ac:dyDescent="0.3">
      <c r="A36" s="148"/>
      <c r="B36" s="148"/>
      <c r="C36" s="148"/>
      <c r="D36" s="22" t="s">
        <v>94</v>
      </c>
      <c r="E36" s="22" t="s">
        <v>25</v>
      </c>
      <c r="F36" s="22" t="s">
        <v>25</v>
      </c>
      <c r="G36" s="23" t="s">
        <v>83</v>
      </c>
      <c r="H36" s="23" t="s">
        <v>79</v>
      </c>
      <c r="I36" s="23">
        <f>'MERCADO TE'!$U$33</f>
        <v>0</v>
      </c>
      <c r="J36" s="15"/>
      <c r="L36" s="20">
        <f>'TE BE'!$L$36*'TE BE'!$L$51</f>
        <v>4.1126839063631094E-8</v>
      </c>
      <c r="M36" s="20">
        <f>'TE BE'!$M$36*'TE BE'!$M$51</f>
        <v>1.3731397526742513</v>
      </c>
      <c r="N36" s="20">
        <f>'TE BE'!$N$36*'TE BE'!$N$51</f>
        <v>0</v>
      </c>
      <c r="O36" s="20">
        <f>'TE BE'!$O$36*'TE BE'!$O$51</f>
        <v>-0.10237967455295723</v>
      </c>
      <c r="P36" s="20">
        <f>'TE BE'!$P$36*'TE BE'!$P$51</f>
        <v>0</v>
      </c>
      <c r="Q36" s="20">
        <f>SUM($L$36:$P$36)</f>
        <v>1.270760119248133</v>
      </c>
      <c r="R36" s="20">
        <f>'TE BE'!$R$36*'TE BE'!$R$51</f>
        <v>17.29780321619462</v>
      </c>
      <c r="S36" s="20">
        <f>SUM($R$36:$R$36)</f>
        <v>17.29780321619462</v>
      </c>
      <c r="T36" s="20">
        <f>'TE BE'!$T$36*'TE BE'!$T$51</f>
        <v>-7.1757594775857081E-2</v>
      </c>
      <c r="U36" s="20">
        <f>'TE BE'!$U$36*'TE BE'!$U$51</f>
        <v>6.1645251667860355E-2</v>
      </c>
      <c r="V36" s="20">
        <f>'TE BE'!$V$36*'TE BE'!$V$51</f>
        <v>0</v>
      </c>
      <c r="W36" s="20">
        <f>SUM($T$36:$V$36)</f>
        <v>-1.0112343107996725E-2</v>
      </c>
      <c r="X36" s="20">
        <f>'TE BE'!$AB$36*'TE BE'!$X$51</f>
        <v>-10.133596943092927</v>
      </c>
      <c r="Y36" s="20">
        <f>SUM($X$36:$X$36)</f>
        <v>-10.133596943092927</v>
      </c>
      <c r="Z36" s="20">
        <f>'TE BE'!$Z$36*'TE BE'!$Z$51</f>
        <v>0.47398074080154723</v>
      </c>
      <c r="AA36" s="20">
        <f>SUM($Z$36:$Z$36)</f>
        <v>0.47398074080154723</v>
      </c>
      <c r="AB36" s="20">
        <f ca="1">SUMIF($L$4:$AA$4,"SUBTOTAL",$L$36:$AA$36)+AL36</f>
        <v>61.385071396650581</v>
      </c>
      <c r="AC36" s="9" t="str">
        <f t="shared" si="0"/>
        <v>B2</v>
      </c>
      <c r="AD36" s="9" t="str">
        <f t="shared" si="1"/>
        <v>Energia convencional pré-pagamento</v>
      </c>
      <c r="AE36" s="9" t="str">
        <f t="shared" si="2"/>
        <v>Rural</v>
      </c>
      <c r="AF36" s="9" t="str">
        <f t="shared" si="3"/>
        <v>Cooperativa de eletrificação rural</v>
      </c>
      <c r="AG36" s="9" t="str">
        <f t="shared" si="4"/>
        <v>Não se aplica</v>
      </c>
      <c r="AH36" s="9">
        <v>1</v>
      </c>
      <c r="AI36" s="9">
        <f ca="1">TarifaMedia!$G$36</f>
        <v>1</v>
      </c>
      <c r="AJ36" s="15">
        <f>'TE BE'!$AB36+'TE BF'!$AB36+'TE CVA'!$AB36</f>
        <v>234.02376339339278</v>
      </c>
      <c r="AK36" s="9">
        <v>286.51</v>
      </c>
      <c r="AL36" s="9">
        <f t="shared" ca="1" si="5"/>
        <v>52.486236606607207</v>
      </c>
      <c r="AO36" s="80" t="s">
        <v>970</v>
      </c>
    </row>
    <row r="37" spans="1:41" ht="11.25" customHeight="1" x14ac:dyDescent="0.3">
      <c r="A37" s="148"/>
      <c r="B37" s="148"/>
      <c r="C37" s="148"/>
      <c r="D37" s="22" t="s">
        <v>95</v>
      </c>
      <c r="E37" s="22" t="s">
        <v>25</v>
      </c>
      <c r="F37" s="22" t="s">
        <v>25</v>
      </c>
      <c r="G37" s="23" t="s">
        <v>83</v>
      </c>
      <c r="H37" s="23" t="s">
        <v>79</v>
      </c>
      <c r="I37" s="23">
        <f>'MERCADO TE'!$U$34</f>
        <v>0</v>
      </c>
      <c r="J37" s="15"/>
      <c r="L37" s="20">
        <f>'TE BE'!$L$37*'TE BE'!$L$51</f>
        <v>4.1126839063631094E-8</v>
      </c>
      <c r="M37" s="20">
        <f>'TE BE'!$M$37*'TE BE'!$M$51</f>
        <v>1.3731397526742513</v>
      </c>
      <c r="N37" s="20">
        <f>'TE BE'!$N$37*'TE BE'!$N$51</f>
        <v>0</v>
      </c>
      <c r="O37" s="20">
        <f>'TE BE'!$O$37*'TE BE'!$O$51</f>
        <v>-0.10237967455295723</v>
      </c>
      <c r="P37" s="20">
        <f>'TE BE'!$P$37*'TE BE'!$P$51</f>
        <v>0</v>
      </c>
      <c r="Q37" s="20">
        <f>SUM($L$37:$P$37)</f>
        <v>1.270760119248133</v>
      </c>
      <c r="R37" s="20">
        <f>'TE BE'!$R$37*'TE BE'!$R$51</f>
        <v>17.29780321619462</v>
      </c>
      <c r="S37" s="20">
        <f>SUM($R$37:$R$37)</f>
        <v>17.29780321619462</v>
      </c>
      <c r="T37" s="20">
        <f>'TE BE'!$T$37*'TE BE'!$T$51</f>
        <v>-7.1757594775857081E-2</v>
      </c>
      <c r="U37" s="20">
        <f>'TE BE'!$U$37*'TE BE'!$U$51</f>
        <v>6.1645251667860355E-2</v>
      </c>
      <c r="V37" s="20">
        <f>'TE BE'!$V$37*'TE BE'!$V$51</f>
        <v>0</v>
      </c>
      <c r="W37" s="20">
        <f>SUM($T$37:$V$37)</f>
        <v>-1.0112343107996725E-2</v>
      </c>
      <c r="X37" s="20">
        <f>'TE BE'!$AB$37*'TE BE'!$X$51</f>
        <v>-10.133596943092927</v>
      </c>
      <c r="Y37" s="20">
        <f>SUM($X$37:$X$37)</f>
        <v>-10.133596943092927</v>
      </c>
      <c r="Z37" s="20">
        <f>'TE BE'!$Z$37*'TE BE'!$Z$51</f>
        <v>0.47398074080154723</v>
      </c>
      <c r="AA37" s="20">
        <f>SUM($Z$37:$Z$37)</f>
        <v>0.47398074080154723</v>
      </c>
      <c r="AB37" s="20">
        <f ca="1">SUMIF($L$4:$AA$4,"SUBTOTAL",$L$37:$AA$37)+AL37</f>
        <v>61.385071396650581</v>
      </c>
      <c r="AC37" s="9" t="str">
        <f t="shared" si="0"/>
        <v>B2</v>
      </c>
      <c r="AD37" s="9" t="str">
        <f t="shared" si="1"/>
        <v>Energia convencional pré-pagamento</v>
      </c>
      <c r="AE37" s="9" t="str">
        <f t="shared" si="2"/>
        <v>Rural</v>
      </c>
      <c r="AF37" s="9" t="str">
        <f t="shared" si="3"/>
        <v>Serviço público de irrigação rural</v>
      </c>
      <c r="AG37" s="9" t="str">
        <f t="shared" si="4"/>
        <v>Não se aplica</v>
      </c>
      <c r="AH37" s="9">
        <v>1</v>
      </c>
      <c r="AI37" s="9">
        <f ca="1">TarifaMedia!$G$36</f>
        <v>1</v>
      </c>
      <c r="AJ37" s="15">
        <f>'TE BE'!$AB37+'TE BF'!$AB37+'TE CVA'!$AB37</f>
        <v>234.02376339339278</v>
      </c>
      <c r="AK37" s="9">
        <v>286.51</v>
      </c>
      <c r="AL37" s="9">
        <f t="shared" ca="1" si="5"/>
        <v>52.486236606607207</v>
      </c>
      <c r="AO37" s="80" t="s">
        <v>970</v>
      </c>
    </row>
    <row r="38" spans="1:41" ht="11.25" customHeight="1" x14ac:dyDescent="0.3">
      <c r="A38" s="148" t="s">
        <v>37</v>
      </c>
      <c r="B38" s="148" t="s">
        <v>78</v>
      </c>
      <c r="C38" s="148" t="s">
        <v>25</v>
      </c>
      <c r="D38" s="148" t="s">
        <v>25</v>
      </c>
      <c r="E38" s="148" t="s">
        <v>25</v>
      </c>
      <c r="F38" s="148" t="s">
        <v>25</v>
      </c>
      <c r="G38" s="23" t="s">
        <v>80</v>
      </c>
      <c r="H38" s="23" t="s">
        <v>79</v>
      </c>
      <c r="I38" s="23">
        <f>'MERCADO TE'!$U$35</f>
        <v>10.468</v>
      </c>
      <c r="J38" s="15"/>
      <c r="L38" s="20">
        <f>'TE BE'!$L$38*'TE BE'!$L$51</f>
        <v>4.1126839063631094E-8</v>
      </c>
      <c r="M38" s="20">
        <f>'TE BE'!$M$38*'TE BE'!$M$51</f>
        <v>1.3731397526742513</v>
      </c>
      <c r="N38" s="20">
        <f>'TE BE'!$N$38*'TE BE'!$N$51</f>
        <v>0</v>
      </c>
      <c r="O38" s="20">
        <f>'TE BE'!$O$38*'TE BE'!$O$51</f>
        <v>-0.10237967455295723</v>
      </c>
      <c r="P38" s="20">
        <f>'TE BE'!$P$38*'TE BE'!$P$51</f>
        <v>0</v>
      </c>
      <c r="Q38" s="20">
        <f>SUM($L$38:$P$38)</f>
        <v>1.270760119248133</v>
      </c>
      <c r="R38" s="20">
        <f>'TE BE'!$R$38*'TE BE'!$R$51</f>
        <v>28.068133520617682</v>
      </c>
      <c r="S38" s="20">
        <f>SUM($R$38:$R$38)</f>
        <v>28.068133520617682</v>
      </c>
      <c r="T38" s="20">
        <f>'TE BE'!$T$38*'TE BE'!$T$51</f>
        <v>-7.1757594775857081E-2</v>
      </c>
      <c r="U38" s="20">
        <f>'TE BE'!$U$38*'TE BE'!$U$51</f>
        <v>6.1645251667860355E-2</v>
      </c>
      <c r="V38" s="20">
        <f>'TE BE'!$V$38*'TE BE'!$V$51</f>
        <v>0</v>
      </c>
      <c r="W38" s="20">
        <f>SUM($T$38:$V$38)</f>
        <v>-1.0112343107996725E-2</v>
      </c>
      <c r="X38" s="20">
        <f>'TE BE'!$AB$38*'TE BE'!$X$51</f>
        <v>-15.721046976212161</v>
      </c>
      <c r="Y38" s="20">
        <f>SUM($X$38:$X$38)</f>
        <v>-15.721046976212161</v>
      </c>
      <c r="Z38" s="20">
        <f>'TE BE'!$Z$38*'TE BE'!$Z$51</f>
        <v>0.47398074080154723</v>
      </c>
      <c r="AA38" s="20">
        <f>SUM($Z$38:$Z$38)</f>
        <v>0.47398074080154723</v>
      </c>
      <c r="AB38" s="20">
        <f ca="1">SUMIF($L$4:$AA$4,"SUBTOTAL",$L$38:$AA$38)+AL38</f>
        <v>89.139068019139415</v>
      </c>
      <c r="AC38" s="9" t="str">
        <f t="shared" si="0"/>
        <v>B3</v>
      </c>
      <c r="AD38" s="9" t="str">
        <f t="shared" si="1"/>
        <v>Energia horária</v>
      </c>
      <c r="AE38" s="9" t="str">
        <f t="shared" si="2"/>
        <v>Não se aplica</v>
      </c>
      <c r="AF38" s="9" t="str">
        <f t="shared" si="3"/>
        <v>Não se aplica</v>
      </c>
      <c r="AG38" s="9" t="str">
        <f t="shared" si="4"/>
        <v>Não se aplica</v>
      </c>
      <c r="AH38" s="9">
        <v>1</v>
      </c>
      <c r="AI38" s="9">
        <f ca="1">TarifaMedia!$G$36</f>
        <v>1</v>
      </c>
      <c r="AJ38" s="15">
        <f>'TE BE'!$AB38+'TE BF'!$AB38+'TE CVA'!$AB38</f>
        <v>361.95264704220779</v>
      </c>
      <c r="AK38" s="9">
        <v>437.01</v>
      </c>
      <c r="AL38" s="9">
        <f t="shared" ca="1" si="5"/>
        <v>75.057352957792205</v>
      </c>
      <c r="AO38" s="80" t="s">
        <v>977</v>
      </c>
    </row>
    <row r="39" spans="1:41" ht="11.25" customHeight="1" x14ac:dyDescent="0.3">
      <c r="A39" s="148"/>
      <c r="B39" s="148"/>
      <c r="C39" s="148"/>
      <c r="D39" s="148"/>
      <c r="E39" s="148"/>
      <c r="F39" s="148"/>
      <c r="G39" s="23" t="s">
        <v>91</v>
      </c>
      <c r="H39" s="23" t="s">
        <v>79</v>
      </c>
      <c r="I39" s="23">
        <f>'MERCADO TE'!$U$36</f>
        <v>9.6909999999999989</v>
      </c>
      <c r="J39" s="15"/>
      <c r="L39" s="20">
        <f>'TE BE'!$L$39*'TE BE'!$L$51</f>
        <v>4.1126839063631094E-8</v>
      </c>
      <c r="M39" s="20">
        <f>'TE BE'!$M$39*'TE BE'!$M$51</f>
        <v>1.3731397526742513</v>
      </c>
      <c r="N39" s="20">
        <f>'TE BE'!$N$39*'TE BE'!$N$51</f>
        <v>0</v>
      </c>
      <c r="O39" s="20">
        <f>'TE BE'!$O$39*'TE BE'!$O$51</f>
        <v>-0.10237967455295723</v>
      </c>
      <c r="P39" s="20">
        <f>'TE BE'!$P$39*'TE BE'!$P$51</f>
        <v>0</v>
      </c>
      <c r="Q39" s="20">
        <f>SUM($L$39:$P$39)</f>
        <v>1.270760119248133</v>
      </c>
      <c r="R39" s="20">
        <f>'TE BE'!$R$39*'TE BE'!$R$51</f>
        <v>16.318682279428888</v>
      </c>
      <c r="S39" s="20">
        <f>SUM($R$39:$R$39)</f>
        <v>16.318682279428888</v>
      </c>
      <c r="T39" s="20">
        <f>'TE BE'!$T$39*'TE BE'!$T$51</f>
        <v>-7.1757594775857081E-2</v>
      </c>
      <c r="U39" s="20">
        <f>'TE BE'!$U$39*'TE BE'!$U$51</f>
        <v>6.1645251667860355E-2</v>
      </c>
      <c r="V39" s="20">
        <f>'TE BE'!$V$39*'TE BE'!$V$51</f>
        <v>0</v>
      </c>
      <c r="W39" s="20">
        <f>SUM($T$39:$V$39)</f>
        <v>-1.0112343107996725E-2</v>
      </c>
      <c r="X39" s="20">
        <f>'TE BE'!$AB$39*'TE BE'!$X$51</f>
        <v>-9.6256469400820865</v>
      </c>
      <c r="Y39" s="20">
        <f>SUM($X$39:$X$39)</f>
        <v>-9.6256469400820865</v>
      </c>
      <c r="Z39" s="20">
        <f>'TE BE'!$Z$39*'TE BE'!$Z$51</f>
        <v>0.47398074080154723</v>
      </c>
      <c r="AA39" s="20">
        <f>SUM($Z$39:$Z$39)</f>
        <v>0.47398074080154723</v>
      </c>
      <c r="AB39" s="20">
        <f ca="1">SUMIF($L$4:$AA$4,"SUBTOTAL",$L$39:$AA$39)+AL39</f>
        <v>58.853798976424336</v>
      </c>
      <c r="AC39" s="9" t="str">
        <f t="shared" si="0"/>
        <v>B3</v>
      </c>
      <c r="AD39" s="9" t="str">
        <f t="shared" si="1"/>
        <v>Energia horária</v>
      </c>
      <c r="AE39" s="9" t="str">
        <f t="shared" si="2"/>
        <v>Não se aplica</v>
      </c>
      <c r="AF39" s="9" t="str">
        <f t="shared" si="3"/>
        <v>Não se aplica</v>
      </c>
      <c r="AG39" s="9" t="str">
        <f t="shared" si="4"/>
        <v>Não se aplica</v>
      </c>
      <c r="AH39" s="9">
        <v>1</v>
      </c>
      <c r="AI39" s="9">
        <f ca="1">TarifaMedia!$G$36</f>
        <v>1</v>
      </c>
      <c r="AJ39" s="15">
        <f>'TE BE'!$AB39+'TE BF'!$AB39+'TE CVA'!$AB39</f>
        <v>222.39386487986414</v>
      </c>
      <c r="AK39" s="9">
        <v>272.82</v>
      </c>
      <c r="AL39" s="9">
        <f t="shared" ca="1" si="5"/>
        <v>50.426135120135854</v>
      </c>
      <c r="AO39" s="80" t="s">
        <v>978</v>
      </c>
    </row>
    <row r="40" spans="1:41" ht="11.25" customHeight="1" x14ac:dyDescent="0.3">
      <c r="A40" s="148"/>
      <c r="B40" s="148"/>
      <c r="C40" s="148"/>
      <c r="D40" s="148"/>
      <c r="E40" s="148"/>
      <c r="F40" s="148"/>
      <c r="G40" s="23" t="s">
        <v>81</v>
      </c>
      <c r="H40" s="23" t="s">
        <v>79</v>
      </c>
      <c r="I40" s="23">
        <f>'MERCADO TE'!$U$37</f>
        <v>150.328</v>
      </c>
      <c r="J40" s="15"/>
      <c r="L40" s="20">
        <f>'TE BE'!$L$40*'TE BE'!$L$51</f>
        <v>4.1126839063631094E-8</v>
      </c>
      <c r="M40" s="20">
        <f>'TE BE'!$M$40*'TE BE'!$M$51</f>
        <v>1.3731397526742513</v>
      </c>
      <c r="N40" s="20">
        <f>'TE BE'!$N$40*'TE BE'!$N$51</f>
        <v>0</v>
      </c>
      <c r="O40" s="20">
        <f>'TE BE'!$O$40*'TE BE'!$O$51</f>
        <v>-0.10237967455295723</v>
      </c>
      <c r="P40" s="20">
        <f>'TE BE'!$P$40*'TE BE'!$P$51</f>
        <v>0</v>
      </c>
      <c r="Q40" s="20">
        <f>SUM($L$40:$P$40)</f>
        <v>1.270760119248133</v>
      </c>
      <c r="R40" s="20">
        <f>'TE BE'!$R$40*'TE BE'!$R$51</f>
        <v>16.318682279428888</v>
      </c>
      <c r="S40" s="20">
        <f>SUM($R$40:$R$40)</f>
        <v>16.318682279428888</v>
      </c>
      <c r="T40" s="20">
        <f>'TE BE'!$T$40*'TE BE'!$T$51</f>
        <v>-7.1757594775857081E-2</v>
      </c>
      <c r="U40" s="20">
        <f>'TE BE'!$U$40*'TE BE'!$U$51</f>
        <v>6.1645251667860355E-2</v>
      </c>
      <c r="V40" s="20">
        <f>'TE BE'!$V$40*'TE BE'!$V$51</f>
        <v>0</v>
      </c>
      <c r="W40" s="20">
        <f>SUM($T$40:$V$40)</f>
        <v>-1.0112343107996725E-2</v>
      </c>
      <c r="X40" s="20">
        <f>'TE BE'!$AB$40*'TE BE'!$X$51</f>
        <v>-9.6256469400820865</v>
      </c>
      <c r="Y40" s="20">
        <f>SUM($X$40:$X$40)</f>
        <v>-9.6256469400820865</v>
      </c>
      <c r="Z40" s="20">
        <f>'TE BE'!$Z$40*'TE BE'!$Z$51</f>
        <v>0.47398074080154723</v>
      </c>
      <c r="AA40" s="20">
        <f>SUM($Z$40:$Z$40)</f>
        <v>0.47398074080154723</v>
      </c>
      <c r="AB40" s="20">
        <f ca="1">SUMIF($L$4:$AA$4,"SUBTOTAL",$L$40:$AA$40)+AL40</f>
        <v>58.853798976424336</v>
      </c>
      <c r="AC40" s="9" t="str">
        <f t="shared" si="0"/>
        <v>B3</v>
      </c>
      <c r="AD40" s="9" t="str">
        <f t="shared" si="1"/>
        <v>Energia horária</v>
      </c>
      <c r="AE40" s="9" t="str">
        <f t="shared" si="2"/>
        <v>Não se aplica</v>
      </c>
      <c r="AF40" s="9" t="str">
        <f t="shared" si="3"/>
        <v>Não se aplica</v>
      </c>
      <c r="AG40" s="9" t="str">
        <f t="shared" si="4"/>
        <v>Não se aplica</v>
      </c>
      <c r="AH40" s="9">
        <v>1</v>
      </c>
      <c r="AI40" s="9">
        <f ca="1">TarifaMedia!$G$36</f>
        <v>1</v>
      </c>
      <c r="AJ40" s="15">
        <f>'TE BE'!$AB40+'TE BF'!$AB40+'TE CVA'!$AB40</f>
        <v>222.39386487986414</v>
      </c>
      <c r="AK40" s="9">
        <v>272.82</v>
      </c>
      <c r="AL40" s="9">
        <f t="shared" ca="1" si="5"/>
        <v>50.426135120135854</v>
      </c>
      <c r="AO40" s="80" t="s">
        <v>979</v>
      </c>
    </row>
    <row r="41" spans="1:41" ht="11.25" customHeight="1" x14ac:dyDescent="0.3">
      <c r="A41" s="148"/>
      <c r="B41" s="22" t="s">
        <v>82</v>
      </c>
      <c r="C41" s="22" t="s">
        <v>25</v>
      </c>
      <c r="D41" s="22" t="s">
        <v>25</v>
      </c>
      <c r="E41" s="22" t="s">
        <v>25</v>
      </c>
      <c r="F41" s="22" t="s">
        <v>25</v>
      </c>
      <c r="G41" s="23" t="s">
        <v>83</v>
      </c>
      <c r="H41" s="23" t="s">
        <v>79</v>
      </c>
      <c r="I41" s="23">
        <f>'MERCADO TE'!$U$38</f>
        <v>24187.291000000001</v>
      </c>
      <c r="J41" s="15"/>
      <c r="L41" s="20">
        <f>'TE BE'!$L$41*'TE BE'!$L$51</f>
        <v>4.1126839063631094E-8</v>
      </c>
      <c r="M41" s="20">
        <f>'TE BE'!$M$41*'TE BE'!$M$51</f>
        <v>1.3731397526742513</v>
      </c>
      <c r="N41" s="20">
        <f>'TE BE'!$N$41*'TE BE'!$N$51</f>
        <v>0</v>
      </c>
      <c r="O41" s="20">
        <f>'TE BE'!$O$41*'TE BE'!$O$51</f>
        <v>-0.10237967455295723</v>
      </c>
      <c r="P41" s="20">
        <f>'TE BE'!$P$41*'TE BE'!$P$51</f>
        <v>0</v>
      </c>
      <c r="Q41" s="20">
        <f>SUM($L$41:$P$41)</f>
        <v>1.270760119248133</v>
      </c>
      <c r="R41" s="20">
        <f>'TE BE'!$R$41*'TE BE'!$R$51</f>
        <v>17.29780321619462</v>
      </c>
      <c r="S41" s="20">
        <f>SUM($R$41:$R$41)</f>
        <v>17.29780321619462</v>
      </c>
      <c r="T41" s="20">
        <f>'TE BE'!$T$41*'TE BE'!$T$51</f>
        <v>-7.1757594775857081E-2</v>
      </c>
      <c r="U41" s="20">
        <f>'TE BE'!$U$41*'TE BE'!$U$51</f>
        <v>6.1645251667860355E-2</v>
      </c>
      <c r="V41" s="20">
        <f>'TE BE'!$V$41*'TE BE'!$V$51</f>
        <v>0</v>
      </c>
      <c r="W41" s="20">
        <f>SUM($T$41:$V$41)</f>
        <v>-1.0112343107996725E-2</v>
      </c>
      <c r="X41" s="20">
        <f>'TE BE'!$AB$41*'TE BE'!$X$51</f>
        <v>-10.133596943092927</v>
      </c>
      <c r="Y41" s="20">
        <f>SUM($X$41:$X$41)</f>
        <v>-10.133596943092927</v>
      </c>
      <c r="Z41" s="20">
        <f>'TE BE'!$Z$41*'TE BE'!$Z$51</f>
        <v>0.47398074080154723</v>
      </c>
      <c r="AA41" s="20">
        <f>SUM($Z$41:$Z$41)</f>
        <v>0.47398074080154723</v>
      </c>
      <c r="AB41" s="20">
        <f ca="1">SUMIF($L$4:$AA$4,"SUBTOTAL",$L$41:$AA$41)+AL41</f>
        <v>61.385071396650581</v>
      </c>
      <c r="AC41" s="9" t="str">
        <f t="shared" si="0"/>
        <v>B3</v>
      </c>
      <c r="AD41" s="9" t="str">
        <f t="shared" si="1"/>
        <v>Energia convencional</v>
      </c>
      <c r="AE41" s="9" t="str">
        <f t="shared" si="2"/>
        <v>Não se aplica</v>
      </c>
      <c r="AF41" s="9" t="str">
        <f t="shared" si="3"/>
        <v>Não se aplica</v>
      </c>
      <c r="AG41" s="9" t="str">
        <f t="shared" si="4"/>
        <v>Não se aplica</v>
      </c>
      <c r="AH41" s="9">
        <v>1</v>
      </c>
      <c r="AI41" s="9">
        <f ca="1">TarifaMedia!$G$36</f>
        <v>1</v>
      </c>
      <c r="AJ41" s="15">
        <f>'TE BE'!$AB41+'TE BF'!$AB41+'TE CVA'!$AB41</f>
        <v>234.02376339339278</v>
      </c>
      <c r="AK41" s="9">
        <v>286.51</v>
      </c>
      <c r="AL41" s="9">
        <f t="shared" ca="1" si="5"/>
        <v>52.486236606607207</v>
      </c>
      <c r="AO41" s="80" t="s">
        <v>980</v>
      </c>
    </row>
    <row r="42" spans="1:41" ht="11.25" customHeight="1" x14ac:dyDescent="0.3">
      <c r="A42" s="148"/>
      <c r="B42" s="22" t="s">
        <v>92</v>
      </c>
      <c r="C42" s="22" t="s">
        <v>25</v>
      </c>
      <c r="D42" s="22" t="s">
        <v>25</v>
      </c>
      <c r="E42" s="22" t="s">
        <v>25</v>
      </c>
      <c r="F42" s="22" t="s">
        <v>25</v>
      </c>
      <c r="G42" s="23" t="s">
        <v>83</v>
      </c>
      <c r="H42" s="23" t="s">
        <v>79</v>
      </c>
      <c r="I42" s="23">
        <f>'MERCADO TE'!$U$39</f>
        <v>0</v>
      </c>
      <c r="J42" s="15"/>
      <c r="L42" s="20">
        <f>'TE BE'!$L$42*'TE BE'!$L$51</f>
        <v>4.1126839063631094E-8</v>
      </c>
      <c r="M42" s="20">
        <f>'TE BE'!$M$42*'TE BE'!$M$51</f>
        <v>1.3731397526742513</v>
      </c>
      <c r="N42" s="20">
        <f>'TE BE'!$N$42*'TE BE'!$N$51</f>
        <v>0</v>
      </c>
      <c r="O42" s="20">
        <f>'TE BE'!$O$42*'TE BE'!$O$51</f>
        <v>-0.10237967455295723</v>
      </c>
      <c r="P42" s="20">
        <f>'TE BE'!$P$42*'TE BE'!$P$51</f>
        <v>0</v>
      </c>
      <c r="Q42" s="20">
        <f>SUM($L$42:$P$42)</f>
        <v>1.270760119248133</v>
      </c>
      <c r="R42" s="20">
        <f>'TE BE'!$R$42*'TE BE'!$R$51</f>
        <v>17.29780321619462</v>
      </c>
      <c r="S42" s="20">
        <f>SUM($R$42:$R$42)</f>
        <v>17.29780321619462</v>
      </c>
      <c r="T42" s="20">
        <f>'TE BE'!$T$42*'TE BE'!$T$51</f>
        <v>-7.1757594775857081E-2</v>
      </c>
      <c r="U42" s="20">
        <f>'TE BE'!$U$42*'TE BE'!$U$51</f>
        <v>6.1645251667860355E-2</v>
      </c>
      <c r="V42" s="20">
        <f>'TE BE'!$V$42*'TE BE'!$V$51</f>
        <v>0</v>
      </c>
      <c r="W42" s="20">
        <f>SUM($T$42:$V$42)</f>
        <v>-1.0112343107996725E-2</v>
      </c>
      <c r="X42" s="20">
        <f>'TE BE'!$AB$42*'TE BE'!$X$51</f>
        <v>-10.133596943092927</v>
      </c>
      <c r="Y42" s="20">
        <f>SUM($X$42:$X$42)</f>
        <v>-10.133596943092927</v>
      </c>
      <c r="Z42" s="20">
        <f>'TE BE'!$Z$42*'TE BE'!$Z$51</f>
        <v>0.47398074080154723</v>
      </c>
      <c r="AA42" s="20">
        <f>SUM($Z$42:$Z$42)</f>
        <v>0.47398074080154723</v>
      </c>
      <c r="AB42" s="20">
        <f ca="1">SUMIF($L$4:$AA$4,"SUBTOTAL",$L$42:$AA$42)+AL42</f>
        <v>61.385071396650581</v>
      </c>
      <c r="AC42" s="9" t="str">
        <f t="shared" si="0"/>
        <v>B3</v>
      </c>
      <c r="AD42" s="9" t="str">
        <f t="shared" si="1"/>
        <v>Energia convencional pré-pagamento</v>
      </c>
      <c r="AE42" s="9" t="str">
        <f t="shared" si="2"/>
        <v>Não se aplica</v>
      </c>
      <c r="AF42" s="9" t="str">
        <f t="shared" si="3"/>
        <v>Não se aplica</v>
      </c>
      <c r="AG42" s="9" t="str">
        <f t="shared" si="4"/>
        <v>Não se aplica</v>
      </c>
      <c r="AH42" s="9">
        <v>1</v>
      </c>
      <c r="AI42" s="9">
        <f ca="1">TarifaMedia!$G$36</f>
        <v>1</v>
      </c>
      <c r="AJ42" s="15">
        <f>'TE BE'!$AB42+'TE BF'!$AB42+'TE CVA'!$AB42</f>
        <v>234.02376339339278</v>
      </c>
      <c r="AK42" s="9">
        <v>286.51</v>
      </c>
      <c r="AL42" s="9">
        <f t="shared" ca="1" si="5"/>
        <v>52.486236606607207</v>
      </c>
      <c r="AO42" s="80" t="s">
        <v>981</v>
      </c>
    </row>
    <row r="43" spans="1:41" ht="11.25" customHeight="1" x14ac:dyDescent="0.3">
      <c r="A43" s="148" t="s">
        <v>47</v>
      </c>
      <c r="B43" s="148" t="s">
        <v>82</v>
      </c>
      <c r="C43" s="148" t="s">
        <v>48</v>
      </c>
      <c r="D43" s="22" t="s">
        <v>49</v>
      </c>
      <c r="E43" s="22" t="s">
        <v>25</v>
      </c>
      <c r="F43" s="22" t="s">
        <v>25</v>
      </c>
      <c r="G43" s="23" t="s">
        <v>83</v>
      </c>
      <c r="H43" s="23" t="s">
        <v>79</v>
      </c>
      <c r="I43" s="23">
        <f>'MERCADO TE'!$U$40</f>
        <v>5104.487000000001</v>
      </c>
      <c r="J43" s="15"/>
      <c r="L43" s="20">
        <f>'TE BE'!$L$43*'TE BE'!$L$51</f>
        <v>2.2619761484997103E-8</v>
      </c>
      <c r="M43" s="20">
        <f>'TE BE'!$M$43*'TE BE'!$M$51</f>
        <v>0.75522686397083827</v>
      </c>
      <c r="N43" s="20">
        <f>'TE BE'!$N$43*'TE BE'!$N$51</f>
        <v>0</v>
      </c>
      <c r="O43" s="20">
        <f>'TE BE'!$O$43*'TE BE'!$O$51</f>
        <v>-5.6308821004126479E-2</v>
      </c>
      <c r="P43" s="20">
        <f>'TE BE'!$P$43*'TE BE'!$P$51</f>
        <v>0</v>
      </c>
      <c r="Q43" s="20">
        <f>SUM($L$43:$P$43)</f>
        <v>0.69891806558647329</v>
      </c>
      <c r="R43" s="20">
        <f>'TE BE'!$R$43*'TE BE'!$R$51</f>
        <v>9.5137917689070424</v>
      </c>
      <c r="S43" s="20">
        <f>SUM($R$43:$R$43)</f>
        <v>9.5137917689070424</v>
      </c>
      <c r="T43" s="20">
        <f>'TE BE'!$T$43*'TE BE'!$T$51</f>
        <v>-3.9466677126721403E-2</v>
      </c>
      <c r="U43" s="20">
        <f>'TE BE'!$U$43*'TE BE'!$U$51</f>
        <v>3.3904888417323198E-2</v>
      </c>
      <c r="V43" s="20">
        <f>'TE BE'!$V$43*'TE BE'!$V$51</f>
        <v>0</v>
      </c>
      <c r="W43" s="20">
        <f>SUM($T$43:$V$43)</f>
        <v>-5.5617887093982049E-3</v>
      </c>
      <c r="X43" s="20">
        <f>'TE BE'!$AB$43*'TE BE'!$X$51</f>
        <v>-5.5734783187011097</v>
      </c>
      <c r="Y43" s="20">
        <f>SUM($X$43:$X$43)</f>
        <v>-5.5734783187011097</v>
      </c>
      <c r="Z43" s="20">
        <f>'TE BE'!$Z$43*'TE BE'!$Z$51</f>
        <v>0.26068940744085101</v>
      </c>
      <c r="AA43" s="20">
        <f>SUM($Z$43:$Z$43)</f>
        <v>0.26068940744085101</v>
      </c>
      <c r="AB43" s="20">
        <f ca="1">SUMIF($L$4:$AA$4,"SUBTOTAL",$L$43:$AA$43)+AL43</f>
        <v>33.761289268157846</v>
      </c>
      <c r="AC43" s="9" t="str">
        <f t="shared" si="0"/>
        <v>B4</v>
      </c>
      <c r="AD43" s="9" t="str">
        <f t="shared" si="1"/>
        <v>Energia convencional</v>
      </c>
      <c r="AE43" s="9" t="str">
        <f t="shared" si="2"/>
        <v>Iluminação pública</v>
      </c>
      <c r="AF43" s="9" t="str">
        <f t="shared" si="3"/>
        <v>Iluminação pública – B4a</v>
      </c>
      <c r="AG43" s="9" t="str">
        <f t="shared" si="4"/>
        <v>Não se aplica</v>
      </c>
      <c r="AH43" s="9">
        <v>1</v>
      </c>
      <c r="AI43" s="9">
        <f ca="1">TarifaMedia!$G$36</f>
        <v>1</v>
      </c>
      <c r="AJ43" s="15">
        <f>'TE BE'!$AB43+'TE BF'!$AB43+'TE CVA'!$AB43</f>
        <v>128.71306986636603</v>
      </c>
      <c r="AK43" s="9">
        <v>157.58000000000001</v>
      </c>
      <c r="AL43" s="9">
        <f t="shared" ca="1" si="5"/>
        <v>28.866930133633986</v>
      </c>
      <c r="AO43" s="80" t="s">
        <v>982</v>
      </c>
    </row>
    <row r="44" spans="1:41" ht="11.25" customHeight="1" x14ac:dyDescent="0.3">
      <c r="A44" s="148"/>
      <c r="B44" s="148"/>
      <c r="C44" s="148"/>
      <c r="D44" s="23" t="s">
        <v>96</v>
      </c>
      <c r="E44" s="23" t="s">
        <v>25</v>
      </c>
      <c r="F44" s="23" t="s">
        <v>25</v>
      </c>
      <c r="G44" s="23" t="s">
        <v>83</v>
      </c>
      <c r="H44" s="23" t="s">
        <v>79</v>
      </c>
      <c r="I44" s="23">
        <f>'MERCADO TE'!$U$41</f>
        <v>0</v>
      </c>
      <c r="J44" s="15"/>
      <c r="L44" s="20">
        <f>'TE BE'!$L$44*'TE BE'!$L$51</f>
        <v>2.4676103438178655E-8</v>
      </c>
      <c r="M44" s="20">
        <f>'TE BE'!$M$44*'TE BE'!$M$51</f>
        <v>0.8238838516045508</v>
      </c>
      <c r="N44" s="20">
        <f>'TE BE'!$N$44*'TE BE'!$N$51</f>
        <v>0</v>
      </c>
      <c r="O44" s="20">
        <f>'TE BE'!$O$44*'TE BE'!$O$51</f>
        <v>-6.1427804731774338E-2</v>
      </c>
      <c r="P44" s="20">
        <f>'TE BE'!$P$44*'TE BE'!$P$51</f>
        <v>0</v>
      </c>
      <c r="Q44" s="20">
        <f>SUM($L$44:$P$44)</f>
        <v>0.76245607154887984</v>
      </c>
      <c r="R44" s="20">
        <f>'TE BE'!$R$44*'TE BE'!$R$51</f>
        <v>10.378681929716771</v>
      </c>
      <c r="S44" s="20">
        <f>SUM($R$44:$R$44)</f>
        <v>10.378681929716771</v>
      </c>
      <c r="T44" s="20">
        <f>'TE BE'!$T$44*'TE BE'!$T$51</f>
        <v>-4.3054556865514251E-2</v>
      </c>
      <c r="U44" s="20">
        <f>'TE BE'!$U$44*'TE BE'!$U$51</f>
        <v>3.6987151000716208E-2</v>
      </c>
      <c r="V44" s="20">
        <f>'TE BE'!$V$44*'TE BE'!$V$51</f>
        <v>0</v>
      </c>
      <c r="W44" s="20">
        <f>SUM($T$44:$V$44)</f>
        <v>-6.0674058647980436E-3</v>
      </c>
      <c r="X44" s="20">
        <f>'TE BE'!$AB$44*'TE BE'!$X$51</f>
        <v>-6.0801581658557557</v>
      </c>
      <c r="Y44" s="20">
        <f>SUM($X$44:$X$44)</f>
        <v>-6.0801581658557557</v>
      </c>
      <c r="Z44" s="20">
        <f>'TE BE'!$Z$44*'TE BE'!$Z$51</f>
        <v>0.28438844448092832</v>
      </c>
      <c r="AA44" s="20">
        <f>SUM($Z$44:$Z$44)</f>
        <v>0.28438844448092832</v>
      </c>
      <c r="AB44" s="20">
        <f ca="1">SUMIF($L$4:$AA$4,"SUBTOTAL",$L$44:$AA$44)+AL44</f>
        <v>36.825042837990352</v>
      </c>
      <c r="AC44" s="9" t="str">
        <f t="shared" si="0"/>
        <v>B4</v>
      </c>
      <c r="AD44" s="9" t="str">
        <f t="shared" si="1"/>
        <v>Energia convencional</v>
      </c>
      <c r="AE44" s="9" t="str">
        <f t="shared" si="2"/>
        <v>Iluminação pública</v>
      </c>
      <c r="AF44" s="9" t="str">
        <f t="shared" si="3"/>
        <v>Iluminação pública – B4b</v>
      </c>
      <c r="AG44" s="9" t="str">
        <f t="shared" si="4"/>
        <v>Não se aplica</v>
      </c>
      <c r="AH44" s="9">
        <v>1</v>
      </c>
      <c r="AI44" s="9">
        <f ca="1">TarifaMedia!$G$36</f>
        <v>1</v>
      </c>
      <c r="AJ44" s="15">
        <f>'TE BE'!$AB44+'TE BF'!$AB44+'TE CVA'!$AB44</f>
        <v>140.41425803603568</v>
      </c>
      <c r="AK44" s="9">
        <v>171.9</v>
      </c>
      <c r="AL44" s="9">
        <f t="shared" ca="1" si="5"/>
        <v>31.48574196396433</v>
      </c>
      <c r="AO44" s="80" t="s">
        <v>983</v>
      </c>
    </row>
    <row r="46" spans="1:41" ht="11.25" customHeight="1" x14ac:dyDescent="0.3">
      <c r="K46" s="25" t="s">
        <v>738</v>
      </c>
      <c r="L46" s="20">
        <f t="shared" ref="L46:AB46" si="6">SUMPRODUCT($I$5:$I$44,L$5:L$44)</f>
        <v>4.8702926713391353E-3</v>
      </c>
      <c r="M46" s="20">
        <f t="shared" si="6"/>
        <v>162608.95868575876</v>
      </c>
      <c r="N46" s="20">
        <f t="shared" si="6"/>
        <v>0</v>
      </c>
      <c r="O46" s="20">
        <f t="shared" si="6"/>
        <v>-12123.931476909625</v>
      </c>
      <c r="P46" s="20">
        <f t="shared" si="6"/>
        <v>0</v>
      </c>
      <c r="Q46" s="20">
        <f t="shared" si="6"/>
        <v>150485.03207914185</v>
      </c>
      <c r="R46" s="20">
        <f t="shared" si="6"/>
        <v>2041246.1629664551</v>
      </c>
      <c r="S46" s="20">
        <f t="shared" si="6"/>
        <v>2041246.1629664551</v>
      </c>
      <c r="T46" s="20">
        <f t="shared" si="6"/>
        <v>-8497.6257817691021</v>
      </c>
      <c r="U46" s="20">
        <f t="shared" si="6"/>
        <v>7300.1092293118609</v>
      </c>
      <c r="V46" s="20">
        <f t="shared" si="6"/>
        <v>0</v>
      </c>
      <c r="W46" s="20">
        <f t="shared" si="6"/>
        <v>-1197.5165524572406</v>
      </c>
      <c r="X46" s="20">
        <f t="shared" si="6"/>
        <v>-1196307.7094131461</v>
      </c>
      <c r="Y46" s="20">
        <f t="shared" si="6"/>
        <v>-1196307.7094131461</v>
      </c>
      <c r="Z46" s="20">
        <f t="shared" si="6"/>
        <v>56129.403106085905</v>
      </c>
      <c r="AA46" s="20">
        <f t="shared" si="6"/>
        <v>56129.403106085905</v>
      </c>
      <c r="AB46" s="20">
        <f t="shared" ca="1" si="6"/>
        <v>6133049.0516108656</v>
      </c>
    </row>
    <row r="47" spans="1:41" ht="11.25" customHeight="1" x14ac:dyDescent="0.3">
      <c r="K47" s="25" t="s">
        <v>657</v>
      </c>
      <c r="L47" s="20">
        <f>CUSTOS!$D$30</f>
        <v>284525.99601777049</v>
      </c>
      <c r="M47" s="20">
        <f>CUSTOS!$D$31</f>
        <v>2475580.2399999998</v>
      </c>
      <c r="N47" s="20">
        <f>CUSTOS!$D$32</f>
        <v>0</v>
      </c>
      <c r="O47" s="20">
        <f>CUSTOS!$D$33</f>
        <v>647468.58264426538</v>
      </c>
      <c r="P47" s="20">
        <f>CUSTOS!$D$34</f>
        <v>-2067541.67</v>
      </c>
      <c r="Q47" s="20">
        <f>CUSTOS!$D$35</f>
        <v>1340033.1486620354</v>
      </c>
      <c r="R47" s="20">
        <f>CUSTOS!$D$36</f>
        <v>24513826.961265057</v>
      </c>
      <c r="S47" s="20">
        <f>CUSTOS!$D$37</f>
        <v>24513826.961265057</v>
      </c>
      <c r="T47" s="20">
        <f>CUSTOS!$D$38</f>
        <v>689862.60845790023</v>
      </c>
      <c r="U47" s="20">
        <f>CUSTOS!$D$39</f>
        <v>475460.58518987527</v>
      </c>
      <c r="V47" s="20">
        <f>CUSTOS!$D$40</f>
        <v>0</v>
      </c>
      <c r="W47" s="20">
        <f>CUSTOS!$D$41</f>
        <v>1165323.1936477756</v>
      </c>
      <c r="X47" s="20">
        <f>CUSTOS!$D$42</f>
        <v>0</v>
      </c>
      <c r="Y47" s="20">
        <f>CUSTOS!$D$43</f>
        <v>0</v>
      </c>
      <c r="Z47" s="20">
        <f>CUSTOS!$D$44</f>
        <v>674071.7999352311</v>
      </c>
      <c r="AA47" s="20">
        <f>CUSTOS!$D$45</f>
        <v>674071.7999352311</v>
      </c>
      <c r="AB47" s="20">
        <f>CUSTOS!$D$46</f>
        <v>27693255.1035101</v>
      </c>
    </row>
    <row r="48" spans="1:41" ht="11.25" customHeight="1" x14ac:dyDescent="0.3">
      <c r="K48" s="25" t="s">
        <v>658</v>
      </c>
      <c r="L48" s="20">
        <f>CUSTOS!$E$30</f>
        <v>4.8702926713391345E-3</v>
      </c>
      <c r="M48" s="20">
        <f>CUSTOS!$E$31</f>
        <v>162608.95868575876</v>
      </c>
      <c r="N48" s="20">
        <f>CUSTOS!$E$32</f>
        <v>0</v>
      </c>
      <c r="O48" s="20">
        <f>CUSTOS!$E$33</f>
        <v>-12123.931476909624</v>
      </c>
      <c r="P48" s="20">
        <f>CUSTOS!$E$34</f>
        <v>0</v>
      </c>
      <c r="Q48" s="20">
        <f>CUSTOS!$E$35</f>
        <v>150485.03207914182</v>
      </c>
      <c r="R48" s="20">
        <f>CUSTOS!$E$36</f>
        <v>2041246.1629664556</v>
      </c>
      <c r="S48" s="20">
        <f>CUSTOS!$E$37</f>
        <v>2041246.1629664556</v>
      </c>
      <c r="T48" s="20">
        <f>CUSTOS!$E$38</f>
        <v>-8497.6257817691003</v>
      </c>
      <c r="U48" s="20">
        <f>CUSTOS!$E$39</f>
        <v>7300.1092293118591</v>
      </c>
      <c r="V48" s="20">
        <f>CUSTOS!$E$40</f>
        <v>0</v>
      </c>
      <c r="W48" s="20">
        <f>CUSTOS!$E$41</f>
        <v>-1197.5165524572412</v>
      </c>
      <c r="X48" s="20">
        <f>CUSTOS!$E$42</f>
        <v>-1196307.7094131464</v>
      </c>
      <c r="Y48" s="20">
        <f>CUSTOS!$E$43</f>
        <v>-1196307.7094131464</v>
      </c>
      <c r="Z48" s="20">
        <f>CUSTOS!$E$44</f>
        <v>56129.403106085883</v>
      </c>
      <c r="AA48" s="20">
        <f>CUSTOS!$E$45</f>
        <v>56129.403106085883</v>
      </c>
      <c r="AB48" s="20">
        <f>CUSTOS!$E$46</f>
        <v>1050355.3721860799</v>
      </c>
    </row>
    <row r="49" spans="11:28" ht="11.25" customHeight="1" x14ac:dyDescent="0.3">
      <c r="K49" s="25" t="s">
        <v>659</v>
      </c>
      <c r="L49" s="20">
        <f>CUSTOS!$F$30</f>
        <v>0</v>
      </c>
      <c r="M49" s="20">
        <f>CUSTOS!$F$31</f>
        <v>20328.808799999999</v>
      </c>
      <c r="N49" s="20">
        <f>CUSTOS!$F$32</f>
        <v>0</v>
      </c>
      <c r="O49" s="20">
        <f>CUSTOS!$F$33</f>
        <v>44833.335171531602</v>
      </c>
      <c r="P49" s="20">
        <f>CUSTOS!$F$34</f>
        <v>0</v>
      </c>
      <c r="Q49" s="20">
        <f>CUSTOS!$F$35</f>
        <v>65162.143971531601</v>
      </c>
      <c r="R49" s="20">
        <f>CUSTOS!$F$36</f>
        <v>-1250398.5118221636</v>
      </c>
      <c r="S49" s="20">
        <f>CUSTOS!$F$37</f>
        <v>-1250398.5118221636</v>
      </c>
      <c r="T49" s="20">
        <f>CUSTOS!$F$38</f>
        <v>59395.178999999996</v>
      </c>
      <c r="U49" s="20">
        <f>CUSTOS!$F$39</f>
        <v>44702.023239219423</v>
      </c>
      <c r="V49" s="20">
        <f>CUSTOS!$F$40</f>
        <v>0</v>
      </c>
      <c r="W49" s="20">
        <f>CUSTOS!$F$41</f>
        <v>104097.20223921942</v>
      </c>
      <c r="X49" s="20">
        <f>CUSTOS!$F$42</f>
        <v>0</v>
      </c>
      <c r="Y49" s="20">
        <f>CUSTOS!$F$43</f>
        <v>0</v>
      </c>
      <c r="Z49" s="20">
        <f>CUSTOS!$F$44</f>
        <v>-34382.978097712883</v>
      </c>
      <c r="AA49" s="20">
        <f>CUSTOS!$F$45</f>
        <v>-34382.978097712883</v>
      </c>
      <c r="AB49" s="20">
        <f>CUSTOS!$F$46</f>
        <v>-1115522.1437091255</v>
      </c>
    </row>
    <row r="50" spans="11:28" ht="11.25" customHeight="1" x14ac:dyDescent="0.3">
      <c r="K50" s="25" t="s">
        <v>739</v>
      </c>
      <c r="L50" s="20">
        <f>'TR TE'!$L$50*L51</f>
        <v>0</v>
      </c>
      <c r="M50" s="20">
        <f>'TR TE'!$M$50*M51</f>
        <v>0.17166517585134053</v>
      </c>
      <c r="N50" s="20">
        <f>'TR TE'!$N$50*N51</f>
        <v>0</v>
      </c>
      <c r="O50" s="20">
        <f>'TR TE'!$O$50*O51</f>
        <v>0.37859190088024552</v>
      </c>
      <c r="P50" s="20">
        <f>'TR TE'!$P$50*P51</f>
        <v>0</v>
      </c>
      <c r="Q50" s="20"/>
      <c r="R50" s="20">
        <f>'TR TE'!$R$50*R51</f>
        <v>-10.581132963421712</v>
      </c>
      <c r="S50" s="20"/>
      <c r="T50" s="20">
        <f>'TR TE'!$T$50*T51</f>
        <v>0.5015583523888939</v>
      </c>
      <c r="U50" s="20">
        <f>'TR TE'!$U$50*U51</f>
        <v>0.37748304663435633</v>
      </c>
      <c r="V50" s="20">
        <f>'TR TE'!$V$50*V51</f>
        <v>0</v>
      </c>
      <c r="W50" s="20"/>
      <c r="X50" s="20"/>
      <c r="Y50" s="20"/>
      <c r="Z50" s="20">
        <f>'TR TE'!$Z$50*Z51</f>
        <v>-0.29034460599760631</v>
      </c>
      <c r="AA50" s="20"/>
      <c r="AB50" s="20"/>
    </row>
    <row r="51" spans="11:28" ht="11.25" customHeight="1" x14ac:dyDescent="0.3">
      <c r="K51" s="25" t="s">
        <v>734</v>
      </c>
      <c r="L51" s="20">
        <f>IF(L47&lt;&gt;0,L49/L47,0)</f>
        <v>0</v>
      </c>
      <c r="M51" s="20">
        <f>IF(M47&lt;&gt;0,M49/M47,0)</f>
        <v>8.21173495875052E-3</v>
      </c>
      <c r="N51" s="20">
        <f>IF(N47&lt;&gt;0,N49/N47,0)</f>
        <v>0</v>
      </c>
      <c r="O51" s="20">
        <f>IF(O47&lt;&gt;0,O49/O47,0)</f>
        <v>6.9244031870136474E-2</v>
      </c>
      <c r="P51" s="20">
        <f>IF(P47&lt;&gt;0,P49/P47,0)</f>
        <v>0</v>
      </c>
      <c r="Q51" s="20"/>
      <c r="R51" s="20">
        <f>IF(R47&lt;&gt;0,R49/R47,0)</f>
        <v>-5.1007886846796753E-2</v>
      </c>
      <c r="S51" s="20"/>
      <c r="T51" s="20">
        <f>IF(T47&lt;&gt;0,T49/T47,0)</f>
        <v>8.6097113065412165E-2</v>
      </c>
      <c r="U51" s="20">
        <f>IF(U47&lt;&gt;0,U49/U47,0)</f>
        <v>9.4018357423607812E-2</v>
      </c>
      <c r="V51" s="20">
        <f>IF(V47&lt;&gt;0,V49/V47,0)</f>
        <v>0</v>
      </c>
      <c r="W51" s="20"/>
      <c r="X51" s="20">
        <f>IF($AB47&lt;&gt;0,X49/($AB47-SUM('TR TE'!$L50:'TR TE'!$AA50)*0),0)</f>
        <v>0</v>
      </c>
      <c r="Y51" s="20"/>
      <c r="Z51" s="20">
        <f>IF(Z47&lt;&gt;0,Z49/Z47,0)</f>
        <v>-5.1007886846796746E-2</v>
      </c>
      <c r="AA51" s="20"/>
      <c r="AB51" s="20"/>
    </row>
    <row r="52" spans="11:28" ht="11.25" customHeight="1" x14ac:dyDescent="0.3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</sheetData>
  <mergeCells count="78">
    <mergeCell ref="AJ1:AJ4"/>
    <mergeCell ref="AK1:AK4"/>
    <mergeCell ref="AL1:AL4"/>
    <mergeCell ref="AO1:AO4"/>
    <mergeCell ref="AD1:AD4"/>
    <mergeCell ref="AE1:AE4"/>
    <mergeCell ref="AF1:AF4"/>
    <mergeCell ref="AG1:AG4"/>
    <mergeCell ref="AH1:AH4"/>
    <mergeCell ref="AI1:AI4"/>
    <mergeCell ref="E38:E40"/>
    <mergeCell ref="F38:F40"/>
    <mergeCell ref="A43:A44"/>
    <mergeCell ref="B43:B44"/>
    <mergeCell ref="C43:C44"/>
    <mergeCell ref="AC1:AC4"/>
    <mergeCell ref="B35:B37"/>
    <mergeCell ref="C35:C37"/>
    <mergeCell ref="A38:A42"/>
    <mergeCell ref="B38:B40"/>
    <mergeCell ref="C38:C40"/>
    <mergeCell ref="D38:D40"/>
    <mergeCell ref="F27:F29"/>
    <mergeCell ref="B31:B33"/>
    <mergeCell ref="C31:C33"/>
    <mergeCell ref="D31:D33"/>
    <mergeCell ref="E31:E33"/>
    <mergeCell ref="F31:F33"/>
    <mergeCell ref="A23:A37"/>
    <mergeCell ref="B23:B25"/>
    <mergeCell ref="C23:C25"/>
    <mergeCell ref="D23:D25"/>
    <mergeCell ref="E23:E25"/>
    <mergeCell ref="F23:F25"/>
    <mergeCell ref="B27:B29"/>
    <mergeCell ref="C27:C29"/>
    <mergeCell ref="D27:D29"/>
    <mergeCell ref="E27:E29"/>
    <mergeCell ref="A10:A22"/>
    <mergeCell ref="B10:B12"/>
    <mergeCell ref="C10:C12"/>
    <mergeCell ref="D10:D12"/>
    <mergeCell ref="E10:E12"/>
    <mergeCell ref="F10:F12"/>
    <mergeCell ref="B13:B17"/>
    <mergeCell ref="C13:C17"/>
    <mergeCell ref="B18:B22"/>
    <mergeCell ref="C18:C22"/>
    <mergeCell ref="A8:A9"/>
    <mergeCell ref="B8:B9"/>
    <mergeCell ref="C8:C9"/>
    <mergeCell ref="D8:D9"/>
    <mergeCell ref="E8:E9"/>
    <mergeCell ref="F8:F9"/>
    <mergeCell ref="Z3:AA3"/>
    <mergeCell ref="AB3:AB4"/>
    <mergeCell ref="A5:A7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6">
    <cfRule type="cellIs" dxfId="222" priority="33" operator="notEqual">
      <formula>$L$48</formula>
    </cfRule>
    <cfRule type="cellIs" dxfId="221" priority="34" operator="equal">
      <formula>$L$48</formula>
    </cfRule>
  </conditionalFormatting>
  <conditionalFormatting sqref="M46">
    <cfRule type="cellIs" dxfId="220" priority="31" operator="notEqual">
      <formula>$M$48</formula>
    </cfRule>
    <cfRule type="cellIs" dxfId="219" priority="32" operator="equal">
      <formula>$M$48</formula>
    </cfRule>
  </conditionalFormatting>
  <conditionalFormatting sqref="N46">
    <cfRule type="cellIs" dxfId="218" priority="29" operator="notEqual">
      <formula>$N$48</formula>
    </cfRule>
    <cfRule type="cellIs" dxfId="217" priority="30" operator="equal">
      <formula>$N$48</formula>
    </cfRule>
  </conditionalFormatting>
  <conditionalFormatting sqref="O46">
    <cfRule type="cellIs" dxfId="216" priority="27" operator="notEqual">
      <formula>$O$48</formula>
    </cfRule>
    <cfRule type="cellIs" dxfId="215" priority="28" operator="equal">
      <formula>$O$48</formula>
    </cfRule>
  </conditionalFormatting>
  <conditionalFormatting sqref="P46">
    <cfRule type="cellIs" dxfId="214" priority="25" operator="notEqual">
      <formula>$P$48</formula>
    </cfRule>
    <cfRule type="cellIs" dxfId="213" priority="26" operator="equal">
      <formula>$P$48</formula>
    </cfRule>
  </conditionalFormatting>
  <conditionalFormatting sqref="Q46">
    <cfRule type="cellIs" dxfId="212" priority="23" operator="notEqual">
      <formula>$Q$48</formula>
    </cfRule>
    <cfRule type="cellIs" dxfId="211" priority="24" operator="equal">
      <formula>$Q$48</formula>
    </cfRule>
  </conditionalFormatting>
  <conditionalFormatting sqref="R46">
    <cfRule type="cellIs" dxfId="210" priority="21" operator="notEqual">
      <formula>$R$48</formula>
    </cfRule>
    <cfRule type="cellIs" dxfId="209" priority="22" operator="equal">
      <formula>$R$48</formula>
    </cfRule>
  </conditionalFormatting>
  <conditionalFormatting sqref="S46">
    <cfRule type="cellIs" dxfId="208" priority="19" operator="notEqual">
      <formula>$S$48</formula>
    </cfRule>
    <cfRule type="cellIs" dxfId="207" priority="20" operator="equal">
      <formula>$S$48</formula>
    </cfRule>
  </conditionalFormatting>
  <conditionalFormatting sqref="T46">
    <cfRule type="cellIs" dxfId="206" priority="17" operator="notEqual">
      <formula>$T$48</formula>
    </cfRule>
    <cfRule type="cellIs" dxfId="205" priority="18" operator="equal">
      <formula>$T$48</formula>
    </cfRule>
  </conditionalFormatting>
  <conditionalFormatting sqref="U46">
    <cfRule type="cellIs" dxfId="204" priority="15" operator="notEqual">
      <formula>$U$48</formula>
    </cfRule>
    <cfRule type="cellIs" dxfId="203" priority="16" operator="equal">
      <formula>$U$48</formula>
    </cfRule>
  </conditionalFormatting>
  <conditionalFormatting sqref="V46">
    <cfRule type="cellIs" dxfId="202" priority="13" operator="notEqual">
      <formula>$V$48</formula>
    </cfRule>
    <cfRule type="cellIs" dxfId="201" priority="14" operator="equal">
      <formula>$V$48</formula>
    </cfRule>
  </conditionalFormatting>
  <conditionalFormatting sqref="W46">
    <cfRule type="cellIs" dxfId="200" priority="11" operator="notEqual">
      <formula>$W$48</formula>
    </cfRule>
    <cfRule type="cellIs" dxfId="199" priority="12" operator="equal">
      <formula>$W$48</formula>
    </cfRule>
  </conditionalFormatting>
  <conditionalFormatting sqref="X46">
    <cfRule type="cellIs" dxfId="198" priority="9" operator="notEqual">
      <formula>$X$48</formula>
    </cfRule>
    <cfRule type="cellIs" dxfId="197" priority="10" operator="equal">
      <formula>$X$48</formula>
    </cfRule>
  </conditionalFormatting>
  <conditionalFormatting sqref="Y46">
    <cfRule type="cellIs" dxfId="196" priority="7" operator="notEqual">
      <formula>$Y$48</formula>
    </cfRule>
    <cfRule type="cellIs" dxfId="195" priority="8" operator="equal">
      <formula>$Y$48</formula>
    </cfRule>
  </conditionalFormatting>
  <conditionalFormatting sqref="Z46">
    <cfRule type="cellIs" dxfId="194" priority="5" operator="notEqual">
      <formula>$Z$48</formula>
    </cfRule>
    <cfRule type="cellIs" dxfId="193" priority="6" operator="equal">
      <formula>$Z$48</formula>
    </cfRule>
  </conditionalFormatting>
  <conditionalFormatting sqref="AA46">
    <cfRule type="cellIs" dxfId="192" priority="3" operator="notEqual">
      <formula>$AA$48</formula>
    </cfRule>
    <cfRule type="cellIs" dxfId="191" priority="4" operator="equal">
      <formula>$AA$48</formula>
    </cfRule>
  </conditionalFormatting>
  <conditionalFormatting sqref="AB46">
    <cfRule type="cellIs" dxfId="190" priority="1" operator="notEqual">
      <formula>$AB$48</formula>
    </cfRule>
    <cfRule type="cellIs" dxfId="189" priority="2" operator="equal">
      <formula>$AB$48</formula>
    </cfRule>
  </conditionalFormatting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13731-E65C-4AAC-AE14-3FBDA792C769}">
  <sheetPr codeName="Planilha28">
    <tabColor indexed="12" tint="-0.249977111117893"/>
  </sheetPr>
  <dimension ref="A1:J909"/>
  <sheetViews>
    <sheetView workbookViewId="0"/>
  </sheetViews>
  <sheetFormatPr defaultRowHeight="14.4" x14ac:dyDescent="0.3"/>
  <cols>
    <col min="1" max="1" width="61.5546875" bestFit="1" customWidth="1"/>
    <col min="2" max="2" width="28.5546875" style="59" bestFit="1" customWidth="1"/>
    <col min="3" max="3" width="29.88671875" style="59" bestFit="1" customWidth="1"/>
    <col min="4" max="4" width="30.5546875" style="59" bestFit="1" customWidth="1"/>
    <col min="5" max="5" width="31.6640625" style="59" bestFit="1" customWidth="1"/>
    <col min="6" max="6" width="27.88671875" style="59" bestFit="1" customWidth="1"/>
    <col min="7" max="7" width="29.109375" style="59" bestFit="1" customWidth="1"/>
    <col min="8" max="8" width="21.33203125" style="91" bestFit="1" customWidth="1"/>
    <col min="9" max="9" width="18.77734375" style="91" bestFit="1" customWidth="1"/>
    <col min="10" max="10" width="16.21875" style="91" bestFit="1" customWidth="1"/>
  </cols>
  <sheetData>
    <row r="1" spans="1:10" x14ac:dyDescent="0.3">
      <c r="A1" s="81" t="s">
        <v>796</v>
      </c>
      <c r="B1" s="59" t="s">
        <v>797</v>
      </c>
      <c r="C1" s="59" t="s">
        <v>798</v>
      </c>
      <c r="D1" s="59" t="s">
        <v>799</v>
      </c>
      <c r="E1" s="59" t="s">
        <v>800</v>
      </c>
      <c r="F1" s="59" t="s">
        <v>801</v>
      </c>
      <c r="G1" s="59" t="s">
        <v>802</v>
      </c>
      <c r="H1" s="91" t="s">
        <v>803</v>
      </c>
      <c r="I1" s="91" t="s">
        <v>804</v>
      </c>
      <c r="J1" s="91" t="s">
        <v>805</v>
      </c>
    </row>
    <row r="2" spans="1:10" x14ac:dyDescent="0.3">
      <c r="A2" s="82" t="s">
        <v>45</v>
      </c>
      <c r="B2" s="59">
        <v>689165.73360000015</v>
      </c>
      <c r="C2" s="59">
        <v>1167127.5632811752</v>
      </c>
      <c r="D2" s="59">
        <v>98944.220736000017</v>
      </c>
      <c r="E2" s="59">
        <v>170938.23411709967</v>
      </c>
      <c r="F2" s="59">
        <v>266820.27776960004</v>
      </c>
      <c r="G2" s="59">
        <v>254473.5789716065</v>
      </c>
      <c r="H2" s="91">
        <v>0.69781613598019376</v>
      </c>
      <c r="I2" s="91">
        <v>-4.627346504996499E-2</v>
      </c>
      <c r="J2" s="91">
        <v>0.50961582851904219</v>
      </c>
    </row>
    <row r="3" spans="1:10" x14ac:dyDescent="0.3">
      <c r="A3" s="83" t="s">
        <v>42</v>
      </c>
      <c r="B3" s="59">
        <v>262066.34160000004</v>
      </c>
      <c r="C3" s="59">
        <v>449318.09650366934</v>
      </c>
      <c r="D3" s="59">
        <v>89512.317900000009</v>
      </c>
      <c r="E3" s="59">
        <v>154718.87554423104</v>
      </c>
      <c r="F3" s="59">
        <v>255820.47073680005</v>
      </c>
      <c r="G3" s="59">
        <v>243970.01844750287</v>
      </c>
      <c r="H3" s="91">
        <v>0.7180706386074045</v>
      </c>
      <c r="I3" s="91">
        <v>-4.6323315156000522E-2</v>
      </c>
      <c r="J3" s="91">
        <v>0.3961280948242385</v>
      </c>
    </row>
    <row r="4" spans="1:10" x14ac:dyDescent="0.3">
      <c r="A4" s="84" t="s">
        <v>26</v>
      </c>
      <c r="B4" s="59">
        <v>262066.34160000004</v>
      </c>
      <c r="C4" s="59">
        <v>449318.09650366934</v>
      </c>
      <c r="D4" s="59">
        <v>89512.317900000009</v>
      </c>
      <c r="E4" s="59">
        <v>154718.87554423104</v>
      </c>
      <c r="F4" s="59">
        <v>255820.47073680005</v>
      </c>
      <c r="G4" s="59">
        <v>243970.01844750287</v>
      </c>
      <c r="H4" s="91">
        <v>0.7180706386074045</v>
      </c>
      <c r="I4" s="91">
        <v>-4.6323315156000522E-2</v>
      </c>
      <c r="J4" s="91">
        <v>0.3961280948242385</v>
      </c>
    </row>
    <row r="5" spans="1:10" x14ac:dyDescent="0.3">
      <c r="A5" s="85" t="s">
        <v>41</v>
      </c>
      <c r="B5" s="59">
        <v>1939.5</v>
      </c>
      <c r="C5" s="59">
        <v>3325.2972352351162</v>
      </c>
      <c r="D5" s="59">
        <v>0</v>
      </c>
      <c r="E5" s="59">
        <v>0</v>
      </c>
      <c r="F5" s="59">
        <v>0</v>
      </c>
      <c r="G5" s="59">
        <v>0</v>
      </c>
      <c r="H5" s="91">
        <v>0.71451262450895392</v>
      </c>
      <c r="I5" s="91">
        <v>0</v>
      </c>
      <c r="J5" s="91">
        <v>0.71451262450895392</v>
      </c>
    </row>
    <row r="6" spans="1:10" x14ac:dyDescent="0.3">
      <c r="A6" s="86" t="s">
        <v>25</v>
      </c>
      <c r="B6" s="59">
        <v>1939.5</v>
      </c>
      <c r="C6" s="59">
        <v>3325.2972352351162</v>
      </c>
      <c r="D6" s="59">
        <v>0</v>
      </c>
      <c r="E6" s="59">
        <v>0</v>
      </c>
      <c r="F6" s="59">
        <v>0</v>
      </c>
      <c r="G6" s="59">
        <v>0</v>
      </c>
      <c r="H6" s="91">
        <v>0.71451262450895392</v>
      </c>
      <c r="I6" s="91">
        <v>0</v>
      </c>
      <c r="J6" s="91">
        <v>0.71451262450895392</v>
      </c>
    </row>
    <row r="7" spans="1:10" x14ac:dyDescent="0.3">
      <c r="A7" s="87" t="s">
        <v>25</v>
      </c>
      <c r="B7" s="59">
        <v>1939.5</v>
      </c>
      <c r="C7" s="59">
        <v>3325.2972352351162</v>
      </c>
      <c r="D7" s="59">
        <v>0</v>
      </c>
      <c r="E7" s="59">
        <v>0</v>
      </c>
      <c r="F7" s="59">
        <v>0</v>
      </c>
      <c r="G7" s="59">
        <v>0</v>
      </c>
      <c r="H7" s="91">
        <v>0.71451262450895392</v>
      </c>
      <c r="I7" s="91">
        <v>0</v>
      </c>
      <c r="J7" s="91">
        <v>0.71451262450895392</v>
      </c>
    </row>
    <row r="8" spans="1:10" x14ac:dyDescent="0.3">
      <c r="A8" s="88" t="s">
        <v>25</v>
      </c>
      <c r="B8" s="59">
        <v>1939.5</v>
      </c>
      <c r="C8" s="59">
        <v>3325.2972352351162</v>
      </c>
      <c r="D8" s="59">
        <v>0</v>
      </c>
      <c r="E8" s="59">
        <v>0</v>
      </c>
      <c r="F8" s="59">
        <v>0</v>
      </c>
      <c r="G8" s="59">
        <v>0</v>
      </c>
      <c r="H8" s="91">
        <v>0.71451262450895392</v>
      </c>
      <c r="I8" s="91">
        <v>0</v>
      </c>
      <c r="J8" s="91">
        <v>0.71451262450895392</v>
      </c>
    </row>
    <row r="9" spans="1:10" x14ac:dyDescent="0.3">
      <c r="A9" s="89" t="s">
        <v>35</v>
      </c>
      <c r="B9" s="59">
        <v>567.6</v>
      </c>
      <c r="C9" s="59">
        <v>976.70835802056422</v>
      </c>
      <c r="D9" s="59">
        <v>0</v>
      </c>
      <c r="E9" s="59">
        <v>0</v>
      </c>
      <c r="F9" s="59">
        <v>0</v>
      </c>
      <c r="G9" s="59">
        <v>0</v>
      </c>
      <c r="H9" s="91">
        <v>0.72076877734419331</v>
      </c>
      <c r="I9" s="91">
        <v>0</v>
      </c>
      <c r="J9" s="91">
        <v>0.72076877734419331</v>
      </c>
    </row>
    <row r="10" spans="1:10" x14ac:dyDescent="0.3">
      <c r="A10" s="90">
        <v>44562</v>
      </c>
      <c r="B10" s="59">
        <v>567.6</v>
      </c>
      <c r="C10" s="59">
        <v>976.70835802056422</v>
      </c>
      <c r="D10" s="59">
        <v>0</v>
      </c>
      <c r="E10" s="59">
        <v>0</v>
      </c>
      <c r="F10" s="59">
        <v>0</v>
      </c>
      <c r="G10" s="59">
        <v>0</v>
      </c>
      <c r="H10" s="91">
        <v>0.72076877734419331</v>
      </c>
      <c r="I10" s="91">
        <v>0</v>
      </c>
      <c r="J10" s="91">
        <v>0.72076877734419331</v>
      </c>
    </row>
    <row r="11" spans="1:10" x14ac:dyDescent="0.3">
      <c r="A11" s="89" t="s">
        <v>34</v>
      </c>
      <c r="B11" s="59">
        <v>1371.8999999999999</v>
      </c>
      <c r="C11" s="59">
        <v>2348.5888772145522</v>
      </c>
      <c r="D11" s="59">
        <v>0</v>
      </c>
      <c r="E11" s="59">
        <v>0</v>
      </c>
      <c r="F11" s="59">
        <v>0</v>
      </c>
      <c r="G11" s="59">
        <v>0</v>
      </c>
      <c r="H11" s="91">
        <v>0.71192424900834794</v>
      </c>
      <c r="I11" s="91">
        <v>0</v>
      </c>
      <c r="J11" s="91">
        <v>0.71192424900834794</v>
      </c>
    </row>
    <row r="12" spans="1:10" x14ac:dyDescent="0.3">
      <c r="A12" s="90">
        <v>44562</v>
      </c>
      <c r="B12" s="59">
        <v>1371.8999999999999</v>
      </c>
      <c r="C12" s="59">
        <v>2348.5888772145522</v>
      </c>
      <c r="D12" s="59">
        <v>0</v>
      </c>
      <c r="E12" s="59">
        <v>0</v>
      </c>
      <c r="F12" s="59">
        <v>0</v>
      </c>
      <c r="G12" s="59">
        <v>0</v>
      </c>
      <c r="H12" s="91">
        <v>0.71192424900834794</v>
      </c>
      <c r="I12" s="91">
        <v>0</v>
      </c>
      <c r="J12" s="91">
        <v>0.71192424900834794</v>
      </c>
    </row>
    <row r="13" spans="1:10" x14ac:dyDescent="0.3">
      <c r="A13" s="85" t="s">
        <v>44</v>
      </c>
      <c r="B13" s="59">
        <v>260126.84160000004</v>
      </c>
      <c r="C13" s="59">
        <v>445992.79926843417</v>
      </c>
      <c r="D13" s="59">
        <v>89512.317900000009</v>
      </c>
      <c r="E13" s="59">
        <v>154718.87554423104</v>
      </c>
      <c r="F13" s="59">
        <v>255820.47073680005</v>
      </c>
      <c r="G13" s="59">
        <v>243970.01844750287</v>
      </c>
      <c r="H13" s="91">
        <v>0.71809037543652221</v>
      </c>
      <c r="I13" s="91">
        <v>-4.6323315156000522E-2</v>
      </c>
      <c r="J13" s="91">
        <v>0.3951081972712307</v>
      </c>
    </row>
    <row r="14" spans="1:10" x14ac:dyDescent="0.3">
      <c r="A14" s="86" t="s">
        <v>53</v>
      </c>
      <c r="B14" s="59">
        <v>260126.84160000004</v>
      </c>
      <c r="C14" s="59">
        <v>445992.79926843417</v>
      </c>
      <c r="D14" s="59">
        <v>89512.317900000009</v>
      </c>
      <c r="E14" s="59">
        <v>154718.87554423104</v>
      </c>
      <c r="F14" s="59">
        <v>255820.47073680005</v>
      </c>
      <c r="G14" s="59">
        <v>243970.01844750287</v>
      </c>
      <c r="H14" s="91">
        <v>0.71809037543652221</v>
      </c>
      <c r="I14" s="91">
        <v>-4.6323315156000522E-2</v>
      </c>
      <c r="J14" s="91">
        <v>0.3951081972712307</v>
      </c>
    </row>
    <row r="15" spans="1:10" x14ac:dyDescent="0.3">
      <c r="A15" s="87" t="s">
        <v>55</v>
      </c>
      <c r="B15" s="59">
        <v>0</v>
      </c>
      <c r="C15" s="59">
        <v>0</v>
      </c>
      <c r="D15" s="59">
        <v>14235.791003999999</v>
      </c>
      <c r="E15" s="59">
        <v>24606.061247147747</v>
      </c>
      <c r="F15" s="59">
        <v>40663.877892000004</v>
      </c>
      <c r="G15" s="59">
        <v>38112.687376306043</v>
      </c>
      <c r="H15" s="91">
        <v>0.72846463117039928</v>
      </c>
      <c r="I15" s="91">
        <v>-6.273849539066878E-2</v>
      </c>
      <c r="J15" s="91">
        <v>0.14242489772144129</v>
      </c>
    </row>
    <row r="16" spans="1:10" x14ac:dyDescent="0.3">
      <c r="A16" s="88" t="s">
        <v>25</v>
      </c>
      <c r="B16" s="59">
        <v>0</v>
      </c>
      <c r="C16" s="59">
        <v>0</v>
      </c>
      <c r="D16" s="59">
        <v>14235.791003999999</v>
      </c>
      <c r="E16" s="59">
        <v>24606.061247147747</v>
      </c>
      <c r="F16" s="59">
        <v>40663.877892000004</v>
      </c>
      <c r="G16" s="59">
        <v>38112.687376306043</v>
      </c>
      <c r="H16" s="91">
        <v>0.72846463117039928</v>
      </c>
      <c r="I16" s="91">
        <v>-6.273849539066878E-2</v>
      </c>
      <c r="J16" s="91">
        <v>0.14242489772144129</v>
      </c>
    </row>
    <row r="17" spans="1:10" x14ac:dyDescent="0.3">
      <c r="A17" s="89" t="s">
        <v>35</v>
      </c>
      <c r="B17" s="59">
        <v>0</v>
      </c>
      <c r="C17" s="59">
        <v>0</v>
      </c>
      <c r="D17" s="59">
        <v>14235.791003999999</v>
      </c>
      <c r="E17" s="59">
        <v>24606.061247147747</v>
      </c>
      <c r="F17" s="59">
        <v>40663.877892000004</v>
      </c>
      <c r="G17" s="59">
        <v>38112.687376306043</v>
      </c>
      <c r="H17" s="91">
        <v>0.72846463117039928</v>
      </c>
      <c r="I17" s="91">
        <v>-6.273849539066878E-2</v>
      </c>
      <c r="J17" s="91">
        <v>0.14242489772144129</v>
      </c>
    </row>
    <row r="18" spans="1:10" x14ac:dyDescent="0.3">
      <c r="A18" s="90">
        <v>44713</v>
      </c>
      <c r="B18" s="59">
        <v>0</v>
      </c>
      <c r="C18" s="59">
        <v>0</v>
      </c>
      <c r="D18" s="59">
        <v>2877.5574239999996</v>
      </c>
      <c r="E18" s="59">
        <v>4973.7562315458035</v>
      </c>
      <c r="F18" s="59">
        <v>8219.6095519999999</v>
      </c>
      <c r="G18" s="59">
        <v>7703.9236160087503</v>
      </c>
      <c r="H18" s="91">
        <v>0.72846463117039928</v>
      </c>
      <c r="I18" s="91">
        <v>-6.2738495390668891E-2</v>
      </c>
      <c r="J18" s="91">
        <v>0.14242489772144107</v>
      </c>
    </row>
    <row r="19" spans="1:10" x14ac:dyDescent="0.3">
      <c r="A19" s="90">
        <v>44743</v>
      </c>
      <c r="B19" s="59">
        <v>0</v>
      </c>
      <c r="C19" s="59">
        <v>0</v>
      </c>
      <c r="D19" s="59">
        <v>2877.5574239999996</v>
      </c>
      <c r="E19" s="59">
        <v>4973.7562315458035</v>
      </c>
      <c r="F19" s="59">
        <v>8219.6095519999999</v>
      </c>
      <c r="G19" s="59">
        <v>7703.9236160087503</v>
      </c>
      <c r="H19" s="91">
        <v>0.72846463117039928</v>
      </c>
      <c r="I19" s="91">
        <v>-6.2738495390668891E-2</v>
      </c>
      <c r="J19" s="91">
        <v>0.14242489772144107</v>
      </c>
    </row>
    <row r="20" spans="1:10" x14ac:dyDescent="0.3">
      <c r="A20" s="90">
        <v>44774</v>
      </c>
      <c r="B20" s="59">
        <v>0</v>
      </c>
      <c r="C20" s="59">
        <v>0</v>
      </c>
      <c r="D20" s="59">
        <v>8480.6761559999995</v>
      </c>
      <c r="E20" s="59">
        <v>14658.54878405614</v>
      </c>
      <c r="F20" s="59">
        <v>24224.658788000001</v>
      </c>
      <c r="G20" s="59">
        <v>22704.840144288541</v>
      </c>
      <c r="H20" s="91">
        <v>0.7284646311703995</v>
      </c>
      <c r="I20" s="91">
        <v>-6.2738495390668669E-2</v>
      </c>
      <c r="J20" s="91">
        <v>0.14242489772144107</v>
      </c>
    </row>
    <row r="21" spans="1:10" x14ac:dyDescent="0.3">
      <c r="A21" s="87" t="s">
        <v>25</v>
      </c>
      <c r="B21" s="59">
        <v>260126.84160000004</v>
      </c>
      <c r="C21" s="59">
        <v>445992.79926843417</v>
      </c>
      <c r="D21" s="59">
        <v>75276.52689600001</v>
      </c>
      <c r="E21" s="59">
        <v>130112.81429708327</v>
      </c>
      <c r="F21" s="59">
        <v>215156.59284480003</v>
      </c>
      <c r="G21" s="59">
        <v>205857.33107119682</v>
      </c>
      <c r="H21" s="91">
        <v>0.71765005267795323</v>
      </c>
      <c r="I21" s="91">
        <v>-4.3220900882693813E-2</v>
      </c>
      <c r="J21" s="91">
        <v>0.4203047797598094</v>
      </c>
    </row>
    <row r="22" spans="1:10" x14ac:dyDescent="0.3">
      <c r="A22" s="88" t="s">
        <v>25</v>
      </c>
      <c r="B22" s="59">
        <v>260126.84160000004</v>
      </c>
      <c r="C22" s="59">
        <v>445992.79926843417</v>
      </c>
      <c r="D22" s="59">
        <v>75276.52689600001</v>
      </c>
      <c r="E22" s="59">
        <v>130112.81429708327</v>
      </c>
      <c r="F22" s="59">
        <v>215156.59284480003</v>
      </c>
      <c r="G22" s="59">
        <v>205857.33107119682</v>
      </c>
      <c r="H22" s="91">
        <v>0.71765005267795323</v>
      </c>
      <c r="I22" s="91">
        <v>-4.3220900882693813E-2</v>
      </c>
      <c r="J22" s="91">
        <v>0.4203047797598094</v>
      </c>
    </row>
    <row r="23" spans="1:10" x14ac:dyDescent="0.3">
      <c r="A23" s="89" t="s">
        <v>35</v>
      </c>
      <c r="B23" s="59">
        <v>76358.092800000013</v>
      </c>
      <c r="C23" s="59">
        <v>131394.62198779045</v>
      </c>
      <c r="D23" s="59">
        <v>75200.729414400004</v>
      </c>
      <c r="E23" s="59">
        <v>129981.80103100589</v>
      </c>
      <c r="F23" s="59">
        <v>214807.40181120002</v>
      </c>
      <c r="G23" s="59">
        <v>205525.0983857612</v>
      </c>
      <c r="H23" s="91">
        <v>0.72458731995848313</v>
      </c>
      <c r="I23" s="91">
        <v>-4.3212214044641151E-2</v>
      </c>
      <c r="J23" s="91">
        <v>0.27441202487031813</v>
      </c>
    </row>
    <row r="24" spans="1:10" x14ac:dyDescent="0.3">
      <c r="A24" s="90">
        <v>44501</v>
      </c>
      <c r="B24" s="59">
        <v>2070.6048000000001</v>
      </c>
      <c r="C24" s="59">
        <v>3563.0320900590182</v>
      </c>
      <c r="D24" s="59">
        <v>0</v>
      </c>
      <c r="E24" s="59">
        <v>0</v>
      </c>
      <c r="F24" s="59">
        <v>0</v>
      </c>
      <c r="G24" s="59">
        <v>0</v>
      </c>
      <c r="H24" s="91">
        <v>0.72076877734419331</v>
      </c>
      <c r="I24" s="91">
        <v>0</v>
      </c>
      <c r="J24" s="91">
        <v>0.72076877734419331</v>
      </c>
    </row>
    <row r="25" spans="1:10" x14ac:dyDescent="0.3">
      <c r="A25" s="90">
        <v>44531</v>
      </c>
      <c r="B25" s="59">
        <v>2070.6048000000001</v>
      </c>
      <c r="C25" s="59">
        <v>3563.0320900590182</v>
      </c>
      <c r="D25" s="59">
        <v>0</v>
      </c>
      <c r="E25" s="59">
        <v>0</v>
      </c>
      <c r="F25" s="59">
        <v>0</v>
      </c>
      <c r="G25" s="59">
        <v>0</v>
      </c>
      <c r="H25" s="91">
        <v>0.72076877734419331</v>
      </c>
      <c r="I25" s="91">
        <v>0</v>
      </c>
      <c r="J25" s="91">
        <v>0.72076877734419331</v>
      </c>
    </row>
    <row r="26" spans="1:10" x14ac:dyDescent="0.3">
      <c r="A26" s="90">
        <v>44593</v>
      </c>
      <c r="B26" s="59">
        <v>2070.6048000000001</v>
      </c>
      <c r="C26" s="59">
        <v>3563.0320900590182</v>
      </c>
      <c r="D26" s="59">
        <v>0</v>
      </c>
      <c r="E26" s="59">
        <v>0</v>
      </c>
      <c r="F26" s="59">
        <v>0</v>
      </c>
      <c r="G26" s="59">
        <v>0</v>
      </c>
      <c r="H26" s="91">
        <v>0.72076877734419331</v>
      </c>
      <c r="I26" s="91">
        <v>0</v>
      </c>
      <c r="J26" s="91">
        <v>0.72076877734419331</v>
      </c>
    </row>
    <row r="27" spans="1:10" x14ac:dyDescent="0.3">
      <c r="A27" s="90">
        <v>44621</v>
      </c>
      <c r="B27" s="59">
        <v>2070.6048000000001</v>
      </c>
      <c r="C27" s="59">
        <v>3563.0320900590182</v>
      </c>
      <c r="D27" s="59">
        <v>0</v>
      </c>
      <c r="E27" s="59">
        <v>0</v>
      </c>
      <c r="F27" s="59">
        <v>0</v>
      </c>
      <c r="G27" s="59">
        <v>0</v>
      </c>
      <c r="H27" s="91">
        <v>0.72076877734419331</v>
      </c>
      <c r="I27" s="91">
        <v>0</v>
      </c>
      <c r="J27" s="91">
        <v>0.72076877734419331</v>
      </c>
    </row>
    <row r="28" spans="1:10" x14ac:dyDescent="0.3">
      <c r="A28" s="90">
        <v>44652</v>
      </c>
      <c r="B28" s="59">
        <v>2070.6048000000001</v>
      </c>
      <c r="C28" s="59">
        <v>3563.0320900590182</v>
      </c>
      <c r="D28" s="59">
        <v>0</v>
      </c>
      <c r="E28" s="59">
        <v>0</v>
      </c>
      <c r="F28" s="59">
        <v>0</v>
      </c>
      <c r="G28" s="59">
        <v>0</v>
      </c>
      <c r="H28" s="91">
        <v>0.72076877734419331</v>
      </c>
      <c r="I28" s="91">
        <v>0</v>
      </c>
      <c r="J28" s="91">
        <v>0.72076877734419331</v>
      </c>
    </row>
    <row r="29" spans="1:10" x14ac:dyDescent="0.3">
      <c r="A29" s="90">
        <v>44682</v>
      </c>
      <c r="B29" s="59">
        <v>2070.6048000000001</v>
      </c>
      <c r="C29" s="59">
        <v>3563.0320900590182</v>
      </c>
      <c r="D29" s="59">
        <v>0</v>
      </c>
      <c r="E29" s="59">
        <v>0</v>
      </c>
      <c r="F29" s="59">
        <v>0</v>
      </c>
      <c r="G29" s="59">
        <v>0</v>
      </c>
      <c r="H29" s="91">
        <v>0.72076877734419331</v>
      </c>
      <c r="I29" s="91">
        <v>0</v>
      </c>
      <c r="J29" s="91">
        <v>0.72076877734419331</v>
      </c>
    </row>
    <row r="30" spans="1:10" x14ac:dyDescent="0.3">
      <c r="A30" s="90">
        <v>44713</v>
      </c>
      <c r="B30" s="59">
        <v>19979.52</v>
      </c>
      <c r="C30" s="59">
        <v>34380.134202323861</v>
      </c>
      <c r="D30" s="59">
        <v>20374.836278399998</v>
      </c>
      <c r="E30" s="59">
        <v>35217.183873101923</v>
      </c>
      <c r="F30" s="59">
        <v>58199.776483200003</v>
      </c>
      <c r="G30" s="59">
        <v>55684.835284457695</v>
      </c>
      <c r="H30" s="91">
        <v>0.72465439902651396</v>
      </c>
      <c r="I30" s="91">
        <v>-4.3212214044641151E-2</v>
      </c>
      <c r="J30" s="91">
        <v>0.27120141844216605</v>
      </c>
    </row>
    <row r="31" spans="1:10" x14ac:dyDescent="0.3">
      <c r="A31" s="90">
        <v>44743</v>
      </c>
      <c r="B31" s="59">
        <v>19979.52</v>
      </c>
      <c r="C31" s="59">
        <v>34380.134202323861</v>
      </c>
      <c r="D31" s="59">
        <v>20374.836278399998</v>
      </c>
      <c r="E31" s="59">
        <v>35217.183873101923</v>
      </c>
      <c r="F31" s="59">
        <v>58199.776483200003</v>
      </c>
      <c r="G31" s="59">
        <v>55684.835284457695</v>
      </c>
      <c r="H31" s="91">
        <v>0.72465439902651396</v>
      </c>
      <c r="I31" s="91">
        <v>-4.3212214044641151E-2</v>
      </c>
      <c r="J31" s="91">
        <v>0.27120141844216605</v>
      </c>
    </row>
    <row r="32" spans="1:10" x14ac:dyDescent="0.3">
      <c r="A32" s="90">
        <v>44774</v>
      </c>
      <c r="B32" s="59">
        <v>19979.52</v>
      </c>
      <c r="C32" s="59">
        <v>34380.134202323861</v>
      </c>
      <c r="D32" s="59">
        <v>34451.056857600001</v>
      </c>
      <c r="E32" s="59">
        <v>59547.433284802035</v>
      </c>
      <c r="F32" s="59">
        <v>98407.848844800013</v>
      </c>
      <c r="G32" s="59">
        <v>94155.427816845826</v>
      </c>
      <c r="H32" s="91">
        <v>0.72563975819798854</v>
      </c>
      <c r="I32" s="91">
        <v>-4.3212214044641151E-2</v>
      </c>
      <c r="J32" s="91">
        <v>0.23060018735208865</v>
      </c>
    </row>
    <row r="33" spans="1:10" x14ac:dyDescent="0.3">
      <c r="A33" s="90">
        <v>44805</v>
      </c>
      <c r="B33" s="59">
        <v>1997.952</v>
      </c>
      <c r="C33" s="59">
        <v>3438.0134202323861</v>
      </c>
      <c r="D33" s="59">
        <v>0</v>
      </c>
      <c r="E33" s="59">
        <v>0</v>
      </c>
      <c r="F33" s="59">
        <v>0</v>
      </c>
      <c r="G33" s="59">
        <v>0</v>
      </c>
      <c r="H33" s="91">
        <v>0.72076877734419353</v>
      </c>
      <c r="I33" s="91">
        <v>0</v>
      </c>
      <c r="J33" s="91">
        <v>0.72076877734419353</v>
      </c>
    </row>
    <row r="34" spans="1:10" x14ac:dyDescent="0.3">
      <c r="A34" s="90">
        <v>44835</v>
      </c>
      <c r="B34" s="59">
        <v>1997.952</v>
      </c>
      <c r="C34" s="59">
        <v>3438.0134202323861</v>
      </c>
      <c r="D34" s="59">
        <v>0</v>
      </c>
      <c r="E34" s="59">
        <v>0</v>
      </c>
      <c r="F34" s="59">
        <v>0</v>
      </c>
      <c r="G34" s="59">
        <v>0</v>
      </c>
      <c r="H34" s="91">
        <v>0.72076877734419353</v>
      </c>
      <c r="I34" s="91">
        <v>0</v>
      </c>
      <c r="J34" s="91">
        <v>0.72076877734419353</v>
      </c>
    </row>
    <row r="35" spans="1:10" x14ac:dyDescent="0.3">
      <c r="A35" s="89" t="s">
        <v>34</v>
      </c>
      <c r="B35" s="59">
        <v>183768.74879999997</v>
      </c>
      <c r="C35" s="59">
        <v>314598.17728064366</v>
      </c>
      <c r="D35" s="59">
        <v>75.797481599999983</v>
      </c>
      <c r="E35" s="59">
        <v>131.01326607738912</v>
      </c>
      <c r="F35" s="59">
        <v>349.19103360000003</v>
      </c>
      <c r="G35" s="59">
        <v>332.23268543560721</v>
      </c>
      <c r="H35" s="91">
        <v>0.71193106846172816</v>
      </c>
      <c r="I35" s="91">
        <v>-4.8564672436058887E-2</v>
      </c>
      <c r="J35" s="91">
        <v>0.71048933489530386</v>
      </c>
    </row>
    <row r="36" spans="1:10" x14ac:dyDescent="0.3">
      <c r="A36" s="90">
        <v>44501</v>
      </c>
      <c r="B36" s="59">
        <v>4872.9888000000001</v>
      </c>
      <c r="C36" s="59">
        <v>8342.1876918660892</v>
      </c>
      <c r="D36" s="59">
        <v>0</v>
      </c>
      <c r="E36" s="59">
        <v>0</v>
      </c>
      <c r="F36" s="59">
        <v>0</v>
      </c>
      <c r="G36" s="59">
        <v>0</v>
      </c>
      <c r="H36" s="91">
        <v>0.71192424900834772</v>
      </c>
      <c r="I36" s="91">
        <v>0</v>
      </c>
      <c r="J36" s="91">
        <v>0.71192424900834772</v>
      </c>
    </row>
    <row r="37" spans="1:10" x14ac:dyDescent="0.3">
      <c r="A37" s="90">
        <v>44531</v>
      </c>
      <c r="B37" s="59">
        <v>4872.9888000000001</v>
      </c>
      <c r="C37" s="59">
        <v>8342.1876918660892</v>
      </c>
      <c r="D37" s="59">
        <v>0</v>
      </c>
      <c r="E37" s="59">
        <v>0</v>
      </c>
      <c r="F37" s="59">
        <v>0</v>
      </c>
      <c r="G37" s="59">
        <v>0</v>
      </c>
      <c r="H37" s="91">
        <v>0.71192424900834772</v>
      </c>
      <c r="I37" s="91">
        <v>0</v>
      </c>
      <c r="J37" s="91">
        <v>0.71192424900834772</v>
      </c>
    </row>
    <row r="38" spans="1:10" x14ac:dyDescent="0.3">
      <c r="A38" s="90">
        <v>44593</v>
      </c>
      <c r="B38" s="59">
        <v>4872.9888000000001</v>
      </c>
      <c r="C38" s="59">
        <v>8342.1876918660892</v>
      </c>
      <c r="D38" s="59">
        <v>0</v>
      </c>
      <c r="E38" s="59">
        <v>0</v>
      </c>
      <c r="F38" s="59">
        <v>0</v>
      </c>
      <c r="G38" s="59">
        <v>0</v>
      </c>
      <c r="H38" s="91">
        <v>0.71192424900834772</v>
      </c>
      <c r="I38" s="91">
        <v>0</v>
      </c>
      <c r="J38" s="91">
        <v>0.71192424900834772</v>
      </c>
    </row>
    <row r="39" spans="1:10" x14ac:dyDescent="0.3">
      <c r="A39" s="90">
        <v>44621</v>
      </c>
      <c r="B39" s="59">
        <v>4872.9888000000001</v>
      </c>
      <c r="C39" s="59">
        <v>8342.1876918660892</v>
      </c>
      <c r="D39" s="59">
        <v>0</v>
      </c>
      <c r="E39" s="59">
        <v>0</v>
      </c>
      <c r="F39" s="59">
        <v>0</v>
      </c>
      <c r="G39" s="59">
        <v>0</v>
      </c>
      <c r="H39" s="91">
        <v>0.71192424900834772</v>
      </c>
      <c r="I39" s="91">
        <v>0</v>
      </c>
      <c r="J39" s="91">
        <v>0.71192424900834772</v>
      </c>
    </row>
    <row r="40" spans="1:10" x14ac:dyDescent="0.3">
      <c r="A40" s="90">
        <v>44652</v>
      </c>
      <c r="B40" s="59">
        <v>4872.9888000000001</v>
      </c>
      <c r="C40" s="59">
        <v>8342.1876918660892</v>
      </c>
      <c r="D40" s="59">
        <v>0</v>
      </c>
      <c r="E40" s="59">
        <v>0</v>
      </c>
      <c r="F40" s="59">
        <v>0</v>
      </c>
      <c r="G40" s="59">
        <v>0</v>
      </c>
      <c r="H40" s="91">
        <v>0.71192424900834772</v>
      </c>
      <c r="I40" s="91">
        <v>0</v>
      </c>
      <c r="J40" s="91">
        <v>0.71192424900834772</v>
      </c>
    </row>
    <row r="41" spans="1:10" x14ac:dyDescent="0.3">
      <c r="A41" s="90">
        <v>44682</v>
      </c>
      <c r="B41" s="59">
        <v>4872.9888000000001</v>
      </c>
      <c r="C41" s="59">
        <v>8342.1876918660892</v>
      </c>
      <c r="D41" s="59">
        <v>0</v>
      </c>
      <c r="E41" s="59">
        <v>0</v>
      </c>
      <c r="F41" s="59">
        <v>0</v>
      </c>
      <c r="G41" s="59">
        <v>0</v>
      </c>
      <c r="H41" s="91">
        <v>0.71192424900834772</v>
      </c>
      <c r="I41" s="91">
        <v>0</v>
      </c>
      <c r="J41" s="91">
        <v>0.71192424900834772</v>
      </c>
    </row>
    <row r="42" spans="1:10" x14ac:dyDescent="0.3">
      <c r="A42" s="90">
        <v>44713</v>
      </c>
      <c r="B42" s="59">
        <v>48290.879999999997</v>
      </c>
      <c r="C42" s="59">
        <v>82670.328477952236</v>
      </c>
      <c r="D42" s="59">
        <v>35.655004799999993</v>
      </c>
      <c r="E42" s="59">
        <v>61.628414721010813</v>
      </c>
      <c r="F42" s="59">
        <v>164.25886080000001</v>
      </c>
      <c r="G42" s="59">
        <v>156.28168303052783</v>
      </c>
      <c r="H42" s="91">
        <v>0.71193645239527226</v>
      </c>
      <c r="I42" s="91">
        <v>-4.8564672436058776E-2</v>
      </c>
      <c r="J42" s="91">
        <v>0.70936031291716528</v>
      </c>
    </row>
    <row r="43" spans="1:10" x14ac:dyDescent="0.3">
      <c r="A43" s="90">
        <v>44743</v>
      </c>
      <c r="B43" s="59">
        <v>48290.879999999997</v>
      </c>
      <c r="C43" s="59">
        <v>82670.328477952236</v>
      </c>
      <c r="D43" s="59">
        <v>35.655004799999993</v>
      </c>
      <c r="E43" s="59">
        <v>61.628414721010813</v>
      </c>
      <c r="F43" s="59">
        <v>164.25886080000001</v>
      </c>
      <c r="G43" s="59">
        <v>156.28168303052783</v>
      </c>
      <c r="H43" s="91">
        <v>0.71193645239527226</v>
      </c>
      <c r="I43" s="91">
        <v>-4.8564672436058776E-2</v>
      </c>
      <c r="J43" s="91">
        <v>0.70936031291716528</v>
      </c>
    </row>
    <row r="44" spans="1:10" x14ac:dyDescent="0.3">
      <c r="A44" s="90">
        <v>44774</v>
      </c>
      <c r="B44" s="59">
        <v>48290.879999999997</v>
      </c>
      <c r="C44" s="59">
        <v>82670.328477952236</v>
      </c>
      <c r="D44" s="59">
        <v>4.4874719999999995</v>
      </c>
      <c r="E44" s="59">
        <v>7.7564366353674936</v>
      </c>
      <c r="F44" s="59">
        <v>20.673311999999999</v>
      </c>
      <c r="G44" s="59">
        <v>19.669319374551559</v>
      </c>
      <c r="H44" s="91">
        <v>0.71192578589492084</v>
      </c>
      <c r="I44" s="91">
        <v>-4.8564672436058665E-2</v>
      </c>
      <c r="J44" s="91">
        <v>0.71160038968564976</v>
      </c>
    </row>
    <row r="45" spans="1:10" x14ac:dyDescent="0.3">
      <c r="A45" s="90">
        <v>44805</v>
      </c>
      <c r="B45" s="59">
        <v>4829.0879999999997</v>
      </c>
      <c r="C45" s="59">
        <v>8267.0328477952226</v>
      </c>
      <c r="D45" s="59">
        <v>0</v>
      </c>
      <c r="E45" s="59">
        <v>0</v>
      </c>
      <c r="F45" s="59">
        <v>0</v>
      </c>
      <c r="G45" s="59">
        <v>0</v>
      </c>
      <c r="H45" s="91">
        <v>0.7119242490083475</v>
      </c>
      <c r="I45" s="91">
        <v>0</v>
      </c>
      <c r="J45" s="91">
        <v>0.7119242490083475</v>
      </c>
    </row>
    <row r="46" spans="1:10" x14ac:dyDescent="0.3">
      <c r="A46" s="90">
        <v>44835</v>
      </c>
      <c r="B46" s="59">
        <v>4829.0879999999997</v>
      </c>
      <c r="C46" s="59">
        <v>8267.0328477952226</v>
      </c>
      <c r="D46" s="59">
        <v>0</v>
      </c>
      <c r="E46" s="59">
        <v>0</v>
      </c>
      <c r="F46" s="59">
        <v>0</v>
      </c>
      <c r="G46" s="59">
        <v>0</v>
      </c>
      <c r="H46" s="91">
        <v>0.7119242490083475</v>
      </c>
      <c r="I46" s="91">
        <v>0</v>
      </c>
      <c r="J46" s="91">
        <v>0.7119242490083475</v>
      </c>
    </row>
    <row r="47" spans="1:10" x14ac:dyDescent="0.3">
      <c r="A47" s="83" t="s">
        <v>60</v>
      </c>
      <c r="B47" s="59">
        <v>414657.59999999992</v>
      </c>
      <c r="C47" s="59">
        <v>696400.01956969488</v>
      </c>
      <c r="D47" s="59">
        <v>0</v>
      </c>
      <c r="E47" s="59">
        <v>0</v>
      </c>
      <c r="F47" s="59">
        <v>0</v>
      </c>
      <c r="G47" s="59">
        <v>0</v>
      </c>
      <c r="H47" s="91">
        <v>0.67945799032670573</v>
      </c>
      <c r="I47" s="91">
        <v>0</v>
      </c>
      <c r="J47" s="91">
        <v>0.67945799032670573</v>
      </c>
    </row>
    <row r="48" spans="1:10" x14ac:dyDescent="0.3">
      <c r="A48" s="84" t="s">
        <v>62</v>
      </c>
      <c r="B48" s="59">
        <v>414657.59999999992</v>
      </c>
      <c r="C48" s="59">
        <v>696400.01956969488</v>
      </c>
      <c r="D48" s="59">
        <v>0</v>
      </c>
      <c r="E48" s="59">
        <v>0</v>
      </c>
      <c r="F48" s="59">
        <v>0</v>
      </c>
      <c r="G48" s="59">
        <v>0</v>
      </c>
      <c r="H48" s="91">
        <v>0.67945799032670573</v>
      </c>
      <c r="I48" s="91">
        <v>0</v>
      </c>
      <c r="J48" s="91">
        <v>0.67945799032670573</v>
      </c>
    </row>
    <row r="49" spans="1:10" x14ac:dyDescent="0.3">
      <c r="A49" s="85" t="s">
        <v>25</v>
      </c>
      <c r="B49" s="59">
        <v>414657.59999999992</v>
      </c>
      <c r="C49" s="59">
        <v>696400.01956969488</v>
      </c>
      <c r="D49" s="59">
        <v>0</v>
      </c>
      <c r="E49" s="59">
        <v>0</v>
      </c>
      <c r="F49" s="59">
        <v>0</v>
      </c>
      <c r="G49" s="59">
        <v>0</v>
      </c>
      <c r="H49" s="91">
        <v>0.67945799032670573</v>
      </c>
      <c r="I49" s="91">
        <v>0</v>
      </c>
      <c r="J49" s="91">
        <v>0.67945799032670573</v>
      </c>
    </row>
    <row r="50" spans="1:10" x14ac:dyDescent="0.3">
      <c r="A50" s="86" t="s">
        <v>25</v>
      </c>
      <c r="B50" s="59">
        <v>414657.59999999992</v>
      </c>
      <c r="C50" s="59">
        <v>696400.01956969488</v>
      </c>
      <c r="D50" s="59">
        <v>0</v>
      </c>
      <c r="E50" s="59">
        <v>0</v>
      </c>
      <c r="F50" s="59">
        <v>0</v>
      </c>
      <c r="G50" s="59">
        <v>0</v>
      </c>
      <c r="H50" s="91">
        <v>0.67945799032670573</v>
      </c>
      <c r="I50" s="91">
        <v>0</v>
      </c>
      <c r="J50" s="91">
        <v>0.67945799032670573</v>
      </c>
    </row>
    <row r="51" spans="1:10" x14ac:dyDescent="0.3">
      <c r="A51" s="87" t="s">
        <v>25</v>
      </c>
      <c r="B51" s="59">
        <v>414657.59999999992</v>
      </c>
      <c r="C51" s="59">
        <v>696400.01956969488</v>
      </c>
      <c r="D51" s="59">
        <v>0</v>
      </c>
      <c r="E51" s="59">
        <v>0</v>
      </c>
      <c r="F51" s="59">
        <v>0</v>
      </c>
      <c r="G51" s="59">
        <v>0</v>
      </c>
      <c r="H51" s="91">
        <v>0.67945799032670573</v>
      </c>
      <c r="I51" s="91">
        <v>0</v>
      </c>
      <c r="J51" s="91">
        <v>0.67945799032670573</v>
      </c>
    </row>
    <row r="52" spans="1:10" x14ac:dyDescent="0.3">
      <c r="A52" s="88" t="s">
        <v>61</v>
      </c>
      <c r="B52" s="59">
        <v>414657.59999999992</v>
      </c>
      <c r="C52" s="59">
        <v>696400.01956969488</v>
      </c>
      <c r="D52" s="59">
        <v>0</v>
      </c>
      <c r="E52" s="59">
        <v>0</v>
      </c>
      <c r="F52" s="59">
        <v>0</v>
      </c>
      <c r="G52" s="59">
        <v>0</v>
      </c>
      <c r="H52" s="91">
        <v>0.67945799032670573</v>
      </c>
      <c r="I52" s="91">
        <v>0</v>
      </c>
      <c r="J52" s="91">
        <v>0.67945799032670573</v>
      </c>
    </row>
    <row r="53" spans="1:10" x14ac:dyDescent="0.3">
      <c r="A53" s="89" t="s">
        <v>25</v>
      </c>
      <c r="B53" s="59">
        <v>414657.59999999992</v>
      </c>
      <c r="C53" s="59">
        <v>696400.01956969488</v>
      </c>
      <c r="D53" s="59">
        <v>0</v>
      </c>
      <c r="E53" s="59">
        <v>0</v>
      </c>
      <c r="F53" s="59">
        <v>0</v>
      </c>
      <c r="G53" s="59">
        <v>0</v>
      </c>
      <c r="H53" s="91">
        <v>0.67945799032670573</v>
      </c>
      <c r="I53" s="91">
        <v>0</v>
      </c>
      <c r="J53" s="91">
        <v>0.67945799032670573</v>
      </c>
    </row>
    <row r="54" spans="1:10" x14ac:dyDescent="0.3">
      <c r="A54" s="90">
        <v>44501</v>
      </c>
      <c r="B54" s="59">
        <v>34554.800000000003</v>
      </c>
      <c r="C54" s="59">
        <v>58033.334964141235</v>
      </c>
      <c r="D54" s="59">
        <v>0</v>
      </c>
      <c r="E54" s="59">
        <v>0</v>
      </c>
      <c r="F54" s="59">
        <v>0</v>
      </c>
      <c r="G54" s="59">
        <v>0</v>
      </c>
      <c r="H54" s="91">
        <v>0.67945799032670506</v>
      </c>
      <c r="I54" s="91">
        <v>0</v>
      </c>
      <c r="J54" s="91">
        <v>0.67945799032670506</v>
      </c>
    </row>
    <row r="55" spans="1:10" x14ac:dyDescent="0.3">
      <c r="A55" s="90">
        <v>44531</v>
      </c>
      <c r="B55" s="59">
        <v>34554.800000000003</v>
      </c>
      <c r="C55" s="59">
        <v>58033.334964141235</v>
      </c>
      <c r="D55" s="59">
        <v>0</v>
      </c>
      <c r="E55" s="59">
        <v>0</v>
      </c>
      <c r="F55" s="59">
        <v>0</v>
      </c>
      <c r="G55" s="59">
        <v>0</v>
      </c>
      <c r="H55" s="91">
        <v>0.67945799032670506</v>
      </c>
      <c r="I55" s="91">
        <v>0</v>
      </c>
      <c r="J55" s="91">
        <v>0.67945799032670506</v>
      </c>
    </row>
    <row r="56" spans="1:10" x14ac:dyDescent="0.3">
      <c r="A56" s="90">
        <v>44562</v>
      </c>
      <c r="B56" s="59">
        <v>34554.800000000003</v>
      </c>
      <c r="C56" s="59">
        <v>58033.334964141235</v>
      </c>
      <c r="D56" s="59">
        <v>0</v>
      </c>
      <c r="E56" s="59">
        <v>0</v>
      </c>
      <c r="F56" s="59">
        <v>0</v>
      </c>
      <c r="G56" s="59">
        <v>0</v>
      </c>
      <c r="H56" s="91">
        <v>0.67945799032670506</v>
      </c>
      <c r="I56" s="91">
        <v>0</v>
      </c>
      <c r="J56" s="91">
        <v>0.67945799032670506</v>
      </c>
    </row>
    <row r="57" spans="1:10" x14ac:dyDescent="0.3">
      <c r="A57" s="90">
        <v>44593</v>
      </c>
      <c r="B57" s="59">
        <v>34554.800000000003</v>
      </c>
      <c r="C57" s="59">
        <v>58033.334964141235</v>
      </c>
      <c r="D57" s="59">
        <v>0</v>
      </c>
      <c r="E57" s="59">
        <v>0</v>
      </c>
      <c r="F57" s="59">
        <v>0</v>
      </c>
      <c r="G57" s="59">
        <v>0</v>
      </c>
      <c r="H57" s="91">
        <v>0.67945799032670506</v>
      </c>
      <c r="I57" s="91">
        <v>0</v>
      </c>
      <c r="J57" s="91">
        <v>0.67945799032670506</v>
      </c>
    </row>
    <row r="58" spans="1:10" x14ac:dyDescent="0.3">
      <c r="A58" s="90">
        <v>44621</v>
      </c>
      <c r="B58" s="59">
        <v>34554.800000000003</v>
      </c>
      <c r="C58" s="59">
        <v>58033.334964141235</v>
      </c>
      <c r="D58" s="59">
        <v>0</v>
      </c>
      <c r="E58" s="59">
        <v>0</v>
      </c>
      <c r="F58" s="59">
        <v>0</v>
      </c>
      <c r="G58" s="59">
        <v>0</v>
      </c>
      <c r="H58" s="91">
        <v>0.67945799032670506</v>
      </c>
      <c r="I58" s="91">
        <v>0</v>
      </c>
      <c r="J58" s="91">
        <v>0.67945799032670506</v>
      </c>
    </row>
    <row r="59" spans="1:10" x14ac:dyDescent="0.3">
      <c r="A59" s="90">
        <v>44652</v>
      </c>
      <c r="B59" s="59">
        <v>34554.800000000003</v>
      </c>
      <c r="C59" s="59">
        <v>58033.334964141235</v>
      </c>
      <c r="D59" s="59">
        <v>0</v>
      </c>
      <c r="E59" s="59">
        <v>0</v>
      </c>
      <c r="F59" s="59">
        <v>0</v>
      </c>
      <c r="G59" s="59">
        <v>0</v>
      </c>
      <c r="H59" s="91">
        <v>0.67945799032670506</v>
      </c>
      <c r="I59" s="91">
        <v>0</v>
      </c>
      <c r="J59" s="91">
        <v>0.67945799032670506</v>
      </c>
    </row>
    <row r="60" spans="1:10" x14ac:dyDescent="0.3">
      <c r="A60" s="90">
        <v>44682</v>
      </c>
      <c r="B60" s="59">
        <v>34554.800000000003</v>
      </c>
      <c r="C60" s="59">
        <v>58033.334964141235</v>
      </c>
      <c r="D60" s="59">
        <v>0</v>
      </c>
      <c r="E60" s="59">
        <v>0</v>
      </c>
      <c r="F60" s="59">
        <v>0</v>
      </c>
      <c r="G60" s="59">
        <v>0</v>
      </c>
      <c r="H60" s="91">
        <v>0.67945799032670506</v>
      </c>
      <c r="I60" s="91">
        <v>0</v>
      </c>
      <c r="J60" s="91">
        <v>0.67945799032670506</v>
      </c>
    </row>
    <row r="61" spans="1:10" x14ac:dyDescent="0.3">
      <c r="A61" s="90">
        <v>44713</v>
      </c>
      <c r="B61" s="59">
        <v>34554.800000000003</v>
      </c>
      <c r="C61" s="59">
        <v>58033.334964141235</v>
      </c>
      <c r="D61" s="59">
        <v>0</v>
      </c>
      <c r="E61" s="59">
        <v>0</v>
      </c>
      <c r="F61" s="59">
        <v>0</v>
      </c>
      <c r="G61" s="59">
        <v>0</v>
      </c>
      <c r="H61" s="91">
        <v>0.67945799032670506</v>
      </c>
      <c r="I61" s="91">
        <v>0</v>
      </c>
      <c r="J61" s="91">
        <v>0.67945799032670506</v>
      </c>
    </row>
    <row r="62" spans="1:10" x14ac:dyDescent="0.3">
      <c r="A62" s="90">
        <v>44743</v>
      </c>
      <c r="B62" s="59">
        <v>34554.800000000003</v>
      </c>
      <c r="C62" s="59">
        <v>58033.334964141235</v>
      </c>
      <c r="D62" s="59">
        <v>0</v>
      </c>
      <c r="E62" s="59">
        <v>0</v>
      </c>
      <c r="F62" s="59">
        <v>0</v>
      </c>
      <c r="G62" s="59">
        <v>0</v>
      </c>
      <c r="H62" s="91">
        <v>0.67945799032670506</v>
      </c>
      <c r="I62" s="91">
        <v>0</v>
      </c>
      <c r="J62" s="91">
        <v>0.67945799032670506</v>
      </c>
    </row>
    <row r="63" spans="1:10" x14ac:dyDescent="0.3">
      <c r="A63" s="90">
        <v>44774</v>
      </c>
      <c r="B63" s="59">
        <v>34554.800000000003</v>
      </c>
      <c r="C63" s="59">
        <v>58033.334964141235</v>
      </c>
      <c r="D63" s="59">
        <v>0</v>
      </c>
      <c r="E63" s="59">
        <v>0</v>
      </c>
      <c r="F63" s="59">
        <v>0</v>
      </c>
      <c r="G63" s="59">
        <v>0</v>
      </c>
      <c r="H63" s="91">
        <v>0.67945799032670506</v>
      </c>
      <c r="I63" s="91">
        <v>0</v>
      </c>
      <c r="J63" s="91">
        <v>0.67945799032670506</v>
      </c>
    </row>
    <row r="64" spans="1:10" x14ac:dyDescent="0.3">
      <c r="A64" s="90">
        <v>44805</v>
      </c>
      <c r="B64" s="59">
        <v>34554.800000000003</v>
      </c>
      <c r="C64" s="59">
        <v>58033.334964141235</v>
      </c>
      <c r="D64" s="59">
        <v>0</v>
      </c>
      <c r="E64" s="59">
        <v>0</v>
      </c>
      <c r="F64" s="59">
        <v>0</v>
      </c>
      <c r="G64" s="59">
        <v>0</v>
      </c>
      <c r="H64" s="91">
        <v>0.67945799032670506</v>
      </c>
      <c r="I64" s="91">
        <v>0</v>
      </c>
      <c r="J64" s="91">
        <v>0.67945799032670506</v>
      </c>
    </row>
    <row r="65" spans="1:10" x14ac:dyDescent="0.3">
      <c r="A65" s="90">
        <v>44835</v>
      </c>
      <c r="B65" s="59">
        <v>34554.800000000003</v>
      </c>
      <c r="C65" s="59">
        <v>58033.334964141235</v>
      </c>
      <c r="D65" s="59">
        <v>0</v>
      </c>
      <c r="E65" s="59">
        <v>0</v>
      </c>
      <c r="F65" s="59">
        <v>0</v>
      </c>
      <c r="G65" s="59">
        <v>0</v>
      </c>
      <c r="H65" s="91">
        <v>0.67945799032670506</v>
      </c>
      <c r="I65" s="91">
        <v>0</v>
      </c>
      <c r="J65" s="91">
        <v>0.67945799032670506</v>
      </c>
    </row>
    <row r="66" spans="1:10" x14ac:dyDescent="0.3">
      <c r="A66" s="83" t="s">
        <v>40</v>
      </c>
      <c r="B66" s="59">
        <v>12441.791999999999</v>
      </c>
      <c r="C66" s="59">
        <v>21409.447207810768</v>
      </c>
      <c r="D66" s="59">
        <v>9431.9028359999975</v>
      </c>
      <c r="E66" s="59">
        <v>16219.358572868676</v>
      </c>
      <c r="F66" s="59">
        <v>10999.807032800003</v>
      </c>
      <c r="G66" s="59">
        <v>10503.560524103643</v>
      </c>
      <c r="H66" s="91">
        <v>0.72027661823047362</v>
      </c>
      <c r="I66" s="91">
        <v>-4.5114110385447437E-2</v>
      </c>
      <c r="J66" s="91">
        <v>0.46416912006764854</v>
      </c>
    </row>
    <row r="67" spans="1:10" x14ac:dyDescent="0.3">
      <c r="A67" s="84" t="s">
        <v>26</v>
      </c>
      <c r="B67" s="59">
        <v>12441.791999999999</v>
      </c>
      <c r="C67" s="59">
        <v>21409.447207810768</v>
      </c>
      <c r="D67" s="59">
        <v>9431.9028359999975</v>
      </c>
      <c r="E67" s="59">
        <v>16219.358572868676</v>
      </c>
      <c r="F67" s="59">
        <v>10999.807032800003</v>
      </c>
      <c r="G67" s="59">
        <v>10503.560524103643</v>
      </c>
      <c r="H67" s="91">
        <v>0.72027661823047362</v>
      </c>
      <c r="I67" s="91">
        <v>-4.5114110385447437E-2</v>
      </c>
      <c r="J67" s="91">
        <v>0.46416912006764854</v>
      </c>
    </row>
    <row r="68" spans="1:10" x14ac:dyDescent="0.3">
      <c r="A68" s="85" t="s">
        <v>44</v>
      </c>
      <c r="B68" s="59">
        <v>12441.791999999999</v>
      </c>
      <c r="C68" s="59">
        <v>21409.447207810768</v>
      </c>
      <c r="D68" s="59">
        <v>9431.9028359999975</v>
      </c>
      <c r="E68" s="59">
        <v>16219.358572868676</v>
      </c>
      <c r="F68" s="59">
        <v>10999.807032800003</v>
      </c>
      <c r="G68" s="59">
        <v>10503.560524103643</v>
      </c>
      <c r="H68" s="91">
        <v>0.72027661823047362</v>
      </c>
      <c r="I68" s="91">
        <v>-4.5114110385447437E-2</v>
      </c>
      <c r="J68" s="91">
        <v>0.46416912006764854</v>
      </c>
    </row>
    <row r="69" spans="1:10" x14ac:dyDescent="0.3">
      <c r="A69" s="86" t="s">
        <v>53</v>
      </c>
      <c r="B69" s="59">
        <v>3850.5983999999999</v>
      </c>
      <c r="C69" s="59">
        <v>6625.9895008115082</v>
      </c>
      <c r="D69" s="59">
        <v>6092.8527239999985</v>
      </c>
      <c r="E69" s="59">
        <v>10474.022504171982</v>
      </c>
      <c r="F69" s="59">
        <v>6452.7271736000002</v>
      </c>
      <c r="G69" s="59">
        <v>6156.4284635974927</v>
      </c>
      <c r="H69" s="91">
        <v>0.71972605805946666</v>
      </c>
      <c r="I69" s="91">
        <v>-4.591836940119709E-2</v>
      </c>
      <c r="J69" s="91">
        <v>0.41840617041747841</v>
      </c>
    </row>
    <row r="70" spans="1:10" x14ac:dyDescent="0.3">
      <c r="A70" s="87" t="s">
        <v>55</v>
      </c>
      <c r="B70" s="59">
        <v>0</v>
      </c>
      <c r="C70" s="59">
        <v>0</v>
      </c>
      <c r="D70" s="59">
        <v>177.01717200000002</v>
      </c>
      <c r="E70" s="59">
        <v>305.96792091180714</v>
      </c>
      <c r="F70" s="59">
        <v>505.64135600000009</v>
      </c>
      <c r="G70" s="59">
        <v>473.91817811726253</v>
      </c>
      <c r="H70" s="91">
        <v>0.72846463117039928</v>
      </c>
      <c r="I70" s="91">
        <v>-6.2738495390668891E-2</v>
      </c>
      <c r="J70" s="91">
        <v>0.14242489772144107</v>
      </c>
    </row>
    <row r="71" spans="1:10" x14ac:dyDescent="0.3">
      <c r="A71" s="88" t="s">
        <v>25</v>
      </c>
      <c r="B71" s="59">
        <v>0</v>
      </c>
      <c r="C71" s="59">
        <v>0</v>
      </c>
      <c r="D71" s="59">
        <v>177.01717200000002</v>
      </c>
      <c r="E71" s="59">
        <v>305.96792091180714</v>
      </c>
      <c r="F71" s="59">
        <v>505.64135600000009</v>
      </c>
      <c r="G71" s="59">
        <v>473.91817811726253</v>
      </c>
      <c r="H71" s="91">
        <v>0.72846463117039928</v>
      </c>
      <c r="I71" s="91">
        <v>-6.2738495390668891E-2</v>
      </c>
      <c r="J71" s="91">
        <v>0.14242489772144107</v>
      </c>
    </row>
    <row r="72" spans="1:10" x14ac:dyDescent="0.3">
      <c r="A72" s="89" t="s">
        <v>35</v>
      </c>
      <c r="B72" s="59">
        <v>0</v>
      </c>
      <c r="C72" s="59">
        <v>0</v>
      </c>
      <c r="D72" s="59">
        <v>177.01717200000002</v>
      </c>
      <c r="E72" s="59">
        <v>305.96792091180714</v>
      </c>
      <c r="F72" s="59">
        <v>505.64135600000009</v>
      </c>
      <c r="G72" s="59">
        <v>473.91817811726253</v>
      </c>
      <c r="H72" s="91">
        <v>0.72846463117039928</v>
      </c>
      <c r="I72" s="91">
        <v>-6.2738495390668891E-2</v>
      </c>
      <c r="J72" s="91">
        <v>0.14242489772144107</v>
      </c>
    </row>
    <row r="73" spans="1:10" x14ac:dyDescent="0.3">
      <c r="A73" s="90">
        <v>44805</v>
      </c>
      <c r="B73" s="59">
        <v>0</v>
      </c>
      <c r="C73" s="59">
        <v>0</v>
      </c>
      <c r="D73" s="59">
        <v>88.508586000000008</v>
      </c>
      <c r="E73" s="59">
        <v>152.98396045590357</v>
      </c>
      <c r="F73" s="59">
        <v>252.82067800000004</v>
      </c>
      <c r="G73" s="59">
        <v>236.95908905863126</v>
      </c>
      <c r="H73" s="91">
        <v>0.72846463117039928</v>
      </c>
      <c r="I73" s="91">
        <v>-6.2738495390668891E-2</v>
      </c>
      <c r="J73" s="91">
        <v>0.14242489772144107</v>
      </c>
    </row>
    <row r="74" spans="1:10" x14ac:dyDescent="0.3">
      <c r="A74" s="90">
        <v>44835</v>
      </c>
      <c r="B74" s="59">
        <v>0</v>
      </c>
      <c r="C74" s="59">
        <v>0</v>
      </c>
      <c r="D74" s="59">
        <v>88.508586000000008</v>
      </c>
      <c r="E74" s="59">
        <v>152.98396045590357</v>
      </c>
      <c r="F74" s="59">
        <v>252.82067800000004</v>
      </c>
      <c r="G74" s="59">
        <v>236.95908905863126</v>
      </c>
      <c r="H74" s="91">
        <v>0.72846463117039928</v>
      </c>
      <c r="I74" s="91">
        <v>-6.2738495390668891E-2</v>
      </c>
      <c r="J74" s="91">
        <v>0.14242489772144107</v>
      </c>
    </row>
    <row r="75" spans="1:10" x14ac:dyDescent="0.3">
      <c r="A75" s="87" t="s">
        <v>25</v>
      </c>
      <c r="B75" s="59">
        <v>3850.5983999999999</v>
      </c>
      <c r="C75" s="59">
        <v>6625.9895008115082</v>
      </c>
      <c r="D75" s="59">
        <v>5915.8355519999986</v>
      </c>
      <c r="E75" s="59">
        <v>10168.054583260175</v>
      </c>
      <c r="F75" s="59">
        <v>5947.0858176000002</v>
      </c>
      <c r="G75" s="59">
        <v>5682.5102854802299</v>
      </c>
      <c r="H75" s="91">
        <v>0.71956767092379192</v>
      </c>
      <c r="I75" s="91">
        <v>-4.4488265384833858E-2</v>
      </c>
      <c r="J75" s="91">
        <v>0.43039590741699718</v>
      </c>
    </row>
    <row r="76" spans="1:10" x14ac:dyDescent="0.3">
      <c r="A76" s="88" t="s">
        <v>25</v>
      </c>
      <c r="B76" s="59">
        <v>3850.5983999999999</v>
      </c>
      <c r="C76" s="59">
        <v>6625.9895008115082</v>
      </c>
      <c r="D76" s="59">
        <v>5915.8355519999986</v>
      </c>
      <c r="E76" s="59">
        <v>10168.054583260175</v>
      </c>
      <c r="F76" s="59">
        <v>5947.0858176000002</v>
      </c>
      <c r="G76" s="59">
        <v>5682.5102854802299</v>
      </c>
      <c r="H76" s="91">
        <v>0.71956767092379192</v>
      </c>
      <c r="I76" s="91">
        <v>-4.4488265384833858E-2</v>
      </c>
      <c r="J76" s="91">
        <v>0.43039590741699718</v>
      </c>
    </row>
    <row r="77" spans="1:10" x14ac:dyDescent="0.3">
      <c r="A77" s="89" t="s">
        <v>35</v>
      </c>
      <c r="B77" s="59">
        <v>0</v>
      </c>
      <c r="C77" s="59">
        <v>0</v>
      </c>
      <c r="D77" s="59">
        <v>1585.6278335999998</v>
      </c>
      <c r="E77" s="59">
        <v>2740.7016285769432</v>
      </c>
      <c r="F77" s="59">
        <v>4529.2724928000007</v>
      </c>
      <c r="G77" s="59">
        <v>4333.5526003746218</v>
      </c>
      <c r="H77" s="91">
        <v>0.7284646311703995</v>
      </c>
      <c r="I77" s="91">
        <v>-4.3212214044641151E-2</v>
      </c>
      <c r="J77" s="91">
        <v>0.15688790517315931</v>
      </c>
    </row>
    <row r="78" spans="1:10" x14ac:dyDescent="0.3">
      <c r="A78" s="90">
        <v>44805</v>
      </c>
      <c r="B78" s="59">
        <v>0</v>
      </c>
      <c r="C78" s="59">
        <v>0</v>
      </c>
      <c r="D78" s="59">
        <v>792.8139167999999</v>
      </c>
      <c r="E78" s="59">
        <v>1370.3508142884716</v>
      </c>
      <c r="F78" s="59">
        <v>2264.6362464000003</v>
      </c>
      <c r="G78" s="59">
        <v>2166.7763001873109</v>
      </c>
      <c r="H78" s="91">
        <v>0.7284646311703995</v>
      </c>
      <c r="I78" s="91">
        <v>-4.3212214044641151E-2</v>
      </c>
      <c r="J78" s="91">
        <v>0.15688790517315931</v>
      </c>
    </row>
    <row r="79" spans="1:10" x14ac:dyDescent="0.3">
      <c r="A79" s="90">
        <v>44835</v>
      </c>
      <c r="B79" s="59">
        <v>0</v>
      </c>
      <c r="C79" s="59">
        <v>0</v>
      </c>
      <c r="D79" s="59">
        <v>792.8139167999999</v>
      </c>
      <c r="E79" s="59">
        <v>1370.3508142884716</v>
      </c>
      <c r="F79" s="59">
        <v>2264.6362464000003</v>
      </c>
      <c r="G79" s="59">
        <v>2166.7763001873109</v>
      </c>
      <c r="H79" s="91">
        <v>0.7284646311703995</v>
      </c>
      <c r="I79" s="91">
        <v>-4.3212214044641151E-2</v>
      </c>
      <c r="J79" s="91">
        <v>0.15688790517315931</v>
      </c>
    </row>
    <row r="80" spans="1:10" x14ac:dyDescent="0.3">
      <c r="A80" s="89" t="s">
        <v>25</v>
      </c>
      <c r="B80" s="59">
        <v>3850.5983999999999</v>
      </c>
      <c r="C80" s="59">
        <v>6625.9895008115082</v>
      </c>
      <c r="D80" s="59">
        <v>0</v>
      </c>
      <c r="E80" s="59">
        <v>0</v>
      </c>
      <c r="F80" s="59">
        <v>0</v>
      </c>
      <c r="G80" s="59">
        <v>0</v>
      </c>
      <c r="H80" s="91">
        <v>0.72076877734419376</v>
      </c>
      <c r="I80" s="91">
        <v>0</v>
      </c>
      <c r="J80" s="91">
        <v>0.72076877734419376</v>
      </c>
    </row>
    <row r="81" spans="1:10" x14ac:dyDescent="0.3">
      <c r="A81" s="90">
        <v>44805</v>
      </c>
      <c r="B81" s="59">
        <v>1925.2991999999999</v>
      </c>
      <c r="C81" s="59">
        <v>3312.9947504057541</v>
      </c>
      <c r="D81" s="59">
        <v>0</v>
      </c>
      <c r="E81" s="59">
        <v>0</v>
      </c>
      <c r="F81" s="59">
        <v>0</v>
      </c>
      <c r="G81" s="59">
        <v>0</v>
      </c>
      <c r="H81" s="91">
        <v>0.72076877734419376</v>
      </c>
      <c r="I81" s="91">
        <v>0</v>
      </c>
      <c r="J81" s="91">
        <v>0.72076877734419376</v>
      </c>
    </row>
    <row r="82" spans="1:10" x14ac:dyDescent="0.3">
      <c r="A82" s="90">
        <v>44835</v>
      </c>
      <c r="B82" s="59">
        <v>1925.2991999999999</v>
      </c>
      <c r="C82" s="59">
        <v>3312.9947504057541</v>
      </c>
      <c r="D82" s="59">
        <v>0</v>
      </c>
      <c r="E82" s="59">
        <v>0</v>
      </c>
      <c r="F82" s="59">
        <v>0</v>
      </c>
      <c r="G82" s="59">
        <v>0</v>
      </c>
      <c r="H82" s="91">
        <v>0.72076877734419376</v>
      </c>
      <c r="I82" s="91">
        <v>0</v>
      </c>
      <c r="J82" s="91">
        <v>0.72076877734419376</v>
      </c>
    </row>
    <row r="83" spans="1:10" x14ac:dyDescent="0.3">
      <c r="A83" s="89" t="s">
        <v>34</v>
      </c>
      <c r="B83" s="59">
        <v>0</v>
      </c>
      <c r="C83" s="59">
        <v>0</v>
      </c>
      <c r="D83" s="59">
        <v>4330.2077183999991</v>
      </c>
      <c r="E83" s="59">
        <v>7427.3529546832324</v>
      </c>
      <c r="F83" s="59">
        <v>1417.8133247999999</v>
      </c>
      <c r="G83" s="59">
        <v>1348.9576851056086</v>
      </c>
      <c r="H83" s="91">
        <v>0.71524172457658008</v>
      </c>
      <c r="I83" s="91">
        <v>-4.8564672436058776E-2</v>
      </c>
      <c r="J83" s="91">
        <v>0.52684038103363551</v>
      </c>
    </row>
    <row r="84" spans="1:10" x14ac:dyDescent="0.3">
      <c r="A84" s="90">
        <v>44805</v>
      </c>
      <c r="B84" s="59">
        <v>0</v>
      </c>
      <c r="C84" s="59">
        <v>0</v>
      </c>
      <c r="D84" s="59">
        <v>2165.1038591999995</v>
      </c>
      <c r="E84" s="59">
        <v>3713.6764773416162</v>
      </c>
      <c r="F84" s="59">
        <v>708.90666239999996</v>
      </c>
      <c r="G84" s="59">
        <v>674.47884255280428</v>
      </c>
      <c r="H84" s="91">
        <v>0.71524172457658008</v>
      </c>
      <c r="I84" s="91">
        <v>-4.8564672436058776E-2</v>
      </c>
      <c r="J84" s="91">
        <v>0.52684038103363551</v>
      </c>
    </row>
    <row r="85" spans="1:10" x14ac:dyDescent="0.3">
      <c r="A85" s="90">
        <v>44835</v>
      </c>
      <c r="B85" s="59">
        <v>0</v>
      </c>
      <c r="C85" s="59">
        <v>0</v>
      </c>
      <c r="D85" s="59">
        <v>2165.1038591999995</v>
      </c>
      <c r="E85" s="59">
        <v>3713.6764773416162</v>
      </c>
      <c r="F85" s="59">
        <v>708.90666239999996</v>
      </c>
      <c r="G85" s="59">
        <v>674.47884255280428</v>
      </c>
      <c r="H85" s="91">
        <v>0.71524172457658008</v>
      </c>
      <c r="I85" s="91">
        <v>-4.8564672436058776E-2</v>
      </c>
      <c r="J85" s="91">
        <v>0.52684038103363551</v>
      </c>
    </row>
    <row r="86" spans="1:10" x14ac:dyDescent="0.3">
      <c r="A86" s="86" t="s">
        <v>56</v>
      </c>
      <c r="B86" s="59">
        <v>853.67039999999997</v>
      </c>
      <c r="C86" s="59">
        <v>1468.9693704629287</v>
      </c>
      <c r="D86" s="59">
        <v>3339.0501119999999</v>
      </c>
      <c r="E86" s="59">
        <v>5745.3360686966962</v>
      </c>
      <c r="F86" s="59">
        <v>4547.079859200001</v>
      </c>
      <c r="G86" s="59">
        <v>4347.1320605061501</v>
      </c>
      <c r="H86" s="91">
        <v>0.72067406317963156</v>
      </c>
      <c r="I86" s="91">
        <v>-4.3972792404184724E-2</v>
      </c>
      <c r="J86" s="91">
        <v>0.32284915085289922</v>
      </c>
    </row>
    <row r="87" spans="1:10" x14ac:dyDescent="0.3">
      <c r="A87" s="87" t="s">
        <v>25</v>
      </c>
      <c r="B87" s="59">
        <v>853.67039999999997</v>
      </c>
      <c r="C87" s="59">
        <v>1468.9693704629287</v>
      </c>
      <c r="D87" s="59">
        <v>3339.0501119999999</v>
      </c>
      <c r="E87" s="59">
        <v>5745.3360686966962</v>
      </c>
      <c r="F87" s="59">
        <v>4547.079859200001</v>
      </c>
      <c r="G87" s="59">
        <v>4347.1320605061501</v>
      </c>
      <c r="H87" s="91">
        <v>0.72067406317963156</v>
      </c>
      <c r="I87" s="91">
        <v>-4.3972792404184724E-2</v>
      </c>
      <c r="J87" s="91">
        <v>0.32284915085289922</v>
      </c>
    </row>
    <row r="88" spans="1:10" x14ac:dyDescent="0.3">
      <c r="A88" s="88" t="s">
        <v>25</v>
      </c>
      <c r="B88" s="59">
        <v>853.67039999999997</v>
      </c>
      <c r="C88" s="59">
        <v>1468.9693704629287</v>
      </c>
      <c r="D88" s="59">
        <v>3339.0501119999999</v>
      </c>
      <c r="E88" s="59">
        <v>5745.3360686966962</v>
      </c>
      <c r="F88" s="59">
        <v>4547.079859200001</v>
      </c>
      <c r="G88" s="59">
        <v>4347.1320605061501</v>
      </c>
      <c r="H88" s="91">
        <v>0.72067406317963156</v>
      </c>
      <c r="I88" s="91">
        <v>-4.3972792404184724E-2</v>
      </c>
      <c r="J88" s="91">
        <v>0.32284915085289922</v>
      </c>
    </row>
    <row r="89" spans="1:10" x14ac:dyDescent="0.3">
      <c r="A89" s="89" t="s">
        <v>35</v>
      </c>
      <c r="B89" s="59">
        <v>0</v>
      </c>
      <c r="C89" s="59">
        <v>0</v>
      </c>
      <c r="D89" s="59">
        <v>1365.6601151999998</v>
      </c>
      <c r="E89" s="59">
        <v>2360.495207323293</v>
      </c>
      <c r="F89" s="59">
        <v>3900.9448896000004</v>
      </c>
      <c r="G89" s="59">
        <v>3732.3764240542569</v>
      </c>
      <c r="H89" s="91">
        <v>0.7284646311703995</v>
      </c>
      <c r="I89" s="91">
        <v>-4.3212214044640929E-2</v>
      </c>
      <c r="J89" s="91">
        <v>0.15688790517315954</v>
      </c>
    </row>
    <row r="90" spans="1:10" x14ac:dyDescent="0.3">
      <c r="A90" s="90">
        <v>44593</v>
      </c>
      <c r="B90" s="59">
        <v>0</v>
      </c>
      <c r="C90" s="59">
        <v>0</v>
      </c>
      <c r="D90" s="59">
        <v>34.349558399999992</v>
      </c>
      <c r="E90" s="59">
        <v>59.371996790722093</v>
      </c>
      <c r="F90" s="59">
        <v>98.117923199999993</v>
      </c>
      <c r="G90" s="59">
        <v>93.87803050106595</v>
      </c>
      <c r="H90" s="91">
        <v>0.72846463117039972</v>
      </c>
      <c r="I90" s="91">
        <v>-4.3212214044640929E-2</v>
      </c>
      <c r="J90" s="91">
        <v>0.15688790517315976</v>
      </c>
    </row>
    <row r="91" spans="1:10" x14ac:dyDescent="0.3">
      <c r="A91" s="90">
        <v>44621</v>
      </c>
      <c r="B91" s="59">
        <v>0</v>
      </c>
      <c r="C91" s="59">
        <v>0</v>
      </c>
      <c r="D91" s="59">
        <v>36.715679999999999</v>
      </c>
      <c r="E91" s="59">
        <v>63.461754289370404</v>
      </c>
      <c r="F91" s="59">
        <v>104.87664000000001</v>
      </c>
      <c r="G91" s="59">
        <v>100.34468818403724</v>
      </c>
      <c r="H91" s="91">
        <v>0.72846463117039928</v>
      </c>
      <c r="I91" s="91">
        <v>-4.3212214044641151E-2</v>
      </c>
      <c r="J91" s="91">
        <v>0.15688790517315931</v>
      </c>
    </row>
    <row r="92" spans="1:10" x14ac:dyDescent="0.3">
      <c r="A92" s="90">
        <v>44652</v>
      </c>
      <c r="B92" s="59">
        <v>0</v>
      </c>
      <c r="C92" s="59">
        <v>0</v>
      </c>
      <c r="D92" s="59">
        <v>39.40816319999999</v>
      </c>
      <c r="E92" s="59">
        <v>68.115616270590891</v>
      </c>
      <c r="F92" s="59">
        <v>112.5675936</v>
      </c>
      <c r="G92" s="59">
        <v>107.70329865086663</v>
      </c>
      <c r="H92" s="91">
        <v>0.7284646311703995</v>
      </c>
      <c r="I92" s="91">
        <v>-4.321221404464104E-2</v>
      </c>
      <c r="J92" s="91">
        <v>0.15688790517315931</v>
      </c>
    </row>
    <row r="93" spans="1:10" x14ac:dyDescent="0.3">
      <c r="A93" s="90">
        <v>44682</v>
      </c>
      <c r="B93" s="59">
        <v>0</v>
      </c>
      <c r="C93" s="59">
        <v>0</v>
      </c>
      <c r="D93" s="59">
        <v>47.893564799999993</v>
      </c>
      <c r="E93" s="59">
        <v>82.782332817467619</v>
      </c>
      <c r="F93" s="59">
        <v>136.80575039999999</v>
      </c>
      <c r="G93" s="59">
        <v>130.89407103117745</v>
      </c>
      <c r="H93" s="91">
        <v>0.7284646311703995</v>
      </c>
      <c r="I93" s="91">
        <v>-4.3212214044641151E-2</v>
      </c>
      <c r="J93" s="91">
        <v>0.15688790517315931</v>
      </c>
    </row>
    <row r="94" spans="1:10" x14ac:dyDescent="0.3">
      <c r="A94" s="90">
        <v>44713</v>
      </c>
      <c r="B94" s="59">
        <v>0</v>
      </c>
      <c r="C94" s="59">
        <v>0</v>
      </c>
      <c r="D94" s="59">
        <v>45.445852799999997</v>
      </c>
      <c r="E94" s="59">
        <v>78.551549198176247</v>
      </c>
      <c r="F94" s="59">
        <v>129.81397440000001</v>
      </c>
      <c r="G94" s="59">
        <v>124.20442515224165</v>
      </c>
      <c r="H94" s="91">
        <v>0.72846463117039906</v>
      </c>
      <c r="I94" s="91">
        <v>-4.321221404464104E-2</v>
      </c>
      <c r="J94" s="91">
        <v>0.15688790517315909</v>
      </c>
    </row>
    <row r="95" spans="1:10" x14ac:dyDescent="0.3">
      <c r="A95" s="90">
        <v>44743</v>
      </c>
      <c r="B95" s="59">
        <v>0</v>
      </c>
      <c r="C95" s="59">
        <v>0</v>
      </c>
      <c r="D95" s="59">
        <v>76.939747199999985</v>
      </c>
      <c r="E95" s="59">
        <v>132.98763176639176</v>
      </c>
      <c r="F95" s="59">
        <v>219.77482559999999</v>
      </c>
      <c r="G95" s="59">
        <v>210.27786879454914</v>
      </c>
      <c r="H95" s="91">
        <v>0.7284646311703995</v>
      </c>
      <c r="I95" s="91">
        <v>-4.321221404464104E-2</v>
      </c>
      <c r="J95" s="91">
        <v>0.15688790517315954</v>
      </c>
    </row>
    <row r="96" spans="1:10" x14ac:dyDescent="0.3">
      <c r="A96" s="90">
        <v>44774</v>
      </c>
      <c r="B96" s="59">
        <v>0</v>
      </c>
      <c r="C96" s="59">
        <v>0</v>
      </c>
      <c r="D96" s="59">
        <v>225.92381759999998</v>
      </c>
      <c r="E96" s="59">
        <v>390.50132806059258</v>
      </c>
      <c r="F96" s="59">
        <v>645.34092480000004</v>
      </c>
      <c r="G96" s="59">
        <v>617.45431462577585</v>
      </c>
      <c r="H96" s="91">
        <v>0.7284646311703995</v>
      </c>
      <c r="I96" s="91">
        <v>-4.321221404464104E-2</v>
      </c>
      <c r="J96" s="91">
        <v>0.15688790517315954</v>
      </c>
    </row>
    <row r="97" spans="1:10" x14ac:dyDescent="0.3">
      <c r="A97" s="90">
        <v>44805</v>
      </c>
      <c r="B97" s="59">
        <v>0</v>
      </c>
      <c r="C97" s="59">
        <v>0</v>
      </c>
      <c r="D97" s="59">
        <v>429.49186559999998</v>
      </c>
      <c r="E97" s="59">
        <v>742.36149906499065</v>
      </c>
      <c r="F97" s="59">
        <v>1226.8236288000001</v>
      </c>
      <c r="G97" s="59">
        <v>1173.8098635572712</v>
      </c>
      <c r="H97" s="91">
        <v>0.72846463117039928</v>
      </c>
      <c r="I97" s="91">
        <v>-4.321221404464104E-2</v>
      </c>
      <c r="J97" s="91">
        <v>0.15688790517315931</v>
      </c>
    </row>
    <row r="98" spans="1:10" x14ac:dyDescent="0.3">
      <c r="A98" s="90">
        <v>44835</v>
      </c>
      <c r="B98" s="59">
        <v>0</v>
      </c>
      <c r="C98" s="59">
        <v>0</v>
      </c>
      <c r="D98" s="59">
        <v>429.49186559999998</v>
      </c>
      <c r="E98" s="59">
        <v>742.36149906499065</v>
      </c>
      <c r="F98" s="59">
        <v>1226.8236288000001</v>
      </c>
      <c r="G98" s="59">
        <v>1173.8098635572712</v>
      </c>
      <c r="H98" s="91">
        <v>0.72846463117039928</v>
      </c>
      <c r="I98" s="91">
        <v>-4.321221404464104E-2</v>
      </c>
      <c r="J98" s="91">
        <v>0.15688790517315931</v>
      </c>
    </row>
    <row r="99" spans="1:10" x14ac:dyDescent="0.3">
      <c r="A99" s="89" t="s">
        <v>25</v>
      </c>
      <c r="B99" s="59">
        <v>853.67039999999997</v>
      </c>
      <c r="C99" s="59">
        <v>1468.9693704629287</v>
      </c>
      <c r="D99" s="59">
        <v>0</v>
      </c>
      <c r="E99" s="59">
        <v>0</v>
      </c>
      <c r="F99" s="59">
        <v>0</v>
      </c>
      <c r="G99" s="59">
        <v>0</v>
      </c>
      <c r="H99" s="91">
        <v>0.72076877734419376</v>
      </c>
      <c r="I99" s="91">
        <v>0</v>
      </c>
      <c r="J99" s="91">
        <v>0.72076877734419376</v>
      </c>
    </row>
    <row r="100" spans="1:10" x14ac:dyDescent="0.3">
      <c r="A100" s="90">
        <v>44593</v>
      </c>
      <c r="B100" s="59">
        <v>18.1632</v>
      </c>
      <c r="C100" s="59">
        <v>31.254667456658055</v>
      </c>
      <c r="D100" s="59">
        <v>0</v>
      </c>
      <c r="E100" s="59">
        <v>0</v>
      </c>
      <c r="F100" s="59">
        <v>0</v>
      </c>
      <c r="G100" s="59">
        <v>0</v>
      </c>
      <c r="H100" s="91">
        <v>0.72076877734419353</v>
      </c>
      <c r="I100" s="91">
        <v>0</v>
      </c>
      <c r="J100" s="91">
        <v>0.72076877734419353</v>
      </c>
    </row>
    <row r="101" spans="1:10" x14ac:dyDescent="0.3">
      <c r="A101" s="90">
        <v>44621</v>
      </c>
      <c r="B101" s="59">
        <v>18.1632</v>
      </c>
      <c r="C101" s="59">
        <v>31.254667456658055</v>
      </c>
      <c r="D101" s="59">
        <v>0</v>
      </c>
      <c r="E101" s="59">
        <v>0</v>
      </c>
      <c r="F101" s="59">
        <v>0</v>
      </c>
      <c r="G101" s="59">
        <v>0</v>
      </c>
      <c r="H101" s="91">
        <v>0.72076877734419353</v>
      </c>
      <c r="I101" s="91">
        <v>0</v>
      </c>
      <c r="J101" s="91">
        <v>0.72076877734419353</v>
      </c>
    </row>
    <row r="102" spans="1:10" x14ac:dyDescent="0.3">
      <c r="A102" s="90">
        <v>44652</v>
      </c>
      <c r="B102" s="59">
        <v>54.489599999999996</v>
      </c>
      <c r="C102" s="59">
        <v>93.764002369974165</v>
      </c>
      <c r="D102" s="59">
        <v>0</v>
      </c>
      <c r="E102" s="59">
        <v>0</v>
      </c>
      <c r="F102" s="59">
        <v>0</v>
      </c>
      <c r="G102" s="59">
        <v>0</v>
      </c>
      <c r="H102" s="91">
        <v>0.72076877734419353</v>
      </c>
      <c r="I102" s="91">
        <v>0</v>
      </c>
      <c r="J102" s="91">
        <v>0.72076877734419353</v>
      </c>
    </row>
    <row r="103" spans="1:10" x14ac:dyDescent="0.3">
      <c r="A103" s="90">
        <v>44682</v>
      </c>
      <c r="B103" s="59">
        <v>54.489599999999996</v>
      </c>
      <c r="C103" s="59">
        <v>93.764002369974165</v>
      </c>
      <c r="D103" s="59">
        <v>0</v>
      </c>
      <c r="E103" s="59">
        <v>0</v>
      </c>
      <c r="F103" s="59">
        <v>0</v>
      </c>
      <c r="G103" s="59">
        <v>0</v>
      </c>
      <c r="H103" s="91">
        <v>0.72076877734419353</v>
      </c>
      <c r="I103" s="91">
        <v>0</v>
      </c>
      <c r="J103" s="91">
        <v>0.72076877734419353</v>
      </c>
    </row>
    <row r="104" spans="1:10" x14ac:dyDescent="0.3">
      <c r="A104" s="90">
        <v>44713</v>
      </c>
      <c r="B104" s="59">
        <v>54.489599999999996</v>
      </c>
      <c r="C104" s="59">
        <v>93.764002369974165</v>
      </c>
      <c r="D104" s="59">
        <v>0</v>
      </c>
      <c r="E104" s="59">
        <v>0</v>
      </c>
      <c r="F104" s="59">
        <v>0</v>
      </c>
      <c r="G104" s="59">
        <v>0</v>
      </c>
      <c r="H104" s="91">
        <v>0.72076877734419353</v>
      </c>
      <c r="I104" s="91">
        <v>0</v>
      </c>
      <c r="J104" s="91">
        <v>0.72076877734419353</v>
      </c>
    </row>
    <row r="105" spans="1:10" x14ac:dyDescent="0.3">
      <c r="A105" s="90">
        <v>44743</v>
      </c>
      <c r="B105" s="59">
        <v>72.652799999999999</v>
      </c>
      <c r="C105" s="59">
        <v>125.01866982663222</v>
      </c>
      <c r="D105" s="59">
        <v>0</v>
      </c>
      <c r="E105" s="59">
        <v>0</v>
      </c>
      <c r="F105" s="59">
        <v>0</v>
      </c>
      <c r="G105" s="59">
        <v>0</v>
      </c>
      <c r="H105" s="91">
        <v>0.72076877734419353</v>
      </c>
      <c r="I105" s="91">
        <v>0</v>
      </c>
      <c r="J105" s="91">
        <v>0.72076877734419353</v>
      </c>
    </row>
    <row r="106" spans="1:10" x14ac:dyDescent="0.3">
      <c r="A106" s="90">
        <v>44774</v>
      </c>
      <c r="B106" s="59">
        <v>181.63200000000001</v>
      </c>
      <c r="C106" s="59">
        <v>312.54667456658052</v>
      </c>
      <c r="D106" s="59">
        <v>0</v>
      </c>
      <c r="E106" s="59">
        <v>0</v>
      </c>
      <c r="F106" s="59">
        <v>0</v>
      </c>
      <c r="G106" s="59">
        <v>0</v>
      </c>
      <c r="H106" s="91">
        <v>0.72076877734419331</v>
      </c>
      <c r="I106" s="91">
        <v>0</v>
      </c>
      <c r="J106" s="91">
        <v>0.72076877734419331</v>
      </c>
    </row>
    <row r="107" spans="1:10" x14ac:dyDescent="0.3">
      <c r="A107" s="90">
        <v>44805</v>
      </c>
      <c r="B107" s="59">
        <v>199.79519999999999</v>
      </c>
      <c r="C107" s="59">
        <v>343.80134202323865</v>
      </c>
      <c r="D107" s="59">
        <v>0</v>
      </c>
      <c r="E107" s="59">
        <v>0</v>
      </c>
      <c r="F107" s="59">
        <v>0</v>
      </c>
      <c r="G107" s="59">
        <v>0</v>
      </c>
      <c r="H107" s="91">
        <v>0.72076877734419376</v>
      </c>
      <c r="I107" s="91">
        <v>0</v>
      </c>
      <c r="J107" s="91">
        <v>0.72076877734419376</v>
      </c>
    </row>
    <row r="108" spans="1:10" x14ac:dyDescent="0.3">
      <c r="A108" s="90">
        <v>44835</v>
      </c>
      <c r="B108" s="59">
        <v>199.79519999999999</v>
      </c>
      <c r="C108" s="59">
        <v>343.80134202323865</v>
      </c>
      <c r="D108" s="59">
        <v>0</v>
      </c>
      <c r="E108" s="59">
        <v>0</v>
      </c>
      <c r="F108" s="59">
        <v>0</v>
      </c>
      <c r="G108" s="59">
        <v>0</v>
      </c>
      <c r="H108" s="91">
        <v>0.72076877734419376</v>
      </c>
      <c r="I108" s="91">
        <v>0</v>
      </c>
      <c r="J108" s="91">
        <v>0.72076877734419376</v>
      </c>
    </row>
    <row r="109" spans="1:10" x14ac:dyDescent="0.3">
      <c r="A109" s="89" t="s">
        <v>34</v>
      </c>
      <c r="B109" s="59">
        <v>0</v>
      </c>
      <c r="C109" s="59">
        <v>0</v>
      </c>
      <c r="D109" s="59">
        <v>1973.3899967999998</v>
      </c>
      <c r="E109" s="59">
        <v>3384.8408613734036</v>
      </c>
      <c r="F109" s="59">
        <v>646.13496960000009</v>
      </c>
      <c r="G109" s="59">
        <v>614.75563645189334</v>
      </c>
      <c r="H109" s="91">
        <v>0.71524172457658008</v>
      </c>
      <c r="I109" s="91">
        <v>-4.8564672436058665E-2</v>
      </c>
      <c r="J109" s="91">
        <v>0.52684038103363551</v>
      </c>
    </row>
    <row r="110" spans="1:10" x14ac:dyDescent="0.3">
      <c r="A110" s="90">
        <v>44593</v>
      </c>
      <c r="B110" s="59">
        <v>0</v>
      </c>
      <c r="C110" s="59">
        <v>0</v>
      </c>
      <c r="D110" s="59">
        <v>64.28728319999999</v>
      </c>
      <c r="E110" s="59">
        <v>110.26823050431099</v>
      </c>
      <c r="F110" s="59">
        <v>21.049190400000001</v>
      </c>
      <c r="G110" s="59">
        <v>20.026943363179768</v>
      </c>
      <c r="H110" s="91">
        <v>0.71524172457658008</v>
      </c>
      <c r="I110" s="91">
        <v>-4.8564672436058776E-2</v>
      </c>
      <c r="J110" s="91">
        <v>0.52684038103363529</v>
      </c>
    </row>
    <row r="111" spans="1:10" x14ac:dyDescent="0.3">
      <c r="A111" s="90">
        <v>44621</v>
      </c>
      <c r="B111" s="59">
        <v>0</v>
      </c>
      <c r="C111" s="59">
        <v>0</v>
      </c>
      <c r="D111" s="59">
        <v>78.063129599999996</v>
      </c>
      <c r="E111" s="59">
        <v>133.89713704094905</v>
      </c>
      <c r="F111" s="59">
        <v>25.559731200000002</v>
      </c>
      <c r="G111" s="59">
        <v>24.318431226718292</v>
      </c>
      <c r="H111" s="91">
        <v>0.71524172457657986</v>
      </c>
      <c r="I111" s="91">
        <v>-4.8564672436058665E-2</v>
      </c>
      <c r="J111" s="91">
        <v>0.52684038103363529</v>
      </c>
    </row>
    <row r="112" spans="1:10" x14ac:dyDescent="0.3">
      <c r="A112" s="90">
        <v>44652</v>
      </c>
      <c r="B112" s="59">
        <v>0</v>
      </c>
      <c r="C112" s="59">
        <v>0</v>
      </c>
      <c r="D112" s="59">
        <v>83.803065599999982</v>
      </c>
      <c r="E112" s="59">
        <v>143.74251476454825</v>
      </c>
      <c r="F112" s="59">
        <v>27.439123199999997</v>
      </c>
      <c r="G112" s="59">
        <v>26.10655116985934</v>
      </c>
      <c r="H112" s="91">
        <v>0.71524172457658008</v>
      </c>
      <c r="I112" s="91">
        <v>-4.8564672436058665E-2</v>
      </c>
      <c r="J112" s="91">
        <v>0.52684038103363529</v>
      </c>
    </row>
    <row r="113" spans="1:10" x14ac:dyDescent="0.3">
      <c r="A113" s="90">
        <v>44682</v>
      </c>
      <c r="B113" s="59">
        <v>0</v>
      </c>
      <c r="C113" s="59">
        <v>0</v>
      </c>
      <c r="D113" s="59">
        <v>114.79871999999999</v>
      </c>
      <c r="E113" s="59">
        <v>196.9075544719839</v>
      </c>
      <c r="F113" s="59">
        <v>37.58784</v>
      </c>
      <c r="G113" s="59">
        <v>35.762398862821016</v>
      </c>
      <c r="H113" s="91">
        <v>0.71524172457657986</v>
      </c>
      <c r="I113" s="91">
        <v>-4.8564672436058665E-2</v>
      </c>
      <c r="J113" s="91">
        <v>0.52684038103363551</v>
      </c>
    </row>
    <row r="114" spans="1:10" x14ac:dyDescent="0.3">
      <c r="A114" s="90">
        <v>44713</v>
      </c>
      <c r="B114" s="59">
        <v>0</v>
      </c>
      <c r="C114" s="59">
        <v>0</v>
      </c>
      <c r="D114" s="59">
        <v>111.35475839999998</v>
      </c>
      <c r="E114" s="59">
        <v>191.00032783782436</v>
      </c>
      <c r="F114" s="59">
        <v>36.4602048</v>
      </c>
      <c r="G114" s="59">
        <v>34.689526896936385</v>
      </c>
      <c r="H114" s="91">
        <v>0.71524172457657986</v>
      </c>
      <c r="I114" s="91">
        <v>-4.8564672436058665E-2</v>
      </c>
      <c r="J114" s="91">
        <v>0.52684038103363529</v>
      </c>
    </row>
    <row r="115" spans="1:10" x14ac:dyDescent="0.3">
      <c r="A115" s="90">
        <v>44743</v>
      </c>
      <c r="B115" s="59">
        <v>0</v>
      </c>
      <c r="C115" s="59">
        <v>0</v>
      </c>
      <c r="D115" s="59">
        <v>117.09469439999997</v>
      </c>
      <c r="E115" s="59">
        <v>200.84570556142356</v>
      </c>
      <c r="F115" s="59">
        <v>38.339596799999995</v>
      </c>
      <c r="G115" s="59">
        <v>36.477646840077433</v>
      </c>
      <c r="H115" s="91">
        <v>0.71524172457658008</v>
      </c>
      <c r="I115" s="91">
        <v>-4.8564672436058665E-2</v>
      </c>
      <c r="J115" s="91">
        <v>0.52684038103363551</v>
      </c>
    </row>
    <row r="116" spans="1:10" x14ac:dyDescent="0.3">
      <c r="A116" s="90">
        <v>44774</v>
      </c>
      <c r="B116" s="59">
        <v>0</v>
      </c>
      <c r="C116" s="59">
        <v>0</v>
      </c>
      <c r="D116" s="59">
        <v>148.09034879999999</v>
      </c>
      <c r="E116" s="59">
        <v>254.01074526885924</v>
      </c>
      <c r="F116" s="59">
        <v>48.488313599999998</v>
      </c>
      <c r="G116" s="59">
        <v>46.133494533039112</v>
      </c>
      <c r="H116" s="91">
        <v>0.71524172457658008</v>
      </c>
      <c r="I116" s="91">
        <v>-4.8564672436058665E-2</v>
      </c>
      <c r="J116" s="91">
        <v>0.52684038103363551</v>
      </c>
    </row>
    <row r="117" spans="1:10" x14ac:dyDescent="0.3">
      <c r="A117" s="90">
        <v>44805</v>
      </c>
      <c r="B117" s="59">
        <v>0</v>
      </c>
      <c r="C117" s="59">
        <v>0</v>
      </c>
      <c r="D117" s="59">
        <v>627.94899839999994</v>
      </c>
      <c r="E117" s="59">
        <v>1077.0843229617519</v>
      </c>
      <c r="F117" s="59">
        <v>205.60548480000003</v>
      </c>
      <c r="G117" s="59">
        <v>195.62032177963098</v>
      </c>
      <c r="H117" s="91">
        <v>0.71524172457657986</v>
      </c>
      <c r="I117" s="91">
        <v>-4.8564672436058665E-2</v>
      </c>
      <c r="J117" s="91">
        <v>0.52684038103363529</v>
      </c>
    </row>
    <row r="118" spans="1:10" x14ac:dyDescent="0.3">
      <c r="A118" s="90">
        <v>44835</v>
      </c>
      <c r="B118" s="59">
        <v>0</v>
      </c>
      <c r="C118" s="59">
        <v>0</v>
      </c>
      <c r="D118" s="59">
        <v>627.94899839999994</v>
      </c>
      <c r="E118" s="59">
        <v>1077.0843229617519</v>
      </c>
      <c r="F118" s="59">
        <v>205.60548480000003</v>
      </c>
      <c r="G118" s="59">
        <v>195.62032177963098</v>
      </c>
      <c r="H118" s="91">
        <v>0.71524172457657986</v>
      </c>
      <c r="I118" s="91">
        <v>-4.8564672436058665E-2</v>
      </c>
      <c r="J118" s="91">
        <v>0.52684038103363529</v>
      </c>
    </row>
    <row r="119" spans="1:10" x14ac:dyDescent="0.3">
      <c r="A119" s="86" t="s">
        <v>25</v>
      </c>
      <c r="B119" s="59">
        <v>7737.5231999999996</v>
      </c>
      <c r="C119" s="59">
        <v>13314.488336536331</v>
      </c>
      <c r="D119" s="59">
        <v>0</v>
      </c>
      <c r="E119" s="59">
        <v>0</v>
      </c>
      <c r="F119" s="59">
        <v>0</v>
      </c>
      <c r="G119" s="59">
        <v>0</v>
      </c>
      <c r="H119" s="91">
        <v>0.72076877734419353</v>
      </c>
      <c r="I119" s="91">
        <v>0</v>
      </c>
      <c r="J119" s="91">
        <v>0.72076877734419353</v>
      </c>
    </row>
    <row r="120" spans="1:10" x14ac:dyDescent="0.3">
      <c r="A120" s="87" t="s">
        <v>25</v>
      </c>
      <c r="B120" s="59">
        <v>7737.5231999999996</v>
      </c>
      <c r="C120" s="59">
        <v>13314.488336536331</v>
      </c>
      <c r="D120" s="59">
        <v>0</v>
      </c>
      <c r="E120" s="59">
        <v>0</v>
      </c>
      <c r="F120" s="59">
        <v>0</v>
      </c>
      <c r="G120" s="59">
        <v>0</v>
      </c>
      <c r="H120" s="91">
        <v>0.72076877734419353</v>
      </c>
      <c r="I120" s="91">
        <v>0</v>
      </c>
      <c r="J120" s="91">
        <v>0.72076877734419353</v>
      </c>
    </row>
    <row r="121" spans="1:10" x14ac:dyDescent="0.3">
      <c r="A121" s="88" t="s">
        <v>25</v>
      </c>
      <c r="B121" s="59">
        <v>7737.5231999999996</v>
      </c>
      <c r="C121" s="59">
        <v>13314.488336536331</v>
      </c>
      <c r="D121" s="59">
        <v>0</v>
      </c>
      <c r="E121" s="59">
        <v>0</v>
      </c>
      <c r="F121" s="59">
        <v>0</v>
      </c>
      <c r="G121" s="59">
        <v>0</v>
      </c>
      <c r="H121" s="91">
        <v>0.72076877734419353</v>
      </c>
      <c r="I121" s="91">
        <v>0</v>
      </c>
      <c r="J121" s="91">
        <v>0.72076877734419353</v>
      </c>
    </row>
    <row r="122" spans="1:10" x14ac:dyDescent="0.3">
      <c r="A122" s="89" t="s">
        <v>25</v>
      </c>
      <c r="B122" s="59">
        <v>7737.5231999999996</v>
      </c>
      <c r="C122" s="59">
        <v>13314.488336536331</v>
      </c>
      <c r="D122" s="59">
        <v>0</v>
      </c>
      <c r="E122" s="59">
        <v>0</v>
      </c>
      <c r="F122" s="59">
        <v>0</v>
      </c>
      <c r="G122" s="59">
        <v>0</v>
      </c>
      <c r="H122" s="91">
        <v>0.72076877734419353</v>
      </c>
      <c r="I122" s="91">
        <v>0</v>
      </c>
      <c r="J122" s="91">
        <v>0.72076877734419353</v>
      </c>
    </row>
    <row r="123" spans="1:10" x14ac:dyDescent="0.3">
      <c r="A123" s="90">
        <v>44501</v>
      </c>
      <c r="B123" s="59">
        <v>672.03840000000002</v>
      </c>
      <c r="C123" s="59">
        <v>1156.4226958963479</v>
      </c>
      <c r="D123" s="59">
        <v>0</v>
      </c>
      <c r="E123" s="59">
        <v>0</v>
      </c>
      <c r="F123" s="59">
        <v>0</v>
      </c>
      <c r="G123" s="59">
        <v>0</v>
      </c>
      <c r="H123" s="91">
        <v>0.72076877734419331</v>
      </c>
      <c r="I123" s="91">
        <v>0</v>
      </c>
      <c r="J123" s="91">
        <v>0.72076877734419331</v>
      </c>
    </row>
    <row r="124" spans="1:10" x14ac:dyDescent="0.3">
      <c r="A124" s="90">
        <v>44531</v>
      </c>
      <c r="B124" s="59">
        <v>490.40640000000002</v>
      </c>
      <c r="C124" s="59">
        <v>843.87602132976747</v>
      </c>
      <c r="D124" s="59">
        <v>0</v>
      </c>
      <c r="E124" s="59">
        <v>0</v>
      </c>
      <c r="F124" s="59">
        <v>0</v>
      </c>
      <c r="G124" s="59">
        <v>0</v>
      </c>
      <c r="H124" s="91">
        <v>0.72076877734419331</v>
      </c>
      <c r="I124" s="91">
        <v>0</v>
      </c>
      <c r="J124" s="91">
        <v>0.72076877734419331</v>
      </c>
    </row>
    <row r="125" spans="1:10" x14ac:dyDescent="0.3">
      <c r="A125" s="90">
        <v>44562</v>
      </c>
      <c r="B125" s="59">
        <v>635.71199999999999</v>
      </c>
      <c r="C125" s="59">
        <v>1093.9133609830319</v>
      </c>
      <c r="D125" s="59">
        <v>0</v>
      </c>
      <c r="E125" s="59">
        <v>0</v>
      </c>
      <c r="F125" s="59">
        <v>0</v>
      </c>
      <c r="G125" s="59">
        <v>0</v>
      </c>
      <c r="H125" s="91">
        <v>0.72076877734419353</v>
      </c>
      <c r="I125" s="91">
        <v>0</v>
      </c>
      <c r="J125" s="91">
        <v>0.72076877734419353</v>
      </c>
    </row>
    <row r="126" spans="1:10" x14ac:dyDescent="0.3">
      <c r="A126" s="90">
        <v>44593</v>
      </c>
      <c r="B126" s="59">
        <v>3541.8240000000001</v>
      </c>
      <c r="C126" s="59">
        <v>6094.6601540483207</v>
      </c>
      <c r="D126" s="59">
        <v>0</v>
      </c>
      <c r="E126" s="59">
        <v>0</v>
      </c>
      <c r="F126" s="59">
        <v>0</v>
      </c>
      <c r="G126" s="59">
        <v>0</v>
      </c>
      <c r="H126" s="91">
        <v>0.72076877734419353</v>
      </c>
      <c r="I126" s="91">
        <v>0</v>
      </c>
      <c r="J126" s="91">
        <v>0.72076877734419353</v>
      </c>
    </row>
    <row r="127" spans="1:10" x14ac:dyDescent="0.3">
      <c r="A127" s="90">
        <v>44621</v>
      </c>
      <c r="B127" s="59">
        <v>617.54880000000003</v>
      </c>
      <c r="C127" s="59">
        <v>1062.658693526374</v>
      </c>
      <c r="D127" s="59">
        <v>0</v>
      </c>
      <c r="E127" s="59">
        <v>0</v>
      </c>
      <c r="F127" s="59">
        <v>0</v>
      </c>
      <c r="G127" s="59">
        <v>0</v>
      </c>
      <c r="H127" s="91">
        <v>0.72076877734419353</v>
      </c>
      <c r="I127" s="91">
        <v>0</v>
      </c>
      <c r="J127" s="91">
        <v>0.72076877734419353</v>
      </c>
    </row>
    <row r="128" spans="1:10" x14ac:dyDescent="0.3">
      <c r="A128" s="90">
        <v>44652</v>
      </c>
      <c r="B128" s="59">
        <v>472.2432</v>
      </c>
      <c r="C128" s="59">
        <v>812.62135387310946</v>
      </c>
      <c r="D128" s="59">
        <v>0</v>
      </c>
      <c r="E128" s="59">
        <v>0</v>
      </c>
      <c r="F128" s="59">
        <v>0</v>
      </c>
      <c r="G128" s="59">
        <v>0</v>
      </c>
      <c r="H128" s="91">
        <v>0.72076877734419353</v>
      </c>
      <c r="I128" s="91">
        <v>0</v>
      </c>
      <c r="J128" s="91">
        <v>0.72076877734419353</v>
      </c>
    </row>
    <row r="129" spans="1:10" x14ac:dyDescent="0.3">
      <c r="A129" s="90">
        <v>44682</v>
      </c>
      <c r="B129" s="59">
        <v>563.05920000000003</v>
      </c>
      <c r="C129" s="59">
        <v>968.89469115639963</v>
      </c>
      <c r="D129" s="59">
        <v>0</v>
      </c>
      <c r="E129" s="59">
        <v>0</v>
      </c>
      <c r="F129" s="59">
        <v>0</v>
      </c>
      <c r="G129" s="59">
        <v>0</v>
      </c>
      <c r="H129" s="91">
        <v>0.72076877734419331</v>
      </c>
      <c r="I129" s="91">
        <v>0</v>
      </c>
      <c r="J129" s="91">
        <v>0.72076877734419331</v>
      </c>
    </row>
    <row r="130" spans="1:10" x14ac:dyDescent="0.3">
      <c r="A130" s="90">
        <v>44713</v>
      </c>
      <c r="B130" s="59">
        <v>744.69119999999998</v>
      </c>
      <c r="C130" s="59">
        <v>1281.4413657229802</v>
      </c>
      <c r="D130" s="59">
        <v>0</v>
      </c>
      <c r="E130" s="59">
        <v>0</v>
      </c>
      <c r="F130" s="59">
        <v>0</v>
      </c>
      <c r="G130" s="59">
        <v>0</v>
      </c>
      <c r="H130" s="91">
        <v>0.72076877734419353</v>
      </c>
      <c r="I130" s="91">
        <v>0</v>
      </c>
      <c r="J130" s="91">
        <v>0.72076877734419353</v>
      </c>
    </row>
    <row r="131" spans="1:10" x14ac:dyDescent="0.3">
      <c r="A131" s="82" t="s">
        <v>39</v>
      </c>
      <c r="B131" s="59">
        <v>2540966.0120000038</v>
      </c>
      <c r="C131" s="59">
        <v>4309066.9526607096</v>
      </c>
      <c r="D131" s="59">
        <v>3329619.0498053865</v>
      </c>
      <c r="E131" s="59">
        <v>5739765.010741665</v>
      </c>
      <c r="F131" s="59">
        <v>4708595.2003349969</v>
      </c>
      <c r="G131" s="59">
        <v>4437923.4678565618</v>
      </c>
      <c r="H131" s="91">
        <v>0.71172580886035952</v>
      </c>
      <c r="I131" s="91">
        <v>-5.7484604422817998E-2</v>
      </c>
      <c r="J131" s="91">
        <v>0.36936464568077643</v>
      </c>
    </row>
    <row r="132" spans="1:10" x14ac:dyDescent="0.3">
      <c r="A132" s="83" t="s">
        <v>42</v>
      </c>
      <c r="B132" s="59">
        <v>417776.47759999993</v>
      </c>
      <c r="C132" s="59">
        <v>656603.53850789671</v>
      </c>
      <c r="D132" s="59">
        <v>286242.43935659999</v>
      </c>
      <c r="E132" s="59">
        <v>494759.93236782117</v>
      </c>
      <c r="F132" s="59">
        <v>870066.23048600007</v>
      </c>
      <c r="G132" s="59">
        <v>836860.4880375365</v>
      </c>
      <c r="H132" s="91">
        <v>0.63541553095326142</v>
      </c>
      <c r="I132" s="91">
        <v>-3.8164614698257604E-2</v>
      </c>
      <c r="J132" s="91">
        <v>0.26309809996206468</v>
      </c>
    </row>
    <row r="133" spans="1:10" x14ac:dyDescent="0.3">
      <c r="A133" s="84" t="s">
        <v>26</v>
      </c>
      <c r="B133" s="59">
        <v>417776.47759999993</v>
      </c>
      <c r="C133" s="59">
        <v>656603.53850789671</v>
      </c>
      <c r="D133" s="59">
        <v>286242.43935659999</v>
      </c>
      <c r="E133" s="59">
        <v>494759.93236782117</v>
      </c>
      <c r="F133" s="59">
        <v>870066.23048600007</v>
      </c>
      <c r="G133" s="59">
        <v>836860.4880375365</v>
      </c>
      <c r="H133" s="91">
        <v>0.63541553095326142</v>
      </c>
      <c r="I133" s="91">
        <v>-3.8164614698257604E-2</v>
      </c>
      <c r="J133" s="91">
        <v>0.26309809996206468</v>
      </c>
    </row>
    <row r="134" spans="1:10" x14ac:dyDescent="0.3">
      <c r="A134" s="85" t="s">
        <v>41</v>
      </c>
      <c r="B134" s="59">
        <v>54170.340000000011</v>
      </c>
      <c r="C134" s="59">
        <v>92878.927697056744</v>
      </c>
      <c r="D134" s="59">
        <v>43306.229550000004</v>
      </c>
      <c r="E134" s="59">
        <v>74853.286086521402</v>
      </c>
      <c r="F134" s="59">
        <v>130427.98258000001</v>
      </c>
      <c r="G134" s="59">
        <v>122152.31618701782</v>
      </c>
      <c r="H134" s="91">
        <v>0.72074391372114199</v>
      </c>
      <c r="I134" s="91">
        <v>-6.3450083557845316E-2</v>
      </c>
      <c r="J134" s="91">
        <v>0.27195585722764171</v>
      </c>
    </row>
    <row r="135" spans="1:10" x14ac:dyDescent="0.3">
      <c r="A135" s="86" t="s">
        <v>25</v>
      </c>
      <c r="B135" s="59">
        <v>54170.340000000011</v>
      </c>
      <c r="C135" s="59">
        <v>92878.927697056744</v>
      </c>
      <c r="D135" s="59">
        <v>43306.229550000004</v>
      </c>
      <c r="E135" s="59">
        <v>74853.286086521402</v>
      </c>
      <c r="F135" s="59">
        <v>130427.98258000001</v>
      </c>
      <c r="G135" s="59">
        <v>122152.31618701782</v>
      </c>
      <c r="H135" s="91">
        <v>0.72074391372114199</v>
      </c>
      <c r="I135" s="91">
        <v>-6.3450083557845316E-2</v>
      </c>
      <c r="J135" s="91">
        <v>0.27195585722764171</v>
      </c>
    </row>
    <row r="136" spans="1:10" x14ac:dyDescent="0.3">
      <c r="A136" s="87" t="s">
        <v>25</v>
      </c>
      <c r="B136" s="59">
        <v>54170.340000000011</v>
      </c>
      <c r="C136" s="59">
        <v>92878.927697056744</v>
      </c>
      <c r="D136" s="59">
        <v>43306.229550000004</v>
      </c>
      <c r="E136" s="59">
        <v>74853.286086521402</v>
      </c>
      <c r="F136" s="59">
        <v>130427.98258000001</v>
      </c>
      <c r="G136" s="59">
        <v>122152.31618701782</v>
      </c>
      <c r="H136" s="91">
        <v>0.72074391372114199</v>
      </c>
      <c r="I136" s="91">
        <v>-6.3450083557845316E-2</v>
      </c>
      <c r="J136" s="91">
        <v>0.27195585722764171</v>
      </c>
    </row>
    <row r="137" spans="1:10" x14ac:dyDescent="0.3">
      <c r="A137" s="88" t="s">
        <v>25</v>
      </c>
      <c r="B137" s="59">
        <v>54170.340000000011</v>
      </c>
      <c r="C137" s="59">
        <v>92878.927697056744</v>
      </c>
      <c r="D137" s="59">
        <v>43306.229550000004</v>
      </c>
      <c r="E137" s="59">
        <v>74853.286086521402</v>
      </c>
      <c r="F137" s="59">
        <v>130427.98258000001</v>
      </c>
      <c r="G137" s="59">
        <v>122152.31618701782</v>
      </c>
      <c r="H137" s="91">
        <v>0.72074391372114199</v>
      </c>
      <c r="I137" s="91">
        <v>-6.3450083557845316E-2</v>
      </c>
      <c r="J137" s="91">
        <v>0.27195585722764171</v>
      </c>
    </row>
    <row r="138" spans="1:10" x14ac:dyDescent="0.3">
      <c r="A138" s="89" t="s">
        <v>35</v>
      </c>
      <c r="B138" s="59">
        <v>16214.439999999999</v>
      </c>
      <c r="C138" s="59">
        <v>27901.302094120791</v>
      </c>
      <c r="D138" s="59">
        <v>39463.916640000003</v>
      </c>
      <c r="E138" s="59">
        <v>68211.984119696994</v>
      </c>
      <c r="F138" s="59">
        <v>112726.85072</v>
      </c>
      <c r="G138" s="59">
        <v>105654.53771569868</v>
      </c>
      <c r="H138" s="91">
        <v>0.72622347378638064</v>
      </c>
      <c r="I138" s="91">
        <v>-6.273849539066878E-2</v>
      </c>
      <c r="J138" s="91">
        <v>0.1981091742501595</v>
      </c>
    </row>
    <row r="139" spans="1:10" x14ac:dyDescent="0.3">
      <c r="A139" s="90">
        <v>44501</v>
      </c>
      <c r="B139" s="59">
        <v>1381.16</v>
      </c>
      <c r="C139" s="59">
        <v>2376.6570045167064</v>
      </c>
      <c r="D139" s="59">
        <v>3438.3554400000003</v>
      </c>
      <c r="E139" s="59">
        <v>5943.0757674323359</v>
      </c>
      <c r="F139" s="59">
        <v>9821.5031200000012</v>
      </c>
      <c r="G139" s="59">
        <v>9205.3167917764422</v>
      </c>
      <c r="H139" s="91">
        <v>0.72625918010318524</v>
      </c>
      <c r="I139" s="91">
        <v>-6.273849539066878E-2</v>
      </c>
      <c r="J139" s="91">
        <v>0.19698294841349373</v>
      </c>
    </row>
    <row r="140" spans="1:10" x14ac:dyDescent="0.3">
      <c r="A140" s="90">
        <v>44531</v>
      </c>
      <c r="B140" s="59">
        <v>1381.16</v>
      </c>
      <c r="C140" s="59">
        <v>2376.6570045167064</v>
      </c>
      <c r="D140" s="59">
        <v>3534.56412</v>
      </c>
      <c r="E140" s="59">
        <v>6109.369068023927</v>
      </c>
      <c r="F140" s="59">
        <v>10096.31876</v>
      </c>
      <c r="G140" s="59">
        <v>9462.8909120130174</v>
      </c>
      <c r="H140" s="91">
        <v>0.72630234435138186</v>
      </c>
      <c r="I140" s="91">
        <v>-6.273849539066878E-2</v>
      </c>
      <c r="J140" s="91">
        <v>0.19563454008423742</v>
      </c>
    </row>
    <row r="141" spans="1:10" x14ac:dyDescent="0.3">
      <c r="A141" s="90">
        <v>44562</v>
      </c>
      <c r="B141" s="59">
        <v>1381.16</v>
      </c>
      <c r="C141" s="59">
        <v>2376.6570045167064</v>
      </c>
      <c r="D141" s="59">
        <v>3521.9006099999997</v>
      </c>
      <c r="E141" s="59">
        <v>6087.4806388824545</v>
      </c>
      <c r="F141" s="59">
        <v>10060.14603</v>
      </c>
      <c r="G141" s="59">
        <v>9428.9876046673908</v>
      </c>
      <c r="H141" s="91">
        <v>0.72629675964767682</v>
      </c>
      <c r="I141" s="91">
        <v>-6.2738495390668669E-2</v>
      </c>
      <c r="J141" s="91">
        <v>0.19580820331881421</v>
      </c>
    </row>
    <row r="142" spans="1:10" x14ac:dyDescent="0.3">
      <c r="A142" s="90">
        <v>44593</v>
      </c>
      <c r="B142" s="59">
        <v>1343.3200000000002</v>
      </c>
      <c r="C142" s="59">
        <v>2311.5431139820021</v>
      </c>
      <c r="D142" s="59">
        <v>3180.6657599999999</v>
      </c>
      <c r="E142" s="59">
        <v>5497.6682697347178</v>
      </c>
      <c r="F142" s="59">
        <v>9085.4244799999997</v>
      </c>
      <c r="G142" s="59">
        <v>8515.4186181392506</v>
      </c>
      <c r="H142" s="91">
        <v>0.72617947933521365</v>
      </c>
      <c r="I142" s="91">
        <v>-6.273849539066878E-2</v>
      </c>
      <c r="J142" s="91">
        <v>0.19951046474266398</v>
      </c>
    </row>
    <row r="143" spans="1:10" x14ac:dyDescent="0.3">
      <c r="A143" s="90">
        <v>44621</v>
      </c>
      <c r="B143" s="59">
        <v>1381.16</v>
      </c>
      <c r="C143" s="59">
        <v>2376.6570045167064</v>
      </c>
      <c r="D143" s="59">
        <v>3648.0257699999997</v>
      </c>
      <c r="E143" s="59">
        <v>6305.4835170431616</v>
      </c>
      <c r="F143" s="59">
        <v>10420.416710000001</v>
      </c>
      <c r="G143" s="59">
        <v>9766.6554442708184</v>
      </c>
      <c r="H143" s="91">
        <v>0.72635112692603276</v>
      </c>
      <c r="I143" s="91">
        <v>-6.273849539066878E-2</v>
      </c>
      <c r="J143" s="91">
        <v>0.19412755051226949</v>
      </c>
    </row>
    <row r="144" spans="1:10" x14ac:dyDescent="0.3">
      <c r="A144" s="90">
        <v>44652</v>
      </c>
      <c r="B144" s="59">
        <v>1362.2400000000002</v>
      </c>
      <c r="C144" s="59">
        <v>2344.1000592493542</v>
      </c>
      <c r="D144" s="59">
        <v>3575.2743299999997</v>
      </c>
      <c r="E144" s="59">
        <v>6179.7352261364467</v>
      </c>
      <c r="F144" s="59">
        <v>10212.605590000001</v>
      </c>
      <c r="G144" s="59">
        <v>9571.8820812650665</v>
      </c>
      <c r="H144" s="91">
        <v>0.72634137659015185</v>
      </c>
      <c r="I144" s="91">
        <v>-6.2738495390668891E-2</v>
      </c>
      <c r="J144" s="91">
        <v>0.19442733537457491</v>
      </c>
    </row>
    <row r="145" spans="1:10" x14ac:dyDescent="0.3">
      <c r="A145" s="90">
        <v>44682</v>
      </c>
      <c r="B145" s="59">
        <v>1343.3200000000002</v>
      </c>
      <c r="C145" s="59">
        <v>2311.5431139820021</v>
      </c>
      <c r="D145" s="59">
        <v>3216.4465499999997</v>
      </c>
      <c r="E145" s="59">
        <v>5559.5140997250528</v>
      </c>
      <c r="F145" s="59">
        <v>9187.630650000001</v>
      </c>
      <c r="G145" s="59">
        <v>8611.2125268138079</v>
      </c>
      <c r="H145" s="91">
        <v>0.72619741107295388</v>
      </c>
      <c r="I145" s="91">
        <v>-6.2738495390668891E-2</v>
      </c>
      <c r="J145" s="91">
        <v>0.19893747890843372</v>
      </c>
    </row>
    <row r="146" spans="1:10" x14ac:dyDescent="0.3">
      <c r="A146" s="90">
        <v>44713</v>
      </c>
      <c r="B146" s="59">
        <v>1305.48</v>
      </c>
      <c r="C146" s="59">
        <v>2246.4292234472978</v>
      </c>
      <c r="D146" s="59">
        <v>2635.2849299999998</v>
      </c>
      <c r="E146" s="59">
        <v>4554.9967945613616</v>
      </c>
      <c r="F146" s="59">
        <v>7527.5693900000006</v>
      </c>
      <c r="G146" s="59">
        <v>7055.3010125225464</v>
      </c>
      <c r="H146" s="91">
        <v>0.72591518114445353</v>
      </c>
      <c r="I146" s="91">
        <v>-6.273849539066878E-2</v>
      </c>
      <c r="J146" s="91">
        <v>0.20825977372895466</v>
      </c>
    </row>
    <row r="147" spans="1:10" x14ac:dyDescent="0.3">
      <c r="A147" s="90">
        <v>44743</v>
      </c>
      <c r="B147" s="59">
        <v>1305.48</v>
      </c>
      <c r="C147" s="59">
        <v>2246.4292234472978</v>
      </c>
      <c r="D147" s="59">
        <v>2877.93138</v>
      </c>
      <c r="E147" s="59">
        <v>4974.4026012654185</v>
      </c>
      <c r="F147" s="59">
        <v>8220.677740000001</v>
      </c>
      <c r="G147" s="59">
        <v>7704.9247875008368</v>
      </c>
      <c r="H147" s="91">
        <v>0.72606305448084263</v>
      </c>
      <c r="I147" s="91">
        <v>-6.2738495390668891E-2</v>
      </c>
      <c r="J147" s="91">
        <v>0.20329324207673483</v>
      </c>
    </row>
    <row r="148" spans="1:10" x14ac:dyDescent="0.3">
      <c r="A148" s="90">
        <v>44774</v>
      </c>
      <c r="B148" s="59">
        <v>1343.3200000000002</v>
      </c>
      <c r="C148" s="59">
        <v>2311.5431139820021</v>
      </c>
      <c r="D148" s="59">
        <v>3393.5657099999999</v>
      </c>
      <c r="E148" s="59">
        <v>5865.6583032876642</v>
      </c>
      <c r="F148" s="59">
        <v>9693.5633300000009</v>
      </c>
      <c r="G148" s="59">
        <v>9085.4037517016404</v>
      </c>
      <c r="H148" s="91">
        <v>0.72628218578439485</v>
      </c>
      <c r="I148" s="91">
        <v>-6.273849539066878E-2</v>
      </c>
      <c r="J148" s="91">
        <v>0.19626250861084116</v>
      </c>
    </row>
    <row r="149" spans="1:10" x14ac:dyDescent="0.3">
      <c r="A149" s="90">
        <v>44805</v>
      </c>
      <c r="B149" s="59">
        <v>1343.3200000000002</v>
      </c>
      <c r="C149" s="59">
        <v>2311.5431139820021</v>
      </c>
      <c r="D149" s="59">
        <v>3220.95102</v>
      </c>
      <c r="E149" s="59">
        <v>5567.2999168022216</v>
      </c>
      <c r="F149" s="59">
        <v>9200.4974600000005</v>
      </c>
      <c r="G149" s="59">
        <v>8623.2720925139311</v>
      </c>
      <c r="H149" s="91">
        <v>0.72619964858796293</v>
      </c>
      <c r="I149" s="91">
        <v>-6.273849539066878E-2</v>
      </c>
      <c r="J149" s="91">
        <v>0.19886615944724939</v>
      </c>
    </row>
    <row r="150" spans="1:10" x14ac:dyDescent="0.3">
      <c r="A150" s="90">
        <v>44835</v>
      </c>
      <c r="B150" s="59">
        <v>1343.3200000000002</v>
      </c>
      <c r="C150" s="59">
        <v>2311.5431139820021</v>
      </c>
      <c r="D150" s="59">
        <v>3220.95102</v>
      </c>
      <c r="E150" s="59">
        <v>5567.2999168022216</v>
      </c>
      <c r="F150" s="59">
        <v>9200.4974600000005</v>
      </c>
      <c r="G150" s="59">
        <v>8623.2720925139311</v>
      </c>
      <c r="H150" s="91">
        <v>0.72619964858796293</v>
      </c>
      <c r="I150" s="91">
        <v>-6.273849539066878E-2</v>
      </c>
      <c r="J150" s="91">
        <v>0.19886615944724939</v>
      </c>
    </row>
    <row r="151" spans="1:10" x14ac:dyDescent="0.3">
      <c r="A151" s="89" t="s">
        <v>34</v>
      </c>
      <c r="B151" s="59">
        <v>37955.899999999994</v>
      </c>
      <c r="C151" s="59">
        <v>64977.625602935928</v>
      </c>
      <c r="D151" s="59">
        <v>3842.3129100000001</v>
      </c>
      <c r="E151" s="59">
        <v>6641.3019668244133</v>
      </c>
      <c r="F151" s="59">
        <v>17701.131860000001</v>
      </c>
      <c r="G151" s="59">
        <v>16497.778471319136</v>
      </c>
      <c r="H151" s="91">
        <v>0.7134447284617258</v>
      </c>
      <c r="I151" s="91">
        <v>-6.7981719937363683E-2</v>
      </c>
      <c r="J151" s="91">
        <v>0.48096935153996134</v>
      </c>
    </row>
    <row r="152" spans="1:10" x14ac:dyDescent="0.3">
      <c r="A152" s="90">
        <v>44501</v>
      </c>
      <c r="B152" s="59">
        <v>3155.37</v>
      </c>
      <c r="C152" s="59">
        <v>5401.75441759347</v>
      </c>
      <c r="D152" s="59">
        <v>316.84271999999999</v>
      </c>
      <c r="E152" s="59">
        <v>547.65143516382614</v>
      </c>
      <c r="F152" s="59">
        <v>1459.6611200000002</v>
      </c>
      <c r="G152" s="59">
        <v>1360.4308465367017</v>
      </c>
      <c r="H152" s="91">
        <v>0.71343357464495893</v>
      </c>
      <c r="I152" s="91">
        <v>-6.7981719937363683E-2</v>
      </c>
      <c r="J152" s="91">
        <v>0.4821621429176699</v>
      </c>
    </row>
    <row r="153" spans="1:10" x14ac:dyDescent="0.3">
      <c r="A153" s="90">
        <v>44531</v>
      </c>
      <c r="B153" s="59">
        <v>3155.37</v>
      </c>
      <c r="C153" s="59">
        <v>5401.75441759347</v>
      </c>
      <c r="D153" s="59">
        <v>361.12250999999998</v>
      </c>
      <c r="E153" s="59">
        <v>624.18748605447877</v>
      </c>
      <c r="F153" s="59">
        <v>1663.65346</v>
      </c>
      <c r="G153" s="59">
        <v>1550.5554364094539</v>
      </c>
      <c r="H153" s="91">
        <v>0.71362284620590555</v>
      </c>
      <c r="I153" s="91">
        <v>-6.7981719937363683E-2</v>
      </c>
      <c r="J153" s="91">
        <v>0.46260305866581652</v>
      </c>
    </row>
    <row r="154" spans="1:10" x14ac:dyDescent="0.3">
      <c r="A154" s="90">
        <v>44562</v>
      </c>
      <c r="B154" s="59">
        <v>3246.83</v>
      </c>
      <c r="C154" s="59">
        <v>5558.3270094077734</v>
      </c>
      <c r="D154" s="59">
        <v>335.37054000000001</v>
      </c>
      <c r="E154" s="59">
        <v>579.67611672651765</v>
      </c>
      <c r="F154" s="59">
        <v>1545.0168400000002</v>
      </c>
      <c r="G154" s="59">
        <v>1439.9839378846095</v>
      </c>
      <c r="H154" s="91">
        <v>0.71347278232901257</v>
      </c>
      <c r="I154" s="91">
        <v>-6.7981719937363683E-2</v>
      </c>
      <c r="J154" s="91">
        <v>0.47799215488283053</v>
      </c>
    </row>
    <row r="155" spans="1:10" x14ac:dyDescent="0.3">
      <c r="A155" s="90">
        <v>44593</v>
      </c>
      <c r="B155" s="59">
        <v>3155.37</v>
      </c>
      <c r="C155" s="59">
        <v>5401.75441759347</v>
      </c>
      <c r="D155" s="59">
        <v>317.35265999999996</v>
      </c>
      <c r="E155" s="59">
        <v>548.53284841784512</v>
      </c>
      <c r="F155" s="59">
        <v>1462.01036</v>
      </c>
      <c r="G155" s="59">
        <v>1362.620381160956</v>
      </c>
      <c r="H155" s="91">
        <v>0.71343578182869205</v>
      </c>
      <c r="I155" s="91">
        <v>-6.7981719937363572E-2</v>
      </c>
      <c r="J155" s="91">
        <v>0.48192569233913107</v>
      </c>
    </row>
    <row r="156" spans="1:10" x14ac:dyDescent="0.3">
      <c r="A156" s="90">
        <v>44621</v>
      </c>
      <c r="B156" s="59">
        <v>3155.37</v>
      </c>
      <c r="C156" s="59">
        <v>5401.75441759347</v>
      </c>
      <c r="D156" s="59">
        <v>358.57281</v>
      </c>
      <c r="E156" s="59">
        <v>619.78041978438364</v>
      </c>
      <c r="F156" s="59">
        <v>1651.9072600000002</v>
      </c>
      <c r="G156" s="59">
        <v>1539.6077632881825</v>
      </c>
      <c r="H156" s="91">
        <v>0.71361207707812779</v>
      </c>
      <c r="I156" s="91">
        <v>-6.7981719937363572E-2</v>
      </c>
      <c r="J156" s="91">
        <v>0.46367829073793376</v>
      </c>
    </row>
    <row r="157" spans="1:10" x14ac:dyDescent="0.3">
      <c r="A157" s="90">
        <v>44652</v>
      </c>
      <c r="B157" s="59">
        <v>3155.37</v>
      </c>
      <c r="C157" s="59">
        <v>5401.75441759347</v>
      </c>
      <c r="D157" s="59">
        <v>317.77760999999998</v>
      </c>
      <c r="E157" s="59">
        <v>549.26735946286101</v>
      </c>
      <c r="F157" s="59">
        <v>1463.9680599999999</v>
      </c>
      <c r="G157" s="59">
        <v>1364.4449933478345</v>
      </c>
      <c r="H157" s="91">
        <v>0.71343762065336791</v>
      </c>
      <c r="I157" s="91">
        <v>-6.7981719937363572E-2</v>
      </c>
      <c r="J157" s="91">
        <v>0.4817288593937612</v>
      </c>
    </row>
    <row r="158" spans="1:10" x14ac:dyDescent="0.3">
      <c r="A158" s="90">
        <v>44682</v>
      </c>
      <c r="B158" s="59">
        <v>3155.37</v>
      </c>
      <c r="C158" s="59">
        <v>5401.75441759347</v>
      </c>
      <c r="D158" s="59">
        <v>323.47193999999996</v>
      </c>
      <c r="E158" s="59">
        <v>559.10980746607356</v>
      </c>
      <c r="F158" s="59">
        <v>1490.2012400000001</v>
      </c>
      <c r="G158" s="59">
        <v>1388.8947966520082</v>
      </c>
      <c r="H158" s="91">
        <v>0.71346221756184303</v>
      </c>
      <c r="I158" s="91">
        <v>-6.7981719937363572E-2</v>
      </c>
      <c r="J158" s="91">
        <v>0.47910950971280397</v>
      </c>
    </row>
    <row r="159" spans="1:10" x14ac:dyDescent="0.3">
      <c r="A159" s="90">
        <v>44713</v>
      </c>
      <c r="B159" s="59">
        <v>3155.37</v>
      </c>
      <c r="C159" s="59">
        <v>5401.75441759347</v>
      </c>
      <c r="D159" s="59">
        <v>257.43471</v>
      </c>
      <c r="E159" s="59">
        <v>444.96679107060868</v>
      </c>
      <c r="F159" s="59">
        <v>1185.9746600000001</v>
      </c>
      <c r="G159" s="59">
        <v>1105.3500628110698</v>
      </c>
      <c r="H159" s="91">
        <v>0.71317192323731837</v>
      </c>
      <c r="I159" s="91">
        <v>-6.7981719937363794E-2</v>
      </c>
      <c r="J159" s="91">
        <v>0.51172098336066685</v>
      </c>
    </row>
    <row r="160" spans="1:10" x14ac:dyDescent="0.3">
      <c r="A160" s="90">
        <v>44743</v>
      </c>
      <c r="B160" s="59">
        <v>3155.37</v>
      </c>
      <c r="C160" s="59">
        <v>5401.75441759347</v>
      </c>
      <c r="D160" s="59">
        <v>276.30248999999998</v>
      </c>
      <c r="E160" s="59">
        <v>477.57908146931288</v>
      </c>
      <c r="F160" s="59">
        <v>1272.89654</v>
      </c>
      <c r="G160" s="59">
        <v>1186.3628439084807</v>
      </c>
      <c r="H160" s="91">
        <v>0.71325600452704707</v>
      </c>
      <c r="I160" s="91">
        <v>-6.7981719937363683E-2</v>
      </c>
      <c r="J160" s="91">
        <v>0.50187961913511625</v>
      </c>
    </row>
    <row r="161" spans="1:10" x14ac:dyDescent="0.3">
      <c r="A161" s="90">
        <v>44774</v>
      </c>
      <c r="B161" s="59">
        <v>3155.37</v>
      </c>
      <c r="C161" s="59">
        <v>5401.75441759347</v>
      </c>
      <c r="D161" s="59">
        <v>354.23831999999999</v>
      </c>
      <c r="E161" s="59">
        <v>612.28840712522185</v>
      </c>
      <c r="F161" s="59">
        <v>1631.9387200000001</v>
      </c>
      <c r="G161" s="59">
        <v>1520.9967189820204</v>
      </c>
      <c r="H161" s="91">
        <v>0.71359373365022449</v>
      </c>
      <c r="I161" s="91">
        <v>-6.7981719937363683E-2</v>
      </c>
      <c r="J161" s="91">
        <v>0.46551990773981378</v>
      </c>
    </row>
    <row r="162" spans="1:10" x14ac:dyDescent="0.3">
      <c r="A162" s="90">
        <v>44805</v>
      </c>
      <c r="B162" s="59">
        <v>3155.37</v>
      </c>
      <c r="C162" s="59">
        <v>5401.75441759347</v>
      </c>
      <c r="D162" s="59">
        <v>311.91329999999999</v>
      </c>
      <c r="E162" s="59">
        <v>539.13110704164205</v>
      </c>
      <c r="F162" s="59">
        <v>1436.9518</v>
      </c>
      <c r="G162" s="59">
        <v>1339.2653451689096</v>
      </c>
      <c r="H162" s="91">
        <v>0.7134122050641527</v>
      </c>
      <c r="I162" s="91">
        <v>-6.7981719937363572E-2</v>
      </c>
      <c r="J162" s="91">
        <v>0.48446204583544983</v>
      </c>
    </row>
    <row r="163" spans="1:10" x14ac:dyDescent="0.3">
      <c r="A163" s="90">
        <v>44835</v>
      </c>
      <c r="B163" s="59">
        <v>3155.37</v>
      </c>
      <c r="C163" s="59">
        <v>5401.75441759347</v>
      </c>
      <c r="D163" s="59">
        <v>311.91329999999999</v>
      </c>
      <c r="E163" s="59">
        <v>539.13110704164205</v>
      </c>
      <c r="F163" s="59">
        <v>1436.9518</v>
      </c>
      <c r="G163" s="59">
        <v>1339.2653451689096</v>
      </c>
      <c r="H163" s="91">
        <v>0.7134122050641527</v>
      </c>
      <c r="I163" s="91">
        <v>-6.7981719937363572E-2</v>
      </c>
      <c r="J163" s="91">
        <v>0.48446204583544983</v>
      </c>
    </row>
    <row r="164" spans="1:10" x14ac:dyDescent="0.3">
      <c r="A164" s="85" t="s">
        <v>50</v>
      </c>
      <c r="B164" s="59">
        <v>363606.13759999996</v>
      </c>
      <c r="C164" s="59">
        <v>563724.61081084027</v>
      </c>
      <c r="D164" s="59">
        <v>242936.2098066</v>
      </c>
      <c r="E164" s="59">
        <v>419906.64628129959</v>
      </c>
      <c r="F164" s="59">
        <v>739638.24790600012</v>
      </c>
      <c r="G164" s="59">
        <v>714708.17185051867</v>
      </c>
      <c r="H164" s="91">
        <v>0.62170252629163225</v>
      </c>
      <c r="I164" s="91">
        <v>-3.3705769173053568E-2</v>
      </c>
      <c r="J164" s="91">
        <v>0.26159850680976637</v>
      </c>
    </row>
    <row r="165" spans="1:10" x14ac:dyDescent="0.3">
      <c r="A165" s="86" t="s">
        <v>51</v>
      </c>
      <c r="B165" s="59">
        <v>363606.13759999996</v>
      </c>
      <c r="C165" s="59">
        <v>563724.61081084027</v>
      </c>
      <c r="D165" s="59">
        <v>242936.2098066</v>
      </c>
      <c r="E165" s="59">
        <v>419906.64628129959</v>
      </c>
      <c r="F165" s="59">
        <v>739638.24790600012</v>
      </c>
      <c r="G165" s="59">
        <v>714708.17185051867</v>
      </c>
      <c r="H165" s="91">
        <v>0.62170252629163225</v>
      </c>
      <c r="I165" s="91">
        <v>-3.3705769173053568E-2</v>
      </c>
      <c r="J165" s="91">
        <v>0.26159850680976637</v>
      </c>
    </row>
    <row r="166" spans="1:10" x14ac:dyDescent="0.3">
      <c r="A166" s="87" t="s">
        <v>25</v>
      </c>
      <c r="B166" s="59">
        <v>363606.13759999996</v>
      </c>
      <c r="C166" s="59">
        <v>563724.61081084027</v>
      </c>
      <c r="D166" s="59">
        <v>242936.2098066</v>
      </c>
      <c r="E166" s="59">
        <v>419906.64628129959</v>
      </c>
      <c r="F166" s="59">
        <v>739638.24790600012</v>
      </c>
      <c r="G166" s="59">
        <v>714708.17185051867</v>
      </c>
      <c r="H166" s="91">
        <v>0.62170252629163225</v>
      </c>
      <c r="I166" s="91">
        <v>-3.3705769173053568E-2</v>
      </c>
      <c r="J166" s="91">
        <v>0.26159850680976637</v>
      </c>
    </row>
    <row r="167" spans="1:10" x14ac:dyDescent="0.3">
      <c r="A167" s="88" t="s">
        <v>25</v>
      </c>
      <c r="B167" s="59">
        <v>363606.13759999996</v>
      </c>
      <c r="C167" s="59">
        <v>563724.61081084027</v>
      </c>
      <c r="D167" s="59">
        <v>242936.2098066</v>
      </c>
      <c r="E167" s="59">
        <v>419906.64628129959</v>
      </c>
      <c r="F167" s="59">
        <v>739638.24790600012</v>
      </c>
      <c r="G167" s="59">
        <v>714708.17185051867</v>
      </c>
      <c r="H167" s="91">
        <v>0.62170252629163225</v>
      </c>
      <c r="I167" s="91">
        <v>-3.3705769173053568E-2</v>
      </c>
      <c r="J167" s="91">
        <v>0.26159850680976637</v>
      </c>
    </row>
    <row r="168" spans="1:10" x14ac:dyDescent="0.3">
      <c r="A168" s="89" t="s">
        <v>35</v>
      </c>
      <c r="B168" s="59">
        <v>107064.49599999998</v>
      </c>
      <c r="C168" s="59">
        <v>166593.88893304093</v>
      </c>
      <c r="D168" s="59">
        <v>216827.24271120003</v>
      </c>
      <c r="E168" s="59">
        <v>374778.22010050889</v>
      </c>
      <c r="F168" s="59">
        <v>619356.97979760007</v>
      </c>
      <c r="G168" s="59">
        <v>599026.03311928513</v>
      </c>
      <c r="H168" s="91">
        <v>0.67146007239248373</v>
      </c>
      <c r="I168" s="91">
        <v>-3.2825894179732806E-2</v>
      </c>
      <c r="J168" s="91">
        <v>0.2090110696950771</v>
      </c>
    </row>
    <row r="169" spans="1:10" x14ac:dyDescent="0.3">
      <c r="A169" s="90">
        <v>44501</v>
      </c>
      <c r="B169" s="59">
        <v>8981.3240000000005</v>
      </c>
      <c r="C169" s="59">
        <v>13975.068756010907</v>
      </c>
      <c r="D169" s="59">
        <v>17780.851388999999</v>
      </c>
      <c r="E169" s="59">
        <v>30733.572737983563</v>
      </c>
      <c r="F169" s="59">
        <v>50790.178746999998</v>
      </c>
      <c r="G169" s="59">
        <v>49122.945714081266</v>
      </c>
      <c r="H169" s="91">
        <v>0.67059070662734555</v>
      </c>
      <c r="I169" s="91">
        <v>-3.2825894179732695E-2</v>
      </c>
      <c r="J169" s="91">
        <v>0.2099128163605144</v>
      </c>
    </row>
    <row r="170" spans="1:10" x14ac:dyDescent="0.3">
      <c r="A170" s="90">
        <v>44531</v>
      </c>
      <c r="B170" s="59">
        <v>8963.5392000000011</v>
      </c>
      <c r="C170" s="59">
        <v>13947.395352533656</v>
      </c>
      <c r="D170" s="59">
        <v>17632.893997799998</v>
      </c>
      <c r="E170" s="59">
        <v>30477.833620374124</v>
      </c>
      <c r="F170" s="59">
        <v>50367.545309399997</v>
      </c>
      <c r="G170" s="59">
        <v>48714.185596980744</v>
      </c>
      <c r="H170" s="91">
        <v>0.67034536708413017</v>
      </c>
      <c r="I170" s="91">
        <v>-3.2825894179732584E-2</v>
      </c>
      <c r="J170" s="91">
        <v>0.21016891767328949</v>
      </c>
    </row>
    <row r="171" spans="1:10" x14ac:dyDescent="0.3">
      <c r="A171" s="90">
        <v>44562</v>
      </c>
      <c r="B171" s="59">
        <v>8981.3240000000005</v>
      </c>
      <c r="C171" s="59">
        <v>13975.068756010907</v>
      </c>
      <c r="D171" s="59">
        <v>17949.660226799999</v>
      </c>
      <c r="E171" s="59">
        <v>31025.352843549845</v>
      </c>
      <c r="F171" s="59">
        <v>51272.373376399999</v>
      </c>
      <c r="G171" s="59">
        <v>49589.31187360255</v>
      </c>
      <c r="H171" s="91">
        <v>0.67095347205243239</v>
      </c>
      <c r="I171" s="91">
        <v>-3.2825894179732695E-2</v>
      </c>
      <c r="J171" s="91">
        <v>0.20953545182940836</v>
      </c>
    </row>
    <row r="172" spans="1:10" x14ac:dyDescent="0.3">
      <c r="A172" s="90">
        <v>44593</v>
      </c>
      <c r="B172" s="59">
        <v>8910.1848000000009</v>
      </c>
      <c r="C172" s="59">
        <v>13864.375142101908</v>
      </c>
      <c r="D172" s="59">
        <v>15194.233432799998</v>
      </c>
      <c r="E172" s="59">
        <v>26262.695086341602</v>
      </c>
      <c r="F172" s="59">
        <v>43401.624314399996</v>
      </c>
      <c r="G172" s="59">
        <v>41976.927187426991</v>
      </c>
      <c r="H172" s="91">
        <v>0.66471846948957869</v>
      </c>
      <c r="I172" s="91">
        <v>-3.2825894179732695E-2</v>
      </c>
      <c r="J172" s="91">
        <v>0.2162466398243339</v>
      </c>
    </row>
    <row r="173" spans="1:10" x14ac:dyDescent="0.3">
      <c r="A173" s="90">
        <v>44621</v>
      </c>
      <c r="B173" s="59">
        <v>8910.1848000000009</v>
      </c>
      <c r="C173" s="59">
        <v>13864.375142101908</v>
      </c>
      <c r="D173" s="59">
        <v>17218.661236799999</v>
      </c>
      <c r="E173" s="59">
        <v>29761.846943913562</v>
      </c>
      <c r="F173" s="59">
        <v>49184.308606400002</v>
      </c>
      <c r="G173" s="59">
        <v>47569.789696782995</v>
      </c>
      <c r="H173" s="91">
        <v>0.66965743625156948</v>
      </c>
      <c r="I173" s="91">
        <v>-3.2825894179732806E-2</v>
      </c>
      <c r="J173" s="91">
        <v>0.21089087576857368</v>
      </c>
    </row>
    <row r="174" spans="1:10" x14ac:dyDescent="0.3">
      <c r="A174" s="90">
        <v>44652</v>
      </c>
      <c r="B174" s="59">
        <v>8927.9696000000004</v>
      </c>
      <c r="C174" s="59">
        <v>13892.048545579159</v>
      </c>
      <c r="D174" s="59">
        <v>17930.885935800001</v>
      </c>
      <c r="E174" s="59">
        <v>30992.902145581043</v>
      </c>
      <c r="F174" s="59">
        <v>51218.745483400002</v>
      </c>
      <c r="G174" s="59">
        <v>49537.444364143252</v>
      </c>
      <c r="H174" s="91">
        <v>0.67114159541657803</v>
      </c>
      <c r="I174" s="91">
        <v>-3.2825894179732695E-2</v>
      </c>
      <c r="J174" s="91">
        <v>0.20934037192157229</v>
      </c>
    </row>
    <row r="175" spans="1:10" x14ac:dyDescent="0.3">
      <c r="A175" s="90">
        <v>44682</v>
      </c>
      <c r="B175" s="59">
        <v>8910.1848000000009</v>
      </c>
      <c r="C175" s="59">
        <v>13864.375142101908</v>
      </c>
      <c r="D175" s="59">
        <v>18379.950998399996</v>
      </c>
      <c r="E175" s="59">
        <v>31769.095223379471</v>
      </c>
      <c r="F175" s="59">
        <v>52501.479043200001</v>
      </c>
      <c r="G175" s="59">
        <v>50778.071047848462</v>
      </c>
      <c r="H175" s="91">
        <v>0.6721598859964939</v>
      </c>
      <c r="I175" s="91">
        <v>-3.2825894179732695E-2</v>
      </c>
      <c r="J175" s="91">
        <v>0.20829164323498439</v>
      </c>
    </row>
    <row r="176" spans="1:10" x14ac:dyDescent="0.3">
      <c r="A176" s="90">
        <v>44713</v>
      </c>
      <c r="B176" s="59">
        <v>8910.1848000000009</v>
      </c>
      <c r="C176" s="59">
        <v>13864.375142101908</v>
      </c>
      <c r="D176" s="59">
        <v>17350.880179799999</v>
      </c>
      <c r="E176" s="59">
        <v>29990.382710459795</v>
      </c>
      <c r="F176" s="59">
        <v>49561.985895400001</v>
      </c>
      <c r="G176" s="59">
        <v>47935.069391060191</v>
      </c>
      <c r="H176" s="91">
        <v>0.66995351811873416</v>
      </c>
      <c r="I176" s="91">
        <v>-3.2825894179732806E-2</v>
      </c>
      <c r="J176" s="91">
        <v>0.21057945023476043</v>
      </c>
    </row>
    <row r="177" spans="1:10" x14ac:dyDescent="0.3">
      <c r="A177" s="90">
        <v>44743</v>
      </c>
      <c r="B177" s="59">
        <v>8892.4</v>
      </c>
      <c r="C177" s="59">
        <v>13836.701738624661</v>
      </c>
      <c r="D177" s="59">
        <v>18184.698371999999</v>
      </c>
      <c r="E177" s="59">
        <v>31431.607964503939</v>
      </c>
      <c r="F177" s="59">
        <v>51943.748956000003</v>
      </c>
      <c r="G177" s="59">
        <v>50238.648949471746</v>
      </c>
      <c r="H177" s="91">
        <v>0.67183015998271967</v>
      </c>
      <c r="I177" s="91">
        <v>-3.2825894179732695E-2</v>
      </c>
      <c r="J177" s="91">
        <v>0.20862989808461241</v>
      </c>
    </row>
    <row r="178" spans="1:10" x14ac:dyDescent="0.3">
      <c r="A178" s="90">
        <v>44774</v>
      </c>
      <c r="B178" s="59">
        <v>8892.4</v>
      </c>
      <c r="C178" s="59">
        <v>13836.701738624661</v>
      </c>
      <c r="D178" s="59">
        <v>19365.0020964</v>
      </c>
      <c r="E178" s="59">
        <v>33471.721206168033</v>
      </c>
      <c r="F178" s="59">
        <v>55315.231897199999</v>
      </c>
      <c r="G178" s="59">
        <v>53499.45994841514</v>
      </c>
      <c r="H178" s="91">
        <v>0.67419576588818098</v>
      </c>
      <c r="I178" s="91">
        <v>-3.2825894179732695E-2</v>
      </c>
      <c r="J178" s="91">
        <v>0.20623077287390168</v>
      </c>
    </row>
    <row r="179" spans="1:10" x14ac:dyDescent="0.3">
      <c r="A179" s="90">
        <v>44805</v>
      </c>
      <c r="B179" s="59">
        <v>8892.4</v>
      </c>
      <c r="C179" s="59">
        <v>13836.701738624661</v>
      </c>
      <c r="D179" s="59">
        <v>19919.762422799999</v>
      </c>
      <c r="E179" s="59">
        <v>34430.604809126984</v>
      </c>
      <c r="F179" s="59">
        <v>56899.879084399996</v>
      </c>
      <c r="G179" s="59">
        <v>55032.0896747359</v>
      </c>
      <c r="H179" s="91">
        <v>0.67524067924718323</v>
      </c>
      <c r="I179" s="91">
        <v>-3.2825894179732584E-2</v>
      </c>
      <c r="J179" s="91">
        <v>0.20519117741245463</v>
      </c>
    </row>
    <row r="180" spans="1:10" x14ac:dyDescent="0.3">
      <c r="A180" s="90">
        <v>44835</v>
      </c>
      <c r="B180" s="59">
        <v>8892.4</v>
      </c>
      <c r="C180" s="59">
        <v>13836.701738624661</v>
      </c>
      <c r="D180" s="59">
        <v>19919.762422799999</v>
      </c>
      <c r="E180" s="59">
        <v>34430.604809126984</v>
      </c>
      <c r="F180" s="59">
        <v>56899.879084399996</v>
      </c>
      <c r="G180" s="59">
        <v>55032.0896747359</v>
      </c>
      <c r="H180" s="91">
        <v>0.67524067924718323</v>
      </c>
      <c r="I180" s="91">
        <v>-3.2825894179732584E-2</v>
      </c>
      <c r="J180" s="91">
        <v>0.20519117741245463</v>
      </c>
    </row>
    <row r="181" spans="1:10" x14ac:dyDescent="0.3">
      <c r="A181" s="89" t="s">
        <v>34</v>
      </c>
      <c r="B181" s="59">
        <v>256541.64159999994</v>
      </c>
      <c r="C181" s="59">
        <v>397130.72187779943</v>
      </c>
      <c r="D181" s="59">
        <v>26108.967095399996</v>
      </c>
      <c r="E181" s="59">
        <v>45128.426180790644</v>
      </c>
      <c r="F181" s="59">
        <v>120281.26810839999</v>
      </c>
      <c r="G181" s="59">
        <v>115682.13873123351</v>
      </c>
      <c r="H181" s="91">
        <v>0.56468493062823422</v>
      </c>
      <c r="I181" s="91">
        <v>-3.82364556800453E-2</v>
      </c>
      <c r="J181" s="91">
        <v>0.38470376485378566</v>
      </c>
    </row>
    <row r="182" spans="1:10" x14ac:dyDescent="0.3">
      <c r="A182" s="90">
        <v>44501</v>
      </c>
      <c r="B182" s="59">
        <v>21665.0448</v>
      </c>
      <c r="C182" s="59">
        <v>33537.849166623804</v>
      </c>
      <c r="D182" s="59">
        <v>2133.6382541999997</v>
      </c>
      <c r="E182" s="59">
        <v>3687.9182580968572</v>
      </c>
      <c r="F182" s="59">
        <v>9829.4472532</v>
      </c>
      <c r="G182" s="59">
        <v>9453.6040289436733</v>
      </c>
      <c r="H182" s="91">
        <v>0.56419442789928009</v>
      </c>
      <c r="I182" s="91">
        <v>-3.8236455680045522E-2</v>
      </c>
      <c r="J182" s="91">
        <v>0.38810487014772721</v>
      </c>
    </row>
    <row r="183" spans="1:10" x14ac:dyDescent="0.3">
      <c r="A183" s="90">
        <v>44531</v>
      </c>
      <c r="B183" s="59">
        <v>21622.058599999997</v>
      </c>
      <c r="C183" s="59">
        <v>33471.305815102729</v>
      </c>
      <c r="D183" s="59">
        <v>2456.6359499999999</v>
      </c>
      <c r="E183" s="59">
        <v>4246.2083512366935</v>
      </c>
      <c r="F183" s="59">
        <v>11317.4637</v>
      </c>
      <c r="G183" s="59">
        <v>10884.724000824426</v>
      </c>
      <c r="H183" s="91">
        <v>0.56642687119179524</v>
      </c>
      <c r="I183" s="91">
        <v>-3.8236455680045522E-2</v>
      </c>
      <c r="J183" s="91">
        <v>0.37309359461810687</v>
      </c>
    </row>
    <row r="184" spans="1:10" x14ac:dyDescent="0.3">
      <c r="A184" s="90">
        <v>44562</v>
      </c>
      <c r="B184" s="59">
        <v>21622.058599999997</v>
      </c>
      <c r="C184" s="59">
        <v>33471.305815102729</v>
      </c>
      <c r="D184" s="59">
        <v>2225.1129911999997</v>
      </c>
      <c r="E184" s="59">
        <v>3846.0291056469714</v>
      </c>
      <c r="F184" s="59">
        <v>10250.8617552</v>
      </c>
      <c r="G184" s="59">
        <v>9858.9051340150218</v>
      </c>
      <c r="H184" s="91">
        <v>0.56485370929776924</v>
      </c>
      <c r="I184" s="91">
        <v>-3.8236455680045411E-2</v>
      </c>
      <c r="J184" s="91">
        <v>0.38354724378101102</v>
      </c>
    </row>
    <row r="185" spans="1:10" x14ac:dyDescent="0.3">
      <c r="A185" s="90">
        <v>44593</v>
      </c>
      <c r="B185" s="59">
        <v>21321.155199999997</v>
      </c>
      <c r="C185" s="59">
        <v>33005.502354455173</v>
      </c>
      <c r="D185" s="59">
        <v>2066.3703689999998</v>
      </c>
      <c r="E185" s="59">
        <v>3571.6480977150268</v>
      </c>
      <c r="F185" s="59">
        <v>9519.5511739999984</v>
      </c>
      <c r="G185" s="59">
        <v>9155.5572774414231</v>
      </c>
      <c r="H185" s="91">
        <v>0.5639598273984554</v>
      </c>
      <c r="I185" s="91">
        <v>-3.8236455680045411E-2</v>
      </c>
      <c r="J185" s="91">
        <v>0.38975297279603849</v>
      </c>
    </row>
    <row r="186" spans="1:10" x14ac:dyDescent="0.3">
      <c r="A186" s="90">
        <v>44621</v>
      </c>
      <c r="B186" s="59">
        <v>21321.155199999997</v>
      </c>
      <c r="C186" s="59">
        <v>33005.502354455173</v>
      </c>
      <c r="D186" s="59">
        <v>2243.3280479999999</v>
      </c>
      <c r="E186" s="59">
        <v>3877.5131870805317</v>
      </c>
      <c r="F186" s="59">
        <v>10334.776607999998</v>
      </c>
      <c r="G186" s="59">
        <v>9939.6113802650361</v>
      </c>
      <c r="H186" s="91">
        <v>0.56519517756308546</v>
      </c>
      <c r="I186" s="91">
        <v>-3.8236455680045411E-2</v>
      </c>
      <c r="J186" s="91">
        <v>0.38122859085117677</v>
      </c>
    </row>
    <row r="187" spans="1:10" x14ac:dyDescent="0.3">
      <c r="A187" s="90">
        <v>44652</v>
      </c>
      <c r="B187" s="59">
        <v>21321.155199999997</v>
      </c>
      <c r="C187" s="59">
        <v>33005.502354455173</v>
      </c>
      <c r="D187" s="59">
        <v>1974.8956319999998</v>
      </c>
      <c r="E187" s="59">
        <v>3413.5372501649122</v>
      </c>
      <c r="F187" s="59">
        <v>9098.1366719999987</v>
      </c>
      <c r="G187" s="59">
        <v>8750.2561723700746</v>
      </c>
      <c r="H187" s="91">
        <v>0.56331387956082435</v>
      </c>
      <c r="I187" s="91">
        <v>-3.8236455680045411E-2</v>
      </c>
      <c r="J187" s="91">
        <v>0.39436421337663452</v>
      </c>
    </row>
    <row r="188" spans="1:10" x14ac:dyDescent="0.3">
      <c r="A188" s="90">
        <v>44682</v>
      </c>
      <c r="B188" s="59">
        <v>21278.168999999998</v>
      </c>
      <c r="C188" s="59">
        <v>32938.959002934098</v>
      </c>
      <c r="D188" s="59">
        <v>2238.3748307999999</v>
      </c>
      <c r="E188" s="59">
        <v>3868.9517263398266</v>
      </c>
      <c r="F188" s="59">
        <v>10311.957656799999</v>
      </c>
      <c r="G188" s="59">
        <v>9917.6649448812623</v>
      </c>
      <c r="H188" s="91">
        <v>0.56519218955406214</v>
      </c>
      <c r="I188" s="91">
        <v>-3.82364556800453E-2</v>
      </c>
      <c r="J188" s="91">
        <v>0.38124875827806526</v>
      </c>
    </row>
    <row r="189" spans="1:10" x14ac:dyDescent="0.3">
      <c r="A189" s="90">
        <v>44713</v>
      </c>
      <c r="B189" s="59">
        <v>21278.168999999998</v>
      </c>
      <c r="C189" s="59">
        <v>32938.959002934098</v>
      </c>
      <c r="D189" s="59">
        <v>2128.3654745999997</v>
      </c>
      <c r="E189" s="59">
        <v>3678.8044450503007</v>
      </c>
      <c r="F189" s="59">
        <v>9805.1561115999993</v>
      </c>
      <c r="G189" s="59">
        <v>9430.2416945028799</v>
      </c>
      <c r="H189" s="91">
        <v>0.5644248185360714</v>
      </c>
      <c r="I189" s="91">
        <v>-3.8236455680045411E-2</v>
      </c>
      <c r="J189" s="91">
        <v>0.3864998839180136</v>
      </c>
    </row>
    <row r="190" spans="1:10" x14ac:dyDescent="0.3">
      <c r="A190" s="90">
        <v>44743</v>
      </c>
      <c r="B190" s="59">
        <v>21278.168999999998</v>
      </c>
      <c r="C190" s="59">
        <v>32938.959002934098</v>
      </c>
      <c r="D190" s="59">
        <v>2121.4948829999998</v>
      </c>
      <c r="E190" s="59">
        <v>3666.9288704744845</v>
      </c>
      <c r="F190" s="59">
        <v>9773.5040179999996</v>
      </c>
      <c r="G190" s="59">
        <v>9399.7998647769964</v>
      </c>
      <c r="H190" s="91">
        <v>0.56437665329043418</v>
      </c>
      <c r="I190" s="91">
        <v>-3.8236455680045411E-2</v>
      </c>
      <c r="J190" s="91">
        <v>0.38683431969723792</v>
      </c>
    </row>
    <row r="191" spans="1:10" x14ac:dyDescent="0.3">
      <c r="A191" s="90">
        <v>44774</v>
      </c>
      <c r="B191" s="59">
        <v>21278.168999999998</v>
      </c>
      <c r="C191" s="59">
        <v>32938.959002934098</v>
      </c>
      <c r="D191" s="59">
        <v>2314.8301349999997</v>
      </c>
      <c r="E191" s="59">
        <v>4001.1020155149004</v>
      </c>
      <c r="F191" s="59">
        <v>10664.17921</v>
      </c>
      <c r="G191" s="59">
        <v>10256.418794272773</v>
      </c>
      <c r="H191" s="91">
        <v>0.56572128906022634</v>
      </c>
      <c r="I191" s="91">
        <v>-3.8236455680045411E-2</v>
      </c>
      <c r="J191" s="91">
        <v>0.37771066073835957</v>
      </c>
    </row>
    <row r="192" spans="1:10" x14ac:dyDescent="0.3">
      <c r="A192" s="90">
        <v>44805</v>
      </c>
      <c r="B192" s="59">
        <v>21278.168999999998</v>
      </c>
      <c r="C192" s="59">
        <v>32938.959002934098</v>
      </c>
      <c r="D192" s="59">
        <v>2102.9602637999997</v>
      </c>
      <c r="E192" s="59">
        <v>3634.8924367350724</v>
      </c>
      <c r="F192" s="59">
        <v>9688.1169747999993</v>
      </c>
      <c r="G192" s="59">
        <v>9317.6777194699644</v>
      </c>
      <c r="H192" s="91">
        <v>0.5642465779569894</v>
      </c>
      <c r="I192" s="91">
        <v>-3.82364556800453E-2</v>
      </c>
      <c r="J192" s="91">
        <v>0.38774040472601867</v>
      </c>
    </row>
    <row r="193" spans="1:10" x14ac:dyDescent="0.3">
      <c r="A193" s="90">
        <v>44835</v>
      </c>
      <c r="B193" s="59">
        <v>21278.168999999998</v>
      </c>
      <c r="C193" s="59">
        <v>32938.959002934098</v>
      </c>
      <c r="D193" s="59">
        <v>2102.9602637999997</v>
      </c>
      <c r="E193" s="59">
        <v>3634.8924367350724</v>
      </c>
      <c r="F193" s="59">
        <v>9688.1169747999993</v>
      </c>
      <c r="G193" s="59">
        <v>9317.6777194699644</v>
      </c>
      <c r="H193" s="91">
        <v>0.5642465779569894</v>
      </c>
      <c r="I193" s="91">
        <v>-3.82364556800453E-2</v>
      </c>
      <c r="J193" s="91">
        <v>0.38774040472601867</v>
      </c>
    </row>
    <row r="194" spans="1:10" x14ac:dyDescent="0.3">
      <c r="A194" s="83" t="s">
        <v>40</v>
      </c>
      <c r="B194" s="59">
        <v>2123189.5344000002</v>
      </c>
      <c r="C194" s="59">
        <v>3652463.4141528117</v>
      </c>
      <c r="D194" s="59">
        <v>3043376.6104487847</v>
      </c>
      <c r="E194" s="59">
        <v>5245005.0783738485</v>
      </c>
      <c r="F194" s="59">
        <v>3838528.9698489993</v>
      </c>
      <c r="G194" s="59">
        <v>3601062.979819031</v>
      </c>
      <c r="H194" s="91">
        <v>0.72212418133806167</v>
      </c>
      <c r="I194" s="91">
        <v>-6.1863800402504387E-2</v>
      </c>
      <c r="J194" s="91">
        <v>0.38793997322094298</v>
      </c>
    </row>
    <row r="195" spans="1:10" x14ac:dyDescent="0.3">
      <c r="A195" s="84" t="s">
        <v>26</v>
      </c>
      <c r="B195" s="59">
        <v>1884797.5344</v>
      </c>
      <c r="C195" s="59">
        <v>3242245.9037841759</v>
      </c>
      <c r="D195" s="59">
        <v>2201866.774383001</v>
      </c>
      <c r="E195" s="59">
        <v>3793033.9026359227</v>
      </c>
      <c r="F195" s="59">
        <v>3838528.9698489993</v>
      </c>
      <c r="G195" s="59">
        <v>3601062.979819031</v>
      </c>
      <c r="H195" s="91">
        <v>0.72152133741447089</v>
      </c>
      <c r="I195" s="91">
        <v>-6.1863800402504387E-2</v>
      </c>
      <c r="J195" s="91">
        <v>0.3420925411266571</v>
      </c>
    </row>
    <row r="196" spans="1:10" x14ac:dyDescent="0.3">
      <c r="A196" s="85" t="s">
        <v>41</v>
      </c>
      <c r="B196" s="59">
        <v>503990.95999999996</v>
      </c>
      <c r="C196" s="59">
        <v>867251.90803172637</v>
      </c>
      <c r="D196" s="59">
        <v>811789.34713999974</v>
      </c>
      <c r="E196" s="59">
        <v>1396337.6354503415</v>
      </c>
      <c r="F196" s="59">
        <v>1016055.11158</v>
      </c>
      <c r="G196" s="59">
        <v>951424.98669742502</v>
      </c>
      <c r="H196" s="91">
        <v>0.72034003792186319</v>
      </c>
      <c r="I196" s="91">
        <v>-6.3608877260675989E-2</v>
      </c>
      <c r="J196" s="91">
        <v>0.37874847614429497</v>
      </c>
    </row>
    <row r="197" spans="1:10" x14ac:dyDescent="0.3">
      <c r="A197" s="86" t="s">
        <v>25</v>
      </c>
      <c r="B197" s="59">
        <v>503990.95999999996</v>
      </c>
      <c r="C197" s="59">
        <v>867251.90803172637</v>
      </c>
      <c r="D197" s="59">
        <v>811789.34713999974</v>
      </c>
      <c r="E197" s="59">
        <v>1396337.6354503415</v>
      </c>
      <c r="F197" s="59">
        <v>1016055.11158</v>
      </c>
      <c r="G197" s="59">
        <v>951424.98669742502</v>
      </c>
      <c r="H197" s="91">
        <v>0.72034003792186319</v>
      </c>
      <c r="I197" s="91">
        <v>-6.3608877260675989E-2</v>
      </c>
      <c r="J197" s="91">
        <v>0.37874847614429497</v>
      </c>
    </row>
    <row r="198" spans="1:10" x14ac:dyDescent="0.3">
      <c r="A198" s="87" t="s">
        <v>25</v>
      </c>
      <c r="B198" s="59">
        <v>503990.95999999996</v>
      </c>
      <c r="C198" s="59">
        <v>867251.90803172637</v>
      </c>
      <c r="D198" s="59">
        <v>811789.34713999974</v>
      </c>
      <c r="E198" s="59">
        <v>1396337.6354503415</v>
      </c>
      <c r="F198" s="59">
        <v>1016055.11158</v>
      </c>
      <c r="G198" s="59">
        <v>951424.98669742502</v>
      </c>
      <c r="H198" s="91">
        <v>0.72034003792186319</v>
      </c>
      <c r="I198" s="91">
        <v>-6.3608877260675989E-2</v>
      </c>
      <c r="J198" s="91">
        <v>0.37874847614429497</v>
      </c>
    </row>
    <row r="199" spans="1:10" x14ac:dyDescent="0.3">
      <c r="A199" s="88" t="s">
        <v>25</v>
      </c>
      <c r="B199" s="59">
        <v>503990.95999999996</v>
      </c>
      <c r="C199" s="59">
        <v>867251.90803172637</v>
      </c>
      <c r="D199" s="59">
        <v>811789.34713999974</v>
      </c>
      <c r="E199" s="59">
        <v>1396337.6354503415</v>
      </c>
      <c r="F199" s="59">
        <v>1016055.11158</v>
      </c>
      <c r="G199" s="59">
        <v>951424.98669742502</v>
      </c>
      <c r="H199" s="91">
        <v>0.72034003792186319</v>
      </c>
      <c r="I199" s="91">
        <v>-6.3608877260675989E-2</v>
      </c>
      <c r="J199" s="91">
        <v>0.37874847614429497</v>
      </c>
    </row>
    <row r="200" spans="1:10" x14ac:dyDescent="0.3">
      <c r="A200" s="89" t="s">
        <v>35</v>
      </c>
      <c r="B200" s="59">
        <v>0</v>
      </c>
      <c r="C200" s="59">
        <v>0</v>
      </c>
      <c r="D200" s="59">
        <v>296657.59499999991</v>
      </c>
      <c r="E200" s="59">
        <v>512762.1605255726</v>
      </c>
      <c r="F200" s="59">
        <v>847388.68500000006</v>
      </c>
      <c r="G200" s="59">
        <v>794224.79389202269</v>
      </c>
      <c r="H200" s="91">
        <v>0.7284646311703995</v>
      </c>
      <c r="I200" s="91">
        <v>-6.273849539066878E-2</v>
      </c>
      <c r="J200" s="91">
        <v>0.14242489772144107</v>
      </c>
    </row>
    <row r="201" spans="1:10" x14ac:dyDescent="0.3">
      <c r="A201" s="90">
        <v>44501</v>
      </c>
      <c r="B201" s="59">
        <v>0</v>
      </c>
      <c r="C201" s="59">
        <v>0</v>
      </c>
      <c r="D201" s="59">
        <v>24384.140940000001</v>
      </c>
      <c r="E201" s="59">
        <v>42147.125176264133</v>
      </c>
      <c r="F201" s="59">
        <v>69652.169620000001</v>
      </c>
      <c r="G201" s="59">
        <v>65282.297297345547</v>
      </c>
      <c r="H201" s="91">
        <v>0.72846463117039928</v>
      </c>
      <c r="I201" s="91">
        <v>-6.273849539066878E-2</v>
      </c>
      <c r="J201" s="91">
        <v>0.14242489772144129</v>
      </c>
    </row>
    <row r="202" spans="1:10" x14ac:dyDescent="0.3">
      <c r="A202" s="90">
        <v>44531</v>
      </c>
      <c r="B202" s="59">
        <v>0</v>
      </c>
      <c r="C202" s="59">
        <v>0</v>
      </c>
      <c r="D202" s="59">
        <v>24725.375789999998</v>
      </c>
      <c r="E202" s="59">
        <v>42736.937545411864</v>
      </c>
      <c r="F202" s="59">
        <v>70626.891170000003</v>
      </c>
      <c r="G202" s="59">
        <v>66195.866283873693</v>
      </c>
      <c r="H202" s="91">
        <v>0.72846463117039906</v>
      </c>
      <c r="I202" s="91">
        <v>-6.273849539066878E-2</v>
      </c>
      <c r="J202" s="91">
        <v>0.14242489772144107</v>
      </c>
    </row>
    <row r="203" spans="1:10" x14ac:dyDescent="0.3">
      <c r="A203" s="90">
        <v>44562</v>
      </c>
      <c r="B203" s="59">
        <v>0</v>
      </c>
      <c r="C203" s="59">
        <v>0</v>
      </c>
      <c r="D203" s="59">
        <v>25362.715799999998</v>
      </c>
      <c r="E203" s="59">
        <v>43838.557210726649</v>
      </c>
      <c r="F203" s="59">
        <v>72447.4234</v>
      </c>
      <c r="G203" s="59">
        <v>67902.181060953269</v>
      </c>
      <c r="H203" s="91">
        <v>0.72846463117039906</v>
      </c>
      <c r="I203" s="91">
        <v>-6.273849539066878E-2</v>
      </c>
      <c r="J203" s="91">
        <v>0.14242489772144107</v>
      </c>
    </row>
    <row r="204" spans="1:10" x14ac:dyDescent="0.3">
      <c r="A204" s="90">
        <v>44593</v>
      </c>
      <c r="B204" s="59">
        <v>0</v>
      </c>
      <c r="C204" s="59">
        <v>0</v>
      </c>
      <c r="D204" s="59">
        <v>23609.797050000001</v>
      </c>
      <c r="E204" s="59">
        <v>40808.699150036235</v>
      </c>
      <c r="F204" s="59">
        <v>67440.292150000008</v>
      </c>
      <c r="G204" s="59">
        <v>63209.189691801876</v>
      </c>
      <c r="H204" s="91">
        <v>0.72846463117039928</v>
      </c>
      <c r="I204" s="91">
        <v>-6.273849539066878E-2</v>
      </c>
      <c r="J204" s="91">
        <v>0.14242489772144107</v>
      </c>
    </row>
    <row r="205" spans="1:10" x14ac:dyDescent="0.3">
      <c r="A205" s="90">
        <v>44621</v>
      </c>
      <c r="B205" s="59">
        <v>0</v>
      </c>
      <c r="C205" s="59">
        <v>0</v>
      </c>
      <c r="D205" s="59">
        <v>28956.68793</v>
      </c>
      <c r="E205" s="59">
        <v>50050.6109228438</v>
      </c>
      <c r="F205" s="59">
        <v>82713.43839000001</v>
      </c>
      <c r="G205" s="59">
        <v>77524.121716822614</v>
      </c>
      <c r="H205" s="91">
        <v>0.72846463117039928</v>
      </c>
      <c r="I205" s="91">
        <v>-6.2738495390669002E-2</v>
      </c>
      <c r="J205" s="91">
        <v>0.14242489772144107</v>
      </c>
    </row>
    <row r="206" spans="1:10" x14ac:dyDescent="0.3">
      <c r="A206" s="90">
        <v>44652</v>
      </c>
      <c r="B206" s="59">
        <v>0</v>
      </c>
      <c r="C206" s="59">
        <v>0</v>
      </c>
      <c r="D206" s="59">
        <v>27272.526089999999</v>
      </c>
      <c r="E206" s="59">
        <v>47139.596749236938</v>
      </c>
      <c r="F206" s="59">
        <v>77902.708070000008</v>
      </c>
      <c r="G206" s="59">
        <v>73015.209378829692</v>
      </c>
      <c r="H206" s="91">
        <v>0.72846463117039928</v>
      </c>
      <c r="I206" s="91">
        <v>-6.2738495390668891E-2</v>
      </c>
      <c r="J206" s="91">
        <v>0.14242489772144107</v>
      </c>
    </row>
    <row r="207" spans="1:10" x14ac:dyDescent="0.3">
      <c r="A207" s="90">
        <v>44682</v>
      </c>
      <c r="B207" s="59">
        <v>0</v>
      </c>
      <c r="C207" s="59">
        <v>0</v>
      </c>
      <c r="D207" s="59">
        <v>24816.485069999999</v>
      </c>
      <c r="E207" s="59">
        <v>42894.416713463273</v>
      </c>
      <c r="F207" s="59">
        <v>70887.140610000002</v>
      </c>
      <c r="G207" s="59">
        <v>66439.78806558183</v>
      </c>
      <c r="H207" s="91">
        <v>0.7284646311703995</v>
      </c>
      <c r="I207" s="91">
        <v>-6.273849539066878E-2</v>
      </c>
      <c r="J207" s="91">
        <v>0.14242489772144129</v>
      </c>
    </row>
    <row r="208" spans="1:10" x14ac:dyDescent="0.3">
      <c r="A208" s="90">
        <v>44713</v>
      </c>
      <c r="B208" s="59">
        <v>0</v>
      </c>
      <c r="C208" s="59">
        <v>0</v>
      </c>
      <c r="D208" s="59">
        <v>23380.918979999999</v>
      </c>
      <c r="E208" s="59">
        <v>40413.091501190691</v>
      </c>
      <c r="F208" s="59">
        <v>66786.512539999996</v>
      </c>
      <c r="G208" s="59">
        <v>62596.427230850371</v>
      </c>
      <c r="H208" s="91">
        <v>0.7284646311703995</v>
      </c>
      <c r="I208" s="91">
        <v>-6.2738495390668669E-2</v>
      </c>
      <c r="J208" s="91">
        <v>0.14242489772144129</v>
      </c>
    </row>
    <row r="209" spans="1:10" x14ac:dyDescent="0.3">
      <c r="A209" s="90">
        <v>44743</v>
      </c>
      <c r="B209" s="59">
        <v>0</v>
      </c>
      <c r="C209" s="59">
        <v>0</v>
      </c>
      <c r="D209" s="59">
        <v>19915.366739999998</v>
      </c>
      <c r="E209" s="59">
        <v>34423.007026877334</v>
      </c>
      <c r="F209" s="59">
        <v>56887.323020000003</v>
      </c>
      <c r="G209" s="59">
        <v>53318.297966922248</v>
      </c>
      <c r="H209" s="91">
        <v>0.72846463117039928</v>
      </c>
      <c r="I209" s="91">
        <v>-6.273849539066878E-2</v>
      </c>
      <c r="J209" s="91">
        <v>0.14242489772144107</v>
      </c>
    </row>
    <row r="210" spans="1:10" x14ac:dyDescent="0.3">
      <c r="A210" s="90">
        <v>44774</v>
      </c>
      <c r="B210" s="59">
        <v>0</v>
      </c>
      <c r="C210" s="59">
        <v>0</v>
      </c>
      <c r="D210" s="59">
        <v>22851.00633</v>
      </c>
      <c r="E210" s="59">
        <v>39497.156228055916</v>
      </c>
      <c r="F210" s="59">
        <v>65272.841590000011</v>
      </c>
      <c r="G210" s="59">
        <v>61177.721718769935</v>
      </c>
      <c r="H210" s="91">
        <v>0.7284646311703995</v>
      </c>
      <c r="I210" s="91">
        <v>-6.2738495390668891E-2</v>
      </c>
      <c r="J210" s="91">
        <v>0.14242489772144107</v>
      </c>
    </row>
    <row r="211" spans="1:10" x14ac:dyDescent="0.3">
      <c r="A211" s="90">
        <v>44805</v>
      </c>
      <c r="B211" s="59">
        <v>0</v>
      </c>
      <c r="C211" s="59">
        <v>0</v>
      </c>
      <c r="D211" s="59">
        <v>25691.287139999997</v>
      </c>
      <c r="E211" s="59">
        <v>44406.481150732921</v>
      </c>
      <c r="F211" s="59">
        <v>73385.972219999996</v>
      </c>
      <c r="G211" s="59">
        <v>68781.846740135778</v>
      </c>
      <c r="H211" s="91">
        <v>0.7284646311703995</v>
      </c>
      <c r="I211" s="91">
        <v>-6.273849539066878E-2</v>
      </c>
      <c r="J211" s="91">
        <v>0.14242489772144129</v>
      </c>
    </row>
    <row r="212" spans="1:10" x14ac:dyDescent="0.3">
      <c r="A212" s="90">
        <v>44835</v>
      </c>
      <c r="B212" s="59">
        <v>0</v>
      </c>
      <c r="C212" s="59">
        <v>0</v>
      </c>
      <c r="D212" s="59">
        <v>25691.287139999997</v>
      </c>
      <c r="E212" s="59">
        <v>44406.481150732921</v>
      </c>
      <c r="F212" s="59">
        <v>73385.972219999996</v>
      </c>
      <c r="G212" s="59">
        <v>68781.846740135778</v>
      </c>
      <c r="H212" s="91">
        <v>0.7284646311703995</v>
      </c>
      <c r="I212" s="91">
        <v>-6.273849539066878E-2</v>
      </c>
      <c r="J212" s="91">
        <v>0.14242489772144129</v>
      </c>
    </row>
    <row r="213" spans="1:10" x14ac:dyDescent="0.3">
      <c r="A213" s="89" t="s">
        <v>25</v>
      </c>
      <c r="B213" s="59">
        <v>503990.95999999996</v>
      </c>
      <c r="C213" s="59">
        <v>867251.90803172637</v>
      </c>
      <c r="D213" s="59">
        <v>0</v>
      </c>
      <c r="E213" s="59">
        <v>0</v>
      </c>
      <c r="F213" s="59">
        <v>0</v>
      </c>
      <c r="G213" s="59">
        <v>0</v>
      </c>
      <c r="H213" s="91">
        <v>0.72076877734419398</v>
      </c>
      <c r="I213" s="91">
        <v>0</v>
      </c>
      <c r="J213" s="91">
        <v>0.72076877734419398</v>
      </c>
    </row>
    <row r="214" spans="1:10" x14ac:dyDescent="0.3">
      <c r="A214" s="90">
        <v>44501</v>
      </c>
      <c r="B214" s="59">
        <v>38388.68</v>
      </c>
      <c r="C214" s="59">
        <v>66058.041947457503</v>
      </c>
      <c r="D214" s="59">
        <v>0</v>
      </c>
      <c r="E214" s="59">
        <v>0</v>
      </c>
      <c r="F214" s="59">
        <v>0</v>
      </c>
      <c r="G214" s="59">
        <v>0</v>
      </c>
      <c r="H214" s="91">
        <v>0.72076877734419376</v>
      </c>
      <c r="I214" s="91">
        <v>0</v>
      </c>
      <c r="J214" s="91">
        <v>0.72076877734419376</v>
      </c>
    </row>
    <row r="215" spans="1:10" x14ac:dyDescent="0.3">
      <c r="A215" s="90">
        <v>44531</v>
      </c>
      <c r="B215" s="59">
        <v>38350.840000000004</v>
      </c>
      <c r="C215" s="59">
        <v>65992.928056922799</v>
      </c>
      <c r="D215" s="59">
        <v>0</v>
      </c>
      <c r="E215" s="59">
        <v>0</v>
      </c>
      <c r="F215" s="59">
        <v>0</v>
      </c>
      <c r="G215" s="59">
        <v>0</v>
      </c>
      <c r="H215" s="91">
        <v>0.72076877734419353</v>
      </c>
      <c r="I215" s="91">
        <v>0</v>
      </c>
      <c r="J215" s="91">
        <v>0.72076877734419353</v>
      </c>
    </row>
    <row r="216" spans="1:10" x14ac:dyDescent="0.3">
      <c r="A216" s="90">
        <v>44562</v>
      </c>
      <c r="B216" s="59">
        <v>47110.8</v>
      </c>
      <c r="C216" s="59">
        <v>81066.793715706823</v>
      </c>
      <c r="D216" s="59">
        <v>0</v>
      </c>
      <c r="E216" s="59">
        <v>0</v>
      </c>
      <c r="F216" s="59">
        <v>0</v>
      </c>
      <c r="G216" s="59">
        <v>0</v>
      </c>
      <c r="H216" s="91">
        <v>0.72076877734419331</v>
      </c>
      <c r="I216" s="91">
        <v>0</v>
      </c>
      <c r="J216" s="91">
        <v>0.72076877734419331</v>
      </c>
    </row>
    <row r="217" spans="1:10" x14ac:dyDescent="0.3">
      <c r="A217" s="90">
        <v>44593</v>
      </c>
      <c r="B217" s="59">
        <v>41775.360000000001</v>
      </c>
      <c r="C217" s="59">
        <v>71885.735150313529</v>
      </c>
      <c r="D217" s="59">
        <v>0</v>
      </c>
      <c r="E217" s="59">
        <v>0</v>
      </c>
      <c r="F217" s="59">
        <v>0</v>
      </c>
      <c r="G217" s="59">
        <v>0</v>
      </c>
      <c r="H217" s="91">
        <v>0.72076877734419353</v>
      </c>
      <c r="I217" s="91">
        <v>0</v>
      </c>
      <c r="J217" s="91">
        <v>0.72076877734419353</v>
      </c>
    </row>
    <row r="218" spans="1:10" x14ac:dyDescent="0.3">
      <c r="A218" s="90">
        <v>44621</v>
      </c>
      <c r="B218" s="59">
        <v>41851.040000000001</v>
      </c>
      <c r="C218" s="59">
        <v>72015.962931382935</v>
      </c>
      <c r="D218" s="59">
        <v>0</v>
      </c>
      <c r="E218" s="59">
        <v>0</v>
      </c>
      <c r="F218" s="59">
        <v>0</v>
      </c>
      <c r="G218" s="59">
        <v>0</v>
      </c>
      <c r="H218" s="91">
        <v>0.72076877734419353</v>
      </c>
      <c r="I218" s="91">
        <v>0</v>
      </c>
      <c r="J218" s="91">
        <v>0.72076877734419353</v>
      </c>
    </row>
    <row r="219" spans="1:10" x14ac:dyDescent="0.3">
      <c r="A219" s="90">
        <v>44652</v>
      </c>
      <c r="B219" s="59">
        <v>42986.240000000005</v>
      </c>
      <c r="C219" s="59">
        <v>73969.379647424066</v>
      </c>
      <c r="D219" s="59">
        <v>0</v>
      </c>
      <c r="E219" s="59">
        <v>0</v>
      </c>
      <c r="F219" s="59">
        <v>0</v>
      </c>
      <c r="G219" s="59">
        <v>0</v>
      </c>
      <c r="H219" s="91">
        <v>0.72076877734419331</v>
      </c>
      <c r="I219" s="91">
        <v>0</v>
      </c>
      <c r="J219" s="91">
        <v>0.72076877734419331</v>
      </c>
    </row>
    <row r="220" spans="1:10" x14ac:dyDescent="0.3">
      <c r="A220" s="90">
        <v>44682</v>
      </c>
      <c r="B220" s="59">
        <v>44007.920000000006</v>
      </c>
      <c r="C220" s="59">
        <v>75727.454691861087</v>
      </c>
      <c r="D220" s="59">
        <v>0</v>
      </c>
      <c r="E220" s="59">
        <v>0</v>
      </c>
      <c r="F220" s="59">
        <v>0</v>
      </c>
      <c r="G220" s="59">
        <v>0</v>
      </c>
      <c r="H220" s="91">
        <v>0.72076877734419353</v>
      </c>
      <c r="I220" s="91">
        <v>0</v>
      </c>
      <c r="J220" s="91">
        <v>0.72076877734419353</v>
      </c>
    </row>
    <row r="221" spans="1:10" x14ac:dyDescent="0.3">
      <c r="A221" s="90">
        <v>44713</v>
      </c>
      <c r="B221" s="59">
        <v>43856.560000000005</v>
      </c>
      <c r="C221" s="59">
        <v>75466.999129722259</v>
      </c>
      <c r="D221" s="59">
        <v>0</v>
      </c>
      <c r="E221" s="59">
        <v>0</v>
      </c>
      <c r="F221" s="59">
        <v>0</v>
      </c>
      <c r="G221" s="59">
        <v>0</v>
      </c>
      <c r="H221" s="91">
        <v>0.72076877734419331</v>
      </c>
      <c r="I221" s="91">
        <v>0</v>
      </c>
      <c r="J221" s="91">
        <v>0.72076877734419331</v>
      </c>
    </row>
    <row r="222" spans="1:10" x14ac:dyDescent="0.3">
      <c r="A222" s="90">
        <v>44743</v>
      </c>
      <c r="B222" s="59">
        <v>40753.68</v>
      </c>
      <c r="C222" s="59">
        <v>70127.660105876508</v>
      </c>
      <c r="D222" s="59">
        <v>0</v>
      </c>
      <c r="E222" s="59">
        <v>0</v>
      </c>
      <c r="F222" s="59">
        <v>0</v>
      </c>
      <c r="G222" s="59">
        <v>0</v>
      </c>
      <c r="H222" s="91">
        <v>0.72076877734419331</v>
      </c>
      <c r="I222" s="91">
        <v>0</v>
      </c>
      <c r="J222" s="91">
        <v>0.72076877734419331</v>
      </c>
    </row>
    <row r="223" spans="1:10" x14ac:dyDescent="0.3">
      <c r="A223" s="90">
        <v>44774</v>
      </c>
      <c r="B223" s="59">
        <v>41094.240000000005</v>
      </c>
      <c r="C223" s="59">
        <v>70713.685120688839</v>
      </c>
      <c r="D223" s="59">
        <v>0</v>
      </c>
      <c r="E223" s="59">
        <v>0</v>
      </c>
      <c r="F223" s="59">
        <v>0</v>
      </c>
      <c r="G223" s="59">
        <v>0</v>
      </c>
      <c r="H223" s="91">
        <v>0.72076877734419309</v>
      </c>
      <c r="I223" s="91">
        <v>0</v>
      </c>
      <c r="J223" s="91">
        <v>0.72076877734419309</v>
      </c>
    </row>
    <row r="224" spans="1:10" x14ac:dyDescent="0.3">
      <c r="A224" s="90">
        <v>44805</v>
      </c>
      <c r="B224" s="59">
        <v>41907.800000000003</v>
      </c>
      <c r="C224" s="59">
        <v>72113.633767184991</v>
      </c>
      <c r="D224" s="59">
        <v>0</v>
      </c>
      <c r="E224" s="59">
        <v>0</v>
      </c>
      <c r="F224" s="59">
        <v>0</v>
      </c>
      <c r="G224" s="59">
        <v>0</v>
      </c>
      <c r="H224" s="91">
        <v>0.72076877734419331</v>
      </c>
      <c r="I224" s="91">
        <v>0</v>
      </c>
      <c r="J224" s="91">
        <v>0.72076877734419331</v>
      </c>
    </row>
    <row r="225" spans="1:10" x14ac:dyDescent="0.3">
      <c r="A225" s="90">
        <v>44835</v>
      </c>
      <c r="B225" s="59">
        <v>41907.800000000003</v>
      </c>
      <c r="C225" s="59">
        <v>72113.633767184991</v>
      </c>
      <c r="D225" s="59">
        <v>0</v>
      </c>
      <c r="E225" s="59">
        <v>0</v>
      </c>
      <c r="F225" s="59">
        <v>0</v>
      </c>
      <c r="G225" s="59">
        <v>0</v>
      </c>
      <c r="H225" s="91">
        <v>0.72076877734419331</v>
      </c>
      <c r="I225" s="91">
        <v>0</v>
      </c>
      <c r="J225" s="91">
        <v>0.72076877734419331</v>
      </c>
    </row>
    <row r="226" spans="1:10" x14ac:dyDescent="0.3">
      <c r="A226" s="89" t="s">
        <v>34</v>
      </c>
      <c r="B226" s="59">
        <v>0</v>
      </c>
      <c r="C226" s="59">
        <v>0</v>
      </c>
      <c r="D226" s="59">
        <v>515131.75213999994</v>
      </c>
      <c r="E226" s="59">
        <v>883575.47492476879</v>
      </c>
      <c r="F226" s="59">
        <v>168666.42658000003</v>
      </c>
      <c r="G226" s="59">
        <v>157200.19280540256</v>
      </c>
      <c r="H226" s="91">
        <v>0.71524172457657942</v>
      </c>
      <c r="I226" s="91">
        <v>-6.7981719937363572E-2</v>
      </c>
      <c r="J226" s="91">
        <v>0.52205095029412996</v>
      </c>
    </row>
    <row r="227" spans="1:10" x14ac:dyDescent="0.3">
      <c r="A227" s="90">
        <v>44501</v>
      </c>
      <c r="B227" s="59">
        <v>0</v>
      </c>
      <c r="C227" s="59">
        <v>0</v>
      </c>
      <c r="D227" s="59">
        <v>40690.167139999998</v>
      </c>
      <c r="E227" s="59">
        <v>69793.472458522883</v>
      </c>
      <c r="F227" s="59">
        <v>13322.93158</v>
      </c>
      <c r="G227" s="59">
        <v>12417.215776583784</v>
      </c>
      <c r="H227" s="91">
        <v>0.71524172457658008</v>
      </c>
      <c r="I227" s="91">
        <v>-6.7981719937363572E-2</v>
      </c>
      <c r="J227" s="91">
        <v>0.5220509502941304</v>
      </c>
    </row>
    <row r="228" spans="1:10" x14ac:dyDescent="0.3">
      <c r="A228" s="90">
        <v>44531</v>
      </c>
      <c r="B228" s="59">
        <v>0</v>
      </c>
      <c r="C228" s="59">
        <v>0</v>
      </c>
      <c r="D228" s="59">
        <v>39170.279920000001</v>
      </c>
      <c r="E228" s="59">
        <v>67186.498482128169</v>
      </c>
      <c r="F228" s="59">
        <v>12825.284240000001</v>
      </c>
      <c r="G228" s="59">
        <v>11953.399358679235</v>
      </c>
      <c r="H228" s="91">
        <v>0.71524172457657964</v>
      </c>
      <c r="I228" s="91">
        <v>-6.7981719937363794E-2</v>
      </c>
      <c r="J228" s="91">
        <v>0.52205095029412996</v>
      </c>
    </row>
    <row r="229" spans="1:10" x14ac:dyDescent="0.3">
      <c r="A229" s="90">
        <v>44562</v>
      </c>
      <c r="B229" s="59">
        <v>0</v>
      </c>
      <c r="C229" s="59">
        <v>0</v>
      </c>
      <c r="D229" s="59">
        <v>34996.868119999999</v>
      </c>
      <c r="E229" s="59">
        <v>60028.088428927927</v>
      </c>
      <c r="F229" s="59">
        <v>11458.809640000003</v>
      </c>
      <c r="G229" s="59">
        <v>10679.820052237959</v>
      </c>
      <c r="H229" s="91">
        <v>0.71524172457657986</v>
      </c>
      <c r="I229" s="91">
        <v>-6.7981719937363683E-2</v>
      </c>
      <c r="J229" s="91">
        <v>0.52205095029412996</v>
      </c>
    </row>
    <row r="230" spans="1:10" x14ac:dyDescent="0.3">
      <c r="A230" s="90">
        <v>44593</v>
      </c>
      <c r="B230" s="59">
        <v>0</v>
      </c>
      <c r="C230" s="59">
        <v>0</v>
      </c>
      <c r="D230" s="59">
        <v>39346.065459999998</v>
      </c>
      <c r="E230" s="59">
        <v>67488.013174913387</v>
      </c>
      <c r="F230" s="59">
        <v>12882.840619999999</v>
      </c>
      <c r="G230" s="59">
        <v>12007.042956973468</v>
      </c>
      <c r="H230" s="91">
        <v>0.71524172457657964</v>
      </c>
      <c r="I230" s="91">
        <v>-6.7981719937363572E-2</v>
      </c>
      <c r="J230" s="91">
        <v>0.52205095029412973</v>
      </c>
    </row>
    <row r="231" spans="1:10" x14ac:dyDescent="0.3">
      <c r="A231" s="90">
        <v>44621</v>
      </c>
      <c r="B231" s="59">
        <v>0</v>
      </c>
      <c r="C231" s="59">
        <v>0</v>
      </c>
      <c r="D231" s="59">
        <v>54193.366579999994</v>
      </c>
      <c r="E231" s="59">
        <v>92954.723553289979</v>
      </c>
      <c r="F231" s="59">
        <v>17744.201260000002</v>
      </c>
      <c r="G231" s="59">
        <v>16537.919939430467</v>
      </c>
      <c r="H231" s="91">
        <v>0.71524172457657986</v>
      </c>
      <c r="I231" s="91">
        <v>-6.7981719937363572E-2</v>
      </c>
      <c r="J231" s="91">
        <v>0.52205095029412996</v>
      </c>
    </row>
    <row r="232" spans="1:10" x14ac:dyDescent="0.3">
      <c r="A232" s="90">
        <v>44652</v>
      </c>
      <c r="B232" s="59">
        <v>0</v>
      </c>
      <c r="C232" s="59">
        <v>0</v>
      </c>
      <c r="D232" s="59">
        <v>47311.422479999994</v>
      </c>
      <c r="E232" s="59">
        <v>81150.525886766365</v>
      </c>
      <c r="F232" s="59">
        <v>15490.888560000001</v>
      </c>
      <c r="G232" s="59">
        <v>14437.791312333169</v>
      </c>
      <c r="H232" s="91">
        <v>0.71524172457658008</v>
      </c>
      <c r="I232" s="91">
        <v>-6.7981719937363794E-2</v>
      </c>
      <c r="J232" s="91">
        <v>0.52205095029413018</v>
      </c>
    </row>
    <row r="233" spans="1:10" x14ac:dyDescent="0.3">
      <c r="A233" s="90">
        <v>44682</v>
      </c>
      <c r="B233" s="59">
        <v>0</v>
      </c>
      <c r="C233" s="59">
        <v>0</v>
      </c>
      <c r="D233" s="59">
        <v>45670.757439999994</v>
      </c>
      <c r="E233" s="59">
        <v>78336.388754104264</v>
      </c>
      <c r="F233" s="59">
        <v>14953.695680000001</v>
      </c>
      <c r="G233" s="59">
        <v>13937.117728253677</v>
      </c>
      <c r="H233" s="91">
        <v>0.71524172457658008</v>
      </c>
      <c r="I233" s="91">
        <v>-6.7981719937363572E-2</v>
      </c>
      <c r="J233" s="91">
        <v>0.5220509502941304</v>
      </c>
    </row>
    <row r="234" spans="1:10" x14ac:dyDescent="0.3">
      <c r="A234" s="90">
        <v>44713</v>
      </c>
      <c r="B234" s="59">
        <v>0</v>
      </c>
      <c r="C234" s="59">
        <v>0</v>
      </c>
      <c r="D234" s="59">
        <v>46211.268080000002</v>
      </c>
      <c r="E234" s="59">
        <v>79263.495156409859</v>
      </c>
      <c r="F234" s="59">
        <v>15130.671760000001</v>
      </c>
      <c r="G234" s="59">
        <v>14102.062669947503</v>
      </c>
      <c r="H234" s="91">
        <v>0.71524172457657986</v>
      </c>
      <c r="I234" s="91">
        <v>-6.7981719937363683E-2</v>
      </c>
      <c r="J234" s="91">
        <v>0.52205095029413018</v>
      </c>
    </row>
    <row r="235" spans="1:10" x14ac:dyDescent="0.3">
      <c r="A235" s="90">
        <v>44743</v>
      </c>
      <c r="B235" s="59">
        <v>0</v>
      </c>
      <c r="C235" s="59">
        <v>0</v>
      </c>
      <c r="D235" s="59">
        <v>33249.775099999999</v>
      </c>
      <c r="E235" s="59">
        <v>57031.401584307423</v>
      </c>
      <c r="F235" s="59">
        <v>10886.769700000001</v>
      </c>
      <c r="G235" s="59">
        <v>10146.668371232025</v>
      </c>
      <c r="H235" s="91">
        <v>0.71524172457657986</v>
      </c>
      <c r="I235" s="91">
        <v>-6.7981719937363572E-2</v>
      </c>
      <c r="J235" s="91">
        <v>0.52205095029413018</v>
      </c>
    </row>
    <row r="236" spans="1:10" x14ac:dyDescent="0.3">
      <c r="A236" s="90">
        <v>44774</v>
      </c>
      <c r="B236" s="59">
        <v>0</v>
      </c>
      <c r="C236" s="59">
        <v>0</v>
      </c>
      <c r="D236" s="59">
        <v>44225.011059999997</v>
      </c>
      <c r="E236" s="59">
        <v>75856.584239972712</v>
      </c>
      <c r="F236" s="59">
        <v>14480.323820000001</v>
      </c>
      <c r="G236" s="59">
        <v>13495.926501466423</v>
      </c>
      <c r="H236" s="91">
        <v>0.71524172457657986</v>
      </c>
      <c r="I236" s="91">
        <v>-6.7981719937363794E-2</v>
      </c>
      <c r="J236" s="91">
        <v>0.52205095029413018</v>
      </c>
    </row>
    <row r="237" spans="1:10" x14ac:dyDescent="0.3">
      <c r="A237" s="90">
        <v>44805</v>
      </c>
      <c r="B237" s="59">
        <v>0</v>
      </c>
      <c r="C237" s="59">
        <v>0</v>
      </c>
      <c r="D237" s="59">
        <v>45033.38538</v>
      </c>
      <c r="E237" s="59">
        <v>77243.141602712945</v>
      </c>
      <c r="F237" s="59">
        <v>14745.004860000001</v>
      </c>
      <c r="G237" s="59">
        <v>13742.614069132414</v>
      </c>
      <c r="H237" s="91">
        <v>0.71524172457658008</v>
      </c>
      <c r="I237" s="91">
        <v>-6.7981719937363683E-2</v>
      </c>
      <c r="J237" s="91">
        <v>0.52205095029413018</v>
      </c>
    </row>
    <row r="238" spans="1:10" x14ac:dyDescent="0.3">
      <c r="A238" s="90">
        <v>44835</v>
      </c>
      <c r="B238" s="59">
        <v>0</v>
      </c>
      <c r="C238" s="59">
        <v>0</v>
      </c>
      <c r="D238" s="59">
        <v>45033.38538</v>
      </c>
      <c r="E238" s="59">
        <v>77243.141602712945</v>
      </c>
      <c r="F238" s="59">
        <v>14745.004860000001</v>
      </c>
      <c r="G238" s="59">
        <v>13742.614069132414</v>
      </c>
      <c r="H238" s="91">
        <v>0.71524172457658008</v>
      </c>
      <c r="I238" s="91">
        <v>-6.7981719937363683E-2</v>
      </c>
      <c r="J238" s="91">
        <v>0.52205095029413018</v>
      </c>
    </row>
    <row r="239" spans="1:10" x14ac:dyDescent="0.3">
      <c r="A239" s="85" t="s">
        <v>38</v>
      </c>
      <c r="B239" s="59">
        <v>949935.3600000001</v>
      </c>
      <c r="C239" s="59">
        <v>1634619.1079832164</v>
      </c>
      <c r="D239" s="59">
        <v>1040528.66633</v>
      </c>
      <c r="E239" s="59">
        <v>1794770.5774703738</v>
      </c>
      <c r="F239" s="59">
        <v>2255676.9313500002</v>
      </c>
      <c r="G239" s="59">
        <v>2113672.7492720997</v>
      </c>
      <c r="H239" s="91">
        <v>0.72290965327148715</v>
      </c>
      <c r="I239" s="91">
        <v>-6.2954131464611596E-2</v>
      </c>
      <c r="J239" s="91">
        <v>0.30543533292269665</v>
      </c>
    </row>
    <row r="240" spans="1:10" x14ac:dyDescent="0.3">
      <c r="A240" s="86" t="s">
        <v>25</v>
      </c>
      <c r="B240" s="59">
        <v>949935.3600000001</v>
      </c>
      <c r="C240" s="59">
        <v>1634619.1079832164</v>
      </c>
      <c r="D240" s="59">
        <v>1040528.66633</v>
      </c>
      <c r="E240" s="59">
        <v>1794770.5774703738</v>
      </c>
      <c r="F240" s="59">
        <v>2255676.9313500002</v>
      </c>
      <c r="G240" s="59">
        <v>2113672.7492720997</v>
      </c>
      <c r="H240" s="91">
        <v>0.72290965327148715</v>
      </c>
      <c r="I240" s="91">
        <v>-6.2954131464611596E-2</v>
      </c>
      <c r="J240" s="91">
        <v>0.30543533292269665</v>
      </c>
    </row>
    <row r="241" spans="1:10" x14ac:dyDescent="0.3">
      <c r="A241" s="87" t="s">
        <v>25</v>
      </c>
      <c r="B241" s="59">
        <v>949935.3600000001</v>
      </c>
      <c r="C241" s="59">
        <v>1634619.1079832164</v>
      </c>
      <c r="D241" s="59">
        <v>1040528.66633</v>
      </c>
      <c r="E241" s="59">
        <v>1794770.5774703738</v>
      </c>
      <c r="F241" s="59">
        <v>2255676.9313500002</v>
      </c>
      <c r="G241" s="59">
        <v>2113672.7492720997</v>
      </c>
      <c r="H241" s="91">
        <v>0.72290965327148715</v>
      </c>
      <c r="I241" s="91">
        <v>-6.2954131464611596E-2</v>
      </c>
      <c r="J241" s="91">
        <v>0.30543533292269665</v>
      </c>
    </row>
    <row r="242" spans="1:10" x14ac:dyDescent="0.3">
      <c r="A242" s="88" t="s">
        <v>25</v>
      </c>
      <c r="B242" s="59">
        <v>949935.3600000001</v>
      </c>
      <c r="C242" s="59">
        <v>1634619.1079832164</v>
      </c>
      <c r="D242" s="59">
        <v>1040528.66633</v>
      </c>
      <c r="E242" s="59">
        <v>1794770.5774703738</v>
      </c>
      <c r="F242" s="59">
        <v>2255676.9313500002</v>
      </c>
      <c r="G242" s="59">
        <v>2113672.7492720997</v>
      </c>
      <c r="H242" s="91">
        <v>0.72290965327148715</v>
      </c>
      <c r="I242" s="91">
        <v>-6.2954131464611596E-2</v>
      </c>
      <c r="J242" s="91">
        <v>0.30543533292269665</v>
      </c>
    </row>
    <row r="243" spans="1:10" x14ac:dyDescent="0.3">
      <c r="A243" s="89" t="s">
        <v>35</v>
      </c>
      <c r="B243" s="59">
        <v>0</v>
      </c>
      <c r="C243" s="59">
        <v>0</v>
      </c>
      <c r="D243" s="59">
        <v>757200.6420900001</v>
      </c>
      <c r="E243" s="59">
        <v>1308794.5285520812</v>
      </c>
      <c r="F243" s="59">
        <v>2162908.5760700004</v>
      </c>
      <c r="G243" s="59">
        <v>2027210.9463397944</v>
      </c>
      <c r="H243" s="91">
        <v>0.72846463117039884</v>
      </c>
      <c r="I243" s="91">
        <v>-6.2738495390669002E-2</v>
      </c>
      <c r="J243" s="91">
        <v>0.14242489772144085</v>
      </c>
    </row>
    <row r="244" spans="1:10" x14ac:dyDescent="0.3">
      <c r="A244" s="90">
        <v>44501</v>
      </c>
      <c r="B244" s="59">
        <v>0</v>
      </c>
      <c r="C244" s="59">
        <v>0</v>
      </c>
      <c r="D244" s="59">
        <v>72312.041700000002</v>
      </c>
      <c r="E244" s="59">
        <v>124988.80648616904</v>
      </c>
      <c r="F244" s="59">
        <v>206555.99910000002</v>
      </c>
      <c r="G244" s="59">
        <v>193596.9865025497</v>
      </c>
      <c r="H244" s="91">
        <v>0.72846463117039928</v>
      </c>
      <c r="I244" s="91">
        <v>-6.2738495390668669E-2</v>
      </c>
      <c r="J244" s="91">
        <v>0.14242489772144129</v>
      </c>
    </row>
    <row r="245" spans="1:10" x14ac:dyDescent="0.3">
      <c r="A245" s="90">
        <v>44531</v>
      </c>
      <c r="B245" s="59">
        <v>0</v>
      </c>
      <c r="C245" s="59">
        <v>0</v>
      </c>
      <c r="D245" s="59">
        <v>63944.011289999995</v>
      </c>
      <c r="E245" s="59">
        <v>110524.9618899257</v>
      </c>
      <c r="F245" s="59">
        <v>182653.10767</v>
      </c>
      <c r="G245" s="59">
        <v>171193.72651635439</v>
      </c>
      <c r="H245" s="91">
        <v>0.7284646311703995</v>
      </c>
      <c r="I245" s="91">
        <v>-6.2738495390668669E-2</v>
      </c>
      <c r="J245" s="91">
        <v>0.14242489772144151</v>
      </c>
    </row>
    <row r="246" spans="1:10" x14ac:dyDescent="0.3">
      <c r="A246" s="90">
        <v>44562</v>
      </c>
      <c r="B246" s="59">
        <v>0</v>
      </c>
      <c r="C246" s="59">
        <v>0</v>
      </c>
      <c r="D246" s="59">
        <v>62058.848099999996</v>
      </c>
      <c r="E246" s="59">
        <v>107266.52399202633</v>
      </c>
      <c r="F246" s="59">
        <v>177268.22630000001</v>
      </c>
      <c r="G246" s="59">
        <v>166146.68450136541</v>
      </c>
      <c r="H246" s="91">
        <v>0.72846463117039928</v>
      </c>
      <c r="I246" s="91">
        <v>-6.2738495390668891E-2</v>
      </c>
      <c r="J246" s="91">
        <v>0.14242489772144107</v>
      </c>
    </row>
    <row r="247" spans="1:10" x14ac:dyDescent="0.3">
      <c r="A247" s="90">
        <v>44593</v>
      </c>
      <c r="B247" s="59">
        <v>0</v>
      </c>
      <c r="C247" s="59">
        <v>0</v>
      </c>
      <c r="D247" s="59">
        <v>63771.906539999996</v>
      </c>
      <c r="E247" s="59">
        <v>110227.48491669427</v>
      </c>
      <c r="F247" s="59">
        <v>182161.49841999999</v>
      </c>
      <c r="G247" s="59">
        <v>170732.96009101949</v>
      </c>
      <c r="H247" s="91">
        <v>0.72846463117039928</v>
      </c>
      <c r="I247" s="91">
        <v>-6.2738495390668891E-2</v>
      </c>
      <c r="J247" s="91">
        <v>0.14242489772144107</v>
      </c>
    </row>
    <row r="248" spans="1:10" x14ac:dyDescent="0.3">
      <c r="A248" s="90">
        <v>44621</v>
      </c>
      <c r="B248" s="59">
        <v>0</v>
      </c>
      <c r="C248" s="59">
        <v>0</v>
      </c>
      <c r="D248" s="59">
        <v>74869.305810000005</v>
      </c>
      <c r="E248" s="59">
        <v>129408.94705286548</v>
      </c>
      <c r="F248" s="59">
        <v>213860.70563000001</v>
      </c>
      <c r="G248" s="59">
        <v>200443.40673558708</v>
      </c>
      <c r="H248" s="91">
        <v>0.72846463117039906</v>
      </c>
      <c r="I248" s="91">
        <v>-6.273849539066878E-2</v>
      </c>
      <c r="J248" s="91">
        <v>0.14242489772144107</v>
      </c>
    </row>
    <row r="249" spans="1:10" x14ac:dyDescent="0.3">
      <c r="A249" s="90">
        <v>44652</v>
      </c>
      <c r="B249" s="59">
        <v>0</v>
      </c>
      <c r="C249" s="59">
        <v>0</v>
      </c>
      <c r="D249" s="59">
        <v>66073.69071000001</v>
      </c>
      <c r="E249" s="59">
        <v>114206.03744312719</v>
      </c>
      <c r="F249" s="59">
        <v>188736.43833</v>
      </c>
      <c r="G249" s="59">
        <v>176895.39816378208</v>
      </c>
      <c r="H249" s="91">
        <v>0.72846463117039906</v>
      </c>
      <c r="I249" s="91">
        <v>-6.2738495390668669E-2</v>
      </c>
      <c r="J249" s="91">
        <v>0.14242489772144129</v>
      </c>
    </row>
    <row r="250" spans="1:10" x14ac:dyDescent="0.3">
      <c r="A250" s="90">
        <v>44682</v>
      </c>
      <c r="B250" s="59">
        <v>0</v>
      </c>
      <c r="C250" s="59">
        <v>0</v>
      </c>
      <c r="D250" s="59">
        <v>57296.858399999997</v>
      </c>
      <c r="E250" s="59">
        <v>99035.593221578587</v>
      </c>
      <c r="F250" s="59">
        <v>163665.82319999998</v>
      </c>
      <c r="G250" s="59">
        <v>153397.67570555679</v>
      </c>
      <c r="H250" s="91">
        <v>0.72846463117039928</v>
      </c>
      <c r="I250" s="91">
        <v>-6.2738495390668669E-2</v>
      </c>
      <c r="J250" s="91">
        <v>0.14242489772144129</v>
      </c>
    </row>
    <row r="251" spans="1:10" x14ac:dyDescent="0.3">
      <c r="A251" s="90">
        <v>44713</v>
      </c>
      <c r="B251" s="59">
        <v>0</v>
      </c>
      <c r="C251" s="59">
        <v>0</v>
      </c>
      <c r="D251" s="59">
        <v>54494.228159999999</v>
      </c>
      <c r="E251" s="59">
        <v>94191.345977489997</v>
      </c>
      <c r="F251" s="59">
        <v>155660.23968000003</v>
      </c>
      <c r="G251" s="59">
        <v>145894.35045032593</v>
      </c>
      <c r="H251" s="91">
        <v>0.7284646311703995</v>
      </c>
      <c r="I251" s="91">
        <v>-6.2738495390668891E-2</v>
      </c>
      <c r="J251" s="91">
        <v>0.14242489772144129</v>
      </c>
    </row>
    <row r="252" spans="1:10" x14ac:dyDescent="0.3">
      <c r="A252" s="90">
        <v>44743</v>
      </c>
      <c r="B252" s="59">
        <v>0</v>
      </c>
      <c r="C252" s="59">
        <v>0</v>
      </c>
      <c r="D252" s="59">
        <v>54067.918319999997</v>
      </c>
      <c r="E252" s="59">
        <v>93454.484497130077</v>
      </c>
      <c r="F252" s="59">
        <v>154442.50536000001</v>
      </c>
      <c r="G252" s="59">
        <v>144753.01494934829</v>
      </c>
      <c r="H252" s="91">
        <v>0.7284646311703995</v>
      </c>
      <c r="I252" s="91">
        <v>-6.2738495390668891E-2</v>
      </c>
      <c r="J252" s="91">
        <v>0.14242489772144129</v>
      </c>
    </row>
    <row r="253" spans="1:10" x14ac:dyDescent="0.3">
      <c r="A253" s="90">
        <v>44774</v>
      </c>
      <c r="B253" s="59">
        <v>0</v>
      </c>
      <c r="C253" s="59">
        <v>0</v>
      </c>
      <c r="D253" s="59">
        <v>63763.407539999993</v>
      </c>
      <c r="E253" s="59">
        <v>110212.79469579394</v>
      </c>
      <c r="F253" s="59">
        <v>182137.22142000002</v>
      </c>
      <c r="G253" s="59">
        <v>170710.20619347211</v>
      </c>
      <c r="H253" s="91">
        <v>0.72846463117039928</v>
      </c>
      <c r="I253" s="91">
        <v>-6.2738495390668891E-2</v>
      </c>
      <c r="J253" s="91">
        <v>0.14242489772144107</v>
      </c>
    </row>
    <row r="254" spans="1:10" x14ac:dyDescent="0.3">
      <c r="A254" s="90">
        <v>44805</v>
      </c>
      <c r="B254" s="59">
        <v>0</v>
      </c>
      <c r="C254" s="59">
        <v>0</v>
      </c>
      <c r="D254" s="59">
        <v>62274.212759999995</v>
      </c>
      <c r="E254" s="59">
        <v>107638.77418964036</v>
      </c>
      <c r="F254" s="59">
        <v>177883.40547999999</v>
      </c>
      <c r="G254" s="59">
        <v>166723.26826521655</v>
      </c>
      <c r="H254" s="91">
        <v>0.72846463117039928</v>
      </c>
      <c r="I254" s="91">
        <v>-6.2738495390668669E-2</v>
      </c>
      <c r="J254" s="91">
        <v>0.14242489772144129</v>
      </c>
    </row>
    <row r="255" spans="1:10" x14ac:dyDescent="0.3">
      <c r="A255" s="90">
        <v>44835</v>
      </c>
      <c r="B255" s="59">
        <v>0</v>
      </c>
      <c r="C255" s="59">
        <v>0</v>
      </c>
      <c r="D255" s="59">
        <v>62274.212759999995</v>
      </c>
      <c r="E255" s="59">
        <v>107638.77418964036</v>
      </c>
      <c r="F255" s="59">
        <v>177883.40547999999</v>
      </c>
      <c r="G255" s="59">
        <v>166723.26826521655</v>
      </c>
      <c r="H255" s="91">
        <v>0.72846463117039928</v>
      </c>
      <c r="I255" s="91">
        <v>-6.2738495390668669E-2</v>
      </c>
      <c r="J255" s="91">
        <v>0.14242489772144129</v>
      </c>
    </row>
    <row r="256" spans="1:10" x14ac:dyDescent="0.3">
      <c r="A256" s="89" t="s">
        <v>25</v>
      </c>
      <c r="B256" s="59">
        <v>949935.3600000001</v>
      </c>
      <c r="C256" s="59">
        <v>1634619.1079832164</v>
      </c>
      <c r="D256" s="59">
        <v>0</v>
      </c>
      <c r="E256" s="59">
        <v>0</v>
      </c>
      <c r="F256" s="59">
        <v>0</v>
      </c>
      <c r="G256" s="59">
        <v>0</v>
      </c>
      <c r="H256" s="91">
        <v>0.7207687773441922</v>
      </c>
      <c r="I256" s="91">
        <v>0</v>
      </c>
      <c r="J256" s="91">
        <v>0.7207687773441922</v>
      </c>
    </row>
    <row r="257" spans="1:10" x14ac:dyDescent="0.3">
      <c r="A257" s="90">
        <v>44501</v>
      </c>
      <c r="B257" s="59">
        <v>79407.240000000005</v>
      </c>
      <c r="C257" s="59">
        <v>136641.49928707693</v>
      </c>
      <c r="D257" s="59">
        <v>0</v>
      </c>
      <c r="E257" s="59">
        <v>0</v>
      </c>
      <c r="F257" s="59">
        <v>0</v>
      </c>
      <c r="G257" s="59">
        <v>0</v>
      </c>
      <c r="H257" s="91">
        <v>0.72076877734419331</v>
      </c>
      <c r="I257" s="91">
        <v>0</v>
      </c>
      <c r="J257" s="91">
        <v>0.72076877734419331</v>
      </c>
    </row>
    <row r="258" spans="1:10" x14ac:dyDescent="0.3">
      <c r="A258" s="90">
        <v>44531</v>
      </c>
      <c r="B258" s="59">
        <v>73201.48000000001</v>
      </c>
      <c r="C258" s="59">
        <v>125962.82123938543</v>
      </c>
      <c r="D258" s="59">
        <v>0</v>
      </c>
      <c r="E258" s="59">
        <v>0</v>
      </c>
      <c r="F258" s="59">
        <v>0</v>
      </c>
      <c r="G258" s="59">
        <v>0</v>
      </c>
      <c r="H258" s="91">
        <v>0.72076877734419331</v>
      </c>
      <c r="I258" s="91">
        <v>0</v>
      </c>
      <c r="J258" s="91">
        <v>0.72076877734419331</v>
      </c>
    </row>
    <row r="259" spans="1:10" x14ac:dyDescent="0.3">
      <c r="A259" s="90">
        <v>44562</v>
      </c>
      <c r="B259" s="59">
        <v>70439.16</v>
      </c>
      <c r="C259" s="59">
        <v>121209.50723035201</v>
      </c>
      <c r="D259" s="59">
        <v>0</v>
      </c>
      <c r="E259" s="59">
        <v>0</v>
      </c>
      <c r="F259" s="59">
        <v>0</v>
      </c>
      <c r="G259" s="59">
        <v>0</v>
      </c>
      <c r="H259" s="91">
        <v>0.72076877734419331</v>
      </c>
      <c r="I259" s="91">
        <v>0</v>
      </c>
      <c r="J259" s="91">
        <v>0.72076877734419331</v>
      </c>
    </row>
    <row r="260" spans="1:10" x14ac:dyDescent="0.3">
      <c r="A260" s="90">
        <v>44593</v>
      </c>
      <c r="B260" s="59">
        <v>71082.44</v>
      </c>
      <c r="C260" s="59">
        <v>122316.44336944199</v>
      </c>
      <c r="D260" s="59">
        <v>0</v>
      </c>
      <c r="E260" s="59">
        <v>0</v>
      </c>
      <c r="F260" s="59">
        <v>0</v>
      </c>
      <c r="G260" s="59">
        <v>0</v>
      </c>
      <c r="H260" s="91">
        <v>0.72076877734419331</v>
      </c>
      <c r="I260" s="91">
        <v>0</v>
      </c>
      <c r="J260" s="91">
        <v>0.72076877734419331</v>
      </c>
    </row>
    <row r="261" spans="1:10" x14ac:dyDescent="0.3">
      <c r="A261" s="90">
        <v>44621</v>
      </c>
      <c r="B261" s="59">
        <v>76342.200000000012</v>
      </c>
      <c r="C261" s="59">
        <v>131367.2741537659</v>
      </c>
      <c r="D261" s="59">
        <v>0</v>
      </c>
      <c r="E261" s="59">
        <v>0</v>
      </c>
      <c r="F261" s="59">
        <v>0</v>
      </c>
      <c r="G261" s="59">
        <v>0</v>
      </c>
      <c r="H261" s="91">
        <v>0.72076877734419331</v>
      </c>
      <c r="I261" s="91">
        <v>0</v>
      </c>
      <c r="J261" s="91">
        <v>0.72076877734419331</v>
      </c>
    </row>
    <row r="262" spans="1:10" x14ac:dyDescent="0.3">
      <c r="A262" s="90">
        <v>44652</v>
      </c>
      <c r="B262" s="59">
        <v>82793.920000000013</v>
      </c>
      <c r="C262" s="59">
        <v>142469.19248993299</v>
      </c>
      <c r="D262" s="59">
        <v>0</v>
      </c>
      <c r="E262" s="59">
        <v>0</v>
      </c>
      <c r="F262" s="59">
        <v>0</v>
      </c>
      <c r="G262" s="59">
        <v>0</v>
      </c>
      <c r="H262" s="91">
        <v>0.72076877734419353</v>
      </c>
      <c r="I262" s="91">
        <v>0</v>
      </c>
      <c r="J262" s="91">
        <v>0.72076877734419353</v>
      </c>
    </row>
    <row r="263" spans="1:10" x14ac:dyDescent="0.3">
      <c r="A263" s="90">
        <v>44682</v>
      </c>
      <c r="B263" s="59">
        <v>83304.760000000009</v>
      </c>
      <c r="C263" s="59">
        <v>143348.2300121515</v>
      </c>
      <c r="D263" s="59">
        <v>0</v>
      </c>
      <c r="E263" s="59">
        <v>0</v>
      </c>
      <c r="F263" s="59">
        <v>0</v>
      </c>
      <c r="G263" s="59">
        <v>0</v>
      </c>
      <c r="H263" s="91">
        <v>0.72076877734419353</v>
      </c>
      <c r="I263" s="91">
        <v>0</v>
      </c>
      <c r="J263" s="91">
        <v>0.72076877734419353</v>
      </c>
    </row>
    <row r="264" spans="1:10" x14ac:dyDescent="0.3">
      <c r="A264" s="90">
        <v>44713</v>
      </c>
      <c r="B264" s="59">
        <v>85385.96</v>
      </c>
      <c r="C264" s="59">
        <v>146929.49399156022</v>
      </c>
      <c r="D264" s="59">
        <v>0</v>
      </c>
      <c r="E264" s="59">
        <v>0</v>
      </c>
      <c r="F264" s="59">
        <v>0</v>
      </c>
      <c r="G264" s="59">
        <v>0</v>
      </c>
      <c r="H264" s="91">
        <v>0.72076877734419331</v>
      </c>
      <c r="I264" s="91">
        <v>0</v>
      </c>
      <c r="J264" s="91">
        <v>0.72076877734419331</v>
      </c>
    </row>
    <row r="265" spans="1:10" x14ac:dyDescent="0.3">
      <c r="A265" s="90">
        <v>44743</v>
      </c>
      <c r="B265" s="59">
        <v>62057.600000000006</v>
      </c>
      <c r="C265" s="59">
        <v>106786.78047691501</v>
      </c>
      <c r="D265" s="59">
        <v>0</v>
      </c>
      <c r="E265" s="59">
        <v>0</v>
      </c>
      <c r="F265" s="59">
        <v>0</v>
      </c>
      <c r="G265" s="59">
        <v>0</v>
      </c>
      <c r="H265" s="91">
        <v>0.72076877734419309</v>
      </c>
      <c r="I265" s="91">
        <v>0</v>
      </c>
      <c r="J265" s="91">
        <v>0.72076877734419309</v>
      </c>
    </row>
    <row r="266" spans="1:10" x14ac:dyDescent="0.3">
      <c r="A266" s="90">
        <v>44774</v>
      </c>
      <c r="B266" s="59">
        <v>85840.040000000008</v>
      </c>
      <c r="C266" s="59">
        <v>147710.86067797669</v>
      </c>
      <c r="D266" s="59">
        <v>0</v>
      </c>
      <c r="E266" s="59">
        <v>0</v>
      </c>
      <c r="F266" s="59">
        <v>0</v>
      </c>
      <c r="G266" s="59">
        <v>0</v>
      </c>
      <c r="H266" s="91">
        <v>0.72076877734419353</v>
      </c>
      <c r="I266" s="91">
        <v>0</v>
      </c>
      <c r="J266" s="91">
        <v>0.72076877734419353</v>
      </c>
    </row>
    <row r="267" spans="1:10" x14ac:dyDescent="0.3">
      <c r="A267" s="90">
        <v>44805</v>
      </c>
      <c r="B267" s="59">
        <v>90040.280000000013</v>
      </c>
      <c r="C267" s="59">
        <v>154938.50252732885</v>
      </c>
      <c r="D267" s="59">
        <v>0</v>
      </c>
      <c r="E267" s="59">
        <v>0</v>
      </c>
      <c r="F267" s="59">
        <v>0</v>
      </c>
      <c r="G267" s="59">
        <v>0</v>
      </c>
      <c r="H267" s="91">
        <v>0.72076877734419331</v>
      </c>
      <c r="I267" s="91">
        <v>0</v>
      </c>
      <c r="J267" s="91">
        <v>0.72076877734419331</v>
      </c>
    </row>
    <row r="268" spans="1:10" x14ac:dyDescent="0.3">
      <c r="A268" s="90">
        <v>44835</v>
      </c>
      <c r="B268" s="59">
        <v>90040.280000000013</v>
      </c>
      <c r="C268" s="59">
        <v>154938.50252732885</v>
      </c>
      <c r="D268" s="59">
        <v>0</v>
      </c>
      <c r="E268" s="59">
        <v>0</v>
      </c>
      <c r="F268" s="59">
        <v>0</v>
      </c>
      <c r="G268" s="59">
        <v>0</v>
      </c>
      <c r="H268" s="91">
        <v>0.72076877734419331</v>
      </c>
      <c r="I268" s="91">
        <v>0</v>
      </c>
      <c r="J268" s="91">
        <v>0.72076877734419331</v>
      </c>
    </row>
    <row r="269" spans="1:10" x14ac:dyDescent="0.3">
      <c r="A269" s="89" t="s">
        <v>34</v>
      </c>
      <c r="B269" s="59">
        <v>0</v>
      </c>
      <c r="C269" s="59">
        <v>0</v>
      </c>
      <c r="D269" s="59">
        <v>283328.02424000006</v>
      </c>
      <c r="E269" s="59">
        <v>485976.04891829251</v>
      </c>
      <c r="F269" s="59">
        <v>92768.355280000033</v>
      </c>
      <c r="G269" s="59">
        <v>86461.802932305189</v>
      </c>
      <c r="H269" s="91">
        <v>0.71524172457657964</v>
      </c>
      <c r="I269" s="91">
        <v>-6.7981719937363572E-2</v>
      </c>
      <c r="J269" s="91">
        <v>0.52205095029412996</v>
      </c>
    </row>
    <row r="270" spans="1:10" x14ac:dyDescent="0.3">
      <c r="A270" s="90">
        <v>44501</v>
      </c>
      <c r="B270" s="59">
        <v>0</v>
      </c>
      <c r="C270" s="59">
        <v>0</v>
      </c>
      <c r="D270" s="59">
        <v>38644.119119999996</v>
      </c>
      <c r="E270" s="59">
        <v>66284.005524131571</v>
      </c>
      <c r="F270" s="59">
        <v>12653.00664</v>
      </c>
      <c r="G270" s="59">
        <v>11792.833486233918</v>
      </c>
      <c r="H270" s="91">
        <v>0.71524172457657964</v>
      </c>
      <c r="I270" s="91">
        <v>-6.7981719937363572E-2</v>
      </c>
      <c r="J270" s="91">
        <v>0.52205095029412996</v>
      </c>
    </row>
    <row r="271" spans="1:10" x14ac:dyDescent="0.3">
      <c r="A271" s="90">
        <v>44531</v>
      </c>
      <c r="B271" s="59">
        <v>0</v>
      </c>
      <c r="C271" s="59">
        <v>0</v>
      </c>
      <c r="D271" s="59">
        <v>33785.502459999996</v>
      </c>
      <c r="E271" s="59">
        <v>57950.303505176686</v>
      </c>
      <c r="F271" s="59">
        <v>11062.179620000003</v>
      </c>
      <c r="G271" s="59">
        <v>10310.153623176349</v>
      </c>
      <c r="H271" s="91">
        <v>0.71524172457658008</v>
      </c>
      <c r="I271" s="91">
        <v>-6.7981719937363794E-2</v>
      </c>
      <c r="J271" s="91">
        <v>0.5220509502941304</v>
      </c>
    </row>
    <row r="272" spans="1:10" x14ac:dyDescent="0.3">
      <c r="A272" s="90">
        <v>44562</v>
      </c>
      <c r="B272" s="59">
        <v>0</v>
      </c>
      <c r="C272" s="59">
        <v>0</v>
      </c>
      <c r="D272" s="59">
        <v>29949.311899999997</v>
      </c>
      <c r="E272" s="59">
        <v>51370.309393237883</v>
      </c>
      <c r="F272" s="59">
        <v>9806.1193000000003</v>
      </c>
      <c r="G272" s="59">
        <v>9139.4824440750235</v>
      </c>
      <c r="H272" s="91">
        <v>0.71524172457657986</v>
      </c>
      <c r="I272" s="91">
        <v>-6.7981719937363683E-2</v>
      </c>
      <c r="J272" s="91">
        <v>0.52205095029413018</v>
      </c>
    </row>
    <row r="273" spans="1:10" x14ac:dyDescent="0.3">
      <c r="A273" s="90">
        <v>44593</v>
      </c>
      <c r="B273" s="59">
        <v>0</v>
      </c>
      <c r="C273" s="59">
        <v>0</v>
      </c>
      <c r="D273" s="59">
        <v>28238.09348</v>
      </c>
      <c r="E273" s="59">
        <v>48435.156159389873</v>
      </c>
      <c r="F273" s="59">
        <v>9245.8255599999993</v>
      </c>
      <c r="G273" s="59">
        <v>8617.2784361903614</v>
      </c>
      <c r="H273" s="91">
        <v>0.71524172457657986</v>
      </c>
      <c r="I273" s="91">
        <v>-6.7981719937363572E-2</v>
      </c>
      <c r="J273" s="91">
        <v>0.52205095029412996</v>
      </c>
    </row>
    <row r="274" spans="1:10" x14ac:dyDescent="0.3">
      <c r="A274" s="90">
        <v>44621</v>
      </c>
      <c r="B274" s="59">
        <v>0</v>
      </c>
      <c r="C274" s="59">
        <v>0</v>
      </c>
      <c r="D274" s="59">
        <v>32317.035499999998</v>
      </c>
      <c r="E274" s="59">
        <v>55431.52770422255</v>
      </c>
      <c r="F274" s="59">
        <v>10581.3685</v>
      </c>
      <c r="G274" s="59">
        <v>9862.0288700789588</v>
      </c>
      <c r="H274" s="91">
        <v>0.71524172457657986</v>
      </c>
      <c r="I274" s="91">
        <v>-6.7981719937363683E-2</v>
      </c>
      <c r="J274" s="91">
        <v>0.52205095029413018</v>
      </c>
    </row>
    <row r="275" spans="1:10" x14ac:dyDescent="0.3">
      <c r="A275" s="90">
        <v>44652</v>
      </c>
      <c r="B275" s="59">
        <v>0</v>
      </c>
      <c r="C275" s="59">
        <v>0</v>
      </c>
      <c r="D275" s="59">
        <v>21669.454220000003</v>
      </c>
      <c r="E275" s="59">
        <v>37168.352026946042</v>
      </c>
      <c r="F275" s="59">
        <v>7095.096340000001</v>
      </c>
      <c r="G275" s="59">
        <v>6612.7594876855064</v>
      </c>
      <c r="H275" s="91">
        <v>0.71524172457657942</v>
      </c>
      <c r="I275" s="91">
        <v>-6.7981719937363683E-2</v>
      </c>
      <c r="J275" s="91">
        <v>0.52205095029412973</v>
      </c>
    </row>
    <row r="276" spans="1:10" x14ac:dyDescent="0.3">
      <c r="A276" s="90">
        <v>44682</v>
      </c>
      <c r="B276" s="59">
        <v>0</v>
      </c>
      <c r="C276" s="59">
        <v>0</v>
      </c>
      <c r="D276" s="59">
        <v>16985.42728</v>
      </c>
      <c r="E276" s="59">
        <v>29134.113580417285</v>
      </c>
      <c r="F276" s="59">
        <v>5561.4341600000007</v>
      </c>
      <c r="G276" s="59">
        <v>5183.3583004847933</v>
      </c>
      <c r="H276" s="91">
        <v>0.71524172457657986</v>
      </c>
      <c r="I276" s="91">
        <v>-6.7981719937363683E-2</v>
      </c>
      <c r="J276" s="91">
        <v>0.52205095029412996</v>
      </c>
    </row>
    <row r="277" spans="1:10" x14ac:dyDescent="0.3">
      <c r="A277" s="90">
        <v>44713</v>
      </c>
      <c r="B277" s="59">
        <v>0</v>
      </c>
      <c r="C277" s="59">
        <v>0</v>
      </c>
      <c r="D277" s="59">
        <v>12941.16404</v>
      </c>
      <c r="E277" s="59">
        <v>22197.224525998019</v>
      </c>
      <c r="F277" s="59">
        <v>4237.2458800000004</v>
      </c>
      <c r="G277" s="59">
        <v>3949.1906172800923</v>
      </c>
      <c r="H277" s="91">
        <v>0.71524172457657986</v>
      </c>
      <c r="I277" s="91">
        <v>-6.7981719937363683E-2</v>
      </c>
      <c r="J277" s="91">
        <v>0.52205095029413018</v>
      </c>
    </row>
    <row r="278" spans="1:10" x14ac:dyDescent="0.3">
      <c r="A278" s="90">
        <v>44743</v>
      </c>
      <c r="B278" s="59">
        <v>0</v>
      </c>
      <c r="C278" s="59">
        <v>0</v>
      </c>
      <c r="D278" s="59">
        <v>12516.647939999997</v>
      </c>
      <c r="E278" s="59">
        <v>21469.076798523492</v>
      </c>
      <c r="F278" s="59">
        <v>4098.2491799999998</v>
      </c>
      <c r="G278" s="59">
        <v>3819.6431520117098</v>
      </c>
      <c r="H278" s="91">
        <v>0.71524172457658008</v>
      </c>
      <c r="I278" s="91">
        <v>-6.7981719937363572E-2</v>
      </c>
      <c r="J278" s="91">
        <v>0.52205095029413018</v>
      </c>
    </row>
    <row r="279" spans="1:10" x14ac:dyDescent="0.3">
      <c r="A279" s="90">
        <v>44774</v>
      </c>
      <c r="B279" s="59">
        <v>0</v>
      </c>
      <c r="C279" s="59">
        <v>0</v>
      </c>
      <c r="D279" s="59">
        <v>18749.261779999997</v>
      </c>
      <c r="E279" s="59">
        <v>32159.516110064953</v>
      </c>
      <c r="F279" s="59">
        <v>6138.9556600000005</v>
      </c>
      <c r="G279" s="59">
        <v>5721.6188956139868</v>
      </c>
      <c r="H279" s="91">
        <v>0.71524172457658008</v>
      </c>
      <c r="I279" s="91">
        <v>-6.7981719937363683E-2</v>
      </c>
      <c r="J279" s="91">
        <v>0.52205095029413018</v>
      </c>
    </row>
    <row r="280" spans="1:10" x14ac:dyDescent="0.3">
      <c r="A280" s="90">
        <v>44805</v>
      </c>
      <c r="B280" s="59">
        <v>0</v>
      </c>
      <c r="C280" s="59">
        <v>0</v>
      </c>
      <c r="D280" s="59">
        <v>18766.003260000001</v>
      </c>
      <c r="E280" s="59">
        <v>32188.231795092117</v>
      </c>
      <c r="F280" s="59">
        <v>6144.4372200000007</v>
      </c>
      <c r="G280" s="59">
        <v>5726.7278097372473</v>
      </c>
      <c r="H280" s="91">
        <v>0.71524172457657964</v>
      </c>
      <c r="I280" s="91">
        <v>-6.7981719937363683E-2</v>
      </c>
      <c r="J280" s="91">
        <v>0.52205095029412973</v>
      </c>
    </row>
    <row r="281" spans="1:10" x14ac:dyDescent="0.3">
      <c r="A281" s="90">
        <v>44835</v>
      </c>
      <c r="B281" s="59">
        <v>0</v>
      </c>
      <c r="C281" s="59">
        <v>0</v>
      </c>
      <c r="D281" s="59">
        <v>18766.003260000001</v>
      </c>
      <c r="E281" s="59">
        <v>32188.231795092117</v>
      </c>
      <c r="F281" s="59">
        <v>6144.4372200000007</v>
      </c>
      <c r="G281" s="59">
        <v>5726.7278097372473</v>
      </c>
      <c r="H281" s="91">
        <v>0.71524172457657964</v>
      </c>
      <c r="I281" s="91">
        <v>-6.7981719937363683E-2</v>
      </c>
      <c r="J281" s="91">
        <v>0.52205095029412973</v>
      </c>
    </row>
    <row r="282" spans="1:10" x14ac:dyDescent="0.3">
      <c r="A282" s="85" t="s">
        <v>46</v>
      </c>
      <c r="B282" s="59">
        <v>179229.15999999997</v>
      </c>
      <c r="C282" s="59">
        <v>308411.94251762686</v>
      </c>
      <c r="D282" s="59">
        <v>208720.46033999999</v>
      </c>
      <c r="E282" s="59">
        <v>359039.23949429212</v>
      </c>
      <c r="F282" s="59">
        <v>265950.65181999997</v>
      </c>
      <c r="G282" s="59">
        <v>249041.12788706529</v>
      </c>
      <c r="H282" s="91">
        <v>0.72045839721911098</v>
      </c>
      <c r="I282" s="91">
        <v>-6.3581434439871964E-2</v>
      </c>
      <c r="J282" s="91">
        <v>0.40157811354256778</v>
      </c>
    </row>
    <row r="283" spans="1:10" x14ac:dyDescent="0.3">
      <c r="A283" s="86" t="s">
        <v>25</v>
      </c>
      <c r="B283" s="59">
        <v>179229.15999999997</v>
      </c>
      <c r="C283" s="59">
        <v>308411.94251762686</v>
      </c>
      <c r="D283" s="59">
        <v>208720.46033999999</v>
      </c>
      <c r="E283" s="59">
        <v>359039.23949429212</v>
      </c>
      <c r="F283" s="59">
        <v>265950.65181999997</v>
      </c>
      <c r="G283" s="59">
        <v>249041.12788706529</v>
      </c>
      <c r="H283" s="91">
        <v>0.72045839721911098</v>
      </c>
      <c r="I283" s="91">
        <v>-6.3581434439871964E-2</v>
      </c>
      <c r="J283" s="91">
        <v>0.40157811354256778</v>
      </c>
    </row>
    <row r="284" spans="1:10" x14ac:dyDescent="0.3">
      <c r="A284" s="87" t="s">
        <v>25</v>
      </c>
      <c r="B284" s="59">
        <v>179229.15999999997</v>
      </c>
      <c r="C284" s="59">
        <v>308411.94251762686</v>
      </c>
      <c r="D284" s="59">
        <v>208720.46033999999</v>
      </c>
      <c r="E284" s="59">
        <v>359039.23949429212</v>
      </c>
      <c r="F284" s="59">
        <v>265950.65181999997</v>
      </c>
      <c r="G284" s="59">
        <v>249041.12788706529</v>
      </c>
      <c r="H284" s="91">
        <v>0.72045839721911098</v>
      </c>
      <c r="I284" s="91">
        <v>-6.3581434439871964E-2</v>
      </c>
      <c r="J284" s="91">
        <v>0.40157811354256778</v>
      </c>
    </row>
    <row r="285" spans="1:10" x14ac:dyDescent="0.3">
      <c r="A285" s="88" t="s">
        <v>25</v>
      </c>
      <c r="B285" s="59">
        <v>179229.15999999997</v>
      </c>
      <c r="C285" s="59">
        <v>308411.94251762686</v>
      </c>
      <c r="D285" s="59">
        <v>208720.46033999999</v>
      </c>
      <c r="E285" s="59">
        <v>359039.23949429212</v>
      </c>
      <c r="F285" s="59">
        <v>265950.65181999997</v>
      </c>
      <c r="G285" s="59">
        <v>249041.12788706529</v>
      </c>
      <c r="H285" s="91">
        <v>0.72045839721911098</v>
      </c>
      <c r="I285" s="91">
        <v>-6.3581434439871964E-2</v>
      </c>
      <c r="J285" s="91">
        <v>0.40157811354256778</v>
      </c>
    </row>
    <row r="286" spans="1:10" x14ac:dyDescent="0.3">
      <c r="A286" s="89" t="s">
        <v>35</v>
      </c>
      <c r="B286" s="59">
        <v>0</v>
      </c>
      <c r="C286" s="59">
        <v>0</v>
      </c>
      <c r="D286" s="59">
        <v>78136.916339999996</v>
      </c>
      <c r="E286" s="59">
        <v>135056.89628241045</v>
      </c>
      <c r="F286" s="59">
        <v>223194.48382000002</v>
      </c>
      <c r="G286" s="59">
        <v>209191.59772563621</v>
      </c>
      <c r="H286" s="91">
        <v>0.7284646311703995</v>
      </c>
      <c r="I286" s="91">
        <v>-6.273849539066878E-2</v>
      </c>
      <c r="J286" s="91">
        <v>0.14242489772144151</v>
      </c>
    </row>
    <row r="287" spans="1:10" x14ac:dyDescent="0.3">
      <c r="A287" s="90">
        <v>44501</v>
      </c>
      <c r="B287" s="59">
        <v>0</v>
      </c>
      <c r="C287" s="59">
        <v>0</v>
      </c>
      <c r="D287" s="59">
        <v>4954.7470199999989</v>
      </c>
      <c r="E287" s="59">
        <v>8564.1049804669346</v>
      </c>
      <c r="F287" s="59">
        <v>14153.00546</v>
      </c>
      <c r="G287" s="59">
        <v>13265.067192183678</v>
      </c>
      <c r="H287" s="91">
        <v>0.7284646311703995</v>
      </c>
      <c r="I287" s="91">
        <v>-6.2738495390668891E-2</v>
      </c>
      <c r="J287" s="91">
        <v>0.14242489772144129</v>
      </c>
    </row>
    <row r="288" spans="1:10" x14ac:dyDescent="0.3">
      <c r="A288" s="90">
        <v>44531</v>
      </c>
      <c r="B288" s="59">
        <v>0</v>
      </c>
      <c r="C288" s="59">
        <v>0</v>
      </c>
      <c r="D288" s="59">
        <v>4197.9110699999992</v>
      </c>
      <c r="E288" s="59">
        <v>7255.9408092936865</v>
      </c>
      <c r="F288" s="59">
        <v>11991.138610000002</v>
      </c>
      <c r="G288" s="59">
        <v>11238.832615587644</v>
      </c>
      <c r="H288" s="91">
        <v>0.72846463117039972</v>
      </c>
      <c r="I288" s="91">
        <v>-6.2738495390669002E-2</v>
      </c>
      <c r="J288" s="91">
        <v>0.14242489772144107</v>
      </c>
    </row>
    <row r="289" spans="1:10" x14ac:dyDescent="0.3">
      <c r="A289" s="90">
        <v>44562</v>
      </c>
      <c r="B289" s="59">
        <v>0</v>
      </c>
      <c r="C289" s="59">
        <v>0</v>
      </c>
      <c r="D289" s="59">
        <v>3921.6935699999999</v>
      </c>
      <c r="E289" s="59">
        <v>6778.508630033376</v>
      </c>
      <c r="F289" s="59">
        <v>11202.136109999999</v>
      </c>
      <c r="G289" s="59">
        <v>10499.330945297121</v>
      </c>
      <c r="H289" s="91">
        <v>0.72846463117039928</v>
      </c>
      <c r="I289" s="91">
        <v>-6.273849539066878E-2</v>
      </c>
      <c r="J289" s="91">
        <v>0.14242489772144129</v>
      </c>
    </row>
    <row r="290" spans="1:10" x14ac:dyDescent="0.3">
      <c r="A290" s="90">
        <v>44593</v>
      </c>
      <c r="B290" s="59">
        <v>0</v>
      </c>
      <c r="C290" s="59">
        <v>0</v>
      </c>
      <c r="D290" s="59">
        <v>4606.4579999999996</v>
      </c>
      <c r="E290" s="59">
        <v>7962.099727971934</v>
      </c>
      <c r="F290" s="59">
        <v>13158.134</v>
      </c>
      <c r="G290" s="59">
        <v>12332.612470691198</v>
      </c>
      <c r="H290" s="91">
        <v>0.72846463117039928</v>
      </c>
      <c r="I290" s="91">
        <v>-6.273849539066878E-2</v>
      </c>
      <c r="J290" s="91">
        <v>0.14242489772144107</v>
      </c>
    </row>
    <row r="291" spans="1:10" x14ac:dyDescent="0.3">
      <c r="A291" s="90">
        <v>44621</v>
      </c>
      <c r="B291" s="59">
        <v>0</v>
      </c>
      <c r="C291" s="59">
        <v>0</v>
      </c>
      <c r="D291" s="59">
        <v>7388.7756300000001</v>
      </c>
      <c r="E291" s="59">
        <v>12771.237344108786</v>
      </c>
      <c r="F291" s="59">
        <v>21105.695490000002</v>
      </c>
      <c r="G291" s="59">
        <v>19781.555910783776</v>
      </c>
      <c r="H291" s="91">
        <v>0.7284646311703995</v>
      </c>
      <c r="I291" s="91">
        <v>-6.2738495390668891E-2</v>
      </c>
      <c r="J291" s="91">
        <v>0.14242489772144107</v>
      </c>
    </row>
    <row r="292" spans="1:10" x14ac:dyDescent="0.3">
      <c r="A292" s="90">
        <v>44652</v>
      </c>
      <c r="B292" s="59">
        <v>0</v>
      </c>
      <c r="C292" s="59">
        <v>0</v>
      </c>
      <c r="D292" s="59">
        <v>7651.6496999999999</v>
      </c>
      <c r="E292" s="59">
        <v>13225.605876555597</v>
      </c>
      <c r="F292" s="59">
        <v>21856.583100000003</v>
      </c>
      <c r="G292" s="59">
        <v>20485.33396192488</v>
      </c>
      <c r="H292" s="91">
        <v>0.7284646311703995</v>
      </c>
      <c r="I292" s="91">
        <v>-6.2738495390669002E-2</v>
      </c>
      <c r="J292" s="91">
        <v>0.14242489772144107</v>
      </c>
    </row>
    <row r="293" spans="1:10" x14ac:dyDescent="0.3">
      <c r="A293" s="90">
        <v>44682</v>
      </c>
      <c r="B293" s="59">
        <v>0</v>
      </c>
      <c r="C293" s="59">
        <v>0</v>
      </c>
      <c r="D293" s="59">
        <v>7407.6434099999997</v>
      </c>
      <c r="E293" s="59">
        <v>12803.849634507489</v>
      </c>
      <c r="F293" s="59">
        <v>21159.59043</v>
      </c>
      <c r="G293" s="59">
        <v>19832.069563339006</v>
      </c>
      <c r="H293" s="91">
        <v>0.7284646311703995</v>
      </c>
      <c r="I293" s="91">
        <v>-6.273849539066878E-2</v>
      </c>
      <c r="J293" s="91">
        <v>0.14242489772144129</v>
      </c>
    </row>
    <row r="294" spans="1:10" x14ac:dyDescent="0.3">
      <c r="A294" s="90">
        <v>44713</v>
      </c>
      <c r="B294" s="59">
        <v>0</v>
      </c>
      <c r="C294" s="59">
        <v>0</v>
      </c>
      <c r="D294" s="59">
        <v>6222.6278400000001</v>
      </c>
      <c r="E294" s="59">
        <v>10755.592134376258</v>
      </c>
      <c r="F294" s="59">
        <v>17774.64832</v>
      </c>
      <c r="G294" s="59">
        <v>16659.493628304925</v>
      </c>
      <c r="H294" s="91">
        <v>0.72846463117039928</v>
      </c>
      <c r="I294" s="91">
        <v>-6.2738495390668558E-2</v>
      </c>
      <c r="J294" s="91">
        <v>0.14242489772144129</v>
      </c>
    </row>
    <row r="295" spans="1:10" x14ac:dyDescent="0.3">
      <c r="A295" s="90">
        <v>44743</v>
      </c>
      <c r="B295" s="59">
        <v>0</v>
      </c>
      <c r="C295" s="59">
        <v>0</v>
      </c>
      <c r="D295" s="59">
        <v>4311.2027399999997</v>
      </c>
      <c r="E295" s="59">
        <v>7451.7614538949147</v>
      </c>
      <c r="F295" s="59">
        <v>12314.75102</v>
      </c>
      <c r="G295" s="59">
        <v>11542.142069894497</v>
      </c>
      <c r="H295" s="91">
        <v>0.72846463117039928</v>
      </c>
      <c r="I295" s="91">
        <v>-6.273849539066878E-2</v>
      </c>
      <c r="J295" s="91">
        <v>0.14242489772144129</v>
      </c>
    </row>
    <row r="296" spans="1:10" x14ac:dyDescent="0.3">
      <c r="A296" s="90">
        <v>44774</v>
      </c>
      <c r="B296" s="59">
        <v>0</v>
      </c>
      <c r="C296" s="59">
        <v>0</v>
      </c>
      <c r="D296" s="59">
        <v>7645.7003999999997</v>
      </c>
      <c r="E296" s="59">
        <v>13215.322721925375</v>
      </c>
      <c r="F296" s="59">
        <v>21839.589200000002</v>
      </c>
      <c r="G296" s="59">
        <v>20469.406233641701</v>
      </c>
      <c r="H296" s="91">
        <v>0.7284646311703995</v>
      </c>
      <c r="I296" s="91">
        <v>-6.2738495390668891E-2</v>
      </c>
      <c r="J296" s="91">
        <v>0.14242489772144107</v>
      </c>
    </row>
    <row r="297" spans="1:10" x14ac:dyDescent="0.3">
      <c r="A297" s="90">
        <v>44805</v>
      </c>
      <c r="B297" s="59">
        <v>0</v>
      </c>
      <c r="C297" s="59">
        <v>0</v>
      </c>
      <c r="D297" s="59">
        <v>9914.2534799999994</v>
      </c>
      <c r="E297" s="59">
        <v>17136.436484638049</v>
      </c>
      <c r="F297" s="59">
        <v>28319.606040000002</v>
      </c>
      <c r="G297" s="59">
        <v>26542.876566993902</v>
      </c>
      <c r="H297" s="91">
        <v>0.7284646311703995</v>
      </c>
      <c r="I297" s="91">
        <v>-6.2738495390668891E-2</v>
      </c>
      <c r="J297" s="91">
        <v>0.14242489772144129</v>
      </c>
    </row>
    <row r="298" spans="1:10" x14ac:dyDescent="0.3">
      <c r="A298" s="90">
        <v>44835</v>
      </c>
      <c r="B298" s="59">
        <v>0</v>
      </c>
      <c r="C298" s="59">
        <v>0</v>
      </c>
      <c r="D298" s="59">
        <v>9914.2534799999994</v>
      </c>
      <c r="E298" s="59">
        <v>17136.436484638049</v>
      </c>
      <c r="F298" s="59">
        <v>28319.606040000002</v>
      </c>
      <c r="G298" s="59">
        <v>26542.876566993902</v>
      </c>
      <c r="H298" s="91">
        <v>0.7284646311703995</v>
      </c>
      <c r="I298" s="91">
        <v>-6.2738495390668891E-2</v>
      </c>
      <c r="J298" s="91">
        <v>0.14242489772144129</v>
      </c>
    </row>
    <row r="299" spans="1:10" x14ac:dyDescent="0.3">
      <c r="A299" s="89" t="s">
        <v>25</v>
      </c>
      <c r="B299" s="59">
        <v>179229.15999999997</v>
      </c>
      <c r="C299" s="59">
        <v>308411.94251762686</v>
      </c>
      <c r="D299" s="59">
        <v>0</v>
      </c>
      <c r="E299" s="59">
        <v>0</v>
      </c>
      <c r="F299" s="59">
        <v>0</v>
      </c>
      <c r="G299" s="59">
        <v>0</v>
      </c>
      <c r="H299" s="91">
        <v>0.72076877734419353</v>
      </c>
      <c r="I299" s="91">
        <v>0</v>
      </c>
      <c r="J299" s="91">
        <v>0.72076877734419353</v>
      </c>
    </row>
    <row r="300" spans="1:10" x14ac:dyDescent="0.3">
      <c r="A300" s="90">
        <v>44501</v>
      </c>
      <c r="B300" s="59">
        <v>13527.800000000001</v>
      </c>
      <c r="C300" s="59">
        <v>23278.215866156781</v>
      </c>
      <c r="D300" s="59">
        <v>0</v>
      </c>
      <c r="E300" s="59">
        <v>0</v>
      </c>
      <c r="F300" s="59">
        <v>0</v>
      </c>
      <c r="G300" s="59">
        <v>0</v>
      </c>
      <c r="H300" s="91">
        <v>0.72076877734419331</v>
      </c>
      <c r="I300" s="91">
        <v>0</v>
      </c>
      <c r="J300" s="91">
        <v>0.72076877734419331</v>
      </c>
    </row>
    <row r="301" spans="1:10" x14ac:dyDescent="0.3">
      <c r="A301" s="90">
        <v>44531</v>
      </c>
      <c r="B301" s="59">
        <v>13471.04</v>
      </c>
      <c r="C301" s="59">
        <v>23180.545030354726</v>
      </c>
      <c r="D301" s="59">
        <v>0</v>
      </c>
      <c r="E301" s="59">
        <v>0</v>
      </c>
      <c r="F301" s="59">
        <v>0</v>
      </c>
      <c r="G301" s="59">
        <v>0</v>
      </c>
      <c r="H301" s="91">
        <v>0.72076877734419353</v>
      </c>
      <c r="I301" s="91">
        <v>0</v>
      </c>
      <c r="J301" s="91">
        <v>0.72076877734419353</v>
      </c>
    </row>
    <row r="302" spans="1:10" x14ac:dyDescent="0.3">
      <c r="A302" s="90">
        <v>44562</v>
      </c>
      <c r="B302" s="59">
        <v>13452.12</v>
      </c>
      <c r="C302" s="59">
        <v>23147.988085087374</v>
      </c>
      <c r="D302" s="59">
        <v>0</v>
      </c>
      <c r="E302" s="59">
        <v>0</v>
      </c>
      <c r="F302" s="59">
        <v>0</v>
      </c>
      <c r="G302" s="59">
        <v>0</v>
      </c>
      <c r="H302" s="91">
        <v>0.72076877734419353</v>
      </c>
      <c r="I302" s="91">
        <v>0</v>
      </c>
      <c r="J302" s="91">
        <v>0.72076877734419353</v>
      </c>
    </row>
    <row r="303" spans="1:10" x14ac:dyDescent="0.3">
      <c r="A303" s="90">
        <v>44593</v>
      </c>
      <c r="B303" s="59">
        <v>13433.2</v>
      </c>
      <c r="C303" s="59">
        <v>23115.431139820023</v>
      </c>
      <c r="D303" s="59">
        <v>0</v>
      </c>
      <c r="E303" s="59">
        <v>0</v>
      </c>
      <c r="F303" s="59">
        <v>0</v>
      </c>
      <c r="G303" s="59">
        <v>0</v>
      </c>
      <c r="H303" s="91">
        <v>0.72076877734419353</v>
      </c>
      <c r="I303" s="91">
        <v>0</v>
      </c>
      <c r="J303" s="91">
        <v>0.72076877734419353</v>
      </c>
    </row>
    <row r="304" spans="1:10" x14ac:dyDescent="0.3">
      <c r="A304" s="90">
        <v>44621</v>
      </c>
      <c r="B304" s="59">
        <v>13471.04</v>
      </c>
      <c r="C304" s="59">
        <v>23180.545030354726</v>
      </c>
      <c r="D304" s="59">
        <v>0</v>
      </c>
      <c r="E304" s="59">
        <v>0</v>
      </c>
      <c r="F304" s="59">
        <v>0</v>
      </c>
      <c r="G304" s="59">
        <v>0</v>
      </c>
      <c r="H304" s="91">
        <v>0.72076877734419353</v>
      </c>
      <c r="I304" s="91">
        <v>0</v>
      </c>
      <c r="J304" s="91">
        <v>0.72076877734419353</v>
      </c>
    </row>
    <row r="305" spans="1:10" x14ac:dyDescent="0.3">
      <c r="A305" s="90">
        <v>44652</v>
      </c>
      <c r="B305" s="59">
        <v>13906.2</v>
      </c>
      <c r="C305" s="59">
        <v>23929.354771503822</v>
      </c>
      <c r="D305" s="59">
        <v>0</v>
      </c>
      <c r="E305" s="59">
        <v>0</v>
      </c>
      <c r="F305" s="59">
        <v>0</v>
      </c>
      <c r="G305" s="59">
        <v>0</v>
      </c>
      <c r="H305" s="91">
        <v>0.72076877734419331</v>
      </c>
      <c r="I305" s="91">
        <v>0</v>
      </c>
      <c r="J305" s="91">
        <v>0.72076877734419331</v>
      </c>
    </row>
    <row r="306" spans="1:10" x14ac:dyDescent="0.3">
      <c r="A306" s="90">
        <v>44682</v>
      </c>
      <c r="B306" s="59">
        <v>14681.920000000002</v>
      </c>
      <c r="C306" s="59">
        <v>25264.189527465263</v>
      </c>
      <c r="D306" s="59">
        <v>0</v>
      </c>
      <c r="E306" s="59">
        <v>0</v>
      </c>
      <c r="F306" s="59">
        <v>0</v>
      </c>
      <c r="G306" s="59">
        <v>0</v>
      </c>
      <c r="H306" s="91">
        <v>0.72076877734419331</v>
      </c>
      <c r="I306" s="91">
        <v>0</v>
      </c>
      <c r="J306" s="91">
        <v>0.72076877734419331</v>
      </c>
    </row>
    <row r="307" spans="1:10" x14ac:dyDescent="0.3">
      <c r="A307" s="90">
        <v>44713</v>
      </c>
      <c r="B307" s="59">
        <v>14398.120000000003</v>
      </c>
      <c r="C307" s="59">
        <v>24775.835348454981</v>
      </c>
      <c r="D307" s="59">
        <v>0</v>
      </c>
      <c r="E307" s="59">
        <v>0</v>
      </c>
      <c r="F307" s="59">
        <v>0</v>
      </c>
      <c r="G307" s="59">
        <v>0</v>
      </c>
      <c r="H307" s="91">
        <v>0.72076877734419331</v>
      </c>
      <c r="I307" s="91">
        <v>0</v>
      </c>
      <c r="J307" s="91">
        <v>0.72076877734419331</v>
      </c>
    </row>
    <row r="308" spans="1:10" x14ac:dyDescent="0.3">
      <c r="A308" s="90">
        <v>44743</v>
      </c>
      <c r="B308" s="59">
        <v>16498.240000000002</v>
      </c>
      <c r="C308" s="59">
        <v>28389.65627313107</v>
      </c>
      <c r="D308" s="59">
        <v>0</v>
      </c>
      <c r="E308" s="59">
        <v>0</v>
      </c>
      <c r="F308" s="59">
        <v>0</v>
      </c>
      <c r="G308" s="59">
        <v>0</v>
      </c>
      <c r="H308" s="91">
        <v>0.72076877734419353</v>
      </c>
      <c r="I308" s="91">
        <v>0</v>
      </c>
      <c r="J308" s="91">
        <v>0.72076877734419353</v>
      </c>
    </row>
    <row r="309" spans="1:10" x14ac:dyDescent="0.3">
      <c r="A309" s="90">
        <v>44774</v>
      </c>
      <c r="B309" s="59">
        <v>17084.760000000002</v>
      </c>
      <c r="C309" s="59">
        <v>29398.921576418987</v>
      </c>
      <c r="D309" s="59">
        <v>0</v>
      </c>
      <c r="E309" s="59">
        <v>0</v>
      </c>
      <c r="F309" s="59">
        <v>0</v>
      </c>
      <c r="G309" s="59">
        <v>0</v>
      </c>
      <c r="H309" s="91">
        <v>0.72076877734419353</v>
      </c>
      <c r="I309" s="91">
        <v>0</v>
      </c>
      <c r="J309" s="91">
        <v>0.72076877734419353</v>
      </c>
    </row>
    <row r="310" spans="1:10" x14ac:dyDescent="0.3">
      <c r="A310" s="90">
        <v>44805</v>
      </c>
      <c r="B310" s="59">
        <v>17652.36</v>
      </c>
      <c r="C310" s="59">
        <v>30375.629934439545</v>
      </c>
      <c r="D310" s="59">
        <v>0</v>
      </c>
      <c r="E310" s="59">
        <v>0</v>
      </c>
      <c r="F310" s="59">
        <v>0</v>
      </c>
      <c r="G310" s="59">
        <v>0</v>
      </c>
      <c r="H310" s="91">
        <v>0.72076877734419331</v>
      </c>
      <c r="I310" s="91">
        <v>0</v>
      </c>
      <c r="J310" s="91">
        <v>0.72076877734419331</v>
      </c>
    </row>
    <row r="311" spans="1:10" x14ac:dyDescent="0.3">
      <c r="A311" s="90">
        <v>44835</v>
      </c>
      <c r="B311" s="59">
        <v>17652.36</v>
      </c>
      <c r="C311" s="59">
        <v>30375.629934439545</v>
      </c>
      <c r="D311" s="59">
        <v>0</v>
      </c>
      <c r="E311" s="59">
        <v>0</v>
      </c>
      <c r="F311" s="59">
        <v>0</v>
      </c>
      <c r="G311" s="59">
        <v>0</v>
      </c>
      <c r="H311" s="91">
        <v>0.72076877734419331</v>
      </c>
      <c r="I311" s="91">
        <v>0</v>
      </c>
      <c r="J311" s="91">
        <v>0.72076877734419331</v>
      </c>
    </row>
    <row r="312" spans="1:10" x14ac:dyDescent="0.3">
      <c r="A312" s="89" t="s">
        <v>34</v>
      </c>
      <c r="B312" s="59">
        <v>0</v>
      </c>
      <c r="C312" s="59">
        <v>0</v>
      </c>
      <c r="D312" s="59">
        <v>130583.54399999999</v>
      </c>
      <c r="E312" s="59">
        <v>223982.3432118817</v>
      </c>
      <c r="F312" s="59">
        <v>42756.168000000005</v>
      </c>
      <c r="G312" s="59">
        <v>39849.530161429131</v>
      </c>
      <c r="H312" s="91">
        <v>0.71524172457657986</v>
      </c>
      <c r="I312" s="91">
        <v>-6.7981719937363572E-2</v>
      </c>
      <c r="J312" s="91">
        <v>0.52205095029413018</v>
      </c>
    </row>
    <row r="313" spans="1:10" x14ac:dyDescent="0.3">
      <c r="A313" s="90">
        <v>44501</v>
      </c>
      <c r="B313" s="59">
        <v>0</v>
      </c>
      <c r="C313" s="59">
        <v>0</v>
      </c>
      <c r="D313" s="59">
        <v>7954.5946399999993</v>
      </c>
      <c r="E313" s="59">
        <v>13644.052628621217</v>
      </c>
      <c r="F313" s="59">
        <v>2604.5240800000001</v>
      </c>
      <c r="G313" s="59">
        <v>2427.4640534233204</v>
      </c>
      <c r="H313" s="91">
        <v>0.71524172457657986</v>
      </c>
      <c r="I313" s="91">
        <v>-6.7981719937363683E-2</v>
      </c>
      <c r="J313" s="91">
        <v>0.52205095029413018</v>
      </c>
    </row>
    <row r="314" spans="1:10" x14ac:dyDescent="0.3">
      <c r="A314" s="90">
        <v>44531</v>
      </c>
      <c r="B314" s="59">
        <v>0</v>
      </c>
      <c r="C314" s="59">
        <v>0</v>
      </c>
      <c r="D314" s="59">
        <v>8843.0888999999988</v>
      </c>
      <c r="E314" s="59">
        <v>15168.035055420009</v>
      </c>
      <c r="F314" s="59">
        <v>2895.4382999999998</v>
      </c>
      <c r="G314" s="59">
        <v>2698.6014243934837</v>
      </c>
      <c r="H314" s="91">
        <v>0.71524172457657986</v>
      </c>
      <c r="I314" s="91">
        <v>-6.7981719937363572E-2</v>
      </c>
      <c r="J314" s="91">
        <v>0.52205095029413018</v>
      </c>
    </row>
    <row r="315" spans="1:10" x14ac:dyDescent="0.3">
      <c r="A315" s="90">
        <v>44562</v>
      </c>
      <c r="B315" s="59">
        <v>0</v>
      </c>
      <c r="C315" s="59">
        <v>0</v>
      </c>
      <c r="D315" s="59">
        <v>6642.7800999999999</v>
      </c>
      <c r="E315" s="59">
        <v>11393.973594706984</v>
      </c>
      <c r="F315" s="59">
        <v>2175.0047</v>
      </c>
      <c r="G315" s="59">
        <v>2027.1441396221503</v>
      </c>
      <c r="H315" s="91">
        <v>0.71524172457657964</v>
      </c>
      <c r="I315" s="91">
        <v>-6.7981719937363683E-2</v>
      </c>
      <c r="J315" s="91">
        <v>0.52205095029412996</v>
      </c>
    </row>
    <row r="316" spans="1:10" x14ac:dyDescent="0.3">
      <c r="A316" s="90">
        <v>44593</v>
      </c>
      <c r="B316" s="59">
        <v>0</v>
      </c>
      <c r="C316" s="59">
        <v>0</v>
      </c>
      <c r="D316" s="59">
        <v>7436.80458</v>
      </c>
      <c r="E316" s="59">
        <v>12755.917513138207</v>
      </c>
      <c r="F316" s="59">
        <v>2434.9872599999999</v>
      </c>
      <c r="G316" s="59">
        <v>2269.4526380396319</v>
      </c>
      <c r="H316" s="91">
        <v>0.71524172457657986</v>
      </c>
      <c r="I316" s="91">
        <v>-6.7981719937363461E-2</v>
      </c>
      <c r="J316" s="91">
        <v>0.52205095029412996</v>
      </c>
    </row>
    <row r="317" spans="1:10" x14ac:dyDescent="0.3">
      <c r="A317" s="90">
        <v>44621</v>
      </c>
      <c r="B317" s="59">
        <v>0</v>
      </c>
      <c r="C317" s="59">
        <v>0</v>
      </c>
      <c r="D317" s="59">
        <v>12661.34216</v>
      </c>
      <c r="E317" s="59">
        <v>21717.262361972556</v>
      </c>
      <c r="F317" s="59">
        <v>4145.6255200000005</v>
      </c>
      <c r="G317" s="59">
        <v>3863.7987669341728</v>
      </c>
      <c r="H317" s="91">
        <v>0.71524172457657964</v>
      </c>
      <c r="I317" s="91">
        <v>-6.7981719937363683E-2</v>
      </c>
      <c r="J317" s="91">
        <v>0.52205095029412996</v>
      </c>
    </row>
    <row r="318" spans="1:10" x14ac:dyDescent="0.3">
      <c r="A318" s="90">
        <v>44652</v>
      </c>
      <c r="B318" s="59">
        <v>0</v>
      </c>
      <c r="C318" s="59">
        <v>0</v>
      </c>
      <c r="D318" s="59">
        <v>12248.78426</v>
      </c>
      <c r="E318" s="59">
        <v>21009.625838088865</v>
      </c>
      <c r="F318" s="59">
        <v>4010.5442200000002</v>
      </c>
      <c r="G318" s="59">
        <v>3737.9005260395479</v>
      </c>
      <c r="H318" s="91">
        <v>0.71524172457657964</v>
      </c>
      <c r="I318" s="91">
        <v>-6.7981719937363572E-2</v>
      </c>
      <c r="J318" s="91">
        <v>0.52205095029412996</v>
      </c>
    </row>
    <row r="319" spans="1:10" x14ac:dyDescent="0.3">
      <c r="A319" s="90">
        <v>44682</v>
      </c>
      <c r="B319" s="59">
        <v>0</v>
      </c>
      <c r="C319" s="59">
        <v>0</v>
      </c>
      <c r="D319" s="59">
        <v>12751.02866</v>
      </c>
      <c r="E319" s="59">
        <v>21871.096388903796</v>
      </c>
      <c r="F319" s="59">
        <v>4174.9910200000004</v>
      </c>
      <c r="G319" s="59">
        <v>3891.167949737352</v>
      </c>
      <c r="H319" s="91">
        <v>0.71524172457657986</v>
      </c>
      <c r="I319" s="91">
        <v>-6.7981719937363683E-2</v>
      </c>
      <c r="J319" s="91">
        <v>0.52205095029412996</v>
      </c>
    </row>
    <row r="320" spans="1:10" x14ac:dyDescent="0.3">
      <c r="A320" s="90">
        <v>44713</v>
      </c>
      <c r="B320" s="59">
        <v>0</v>
      </c>
      <c r="C320" s="59">
        <v>0</v>
      </c>
      <c r="D320" s="59">
        <v>11296.911540000001</v>
      </c>
      <c r="E320" s="59">
        <v>19376.934032258665</v>
      </c>
      <c r="F320" s="59">
        <v>3698.8783800000001</v>
      </c>
      <c r="G320" s="59">
        <v>3447.422265888471</v>
      </c>
      <c r="H320" s="91">
        <v>0.71524172457657964</v>
      </c>
      <c r="I320" s="91">
        <v>-6.7981719937363572E-2</v>
      </c>
      <c r="J320" s="91">
        <v>0.52205095029412996</v>
      </c>
    </row>
    <row r="321" spans="1:10" x14ac:dyDescent="0.3">
      <c r="A321" s="90">
        <v>44743</v>
      </c>
      <c r="B321" s="59">
        <v>0</v>
      </c>
      <c r="C321" s="59">
        <v>0</v>
      </c>
      <c r="D321" s="59">
        <v>7916.3284000000003</v>
      </c>
      <c r="E321" s="59">
        <v>13578.416777130557</v>
      </c>
      <c r="F321" s="59">
        <v>2591.9948000000004</v>
      </c>
      <c r="G321" s="59">
        <v>2415.7865354272972</v>
      </c>
      <c r="H321" s="91">
        <v>0.71524172457657964</v>
      </c>
      <c r="I321" s="91">
        <v>-6.7981719937363794E-2</v>
      </c>
      <c r="J321" s="91">
        <v>0.52205095029412996</v>
      </c>
    </row>
    <row r="322" spans="1:10" x14ac:dyDescent="0.3">
      <c r="A322" s="90">
        <v>44774</v>
      </c>
      <c r="B322" s="59">
        <v>0</v>
      </c>
      <c r="C322" s="59">
        <v>0</v>
      </c>
      <c r="D322" s="59">
        <v>13115.75376</v>
      </c>
      <c r="E322" s="59">
        <v>22496.688098424158</v>
      </c>
      <c r="F322" s="59">
        <v>4294.4107199999999</v>
      </c>
      <c r="G322" s="59">
        <v>4002.4692931369477</v>
      </c>
      <c r="H322" s="91">
        <v>0.71524172457657964</v>
      </c>
      <c r="I322" s="91">
        <v>-6.7981719937363683E-2</v>
      </c>
      <c r="J322" s="91">
        <v>0.52205095029412996</v>
      </c>
    </row>
    <row r="323" spans="1:10" x14ac:dyDescent="0.3">
      <c r="A323" s="90">
        <v>44805</v>
      </c>
      <c r="B323" s="59">
        <v>0</v>
      </c>
      <c r="C323" s="59">
        <v>0</v>
      </c>
      <c r="D323" s="59">
        <v>14858.0635</v>
      </c>
      <c r="E323" s="59">
        <v>25485.17046160833</v>
      </c>
      <c r="F323" s="59">
        <v>4864.8845000000001</v>
      </c>
      <c r="G323" s="59">
        <v>4534.161284393379</v>
      </c>
      <c r="H323" s="91">
        <v>0.71524172457657964</v>
      </c>
      <c r="I323" s="91">
        <v>-6.7981719937363572E-2</v>
      </c>
      <c r="J323" s="91">
        <v>0.52205095029412996</v>
      </c>
    </row>
    <row r="324" spans="1:10" x14ac:dyDescent="0.3">
      <c r="A324" s="90">
        <v>44835</v>
      </c>
      <c r="B324" s="59">
        <v>0</v>
      </c>
      <c r="C324" s="59">
        <v>0</v>
      </c>
      <c r="D324" s="59">
        <v>14858.0635</v>
      </c>
      <c r="E324" s="59">
        <v>25485.17046160833</v>
      </c>
      <c r="F324" s="59">
        <v>4864.8845000000001</v>
      </c>
      <c r="G324" s="59">
        <v>4534.161284393379</v>
      </c>
      <c r="H324" s="91">
        <v>0.71524172457657964</v>
      </c>
      <c r="I324" s="91">
        <v>-6.7981719937363572E-2</v>
      </c>
      <c r="J324" s="91">
        <v>0.52205095029412996</v>
      </c>
    </row>
    <row r="325" spans="1:10" x14ac:dyDescent="0.3">
      <c r="A325" s="85" t="s">
        <v>44</v>
      </c>
      <c r="B325" s="59">
        <v>245239.5264</v>
      </c>
      <c r="C325" s="59">
        <v>422000.51999979693</v>
      </c>
      <c r="D325" s="59">
        <v>127169.27526240001</v>
      </c>
      <c r="E325" s="59">
        <v>219396.55780093942</v>
      </c>
      <c r="F325" s="59">
        <v>284637.75507359998</v>
      </c>
      <c r="G325" s="59">
        <v>271263.63165451685</v>
      </c>
      <c r="H325" s="91">
        <v>0.72229301492767184</v>
      </c>
      <c r="I325" s="91">
        <v>-4.6986470279126946E-2</v>
      </c>
      <c r="J325" s="91">
        <v>0.38903506927890086</v>
      </c>
    </row>
    <row r="326" spans="1:10" x14ac:dyDescent="0.3">
      <c r="A326" s="86" t="s">
        <v>53</v>
      </c>
      <c r="B326" s="59">
        <v>234359.76959999997</v>
      </c>
      <c r="C326" s="59">
        <v>403278.97419325879</v>
      </c>
      <c r="D326" s="59">
        <v>93317.791166399998</v>
      </c>
      <c r="E326" s="59">
        <v>161167.61042372536</v>
      </c>
      <c r="F326" s="59">
        <v>241906.08151199998</v>
      </c>
      <c r="G326" s="59">
        <v>230415.88301002092</v>
      </c>
      <c r="H326" s="91">
        <v>0.72256709704750244</v>
      </c>
      <c r="I326" s="91">
        <v>-4.7498592966994435E-2</v>
      </c>
      <c r="J326" s="91">
        <v>0.39551491410017325</v>
      </c>
    </row>
    <row r="327" spans="1:10" x14ac:dyDescent="0.3">
      <c r="A327" s="87" t="s">
        <v>55</v>
      </c>
      <c r="B327" s="59">
        <v>0</v>
      </c>
      <c r="C327" s="59">
        <v>0</v>
      </c>
      <c r="D327" s="59">
        <v>18284.204664000001</v>
      </c>
      <c r="E327" s="59">
        <v>31603.601070804852</v>
      </c>
      <c r="F327" s="59">
        <v>52227.984071999992</v>
      </c>
      <c r="G327" s="59">
        <v>48951.278934034912</v>
      </c>
      <c r="H327" s="91">
        <v>0.72846463117039906</v>
      </c>
      <c r="I327" s="91">
        <v>-6.2738495390668558E-2</v>
      </c>
      <c r="J327" s="91">
        <v>0.14242489772144129</v>
      </c>
    </row>
    <row r="328" spans="1:10" x14ac:dyDescent="0.3">
      <c r="A328" s="88" t="s">
        <v>25</v>
      </c>
      <c r="B328" s="59">
        <v>0</v>
      </c>
      <c r="C328" s="59">
        <v>0</v>
      </c>
      <c r="D328" s="59">
        <v>18284.204664000001</v>
      </c>
      <c r="E328" s="59">
        <v>31603.601070804852</v>
      </c>
      <c r="F328" s="59">
        <v>52227.984071999992</v>
      </c>
      <c r="G328" s="59">
        <v>48951.278934034912</v>
      </c>
      <c r="H328" s="91">
        <v>0.72846463117039906</v>
      </c>
      <c r="I328" s="91">
        <v>-6.2738495390668558E-2</v>
      </c>
      <c r="J328" s="91">
        <v>0.14242489772144129</v>
      </c>
    </row>
    <row r="329" spans="1:10" x14ac:dyDescent="0.3">
      <c r="A329" s="89" t="s">
        <v>35</v>
      </c>
      <c r="B329" s="59">
        <v>0</v>
      </c>
      <c r="C329" s="59">
        <v>0</v>
      </c>
      <c r="D329" s="59">
        <v>18284.204664000001</v>
      </c>
      <c r="E329" s="59">
        <v>31603.601070804852</v>
      </c>
      <c r="F329" s="59">
        <v>52227.984071999992</v>
      </c>
      <c r="G329" s="59">
        <v>48951.278934034912</v>
      </c>
      <c r="H329" s="91">
        <v>0.72846463117039906</v>
      </c>
      <c r="I329" s="91">
        <v>-6.2738495390668558E-2</v>
      </c>
      <c r="J329" s="91">
        <v>0.14242489772144129</v>
      </c>
    </row>
    <row r="330" spans="1:10" x14ac:dyDescent="0.3">
      <c r="A330" s="90">
        <v>44501</v>
      </c>
      <c r="B330" s="59">
        <v>0</v>
      </c>
      <c r="C330" s="59">
        <v>0</v>
      </c>
      <c r="D330" s="59">
        <v>180.48476400000001</v>
      </c>
      <c r="E330" s="59">
        <v>311.96153103913656</v>
      </c>
      <c r="F330" s="59">
        <v>515.54637200000002</v>
      </c>
      <c r="G330" s="59">
        <v>483.20176831660206</v>
      </c>
      <c r="H330" s="91">
        <v>0.72846463117039928</v>
      </c>
      <c r="I330" s="91">
        <v>-6.2738495390668669E-2</v>
      </c>
      <c r="J330" s="91">
        <v>0.14242489772144129</v>
      </c>
    </row>
    <row r="331" spans="1:10" x14ac:dyDescent="0.3">
      <c r="A331" s="90">
        <v>44531</v>
      </c>
      <c r="B331" s="59">
        <v>0</v>
      </c>
      <c r="C331" s="59">
        <v>0</v>
      </c>
      <c r="D331" s="59">
        <v>30.970355999999999</v>
      </c>
      <c r="E331" s="59">
        <v>53.531164960755959</v>
      </c>
      <c r="F331" s="59">
        <v>88.465388000000004</v>
      </c>
      <c r="G331" s="59">
        <v>82.915202662728277</v>
      </c>
      <c r="H331" s="91">
        <v>0.72846463117039928</v>
      </c>
      <c r="I331" s="91">
        <v>-6.273849539066878E-2</v>
      </c>
      <c r="J331" s="91">
        <v>0.14242489772144129</v>
      </c>
    </row>
    <row r="332" spans="1:10" x14ac:dyDescent="0.3">
      <c r="A332" s="90">
        <v>44562</v>
      </c>
      <c r="B332" s="59">
        <v>0</v>
      </c>
      <c r="C332" s="59">
        <v>0</v>
      </c>
      <c r="D332" s="59">
        <v>172.07075399999999</v>
      </c>
      <c r="E332" s="59">
        <v>297.41821234782248</v>
      </c>
      <c r="F332" s="59">
        <v>491.51214199999998</v>
      </c>
      <c r="G332" s="59">
        <v>460.67540974467528</v>
      </c>
      <c r="H332" s="91">
        <v>0.72846463117039906</v>
      </c>
      <c r="I332" s="91">
        <v>-6.2738495390668669E-2</v>
      </c>
      <c r="J332" s="91">
        <v>0.14242489772144129</v>
      </c>
    </row>
    <row r="333" spans="1:10" x14ac:dyDescent="0.3">
      <c r="A333" s="90">
        <v>44593</v>
      </c>
      <c r="B333" s="59">
        <v>0</v>
      </c>
      <c r="C333" s="59">
        <v>0</v>
      </c>
      <c r="D333" s="59">
        <v>36.545699999999997</v>
      </c>
      <c r="E333" s="59">
        <v>63.167949871364058</v>
      </c>
      <c r="F333" s="59">
        <v>104.39110000000001</v>
      </c>
      <c r="G333" s="59">
        <v>97.841759453823158</v>
      </c>
      <c r="H333" s="91">
        <v>0.72846463117039928</v>
      </c>
      <c r="I333" s="91">
        <v>-6.2738495390668891E-2</v>
      </c>
      <c r="J333" s="91">
        <v>0.14242489772144107</v>
      </c>
    </row>
    <row r="334" spans="1:10" x14ac:dyDescent="0.3">
      <c r="A334" s="90">
        <v>44621</v>
      </c>
      <c r="B334" s="59">
        <v>0</v>
      </c>
      <c r="C334" s="59">
        <v>0</v>
      </c>
      <c r="D334" s="59">
        <v>527.82189599999992</v>
      </c>
      <c r="E334" s="59">
        <v>912.3214787933008</v>
      </c>
      <c r="F334" s="59">
        <v>1507.6988080000001</v>
      </c>
      <c r="G334" s="59">
        <v>1413.1080532837752</v>
      </c>
      <c r="H334" s="91">
        <v>0.7284646311703995</v>
      </c>
      <c r="I334" s="91">
        <v>-6.273849539066878E-2</v>
      </c>
      <c r="J334" s="91">
        <v>0.14242489772144129</v>
      </c>
    </row>
    <row r="335" spans="1:10" x14ac:dyDescent="0.3">
      <c r="A335" s="90">
        <v>44652</v>
      </c>
      <c r="B335" s="59">
        <v>0</v>
      </c>
      <c r="C335" s="59">
        <v>0</v>
      </c>
      <c r="D335" s="59">
        <v>2515.5510179999997</v>
      </c>
      <c r="E335" s="59">
        <v>4348.0409625176917</v>
      </c>
      <c r="F335" s="59">
        <v>7185.5550139999996</v>
      </c>
      <c r="G335" s="59">
        <v>6734.7441038747638</v>
      </c>
      <c r="H335" s="91">
        <v>0.72846463117039928</v>
      </c>
      <c r="I335" s="91">
        <v>-6.273849539066878E-2</v>
      </c>
      <c r="J335" s="91">
        <v>0.14242489772144107</v>
      </c>
    </row>
    <row r="336" spans="1:10" x14ac:dyDescent="0.3">
      <c r="A336" s="90">
        <v>44682</v>
      </c>
      <c r="B336" s="59">
        <v>0</v>
      </c>
      <c r="C336" s="59">
        <v>0</v>
      </c>
      <c r="D336" s="59">
        <v>3089.9644319999998</v>
      </c>
      <c r="E336" s="59">
        <v>5340.8942322865323</v>
      </c>
      <c r="F336" s="59">
        <v>8826.3403360000011</v>
      </c>
      <c r="G336" s="59">
        <v>8272.5890235133902</v>
      </c>
      <c r="H336" s="91">
        <v>0.7284646311703995</v>
      </c>
      <c r="I336" s="91">
        <v>-6.2738495390668891E-2</v>
      </c>
      <c r="J336" s="91">
        <v>0.14242489772144107</v>
      </c>
    </row>
    <row r="337" spans="1:10" x14ac:dyDescent="0.3">
      <c r="A337" s="90">
        <v>44713</v>
      </c>
      <c r="B337" s="59">
        <v>0</v>
      </c>
      <c r="C337" s="59">
        <v>0</v>
      </c>
      <c r="D337" s="59">
        <v>2236.9028039999998</v>
      </c>
      <c r="E337" s="59">
        <v>3866.4073800798919</v>
      </c>
      <c r="F337" s="59">
        <v>6389.609292000001</v>
      </c>
      <c r="G337" s="59">
        <v>5988.734818885684</v>
      </c>
      <c r="H337" s="91">
        <v>0.7284646311703995</v>
      </c>
      <c r="I337" s="91">
        <v>-6.2738495390668891E-2</v>
      </c>
      <c r="J337" s="91">
        <v>0.14242489772144107</v>
      </c>
    </row>
    <row r="338" spans="1:10" x14ac:dyDescent="0.3">
      <c r="A338" s="90">
        <v>44743</v>
      </c>
      <c r="B338" s="59">
        <v>0</v>
      </c>
      <c r="C338" s="59">
        <v>0</v>
      </c>
      <c r="D338" s="59">
        <v>2493.980556</v>
      </c>
      <c r="E338" s="59">
        <v>4310.7571818726874</v>
      </c>
      <c r="F338" s="59">
        <v>7123.9399880000001</v>
      </c>
      <c r="G338" s="59">
        <v>6676.9947118994614</v>
      </c>
      <c r="H338" s="91">
        <v>0.72846463117039928</v>
      </c>
      <c r="I338" s="91">
        <v>-6.273849539066878E-2</v>
      </c>
      <c r="J338" s="91">
        <v>0.14242489772144129</v>
      </c>
    </row>
    <row r="339" spans="1:10" x14ac:dyDescent="0.3">
      <c r="A339" s="90">
        <v>44774</v>
      </c>
      <c r="B339" s="59">
        <v>0</v>
      </c>
      <c r="C339" s="59">
        <v>0</v>
      </c>
      <c r="D339" s="59">
        <v>2511.0465479999998</v>
      </c>
      <c r="E339" s="59">
        <v>4340.2551454405248</v>
      </c>
      <c r="F339" s="59">
        <v>7172.688204000001</v>
      </c>
      <c r="G339" s="59">
        <v>6722.6845381746425</v>
      </c>
      <c r="H339" s="91">
        <v>0.7284646311703995</v>
      </c>
      <c r="I339" s="91">
        <v>-6.273849539066878E-2</v>
      </c>
      <c r="J339" s="91">
        <v>0.14242489772144151</v>
      </c>
    </row>
    <row r="340" spans="1:10" x14ac:dyDescent="0.3">
      <c r="A340" s="90">
        <v>44805</v>
      </c>
      <c r="B340" s="59">
        <v>0</v>
      </c>
      <c r="C340" s="59">
        <v>0</v>
      </c>
      <c r="D340" s="59">
        <v>2244.432918</v>
      </c>
      <c r="E340" s="59">
        <v>3879.4229157975728</v>
      </c>
      <c r="F340" s="59">
        <v>6411.1187140000002</v>
      </c>
      <c r="G340" s="59">
        <v>6008.8947721126806</v>
      </c>
      <c r="H340" s="91">
        <v>0.72846463117039928</v>
      </c>
      <c r="I340" s="91">
        <v>-6.273849539066878E-2</v>
      </c>
      <c r="J340" s="91">
        <v>0.14242489772144107</v>
      </c>
    </row>
    <row r="341" spans="1:10" x14ac:dyDescent="0.3">
      <c r="A341" s="90">
        <v>44835</v>
      </c>
      <c r="B341" s="59">
        <v>0</v>
      </c>
      <c r="C341" s="59">
        <v>0</v>
      </c>
      <c r="D341" s="59">
        <v>2244.432918</v>
      </c>
      <c r="E341" s="59">
        <v>3879.4229157975728</v>
      </c>
      <c r="F341" s="59">
        <v>6411.1187140000002</v>
      </c>
      <c r="G341" s="59">
        <v>6008.8947721126806</v>
      </c>
      <c r="H341" s="91">
        <v>0.72846463117039928</v>
      </c>
      <c r="I341" s="91">
        <v>-6.273849539066878E-2</v>
      </c>
      <c r="J341" s="91">
        <v>0.14242489772144107</v>
      </c>
    </row>
    <row r="342" spans="1:10" x14ac:dyDescent="0.3">
      <c r="A342" s="87" t="s">
        <v>25</v>
      </c>
      <c r="B342" s="59">
        <v>234359.76959999997</v>
      </c>
      <c r="C342" s="59">
        <v>403278.97419325879</v>
      </c>
      <c r="D342" s="59">
        <v>75033.586502400009</v>
      </c>
      <c r="E342" s="59">
        <v>129564.00935292045</v>
      </c>
      <c r="F342" s="59">
        <v>189678.09743999998</v>
      </c>
      <c r="G342" s="59">
        <v>181464.60407598599</v>
      </c>
      <c r="H342" s="91">
        <v>0.72221857074986473</v>
      </c>
      <c r="I342" s="91">
        <v>-4.3302276197767831E-2</v>
      </c>
      <c r="J342" s="91">
        <v>0.43127318253132518</v>
      </c>
    </row>
    <row r="343" spans="1:10" x14ac:dyDescent="0.3">
      <c r="A343" s="88" t="s">
        <v>25</v>
      </c>
      <c r="B343" s="59">
        <v>234359.76959999997</v>
      </c>
      <c r="C343" s="59">
        <v>403278.97419325879</v>
      </c>
      <c r="D343" s="59">
        <v>75033.586502400009</v>
      </c>
      <c r="E343" s="59">
        <v>129564.00935292045</v>
      </c>
      <c r="F343" s="59">
        <v>189678.09743999998</v>
      </c>
      <c r="G343" s="59">
        <v>181464.60407598599</v>
      </c>
      <c r="H343" s="91">
        <v>0.72221857074986473</v>
      </c>
      <c r="I343" s="91">
        <v>-4.3302276197767831E-2</v>
      </c>
      <c r="J343" s="91">
        <v>0.43127318253132518</v>
      </c>
    </row>
    <row r="344" spans="1:10" x14ac:dyDescent="0.3">
      <c r="A344" s="89" t="s">
        <v>35</v>
      </c>
      <c r="B344" s="59">
        <v>0</v>
      </c>
      <c r="C344" s="59">
        <v>0</v>
      </c>
      <c r="D344" s="59">
        <v>65286.027187199987</v>
      </c>
      <c r="E344" s="59">
        <v>112844.58890270429</v>
      </c>
      <c r="F344" s="59">
        <v>186486.51394559999</v>
      </c>
      <c r="G344" s="59">
        <v>178428.01878854382</v>
      </c>
      <c r="H344" s="91">
        <v>0.72846463117039928</v>
      </c>
      <c r="I344" s="91">
        <v>-4.3212214044640818E-2</v>
      </c>
      <c r="J344" s="91">
        <v>0.15688790517315954</v>
      </c>
    </row>
    <row r="345" spans="1:10" x14ac:dyDescent="0.3">
      <c r="A345" s="90">
        <v>44501</v>
      </c>
      <c r="B345" s="59">
        <v>0</v>
      </c>
      <c r="C345" s="59">
        <v>0</v>
      </c>
      <c r="D345" s="59">
        <v>327.01432319999998</v>
      </c>
      <c r="E345" s="59">
        <v>565.23269153732576</v>
      </c>
      <c r="F345" s="59">
        <v>934.10127360000001</v>
      </c>
      <c r="G345" s="59">
        <v>893.73668942582503</v>
      </c>
      <c r="H345" s="91">
        <v>0.7284646311703995</v>
      </c>
      <c r="I345" s="91">
        <v>-4.321221404464104E-2</v>
      </c>
      <c r="J345" s="91">
        <v>0.15688790517315931</v>
      </c>
    </row>
    <row r="346" spans="1:10" x14ac:dyDescent="0.3">
      <c r="A346" s="90">
        <v>44531</v>
      </c>
      <c r="B346" s="59">
        <v>0</v>
      </c>
      <c r="C346" s="59">
        <v>0</v>
      </c>
      <c r="D346" s="59">
        <v>288.91160639999993</v>
      </c>
      <c r="E346" s="59">
        <v>499.37349319702361</v>
      </c>
      <c r="F346" s="59">
        <v>825.2626272</v>
      </c>
      <c r="G346" s="59">
        <v>789.60120191039073</v>
      </c>
      <c r="H346" s="91">
        <v>0.72846463117039995</v>
      </c>
      <c r="I346" s="91">
        <v>-4.3212214044641151E-2</v>
      </c>
      <c r="J346" s="91">
        <v>0.15688790517315954</v>
      </c>
    </row>
    <row r="347" spans="1:10" x14ac:dyDescent="0.3">
      <c r="A347" s="90">
        <v>44562</v>
      </c>
      <c r="B347" s="59">
        <v>0</v>
      </c>
      <c r="C347" s="59">
        <v>0</v>
      </c>
      <c r="D347" s="59">
        <v>447.93129599999997</v>
      </c>
      <c r="E347" s="59">
        <v>774.233402330319</v>
      </c>
      <c r="F347" s="59">
        <v>1279.4950080000001</v>
      </c>
      <c r="G347" s="59">
        <v>1224.2051958452544</v>
      </c>
      <c r="H347" s="91">
        <v>0.7284646311703995</v>
      </c>
      <c r="I347" s="91">
        <v>-4.321221404464104E-2</v>
      </c>
      <c r="J347" s="91">
        <v>0.15688790517315954</v>
      </c>
    </row>
    <row r="348" spans="1:10" x14ac:dyDescent="0.3">
      <c r="A348" s="90">
        <v>44593</v>
      </c>
      <c r="B348" s="59">
        <v>0</v>
      </c>
      <c r="C348" s="59">
        <v>0</v>
      </c>
      <c r="D348" s="59">
        <v>214.33798079999994</v>
      </c>
      <c r="E348" s="59">
        <v>370.47561892928013</v>
      </c>
      <c r="F348" s="59">
        <v>612.24651840000001</v>
      </c>
      <c r="G348" s="59">
        <v>585.78999079881294</v>
      </c>
      <c r="H348" s="91">
        <v>0.72846463117039972</v>
      </c>
      <c r="I348" s="91">
        <v>-4.321221404464104E-2</v>
      </c>
      <c r="J348" s="91">
        <v>0.15688790517315954</v>
      </c>
    </row>
    <row r="349" spans="1:10" x14ac:dyDescent="0.3">
      <c r="A349" s="90">
        <v>44621</v>
      </c>
      <c r="B349" s="59">
        <v>0</v>
      </c>
      <c r="C349" s="59">
        <v>0</v>
      </c>
      <c r="D349" s="59">
        <v>687.80707199999983</v>
      </c>
      <c r="E349" s="59">
        <v>1188.8501970208722</v>
      </c>
      <c r="F349" s="59">
        <v>1964.6890559999999</v>
      </c>
      <c r="G349" s="59">
        <v>1879.7904919809641</v>
      </c>
      <c r="H349" s="91">
        <v>0.7284646311703995</v>
      </c>
      <c r="I349" s="91">
        <v>-4.321221404464104E-2</v>
      </c>
      <c r="J349" s="91">
        <v>0.15688790517315931</v>
      </c>
    </row>
    <row r="350" spans="1:10" x14ac:dyDescent="0.3">
      <c r="A350" s="90">
        <v>44652</v>
      </c>
      <c r="B350" s="59">
        <v>0</v>
      </c>
      <c r="C350" s="59">
        <v>0</v>
      </c>
      <c r="D350" s="59">
        <v>7835.6156543999987</v>
      </c>
      <c r="E350" s="59">
        <v>13543.584522075502</v>
      </c>
      <c r="F350" s="59">
        <v>22382.073331200001</v>
      </c>
      <c r="G350" s="59">
        <v>21414.894387649332</v>
      </c>
      <c r="H350" s="91">
        <v>0.7284646311703995</v>
      </c>
      <c r="I350" s="91">
        <v>-4.3212214044641151E-2</v>
      </c>
      <c r="J350" s="91">
        <v>0.15688790517315954</v>
      </c>
    </row>
    <row r="351" spans="1:10" x14ac:dyDescent="0.3">
      <c r="A351" s="90">
        <v>44682</v>
      </c>
      <c r="B351" s="59">
        <v>0</v>
      </c>
      <c r="C351" s="59">
        <v>0</v>
      </c>
      <c r="D351" s="59">
        <v>9360.2954591999987</v>
      </c>
      <c r="E351" s="59">
        <v>16178.939638532091</v>
      </c>
      <c r="F351" s="59">
        <v>26737.250601600001</v>
      </c>
      <c r="G351" s="59">
        <v>25581.874805638454</v>
      </c>
      <c r="H351" s="91">
        <v>0.7284646311703995</v>
      </c>
      <c r="I351" s="91">
        <v>-4.321221404464104E-2</v>
      </c>
      <c r="J351" s="91">
        <v>0.15688790517315954</v>
      </c>
    </row>
    <row r="352" spans="1:10" x14ac:dyDescent="0.3">
      <c r="A352" s="90">
        <v>44713</v>
      </c>
      <c r="B352" s="59">
        <v>0</v>
      </c>
      <c r="C352" s="59">
        <v>0</v>
      </c>
      <c r="D352" s="59">
        <v>8101.9267199999986</v>
      </c>
      <c r="E352" s="59">
        <v>14003.893779854403</v>
      </c>
      <c r="F352" s="59">
        <v>23142.778559999999</v>
      </c>
      <c r="G352" s="59">
        <v>22142.727859277551</v>
      </c>
      <c r="H352" s="91">
        <v>0.7284646311703995</v>
      </c>
      <c r="I352" s="91">
        <v>-4.3212214044640929E-2</v>
      </c>
      <c r="J352" s="91">
        <v>0.15688790517315954</v>
      </c>
    </row>
    <row r="353" spans="1:10" x14ac:dyDescent="0.3">
      <c r="A353" s="90">
        <v>44743</v>
      </c>
      <c r="B353" s="59">
        <v>0</v>
      </c>
      <c r="C353" s="59">
        <v>0</v>
      </c>
      <c r="D353" s="59">
        <v>10341.991151999999</v>
      </c>
      <c r="E353" s="59">
        <v>17875.765922109211</v>
      </c>
      <c r="F353" s="59">
        <v>29541.418895999999</v>
      </c>
      <c r="G353" s="59">
        <v>28264.868779483644</v>
      </c>
      <c r="H353" s="91">
        <v>0.72846463117039928</v>
      </c>
      <c r="I353" s="91">
        <v>-4.321221404464104E-2</v>
      </c>
      <c r="J353" s="91">
        <v>0.15688790517315931</v>
      </c>
    </row>
    <row r="354" spans="1:10" x14ac:dyDescent="0.3">
      <c r="A354" s="90">
        <v>44774</v>
      </c>
      <c r="B354" s="59">
        <v>0</v>
      </c>
      <c r="C354" s="59">
        <v>0</v>
      </c>
      <c r="D354" s="59">
        <v>8722.9928447999991</v>
      </c>
      <c r="E354" s="59">
        <v>15077.384610189263</v>
      </c>
      <c r="F354" s="59">
        <v>24916.825190400003</v>
      </c>
      <c r="G354" s="59">
        <v>23840.114006959531</v>
      </c>
      <c r="H354" s="91">
        <v>0.72846463117039928</v>
      </c>
      <c r="I354" s="91">
        <v>-4.3212214044641151E-2</v>
      </c>
      <c r="J354" s="91">
        <v>0.15688790517315931</v>
      </c>
    </row>
    <row r="355" spans="1:10" x14ac:dyDescent="0.3">
      <c r="A355" s="90">
        <v>44805</v>
      </c>
      <c r="B355" s="59">
        <v>0</v>
      </c>
      <c r="C355" s="59">
        <v>0</v>
      </c>
      <c r="D355" s="59">
        <v>9478.601539199999</v>
      </c>
      <c r="E355" s="59">
        <v>16383.427513464505</v>
      </c>
      <c r="F355" s="59">
        <v>27075.186441600003</v>
      </c>
      <c r="G355" s="59">
        <v>25905.207689787017</v>
      </c>
      <c r="H355" s="91">
        <v>0.72846463117039928</v>
      </c>
      <c r="I355" s="91">
        <v>-4.3212214044641151E-2</v>
      </c>
      <c r="J355" s="91">
        <v>0.15688790517315931</v>
      </c>
    </row>
    <row r="356" spans="1:10" x14ac:dyDescent="0.3">
      <c r="A356" s="90">
        <v>44835</v>
      </c>
      <c r="B356" s="59">
        <v>0</v>
      </c>
      <c r="C356" s="59">
        <v>0</v>
      </c>
      <c r="D356" s="59">
        <v>9478.601539199999</v>
      </c>
      <c r="E356" s="59">
        <v>16383.427513464505</v>
      </c>
      <c r="F356" s="59">
        <v>27075.186441600003</v>
      </c>
      <c r="G356" s="59">
        <v>25905.207689787017</v>
      </c>
      <c r="H356" s="91">
        <v>0.72846463117039928</v>
      </c>
      <c r="I356" s="91">
        <v>-4.3212214044641151E-2</v>
      </c>
      <c r="J356" s="91">
        <v>0.15688790517315931</v>
      </c>
    </row>
    <row r="357" spans="1:10" x14ac:dyDescent="0.3">
      <c r="A357" s="89" t="s">
        <v>25</v>
      </c>
      <c r="B357" s="59">
        <v>234359.76959999997</v>
      </c>
      <c r="C357" s="59">
        <v>403278.97419325879</v>
      </c>
      <c r="D357" s="59">
        <v>0</v>
      </c>
      <c r="E357" s="59">
        <v>0</v>
      </c>
      <c r="F357" s="59">
        <v>0</v>
      </c>
      <c r="G357" s="59">
        <v>0</v>
      </c>
      <c r="H357" s="91">
        <v>0.72076877734419331</v>
      </c>
      <c r="I357" s="91">
        <v>0</v>
      </c>
      <c r="J357" s="91">
        <v>0.72076877734419331</v>
      </c>
    </row>
    <row r="358" spans="1:10" x14ac:dyDescent="0.3">
      <c r="A358" s="90">
        <v>44501</v>
      </c>
      <c r="B358" s="59">
        <v>9226.9056</v>
      </c>
      <c r="C358" s="59">
        <v>15877.371067982293</v>
      </c>
      <c r="D358" s="59">
        <v>0</v>
      </c>
      <c r="E358" s="59">
        <v>0</v>
      </c>
      <c r="F358" s="59">
        <v>0</v>
      </c>
      <c r="G358" s="59">
        <v>0</v>
      </c>
      <c r="H358" s="91">
        <v>0.72076877734419353</v>
      </c>
      <c r="I358" s="91">
        <v>0</v>
      </c>
      <c r="J358" s="91">
        <v>0.72076877734419353</v>
      </c>
    </row>
    <row r="359" spans="1:10" x14ac:dyDescent="0.3">
      <c r="A359" s="90">
        <v>44531</v>
      </c>
      <c r="B359" s="59">
        <v>6120.9983999999995</v>
      </c>
      <c r="C359" s="59">
        <v>10532.822932893763</v>
      </c>
      <c r="D359" s="59">
        <v>0</v>
      </c>
      <c r="E359" s="59">
        <v>0</v>
      </c>
      <c r="F359" s="59">
        <v>0</v>
      </c>
      <c r="G359" s="59">
        <v>0</v>
      </c>
      <c r="H359" s="91">
        <v>0.72076877734419331</v>
      </c>
      <c r="I359" s="91">
        <v>0</v>
      </c>
      <c r="J359" s="91">
        <v>0.72076877734419331</v>
      </c>
    </row>
    <row r="360" spans="1:10" x14ac:dyDescent="0.3">
      <c r="A360" s="90">
        <v>44562</v>
      </c>
      <c r="B360" s="59">
        <v>7991.808</v>
      </c>
      <c r="C360" s="59">
        <v>13752.053680929544</v>
      </c>
      <c r="D360" s="59">
        <v>0</v>
      </c>
      <c r="E360" s="59">
        <v>0</v>
      </c>
      <c r="F360" s="59">
        <v>0</v>
      </c>
      <c r="G360" s="59">
        <v>0</v>
      </c>
      <c r="H360" s="91">
        <v>0.72076877734419353</v>
      </c>
      <c r="I360" s="91">
        <v>0</v>
      </c>
      <c r="J360" s="91">
        <v>0.72076877734419353</v>
      </c>
    </row>
    <row r="361" spans="1:10" x14ac:dyDescent="0.3">
      <c r="A361" s="90">
        <v>44593</v>
      </c>
      <c r="B361" s="59">
        <v>7010.9952000000003</v>
      </c>
      <c r="C361" s="59">
        <v>12064.30163827001</v>
      </c>
      <c r="D361" s="59">
        <v>0</v>
      </c>
      <c r="E361" s="59">
        <v>0</v>
      </c>
      <c r="F361" s="59">
        <v>0</v>
      </c>
      <c r="G361" s="59">
        <v>0</v>
      </c>
      <c r="H361" s="91">
        <v>0.72076877734419353</v>
      </c>
      <c r="I361" s="91">
        <v>0</v>
      </c>
      <c r="J361" s="91">
        <v>0.72076877734419353</v>
      </c>
    </row>
    <row r="362" spans="1:10" x14ac:dyDescent="0.3">
      <c r="A362" s="90">
        <v>44621</v>
      </c>
      <c r="B362" s="59">
        <v>29133.772799999999</v>
      </c>
      <c r="C362" s="59">
        <v>50132.486600479519</v>
      </c>
      <c r="D362" s="59">
        <v>0</v>
      </c>
      <c r="E362" s="59">
        <v>0</v>
      </c>
      <c r="F362" s="59">
        <v>0</v>
      </c>
      <c r="G362" s="59">
        <v>0</v>
      </c>
      <c r="H362" s="91">
        <v>0.72076877734419353</v>
      </c>
      <c r="I362" s="91">
        <v>0</v>
      </c>
      <c r="J362" s="91">
        <v>0.72076877734419353</v>
      </c>
    </row>
    <row r="363" spans="1:10" x14ac:dyDescent="0.3">
      <c r="A363" s="90">
        <v>44652</v>
      </c>
      <c r="B363" s="59">
        <v>26917.862399999998</v>
      </c>
      <c r="C363" s="59">
        <v>46319.417170767236</v>
      </c>
      <c r="D363" s="59">
        <v>0</v>
      </c>
      <c r="E363" s="59">
        <v>0</v>
      </c>
      <c r="F363" s="59">
        <v>0</v>
      </c>
      <c r="G363" s="59">
        <v>0</v>
      </c>
      <c r="H363" s="91">
        <v>0.72076877734419353</v>
      </c>
      <c r="I363" s="91">
        <v>0</v>
      </c>
      <c r="J363" s="91">
        <v>0.72076877734419353</v>
      </c>
    </row>
    <row r="364" spans="1:10" x14ac:dyDescent="0.3">
      <c r="A364" s="90">
        <v>44682</v>
      </c>
      <c r="B364" s="59">
        <v>26663.577600000001</v>
      </c>
      <c r="C364" s="59">
        <v>45881.851826374026</v>
      </c>
      <c r="D364" s="59">
        <v>0</v>
      </c>
      <c r="E364" s="59">
        <v>0</v>
      </c>
      <c r="F364" s="59">
        <v>0</v>
      </c>
      <c r="G364" s="59">
        <v>0</v>
      </c>
      <c r="H364" s="91">
        <v>0.72076877734419353</v>
      </c>
      <c r="I364" s="91">
        <v>0</v>
      </c>
      <c r="J364" s="91">
        <v>0.72076877734419353</v>
      </c>
    </row>
    <row r="365" spans="1:10" x14ac:dyDescent="0.3">
      <c r="A365" s="90">
        <v>44713</v>
      </c>
      <c r="B365" s="59">
        <v>28643.366399999999</v>
      </c>
      <c r="C365" s="59">
        <v>49288.610579149754</v>
      </c>
      <c r="D365" s="59">
        <v>0</v>
      </c>
      <c r="E365" s="59">
        <v>0</v>
      </c>
      <c r="F365" s="59">
        <v>0</v>
      </c>
      <c r="G365" s="59">
        <v>0</v>
      </c>
      <c r="H365" s="91">
        <v>0.72076877734419353</v>
      </c>
      <c r="I365" s="91">
        <v>0</v>
      </c>
      <c r="J365" s="91">
        <v>0.72076877734419353</v>
      </c>
    </row>
    <row r="366" spans="1:10" x14ac:dyDescent="0.3">
      <c r="A366" s="90">
        <v>44743</v>
      </c>
      <c r="B366" s="59">
        <v>24956.236799999999</v>
      </c>
      <c r="C366" s="59">
        <v>42943.91308544817</v>
      </c>
      <c r="D366" s="59">
        <v>0</v>
      </c>
      <c r="E366" s="59">
        <v>0</v>
      </c>
      <c r="F366" s="59">
        <v>0</v>
      </c>
      <c r="G366" s="59">
        <v>0</v>
      </c>
      <c r="H366" s="91">
        <v>0.72076877734419376</v>
      </c>
      <c r="I366" s="91">
        <v>0</v>
      </c>
      <c r="J366" s="91">
        <v>0.72076877734419376</v>
      </c>
    </row>
    <row r="367" spans="1:10" x14ac:dyDescent="0.3">
      <c r="A367" s="90">
        <v>44774</v>
      </c>
      <c r="B367" s="59">
        <v>32493.964799999998</v>
      </c>
      <c r="C367" s="59">
        <v>55914.600079961267</v>
      </c>
      <c r="D367" s="59">
        <v>0</v>
      </c>
      <c r="E367" s="59">
        <v>0</v>
      </c>
      <c r="F367" s="59">
        <v>0</v>
      </c>
      <c r="G367" s="59">
        <v>0</v>
      </c>
      <c r="H367" s="91">
        <v>0.72076877734419376</v>
      </c>
      <c r="I367" s="91">
        <v>0</v>
      </c>
      <c r="J367" s="91">
        <v>0.72076877734419376</v>
      </c>
    </row>
    <row r="368" spans="1:10" x14ac:dyDescent="0.3">
      <c r="A368" s="90">
        <v>44805</v>
      </c>
      <c r="B368" s="59">
        <v>17600.140800000001</v>
      </c>
      <c r="C368" s="59">
        <v>30285.772765501657</v>
      </c>
      <c r="D368" s="59">
        <v>0</v>
      </c>
      <c r="E368" s="59">
        <v>0</v>
      </c>
      <c r="F368" s="59">
        <v>0</v>
      </c>
      <c r="G368" s="59">
        <v>0</v>
      </c>
      <c r="H368" s="91">
        <v>0.72076877734419353</v>
      </c>
      <c r="I368" s="91">
        <v>0</v>
      </c>
      <c r="J368" s="91">
        <v>0.72076877734419353</v>
      </c>
    </row>
    <row r="369" spans="1:10" x14ac:dyDescent="0.3">
      <c r="A369" s="90">
        <v>44835</v>
      </c>
      <c r="B369" s="59">
        <v>17600.140800000001</v>
      </c>
      <c r="C369" s="59">
        <v>30285.772765501657</v>
      </c>
      <c r="D369" s="59">
        <v>0</v>
      </c>
      <c r="E369" s="59">
        <v>0</v>
      </c>
      <c r="F369" s="59">
        <v>0</v>
      </c>
      <c r="G369" s="59">
        <v>0</v>
      </c>
      <c r="H369" s="91">
        <v>0.72076877734419353</v>
      </c>
      <c r="I369" s="91">
        <v>0</v>
      </c>
      <c r="J369" s="91">
        <v>0.72076877734419353</v>
      </c>
    </row>
    <row r="370" spans="1:10" x14ac:dyDescent="0.3">
      <c r="A370" s="89" t="s">
        <v>34</v>
      </c>
      <c r="B370" s="59">
        <v>0</v>
      </c>
      <c r="C370" s="59">
        <v>0</v>
      </c>
      <c r="D370" s="59">
        <v>9747.5593151999965</v>
      </c>
      <c r="E370" s="59">
        <v>16719.420450216152</v>
      </c>
      <c r="F370" s="59">
        <v>3191.5834944000003</v>
      </c>
      <c r="G370" s="59">
        <v>3036.5852874421325</v>
      </c>
      <c r="H370" s="91">
        <v>0.71524172457658031</v>
      </c>
      <c r="I370" s="91">
        <v>-4.8564672436058776E-2</v>
      </c>
      <c r="J370" s="91">
        <v>0.52684038103363551</v>
      </c>
    </row>
    <row r="371" spans="1:10" x14ac:dyDescent="0.3">
      <c r="A371" s="90">
        <v>44501</v>
      </c>
      <c r="B371" s="59">
        <v>0</v>
      </c>
      <c r="C371" s="59">
        <v>0</v>
      </c>
      <c r="D371" s="59">
        <v>557.92177919999995</v>
      </c>
      <c r="E371" s="59">
        <v>956.97071473384165</v>
      </c>
      <c r="F371" s="59">
        <v>182.67690239999999</v>
      </c>
      <c r="G371" s="59">
        <v>173.80525847331012</v>
      </c>
      <c r="H371" s="91">
        <v>0.71524172457657964</v>
      </c>
      <c r="I371" s="91">
        <v>-4.8564672436058776E-2</v>
      </c>
      <c r="J371" s="91">
        <v>0.52684038103363506</v>
      </c>
    </row>
    <row r="372" spans="1:10" x14ac:dyDescent="0.3">
      <c r="A372" s="90">
        <v>44531</v>
      </c>
      <c r="B372" s="59">
        <v>0</v>
      </c>
      <c r="C372" s="59">
        <v>0</v>
      </c>
      <c r="D372" s="59">
        <v>595.80535679999991</v>
      </c>
      <c r="E372" s="59">
        <v>1021.9502077095965</v>
      </c>
      <c r="F372" s="59">
        <v>195.08088960000001</v>
      </c>
      <c r="G372" s="59">
        <v>185.60685009804106</v>
      </c>
      <c r="H372" s="91">
        <v>0.71524172457658008</v>
      </c>
      <c r="I372" s="91">
        <v>-4.8564672436058776E-2</v>
      </c>
      <c r="J372" s="91">
        <v>0.52684038103363551</v>
      </c>
    </row>
    <row r="373" spans="1:10" x14ac:dyDescent="0.3">
      <c r="A373" s="90">
        <v>44562</v>
      </c>
      <c r="B373" s="59">
        <v>0</v>
      </c>
      <c r="C373" s="59">
        <v>0</v>
      </c>
      <c r="D373" s="59">
        <v>383.42772479999996</v>
      </c>
      <c r="E373" s="59">
        <v>657.67123193642612</v>
      </c>
      <c r="F373" s="59">
        <v>125.54338560000001</v>
      </c>
      <c r="G373" s="59">
        <v>119.4464122018222</v>
      </c>
      <c r="H373" s="91">
        <v>0.71524172457657964</v>
      </c>
      <c r="I373" s="91">
        <v>-4.8564672436058665E-2</v>
      </c>
      <c r="J373" s="91">
        <v>0.52684038103363506</v>
      </c>
    </row>
    <row r="374" spans="1:10" x14ac:dyDescent="0.3">
      <c r="A374" s="90">
        <v>44593</v>
      </c>
      <c r="B374" s="59">
        <v>0</v>
      </c>
      <c r="C374" s="59">
        <v>0</v>
      </c>
      <c r="D374" s="59">
        <v>427.05123839999993</v>
      </c>
      <c r="E374" s="59">
        <v>732.49610263578006</v>
      </c>
      <c r="F374" s="59">
        <v>139.82676480000001</v>
      </c>
      <c r="G374" s="59">
        <v>133.03612376969417</v>
      </c>
      <c r="H374" s="91">
        <v>0.71524172457657986</v>
      </c>
      <c r="I374" s="91">
        <v>-4.8564672436058776E-2</v>
      </c>
      <c r="J374" s="91">
        <v>0.52684038103363529</v>
      </c>
    </row>
    <row r="375" spans="1:10" x14ac:dyDescent="0.3">
      <c r="A375" s="90">
        <v>44621</v>
      </c>
      <c r="B375" s="59">
        <v>0</v>
      </c>
      <c r="C375" s="59">
        <v>0</v>
      </c>
      <c r="D375" s="59">
        <v>820.81084799999985</v>
      </c>
      <c r="E375" s="59">
        <v>1407.8890144746849</v>
      </c>
      <c r="F375" s="59">
        <v>268.75305600000002</v>
      </c>
      <c r="G375" s="59">
        <v>255.70115186917025</v>
      </c>
      <c r="H375" s="91">
        <v>0.71524172457658008</v>
      </c>
      <c r="I375" s="91">
        <v>-4.8564672436058776E-2</v>
      </c>
      <c r="J375" s="91">
        <v>0.52684038103363529</v>
      </c>
    </row>
    <row r="376" spans="1:10" x14ac:dyDescent="0.3">
      <c r="A376" s="90">
        <v>44652</v>
      </c>
      <c r="B376" s="59">
        <v>0</v>
      </c>
      <c r="C376" s="59">
        <v>0</v>
      </c>
      <c r="D376" s="59">
        <v>917.24177279999992</v>
      </c>
      <c r="E376" s="59">
        <v>1573.2913602311514</v>
      </c>
      <c r="F376" s="59">
        <v>300.32684160000002</v>
      </c>
      <c r="G376" s="59">
        <v>285.74156691393995</v>
      </c>
      <c r="H376" s="91">
        <v>0.71524172457658008</v>
      </c>
      <c r="I376" s="91">
        <v>-4.8564672436058665E-2</v>
      </c>
      <c r="J376" s="91">
        <v>0.52684038103363551</v>
      </c>
    </row>
    <row r="377" spans="1:10" x14ac:dyDescent="0.3">
      <c r="A377" s="90">
        <v>44682</v>
      </c>
      <c r="B377" s="59">
        <v>0</v>
      </c>
      <c r="C377" s="59">
        <v>0</v>
      </c>
      <c r="D377" s="59">
        <v>786.37123199999996</v>
      </c>
      <c r="E377" s="59">
        <v>1348.8167481330895</v>
      </c>
      <c r="F377" s="59">
        <v>257.47670400000004</v>
      </c>
      <c r="G377" s="59">
        <v>244.97243221032397</v>
      </c>
      <c r="H377" s="91">
        <v>0.71524172457657964</v>
      </c>
      <c r="I377" s="91">
        <v>-4.8564672436058776E-2</v>
      </c>
      <c r="J377" s="91">
        <v>0.52684038103363506</v>
      </c>
    </row>
    <row r="378" spans="1:10" x14ac:dyDescent="0.3">
      <c r="A378" s="90">
        <v>44713</v>
      </c>
      <c r="B378" s="59">
        <v>0</v>
      </c>
      <c r="C378" s="59">
        <v>0</v>
      </c>
      <c r="D378" s="59">
        <v>1447.6118591999996</v>
      </c>
      <c r="E378" s="59">
        <v>2483.0042618917169</v>
      </c>
      <c r="F378" s="59">
        <v>473.98266239999998</v>
      </c>
      <c r="G378" s="59">
        <v>450.96384966017297</v>
      </c>
      <c r="H378" s="91">
        <v>0.71524172457658008</v>
      </c>
      <c r="I378" s="91">
        <v>-4.8564672436058776E-2</v>
      </c>
      <c r="J378" s="91">
        <v>0.52684038103363551</v>
      </c>
    </row>
    <row r="379" spans="1:10" x14ac:dyDescent="0.3">
      <c r="A379" s="90">
        <v>44743</v>
      </c>
      <c r="B379" s="59">
        <v>0</v>
      </c>
      <c r="C379" s="59">
        <v>0</v>
      </c>
      <c r="D379" s="59">
        <v>1219.1624063999998</v>
      </c>
      <c r="E379" s="59">
        <v>2091.1582284924689</v>
      </c>
      <c r="F379" s="59">
        <v>399.18286080000001</v>
      </c>
      <c r="G379" s="59">
        <v>379.79667592315923</v>
      </c>
      <c r="H379" s="91">
        <v>0.71524172457657986</v>
      </c>
      <c r="I379" s="91">
        <v>-4.8564672436058665E-2</v>
      </c>
      <c r="J379" s="91">
        <v>0.52684038103363551</v>
      </c>
    </row>
    <row r="380" spans="1:10" x14ac:dyDescent="0.3">
      <c r="A380" s="90">
        <v>44774</v>
      </c>
      <c r="B380" s="59">
        <v>0</v>
      </c>
      <c r="C380" s="59">
        <v>0</v>
      </c>
      <c r="D380" s="59">
        <v>927.57365759999993</v>
      </c>
      <c r="E380" s="59">
        <v>1591.0130401336298</v>
      </c>
      <c r="F380" s="59">
        <v>303.70974720000004</v>
      </c>
      <c r="G380" s="59">
        <v>288.96018281159382</v>
      </c>
      <c r="H380" s="91">
        <v>0.71524172457657986</v>
      </c>
      <c r="I380" s="91">
        <v>-4.8564672436058776E-2</v>
      </c>
      <c r="J380" s="91">
        <v>0.52684038103363506</v>
      </c>
    </row>
    <row r="381" spans="1:10" x14ac:dyDescent="0.3">
      <c r="A381" s="90">
        <v>44805</v>
      </c>
      <c r="B381" s="59">
        <v>0</v>
      </c>
      <c r="C381" s="59">
        <v>0</v>
      </c>
      <c r="D381" s="59">
        <v>832.29071999999985</v>
      </c>
      <c r="E381" s="59">
        <v>1427.5797699218831</v>
      </c>
      <c r="F381" s="59">
        <v>272.51184000000001</v>
      </c>
      <c r="G381" s="59">
        <v>259.27739175545236</v>
      </c>
      <c r="H381" s="91">
        <v>0.71524172457657986</v>
      </c>
      <c r="I381" s="91">
        <v>-4.8564672436058776E-2</v>
      </c>
      <c r="J381" s="91">
        <v>0.52684038103363529</v>
      </c>
    </row>
    <row r="382" spans="1:10" x14ac:dyDescent="0.3">
      <c r="A382" s="90">
        <v>44835</v>
      </c>
      <c r="B382" s="59">
        <v>0</v>
      </c>
      <c r="C382" s="59">
        <v>0</v>
      </c>
      <c r="D382" s="59">
        <v>832.29071999999985</v>
      </c>
      <c r="E382" s="59">
        <v>1427.5797699218831</v>
      </c>
      <c r="F382" s="59">
        <v>272.51184000000001</v>
      </c>
      <c r="G382" s="59">
        <v>259.27739175545236</v>
      </c>
      <c r="H382" s="91">
        <v>0.71524172457657986</v>
      </c>
      <c r="I382" s="91">
        <v>-4.8564672436058776E-2</v>
      </c>
      <c r="J382" s="91">
        <v>0.52684038103363529</v>
      </c>
    </row>
    <row r="383" spans="1:10" x14ac:dyDescent="0.3">
      <c r="A383" s="86" t="s">
        <v>56</v>
      </c>
      <c r="B383" s="59">
        <v>54.489599999999996</v>
      </c>
      <c r="C383" s="59">
        <v>93.764002369974165</v>
      </c>
      <c r="D383" s="59">
        <v>307.06975679999999</v>
      </c>
      <c r="E383" s="59">
        <v>528.04204270544255</v>
      </c>
      <c r="F383" s="59">
        <v>357.44093759999998</v>
      </c>
      <c r="G383" s="59">
        <v>341.63499794028598</v>
      </c>
      <c r="H383" s="91">
        <v>0.7197896649079798</v>
      </c>
      <c r="I383" s="91">
        <v>-4.4219724147551043E-2</v>
      </c>
      <c r="J383" s="91">
        <v>0.33997308557388917</v>
      </c>
    </row>
    <row r="384" spans="1:10" x14ac:dyDescent="0.3">
      <c r="A384" s="87" t="s">
        <v>25</v>
      </c>
      <c r="B384" s="59">
        <v>54.489599999999996</v>
      </c>
      <c r="C384" s="59">
        <v>93.764002369974165</v>
      </c>
      <c r="D384" s="59">
        <v>307.06975679999999</v>
      </c>
      <c r="E384" s="59">
        <v>528.04204270544255</v>
      </c>
      <c r="F384" s="59">
        <v>357.44093759999998</v>
      </c>
      <c r="G384" s="59">
        <v>341.63499794028598</v>
      </c>
      <c r="H384" s="91">
        <v>0.7197896649079798</v>
      </c>
      <c r="I384" s="91">
        <v>-4.4219724147551043E-2</v>
      </c>
      <c r="J384" s="91">
        <v>0.33997308557388917</v>
      </c>
    </row>
    <row r="385" spans="1:10" x14ac:dyDescent="0.3">
      <c r="A385" s="88" t="s">
        <v>25</v>
      </c>
      <c r="B385" s="59">
        <v>54.489599999999996</v>
      </c>
      <c r="C385" s="59">
        <v>93.764002369974165</v>
      </c>
      <c r="D385" s="59">
        <v>307.06975679999999</v>
      </c>
      <c r="E385" s="59">
        <v>528.04204270544255</v>
      </c>
      <c r="F385" s="59">
        <v>357.44093759999998</v>
      </c>
      <c r="G385" s="59">
        <v>341.63499794028598</v>
      </c>
      <c r="H385" s="91">
        <v>0.7197896649079798</v>
      </c>
      <c r="I385" s="91">
        <v>-4.4219724147551043E-2</v>
      </c>
      <c r="J385" s="91">
        <v>0.33997308557388917</v>
      </c>
    </row>
    <row r="386" spans="1:10" x14ac:dyDescent="0.3">
      <c r="A386" s="89" t="s">
        <v>35</v>
      </c>
      <c r="B386" s="59">
        <v>0</v>
      </c>
      <c r="C386" s="59">
        <v>0</v>
      </c>
      <c r="D386" s="59">
        <v>101.58004800000001</v>
      </c>
      <c r="E386" s="59">
        <v>175.57752020059144</v>
      </c>
      <c r="F386" s="59">
        <v>290.158704</v>
      </c>
      <c r="G386" s="59">
        <v>277.62030397583635</v>
      </c>
      <c r="H386" s="91">
        <v>0.72846463117039906</v>
      </c>
      <c r="I386" s="91">
        <v>-4.321221404464104E-2</v>
      </c>
      <c r="J386" s="91">
        <v>0.15688790517315931</v>
      </c>
    </row>
    <row r="387" spans="1:10" x14ac:dyDescent="0.3">
      <c r="A387" s="90">
        <v>44501</v>
      </c>
      <c r="B387" s="59">
        <v>0</v>
      </c>
      <c r="C387" s="59">
        <v>0</v>
      </c>
      <c r="D387" s="59">
        <v>32.472979199999997</v>
      </c>
      <c r="E387" s="59">
        <v>56.128396015932047</v>
      </c>
      <c r="F387" s="59">
        <v>92.757561600000002</v>
      </c>
      <c r="G387" s="59">
        <v>88.749301993881829</v>
      </c>
      <c r="H387" s="91">
        <v>0.7284646311703995</v>
      </c>
      <c r="I387" s="91">
        <v>-4.321221404464104E-2</v>
      </c>
      <c r="J387" s="91">
        <v>0.15688790517315954</v>
      </c>
    </row>
    <row r="388" spans="1:10" x14ac:dyDescent="0.3">
      <c r="A388" s="90">
        <v>44531</v>
      </c>
      <c r="B388" s="59">
        <v>0</v>
      </c>
      <c r="C388" s="59">
        <v>0</v>
      </c>
      <c r="D388" s="59">
        <v>34.104787199999997</v>
      </c>
      <c r="E388" s="59">
        <v>58.948918428792958</v>
      </c>
      <c r="F388" s="59">
        <v>97.418745599999994</v>
      </c>
      <c r="G388" s="59">
        <v>93.209065913172367</v>
      </c>
      <c r="H388" s="91">
        <v>0.7284646311703995</v>
      </c>
      <c r="I388" s="91">
        <v>-4.321221404464104E-2</v>
      </c>
      <c r="J388" s="91">
        <v>0.15688790517315931</v>
      </c>
    </row>
    <row r="389" spans="1:10" x14ac:dyDescent="0.3">
      <c r="A389" s="90">
        <v>44562</v>
      </c>
      <c r="B389" s="59">
        <v>0</v>
      </c>
      <c r="C389" s="59">
        <v>0</v>
      </c>
      <c r="D389" s="59">
        <v>35.002281599999996</v>
      </c>
      <c r="E389" s="59">
        <v>60.500205755866446</v>
      </c>
      <c r="F389" s="59">
        <v>99.982396800000004</v>
      </c>
      <c r="G389" s="59">
        <v>95.661936068782168</v>
      </c>
      <c r="H389" s="91">
        <v>0.72846463117039928</v>
      </c>
      <c r="I389" s="91">
        <v>-4.321221404464104E-2</v>
      </c>
      <c r="J389" s="91">
        <v>0.15688790517315931</v>
      </c>
    </row>
    <row r="390" spans="1:10" x14ac:dyDescent="0.3">
      <c r="A390" s="89" t="s">
        <v>25</v>
      </c>
      <c r="B390" s="59">
        <v>54.489599999999996</v>
      </c>
      <c r="C390" s="59">
        <v>93.764002369974165</v>
      </c>
      <c r="D390" s="59">
        <v>0</v>
      </c>
      <c r="E390" s="59">
        <v>0</v>
      </c>
      <c r="F390" s="59">
        <v>0</v>
      </c>
      <c r="G390" s="59">
        <v>0</v>
      </c>
      <c r="H390" s="91">
        <v>0.72076877734419353</v>
      </c>
      <c r="I390" s="91">
        <v>0</v>
      </c>
      <c r="J390" s="91">
        <v>0.72076877734419353</v>
      </c>
    </row>
    <row r="391" spans="1:10" x14ac:dyDescent="0.3">
      <c r="A391" s="90">
        <v>44501</v>
      </c>
      <c r="B391" s="59">
        <v>18.1632</v>
      </c>
      <c r="C391" s="59">
        <v>31.254667456658055</v>
      </c>
      <c r="D391" s="59">
        <v>0</v>
      </c>
      <c r="E391" s="59">
        <v>0</v>
      </c>
      <c r="F391" s="59">
        <v>0</v>
      </c>
      <c r="G391" s="59">
        <v>0</v>
      </c>
      <c r="H391" s="91">
        <v>0.72076877734419353</v>
      </c>
      <c r="I391" s="91">
        <v>0</v>
      </c>
      <c r="J391" s="91">
        <v>0.72076877734419353</v>
      </c>
    </row>
    <row r="392" spans="1:10" x14ac:dyDescent="0.3">
      <c r="A392" s="90">
        <v>44531</v>
      </c>
      <c r="B392" s="59">
        <v>18.1632</v>
      </c>
      <c r="C392" s="59">
        <v>31.254667456658055</v>
      </c>
      <c r="D392" s="59">
        <v>0</v>
      </c>
      <c r="E392" s="59">
        <v>0</v>
      </c>
      <c r="F392" s="59">
        <v>0</v>
      </c>
      <c r="G392" s="59">
        <v>0</v>
      </c>
      <c r="H392" s="91">
        <v>0.72076877734419353</v>
      </c>
      <c r="I392" s="91">
        <v>0</v>
      </c>
      <c r="J392" s="91">
        <v>0.72076877734419353</v>
      </c>
    </row>
    <row r="393" spans="1:10" x14ac:dyDescent="0.3">
      <c r="A393" s="90">
        <v>44562</v>
      </c>
      <c r="B393" s="59">
        <v>18.1632</v>
      </c>
      <c r="C393" s="59">
        <v>31.254667456658055</v>
      </c>
      <c r="D393" s="59">
        <v>0</v>
      </c>
      <c r="E393" s="59">
        <v>0</v>
      </c>
      <c r="F393" s="59">
        <v>0</v>
      </c>
      <c r="G393" s="59">
        <v>0</v>
      </c>
      <c r="H393" s="91">
        <v>0.72076877734419353</v>
      </c>
      <c r="I393" s="91">
        <v>0</v>
      </c>
      <c r="J393" s="91">
        <v>0.72076877734419353</v>
      </c>
    </row>
    <row r="394" spans="1:10" x14ac:dyDescent="0.3">
      <c r="A394" s="89" t="s">
        <v>34</v>
      </c>
      <c r="B394" s="59">
        <v>0</v>
      </c>
      <c r="C394" s="59">
        <v>0</v>
      </c>
      <c r="D394" s="59">
        <v>205.48970879999996</v>
      </c>
      <c r="E394" s="59">
        <v>352.46452250485117</v>
      </c>
      <c r="F394" s="59">
        <v>67.282233599999998</v>
      </c>
      <c r="G394" s="59">
        <v>64.01469396444962</v>
      </c>
      <c r="H394" s="91">
        <v>0.71524172457658008</v>
      </c>
      <c r="I394" s="91">
        <v>-4.8564672436058665E-2</v>
      </c>
      <c r="J394" s="91">
        <v>0.52684038103363551</v>
      </c>
    </row>
    <row r="395" spans="1:10" x14ac:dyDescent="0.3">
      <c r="A395" s="90">
        <v>44501</v>
      </c>
      <c r="B395" s="59">
        <v>0</v>
      </c>
      <c r="C395" s="59">
        <v>0</v>
      </c>
      <c r="D395" s="59">
        <v>68.879231999999988</v>
      </c>
      <c r="E395" s="59">
        <v>118.14453268319033</v>
      </c>
      <c r="F395" s="59">
        <v>22.552703999999999</v>
      </c>
      <c r="G395" s="59">
        <v>21.457439317692607</v>
      </c>
      <c r="H395" s="91">
        <v>0.71524172457658008</v>
      </c>
      <c r="I395" s="91">
        <v>-4.8564672436058776E-2</v>
      </c>
      <c r="J395" s="91">
        <v>0.52684038103363551</v>
      </c>
    </row>
    <row r="396" spans="1:10" x14ac:dyDescent="0.3">
      <c r="A396" s="90">
        <v>44531</v>
      </c>
      <c r="B396" s="59">
        <v>0</v>
      </c>
      <c r="C396" s="59">
        <v>0</v>
      </c>
      <c r="D396" s="59">
        <v>74.619167999999988</v>
      </c>
      <c r="E396" s="59">
        <v>127.98991040678952</v>
      </c>
      <c r="F396" s="59">
        <v>24.432096000000001</v>
      </c>
      <c r="G396" s="59">
        <v>23.245559260833662</v>
      </c>
      <c r="H396" s="91">
        <v>0.71524172457657986</v>
      </c>
      <c r="I396" s="91">
        <v>-4.8564672436058665E-2</v>
      </c>
      <c r="J396" s="91">
        <v>0.52684038103363529</v>
      </c>
    </row>
    <row r="397" spans="1:10" x14ac:dyDescent="0.3">
      <c r="A397" s="90">
        <v>44562</v>
      </c>
      <c r="B397" s="59">
        <v>0</v>
      </c>
      <c r="C397" s="59">
        <v>0</v>
      </c>
      <c r="D397" s="59">
        <v>61.991308799999992</v>
      </c>
      <c r="E397" s="59">
        <v>106.33007941487129</v>
      </c>
      <c r="F397" s="59">
        <v>20.297433599999998</v>
      </c>
      <c r="G397" s="59">
        <v>19.311695385923347</v>
      </c>
      <c r="H397" s="91">
        <v>0.71524172457657986</v>
      </c>
      <c r="I397" s="91">
        <v>-4.8564672436058665E-2</v>
      </c>
      <c r="J397" s="91">
        <v>0.52684038103363529</v>
      </c>
    </row>
    <row r="398" spans="1:10" x14ac:dyDescent="0.3">
      <c r="A398" s="86" t="s">
        <v>25</v>
      </c>
      <c r="B398" s="59">
        <v>10825.2672</v>
      </c>
      <c r="C398" s="59">
        <v>18627.7818041682</v>
      </c>
      <c r="D398" s="59">
        <v>33544.414339199997</v>
      </c>
      <c r="E398" s="59">
        <v>57700.905334508643</v>
      </c>
      <c r="F398" s="59">
        <v>42374.232624000004</v>
      </c>
      <c r="G398" s="59">
        <v>40506.113646555656</v>
      </c>
      <c r="H398" s="91">
        <v>0.72028927165595058</v>
      </c>
      <c r="I398" s="91">
        <v>-4.4086201961950788E-2</v>
      </c>
      <c r="J398" s="91">
        <v>0.34689334591726517</v>
      </c>
    </row>
    <row r="399" spans="1:10" x14ac:dyDescent="0.3">
      <c r="A399" s="87" t="s">
        <v>25</v>
      </c>
      <c r="B399" s="59">
        <v>10825.2672</v>
      </c>
      <c r="C399" s="59">
        <v>18627.7818041682</v>
      </c>
      <c r="D399" s="59">
        <v>33544.414339199997</v>
      </c>
      <c r="E399" s="59">
        <v>57700.905334508643</v>
      </c>
      <c r="F399" s="59">
        <v>42374.232624000004</v>
      </c>
      <c r="G399" s="59">
        <v>40506.113646555656</v>
      </c>
      <c r="H399" s="91">
        <v>0.72028927165595058</v>
      </c>
      <c r="I399" s="91">
        <v>-4.4086201961950788E-2</v>
      </c>
      <c r="J399" s="91">
        <v>0.34689334591726517</v>
      </c>
    </row>
    <row r="400" spans="1:10" x14ac:dyDescent="0.3">
      <c r="A400" s="88" t="s">
        <v>25</v>
      </c>
      <c r="B400" s="59">
        <v>10825.2672</v>
      </c>
      <c r="C400" s="59">
        <v>18627.7818041682</v>
      </c>
      <c r="D400" s="59">
        <v>33544.414339199997</v>
      </c>
      <c r="E400" s="59">
        <v>57700.905334508643</v>
      </c>
      <c r="F400" s="59">
        <v>42374.232624000004</v>
      </c>
      <c r="G400" s="59">
        <v>40506.113646555656</v>
      </c>
      <c r="H400" s="91">
        <v>0.72028927165595058</v>
      </c>
      <c r="I400" s="91">
        <v>-4.4086201961950788E-2</v>
      </c>
      <c r="J400" s="91">
        <v>0.34689334591726517</v>
      </c>
    </row>
    <row r="401" spans="1:10" x14ac:dyDescent="0.3">
      <c r="A401" s="89" t="s">
        <v>35</v>
      </c>
      <c r="B401" s="59">
        <v>0</v>
      </c>
      <c r="C401" s="59">
        <v>0</v>
      </c>
      <c r="D401" s="59">
        <v>12412.265961599998</v>
      </c>
      <c r="E401" s="59">
        <v>21454.162707305841</v>
      </c>
      <c r="F401" s="59">
        <v>35455.063036799998</v>
      </c>
      <c r="G401" s="59">
        <v>33922.971263887557</v>
      </c>
      <c r="H401" s="91">
        <v>0.72846463117039906</v>
      </c>
      <c r="I401" s="91">
        <v>-4.321221404464104E-2</v>
      </c>
      <c r="J401" s="91">
        <v>0.15688790517315931</v>
      </c>
    </row>
    <row r="402" spans="1:10" x14ac:dyDescent="0.3">
      <c r="A402" s="90">
        <v>44743</v>
      </c>
      <c r="B402" s="59">
        <v>0</v>
      </c>
      <c r="C402" s="59">
        <v>0</v>
      </c>
      <c r="D402" s="59">
        <v>3489.2950463999991</v>
      </c>
      <c r="E402" s="59">
        <v>6031.1230754204771</v>
      </c>
      <c r="F402" s="59">
        <v>9967.0097471999998</v>
      </c>
      <c r="G402" s="59">
        <v>9536.3131886189694</v>
      </c>
      <c r="H402" s="91">
        <v>0.72846463117039972</v>
      </c>
      <c r="I402" s="91">
        <v>-4.321221404464104E-2</v>
      </c>
      <c r="J402" s="91">
        <v>0.15688790517315954</v>
      </c>
    </row>
    <row r="403" spans="1:10" x14ac:dyDescent="0.3">
      <c r="A403" s="90">
        <v>44774</v>
      </c>
      <c r="B403" s="59">
        <v>0</v>
      </c>
      <c r="C403" s="59">
        <v>0</v>
      </c>
      <c r="D403" s="59">
        <v>3067.7174495999993</v>
      </c>
      <c r="E403" s="59">
        <v>5302.4411100578618</v>
      </c>
      <c r="F403" s="59">
        <v>8762.7928608000002</v>
      </c>
      <c r="G403" s="59">
        <v>8384.1331800702574</v>
      </c>
      <c r="H403" s="91">
        <v>0.72846463117039972</v>
      </c>
      <c r="I403" s="91">
        <v>-4.3212214044641151E-2</v>
      </c>
      <c r="J403" s="91">
        <v>0.15688790517315954</v>
      </c>
    </row>
    <row r="404" spans="1:10" x14ac:dyDescent="0.3">
      <c r="A404" s="90">
        <v>44805</v>
      </c>
      <c r="B404" s="59">
        <v>0</v>
      </c>
      <c r="C404" s="59">
        <v>0</v>
      </c>
      <c r="D404" s="59">
        <v>2927.6267327999994</v>
      </c>
      <c r="E404" s="59">
        <v>5060.2992609137527</v>
      </c>
      <c r="F404" s="59">
        <v>8362.6302144000001</v>
      </c>
      <c r="G404" s="59">
        <v>8001.2624475991643</v>
      </c>
      <c r="H404" s="91">
        <v>0.7284646311703995</v>
      </c>
      <c r="I404" s="91">
        <v>-4.3212214044641151E-2</v>
      </c>
      <c r="J404" s="91">
        <v>0.15688790517315931</v>
      </c>
    </row>
    <row r="405" spans="1:10" x14ac:dyDescent="0.3">
      <c r="A405" s="90">
        <v>44835</v>
      </c>
      <c r="B405" s="59">
        <v>0</v>
      </c>
      <c r="C405" s="59">
        <v>0</v>
      </c>
      <c r="D405" s="59">
        <v>2927.6267327999994</v>
      </c>
      <c r="E405" s="59">
        <v>5060.2992609137527</v>
      </c>
      <c r="F405" s="59">
        <v>8362.6302144000001</v>
      </c>
      <c r="G405" s="59">
        <v>8001.2624475991643</v>
      </c>
      <c r="H405" s="91">
        <v>0.7284646311703995</v>
      </c>
      <c r="I405" s="91">
        <v>-4.3212214044641151E-2</v>
      </c>
      <c r="J405" s="91">
        <v>0.15688790517315931</v>
      </c>
    </row>
    <row r="406" spans="1:10" x14ac:dyDescent="0.3">
      <c r="A406" s="89" t="s">
        <v>25</v>
      </c>
      <c r="B406" s="59">
        <v>10825.2672</v>
      </c>
      <c r="C406" s="59">
        <v>18627.7818041682</v>
      </c>
      <c r="D406" s="59">
        <v>0</v>
      </c>
      <c r="E406" s="59">
        <v>0</v>
      </c>
      <c r="F406" s="59">
        <v>0</v>
      </c>
      <c r="G406" s="59">
        <v>0</v>
      </c>
      <c r="H406" s="91">
        <v>0.72076877734419331</v>
      </c>
      <c r="I406" s="91">
        <v>0</v>
      </c>
      <c r="J406" s="91">
        <v>0.72076877734419331</v>
      </c>
    </row>
    <row r="407" spans="1:10" x14ac:dyDescent="0.3">
      <c r="A407" s="90">
        <v>44743</v>
      </c>
      <c r="B407" s="59">
        <v>2706.3168000000001</v>
      </c>
      <c r="C407" s="59">
        <v>4656.9454510420501</v>
      </c>
      <c r="D407" s="59">
        <v>0</v>
      </c>
      <c r="E407" s="59">
        <v>0</v>
      </c>
      <c r="F407" s="59">
        <v>0</v>
      </c>
      <c r="G407" s="59">
        <v>0</v>
      </c>
      <c r="H407" s="91">
        <v>0.72076877734419331</v>
      </c>
      <c r="I407" s="91">
        <v>0</v>
      </c>
      <c r="J407" s="91">
        <v>0.72076877734419331</v>
      </c>
    </row>
    <row r="408" spans="1:10" x14ac:dyDescent="0.3">
      <c r="A408" s="90">
        <v>44774</v>
      </c>
      <c r="B408" s="59">
        <v>2706.3168000000001</v>
      </c>
      <c r="C408" s="59">
        <v>4656.9454510420501</v>
      </c>
      <c r="D408" s="59">
        <v>0</v>
      </c>
      <c r="E408" s="59">
        <v>0</v>
      </c>
      <c r="F408" s="59">
        <v>0</v>
      </c>
      <c r="G408" s="59">
        <v>0</v>
      </c>
      <c r="H408" s="91">
        <v>0.72076877734419331</v>
      </c>
      <c r="I408" s="91">
        <v>0</v>
      </c>
      <c r="J408" s="91">
        <v>0.72076877734419331</v>
      </c>
    </row>
    <row r="409" spans="1:10" x14ac:dyDescent="0.3">
      <c r="A409" s="90">
        <v>44805</v>
      </c>
      <c r="B409" s="59">
        <v>2706.3168000000001</v>
      </c>
      <c r="C409" s="59">
        <v>4656.9454510420501</v>
      </c>
      <c r="D409" s="59">
        <v>0</v>
      </c>
      <c r="E409" s="59">
        <v>0</v>
      </c>
      <c r="F409" s="59">
        <v>0</v>
      </c>
      <c r="G409" s="59">
        <v>0</v>
      </c>
      <c r="H409" s="91">
        <v>0.72076877734419331</v>
      </c>
      <c r="I409" s="91">
        <v>0</v>
      </c>
      <c r="J409" s="91">
        <v>0.72076877734419331</v>
      </c>
    </row>
    <row r="410" spans="1:10" x14ac:dyDescent="0.3">
      <c r="A410" s="90">
        <v>44835</v>
      </c>
      <c r="B410" s="59">
        <v>2706.3168000000001</v>
      </c>
      <c r="C410" s="59">
        <v>4656.9454510420501</v>
      </c>
      <c r="D410" s="59">
        <v>0</v>
      </c>
      <c r="E410" s="59">
        <v>0</v>
      </c>
      <c r="F410" s="59">
        <v>0</v>
      </c>
      <c r="G410" s="59">
        <v>0</v>
      </c>
      <c r="H410" s="91">
        <v>0.72076877734419331</v>
      </c>
      <c r="I410" s="91">
        <v>0</v>
      </c>
      <c r="J410" s="91">
        <v>0.72076877734419331</v>
      </c>
    </row>
    <row r="411" spans="1:10" x14ac:dyDescent="0.3">
      <c r="A411" s="89" t="s">
        <v>34</v>
      </c>
      <c r="B411" s="59">
        <v>0</v>
      </c>
      <c r="C411" s="59">
        <v>0</v>
      </c>
      <c r="D411" s="59">
        <v>21132.148377599999</v>
      </c>
      <c r="E411" s="59">
        <v>36246.742627202795</v>
      </c>
      <c r="F411" s="59">
        <v>6919.1695872</v>
      </c>
      <c r="G411" s="59">
        <v>6583.1423826680921</v>
      </c>
      <c r="H411" s="91">
        <v>0.71524172457657986</v>
      </c>
      <c r="I411" s="91">
        <v>-4.8564672436058776E-2</v>
      </c>
      <c r="J411" s="91">
        <v>0.52684038103363506</v>
      </c>
    </row>
    <row r="412" spans="1:10" x14ac:dyDescent="0.3">
      <c r="A412" s="90">
        <v>44743</v>
      </c>
      <c r="B412" s="59">
        <v>0</v>
      </c>
      <c r="C412" s="59">
        <v>0</v>
      </c>
      <c r="D412" s="59">
        <v>5558.5540223999988</v>
      </c>
      <c r="E412" s="59">
        <v>9534.2637875334603</v>
      </c>
      <c r="F412" s="59">
        <v>1820.0032127999998</v>
      </c>
      <c r="G412" s="59">
        <v>1731.6153529377934</v>
      </c>
      <c r="H412" s="91">
        <v>0.71524172457658008</v>
      </c>
      <c r="I412" s="91">
        <v>-4.8564672436058665E-2</v>
      </c>
      <c r="J412" s="91">
        <v>0.52684038103363551</v>
      </c>
    </row>
    <row r="413" spans="1:10" x14ac:dyDescent="0.3">
      <c r="A413" s="90">
        <v>44774</v>
      </c>
      <c r="B413" s="59">
        <v>0</v>
      </c>
      <c r="C413" s="59">
        <v>0</v>
      </c>
      <c r="D413" s="59">
        <v>5620.5453311999991</v>
      </c>
      <c r="E413" s="59">
        <v>9640.593866948333</v>
      </c>
      <c r="F413" s="59">
        <v>1840.3006464</v>
      </c>
      <c r="G413" s="59">
        <v>1750.9270483237169</v>
      </c>
      <c r="H413" s="91">
        <v>0.71524172457658031</v>
      </c>
      <c r="I413" s="91">
        <v>-4.8564672436058665E-2</v>
      </c>
      <c r="J413" s="91">
        <v>0.52684038103363551</v>
      </c>
    </row>
    <row r="414" spans="1:10" x14ac:dyDescent="0.3">
      <c r="A414" s="90">
        <v>44805</v>
      </c>
      <c r="B414" s="59">
        <v>0</v>
      </c>
      <c r="C414" s="59">
        <v>0</v>
      </c>
      <c r="D414" s="59">
        <v>4976.524511999999</v>
      </c>
      <c r="E414" s="59">
        <v>8535.9424863605018</v>
      </c>
      <c r="F414" s="59">
        <v>1629.4328639999999</v>
      </c>
      <c r="G414" s="59">
        <v>1550.2999907032911</v>
      </c>
      <c r="H414" s="91">
        <v>0.71524172457658008</v>
      </c>
      <c r="I414" s="91">
        <v>-4.8564672436058554E-2</v>
      </c>
      <c r="J414" s="91">
        <v>0.52684038103363573</v>
      </c>
    </row>
    <row r="415" spans="1:10" x14ac:dyDescent="0.3">
      <c r="A415" s="90">
        <v>44835</v>
      </c>
      <c r="B415" s="59">
        <v>0</v>
      </c>
      <c r="C415" s="59">
        <v>0</v>
      </c>
      <c r="D415" s="59">
        <v>4976.524511999999</v>
      </c>
      <c r="E415" s="59">
        <v>8535.9424863605018</v>
      </c>
      <c r="F415" s="59">
        <v>1629.4328639999999</v>
      </c>
      <c r="G415" s="59">
        <v>1550.2999907032911</v>
      </c>
      <c r="H415" s="91">
        <v>0.71524172457658008</v>
      </c>
      <c r="I415" s="91">
        <v>-4.8564672436058554E-2</v>
      </c>
      <c r="J415" s="91">
        <v>0.52684038103363573</v>
      </c>
    </row>
    <row r="416" spans="1:10" x14ac:dyDescent="0.3">
      <c r="A416" s="85" t="s">
        <v>50</v>
      </c>
      <c r="B416" s="59">
        <v>6402.5279999999993</v>
      </c>
      <c r="C416" s="59">
        <v>9962.425251809751</v>
      </c>
      <c r="D416" s="59">
        <v>13659.0253106</v>
      </c>
      <c r="E416" s="59">
        <v>23489.89241997401</v>
      </c>
      <c r="F416" s="59">
        <v>16208.520025400001</v>
      </c>
      <c r="G416" s="59">
        <v>15660.484307921381</v>
      </c>
      <c r="H416" s="91">
        <v>0.66748392578895843</v>
      </c>
      <c r="I416" s="91">
        <v>-3.3811582835435061E-2</v>
      </c>
      <c r="J416" s="91">
        <v>0.35408609529769119</v>
      </c>
    </row>
    <row r="417" spans="1:10" x14ac:dyDescent="0.3">
      <c r="A417" s="86" t="s">
        <v>51</v>
      </c>
      <c r="B417" s="59">
        <v>6402.5279999999993</v>
      </c>
      <c r="C417" s="59">
        <v>9962.425251809751</v>
      </c>
      <c r="D417" s="59">
        <v>13659.0253106</v>
      </c>
      <c r="E417" s="59">
        <v>23489.89241997401</v>
      </c>
      <c r="F417" s="59">
        <v>16208.520025400001</v>
      </c>
      <c r="G417" s="59">
        <v>15660.484307921381</v>
      </c>
      <c r="H417" s="91">
        <v>0.66748392578895843</v>
      </c>
      <c r="I417" s="91">
        <v>-3.3811582835435061E-2</v>
      </c>
      <c r="J417" s="91">
        <v>0.35408609529769119</v>
      </c>
    </row>
    <row r="418" spans="1:10" x14ac:dyDescent="0.3">
      <c r="A418" s="87" t="s">
        <v>25</v>
      </c>
      <c r="B418" s="59">
        <v>6402.5279999999993</v>
      </c>
      <c r="C418" s="59">
        <v>9962.425251809751</v>
      </c>
      <c r="D418" s="59">
        <v>13659.0253106</v>
      </c>
      <c r="E418" s="59">
        <v>23489.89241997401</v>
      </c>
      <c r="F418" s="59">
        <v>16208.520025400001</v>
      </c>
      <c r="G418" s="59">
        <v>15660.484307921381</v>
      </c>
      <c r="H418" s="91">
        <v>0.66748392578895843</v>
      </c>
      <c r="I418" s="91">
        <v>-3.3811582835435061E-2</v>
      </c>
      <c r="J418" s="91">
        <v>0.35408609529769119</v>
      </c>
    </row>
    <row r="419" spans="1:10" x14ac:dyDescent="0.3">
      <c r="A419" s="88" t="s">
        <v>25</v>
      </c>
      <c r="B419" s="59">
        <v>6402.5279999999993</v>
      </c>
      <c r="C419" s="59">
        <v>9962.425251809751</v>
      </c>
      <c r="D419" s="59">
        <v>13659.0253106</v>
      </c>
      <c r="E419" s="59">
        <v>23489.89241997401</v>
      </c>
      <c r="F419" s="59">
        <v>16208.520025400001</v>
      </c>
      <c r="G419" s="59">
        <v>15660.484307921381</v>
      </c>
      <c r="H419" s="91">
        <v>0.66748392578895843</v>
      </c>
      <c r="I419" s="91">
        <v>-3.3811582835435061E-2</v>
      </c>
      <c r="J419" s="91">
        <v>0.35408609529769119</v>
      </c>
    </row>
    <row r="420" spans="1:10" x14ac:dyDescent="0.3">
      <c r="A420" s="89" t="s">
        <v>35</v>
      </c>
      <c r="B420" s="59">
        <v>0</v>
      </c>
      <c r="C420" s="59">
        <v>0</v>
      </c>
      <c r="D420" s="59">
        <v>4640.6052821999992</v>
      </c>
      <c r="E420" s="59">
        <v>8021.1220975052292</v>
      </c>
      <c r="F420" s="59">
        <v>13255.674130599999</v>
      </c>
      <c r="G420" s="59">
        <v>12820.544774307904</v>
      </c>
      <c r="H420" s="91">
        <v>0.7284646311703995</v>
      </c>
      <c r="I420" s="91">
        <v>-3.2825894179732584E-2</v>
      </c>
      <c r="J420" s="91">
        <v>0.16458099424322237</v>
      </c>
    </row>
    <row r="421" spans="1:10" x14ac:dyDescent="0.3">
      <c r="A421" s="90">
        <v>44501</v>
      </c>
      <c r="B421" s="59">
        <v>0</v>
      </c>
      <c r="C421" s="59">
        <v>0</v>
      </c>
      <c r="D421" s="59">
        <v>339.29537819999996</v>
      </c>
      <c r="E421" s="59">
        <v>586.46006073828414</v>
      </c>
      <c r="F421" s="59">
        <v>969.18153859999995</v>
      </c>
      <c r="G421" s="59">
        <v>937.36728797296587</v>
      </c>
      <c r="H421" s="91">
        <v>0.7284646311703995</v>
      </c>
      <c r="I421" s="91">
        <v>-3.2825894179732695E-2</v>
      </c>
      <c r="J421" s="91">
        <v>0.16458099424322259</v>
      </c>
    </row>
    <row r="422" spans="1:10" x14ac:dyDescent="0.3">
      <c r="A422" s="90">
        <v>44531</v>
      </c>
      <c r="B422" s="59">
        <v>0</v>
      </c>
      <c r="C422" s="59">
        <v>0</v>
      </c>
      <c r="D422" s="59">
        <v>358.06966919999996</v>
      </c>
      <c r="E422" s="59">
        <v>618.91075870708482</v>
      </c>
      <c r="F422" s="59">
        <v>1022.8094316</v>
      </c>
      <c r="G422" s="59">
        <v>989.23479743226596</v>
      </c>
      <c r="H422" s="91">
        <v>0.72846463117039928</v>
      </c>
      <c r="I422" s="91">
        <v>-3.2825894179732584E-2</v>
      </c>
      <c r="J422" s="91">
        <v>0.16458099424322237</v>
      </c>
    </row>
    <row r="423" spans="1:10" x14ac:dyDescent="0.3">
      <c r="A423" s="90">
        <v>44562</v>
      </c>
      <c r="B423" s="59">
        <v>0</v>
      </c>
      <c r="C423" s="59">
        <v>0</v>
      </c>
      <c r="D423" s="59">
        <v>384.03411419999998</v>
      </c>
      <c r="E423" s="59">
        <v>663.78938355755395</v>
      </c>
      <c r="F423" s="59">
        <v>1096.9756666000001</v>
      </c>
      <c r="G423" s="59">
        <v>1060.9664594504468</v>
      </c>
      <c r="H423" s="91">
        <v>0.72846463117039928</v>
      </c>
      <c r="I423" s="91">
        <v>-3.2825894179732695E-2</v>
      </c>
      <c r="J423" s="91">
        <v>0.16458099424322237</v>
      </c>
    </row>
    <row r="424" spans="1:10" x14ac:dyDescent="0.3">
      <c r="A424" s="90">
        <v>44593</v>
      </c>
      <c r="B424" s="59">
        <v>0</v>
      </c>
      <c r="C424" s="59">
        <v>0</v>
      </c>
      <c r="D424" s="59">
        <v>328.27047539999995</v>
      </c>
      <c r="E424" s="59">
        <v>567.40390618639265</v>
      </c>
      <c r="F424" s="59">
        <v>937.68941419999999</v>
      </c>
      <c r="G424" s="59">
        <v>906.90892071601525</v>
      </c>
      <c r="H424" s="91">
        <v>0.7284646311703995</v>
      </c>
      <c r="I424" s="91">
        <v>-3.2825894179732695E-2</v>
      </c>
      <c r="J424" s="91">
        <v>0.16458099424322215</v>
      </c>
    </row>
    <row r="425" spans="1:10" x14ac:dyDescent="0.3">
      <c r="A425" s="90">
        <v>44621</v>
      </c>
      <c r="B425" s="59">
        <v>0</v>
      </c>
      <c r="C425" s="59">
        <v>0</v>
      </c>
      <c r="D425" s="59">
        <v>353.83546739999997</v>
      </c>
      <c r="E425" s="59">
        <v>611.59209065454684</v>
      </c>
      <c r="F425" s="59">
        <v>1010.7146302000001</v>
      </c>
      <c r="G425" s="59">
        <v>977.53701870314717</v>
      </c>
      <c r="H425" s="91">
        <v>0.7284646311703995</v>
      </c>
      <c r="I425" s="91">
        <v>-3.2825894179732806E-2</v>
      </c>
      <c r="J425" s="91">
        <v>0.16458099424322215</v>
      </c>
    </row>
    <row r="426" spans="1:10" x14ac:dyDescent="0.3">
      <c r="A426" s="90">
        <v>44652</v>
      </c>
      <c r="B426" s="59">
        <v>0</v>
      </c>
      <c r="C426" s="59">
        <v>0</v>
      </c>
      <c r="D426" s="59">
        <v>366.05872919999996</v>
      </c>
      <c r="E426" s="59">
        <v>632.71956635338302</v>
      </c>
      <c r="F426" s="59">
        <v>1045.6298116</v>
      </c>
      <c r="G426" s="59">
        <v>1011.3060780532445</v>
      </c>
      <c r="H426" s="91">
        <v>0.72846463117039928</v>
      </c>
      <c r="I426" s="91">
        <v>-3.2825894179732806E-2</v>
      </c>
      <c r="J426" s="91">
        <v>0.16458099424322215</v>
      </c>
    </row>
    <row r="427" spans="1:10" x14ac:dyDescent="0.3">
      <c r="A427" s="90">
        <v>44682</v>
      </c>
      <c r="B427" s="59">
        <v>0</v>
      </c>
      <c r="C427" s="59">
        <v>0</v>
      </c>
      <c r="D427" s="59">
        <v>386.67050399999994</v>
      </c>
      <c r="E427" s="59">
        <v>668.34629008083232</v>
      </c>
      <c r="F427" s="59">
        <v>1104.506392</v>
      </c>
      <c r="G427" s="59">
        <v>1068.2499820553696</v>
      </c>
      <c r="H427" s="91">
        <v>0.72846463117039928</v>
      </c>
      <c r="I427" s="91">
        <v>-3.2825894179732695E-2</v>
      </c>
      <c r="J427" s="91">
        <v>0.16458099424322237</v>
      </c>
    </row>
    <row r="428" spans="1:10" x14ac:dyDescent="0.3">
      <c r="A428" s="90">
        <v>44713</v>
      </c>
      <c r="B428" s="59">
        <v>0</v>
      </c>
      <c r="C428" s="59">
        <v>0</v>
      </c>
      <c r="D428" s="59">
        <v>383.63466119999993</v>
      </c>
      <c r="E428" s="59">
        <v>663.09894317523913</v>
      </c>
      <c r="F428" s="59">
        <v>1095.8346475999999</v>
      </c>
      <c r="G428" s="59">
        <v>1059.8628954193975</v>
      </c>
      <c r="H428" s="91">
        <v>0.72846463117039972</v>
      </c>
      <c r="I428" s="91">
        <v>-3.2825894179732806E-2</v>
      </c>
      <c r="J428" s="91">
        <v>0.16458099424322215</v>
      </c>
    </row>
    <row r="429" spans="1:10" x14ac:dyDescent="0.3">
      <c r="A429" s="90">
        <v>44743</v>
      </c>
      <c r="B429" s="59">
        <v>0</v>
      </c>
      <c r="C429" s="59">
        <v>0</v>
      </c>
      <c r="D429" s="59">
        <v>431.48913059999995</v>
      </c>
      <c r="E429" s="59">
        <v>745.8137009765652</v>
      </c>
      <c r="F429" s="59">
        <v>1232.5287237999999</v>
      </c>
      <c r="G429" s="59">
        <v>1192.0698663390601</v>
      </c>
      <c r="H429" s="91">
        <v>0.72846463117039928</v>
      </c>
      <c r="I429" s="91">
        <v>-3.2825894179732695E-2</v>
      </c>
      <c r="J429" s="91">
        <v>0.16458099424322237</v>
      </c>
    </row>
    <row r="430" spans="1:10" x14ac:dyDescent="0.3">
      <c r="A430" s="90">
        <v>44774</v>
      </c>
      <c r="B430" s="59">
        <v>0</v>
      </c>
      <c r="C430" s="59">
        <v>0</v>
      </c>
      <c r="D430" s="59">
        <v>446.10911039999991</v>
      </c>
      <c r="E430" s="59">
        <v>771.08381896929097</v>
      </c>
      <c r="F430" s="59">
        <v>1274.2900192</v>
      </c>
      <c r="G430" s="59">
        <v>1232.4603098754512</v>
      </c>
      <c r="H430" s="91">
        <v>0.72846463117039972</v>
      </c>
      <c r="I430" s="91">
        <v>-3.2825894179732695E-2</v>
      </c>
      <c r="J430" s="91">
        <v>0.16458099424322237</v>
      </c>
    </row>
    <row r="431" spans="1:10" x14ac:dyDescent="0.3">
      <c r="A431" s="90">
        <v>44805</v>
      </c>
      <c r="B431" s="59">
        <v>0</v>
      </c>
      <c r="C431" s="59">
        <v>0</v>
      </c>
      <c r="D431" s="59">
        <v>431.56902119999995</v>
      </c>
      <c r="E431" s="59">
        <v>745.95178905302828</v>
      </c>
      <c r="F431" s="59">
        <v>1232.7569275999999</v>
      </c>
      <c r="G431" s="59">
        <v>1192.2905791452699</v>
      </c>
      <c r="H431" s="91">
        <v>0.7284646311703995</v>
      </c>
      <c r="I431" s="91">
        <v>-3.2825894179732695E-2</v>
      </c>
      <c r="J431" s="91">
        <v>0.16458099424322237</v>
      </c>
    </row>
    <row r="432" spans="1:10" x14ac:dyDescent="0.3">
      <c r="A432" s="90">
        <v>44835</v>
      </c>
      <c r="B432" s="59">
        <v>0</v>
      </c>
      <c r="C432" s="59">
        <v>0</v>
      </c>
      <c r="D432" s="59">
        <v>431.56902119999995</v>
      </c>
      <c r="E432" s="59">
        <v>745.95178905302828</v>
      </c>
      <c r="F432" s="59">
        <v>1232.7569275999999</v>
      </c>
      <c r="G432" s="59">
        <v>1192.2905791452699</v>
      </c>
      <c r="H432" s="91">
        <v>0.7284646311703995</v>
      </c>
      <c r="I432" s="91">
        <v>-3.2825894179732695E-2</v>
      </c>
      <c r="J432" s="91">
        <v>0.16458099424322237</v>
      </c>
    </row>
    <row r="433" spans="1:10" x14ac:dyDescent="0.3">
      <c r="A433" s="89" t="s">
        <v>25</v>
      </c>
      <c r="B433" s="59">
        <v>6402.5279999999993</v>
      </c>
      <c r="C433" s="59">
        <v>9962.425251809751</v>
      </c>
      <c r="D433" s="59">
        <v>0</v>
      </c>
      <c r="E433" s="59">
        <v>0</v>
      </c>
      <c r="F433" s="59">
        <v>0</v>
      </c>
      <c r="G433" s="59">
        <v>0</v>
      </c>
      <c r="H433" s="91">
        <v>0.55601431993889783</v>
      </c>
      <c r="I433" s="91">
        <v>0</v>
      </c>
      <c r="J433" s="91">
        <v>0.55601431993889783</v>
      </c>
    </row>
    <row r="434" spans="1:10" x14ac:dyDescent="0.3">
      <c r="A434" s="90">
        <v>44501</v>
      </c>
      <c r="B434" s="59">
        <v>533.54399999999998</v>
      </c>
      <c r="C434" s="59">
        <v>830.20210431747955</v>
      </c>
      <c r="D434" s="59">
        <v>0</v>
      </c>
      <c r="E434" s="59">
        <v>0</v>
      </c>
      <c r="F434" s="59">
        <v>0</v>
      </c>
      <c r="G434" s="59">
        <v>0</v>
      </c>
      <c r="H434" s="91">
        <v>0.55601431993889827</v>
      </c>
      <c r="I434" s="91">
        <v>0</v>
      </c>
      <c r="J434" s="91">
        <v>0.55601431993889827</v>
      </c>
    </row>
    <row r="435" spans="1:10" x14ac:dyDescent="0.3">
      <c r="A435" s="90">
        <v>44531</v>
      </c>
      <c r="B435" s="59">
        <v>533.54399999999998</v>
      </c>
      <c r="C435" s="59">
        <v>830.20210431747955</v>
      </c>
      <c r="D435" s="59">
        <v>0</v>
      </c>
      <c r="E435" s="59">
        <v>0</v>
      </c>
      <c r="F435" s="59">
        <v>0</v>
      </c>
      <c r="G435" s="59">
        <v>0</v>
      </c>
      <c r="H435" s="91">
        <v>0.55601431993889827</v>
      </c>
      <c r="I435" s="91">
        <v>0</v>
      </c>
      <c r="J435" s="91">
        <v>0.55601431993889827</v>
      </c>
    </row>
    <row r="436" spans="1:10" x14ac:dyDescent="0.3">
      <c r="A436" s="90">
        <v>44562</v>
      </c>
      <c r="B436" s="59">
        <v>533.54399999999998</v>
      </c>
      <c r="C436" s="59">
        <v>830.20210431747955</v>
      </c>
      <c r="D436" s="59">
        <v>0</v>
      </c>
      <c r="E436" s="59">
        <v>0</v>
      </c>
      <c r="F436" s="59">
        <v>0</v>
      </c>
      <c r="G436" s="59">
        <v>0</v>
      </c>
      <c r="H436" s="91">
        <v>0.55601431993889827</v>
      </c>
      <c r="I436" s="91">
        <v>0</v>
      </c>
      <c r="J436" s="91">
        <v>0.55601431993889827</v>
      </c>
    </row>
    <row r="437" spans="1:10" x14ac:dyDescent="0.3">
      <c r="A437" s="90">
        <v>44593</v>
      </c>
      <c r="B437" s="59">
        <v>533.54399999999998</v>
      </c>
      <c r="C437" s="59">
        <v>830.20210431747955</v>
      </c>
      <c r="D437" s="59">
        <v>0</v>
      </c>
      <c r="E437" s="59">
        <v>0</v>
      </c>
      <c r="F437" s="59">
        <v>0</v>
      </c>
      <c r="G437" s="59">
        <v>0</v>
      </c>
      <c r="H437" s="91">
        <v>0.55601431993889827</v>
      </c>
      <c r="I437" s="91">
        <v>0</v>
      </c>
      <c r="J437" s="91">
        <v>0.55601431993889827</v>
      </c>
    </row>
    <row r="438" spans="1:10" x14ac:dyDescent="0.3">
      <c r="A438" s="90">
        <v>44621</v>
      </c>
      <c r="B438" s="59">
        <v>533.54399999999998</v>
      </c>
      <c r="C438" s="59">
        <v>830.20210431747955</v>
      </c>
      <c r="D438" s="59">
        <v>0</v>
      </c>
      <c r="E438" s="59">
        <v>0</v>
      </c>
      <c r="F438" s="59">
        <v>0</v>
      </c>
      <c r="G438" s="59">
        <v>0</v>
      </c>
      <c r="H438" s="91">
        <v>0.55601431993889827</v>
      </c>
      <c r="I438" s="91">
        <v>0</v>
      </c>
      <c r="J438" s="91">
        <v>0.55601431993889827</v>
      </c>
    </row>
    <row r="439" spans="1:10" x14ac:dyDescent="0.3">
      <c r="A439" s="90">
        <v>44652</v>
      </c>
      <c r="B439" s="59">
        <v>533.54399999999998</v>
      </c>
      <c r="C439" s="59">
        <v>830.20210431747955</v>
      </c>
      <c r="D439" s="59">
        <v>0</v>
      </c>
      <c r="E439" s="59">
        <v>0</v>
      </c>
      <c r="F439" s="59">
        <v>0</v>
      </c>
      <c r="G439" s="59">
        <v>0</v>
      </c>
      <c r="H439" s="91">
        <v>0.55601431993889827</v>
      </c>
      <c r="I439" s="91">
        <v>0</v>
      </c>
      <c r="J439" s="91">
        <v>0.55601431993889827</v>
      </c>
    </row>
    <row r="440" spans="1:10" x14ac:dyDescent="0.3">
      <c r="A440" s="90">
        <v>44682</v>
      </c>
      <c r="B440" s="59">
        <v>533.54399999999998</v>
      </c>
      <c r="C440" s="59">
        <v>830.20210431747955</v>
      </c>
      <c r="D440" s="59">
        <v>0</v>
      </c>
      <c r="E440" s="59">
        <v>0</v>
      </c>
      <c r="F440" s="59">
        <v>0</v>
      </c>
      <c r="G440" s="59">
        <v>0</v>
      </c>
      <c r="H440" s="91">
        <v>0.55601431993889827</v>
      </c>
      <c r="I440" s="91">
        <v>0</v>
      </c>
      <c r="J440" s="91">
        <v>0.55601431993889827</v>
      </c>
    </row>
    <row r="441" spans="1:10" x14ac:dyDescent="0.3">
      <c r="A441" s="90">
        <v>44713</v>
      </c>
      <c r="B441" s="59">
        <v>533.54399999999998</v>
      </c>
      <c r="C441" s="59">
        <v>830.20210431747955</v>
      </c>
      <c r="D441" s="59">
        <v>0</v>
      </c>
      <c r="E441" s="59">
        <v>0</v>
      </c>
      <c r="F441" s="59">
        <v>0</v>
      </c>
      <c r="G441" s="59">
        <v>0</v>
      </c>
      <c r="H441" s="91">
        <v>0.55601431993889827</v>
      </c>
      <c r="I441" s="91">
        <v>0</v>
      </c>
      <c r="J441" s="91">
        <v>0.55601431993889827</v>
      </c>
    </row>
    <row r="442" spans="1:10" x14ac:dyDescent="0.3">
      <c r="A442" s="90">
        <v>44743</v>
      </c>
      <c r="B442" s="59">
        <v>533.54399999999998</v>
      </c>
      <c r="C442" s="59">
        <v>830.20210431747955</v>
      </c>
      <c r="D442" s="59">
        <v>0</v>
      </c>
      <c r="E442" s="59">
        <v>0</v>
      </c>
      <c r="F442" s="59">
        <v>0</v>
      </c>
      <c r="G442" s="59">
        <v>0</v>
      </c>
      <c r="H442" s="91">
        <v>0.55601431993889827</v>
      </c>
      <c r="I442" s="91">
        <v>0</v>
      </c>
      <c r="J442" s="91">
        <v>0.55601431993889827</v>
      </c>
    </row>
    <row r="443" spans="1:10" x14ac:dyDescent="0.3">
      <c r="A443" s="90">
        <v>44774</v>
      </c>
      <c r="B443" s="59">
        <v>533.54399999999998</v>
      </c>
      <c r="C443" s="59">
        <v>830.20210431747955</v>
      </c>
      <c r="D443" s="59">
        <v>0</v>
      </c>
      <c r="E443" s="59">
        <v>0</v>
      </c>
      <c r="F443" s="59">
        <v>0</v>
      </c>
      <c r="G443" s="59">
        <v>0</v>
      </c>
      <c r="H443" s="91">
        <v>0.55601431993889827</v>
      </c>
      <c r="I443" s="91">
        <v>0</v>
      </c>
      <c r="J443" s="91">
        <v>0.55601431993889827</v>
      </c>
    </row>
    <row r="444" spans="1:10" x14ac:dyDescent="0.3">
      <c r="A444" s="90">
        <v>44805</v>
      </c>
      <c r="B444" s="59">
        <v>533.54399999999998</v>
      </c>
      <c r="C444" s="59">
        <v>830.20210431747955</v>
      </c>
      <c r="D444" s="59">
        <v>0</v>
      </c>
      <c r="E444" s="59">
        <v>0</v>
      </c>
      <c r="F444" s="59">
        <v>0</v>
      </c>
      <c r="G444" s="59">
        <v>0</v>
      </c>
      <c r="H444" s="91">
        <v>0.55601431993889827</v>
      </c>
      <c r="I444" s="91">
        <v>0</v>
      </c>
      <c r="J444" s="91">
        <v>0.55601431993889827</v>
      </c>
    </row>
    <row r="445" spans="1:10" x14ac:dyDescent="0.3">
      <c r="A445" s="90">
        <v>44835</v>
      </c>
      <c r="B445" s="59">
        <v>533.54399999999998</v>
      </c>
      <c r="C445" s="59">
        <v>830.20210431747955</v>
      </c>
      <c r="D445" s="59">
        <v>0</v>
      </c>
      <c r="E445" s="59">
        <v>0</v>
      </c>
      <c r="F445" s="59">
        <v>0</v>
      </c>
      <c r="G445" s="59">
        <v>0</v>
      </c>
      <c r="H445" s="91">
        <v>0.55601431993889827</v>
      </c>
      <c r="I445" s="91">
        <v>0</v>
      </c>
      <c r="J445" s="91">
        <v>0.55601431993889827</v>
      </c>
    </row>
    <row r="446" spans="1:10" x14ac:dyDescent="0.3">
      <c r="A446" s="89" t="s">
        <v>34</v>
      </c>
      <c r="B446" s="59">
        <v>0</v>
      </c>
      <c r="C446" s="59">
        <v>0</v>
      </c>
      <c r="D446" s="59">
        <v>9018.4200283999999</v>
      </c>
      <c r="E446" s="59">
        <v>15468.770322468783</v>
      </c>
      <c r="F446" s="59">
        <v>2952.8458947999998</v>
      </c>
      <c r="G446" s="59">
        <v>2839.9395336134758</v>
      </c>
      <c r="H446" s="91">
        <v>0.71524172457657964</v>
      </c>
      <c r="I446" s="91">
        <v>-3.82364556800453E-2</v>
      </c>
      <c r="J446" s="91">
        <v>0.52938795057592514</v>
      </c>
    </row>
    <row r="447" spans="1:10" x14ac:dyDescent="0.3">
      <c r="A447" s="90">
        <v>44501</v>
      </c>
      <c r="B447" s="59">
        <v>0</v>
      </c>
      <c r="C447" s="59">
        <v>0</v>
      </c>
      <c r="D447" s="59">
        <v>605.8741612</v>
      </c>
      <c r="E447" s="59">
        <v>1039.2206411330767</v>
      </c>
      <c r="F447" s="59">
        <v>198.37765640000001</v>
      </c>
      <c r="G447" s="59">
        <v>190.79239793315014</v>
      </c>
      <c r="H447" s="91">
        <v>0.71524172457657986</v>
      </c>
      <c r="I447" s="91">
        <v>-3.82364556800453E-2</v>
      </c>
      <c r="J447" s="91">
        <v>0.52938795057592536</v>
      </c>
    </row>
    <row r="448" spans="1:10" x14ac:dyDescent="0.3">
      <c r="A448" s="90">
        <v>44531</v>
      </c>
      <c r="B448" s="59">
        <v>0</v>
      </c>
      <c r="C448" s="59">
        <v>0</v>
      </c>
      <c r="D448" s="59">
        <v>727.27380760000005</v>
      </c>
      <c r="E448" s="59">
        <v>1247.4503799871998</v>
      </c>
      <c r="F448" s="59">
        <v>238.1267972</v>
      </c>
      <c r="G448" s="59">
        <v>229.02167247263102</v>
      </c>
      <c r="H448" s="91">
        <v>0.71524172457657986</v>
      </c>
      <c r="I448" s="91">
        <v>-3.8236455680045411E-2</v>
      </c>
      <c r="J448" s="91">
        <v>0.52938795057592514</v>
      </c>
    </row>
    <row r="449" spans="1:10" x14ac:dyDescent="0.3">
      <c r="A449" s="90">
        <v>44562</v>
      </c>
      <c r="B449" s="59">
        <v>0</v>
      </c>
      <c r="C449" s="59">
        <v>0</v>
      </c>
      <c r="D449" s="59">
        <v>729.52194919999999</v>
      </c>
      <c r="E449" s="59">
        <v>1251.3064862622762</v>
      </c>
      <c r="F449" s="59">
        <v>238.86289239999999</v>
      </c>
      <c r="G449" s="59">
        <v>229.72962200113994</v>
      </c>
      <c r="H449" s="91">
        <v>0.71524172457658008</v>
      </c>
      <c r="I449" s="91">
        <v>-3.8236455680045411E-2</v>
      </c>
      <c r="J449" s="91">
        <v>0.52938795057592536</v>
      </c>
    </row>
    <row r="450" spans="1:10" x14ac:dyDescent="0.3">
      <c r="A450" s="90">
        <v>44593</v>
      </c>
      <c r="B450" s="59">
        <v>0</v>
      </c>
      <c r="C450" s="59">
        <v>0</v>
      </c>
      <c r="D450" s="59">
        <v>646.34070999999994</v>
      </c>
      <c r="E450" s="59">
        <v>1108.630554084451</v>
      </c>
      <c r="F450" s="59">
        <v>211.62736999999998</v>
      </c>
      <c r="G450" s="59">
        <v>203.53548944631041</v>
      </c>
      <c r="H450" s="91">
        <v>0.71524172457657986</v>
      </c>
      <c r="I450" s="91">
        <v>-3.8236455680045411E-2</v>
      </c>
      <c r="J450" s="91">
        <v>0.52938795057592514</v>
      </c>
    </row>
    <row r="451" spans="1:10" x14ac:dyDescent="0.3">
      <c r="A451" s="90">
        <v>44621</v>
      </c>
      <c r="B451" s="59">
        <v>0</v>
      </c>
      <c r="C451" s="59">
        <v>0</v>
      </c>
      <c r="D451" s="59">
        <v>686.8072588</v>
      </c>
      <c r="E451" s="59">
        <v>1178.0404670358253</v>
      </c>
      <c r="F451" s="59">
        <v>224.87708359999999</v>
      </c>
      <c r="G451" s="59">
        <v>216.27858095947073</v>
      </c>
      <c r="H451" s="91">
        <v>0.71524172457657964</v>
      </c>
      <c r="I451" s="91">
        <v>-3.8236455680045411E-2</v>
      </c>
      <c r="J451" s="91">
        <v>0.52938795057592514</v>
      </c>
    </row>
    <row r="452" spans="1:10" x14ac:dyDescent="0.3">
      <c r="A452" s="90">
        <v>44652</v>
      </c>
      <c r="B452" s="59">
        <v>0</v>
      </c>
      <c r="C452" s="59">
        <v>0</v>
      </c>
      <c r="D452" s="59">
        <v>629.479648</v>
      </c>
      <c r="E452" s="59">
        <v>1079.7097570213782</v>
      </c>
      <c r="F452" s="59">
        <v>206.10665600000002</v>
      </c>
      <c r="G452" s="59">
        <v>198.22586798249364</v>
      </c>
      <c r="H452" s="91">
        <v>0.71524172457657942</v>
      </c>
      <c r="I452" s="91">
        <v>-3.8236455680045411E-2</v>
      </c>
      <c r="J452" s="91">
        <v>0.52938795057592491</v>
      </c>
    </row>
    <row r="453" spans="1:10" x14ac:dyDescent="0.3">
      <c r="A453" s="90">
        <v>44682</v>
      </c>
      <c r="B453" s="59">
        <v>0</v>
      </c>
      <c r="C453" s="59">
        <v>0</v>
      </c>
      <c r="D453" s="59">
        <v>783.47734759999992</v>
      </c>
      <c r="E453" s="59">
        <v>1343.8530368641084</v>
      </c>
      <c r="F453" s="59">
        <v>256.52917719999999</v>
      </c>
      <c r="G453" s="59">
        <v>246.72041068535367</v>
      </c>
      <c r="H453" s="91">
        <v>0.71524172457657986</v>
      </c>
      <c r="I453" s="91">
        <v>-3.8236455680045411E-2</v>
      </c>
      <c r="J453" s="91">
        <v>0.52938795057592536</v>
      </c>
    </row>
    <row r="454" spans="1:10" x14ac:dyDescent="0.3">
      <c r="A454" s="90">
        <v>44713</v>
      </c>
      <c r="B454" s="59">
        <v>0</v>
      </c>
      <c r="C454" s="59">
        <v>0</v>
      </c>
      <c r="D454" s="59">
        <v>736.26637400000004</v>
      </c>
      <c r="E454" s="59">
        <v>1262.8748050875051</v>
      </c>
      <c r="F454" s="59">
        <v>241.071178</v>
      </c>
      <c r="G454" s="59">
        <v>231.85347058666667</v>
      </c>
      <c r="H454" s="91">
        <v>0.71524172457657986</v>
      </c>
      <c r="I454" s="91">
        <v>-3.8236455680045411E-2</v>
      </c>
      <c r="J454" s="91">
        <v>0.52938795057592514</v>
      </c>
    </row>
    <row r="455" spans="1:10" x14ac:dyDescent="0.3">
      <c r="A455" s="90">
        <v>44743</v>
      </c>
      <c r="B455" s="59">
        <v>0</v>
      </c>
      <c r="C455" s="59">
        <v>0</v>
      </c>
      <c r="D455" s="59">
        <v>857.66602039999998</v>
      </c>
      <c r="E455" s="59">
        <v>1471.104543941628</v>
      </c>
      <c r="F455" s="59">
        <v>280.8203188</v>
      </c>
      <c r="G455" s="59">
        <v>270.08274512614759</v>
      </c>
      <c r="H455" s="91">
        <v>0.71524172457657964</v>
      </c>
      <c r="I455" s="91">
        <v>-3.8236455680045411E-2</v>
      </c>
      <c r="J455" s="91">
        <v>0.52938795057592514</v>
      </c>
    </row>
    <row r="456" spans="1:10" x14ac:dyDescent="0.3">
      <c r="A456" s="90">
        <v>44774</v>
      </c>
      <c r="B456" s="59">
        <v>0</v>
      </c>
      <c r="C456" s="59">
        <v>0</v>
      </c>
      <c r="D456" s="59">
        <v>934.10283479999987</v>
      </c>
      <c r="E456" s="59">
        <v>1602.2121572942237</v>
      </c>
      <c r="F456" s="59">
        <v>305.84755559999996</v>
      </c>
      <c r="G456" s="59">
        <v>294.15302909545034</v>
      </c>
      <c r="H456" s="91">
        <v>0.71524172457657964</v>
      </c>
      <c r="I456" s="91">
        <v>-3.8236455680045411E-2</v>
      </c>
      <c r="J456" s="91">
        <v>0.52938795057592514</v>
      </c>
    </row>
    <row r="457" spans="1:10" x14ac:dyDescent="0.3">
      <c r="A457" s="90">
        <v>44805</v>
      </c>
      <c r="B457" s="59">
        <v>0</v>
      </c>
      <c r="C457" s="59">
        <v>0</v>
      </c>
      <c r="D457" s="59">
        <v>840.80495839999992</v>
      </c>
      <c r="E457" s="59">
        <v>1442.1837468785552</v>
      </c>
      <c r="F457" s="59">
        <v>275.2996048</v>
      </c>
      <c r="G457" s="59">
        <v>264.77312366233076</v>
      </c>
      <c r="H457" s="91">
        <v>0.71524172457657964</v>
      </c>
      <c r="I457" s="91">
        <v>-3.8236455680045522E-2</v>
      </c>
      <c r="J457" s="91">
        <v>0.52938795057592491</v>
      </c>
    </row>
    <row r="458" spans="1:10" x14ac:dyDescent="0.3">
      <c r="A458" s="90">
        <v>44835</v>
      </c>
      <c r="B458" s="59">
        <v>0</v>
      </c>
      <c r="C458" s="59">
        <v>0</v>
      </c>
      <c r="D458" s="59">
        <v>840.80495839999992</v>
      </c>
      <c r="E458" s="59">
        <v>1442.1837468785552</v>
      </c>
      <c r="F458" s="59">
        <v>275.2996048</v>
      </c>
      <c r="G458" s="59">
        <v>264.77312366233076</v>
      </c>
      <c r="H458" s="91">
        <v>0.71524172457657964</v>
      </c>
      <c r="I458" s="91">
        <v>-3.8236455680045522E-2</v>
      </c>
      <c r="J458" s="91">
        <v>0.52938795057592491</v>
      </c>
    </row>
    <row r="459" spans="1:10" x14ac:dyDescent="0.3">
      <c r="A459" s="84" t="s">
        <v>59</v>
      </c>
      <c r="B459" s="59">
        <v>238392</v>
      </c>
      <c r="C459" s="59">
        <v>410217.5103686371</v>
      </c>
      <c r="D459" s="59">
        <v>841509.8360657841</v>
      </c>
      <c r="E459" s="59">
        <v>1451971.1757379258</v>
      </c>
      <c r="F459" s="59">
        <v>0</v>
      </c>
      <c r="G459" s="59">
        <v>0</v>
      </c>
      <c r="H459" s="91">
        <v>0.72440551901527139</v>
      </c>
      <c r="I459" s="91">
        <v>0</v>
      </c>
      <c r="J459" s="91">
        <v>0.72440551901527139</v>
      </c>
    </row>
    <row r="460" spans="1:10" x14ac:dyDescent="0.3">
      <c r="A460" s="85" t="s">
        <v>38</v>
      </c>
      <c r="B460" s="59">
        <v>238392</v>
      </c>
      <c r="C460" s="59">
        <v>410217.5103686371</v>
      </c>
      <c r="D460" s="59">
        <v>841509.8360657841</v>
      </c>
      <c r="E460" s="59">
        <v>1451971.1757379258</v>
      </c>
      <c r="F460" s="59">
        <v>0</v>
      </c>
      <c r="G460" s="59">
        <v>0</v>
      </c>
      <c r="H460" s="91">
        <v>0.72440551901527139</v>
      </c>
      <c r="I460" s="91">
        <v>0</v>
      </c>
      <c r="J460" s="91">
        <v>0.72440551901527139</v>
      </c>
    </row>
    <row r="461" spans="1:10" x14ac:dyDescent="0.3">
      <c r="A461" s="86" t="s">
        <v>25</v>
      </c>
      <c r="B461" s="59">
        <v>238392</v>
      </c>
      <c r="C461" s="59">
        <v>410217.5103686371</v>
      </c>
      <c r="D461" s="59">
        <v>841509.8360657841</v>
      </c>
      <c r="E461" s="59">
        <v>1451971.1757379258</v>
      </c>
      <c r="F461" s="59">
        <v>0</v>
      </c>
      <c r="G461" s="59">
        <v>0</v>
      </c>
      <c r="H461" s="91">
        <v>0.72440551901527139</v>
      </c>
      <c r="I461" s="91">
        <v>0</v>
      </c>
      <c r="J461" s="91">
        <v>0.72440551901527139</v>
      </c>
    </row>
    <row r="462" spans="1:10" x14ac:dyDescent="0.3">
      <c r="A462" s="87" t="s">
        <v>58</v>
      </c>
      <c r="B462" s="59">
        <v>238392</v>
      </c>
      <c r="C462" s="59">
        <v>410217.5103686371</v>
      </c>
      <c r="D462" s="59">
        <v>841509.8360657841</v>
      </c>
      <c r="E462" s="59">
        <v>1451971.1757379258</v>
      </c>
      <c r="F462" s="59">
        <v>0</v>
      </c>
      <c r="G462" s="59">
        <v>0</v>
      </c>
      <c r="H462" s="91">
        <v>0.72440551901527139</v>
      </c>
      <c r="I462" s="91">
        <v>0</v>
      </c>
      <c r="J462" s="91">
        <v>0.72440551901527139</v>
      </c>
    </row>
    <row r="463" spans="1:10" x14ac:dyDescent="0.3">
      <c r="A463" s="88" t="s">
        <v>25</v>
      </c>
      <c r="B463" s="59">
        <v>238392</v>
      </c>
      <c r="C463" s="59">
        <v>410217.5103686371</v>
      </c>
      <c r="D463" s="59">
        <v>841509.8360657841</v>
      </c>
      <c r="E463" s="59">
        <v>1451971.1757379258</v>
      </c>
      <c r="F463" s="59">
        <v>0</v>
      </c>
      <c r="G463" s="59">
        <v>0</v>
      </c>
      <c r="H463" s="91">
        <v>0.72440551901527139</v>
      </c>
      <c r="I463" s="91">
        <v>0</v>
      </c>
      <c r="J463" s="91">
        <v>0.72440551901527139</v>
      </c>
    </row>
    <row r="464" spans="1:10" x14ac:dyDescent="0.3">
      <c r="A464" s="89" t="s">
        <v>35</v>
      </c>
      <c r="B464" s="59">
        <v>0</v>
      </c>
      <c r="C464" s="59">
        <v>0</v>
      </c>
      <c r="D464" s="59">
        <v>648752.46719999996</v>
      </c>
      <c r="E464" s="59">
        <v>1121345.6939397345</v>
      </c>
      <c r="F464" s="59">
        <v>0</v>
      </c>
      <c r="G464" s="59">
        <v>0</v>
      </c>
      <c r="H464" s="91">
        <v>0.72846463117039928</v>
      </c>
      <c r="I464" s="91">
        <v>0</v>
      </c>
      <c r="J464" s="91">
        <v>0.72846463117039928</v>
      </c>
    </row>
    <row r="465" spans="1:10" x14ac:dyDescent="0.3">
      <c r="A465" s="90">
        <v>44501</v>
      </c>
      <c r="B465" s="59">
        <v>0</v>
      </c>
      <c r="C465" s="59">
        <v>0</v>
      </c>
      <c r="D465" s="59">
        <v>48891.432389999994</v>
      </c>
      <c r="E465" s="59">
        <v>84507.111653373853</v>
      </c>
      <c r="F465" s="59">
        <v>0</v>
      </c>
      <c r="G465" s="59">
        <v>0</v>
      </c>
      <c r="H465" s="91">
        <v>0.72846463117039928</v>
      </c>
      <c r="I465" s="91">
        <v>0</v>
      </c>
      <c r="J465" s="91">
        <v>0.72846463117039928</v>
      </c>
    </row>
    <row r="466" spans="1:10" x14ac:dyDescent="0.3">
      <c r="A466" s="90">
        <v>44531</v>
      </c>
      <c r="B466" s="59">
        <v>0</v>
      </c>
      <c r="C466" s="59">
        <v>0</v>
      </c>
      <c r="D466" s="59">
        <v>50694.410250000001</v>
      </c>
      <c r="E466" s="59">
        <v>87623.495115167156</v>
      </c>
      <c r="F466" s="59">
        <v>0</v>
      </c>
      <c r="G466" s="59">
        <v>0</v>
      </c>
      <c r="H466" s="91">
        <v>0.72846463117039928</v>
      </c>
      <c r="I466" s="91">
        <v>0</v>
      </c>
      <c r="J466" s="91">
        <v>0.72846463117039928</v>
      </c>
    </row>
    <row r="467" spans="1:10" x14ac:dyDescent="0.3">
      <c r="A467" s="90">
        <v>44562</v>
      </c>
      <c r="B467" s="59">
        <v>0</v>
      </c>
      <c r="C467" s="59">
        <v>0</v>
      </c>
      <c r="D467" s="59">
        <v>51401.187089999999</v>
      </c>
      <c r="E467" s="59">
        <v>88845.133885237548</v>
      </c>
      <c r="F467" s="59">
        <v>0</v>
      </c>
      <c r="G467" s="59">
        <v>0</v>
      </c>
      <c r="H467" s="91">
        <v>0.7284646311703995</v>
      </c>
      <c r="I467" s="91">
        <v>0</v>
      </c>
      <c r="J467" s="91">
        <v>0.7284646311703995</v>
      </c>
    </row>
    <row r="468" spans="1:10" x14ac:dyDescent="0.3">
      <c r="A468" s="90">
        <v>44593</v>
      </c>
      <c r="B468" s="59">
        <v>0</v>
      </c>
      <c r="C468" s="59">
        <v>0</v>
      </c>
      <c r="D468" s="59">
        <v>51469.094100000002</v>
      </c>
      <c r="E468" s="59">
        <v>88962.508750231078</v>
      </c>
      <c r="F468" s="59">
        <v>0</v>
      </c>
      <c r="G468" s="59">
        <v>0</v>
      </c>
      <c r="H468" s="91">
        <v>0.72846463117039928</v>
      </c>
      <c r="I468" s="91">
        <v>0</v>
      </c>
      <c r="J468" s="91">
        <v>0.72846463117039928</v>
      </c>
    </row>
    <row r="469" spans="1:10" x14ac:dyDescent="0.3">
      <c r="A469" s="90">
        <v>44621</v>
      </c>
      <c r="B469" s="59">
        <v>0</v>
      </c>
      <c r="C469" s="59">
        <v>0</v>
      </c>
      <c r="D469" s="59">
        <v>54063.243869999998</v>
      </c>
      <c r="E469" s="59">
        <v>93446.404875634908</v>
      </c>
      <c r="F469" s="59">
        <v>0</v>
      </c>
      <c r="G469" s="59">
        <v>0</v>
      </c>
      <c r="H469" s="91">
        <v>0.7284646311703995</v>
      </c>
      <c r="I469" s="91">
        <v>0</v>
      </c>
      <c r="J469" s="91">
        <v>0.7284646311703995</v>
      </c>
    </row>
    <row r="470" spans="1:10" x14ac:dyDescent="0.3">
      <c r="A470" s="90">
        <v>44652</v>
      </c>
      <c r="B470" s="59">
        <v>0</v>
      </c>
      <c r="C470" s="59">
        <v>0</v>
      </c>
      <c r="D470" s="59">
        <v>55431.83784</v>
      </c>
      <c r="E470" s="59">
        <v>95811.971147212986</v>
      </c>
      <c r="F470" s="59">
        <v>0</v>
      </c>
      <c r="G470" s="59">
        <v>0</v>
      </c>
      <c r="H470" s="91">
        <v>0.72846463117039928</v>
      </c>
      <c r="I470" s="91">
        <v>0</v>
      </c>
      <c r="J470" s="91">
        <v>0.72846463117039928</v>
      </c>
    </row>
    <row r="471" spans="1:10" x14ac:dyDescent="0.3">
      <c r="A471" s="90">
        <v>44682</v>
      </c>
      <c r="B471" s="59">
        <v>0</v>
      </c>
      <c r="C471" s="59">
        <v>0</v>
      </c>
      <c r="D471" s="59">
        <v>55236.955769999993</v>
      </c>
      <c r="E471" s="59">
        <v>95475.124381968708</v>
      </c>
      <c r="F471" s="59">
        <v>0</v>
      </c>
      <c r="G471" s="59">
        <v>0</v>
      </c>
      <c r="H471" s="91">
        <v>0.7284646311703995</v>
      </c>
      <c r="I471" s="91">
        <v>0</v>
      </c>
      <c r="J471" s="91">
        <v>0.7284646311703995</v>
      </c>
    </row>
    <row r="472" spans="1:10" x14ac:dyDescent="0.3">
      <c r="A472" s="90">
        <v>44713</v>
      </c>
      <c r="B472" s="59">
        <v>0</v>
      </c>
      <c r="C472" s="59">
        <v>0</v>
      </c>
      <c r="D472" s="59">
        <v>48887.437859999998</v>
      </c>
      <c r="E472" s="59">
        <v>84500.207249550716</v>
      </c>
      <c r="F472" s="59">
        <v>0</v>
      </c>
      <c r="G472" s="59">
        <v>0</v>
      </c>
      <c r="H472" s="91">
        <v>0.7284646311703995</v>
      </c>
      <c r="I472" s="91">
        <v>0</v>
      </c>
      <c r="J472" s="91">
        <v>0.7284646311703995</v>
      </c>
    </row>
    <row r="473" spans="1:10" x14ac:dyDescent="0.3">
      <c r="A473" s="90">
        <v>44743</v>
      </c>
      <c r="B473" s="59">
        <v>0</v>
      </c>
      <c r="C473" s="59">
        <v>0</v>
      </c>
      <c r="D473" s="59">
        <v>63592.322669999994</v>
      </c>
      <c r="E473" s="59">
        <v>109917.08054907055</v>
      </c>
      <c r="F473" s="59">
        <v>0</v>
      </c>
      <c r="G473" s="59">
        <v>0</v>
      </c>
      <c r="H473" s="91">
        <v>0.72846463117039906</v>
      </c>
      <c r="I473" s="91">
        <v>0</v>
      </c>
      <c r="J473" s="91">
        <v>0.72846463117039906</v>
      </c>
    </row>
    <row r="474" spans="1:10" x14ac:dyDescent="0.3">
      <c r="A474" s="90">
        <v>44774</v>
      </c>
      <c r="B474" s="59">
        <v>0</v>
      </c>
      <c r="C474" s="59">
        <v>0</v>
      </c>
      <c r="D474" s="59">
        <v>60014.158679999993</v>
      </c>
      <c r="E474" s="59">
        <v>103732.350647828</v>
      </c>
      <c r="F474" s="59">
        <v>0</v>
      </c>
      <c r="G474" s="59">
        <v>0</v>
      </c>
      <c r="H474" s="91">
        <v>0.72846463117039928</v>
      </c>
      <c r="I474" s="91">
        <v>0</v>
      </c>
      <c r="J474" s="91">
        <v>0.72846463117039928</v>
      </c>
    </row>
    <row r="475" spans="1:10" x14ac:dyDescent="0.3">
      <c r="A475" s="90">
        <v>44805</v>
      </c>
      <c r="B475" s="59">
        <v>0</v>
      </c>
      <c r="C475" s="59">
        <v>0</v>
      </c>
      <c r="D475" s="59">
        <v>54535.193339999998</v>
      </c>
      <c r="E475" s="59">
        <v>94262.152842229523</v>
      </c>
      <c r="F475" s="59">
        <v>0</v>
      </c>
      <c r="G475" s="59">
        <v>0</v>
      </c>
      <c r="H475" s="91">
        <v>0.7284646311703995</v>
      </c>
      <c r="I475" s="91">
        <v>0</v>
      </c>
      <c r="J475" s="91">
        <v>0.7284646311703995</v>
      </c>
    </row>
    <row r="476" spans="1:10" x14ac:dyDescent="0.3">
      <c r="A476" s="90">
        <v>44835</v>
      </c>
      <c r="B476" s="59">
        <v>0</v>
      </c>
      <c r="C476" s="59">
        <v>0</v>
      </c>
      <c r="D476" s="59">
        <v>54535.193339999998</v>
      </c>
      <c r="E476" s="59">
        <v>94262.152842229523</v>
      </c>
      <c r="F476" s="59">
        <v>0</v>
      </c>
      <c r="G476" s="59">
        <v>0</v>
      </c>
      <c r="H476" s="91">
        <v>0.7284646311703995</v>
      </c>
      <c r="I476" s="91">
        <v>0</v>
      </c>
      <c r="J476" s="91">
        <v>0.7284646311703995</v>
      </c>
    </row>
    <row r="477" spans="1:10" x14ac:dyDescent="0.3">
      <c r="A477" s="89" t="s">
        <v>25</v>
      </c>
      <c r="B477" s="59">
        <v>238392</v>
      </c>
      <c r="C477" s="59">
        <v>410217.5103686371</v>
      </c>
      <c r="D477" s="59">
        <v>0</v>
      </c>
      <c r="E477" s="59">
        <v>0</v>
      </c>
      <c r="F477" s="59">
        <v>0</v>
      </c>
      <c r="G477" s="59">
        <v>0</v>
      </c>
      <c r="H477" s="91">
        <v>0.72076877734419398</v>
      </c>
      <c r="I477" s="91">
        <v>0</v>
      </c>
      <c r="J477" s="91">
        <v>0.72076877734419398</v>
      </c>
    </row>
    <row r="478" spans="1:10" x14ac:dyDescent="0.3">
      <c r="A478" s="90">
        <v>44501</v>
      </c>
      <c r="B478" s="59">
        <v>19866</v>
      </c>
      <c r="C478" s="59">
        <v>34184.792530719751</v>
      </c>
      <c r="D478" s="59">
        <v>0</v>
      </c>
      <c r="E478" s="59">
        <v>0</v>
      </c>
      <c r="F478" s="59">
        <v>0</v>
      </c>
      <c r="G478" s="59">
        <v>0</v>
      </c>
      <c r="H478" s="91">
        <v>0.72076877734419376</v>
      </c>
      <c r="I478" s="91">
        <v>0</v>
      </c>
      <c r="J478" s="91">
        <v>0.72076877734419376</v>
      </c>
    </row>
    <row r="479" spans="1:10" x14ac:dyDescent="0.3">
      <c r="A479" s="90">
        <v>44531</v>
      </c>
      <c r="B479" s="59">
        <v>19866</v>
      </c>
      <c r="C479" s="59">
        <v>34184.792530719751</v>
      </c>
      <c r="D479" s="59">
        <v>0</v>
      </c>
      <c r="E479" s="59">
        <v>0</v>
      </c>
      <c r="F479" s="59">
        <v>0</v>
      </c>
      <c r="G479" s="59">
        <v>0</v>
      </c>
      <c r="H479" s="91">
        <v>0.72076877734419376</v>
      </c>
      <c r="I479" s="91">
        <v>0</v>
      </c>
      <c r="J479" s="91">
        <v>0.72076877734419376</v>
      </c>
    </row>
    <row r="480" spans="1:10" x14ac:dyDescent="0.3">
      <c r="A480" s="90">
        <v>44562</v>
      </c>
      <c r="B480" s="59">
        <v>19866</v>
      </c>
      <c r="C480" s="59">
        <v>34184.792530719751</v>
      </c>
      <c r="D480" s="59">
        <v>0</v>
      </c>
      <c r="E480" s="59">
        <v>0</v>
      </c>
      <c r="F480" s="59">
        <v>0</v>
      </c>
      <c r="G480" s="59">
        <v>0</v>
      </c>
      <c r="H480" s="91">
        <v>0.72076877734419376</v>
      </c>
      <c r="I480" s="91">
        <v>0</v>
      </c>
      <c r="J480" s="91">
        <v>0.72076877734419376</v>
      </c>
    </row>
    <row r="481" spans="1:10" x14ac:dyDescent="0.3">
      <c r="A481" s="90">
        <v>44593</v>
      </c>
      <c r="B481" s="59">
        <v>19866</v>
      </c>
      <c r="C481" s="59">
        <v>34184.792530719751</v>
      </c>
      <c r="D481" s="59">
        <v>0</v>
      </c>
      <c r="E481" s="59">
        <v>0</v>
      </c>
      <c r="F481" s="59">
        <v>0</v>
      </c>
      <c r="G481" s="59">
        <v>0</v>
      </c>
      <c r="H481" s="91">
        <v>0.72076877734419376</v>
      </c>
      <c r="I481" s="91">
        <v>0</v>
      </c>
      <c r="J481" s="91">
        <v>0.72076877734419376</v>
      </c>
    </row>
    <row r="482" spans="1:10" x14ac:dyDescent="0.3">
      <c r="A482" s="90">
        <v>44621</v>
      </c>
      <c r="B482" s="59">
        <v>19866</v>
      </c>
      <c r="C482" s="59">
        <v>34184.792530719751</v>
      </c>
      <c r="D482" s="59">
        <v>0</v>
      </c>
      <c r="E482" s="59">
        <v>0</v>
      </c>
      <c r="F482" s="59">
        <v>0</v>
      </c>
      <c r="G482" s="59">
        <v>0</v>
      </c>
      <c r="H482" s="91">
        <v>0.72076877734419376</v>
      </c>
      <c r="I482" s="91">
        <v>0</v>
      </c>
      <c r="J482" s="91">
        <v>0.72076877734419376</v>
      </c>
    </row>
    <row r="483" spans="1:10" x14ac:dyDescent="0.3">
      <c r="A483" s="90">
        <v>44652</v>
      </c>
      <c r="B483" s="59">
        <v>19866</v>
      </c>
      <c r="C483" s="59">
        <v>34184.792530719751</v>
      </c>
      <c r="D483" s="59">
        <v>0</v>
      </c>
      <c r="E483" s="59">
        <v>0</v>
      </c>
      <c r="F483" s="59">
        <v>0</v>
      </c>
      <c r="G483" s="59">
        <v>0</v>
      </c>
      <c r="H483" s="91">
        <v>0.72076877734419376</v>
      </c>
      <c r="I483" s="91">
        <v>0</v>
      </c>
      <c r="J483" s="91">
        <v>0.72076877734419376</v>
      </c>
    </row>
    <row r="484" spans="1:10" x14ac:dyDescent="0.3">
      <c r="A484" s="90">
        <v>44682</v>
      </c>
      <c r="B484" s="59">
        <v>19866</v>
      </c>
      <c r="C484" s="59">
        <v>34184.792530719751</v>
      </c>
      <c r="D484" s="59">
        <v>0</v>
      </c>
      <c r="E484" s="59">
        <v>0</v>
      </c>
      <c r="F484" s="59">
        <v>0</v>
      </c>
      <c r="G484" s="59">
        <v>0</v>
      </c>
      <c r="H484" s="91">
        <v>0.72076877734419376</v>
      </c>
      <c r="I484" s="91">
        <v>0</v>
      </c>
      <c r="J484" s="91">
        <v>0.72076877734419376</v>
      </c>
    </row>
    <row r="485" spans="1:10" x14ac:dyDescent="0.3">
      <c r="A485" s="90">
        <v>44713</v>
      </c>
      <c r="B485" s="59">
        <v>19866</v>
      </c>
      <c r="C485" s="59">
        <v>34184.792530719751</v>
      </c>
      <c r="D485" s="59">
        <v>0</v>
      </c>
      <c r="E485" s="59">
        <v>0</v>
      </c>
      <c r="F485" s="59">
        <v>0</v>
      </c>
      <c r="G485" s="59">
        <v>0</v>
      </c>
      <c r="H485" s="91">
        <v>0.72076877734419376</v>
      </c>
      <c r="I485" s="91">
        <v>0</v>
      </c>
      <c r="J485" s="91">
        <v>0.72076877734419376</v>
      </c>
    </row>
    <row r="486" spans="1:10" x14ac:dyDescent="0.3">
      <c r="A486" s="90">
        <v>44743</v>
      </c>
      <c r="B486" s="59">
        <v>19866</v>
      </c>
      <c r="C486" s="59">
        <v>34184.792530719751</v>
      </c>
      <c r="D486" s="59">
        <v>0</v>
      </c>
      <c r="E486" s="59">
        <v>0</v>
      </c>
      <c r="F486" s="59">
        <v>0</v>
      </c>
      <c r="G486" s="59">
        <v>0</v>
      </c>
      <c r="H486" s="91">
        <v>0.72076877734419376</v>
      </c>
      <c r="I486" s="91">
        <v>0</v>
      </c>
      <c r="J486" s="91">
        <v>0.72076877734419376</v>
      </c>
    </row>
    <row r="487" spans="1:10" x14ac:dyDescent="0.3">
      <c r="A487" s="90">
        <v>44774</v>
      </c>
      <c r="B487" s="59">
        <v>19866</v>
      </c>
      <c r="C487" s="59">
        <v>34184.792530719751</v>
      </c>
      <c r="D487" s="59">
        <v>0</v>
      </c>
      <c r="E487" s="59">
        <v>0</v>
      </c>
      <c r="F487" s="59">
        <v>0</v>
      </c>
      <c r="G487" s="59">
        <v>0</v>
      </c>
      <c r="H487" s="91">
        <v>0.72076877734419376</v>
      </c>
      <c r="I487" s="91">
        <v>0</v>
      </c>
      <c r="J487" s="91">
        <v>0.72076877734419376</v>
      </c>
    </row>
    <row r="488" spans="1:10" x14ac:dyDescent="0.3">
      <c r="A488" s="90">
        <v>44805</v>
      </c>
      <c r="B488" s="59">
        <v>19866</v>
      </c>
      <c r="C488" s="59">
        <v>34184.792530719751</v>
      </c>
      <c r="D488" s="59">
        <v>0</v>
      </c>
      <c r="E488" s="59">
        <v>0</v>
      </c>
      <c r="F488" s="59">
        <v>0</v>
      </c>
      <c r="G488" s="59">
        <v>0</v>
      </c>
      <c r="H488" s="91">
        <v>0.72076877734419376</v>
      </c>
      <c r="I488" s="91">
        <v>0</v>
      </c>
      <c r="J488" s="91">
        <v>0.72076877734419376</v>
      </c>
    </row>
    <row r="489" spans="1:10" x14ac:dyDescent="0.3">
      <c r="A489" s="90">
        <v>44835</v>
      </c>
      <c r="B489" s="59">
        <v>19866</v>
      </c>
      <c r="C489" s="59">
        <v>34184.792530719751</v>
      </c>
      <c r="D489" s="59">
        <v>0</v>
      </c>
      <c r="E489" s="59">
        <v>0</v>
      </c>
      <c r="F489" s="59">
        <v>0</v>
      </c>
      <c r="G489" s="59">
        <v>0</v>
      </c>
      <c r="H489" s="91">
        <v>0.72076877734419376</v>
      </c>
      <c r="I489" s="91">
        <v>0</v>
      </c>
      <c r="J489" s="91">
        <v>0.72076877734419376</v>
      </c>
    </row>
    <row r="490" spans="1:10" x14ac:dyDescent="0.3">
      <c r="A490" s="89" t="s">
        <v>34</v>
      </c>
      <c r="B490" s="59">
        <v>0</v>
      </c>
      <c r="C490" s="59">
        <v>0</v>
      </c>
      <c r="D490" s="59">
        <v>192757.36886578414</v>
      </c>
      <c r="E490" s="59">
        <v>330625.48179819155</v>
      </c>
      <c r="F490" s="59">
        <v>0</v>
      </c>
      <c r="G490" s="59">
        <v>0</v>
      </c>
      <c r="H490" s="91">
        <v>0.71524172457658008</v>
      </c>
      <c r="I490" s="91">
        <v>0</v>
      </c>
      <c r="J490" s="91">
        <v>0.71524172457658008</v>
      </c>
    </row>
    <row r="491" spans="1:10" x14ac:dyDescent="0.3">
      <c r="A491" s="90">
        <v>44501</v>
      </c>
      <c r="B491" s="59">
        <v>0</v>
      </c>
      <c r="C491" s="59">
        <v>0</v>
      </c>
      <c r="D491" s="59">
        <v>13244.164089659065</v>
      </c>
      <c r="E491" s="59">
        <v>22716.942853722023</v>
      </c>
      <c r="F491" s="59">
        <v>0</v>
      </c>
      <c r="G491" s="59">
        <v>0</v>
      </c>
      <c r="H491" s="91">
        <v>0.71524172457657986</v>
      </c>
      <c r="I491" s="91">
        <v>0</v>
      </c>
      <c r="J491" s="91">
        <v>0.71524172457657986</v>
      </c>
    </row>
    <row r="492" spans="1:10" x14ac:dyDescent="0.3">
      <c r="A492" s="90">
        <v>44531</v>
      </c>
      <c r="B492" s="59">
        <v>0</v>
      </c>
      <c r="C492" s="59">
        <v>0</v>
      </c>
      <c r="D492" s="59">
        <v>15488.835193339424</v>
      </c>
      <c r="E492" s="59">
        <v>26567.096388705937</v>
      </c>
      <c r="F492" s="59">
        <v>0</v>
      </c>
      <c r="G492" s="59">
        <v>0</v>
      </c>
      <c r="H492" s="91">
        <v>0.71524172457657986</v>
      </c>
      <c r="I492" s="91">
        <v>0</v>
      </c>
      <c r="J492" s="91">
        <v>0.71524172457657986</v>
      </c>
    </row>
    <row r="493" spans="1:10" x14ac:dyDescent="0.3">
      <c r="A493" s="90">
        <v>44562</v>
      </c>
      <c r="B493" s="59">
        <v>0</v>
      </c>
      <c r="C493" s="59">
        <v>0</v>
      </c>
      <c r="D493" s="59">
        <v>17101.374969111719</v>
      </c>
      <c r="E493" s="59">
        <v>29332.991894649938</v>
      </c>
      <c r="F493" s="59">
        <v>0</v>
      </c>
      <c r="G493" s="59">
        <v>0</v>
      </c>
      <c r="H493" s="91">
        <v>0.71524172457657964</v>
      </c>
      <c r="I493" s="91">
        <v>0</v>
      </c>
      <c r="J493" s="91">
        <v>0.71524172457657964</v>
      </c>
    </row>
    <row r="494" spans="1:10" x14ac:dyDescent="0.3">
      <c r="A494" s="90">
        <v>44593</v>
      </c>
      <c r="B494" s="59">
        <v>0</v>
      </c>
      <c r="C494" s="59">
        <v>0</v>
      </c>
      <c r="D494" s="59">
        <v>14992.521322718485</v>
      </c>
      <c r="E494" s="59">
        <v>25715.7981293308</v>
      </c>
      <c r="F494" s="59">
        <v>0</v>
      </c>
      <c r="G494" s="59">
        <v>0</v>
      </c>
      <c r="H494" s="91">
        <v>0.71524172457657986</v>
      </c>
      <c r="I494" s="91">
        <v>0</v>
      </c>
      <c r="J494" s="91">
        <v>0.71524172457657986</v>
      </c>
    </row>
    <row r="495" spans="1:10" x14ac:dyDescent="0.3">
      <c r="A495" s="90">
        <v>44621</v>
      </c>
      <c r="B495" s="59">
        <v>0</v>
      </c>
      <c r="C495" s="59">
        <v>0</v>
      </c>
      <c r="D495" s="59">
        <v>14535.27215675287</v>
      </c>
      <c r="E495" s="59">
        <v>24931.505281338737</v>
      </c>
      <c r="F495" s="59">
        <v>0</v>
      </c>
      <c r="G495" s="59">
        <v>0</v>
      </c>
      <c r="H495" s="91">
        <v>0.71524172457658008</v>
      </c>
      <c r="I495" s="91">
        <v>0</v>
      </c>
      <c r="J495" s="91">
        <v>0.71524172457658008</v>
      </c>
    </row>
    <row r="496" spans="1:10" x14ac:dyDescent="0.3">
      <c r="A496" s="90">
        <v>44652</v>
      </c>
      <c r="B496" s="59">
        <v>0</v>
      </c>
      <c r="C496" s="59">
        <v>0</v>
      </c>
      <c r="D496" s="59">
        <v>14712.66434018771</v>
      </c>
      <c r="E496" s="59">
        <v>25235.775755979914</v>
      </c>
      <c r="F496" s="59">
        <v>0</v>
      </c>
      <c r="G496" s="59">
        <v>0</v>
      </c>
      <c r="H496" s="91">
        <v>0.71524172457657964</v>
      </c>
      <c r="I496" s="91">
        <v>0</v>
      </c>
      <c r="J496" s="91">
        <v>0.71524172457657964</v>
      </c>
    </row>
    <row r="497" spans="1:10" x14ac:dyDescent="0.3">
      <c r="A497" s="90">
        <v>44682</v>
      </c>
      <c r="B497" s="59">
        <v>0</v>
      </c>
      <c r="C497" s="59">
        <v>0</v>
      </c>
      <c r="D497" s="59">
        <v>14509.015551984538</v>
      </c>
      <c r="E497" s="59">
        <v>24886.468857294374</v>
      </c>
      <c r="F497" s="59">
        <v>0</v>
      </c>
      <c r="G497" s="59">
        <v>0</v>
      </c>
      <c r="H497" s="91">
        <v>0.71524172457657964</v>
      </c>
      <c r="I497" s="91">
        <v>0</v>
      </c>
      <c r="J497" s="91">
        <v>0.71524172457657964</v>
      </c>
    </row>
    <row r="498" spans="1:10" x14ac:dyDescent="0.3">
      <c r="A498" s="90">
        <v>44713</v>
      </c>
      <c r="B498" s="59">
        <v>0</v>
      </c>
      <c r="C498" s="59">
        <v>0</v>
      </c>
      <c r="D498" s="59">
        <v>12288.091031580125</v>
      </c>
      <c r="E498" s="59">
        <v>21077.046452761497</v>
      </c>
      <c r="F498" s="59">
        <v>0</v>
      </c>
      <c r="G498" s="59">
        <v>0</v>
      </c>
      <c r="H498" s="91">
        <v>0.71524172457657986</v>
      </c>
      <c r="I498" s="91">
        <v>0</v>
      </c>
      <c r="J498" s="91">
        <v>0.71524172457657986</v>
      </c>
    </row>
    <row r="499" spans="1:10" x14ac:dyDescent="0.3">
      <c r="A499" s="90">
        <v>44743</v>
      </c>
      <c r="B499" s="59">
        <v>0</v>
      </c>
      <c r="C499" s="59">
        <v>0</v>
      </c>
      <c r="D499" s="59">
        <v>18387.308197765717</v>
      </c>
      <c r="E499" s="59">
        <v>31538.678223456747</v>
      </c>
      <c r="F499" s="59">
        <v>0</v>
      </c>
      <c r="G499" s="59">
        <v>0</v>
      </c>
      <c r="H499" s="91">
        <v>0.71524172457657964</v>
      </c>
      <c r="I499" s="91">
        <v>0</v>
      </c>
      <c r="J499" s="91">
        <v>0.71524172457657964</v>
      </c>
    </row>
    <row r="500" spans="1:10" x14ac:dyDescent="0.3">
      <c r="A500" s="90">
        <v>44774</v>
      </c>
      <c r="B500" s="59">
        <v>0</v>
      </c>
      <c r="C500" s="59">
        <v>0</v>
      </c>
      <c r="D500" s="59">
        <v>20190.688661854187</v>
      </c>
      <c r="E500" s="59">
        <v>34631.911640747567</v>
      </c>
      <c r="F500" s="59">
        <v>0</v>
      </c>
      <c r="G500" s="59">
        <v>0</v>
      </c>
      <c r="H500" s="91">
        <v>0.71524172457657964</v>
      </c>
      <c r="I500" s="91">
        <v>0</v>
      </c>
      <c r="J500" s="91">
        <v>0.71524172457657964</v>
      </c>
    </row>
    <row r="501" spans="1:10" x14ac:dyDescent="0.3">
      <c r="A501" s="90">
        <v>44805</v>
      </c>
      <c r="B501" s="59">
        <v>0</v>
      </c>
      <c r="C501" s="59">
        <v>0</v>
      </c>
      <c r="D501" s="59">
        <v>18653.716675415148</v>
      </c>
      <c r="E501" s="59">
        <v>31995.633160101981</v>
      </c>
      <c r="F501" s="59">
        <v>0</v>
      </c>
      <c r="G501" s="59">
        <v>0</v>
      </c>
      <c r="H501" s="91">
        <v>0.71524172457657964</v>
      </c>
      <c r="I501" s="91">
        <v>0</v>
      </c>
      <c r="J501" s="91">
        <v>0.71524172457657964</v>
      </c>
    </row>
    <row r="502" spans="1:10" x14ac:dyDescent="0.3">
      <c r="A502" s="90">
        <v>44835</v>
      </c>
      <c r="B502" s="59">
        <v>0</v>
      </c>
      <c r="C502" s="59">
        <v>0</v>
      </c>
      <c r="D502" s="59">
        <v>18653.716675415148</v>
      </c>
      <c r="E502" s="59">
        <v>31995.633160101981</v>
      </c>
      <c r="F502" s="59">
        <v>0</v>
      </c>
      <c r="G502" s="59">
        <v>0</v>
      </c>
      <c r="H502" s="91">
        <v>0.71524172457657964</v>
      </c>
      <c r="I502" s="91">
        <v>0</v>
      </c>
      <c r="J502" s="91">
        <v>0.71524172457657964</v>
      </c>
    </row>
    <row r="503" spans="1:10" x14ac:dyDescent="0.3">
      <c r="A503" s="82" t="s">
        <v>22</v>
      </c>
      <c r="B503" s="59">
        <v>0</v>
      </c>
      <c r="C503" s="59">
        <v>0</v>
      </c>
      <c r="D503" s="59">
        <v>18810270.25104</v>
      </c>
      <c r="E503" s="59">
        <v>23729687.596078675</v>
      </c>
      <c r="F503" s="59">
        <v>12828733.238684999</v>
      </c>
      <c r="G503" s="59">
        <v>12015166.440063173</v>
      </c>
      <c r="H503" s="91">
        <v>0.26152826511180605</v>
      </c>
      <c r="I503" s="91">
        <v>-6.3417547429275634E-2</v>
      </c>
      <c r="J503" s="91">
        <v>0.12977180358257123</v>
      </c>
    </row>
    <row r="504" spans="1:10" x14ac:dyDescent="0.3">
      <c r="A504" s="83" t="s">
        <v>33</v>
      </c>
      <c r="B504" s="59">
        <v>0</v>
      </c>
      <c r="C504" s="59">
        <v>0</v>
      </c>
      <c r="D504" s="59">
        <v>21011.848129999995</v>
      </c>
      <c r="E504" s="59">
        <v>26803.822202656076</v>
      </c>
      <c r="F504" s="59">
        <v>14543.27563</v>
      </c>
      <c r="G504" s="59">
        <v>13620.177151799149</v>
      </c>
      <c r="H504" s="91">
        <v>0.2756527668019122</v>
      </c>
      <c r="I504" s="91">
        <v>-6.3472528588860322E-2</v>
      </c>
      <c r="J504" s="91">
        <v>0.13693878911294322</v>
      </c>
    </row>
    <row r="505" spans="1:10" x14ac:dyDescent="0.3">
      <c r="A505" s="84" t="s">
        <v>26</v>
      </c>
      <c r="B505" s="59">
        <v>0</v>
      </c>
      <c r="C505" s="59">
        <v>0</v>
      </c>
      <c r="D505" s="59">
        <v>21011.848129999995</v>
      </c>
      <c r="E505" s="59">
        <v>26803.822202656076</v>
      </c>
      <c r="F505" s="59">
        <v>14543.27563</v>
      </c>
      <c r="G505" s="59">
        <v>13620.177151799149</v>
      </c>
      <c r="H505" s="91">
        <v>0.2756527668019122</v>
      </c>
      <c r="I505" s="91">
        <v>-6.3472528588860322E-2</v>
      </c>
      <c r="J505" s="91">
        <v>0.13693878911294322</v>
      </c>
    </row>
    <row r="506" spans="1:10" x14ac:dyDescent="0.3">
      <c r="A506" s="85" t="s">
        <v>24</v>
      </c>
      <c r="B506" s="59">
        <v>0</v>
      </c>
      <c r="C506" s="59">
        <v>0</v>
      </c>
      <c r="D506" s="59">
        <v>21011.848129999995</v>
      </c>
      <c r="E506" s="59">
        <v>26803.822202656076</v>
      </c>
      <c r="F506" s="59">
        <v>14543.27563</v>
      </c>
      <c r="G506" s="59">
        <v>13620.177151799149</v>
      </c>
      <c r="H506" s="91">
        <v>0.2756527668019122</v>
      </c>
      <c r="I506" s="91">
        <v>-6.3472528588860322E-2</v>
      </c>
      <c r="J506" s="91">
        <v>0.13693878911294322</v>
      </c>
    </row>
    <row r="507" spans="1:10" x14ac:dyDescent="0.3">
      <c r="A507" s="86" t="s">
        <v>24</v>
      </c>
      <c r="B507" s="59">
        <v>0</v>
      </c>
      <c r="C507" s="59">
        <v>0</v>
      </c>
      <c r="D507" s="59">
        <v>21011.848129999995</v>
      </c>
      <c r="E507" s="59">
        <v>26803.822202656076</v>
      </c>
      <c r="F507" s="59">
        <v>14543.27563</v>
      </c>
      <c r="G507" s="59">
        <v>13620.177151799149</v>
      </c>
      <c r="H507" s="91">
        <v>0.2756527668019122</v>
      </c>
      <c r="I507" s="91">
        <v>-6.3472528588860322E-2</v>
      </c>
      <c r="J507" s="91">
        <v>0.13693878911294322</v>
      </c>
    </row>
    <row r="508" spans="1:10" x14ac:dyDescent="0.3">
      <c r="A508" s="87" t="s">
        <v>25</v>
      </c>
      <c r="B508" s="59">
        <v>0</v>
      </c>
      <c r="C508" s="59">
        <v>0</v>
      </c>
      <c r="D508" s="59">
        <v>21011.848129999995</v>
      </c>
      <c r="E508" s="59">
        <v>26803.822202656076</v>
      </c>
      <c r="F508" s="59">
        <v>14543.27563</v>
      </c>
      <c r="G508" s="59">
        <v>13620.177151799149</v>
      </c>
      <c r="H508" s="91">
        <v>0.2756527668019122</v>
      </c>
      <c r="I508" s="91">
        <v>-6.3472528588860322E-2</v>
      </c>
      <c r="J508" s="91">
        <v>0.13693878911294322</v>
      </c>
    </row>
    <row r="509" spans="1:10" x14ac:dyDescent="0.3">
      <c r="A509" s="88" t="s">
        <v>25</v>
      </c>
      <c r="B509" s="59">
        <v>0</v>
      </c>
      <c r="C509" s="59">
        <v>0</v>
      </c>
      <c r="D509" s="59">
        <v>21011.848129999995</v>
      </c>
      <c r="E509" s="59">
        <v>26803.822202656076</v>
      </c>
      <c r="F509" s="59">
        <v>14543.27563</v>
      </c>
      <c r="G509" s="59">
        <v>13620.177151799149</v>
      </c>
      <c r="H509" s="91">
        <v>0.2756527668019122</v>
      </c>
      <c r="I509" s="91">
        <v>-6.3472528588860322E-2</v>
      </c>
      <c r="J509" s="91">
        <v>0.13693878911294322</v>
      </c>
    </row>
    <row r="510" spans="1:10" x14ac:dyDescent="0.3">
      <c r="A510" s="89" t="s">
        <v>35</v>
      </c>
      <c r="B510" s="59">
        <v>0</v>
      </c>
      <c r="C510" s="59">
        <v>0</v>
      </c>
      <c r="D510" s="59">
        <v>13704.271479999996</v>
      </c>
      <c r="E510" s="59">
        <v>18156.509769018881</v>
      </c>
      <c r="F510" s="59">
        <v>11683.063479999997</v>
      </c>
      <c r="G510" s="59">
        <v>10950.085655711127</v>
      </c>
      <c r="H510" s="91">
        <v>0.324879603816699</v>
      </c>
      <c r="I510" s="91">
        <v>-6.2738495390668669E-2</v>
      </c>
      <c r="J510" s="91">
        <v>0.14650062602435598</v>
      </c>
    </row>
    <row r="511" spans="1:10" x14ac:dyDescent="0.3">
      <c r="A511" s="90">
        <v>44501</v>
      </c>
      <c r="B511" s="59">
        <v>0</v>
      </c>
      <c r="C511" s="59">
        <v>0</v>
      </c>
      <c r="D511" s="59">
        <v>1424.9890799999998</v>
      </c>
      <c r="E511" s="59">
        <v>1887.9389677535212</v>
      </c>
      <c r="F511" s="59">
        <v>1214.8210799999999</v>
      </c>
      <c r="G511" s="59">
        <v>1138.6050332719326</v>
      </c>
      <c r="H511" s="91">
        <v>0.32487960381669834</v>
      </c>
      <c r="I511" s="91">
        <v>-6.2738495390668891E-2</v>
      </c>
      <c r="J511" s="91">
        <v>0.14650062602435532</v>
      </c>
    </row>
    <row r="512" spans="1:10" x14ac:dyDescent="0.3">
      <c r="A512" s="90">
        <v>44531</v>
      </c>
      <c r="B512" s="59">
        <v>0</v>
      </c>
      <c r="C512" s="59">
        <v>0</v>
      </c>
      <c r="D512" s="59">
        <v>1515.2611699999998</v>
      </c>
      <c r="E512" s="59">
        <v>2007.5386185884267</v>
      </c>
      <c r="F512" s="59">
        <v>1291.77917</v>
      </c>
      <c r="G512" s="59">
        <v>1210.734888497193</v>
      </c>
      <c r="H512" s="91">
        <v>0.32487960381669856</v>
      </c>
      <c r="I512" s="91">
        <v>-6.2738495390668891E-2</v>
      </c>
      <c r="J512" s="91">
        <v>0.14650062602435576</v>
      </c>
    </row>
    <row r="513" spans="1:10" x14ac:dyDescent="0.3">
      <c r="A513" s="90">
        <v>44562</v>
      </c>
      <c r="B513" s="59">
        <v>0</v>
      </c>
      <c r="C513" s="59">
        <v>0</v>
      </c>
      <c r="D513" s="59">
        <v>1589.3013699999999</v>
      </c>
      <c r="E513" s="59">
        <v>2105.6329694309361</v>
      </c>
      <c r="F513" s="59">
        <v>1354.8993700000001</v>
      </c>
      <c r="G513" s="59">
        <v>1269.895022120435</v>
      </c>
      <c r="H513" s="91">
        <v>0.32487960381669856</v>
      </c>
      <c r="I513" s="91">
        <v>-6.273849539066878E-2</v>
      </c>
      <c r="J513" s="91">
        <v>0.14650062602435554</v>
      </c>
    </row>
    <row r="514" spans="1:10" x14ac:dyDescent="0.3">
      <c r="A514" s="90">
        <v>44593</v>
      </c>
      <c r="B514" s="59">
        <v>0</v>
      </c>
      <c r="C514" s="59">
        <v>0</v>
      </c>
      <c r="D514" s="59">
        <v>1661.9177199999999</v>
      </c>
      <c r="E514" s="59">
        <v>2201.8408904495509</v>
      </c>
      <c r="F514" s="59">
        <v>1416.8057200000001</v>
      </c>
      <c r="G514" s="59">
        <v>1327.917460866307</v>
      </c>
      <c r="H514" s="91">
        <v>0.32487960381669856</v>
      </c>
      <c r="I514" s="91">
        <v>-6.2738495390668669E-2</v>
      </c>
      <c r="J514" s="91">
        <v>0.14650062602435576</v>
      </c>
    </row>
    <row r="515" spans="1:10" x14ac:dyDescent="0.3">
      <c r="A515" s="90">
        <v>44621</v>
      </c>
      <c r="B515" s="59">
        <v>0</v>
      </c>
      <c r="C515" s="59">
        <v>0</v>
      </c>
      <c r="D515" s="59">
        <v>1389.6776</v>
      </c>
      <c r="E515" s="59">
        <v>1841.1555081209401</v>
      </c>
      <c r="F515" s="59">
        <v>1184.7175999999999</v>
      </c>
      <c r="G515" s="59">
        <v>1110.3902003131559</v>
      </c>
      <c r="H515" s="91">
        <v>0.32487960381669834</v>
      </c>
      <c r="I515" s="91">
        <v>-6.2738495390668669E-2</v>
      </c>
      <c r="J515" s="91">
        <v>0.14650062602435554</v>
      </c>
    </row>
    <row r="516" spans="1:10" x14ac:dyDescent="0.3">
      <c r="A516" s="90">
        <v>44652</v>
      </c>
      <c r="B516" s="59">
        <v>0</v>
      </c>
      <c r="C516" s="59">
        <v>0</v>
      </c>
      <c r="D516" s="59">
        <v>1533.2016799999999</v>
      </c>
      <c r="E516" s="59">
        <v>2031.3076343694963</v>
      </c>
      <c r="F516" s="59">
        <v>1307.0736800000002</v>
      </c>
      <c r="G516" s="59">
        <v>1225.0698439520556</v>
      </c>
      <c r="H516" s="91">
        <v>0.32487960381669834</v>
      </c>
      <c r="I516" s="91">
        <v>-6.273849539066878E-2</v>
      </c>
      <c r="J516" s="91">
        <v>0.14650062602435554</v>
      </c>
    </row>
    <row r="517" spans="1:10" x14ac:dyDescent="0.3">
      <c r="A517" s="90">
        <v>44682</v>
      </c>
      <c r="B517" s="59">
        <v>0</v>
      </c>
      <c r="C517" s="59">
        <v>0</v>
      </c>
      <c r="D517" s="59">
        <v>939.17145999999991</v>
      </c>
      <c r="E517" s="59">
        <v>1244.2891118407501</v>
      </c>
      <c r="F517" s="59">
        <v>800.65546000000006</v>
      </c>
      <c r="G517" s="59">
        <v>750.4235411132762</v>
      </c>
      <c r="H517" s="91">
        <v>0.32487960381669856</v>
      </c>
      <c r="I517" s="91">
        <v>-6.2738495390668891E-2</v>
      </c>
      <c r="J517" s="91">
        <v>0.14650062602435554</v>
      </c>
    </row>
    <row r="518" spans="1:10" x14ac:dyDescent="0.3">
      <c r="A518" s="90">
        <v>44713</v>
      </c>
      <c r="B518" s="59">
        <v>0</v>
      </c>
      <c r="C518" s="59">
        <v>0</v>
      </c>
      <c r="D518" s="59">
        <v>714.20315999999991</v>
      </c>
      <c r="E518" s="59">
        <v>946.23319966543397</v>
      </c>
      <c r="F518" s="59">
        <v>608.86716000000001</v>
      </c>
      <c r="G518" s="59">
        <v>570.66775048881038</v>
      </c>
      <c r="H518" s="91">
        <v>0.32487960381669834</v>
      </c>
      <c r="I518" s="91">
        <v>-6.2738495390668891E-2</v>
      </c>
      <c r="J518" s="91">
        <v>0.14650062602435576</v>
      </c>
    </row>
    <row r="519" spans="1:10" x14ac:dyDescent="0.3">
      <c r="A519" s="90">
        <v>44743</v>
      </c>
      <c r="B519" s="59">
        <v>0</v>
      </c>
      <c r="C519" s="59">
        <v>0</v>
      </c>
      <c r="D519" s="59">
        <v>743.81924000000004</v>
      </c>
      <c r="E519" s="59">
        <v>985.47094000243771</v>
      </c>
      <c r="F519" s="59">
        <v>634.11524000000009</v>
      </c>
      <c r="G519" s="59">
        <v>594.33180393810721</v>
      </c>
      <c r="H519" s="91">
        <v>0.32487960381669834</v>
      </c>
      <c r="I519" s="91">
        <v>-6.2738495390668891E-2</v>
      </c>
      <c r="J519" s="91">
        <v>0.14650062602435554</v>
      </c>
    </row>
    <row r="520" spans="1:10" x14ac:dyDescent="0.3">
      <c r="A520" s="90">
        <v>44774</v>
      </c>
      <c r="B520" s="59">
        <v>0</v>
      </c>
      <c r="C520" s="59">
        <v>0</v>
      </c>
      <c r="D520" s="59">
        <v>793.93875999999989</v>
      </c>
      <c r="E520" s="59">
        <v>1051.8732698035208</v>
      </c>
      <c r="F520" s="59">
        <v>676.84276</v>
      </c>
      <c r="G520" s="59">
        <v>634.37866362153238</v>
      </c>
      <c r="H520" s="91">
        <v>0.32487960381669856</v>
      </c>
      <c r="I520" s="91">
        <v>-6.2738495390668891E-2</v>
      </c>
      <c r="J520" s="91">
        <v>0.14650062602435554</v>
      </c>
    </row>
    <row r="521" spans="1:10" x14ac:dyDescent="0.3">
      <c r="A521" s="90">
        <v>44805</v>
      </c>
      <c r="B521" s="59">
        <v>0</v>
      </c>
      <c r="C521" s="59">
        <v>0</v>
      </c>
      <c r="D521" s="59">
        <v>699.39511999999991</v>
      </c>
      <c r="E521" s="59">
        <v>926.61432949693221</v>
      </c>
      <c r="F521" s="59">
        <v>596.24311999999998</v>
      </c>
      <c r="G521" s="59">
        <v>558.83572376416203</v>
      </c>
      <c r="H521" s="91">
        <v>0.32487960381669856</v>
      </c>
      <c r="I521" s="91">
        <v>-6.273849539066878E-2</v>
      </c>
      <c r="J521" s="91">
        <v>0.14650062602435576</v>
      </c>
    </row>
    <row r="522" spans="1:10" x14ac:dyDescent="0.3">
      <c r="A522" s="90">
        <v>44835</v>
      </c>
      <c r="B522" s="59">
        <v>0</v>
      </c>
      <c r="C522" s="59">
        <v>0</v>
      </c>
      <c r="D522" s="59">
        <v>699.39511999999991</v>
      </c>
      <c r="E522" s="59">
        <v>926.61432949693221</v>
      </c>
      <c r="F522" s="59">
        <v>596.24311999999998</v>
      </c>
      <c r="G522" s="59">
        <v>558.83572376416203</v>
      </c>
      <c r="H522" s="91">
        <v>0.32487960381669856</v>
      </c>
      <c r="I522" s="91">
        <v>-6.273849539066878E-2</v>
      </c>
      <c r="J522" s="91">
        <v>0.14650062602435576</v>
      </c>
    </row>
    <row r="523" spans="1:10" x14ac:dyDescent="0.3">
      <c r="A523" s="89" t="s">
        <v>36</v>
      </c>
      <c r="B523" s="59">
        <v>0</v>
      </c>
      <c r="C523" s="59">
        <v>0</v>
      </c>
      <c r="D523" s="59">
        <v>2162.8526500000003</v>
      </c>
      <c r="E523" s="59">
        <v>2610.9629640547118</v>
      </c>
      <c r="F523" s="59">
        <v>824.20415000000003</v>
      </c>
      <c r="G523" s="59">
        <v>772.49482173425497</v>
      </c>
      <c r="H523" s="91">
        <v>0.20718485563716582</v>
      </c>
      <c r="I523" s="91">
        <v>-6.273849539066878E-2</v>
      </c>
      <c r="J523" s="91">
        <v>0.13270620960035528</v>
      </c>
    </row>
    <row r="524" spans="1:10" x14ac:dyDescent="0.3">
      <c r="A524" s="90">
        <v>44501</v>
      </c>
      <c r="B524" s="59">
        <v>0</v>
      </c>
      <c r="C524" s="59">
        <v>0</v>
      </c>
      <c r="D524" s="59">
        <v>217.24087000000003</v>
      </c>
      <c r="E524" s="59">
        <v>262.24988828944242</v>
      </c>
      <c r="F524" s="59">
        <v>82.784570000000016</v>
      </c>
      <c r="G524" s="59">
        <v>77.590790636636513</v>
      </c>
      <c r="H524" s="91">
        <v>0.20718485563716627</v>
      </c>
      <c r="I524" s="91">
        <v>-6.2738495390668891E-2</v>
      </c>
      <c r="J524" s="91">
        <v>0.13270620960035528</v>
      </c>
    </row>
    <row r="525" spans="1:10" x14ac:dyDescent="0.3">
      <c r="A525" s="90">
        <v>44531</v>
      </c>
      <c r="B525" s="59">
        <v>0</v>
      </c>
      <c r="C525" s="59">
        <v>0</v>
      </c>
      <c r="D525" s="59">
        <v>232.53055000000001</v>
      </c>
      <c r="E525" s="59">
        <v>280.70735843298087</v>
      </c>
      <c r="F525" s="59">
        <v>88.611050000000006</v>
      </c>
      <c r="G525" s="59">
        <v>83.051726048012682</v>
      </c>
      <c r="H525" s="91">
        <v>0.20718485563716627</v>
      </c>
      <c r="I525" s="91">
        <v>-6.273849539066878E-2</v>
      </c>
      <c r="J525" s="91">
        <v>0.13270620960035551</v>
      </c>
    </row>
    <row r="526" spans="1:10" x14ac:dyDescent="0.3">
      <c r="A526" s="90">
        <v>44562</v>
      </c>
      <c r="B526" s="59">
        <v>0</v>
      </c>
      <c r="C526" s="59">
        <v>0</v>
      </c>
      <c r="D526" s="59">
        <v>237.62711000000002</v>
      </c>
      <c r="E526" s="59">
        <v>286.859848480827</v>
      </c>
      <c r="F526" s="59">
        <v>90.553210000000007</v>
      </c>
      <c r="G526" s="59">
        <v>84.872037851804734</v>
      </c>
      <c r="H526" s="91">
        <v>0.20718485563716604</v>
      </c>
      <c r="I526" s="91">
        <v>-6.2738495390668891E-2</v>
      </c>
      <c r="J526" s="91">
        <v>0.13270620960035528</v>
      </c>
    </row>
    <row r="527" spans="1:10" x14ac:dyDescent="0.3">
      <c r="A527" s="90">
        <v>44593</v>
      </c>
      <c r="B527" s="59">
        <v>0</v>
      </c>
      <c r="C527" s="59">
        <v>0</v>
      </c>
      <c r="D527" s="59">
        <v>245.90902000000003</v>
      </c>
      <c r="E527" s="59">
        <v>296.85764480857705</v>
      </c>
      <c r="F527" s="59">
        <v>93.709220000000002</v>
      </c>
      <c r="G527" s="59">
        <v>87.830044532966838</v>
      </c>
      <c r="H527" s="91">
        <v>0.20718485563716627</v>
      </c>
      <c r="I527" s="91">
        <v>-6.273849539066878E-2</v>
      </c>
      <c r="J527" s="91">
        <v>0.13270620960035551</v>
      </c>
    </row>
    <row r="528" spans="1:10" x14ac:dyDescent="0.3">
      <c r="A528" s="90">
        <v>44621</v>
      </c>
      <c r="B528" s="59">
        <v>0</v>
      </c>
      <c r="C528" s="59">
        <v>0</v>
      </c>
      <c r="D528" s="59">
        <v>209.59603000000001</v>
      </c>
      <c r="E528" s="59">
        <v>253.02115321767317</v>
      </c>
      <c r="F528" s="59">
        <v>79.87133</v>
      </c>
      <c r="G528" s="59">
        <v>74.860322930948414</v>
      </c>
      <c r="H528" s="91">
        <v>0.20718485563716627</v>
      </c>
      <c r="I528" s="91">
        <v>-6.273849539066878E-2</v>
      </c>
      <c r="J528" s="91">
        <v>0.13270620960035551</v>
      </c>
    </row>
    <row r="529" spans="1:10" x14ac:dyDescent="0.3">
      <c r="A529" s="90">
        <v>44652</v>
      </c>
      <c r="B529" s="59">
        <v>0</v>
      </c>
      <c r="C529" s="59">
        <v>0</v>
      </c>
      <c r="D529" s="59">
        <v>243.99781000000002</v>
      </c>
      <c r="E529" s="59">
        <v>294.55046104063473</v>
      </c>
      <c r="F529" s="59">
        <v>92.980910000000009</v>
      </c>
      <c r="G529" s="59">
        <v>87.147427606544809</v>
      </c>
      <c r="H529" s="91">
        <v>0.20718485563716627</v>
      </c>
      <c r="I529" s="91">
        <v>-6.2738495390668891E-2</v>
      </c>
      <c r="J529" s="91">
        <v>0.13270620960035551</v>
      </c>
    </row>
    <row r="530" spans="1:10" x14ac:dyDescent="0.3">
      <c r="A530" s="90">
        <v>44682</v>
      </c>
      <c r="B530" s="59">
        <v>0</v>
      </c>
      <c r="C530" s="59">
        <v>0</v>
      </c>
      <c r="D530" s="59">
        <v>150.98559</v>
      </c>
      <c r="E530" s="59">
        <v>182.26751766744235</v>
      </c>
      <c r="F530" s="59">
        <v>57.536490000000001</v>
      </c>
      <c r="G530" s="59">
        <v>53.926737187339739</v>
      </c>
      <c r="H530" s="91">
        <v>0.20718485563716604</v>
      </c>
      <c r="I530" s="91">
        <v>-6.273849539066878E-2</v>
      </c>
      <c r="J530" s="91">
        <v>0.13270620960035528</v>
      </c>
    </row>
    <row r="531" spans="1:10" x14ac:dyDescent="0.3">
      <c r="A531" s="90">
        <v>44713</v>
      </c>
      <c r="B531" s="59">
        <v>0</v>
      </c>
      <c r="C531" s="59">
        <v>0</v>
      </c>
      <c r="D531" s="59">
        <v>137.60712000000001</v>
      </c>
      <c r="E531" s="59">
        <v>166.1172312918462</v>
      </c>
      <c r="F531" s="59">
        <v>52.438320000000004</v>
      </c>
      <c r="G531" s="59">
        <v>49.148418702385584</v>
      </c>
      <c r="H531" s="91">
        <v>0.20718485563716604</v>
      </c>
      <c r="I531" s="91">
        <v>-6.2738495390668891E-2</v>
      </c>
      <c r="J531" s="91">
        <v>0.13270620960035528</v>
      </c>
    </row>
    <row r="532" spans="1:10" x14ac:dyDescent="0.3">
      <c r="A532" s="90">
        <v>44743</v>
      </c>
      <c r="B532" s="59">
        <v>0</v>
      </c>
      <c r="C532" s="59">
        <v>0</v>
      </c>
      <c r="D532" s="59">
        <v>127.41400000000002</v>
      </c>
      <c r="E532" s="59">
        <v>153.81225119615391</v>
      </c>
      <c r="F532" s="59">
        <v>48.554000000000002</v>
      </c>
      <c r="G532" s="59">
        <v>45.507795094801473</v>
      </c>
      <c r="H532" s="91">
        <v>0.20718485563716627</v>
      </c>
      <c r="I532" s="91">
        <v>-6.2738495390668669E-2</v>
      </c>
      <c r="J532" s="91">
        <v>0.13270620960035551</v>
      </c>
    </row>
    <row r="533" spans="1:10" x14ac:dyDescent="0.3">
      <c r="A533" s="90">
        <v>44774</v>
      </c>
      <c r="B533" s="59">
        <v>0</v>
      </c>
      <c r="C533" s="59">
        <v>0</v>
      </c>
      <c r="D533" s="59">
        <v>135.69591</v>
      </c>
      <c r="E533" s="59">
        <v>163.8100475239039</v>
      </c>
      <c r="F533" s="59">
        <v>51.710010000000004</v>
      </c>
      <c r="G533" s="59">
        <v>48.465801775963563</v>
      </c>
      <c r="H533" s="91">
        <v>0.20718485563716627</v>
      </c>
      <c r="I533" s="91">
        <v>-6.2738495390668891E-2</v>
      </c>
      <c r="J533" s="91">
        <v>0.13270620960035551</v>
      </c>
    </row>
    <row r="534" spans="1:10" x14ac:dyDescent="0.3">
      <c r="A534" s="90">
        <v>44805</v>
      </c>
      <c r="B534" s="59">
        <v>0</v>
      </c>
      <c r="C534" s="59">
        <v>0</v>
      </c>
      <c r="D534" s="59">
        <v>112.12432</v>
      </c>
      <c r="E534" s="59">
        <v>135.35478105261541</v>
      </c>
      <c r="F534" s="59">
        <v>42.727519999999998</v>
      </c>
      <c r="G534" s="59">
        <v>40.046859683425289</v>
      </c>
      <c r="H534" s="91">
        <v>0.20718485563716604</v>
      </c>
      <c r="I534" s="91">
        <v>-6.273849539066878E-2</v>
      </c>
      <c r="J534" s="91">
        <v>0.13270620960035551</v>
      </c>
    </row>
    <row r="535" spans="1:10" x14ac:dyDescent="0.3">
      <c r="A535" s="90">
        <v>44835</v>
      </c>
      <c r="B535" s="59">
        <v>0</v>
      </c>
      <c r="C535" s="59">
        <v>0</v>
      </c>
      <c r="D535" s="59">
        <v>112.12432</v>
      </c>
      <c r="E535" s="59">
        <v>135.35478105261541</v>
      </c>
      <c r="F535" s="59">
        <v>42.727519999999998</v>
      </c>
      <c r="G535" s="59">
        <v>40.046859683425289</v>
      </c>
      <c r="H535" s="91">
        <v>0.20718485563716604</v>
      </c>
      <c r="I535" s="91">
        <v>-6.273849539066878E-2</v>
      </c>
      <c r="J535" s="91">
        <v>0.13270620960035551</v>
      </c>
    </row>
    <row r="536" spans="1:10" x14ac:dyDescent="0.3">
      <c r="A536" s="89" t="s">
        <v>34</v>
      </c>
      <c r="B536" s="59">
        <v>0</v>
      </c>
      <c r="C536" s="59">
        <v>0</v>
      </c>
      <c r="D536" s="59">
        <v>5144.7240000000002</v>
      </c>
      <c r="E536" s="59">
        <v>6036.3494695824811</v>
      </c>
      <c r="F536" s="59">
        <v>2036.0080000000003</v>
      </c>
      <c r="G536" s="59">
        <v>1897.5966743537683</v>
      </c>
      <c r="H536" s="91">
        <v>0.17330870802446952</v>
      </c>
      <c r="I536" s="91">
        <v>-6.7981719937363683E-2</v>
      </c>
      <c r="J536" s="91">
        <v>0.1048937829647798</v>
      </c>
    </row>
    <row r="537" spans="1:10" x14ac:dyDescent="0.3">
      <c r="A537" s="90">
        <v>44501</v>
      </c>
      <c r="B537" s="59">
        <v>0</v>
      </c>
      <c r="C537" s="59">
        <v>0</v>
      </c>
      <c r="D537" s="59">
        <v>529.31295</v>
      </c>
      <c r="E537" s="59">
        <v>621.04749350512054</v>
      </c>
      <c r="F537" s="59">
        <v>209.47390000000001</v>
      </c>
      <c r="G537" s="59">
        <v>195.2335039960127</v>
      </c>
      <c r="H537" s="91">
        <v>0.17330870802446929</v>
      </c>
      <c r="I537" s="91">
        <v>-6.7981719937363572E-2</v>
      </c>
      <c r="J537" s="91">
        <v>0.1048937829647798</v>
      </c>
    </row>
    <row r="538" spans="1:10" x14ac:dyDescent="0.3">
      <c r="A538" s="90">
        <v>44531</v>
      </c>
      <c r="B538" s="59">
        <v>0</v>
      </c>
      <c r="C538" s="59">
        <v>0</v>
      </c>
      <c r="D538" s="59">
        <v>545.14287000000002</v>
      </c>
      <c r="E538" s="59">
        <v>639.62087648845124</v>
      </c>
      <c r="F538" s="59">
        <v>215.73854000000003</v>
      </c>
      <c r="G538" s="59">
        <v>201.0722629940243</v>
      </c>
      <c r="H538" s="91">
        <v>0.17330870802446929</v>
      </c>
      <c r="I538" s="91">
        <v>-6.7981719937363683E-2</v>
      </c>
      <c r="J538" s="91">
        <v>0.10489378296477958</v>
      </c>
    </row>
    <row r="539" spans="1:10" x14ac:dyDescent="0.3">
      <c r="A539" s="90">
        <v>44562</v>
      </c>
      <c r="B539" s="59">
        <v>0</v>
      </c>
      <c r="C539" s="59">
        <v>0</v>
      </c>
      <c r="D539" s="59">
        <v>558.00467999999989</v>
      </c>
      <c r="E539" s="59">
        <v>654.71175016240738</v>
      </c>
      <c r="F539" s="59">
        <v>220.82855999999998</v>
      </c>
      <c r="G539" s="59">
        <v>205.8162546799087</v>
      </c>
      <c r="H539" s="91">
        <v>0.17330870802446952</v>
      </c>
      <c r="I539" s="91">
        <v>-6.7981719937363572E-2</v>
      </c>
      <c r="J539" s="91">
        <v>0.10489378296477958</v>
      </c>
    </row>
    <row r="540" spans="1:10" x14ac:dyDescent="0.3">
      <c r="A540" s="90">
        <v>44593</v>
      </c>
      <c r="B540" s="59">
        <v>0</v>
      </c>
      <c r="C540" s="59">
        <v>0</v>
      </c>
      <c r="D540" s="59">
        <v>572.84523000000002</v>
      </c>
      <c r="E540" s="59">
        <v>672.12429670927986</v>
      </c>
      <c r="F540" s="59">
        <v>226.70166</v>
      </c>
      <c r="G540" s="59">
        <v>211.29009124054457</v>
      </c>
      <c r="H540" s="91">
        <v>0.17330870802446907</v>
      </c>
      <c r="I540" s="91">
        <v>-6.7981719937363683E-2</v>
      </c>
      <c r="J540" s="91">
        <v>0.10489378296477936</v>
      </c>
    </row>
    <row r="541" spans="1:10" x14ac:dyDescent="0.3">
      <c r="A541" s="90">
        <v>44621</v>
      </c>
      <c r="B541" s="59">
        <v>0</v>
      </c>
      <c r="C541" s="59">
        <v>0</v>
      </c>
      <c r="D541" s="59">
        <v>487.75941</v>
      </c>
      <c r="E541" s="59">
        <v>572.29236317387733</v>
      </c>
      <c r="F541" s="59">
        <v>193.02922000000001</v>
      </c>
      <c r="G541" s="59">
        <v>179.90676162623225</v>
      </c>
      <c r="H541" s="91">
        <v>0.17330870802446907</v>
      </c>
      <c r="I541" s="91">
        <v>-6.7981719937363683E-2</v>
      </c>
      <c r="J541" s="91">
        <v>0.10489378296477936</v>
      </c>
    </row>
    <row r="542" spans="1:10" x14ac:dyDescent="0.3">
      <c r="A542" s="90">
        <v>44652</v>
      </c>
      <c r="B542" s="59">
        <v>0</v>
      </c>
      <c r="C542" s="59">
        <v>0</v>
      </c>
      <c r="D542" s="59">
        <v>573.83459999999991</v>
      </c>
      <c r="E542" s="59">
        <v>673.28513314573809</v>
      </c>
      <c r="F542" s="59">
        <v>227.0932</v>
      </c>
      <c r="G542" s="59">
        <v>211.65501367792029</v>
      </c>
      <c r="H542" s="91">
        <v>0.17330870802446952</v>
      </c>
      <c r="I542" s="91">
        <v>-6.7981719937363572E-2</v>
      </c>
      <c r="J542" s="91">
        <v>0.10489378296477958</v>
      </c>
    </row>
    <row r="543" spans="1:10" x14ac:dyDescent="0.3">
      <c r="A543" s="90">
        <v>44682</v>
      </c>
      <c r="B543" s="59">
        <v>0</v>
      </c>
      <c r="C543" s="59">
        <v>0</v>
      </c>
      <c r="D543" s="59">
        <v>357.16257000000002</v>
      </c>
      <c r="E543" s="59">
        <v>419.06195356139904</v>
      </c>
      <c r="F543" s="59">
        <v>141.34594000000001</v>
      </c>
      <c r="G543" s="59">
        <v>131.73699989263659</v>
      </c>
      <c r="H543" s="91">
        <v>0.17330870802446907</v>
      </c>
      <c r="I543" s="91">
        <v>-6.7981719937363794E-2</v>
      </c>
      <c r="J543" s="91">
        <v>0.10489378296477958</v>
      </c>
    </row>
    <row r="544" spans="1:10" x14ac:dyDescent="0.3">
      <c r="A544" s="90">
        <v>44713</v>
      </c>
      <c r="B544" s="59">
        <v>0</v>
      </c>
      <c r="C544" s="59">
        <v>0</v>
      </c>
      <c r="D544" s="59">
        <v>324.51336000000003</v>
      </c>
      <c r="E544" s="59">
        <v>380.75435115827952</v>
      </c>
      <c r="F544" s="59">
        <v>128.42512000000002</v>
      </c>
      <c r="G544" s="59">
        <v>119.69455945923769</v>
      </c>
      <c r="H544" s="91">
        <v>0.17330870802446929</v>
      </c>
      <c r="I544" s="91">
        <v>-6.7981719937363683E-2</v>
      </c>
      <c r="J544" s="91">
        <v>0.10489378296477958</v>
      </c>
    </row>
    <row r="545" spans="1:10" x14ac:dyDescent="0.3">
      <c r="A545" s="90">
        <v>44743</v>
      </c>
      <c r="B545" s="59">
        <v>0</v>
      </c>
      <c r="C545" s="59">
        <v>0</v>
      </c>
      <c r="D545" s="59">
        <v>318.57713999999999</v>
      </c>
      <c r="E545" s="59">
        <v>373.78933253953045</v>
      </c>
      <c r="F545" s="59">
        <v>126.07588000000001</v>
      </c>
      <c r="G545" s="59">
        <v>117.50502483498335</v>
      </c>
      <c r="H545" s="91">
        <v>0.17330870802446929</v>
      </c>
      <c r="I545" s="91">
        <v>-6.7981719937363683E-2</v>
      </c>
      <c r="J545" s="91">
        <v>0.10489378296477958</v>
      </c>
    </row>
    <row r="546" spans="1:10" x14ac:dyDescent="0.3">
      <c r="A546" s="90">
        <v>44774</v>
      </c>
      <c r="B546" s="59">
        <v>0</v>
      </c>
      <c r="C546" s="59">
        <v>0</v>
      </c>
      <c r="D546" s="59">
        <v>333.41769000000005</v>
      </c>
      <c r="E546" s="59">
        <v>391.20187908640304</v>
      </c>
      <c r="F546" s="59">
        <v>131.94898000000001</v>
      </c>
      <c r="G546" s="59">
        <v>122.97886139561922</v>
      </c>
      <c r="H546" s="91">
        <v>0.17330870802446929</v>
      </c>
      <c r="I546" s="91">
        <v>-6.7981719937363572E-2</v>
      </c>
      <c r="J546" s="91">
        <v>0.10489378296477936</v>
      </c>
    </row>
    <row r="547" spans="1:10" x14ac:dyDescent="0.3">
      <c r="A547" s="90">
        <v>44805</v>
      </c>
      <c r="B547" s="59">
        <v>0</v>
      </c>
      <c r="C547" s="59">
        <v>0</v>
      </c>
      <c r="D547" s="59">
        <v>272.07675</v>
      </c>
      <c r="E547" s="59">
        <v>319.23002002599657</v>
      </c>
      <c r="F547" s="59">
        <v>107.67350000000002</v>
      </c>
      <c r="G547" s="59">
        <v>100.35367027832429</v>
      </c>
      <c r="H547" s="91">
        <v>0.17330870802446952</v>
      </c>
      <c r="I547" s="91">
        <v>-6.7981719937363683E-2</v>
      </c>
      <c r="J547" s="91">
        <v>0.10489378296477958</v>
      </c>
    </row>
    <row r="548" spans="1:10" x14ac:dyDescent="0.3">
      <c r="A548" s="90">
        <v>44835</v>
      </c>
      <c r="B548" s="59">
        <v>0</v>
      </c>
      <c r="C548" s="59">
        <v>0</v>
      </c>
      <c r="D548" s="59">
        <v>272.07675</v>
      </c>
      <c r="E548" s="59">
        <v>319.23002002599657</v>
      </c>
      <c r="F548" s="59">
        <v>107.67350000000002</v>
      </c>
      <c r="G548" s="59">
        <v>100.35367027832429</v>
      </c>
      <c r="H548" s="91">
        <v>0.17330870802446952</v>
      </c>
      <c r="I548" s="91">
        <v>-6.7981719937363683E-2</v>
      </c>
      <c r="J548" s="91">
        <v>0.10489378296477958</v>
      </c>
    </row>
    <row r="549" spans="1:10" x14ac:dyDescent="0.3">
      <c r="A549" s="83" t="s">
        <v>23</v>
      </c>
      <c r="B549" s="59">
        <v>0</v>
      </c>
      <c r="C549" s="59">
        <v>0</v>
      </c>
      <c r="D549" s="59">
        <v>18789258.402909998</v>
      </c>
      <c r="E549" s="59">
        <v>23702883.773876019</v>
      </c>
      <c r="F549" s="59">
        <v>12814189.963055</v>
      </c>
      <c r="G549" s="59">
        <v>12001546.262911374</v>
      </c>
      <c r="H549" s="91">
        <v>0.26151246981653364</v>
      </c>
      <c r="I549" s="91">
        <v>-6.3417485029220622E-2</v>
      </c>
      <c r="J549" s="91">
        <v>0.12976374044165784</v>
      </c>
    </row>
    <row r="550" spans="1:10" x14ac:dyDescent="0.3">
      <c r="A550" s="84" t="s">
        <v>26</v>
      </c>
      <c r="B550" s="59">
        <v>0</v>
      </c>
      <c r="C550" s="59">
        <v>0</v>
      </c>
      <c r="D550" s="59">
        <v>18789258.402909998</v>
      </c>
      <c r="E550" s="59">
        <v>23702883.773876019</v>
      </c>
      <c r="F550" s="59">
        <v>12814189.963055</v>
      </c>
      <c r="G550" s="59">
        <v>12001546.262911374</v>
      </c>
      <c r="H550" s="91">
        <v>0.26151246981653364</v>
      </c>
      <c r="I550" s="91">
        <v>-6.3417485029220622E-2</v>
      </c>
      <c r="J550" s="91">
        <v>0.12976374044165784</v>
      </c>
    </row>
    <row r="551" spans="1:10" x14ac:dyDescent="0.3">
      <c r="A551" s="85" t="s">
        <v>24</v>
      </c>
      <c r="B551" s="59">
        <v>0</v>
      </c>
      <c r="C551" s="59">
        <v>0</v>
      </c>
      <c r="D551" s="59">
        <v>18789258.402909998</v>
      </c>
      <c r="E551" s="59">
        <v>23702883.773876019</v>
      </c>
      <c r="F551" s="59">
        <v>12814189.963055</v>
      </c>
      <c r="G551" s="59">
        <v>12001546.262911374</v>
      </c>
      <c r="H551" s="91">
        <v>0.26151246981653364</v>
      </c>
      <c r="I551" s="91">
        <v>-6.3417485029220622E-2</v>
      </c>
      <c r="J551" s="91">
        <v>0.12976374044165784</v>
      </c>
    </row>
    <row r="552" spans="1:10" x14ac:dyDescent="0.3">
      <c r="A552" s="86" t="s">
        <v>24</v>
      </c>
      <c r="B552" s="59">
        <v>0</v>
      </c>
      <c r="C552" s="59">
        <v>0</v>
      </c>
      <c r="D552" s="59">
        <v>17749648.244340003</v>
      </c>
      <c r="E552" s="59">
        <v>22572284.223405723</v>
      </c>
      <c r="F552" s="59">
        <v>11930819.615689998</v>
      </c>
      <c r="G552" s="59">
        <v>11174189.417891314</v>
      </c>
      <c r="H552" s="91">
        <v>0.27170318603939481</v>
      </c>
      <c r="I552" s="91">
        <v>-6.3418123999097076E-2</v>
      </c>
      <c r="J552" s="91">
        <v>0.13699264447049497</v>
      </c>
    </row>
    <row r="553" spans="1:10" x14ac:dyDescent="0.3">
      <c r="A553" s="87" t="s">
        <v>25</v>
      </c>
      <c r="B553" s="59">
        <v>0</v>
      </c>
      <c r="C553" s="59">
        <v>0</v>
      </c>
      <c r="D553" s="59">
        <v>17749648.244340003</v>
      </c>
      <c r="E553" s="59">
        <v>22572284.223405723</v>
      </c>
      <c r="F553" s="59">
        <v>11930819.615689998</v>
      </c>
      <c r="G553" s="59">
        <v>11174189.417891314</v>
      </c>
      <c r="H553" s="91">
        <v>0.27170318603939481</v>
      </c>
      <c r="I553" s="91">
        <v>-6.3418123999097076E-2</v>
      </c>
      <c r="J553" s="91">
        <v>0.13699264447049497</v>
      </c>
    </row>
    <row r="554" spans="1:10" x14ac:dyDescent="0.3">
      <c r="A554" s="88" t="s">
        <v>25</v>
      </c>
      <c r="B554" s="59">
        <v>0</v>
      </c>
      <c r="C554" s="59">
        <v>0</v>
      </c>
      <c r="D554" s="59">
        <v>17749648.244340003</v>
      </c>
      <c r="E554" s="59">
        <v>22572284.223405723</v>
      </c>
      <c r="F554" s="59">
        <v>11930819.615689998</v>
      </c>
      <c r="G554" s="59">
        <v>11174189.417891314</v>
      </c>
      <c r="H554" s="91">
        <v>0.27170318603939481</v>
      </c>
      <c r="I554" s="91">
        <v>-6.3418123999097076E-2</v>
      </c>
      <c r="J554" s="91">
        <v>0.13699264447049497</v>
      </c>
    </row>
    <row r="555" spans="1:10" x14ac:dyDescent="0.3">
      <c r="A555" s="89" t="s">
        <v>25</v>
      </c>
      <c r="B555" s="59">
        <v>0</v>
      </c>
      <c r="C555" s="59">
        <v>0</v>
      </c>
      <c r="D555" s="59">
        <v>17749648.244340003</v>
      </c>
      <c r="E555" s="59">
        <v>22572284.223405723</v>
      </c>
      <c r="F555" s="59">
        <v>11930819.615689998</v>
      </c>
      <c r="G555" s="59">
        <v>11174189.417891314</v>
      </c>
      <c r="H555" s="91">
        <v>0.27170318603939481</v>
      </c>
      <c r="I555" s="91">
        <v>-6.3418123999097076E-2</v>
      </c>
      <c r="J555" s="91">
        <v>0.13699264447049497</v>
      </c>
    </row>
    <row r="556" spans="1:10" x14ac:dyDescent="0.3">
      <c r="A556" s="90">
        <v>44501</v>
      </c>
      <c r="B556" s="59">
        <v>0</v>
      </c>
      <c r="C556" s="59">
        <v>0</v>
      </c>
      <c r="D556" s="59">
        <v>1572760.7249400003</v>
      </c>
      <c r="E556" s="59">
        <v>2000084.8247838255</v>
      </c>
      <c r="F556" s="59">
        <v>1057165.99279</v>
      </c>
      <c r="G556" s="59">
        <v>990122.50877161534</v>
      </c>
      <c r="H556" s="91">
        <v>0.27170318603939414</v>
      </c>
      <c r="I556" s="91">
        <v>-6.3418123999096965E-2</v>
      </c>
      <c r="J556" s="91">
        <v>0.13699264447049431</v>
      </c>
    </row>
    <row r="557" spans="1:10" x14ac:dyDescent="0.3">
      <c r="A557" s="90">
        <v>44531</v>
      </c>
      <c r="B557" s="59">
        <v>0</v>
      </c>
      <c r="C557" s="59">
        <v>0</v>
      </c>
      <c r="D557" s="59">
        <v>1497903.8367599999</v>
      </c>
      <c r="E557" s="59">
        <v>1904889.0815883249</v>
      </c>
      <c r="F557" s="59">
        <v>1006849.2756599999</v>
      </c>
      <c r="G557" s="59">
        <v>942996.7834477931</v>
      </c>
      <c r="H557" s="91">
        <v>0.27170318603939436</v>
      </c>
      <c r="I557" s="91">
        <v>-6.3418123999096965E-2</v>
      </c>
      <c r="J557" s="91">
        <v>0.13699264447049475</v>
      </c>
    </row>
    <row r="558" spans="1:10" x14ac:dyDescent="0.3">
      <c r="A558" s="90">
        <v>44562</v>
      </c>
      <c r="B558" s="59">
        <v>0</v>
      </c>
      <c r="C558" s="59">
        <v>0</v>
      </c>
      <c r="D558" s="59">
        <v>1529425.9630800001</v>
      </c>
      <c r="E558" s="59">
        <v>1944975.8700602052</v>
      </c>
      <c r="F558" s="59">
        <v>1028037.57178</v>
      </c>
      <c r="G558" s="59">
        <v>962841.35757712543</v>
      </c>
      <c r="H558" s="91">
        <v>0.27170318603939436</v>
      </c>
      <c r="I558" s="91">
        <v>-6.3418123999096965E-2</v>
      </c>
      <c r="J558" s="91">
        <v>0.13699264447049475</v>
      </c>
    </row>
    <row r="559" spans="1:10" x14ac:dyDescent="0.3">
      <c r="A559" s="90">
        <v>44593</v>
      </c>
      <c r="B559" s="59">
        <v>0</v>
      </c>
      <c r="C559" s="59">
        <v>0</v>
      </c>
      <c r="D559" s="59">
        <v>1514612.0518200002</v>
      </c>
      <c r="E559" s="59">
        <v>1926136.9719131582</v>
      </c>
      <c r="F559" s="59">
        <v>1018080.0728699999</v>
      </c>
      <c r="G559" s="59">
        <v>953515.34456772066</v>
      </c>
      <c r="H559" s="91">
        <v>0.27170318603939414</v>
      </c>
      <c r="I559" s="91">
        <v>-6.3418123999096854E-2</v>
      </c>
      <c r="J559" s="91">
        <v>0.13699264447049453</v>
      </c>
    </row>
    <row r="560" spans="1:10" x14ac:dyDescent="0.3">
      <c r="A560" s="90">
        <v>44621</v>
      </c>
      <c r="B560" s="59">
        <v>0</v>
      </c>
      <c r="C560" s="59">
        <v>0</v>
      </c>
      <c r="D560" s="59">
        <v>1398139.3211399999</v>
      </c>
      <c r="E560" s="59">
        <v>1778018.2292206937</v>
      </c>
      <c r="F560" s="59">
        <v>939790.34448999993</v>
      </c>
      <c r="G560" s="59">
        <v>880190.60388997907</v>
      </c>
      <c r="H560" s="91">
        <v>0.27170318603939436</v>
      </c>
      <c r="I560" s="91">
        <v>-6.3418123999096965E-2</v>
      </c>
      <c r="J560" s="91">
        <v>0.13699264447049475</v>
      </c>
    </row>
    <row r="561" spans="1:10" x14ac:dyDescent="0.3">
      <c r="A561" s="90">
        <v>44652</v>
      </c>
      <c r="B561" s="59">
        <v>0</v>
      </c>
      <c r="C561" s="59">
        <v>0</v>
      </c>
      <c r="D561" s="59">
        <v>1613047.1382000002</v>
      </c>
      <c r="E561" s="59">
        <v>2051317.1848806674</v>
      </c>
      <c r="F561" s="59">
        <v>1084245.3987</v>
      </c>
      <c r="G561" s="59">
        <v>1015484.5895597931</v>
      </c>
      <c r="H561" s="91">
        <v>0.27170318603939436</v>
      </c>
      <c r="I561" s="91">
        <v>-6.3418123999096965E-2</v>
      </c>
      <c r="J561" s="91">
        <v>0.13699264447049453</v>
      </c>
    </row>
    <row r="562" spans="1:10" x14ac:dyDescent="0.3">
      <c r="A562" s="90">
        <v>44682</v>
      </c>
      <c r="B562" s="59">
        <v>0</v>
      </c>
      <c r="C562" s="59">
        <v>0</v>
      </c>
      <c r="D562" s="59">
        <v>1479758.38038</v>
      </c>
      <c r="E562" s="59">
        <v>1881813.4468977398</v>
      </c>
      <c r="F562" s="59">
        <v>994652.4048299999</v>
      </c>
      <c r="G562" s="59">
        <v>931573.41528449103</v>
      </c>
      <c r="H562" s="91">
        <v>0.27170318603939414</v>
      </c>
      <c r="I562" s="91">
        <v>-6.3418123999096854E-2</v>
      </c>
      <c r="J562" s="91">
        <v>0.13699264447049453</v>
      </c>
    </row>
    <row r="563" spans="1:10" x14ac:dyDescent="0.3">
      <c r="A563" s="90">
        <v>44713</v>
      </c>
      <c r="B563" s="59">
        <v>0</v>
      </c>
      <c r="C563" s="59">
        <v>0</v>
      </c>
      <c r="D563" s="59">
        <v>1304664.7293</v>
      </c>
      <c r="E563" s="59">
        <v>1659146.292964034</v>
      </c>
      <c r="F563" s="59">
        <v>876959.32504999987</v>
      </c>
      <c r="G563" s="59">
        <v>821344.20983181463</v>
      </c>
      <c r="H563" s="91">
        <v>0.27170318603939436</v>
      </c>
      <c r="I563" s="91">
        <v>-6.3418123999096965E-2</v>
      </c>
      <c r="J563" s="91">
        <v>0.13699264447049475</v>
      </c>
    </row>
    <row r="564" spans="1:10" x14ac:dyDescent="0.3">
      <c r="A564" s="90">
        <v>44743</v>
      </c>
      <c r="B564" s="59">
        <v>0</v>
      </c>
      <c r="C564" s="59">
        <v>0</v>
      </c>
      <c r="D564" s="59">
        <v>1372011.9746400001</v>
      </c>
      <c r="E564" s="59">
        <v>1744791.9994338886</v>
      </c>
      <c r="F564" s="59">
        <v>922228.26923999994</v>
      </c>
      <c r="G564" s="59">
        <v>863742.28250586509</v>
      </c>
      <c r="H564" s="91">
        <v>0.27170318603939414</v>
      </c>
      <c r="I564" s="91">
        <v>-6.3418123999096854E-2</v>
      </c>
      <c r="J564" s="91">
        <v>0.13699264447049475</v>
      </c>
    </row>
    <row r="565" spans="1:10" x14ac:dyDescent="0.3">
      <c r="A565" s="90">
        <v>44774</v>
      </c>
      <c r="B565" s="59">
        <v>0</v>
      </c>
      <c r="C565" s="59">
        <v>0</v>
      </c>
      <c r="D565" s="59">
        <v>1320543.09504</v>
      </c>
      <c r="E565" s="59">
        <v>1679338.8612646908</v>
      </c>
      <c r="F565" s="59">
        <v>887632.32064000005</v>
      </c>
      <c r="G565" s="59">
        <v>831340.34406404628</v>
      </c>
      <c r="H565" s="91">
        <v>0.27170318603939436</v>
      </c>
      <c r="I565" s="91">
        <v>-6.3418123999097076E-2</v>
      </c>
      <c r="J565" s="91">
        <v>0.13699264447049453</v>
      </c>
    </row>
    <row r="566" spans="1:10" x14ac:dyDescent="0.3">
      <c r="A566" s="90">
        <v>44805</v>
      </c>
      <c r="B566" s="59">
        <v>0</v>
      </c>
      <c r="C566" s="59">
        <v>0</v>
      </c>
      <c r="D566" s="59">
        <v>1573390.51452</v>
      </c>
      <c r="E566" s="59">
        <v>2000885.730199246</v>
      </c>
      <c r="F566" s="59">
        <v>1057589.3198200001</v>
      </c>
      <c r="G566" s="59">
        <v>990518.98919553461</v>
      </c>
      <c r="H566" s="91">
        <v>0.27170318603939436</v>
      </c>
      <c r="I566" s="91">
        <v>-6.3418123999097076E-2</v>
      </c>
      <c r="J566" s="91">
        <v>0.13699264447049475</v>
      </c>
    </row>
    <row r="567" spans="1:10" x14ac:dyDescent="0.3">
      <c r="A567" s="90">
        <v>44835</v>
      </c>
      <c r="B567" s="59">
        <v>0</v>
      </c>
      <c r="C567" s="59">
        <v>0</v>
      </c>
      <c r="D567" s="59">
        <v>1573390.51452</v>
      </c>
      <c r="E567" s="59">
        <v>2000885.730199246</v>
      </c>
      <c r="F567" s="59">
        <v>1057589.3198200001</v>
      </c>
      <c r="G567" s="59">
        <v>990518.98919553461</v>
      </c>
      <c r="H567" s="91">
        <v>0.27170318603939436</v>
      </c>
      <c r="I567" s="91">
        <v>-6.3418123999097076E-2</v>
      </c>
      <c r="J567" s="91">
        <v>0.13699264447049475</v>
      </c>
    </row>
    <row r="568" spans="1:10" x14ac:dyDescent="0.3">
      <c r="A568" s="86" t="s">
        <v>29</v>
      </c>
      <c r="B568" s="59">
        <v>0</v>
      </c>
      <c r="C568" s="59">
        <v>0</v>
      </c>
      <c r="D568" s="59">
        <v>116683.33375000002</v>
      </c>
      <c r="E568" s="59">
        <v>126901.12268554422</v>
      </c>
      <c r="F568" s="59">
        <v>99153.078375000012</v>
      </c>
      <c r="G568" s="59">
        <v>92864.456253269047</v>
      </c>
      <c r="H568" s="91">
        <v>8.7568537915074574E-2</v>
      </c>
      <c r="I568" s="91">
        <v>-6.3423367431389543E-2</v>
      </c>
      <c r="J568" s="91">
        <v>1.820437420696952E-2</v>
      </c>
    </row>
    <row r="569" spans="1:10" x14ac:dyDescent="0.3">
      <c r="A569" s="87" t="s">
        <v>25</v>
      </c>
      <c r="B569" s="59">
        <v>0</v>
      </c>
      <c r="C569" s="59">
        <v>0</v>
      </c>
      <c r="D569" s="59">
        <v>116683.33375000002</v>
      </c>
      <c r="E569" s="59">
        <v>126901.12268554422</v>
      </c>
      <c r="F569" s="59">
        <v>99153.078375000012</v>
      </c>
      <c r="G569" s="59">
        <v>92864.456253269047</v>
      </c>
      <c r="H569" s="91">
        <v>8.7568537915074574E-2</v>
      </c>
      <c r="I569" s="91">
        <v>-6.3423367431389543E-2</v>
      </c>
      <c r="J569" s="91">
        <v>1.820437420696952E-2</v>
      </c>
    </row>
    <row r="570" spans="1:10" x14ac:dyDescent="0.3">
      <c r="A570" s="88" t="s">
        <v>25</v>
      </c>
      <c r="B570" s="59">
        <v>0</v>
      </c>
      <c r="C570" s="59">
        <v>0</v>
      </c>
      <c r="D570" s="59">
        <v>116683.33375000002</v>
      </c>
      <c r="E570" s="59">
        <v>126901.12268554422</v>
      </c>
      <c r="F570" s="59">
        <v>99153.078375000012</v>
      </c>
      <c r="G570" s="59">
        <v>92864.456253269047</v>
      </c>
      <c r="H570" s="91">
        <v>8.7568537915074574E-2</v>
      </c>
      <c r="I570" s="91">
        <v>-6.3423367431389543E-2</v>
      </c>
      <c r="J570" s="91">
        <v>1.820437420696952E-2</v>
      </c>
    </row>
    <row r="571" spans="1:10" x14ac:dyDescent="0.3">
      <c r="A571" s="89" t="s">
        <v>25</v>
      </c>
      <c r="B571" s="59">
        <v>0</v>
      </c>
      <c r="C571" s="59">
        <v>0</v>
      </c>
      <c r="D571" s="59">
        <v>116683.33375000002</v>
      </c>
      <c r="E571" s="59">
        <v>126901.12268554422</v>
      </c>
      <c r="F571" s="59">
        <v>99153.078375000012</v>
      </c>
      <c r="G571" s="59">
        <v>92864.456253269047</v>
      </c>
      <c r="H571" s="91">
        <v>8.7568537915074574E-2</v>
      </c>
      <c r="I571" s="91">
        <v>-6.3423367431389543E-2</v>
      </c>
      <c r="J571" s="91">
        <v>1.820437420696952E-2</v>
      </c>
    </row>
    <row r="572" spans="1:10" x14ac:dyDescent="0.3">
      <c r="A572" s="90">
        <v>44501</v>
      </c>
      <c r="B572" s="59">
        <v>0</v>
      </c>
      <c r="C572" s="59">
        <v>0</v>
      </c>
      <c r="D572" s="59">
        <v>7879.3469999999998</v>
      </c>
      <c r="E572" s="59">
        <v>8569.3298965155318</v>
      </c>
      <c r="F572" s="59">
        <v>6695.5707000000002</v>
      </c>
      <c r="G572" s="59">
        <v>6270.9150593310578</v>
      </c>
      <c r="H572" s="91">
        <v>8.7568537915075018E-2</v>
      </c>
      <c r="I572" s="91">
        <v>-6.3423367431388988E-2</v>
      </c>
      <c r="J572" s="91">
        <v>1.8204374206969964E-2</v>
      </c>
    </row>
    <row r="573" spans="1:10" x14ac:dyDescent="0.3">
      <c r="A573" s="90">
        <v>44531</v>
      </c>
      <c r="B573" s="59">
        <v>0</v>
      </c>
      <c r="C573" s="59">
        <v>0</v>
      </c>
      <c r="D573" s="59">
        <v>8232.4830000000002</v>
      </c>
      <c r="E573" s="59">
        <v>8953.3894997207099</v>
      </c>
      <c r="F573" s="59">
        <v>6995.6522999999997</v>
      </c>
      <c r="G573" s="59">
        <v>6551.9644737548579</v>
      </c>
      <c r="H573" s="91">
        <v>8.7568537915075018E-2</v>
      </c>
      <c r="I573" s="91">
        <v>-6.3423367431389099E-2</v>
      </c>
      <c r="J573" s="91">
        <v>1.8204374206969964E-2</v>
      </c>
    </row>
    <row r="574" spans="1:10" x14ac:dyDescent="0.3">
      <c r="A574" s="90">
        <v>44562</v>
      </c>
      <c r="B574" s="59">
        <v>0</v>
      </c>
      <c r="C574" s="59">
        <v>0</v>
      </c>
      <c r="D574" s="59">
        <v>8409.0509999999995</v>
      </c>
      <c r="E574" s="59">
        <v>9145.4193013232998</v>
      </c>
      <c r="F574" s="59">
        <v>7145.6931000000004</v>
      </c>
      <c r="G574" s="59">
        <v>6692.4891809667597</v>
      </c>
      <c r="H574" s="91">
        <v>8.7568537915075018E-2</v>
      </c>
      <c r="I574" s="91">
        <v>-6.3423367431388988E-2</v>
      </c>
      <c r="J574" s="91">
        <v>1.8204374206969964E-2</v>
      </c>
    </row>
    <row r="575" spans="1:10" x14ac:dyDescent="0.3">
      <c r="A575" s="90">
        <v>44593</v>
      </c>
      <c r="B575" s="59">
        <v>0</v>
      </c>
      <c r="C575" s="59">
        <v>0</v>
      </c>
      <c r="D575" s="59">
        <v>8677.0560000000005</v>
      </c>
      <c r="E575" s="59">
        <v>9436.8931073272288</v>
      </c>
      <c r="F575" s="59">
        <v>7373.4336000000003</v>
      </c>
      <c r="G575" s="59">
        <v>6905.7856115562508</v>
      </c>
      <c r="H575" s="91">
        <v>8.7568537915075018E-2</v>
      </c>
      <c r="I575" s="91">
        <v>-6.3423367431388988E-2</v>
      </c>
      <c r="J575" s="91">
        <v>1.8204374206969964E-2</v>
      </c>
    </row>
    <row r="576" spans="1:10" x14ac:dyDescent="0.3">
      <c r="A576" s="90">
        <v>44621</v>
      </c>
      <c r="B576" s="59">
        <v>0</v>
      </c>
      <c r="C576" s="59">
        <v>0</v>
      </c>
      <c r="D576" s="59">
        <v>9131.0879999999997</v>
      </c>
      <c r="E576" s="59">
        <v>9930.6840257338845</v>
      </c>
      <c r="F576" s="59">
        <v>7759.2528000000002</v>
      </c>
      <c r="G576" s="59">
        <v>7267.1348586725653</v>
      </c>
      <c r="H576" s="91">
        <v>8.7568537915074796E-2</v>
      </c>
      <c r="I576" s="91">
        <v>-6.3423367431389099E-2</v>
      </c>
      <c r="J576" s="91">
        <v>1.8204374206969964E-2</v>
      </c>
    </row>
    <row r="577" spans="1:10" x14ac:dyDescent="0.3">
      <c r="A577" s="90">
        <v>44652</v>
      </c>
      <c r="B577" s="59">
        <v>0</v>
      </c>
      <c r="C577" s="59">
        <v>0</v>
      </c>
      <c r="D577" s="59">
        <v>10225.179</v>
      </c>
      <c r="E577" s="59">
        <v>11120.582974949928</v>
      </c>
      <c r="F577" s="59">
        <v>8688.9699000000001</v>
      </c>
      <c r="G577" s="59">
        <v>8137.8861694320212</v>
      </c>
      <c r="H577" s="91">
        <v>8.7568537915075018E-2</v>
      </c>
      <c r="I577" s="91">
        <v>-6.3423367431388988E-2</v>
      </c>
      <c r="J577" s="91">
        <v>1.8204374206969964E-2</v>
      </c>
    </row>
    <row r="578" spans="1:10" x14ac:dyDescent="0.3">
      <c r="A578" s="90">
        <v>44682</v>
      </c>
      <c r="B578" s="59">
        <v>0</v>
      </c>
      <c r="C578" s="59">
        <v>0</v>
      </c>
      <c r="D578" s="59">
        <v>11102.763999999999</v>
      </c>
      <c r="E578" s="59">
        <v>12075.016810296129</v>
      </c>
      <c r="F578" s="59">
        <v>9434.7083999999995</v>
      </c>
      <c r="G578" s="59">
        <v>8836.3274225387886</v>
      </c>
      <c r="H578" s="91">
        <v>8.7568537915075018E-2</v>
      </c>
      <c r="I578" s="91">
        <v>-6.3423367431388877E-2</v>
      </c>
      <c r="J578" s="91">
        <v>1.8204374206970186E-2</v>
      </c>
    </row>
    <row r="579" spans="1:10" x14ac:dyDescent="0.3">
      <c r="A579" s="90">
        <v>44713</v>
      </c>
      <c r="B579" s="59">
        <v>0</v>
      </c>
      <c r="C579" s="59">
        <v>0</v>
      </c>
      <c r="D579" s="59">
        <v>10625.609999999999</v>
      </c>
      <c r="E579" s="59">
        <v>11556.079132155799</v>
      </c>
      <c r="F579" s="59">
        <v>9029.241</v>
      </c>
      <c r="G579" s="59">
        <v>8456.5761304304378</v>
      </c>
      <c r="H579" s="91">
        <v>8.7568537915075018E-2</v>
      </c>
      <c r="I579" s="91">
        <v>-6.3423367431388988E-2</v>
      </c>
      <c r="J579" s="91">
        <v>1.8204374206969964E-2</v>
      </c>
    </row>
    <row r="580" spans="1:10" x14ac:dyDescent="0.3">
      <c r="A580" s="90">
        <v>44743</v>
      </c>
      <c r="B580" s="59">
        <v>0</v>
      </c>
      <c r="C580" s="59">
        <v>0</v>
      </c>
      <c r="D580" s="59">
        <v>10637.43375</v>
      </c>
      <c r="E580" s="59">
        <v>11568.938270655972</v>
      </c>
      <c r="F580" s="59">
        <v>9039.2883750000001</v>
      </c>
      <c r="G580" s="59">
        <v>8465.9862670740913</v>
      </c>
      <c r="H580" s="91">
        <v>8.7568537915074796E-2</v>
      </c>
      <c r="I580" s="91">
        <v>-6.3423367431389099E-2</v>
      </c>
      <c r="J580" s="91">
        <v>1.8204374206969742E-2</v>
      </c>
    </row>
    <row r="581" spans="1:10" x14ac:dyDescent="0.3">
      <c r="A581" s="90">
        <v>44774</v>
      </c>
      <c r="B581" s="59">
        <v>0</v>
      </c>
      <c r="C581" s="59">
        <v>0</v>
      </c>
      <c r="D581" s="59">
        <v>10568.856</v>
      </c>
      <c r="E581" s="59">
        <v>11494.355267354968</v>
      </c>
      <c r="F581" s="59">
        <v>8981.0136000000002</v>
      </c>
      <c r="G581" s="59">
        <v>8411.407474540898</v>
      </c>
      <c r="H581" s="91">
        <v>8.7568537915075018E-2</v>
      </c>
      <c r="I581" s="91">
        <v>-6.3423367431389099E-2</v>
      </c>
      <c r="J581" s="91">
        <v>1.8204374206969964E-2</v>
      </c>
    </row>
    <row r="582" spans="1:10" x14ac:dyDescent="0.3">
      <c r="A582" s="90">
        <v>44805</v>
      </c>
      <c r="B582" s="59">
        <v>0</v>
      </c>
      <c r="C582" s="59">
        <v>0</v>
      </c>
      <c r="D582" s="59">
        <v>10597.233</v>
      </c>
      <c r="E582" s="59">
        <v>11525.217199755383</v>
      </c>
      <c r="F582" s="59">
        <v>9005.1273000000001</v>
      </c>
      <c r="G582" s="59">
        <v>8433.991802485667</v>
      </c>
      <c r="H582" s="91">
        <v>8.7568537915075018E-2</v>
      </c>
      <c r="I582" s="91">
        <v>-6.3423367431389099E-2</v>
      </c>
      <c r="J582" s="91">
        <v>1.8204374206969742E-2</v>
      </c>
    </row>
    <row r="583" spans="1:10" x14ac:dyDescent="0.3">
      <c r="A583" s="90">
        <v>44835</v>
      </c>
      <c r="B583" s="59">
        <v>0</v>
      </c>
      <c r="C583" s="59">
        <v>0</v>
      </c>
      <c r="D583" s="59">
        <v>10597.233</v>
      </c>
      <c r="E583" s="59">
        <v>11525.217199755383</v>
      </c>
      <c r="F583" s="59">
        <v>9005.1273000000001</v>
      </c>
      <c r="G583" s="59">
        <v>8433.991802485667</v>
      </c>
      <c r="H583" s="91">
        <v>8.7568537915075018E-2</v>
      </c>
      <c r="I583" s="91">
        <v>-6.3423367431389099E-2</v>
      </c>
      <c r="J583" s="91">
        <v>1.8204374206969742E-2</v>
      </c>
    </row>
    <row r="584" spans="1:10" x14ac:dyDescent="0.3">
      <c r="A584" s="86" t="s">
        <v>30</v>
      </c>
      <c r="B584" s="59">
        <v>0</v>
      </c>
      <c r="C584" s="59">
        <v>0</v>
      </c>
      <c r="D584" s="59">
        <v>407751.48413999996</v>
      </c>
      <c r="E584" s="59">
        <v>443436.58950213843</v>
      </c>
      <c r="F584" s="59">
        <v>346468.82130000007</v>
      </c>
      <c r="G584" s="59">
        <v>324500.65764162928</v>
      </c>
      <c r="H584" s="91">
        <v>8.7516800674319883E-2</v>
      </c>
      <c r="I584" s="91">
        <v>-6.3405889095426327E-2</v>
      </c>
      <c r="J584" s="91">
        <v>1.818691648160442E-2</v>
      </c>
    </row>
    <row r="585" spans="1:10" x14ac:dyDescent="0.3">
      <c r="A585" s="87" t="s">
        <v>25</v>
      </c>
      <c r="B585" s="59">
        <v>0</v>
      </c>
      <c r="C585" s="59">
        <v>0</v>
      </c>
      <c r="D585" s="59">
        <v>407751.48413999996</v>
      </c>
      <c r="E585" s="59">
        <v>443436.58950213843</v>
      </c>
      <c r="F585" s="59">
        <v>346468.82130000007</v>
      </c>
      <c r="G585" s="59">
        <v>324500.65764162928</v>
      </c>
      <c r="H585" s="91">
        <v>8.7516800674319883E-2</v>
      </c>
      <c r="I585" s="91">
        <v>-6.3405889095426327E-2</v>
      </c>
      <c r="J585" s="91">
        <v>1.818691648160442E-2</v>
      </c>
    </row>
    <row r="586" spans="1:10" x14ac:dyDescent="0.3">
      <c r="A586" s="88" t="s">
        <v>25</v>
      </c>
      <c r="B586" s="59">
        <v>0</v>
      </c>
      <c r="C586" s="59">
        <v>0</v>
      </c>
      <c r="D586" s="59">
        <v>407751.48413999996</v>
      </c>
      <c r="E586" s="59">
        <v>443436.58950213843</v>
      </c>
      <c r="F586" s="59">
        <v>346468.82130000007</v>
      </c>
      <c r="G586" s="59">
        <v>324500.65764162928</v>
      </c>
      <c r="H586" s="91">
        <v>8.7516800674319883E-2</v>
      </c>
      <c r="I586" s="91">
        <v>-6.3405889095426327E-2</v>
      </c>
      <c r="J586" s="91">
        <v>1.818691648160442E-2</v>
      </c>
    </row>
    <row r="587" spans="1:10" x14ac:dyDescent="0.3">
      <c r="A587" s="89" t="s">
        <v>25</v>
      </c>
      <c r="B587" s="59">
        <v>0</v>
      </c>
      <c r="C587" s="59">
        <v>0</v>
      </c>
      <c r="D587" s="59">
        <v>407751.48413999996</v>
      </c>
      <c r="E587" s="59">
        <v>443436.58950213843</v>
      </c>
      <c r="F587" s="59">
        <v>346468.82130000007</v>
      </c>
      <c r="G587" s="59">
        <v>324500.65764162928</v>
      </c>
      <c r="H587" s="91">
        <v>8.7516800674319883E-2</v>
      </c>
      <c r="I587" s="91">
        <v>-6.3405889095426327E-2</v>
      </c>
      <c r="J587" s="91">
        <v>1.818691648160442E-2</v>
      </c>
    </row>
    <row r="588" spans="1:10" x14ac:dyDescent="0.3">
      <c r="A588" s="90">
        <v>44501</v>
      </c>
      <c r="B588" s="59">
        <v>0</v>
      </c>
      <c r="C588" s="59">
        <v>0</v>
      </c>
      <c r="D588" s="59">
        <v>27632.044440000001</v>
      </c>
      <c r="E588" s="59">
        <v>30050.312565479428</v>
      </c>
      <c r="F588" s="59">
        <v>23479.109799999998</v>
      </c>
      <c r="G588" s="59">
        <v>21990.395967961867</v>
      </c>
      <c r="H588" s="91">
        <v>8.7516800674319883E-2</v>
      </c>
      <c r="I588" s="91">
        <v>-6.3405889095426105E-2</v>
      </c>
      <c r="J588" s="91">
        <v>1.8186916481604642E-2</v>
      </c>
    </row>
    <row r="589" spans="1:10" x14ac:dyDescent="0.3">
      <c r="A589" s="90">
        <v>44531</v>
      </c>
      <c r="B589" s="59">
        <v>0</v>
      </c>
      <c r="C589" s="59">
        <v>0</v>
      </c>
      <c r="D589" s="59">
        <v>28586.638080000001</v>
      </c>
      <c r="E589" s="59">
        <v>31088.449186796282</v>
      </c>
      <c r="F589" s="59">
        <v>24290.2336</v>
      </c>
      <c r="G589" s="59">
        <v>22750.089742256405</v>
      </c>
      <c r="H589" s="91">
        <v>8.7516800674319883E-2</v>
      </c>
      <c r="I589" s="91">
        <v>-6.3405889095426216E-2</v>
      </c>
      <c r="J589" s="91">
        <v>1.8186916481604642E-2</v>
      </c>
    </row>
    <row r="590" spans="1:10" x14ac:dyDescent="0.3">
      <c r="A590" s="90">
        <v>44562</v>
      </c>
      <c r="B590" s="59">
        <v>0</v>
      </c>
      <c r="C590" s="59">
        <v>0</v>
      </c>
      <c r="D590" s="59">
        <v>29597.087520000005</v>
      </c>
      <c r="E590" s="59">
        <v>32187.329929028241</v>
      </c>
      <c r="F590" s="59">
        <v>25148.8184</v>
      </c>
      <c r="G590" s="59">
        <v>23554.235209648588</v>
      </c>
      <c r="H590" s="91">
        <v>8.7516800674319661E-2</v>
      </c>
      <c r="I590" s="91">
        <v>-6.3405889095426105E-2</v>
      </c>
      <c r="J590" s="91">
        <v>1.8186916481604642E-2</v>
      </c>
    </row>
    <row r="591" spans="1:10" x14ac:dyDescent="0.3">
      <c r="A591" s="90">
        <v>44593</v>
      </c>
      <c r="B591" s="59">
        <v>0</v>
      </c>
      <c r="C591" s="59">
        <v>0</v>
      </c>
      <c r="D591" s="59">
        <v>30428.61822</v>
      </c>
      <c r="E591" s="59">
        <v>33091.633535554713</v>
      </c>
      <c r="F591" s="59">
        <v>25855.374899999999</v>
      </c>
      <c r="G591" s="59">
        <v>24215.991866569933</v>
      </c>
      <c r="H591" s="91">
        <v>8.7516800674319661E-2</v>
      </c>
      <c r="I591" s="91">
        <v>-6.3405889095426216E-2</v>
      </c>
      <c r="J591" s="91">
        <v>1.818691648160442E-2</v>
      </c>
    </row>
    <row r="592" spans="1:10" x14ac:dyDescent="0.3">
      <c r="A592" s="90">
        <v>44621</v>
      </c>
      <c r="B592" s="59">
        <v>0</v>
      </c>
      <c r="C592" s="59">
        <v>0</v>
      </c>
      <c r="D592" s="59">
        <v>31315.103820000004</v>
      </c>
      <c r="E592" s="59">
        <v>34055.701519110575</v>
      </c>
      <c r="F592" s="59">
        <v>26608.626899999999</v>
      </c>
      <c r="G592" s="59">
        <v>24921.483253797029</v>
      </c>
      <c r="H592" s="91">
        <v>8.7516800674319883E-2</v>
      </c>
      <c r="I592" s="91">
        <v>-6.3405889095426105E-2</v>
      </c>
      <c r="J592" s="91">
        <v>1.8186916481604642E-2</v>
      </c>
    </row>
    <row r="593" spans="1:10" x14ac:dyDescent="0.3">
      <c r="A593" s="90">
        <v>44652</v>
      </c>
      <c r="B593" s="59">
        <v>0</v>
      </c>
      <c r="C593" s="59">
        <v>0</v>
      </c>
      <c r="D593" s="59">
        <v>36551.134620000004</v>
      </c>
      <c r="E593" s="59">
        <v>39749.972982958774</v>
      </c>
      <c r="F593" s="59">
        <v>31057.712899999999</v>
      </c>
      <c r="G593" s="59">
        <v>29088.471000305013</v>
      </c>
      <c r="H593" s="91">
        <v>8.7516800674319883E-2</v>
      </c>
      <c r="I593" s="91">
        <v>-6.3405889095426105E-2</v>
      </c>
      <c r="J593" s="91">
        <v>1.8186916481604642E-2</v>
      </c>
    </row>
    <row r="594" spans="1:10" x14ac:dyDescent="0.3">
      <c r="A594" s="90">
        <v>44682</v>
      </c>
      <c r="B594" s="59">
        <v>0</v>
      </c>
      <c r="C594" s="59">
        <v>0</v>
      </c>
      <c r="D594" s="59">
        <v>38820.862079999999</v>
      </c>
      <c r="E594" s="59">
        <v>42218.33972866062</v>
      </c>
      <c r="F594" s="59">
        <v>32986.313599999994</v>
      </c>
      <c r="G594" s="59">
        <v>30894.787058211452</v>
      </c>
      <c r="H594" s="91">
        <v>8.7516800674319883E-2</v>
      </c>
      <c r="I594" s="91">
        <v>-6.3405889095425993E-2</v>
      </c>
      <c r="J594" s="91">
        <v>1.8186916481604865E-2</v>
      </c>
    </row>
    <row r="595" spans="1:10" x14ac:dyDescent="0.3">
      <c r="A595" s="90">
        <v>44713</v>
      </c>
      <c r="B595" s="59">
        <v>0</v>
      </c>
      <c r="C595" s="59">
        <v>0</v>
      </c>
      <c r="D595" s="59">
        <v>36172.75662</v>
      </c>
      <c r="E595" s="59">
        <v>39338.480550953223</v>
      </c>
      <c r="F595" s="59">
        <v>30736.202899999997</v>
      </c>
      <c r="G595" s="59">
        <v>28787.346627708081</v>
      </c>
      <c r="H595" s="91">
        <v>8.7516800674319883E-2</v>
      </c>
      <c r="I595" s="91">
        <v>-6.3405889095426216E-2</v>
      </c>
      <c r="J595" s="91">
        <v>1.8186916481604642E-2</v>
      </c>
    </row>
    <row r="596" spans="1:10" x14ac:dyDescent="0.3">
      <c r="A596" s="90">
        <v>44743</v>
      </c>
      <c r="B596" s="59">
        <v>0</v>
      </c>
      <c r="C596" s="59">
        <v>0</v>
      </c>
      <c r="D596" s="59">
        <v>36844.467660000002</v>
      </c>
      <c r="E596" s="59">
        <v>40068.977592151641</v>
      </c>
      <c r="F596" s="59">
        <v>31306.959699999999</v>
      </c>
      <c r="G596" s="59">
        <v>29321.914085346823</v>
      </c>
      <c r="H596" s="91">
        <v>8.7516800674319661E-2</v>
      </c>
      <c r="I596" s="91">
        <v>-6.3405889095426105E-2</v>
      </c>
      <c r="J596" s="91">
        <v>1.8186916481604642E-2</v>
      </c>
    </row>
    <row r="597" spans="1:10" x14ac:dyDescent="0.3">
      <c r="A597" s="90">
        <v>44774</v>
      </c>
      <c r="B597" s="59">
        <v>0</v>
      </c>
      <c r="C597" s="59">
        <v>0</v>
      </c>
      <c r="D597" s="59">
        <v>35928.612719999997</v>
      </c>
      <c r="E597" s="59">
        <v>39072.969957921072</v>
      </c>
      <c r="F597" s="59">
        <v>30528.752399999998</v>
      </c>
      <c r="G597" s="59">
        <v>28593.049711103875</v>
      </c>
      <c r="H597" s="91">
        <v>8.7516800674319883E-2</v>
      </c>
      <c r="I597" s="91">
        <v>-6.3405889095426105E-2</v>
      </c>
      <c r="J597" s="91">
        <v>1.8186916481604642E-2</v>
      </c>
    </row>
    <row r="598" spans="1:10" x14ac:dyDescent="0.3">
      <c r="A598" s="90">
        <v>44805</v>
      </c>
      <c r="B598" s="59">
        <v>0</v>
      </c>
      <c r="C598" s="59">
        <v>0</v>
      </c>
      <c r="D598" s="59">
        <v>37937.079180000001</v>
      </c>
      <c r="E598" s="59">
        <v>41257.210976761948</v>
      </c>
      <c r="F598" s="59">
        <v>32235.358099999998</v>
      </c>
      <c r="G598" s="59">
        <v>30191.446559360051</v>
      </c>
      <c r="H598" s="91">
        <v>8.7516800674319883E-2</v>
      </c>
      <c r="I598" s="91">
        <v>-6.3405889095426105E-2</v>
      </c>
      <c r="J598" s="91">
        <v>1.8186916481604642E-2</v>
      </c>
    </row>
    <row r="599" spans="1:10" x14ac:dyDescent="0.3">
      <c r="A599" s="90">
        <v>44835</v>
      </c>
      <c r="B599" s="59">
        <v>0</v>
      </c>
      <c r="C599" s="59">
        <v>0</v>
      </c>
      <c r="D599" s="59">
        <v>37937.079180000001</v>
      </c>
      <c r="E599" s="59">
        <v>41257.210976761948</v>
      </c>
      <c r="F599" s="59">
        <v>32235.358099999998</v>
      </c>
      <c r="G599" s="59">
        <v>30191.446559360051</v>
      </c>
      <c r="H599" s="91">
        <v>8.7516800674319883E-2</v>
      </c>
      <c r="I599" s="91">
        <v>-6.3405889095426105E-2</v>
      </c>
      <c r="J599" s="91">
        <v>1.8186916481604642E-2</v>
      </c>
    </row>
    <row r="600" spans="1:10" x14ac:dyDescent="0.3">
      <c r="A600" s="86" t="s">
        <v>31</v>
      </c>
      <c r="B600" s="59">
        <v>0</v>
      </c>
      <c r="C600" s="59">
        <v>0</v>
      </c>
      <c r="D600" s="59">
        <v>429852.00257999991</v>
      </c>
      <c r="E600" s="59">
        <v>467471.27460925106</v>
      </c>
      <c r="F600" s="59">
        <v>365247.76109999995</v>
      </c>
      <c r="G600" s="59">
        <v>342088.90206734068</v>
      </c>
      <c r="H600" s="91">
        <v>8.7516800674319883E-2</v>
      </c>
      <c r="I600" s="91">
        <v>-6.3405889095426327E-2</v>
      </c>
      <c r="J600" s="91">
        <v>1.818691648160442E-2</v>
      </c>
    </row>
    <row r="601" spans="1:10" x14ac:dyDescent="0.3">
      <c r="A601" s="87" t="s">
        <v>25</v>
      </c>
      <c r="B601" s="59">
        <v>0</v>
      </c>
      <c r="C601" s="59">
        <v>0</v>
      </c>
      <c r="D601" s="59">
        <v>429852.00257999991</v>
      </c>
      <c r="E601" s="59">
        <v>467471.27460925106</v>
      </c>
      <c r="F601" s="59">
        <v>365247.76109999995</v>
      </c>
      <c r="G601" s="59">
        <v>342088.90206734068</v>
      </c>
      <c r="H601" s="91">
        <v>8.7516800674319883E-2</v>
      </c>
      <c r="I601" s="91">
        <v>-6.3405889095426327E-2</v>
      </c>
      <c r="J601" s="91">
        <v>1.818691648160442E-2</v>
      </c>
    </row>
    <row r="602" spans="1:10" x14ac:dyDescent="0.3">
      <c r="A602" s="88" t="s">
        <v>25</v>
      </c>
      <c r="B602" s="59">
        <v>0</v>
      </c>
      <c r="C602" s="59">
        <v>0</v>
      </c>
      <c r="D602" s="59">
        <v>429852.00257999991</v>
      </c>
      <c r="E602" s="59">
        <v>467471.27460925106</v>
      </c>
      <c r="F602" s="59">
        <v>365247.76109999995</v>
      </c>
      <c r="G602" s="59">
        <v>342088.90206734068</v>
      </c>
      <c r="H602" s="91">
        <v>8.7516800674319883E-2</v>
      </c>
      <c r="I602" s="91">
        <v>-6.3405889095426327E-2</v>
      </c>
      <c r="J602" s="91">
        <v>1.818691648160442E-2</v>
      </c>
    </row>
    <row r="603" spans="1:10" x14ac:dyDescent="0.3">
      <c r="A603" s="89" t="s">
        <v>25</v>
      </c>
      <c r="B603" s="59">
        <v>0</v>
      </c>
      <c r="C603" s="59">
        <v>0</v>
      </c>
      <c r="D603" s="59">
        <v>429852.00257999991</v>
      </c>
      <c r="E603" s="59">
        <v>467471.27460925106</v>
      </c>
      <c r="F603" s="59">
        <v>365247.76109999995</v>
      </c>
      <c r="G603" s="59">
        <v>342088.90206734068</v>
      </c>
      <c r="H603" s="91">
        <v>8.7516800674319883E-2</v>
      </c>
      <c r="I603" s="91">
        <v>-6.3405889095426327E-2</v>
      </c>
      <c r="J603" s="91">
        <v>1.818691648160442E-2</v>
      </c>
    </row>
    <row r="604" spans="1:10" x14ac:dyDescent="0.3">
      <c r="A604" s="90">
        <v>44501</v>
      </c>
      <c r="B604" s="59">
        <v>0</v>
      </c>
      <c r="C604" s="59">
        <v>0</v>
      </c>
      <c r="D604" s="59">
        <v>29560.781249999996</v>
      </c>
      <c r="E604" s="59">
        <v>32147.84625043342</v>
      </c>
      <c r="F604" s="59">
        <v>25117.96875</v>
      </c>
      <c r="G604" s="59">
        <v>23525.341609135121</v>
      </c>
      <c r="H604" s="91">
        <v>8.7516800674319883E-2</v>
      </c>
      <c r="I604" s="91">
        <v>-6.3405889095426105E-2</v>
      </c>
      <c r="J604" s="91">
        <v>1.8186916481604642E-2</v>
      </c>
    </row>
    <row r="605" spans="1:10" x14ac:dyDescent="0.3">
      <c r="A605" s="90">
        <v>44531</v>
      </c>
      <c r="B605" s="59">
        <v>0</v>
      </c>
      <c r="C605" s="59">
        <v>0</v>
      </c>
      <c r="D605" s="59">
        <v>29551.051529999997</v>
      </c>
      <c r="E605" s="59">
        <v>32137.265016467562</v>
      </c>
      <c r="F605" s="59">
        <v>25109.701349999999</v>
      </c>
      <c r="G605" s="59">
        <v>23517.598410982628</v>
      </c>
      <c r="H605" s="91">
        <v>8.7516800674319883E-2</v>
      </c>
      <c r="I605" s="91">
        <v>-6.3405889095426105E-2</v>
      </c>
      <c r="J605" s="91">
        <v>1.8186916481604642E-2</v>
      </c>
    </row>
    <row r="606" spans="1:10" x14ac:dyDescent="0.3">
      <c r="A606" s="90">
        <v>44562</v>
      </c>
      <c r="B606" s="59">
        <v>0</v>
      </c>
      <c r="C606" s="59">
        <v>0</v>
      </c>
      <c r="D606" s="59">
        <v>32114.562479999997</v>
      </c>
      <c r="E606" s="59">
        <v>34925.126243305152</v>
      </c>
      <c r="F606" s="59">
        <v>27287.9316</v>
      </c>
      <c r="G606" s="59">
        <v>25557.716035326823</v>
      </c>
      <c r="H606" s="91">
        <v>8.7516800674320105E-2</v>
      </c>
      <c r="I606" s="91">
        <v>-6.3405889095426216E-2</v>
      </c>
      <c r="J606" s="91">
        <v>1.8186916481604642E-2</v>
      </c>
    </row>
    <row r="607" spans="1:10" x14ac:dyDescent="0.3">
      <c r="A607" s="90">
        <v>44593</v>
      </c>
      <c r="B607" s="59">
        <v>0</v>
      </c>
      <c r="C607" s="59">
        <v>0</v>
      </c>
      <c r="D607" s="59">
        <v>32278.075829999998</v>
      </c>
      <c r="E607" s="59">
        <v>35102.94975856469</v>
      </c>
      <c r="F607" s="59">
        <v>27426.869850000003</v>
      </c>
      <c r="G607" s="59">
        <v>25687.844782056214</v>
      </c>
      <c r="H607" s="91">
        <v>8.7516800674319883E-2</v>
      </c>
      <c r="I607" s="91">
        <v>-6.3405889095426216E-2</v>
      </c>
      <c r="J607" s="91">
        <v>1.8186916481604642E-2</v>
      </c>
    </row>
    <row r="608" spans="1:10" x14ac:dyDescent="0.3">
      <c r="A608" s="90">
        <v>44621</v>
      </c>
      <c r="B608" s="59">
        <v>0</v>
      </c>
      <c r="C608" s="59">
        <v>0</v>
      </c>
      <c r="D608" s="59">
        <v>29572.9434</v>
      </c>
      <c r="E608" s="59">
        <v>32161.072792890744</v>
      </c>
      <c r="F608" s="59">
        <v>25128.303</v>
      </c>
      <c r="G608" s="59">
        <v>23535.020606825736</v>
      </c>
      <c r="H608" s="91">
        <v>8.7516800674319883E-2</v>
      </c>
      <c r="I608" s="91">
        <v>-6.3405889095426105E-2</v>
      </c>
      <c r="J608" s="91">
        <v>1.8186916481604642E-2</v>
      </c>
    </row>
    <row r="609" spans="1:10" x14ac:dyDescent="0.3">
      <c r="A609" s="90">
        <v>44652</v>
      </c>
      <c r="B609" s="59">
        <v>0</v>
      </c>
      <c r="C609" s="59">
        <v>0</v>
      </c>
      <c r="D609" s="59">
        <v>43084.010969999996</v>
      </c>
      <c r="E609" s="59">
        <v>46854.5857703117</v>
      </c>
      <c r="F609" s="59">
        <v>36608.736150000004</v>
      </c>
      <c r="G609" s="59">
        <v>34287.526685749384</v>
      </c>
      <c r="H609" s="91">
        <v>8.7516800674319883E-2</v>
      </c>
      <c r="I609" s="91">
        <v>-6.3405889095426216E-2</v>
      </c>
      <c r="J609" s="91">
        <v>1.8186916481604865E-2</v>
      </c>
    </row>
    <row r="610" spans="1:10" x14ac:dyDescent="0.3">
      <c r="A610" s="90">
        <v>44682</v>
      </c>
      <c r="B610" s="59">
        <v>0</v>
      </c>
      <c r="C610" s="59">
        <v>0</v>
      </c>
      <c r="D610" s="59">
        <v>40917.796919999993</v>
      </c>
      <c r="E610" s="59">
        <v>44498.791597079929</v>
      </c>
      <c r="F610" s="59">
        <v>34768.091399999998</v>
      </c>
      <c r="G610" s="59">
        <v>32563.589652631956</v>
      </c>
      <c r="H610" s="91">
        <v>8.7516800674319883E-2</v>
      </c>
      <c r="I610" s="91">
        <v>-6.3405889095426216E-2</v>
      </c>
      <c r="J610" s="91">
        <v>1.818691648160442E-2</v>
      </c>
    </row>
    <row r="611" spans="1:10" x14ac:dyDescent="0.3">
      <c r="A611" s="90">
        <v>44713</v>
      </c>
      <c r="B611" s="59">
        <v>0</v>
      </c>
      <c r="C611" s="59">
        <v>0</v>
      </c>
      <c r="D611" s="59">
        <v>32395.102739999995</v>
      </c>
      <c r="E611" s="59">
        <v>35230.218489320687</v>
      </c>
      <c r="F611" s="59">
        <v>27526.308300000001</v>
      </c>
      <c r="G611" s="59">
        <v>25780.978248723692</v>
      </c>
      <c r="H611" s="91">
        <v>8.7516800674319883E-2</v>
      </c>
      <c r="I611" s="91">
        <v>-6.3405889095426216E-2</v>
      </c>
      <c r="J611" s="91">
        <v>1.8186916481604865E-2</v>
      </c>
    </row>
    <row r="612" spans="1:10" x14ac:dyDescent="0.3">
      <c r="A612" s="90">
        <v>44743</v>
      </c>
      <c r="B612" s="59">
        <v>0</v>
      </c>
      <c r="C612" s="59">
        <v>0</v>
      </c>
      <c r="D612" s="59">
        <v>37377.259919999997</v>
      </c>
      <c r="E612" s="59">
        <v>40648.398126170883</v>
      </c>
      <c r="F612" s="59">
        <v>31759.6764</v>
      </c>
      <c r="G612" s="59">
        <v>29745.925880474973</v>
      </c>
      <c r="H612" s="91">
        <v>8.7516800674319883E-2</v>
      </c>
      <c r="I612" s="91">
        <v>-6.3405889095426216E-2</v>
      </c>
      <c r="J612" s="91">
        <v>1.8186916481604642E-2</v>
      </c>
    </row>
    <row r="613" spans="1:10" x14ac:dyDescent="0.3">
      <c r="A613" s="90">
        <v>44774</v>
      </c>
      <c r="B613" s="59">
        <v>0</v>
      </c>
      <c r="C613" s="59">
        <v>0</v>
      </c>
      <c r="D613" s="59">
        <v>32979.967019999996</v>
      </c>
      <c r="E613" s="59">
        <v>35866.26821993498</v>
      </c>
      <c r="F613" s="59">
        <v>28023.2709</v>
      </c>
      <c r="G613" s="59">
        <v>26246.430493223517</v>
      </c>
      <c r="H613" s="91">
        <v>8.7516800674319883E-2</v>
      </c>
      <c r="I613" s="91">
        <v>-6.3405889095426105E-2</v>
      </c>
      <c r="J613" s="91">
        <v>1.8186916481604642E-2</v>
      </c>
    </row>
    <row r="614" spans="1:10" x14ac:dyDescent="0.3">
      <c r="A614" s="90">
        <v>44805</v>
      </c>
      <c r="B614" s="59">
        <v>0</v>
      </c>
      <c r="C614" s="59">
        <v>0</v>
      </c>
      <c r="D614" s="59">
        <v>45010.225259999992</v>
      </c>
      <c r="E614" s="59">
        <v>48949.376172385644</v>
      </c>
      <c r="F614" s="59">
        <v>38245.451699999998</v>
      </c>
      <c r="G614" s="59">
        <v>35820.464831105317</v>
      </c>
      <c r="H614" s="91">
        <v>8.7516800674319883E-2</v>
      </c>
      <c r="I614" s="91">
        <v>-6.3405889095426216E-2</v>
      </c>
      <c r="J614" s="91">
        <v>1.8186916481604642E-2</v>
      </c>
    </row>
    <row r="615" spans="1:10" x14ac:dyDescent="0.3">
      <c r="A615" s="90">
        <v>44835</v>
      </c>
      <c r="B615" s="59">
        <v>0</v>
      </c>
      <c r="C615" s="59">
        <v>0</v>
      </c>
      <c r="D615" s="59">
        <v>45010.225259999992</v>
      </c>
      <c r="E615" s="59">
        <v>48949.376172385644</v>
      </c>
      <c r="F615" s="59">
        <v>38245.451699999998</v>
      </c>
      <c r="G615" s="59">
        <v>35820.464831105317</v>
      </c>
      <c r="H615" s="91">
        <v>8.7516800674319883E-2</v>
      </c>
      <c r="I615" s="91">
        <v>-6.3405889095426216E-2</v>
      </c>
      <c r="J615" s="91">
        <v>1.8186916481604642E-2</v>
      </c>
    </row>
    <row r="616" spans="1:10" x14ac:dyDescent="0.3">
      <c r="A616" s="86" t="s">
        <v>32</v>
      </c>
      <c r="B616" s="59">
        <v>0</v>
      </c>
      <c r="C616" s="59">
        <v>0</v>
      </c>
      <c r="D616" s="59">
        <v>85323.338100000008</v>
      </c>
      <c r="E616" s="59">
        <v>92790.563673365294</v>
      </c>
      <c r="F616" s="59">
        <v>72500.686589999998</v>
      </c>
      <c r="G616" s="59">
        <v>67902.829057815718</v>
      </c>
      <c r="H616" s="91">
        <v>8.7516800674319661E-2</v>
      </c>
      <c r="I616" s="91">
        <v>-6.3418123999096854E-2</v>
      </c>
      <c r="J616" s="91">
        <v>1.8180806419156204E-2</v>
      </c>
    </row>
    <row r="617" spans="1:10" x14ac:dyDescent="0.3">
      <c r="A617" s="87" t="s">
        <v>25</v>
      </c>
      <c r="B617" s="59">
        <v>0</v>
      </c>
      <c r="C617" s="59">
        <v>0</v>
      </c>
      <c r="D617" s="59">
        <v>85323.338100000008</v>
      </c>
      <c r="E617" s="59">
        <v>92790.563673365294</v>
      </c>
      <c r="F617" s="59">
        <v>72500.686589999998</v>
      </c>
      <c r="G617" s="59">
        <v>67902.829057815718</v>
      </c>
      <c r="H617" s="91">
        <v>8.7516800674319661E-2</v>
      </c>
      <c r="I617" s="91">
        <v>-6.3418123999096854E-2</v>
      </c>
      <c r="J617" s="91">
        <v>1.8180806419156204E-2</v>
      </c>
    </row>
    <row r="618" spans="1:10" x14ac:dyDescent="0.3">
      <c r="A618" s="88" t="s">
        <v>25</v>
      </c>
      <c r="B618" s="59">
        <v>0</v>
      </c>
      <c r="C618" s="59">
        <v>0</v>
      </c>
      <c r="D618" s="59">
        <v>85323.338100000008</v>
      </c>
      <c r="E618" s="59">
        <v>92790.563673365294</v>
      </c>
      <c r="F618" s="59">
        <v>72500.686589999998</v>
      </c>
      <c r="G618" s="59">
        <v>67902.829057815718</v>
      </c>
      <c r="H618" s="91">
        <v>8.7516800674319661E-2</v>
      </c>
      <c r="I618" s="91">
        <v>-6.3418123999096854E-2</v>
      </c>
      <c r="J618" s="91">
        <v>1.8180806419156204E-2</v>
      </c>
    </row>
    <row r="619" spans="1:10" x14ac:dyDescent="0.3">
      <c r="A619" s="89" t="s">
        <v>25</v>
      </c>
      <c r="B619" s="59">
        <v>0</v>
      </c>
      <c r="C619" s="59">
        <v>0</v>
      </c>
      <c r="D619" s="59">
        <v>85323.338100000008</v>
      </c>
      <c r="E619" s="59">
        <v>92790.563673365294</v>
      </c>
      <c r="F619" s="59">
        <v>72500.686589999998</v>
      </c>
      <c r="G619" s="59">
        <v>67902.829057815718</v>
      </c>
      <c r="H619" s="91">
        <v>8.7516800674319661E-2</v>
      </c>
      <c r="I619" s="91">
        <v>-6.3418123999096854E-2</v>
      </c>
      <c r="J619" s="91">
        <v>1.8180806419156204E-2</v>
      </c>
    </row>
    <row r="620" spans="1:10" x14ac:dyDescent="0.3">
      <c r="A620" s="90">
        <v>44501</v>
      </c>
      <c r="B620" s="59">
        <v>0</v>
      </c>
      <c r="C620" s="59">
        <v>0</v>
      </c>
      <c r="D620" s="59">
        <v>5470.2648000000008</v>
      </c>
      <c r="E620" s="59">
        <v>5949.0048741373485</v>
      </c>
      <c r="F620" s="59">
        <v>4648.1767200000004</v>
      </c>
      <c r="G620" s="59">
        <v>4353.3980724013245</v>
      </c>
      <c r="H620" s="91">
        <v>8.7516800674319661E-2</v>
      </c>
      <c r="I620" s="91">
        <v>-6.3418123999096965E-2</v>
      </c>
      <c r="J620" s="91">
        <v>1.8180806419156204E-2</v>
      </c>
    </row>
    <row r="621" spans="1:10" x14ac:dyDescent="0.3">
      <c r="A621" s="90">
        <v>44531</v>
      </c>
      <c r="B621" s="59">
        <v>0</v>
      </c>
      <c r="C621" s="59">
        <v>0</v>
      </c>
      <c r="D621" s="59">
        <v>5165.4603000000006</v>
      </c>
      <c r="E621" s="59">
        <v>5617.5248594662125</v>
      </c>
      <c r="F621" s="59">
        <v>4389.1791700000003</v>
      </c>
      <c r="G621" s="59">
        <v>4110.8256611426868</v>
      </c>
      <c r="H621" s="91">
        <v>8.7516800674319661E-2</v>
      </c>
      <c r="I621" s="91">
        <v>-6.3418123999096965E-2</v>
      </c>
      <c r="J621" s="91">
        <v>1.8180806419155982E-2</v>
      </c>
    </row>
    <row r="622" spans="1:10" x14ac:dyDescent="0.3">
      <c r="A622" s="90">
        <v>44562</v>
      </c>
      <c r="B622" s="59">
        <v>0</v>
      </c>
      <c r="C622" s="59">
        <v>0</v>
      </c>
      <c r="D622" s="59">
        <v>5932.4264999999996</v>
      </c>
      <c r="E622" s="59">
        <v>6451.6134875155522</v>
      </c>
      <c r="F622" s="59">
        <v>5040.8833499999992</v>
      </c>
      <c r="G622" s="59">
        <v>4721.1999846447161</v>
      </c>
      <c r="H622" s="91">
        <v>8.7516800674319883E-2</v>
      </c>
      <c r="I622" s="91">
        <v>-6.3418123999096965E-2</v>
      </c>
      <c r="J622" s="91">
        <v>1.8180806419156426E-2</v>
      </c>
    </row>
    <row r="623" spans="1:10" x14ac:dyDescent="0.3">
      <c r="A623" s="90">
        <v>44593</v>
      </c>
      <c r="B623" s="59">
        <v>0</v>
      </c>
      <c r="C623" s="59">
        <v>0</v>
      </c>
      <c r="D623" s="59">
        <v>6192.1860000000006</v>
      </c>
      <c r="E623" s="59">
        <v>6734.1063079003143</v>
      </c>
      <c r="F623" s="59">
        <v>5261.6054000000004</v>
      </c>
      <c r="G623" s="59">
        <v>4927.9242563084817</v>
      </c>
      <c r="H623" s="91">
        <v>8.7516800674319883E-2</v>
      </c>
      <c r="I623" s="91">
        <v>-6.3418123999097076E-2</v>
      </c>
      <c r="J623" s="91">
        <v>1.8180806419155982E-2</v>
      </c>
    </row>
    <row r="624" spans="1:10" x14ac:dyDescent="0.3">
      <c r="A624" s="90">
        <v>44621</v>
      </c>
      <c r="B624" s="59">
        <v>0</v>
      </c>
      <c r="C624" s="59">
        <v>0</v>
      </c>
      <c r="D624" s="59">
        <v>4645.6410000000005</v>
      </c>
      <c r="E624" s="59">
        <v>5052.2126374014479</v>
      </c>
      <c r="F624" s="59">
        <v>3947.4798999999998</v>
      </c>
      <c r="G624" s="59">
        <v>3697.138130217857</v>
      </c>
      <c r="H624" s="91">
        <v>8.7516800674319661E-2</v>
      </c>
      <c r="I624" s="91">
        <v>-6.3418123999096965E-2</v>
      </c>
      <c r="J624" s="91">
        <v>1.8180806419155982E-2</v>
      </c>
    </row>
    <row r="625" spans="1:10" x14ac:dyDescent="0.3">
      <c r="A625" s="90">
        <v>44652</v>
      </c>
      <c r="B625" s="59">
        <v>0</v>
      </c>
      <c r="C625" s="59">
        <v>0</v>
      </c>
      <c r="D625" s="59">
        <v>11496.6852</v>
      </c>
      <c r="E625" s="59">
        <v>12502.838307063803</v>
      </c>
      <c r="F625" s="59">
        <v>9768.9282800000001</v>
      </c>
      <c r="G625" s="59">
        <v>9149.4011750006739</v>
      </c>
      <c r="H625" s="91">
        <v>8.7516800674319883E-2</v>
      </c>
      <c r="I625" s="91">
        <v>-6.3418123999097076E-2</v>
      </c>
      <c r="J625" s="91">
        <v>1.8180806419156204E-2</v>
      </c>
    </row>
    <row r="626" spans="1:10" x14ac:dyDescent="0.3">
      <c r="A626" s="90">
        <v>44682</v>
      </c>
      <c r="B626" s="59">
        <v>0</v>
      </c>
      <c r="C626" s="59">
        <v>0</v>
      </c>
      <c r="D626" s="59">
        <v>9187.0779000000002</v>
      </c>
      <c r="E626" s="59">
        <v>9991.1015653537488</v>
      </c>
      <c r="F626" s="59">
        <v>7806.4158099999995</v>
      </c>
      <c r="G626" s="59">
        <v>7311.3475641729092</v>
      </c>
      <c r="H626" s="91">
        <v>8.7516800674319883E-2</v>
      </c>
      <c r="I626" s="91">
        <v>-6.3418123999096854E-2</v>
      </c>
      <c r="J626" s="91">
        <v>1.8180806419156204E-2</v>
      </c>
    </row>
    <row r="627" spans="1:10" x14ac:dyDescent="0.3">
      <c r="A627" s="90">
        <v>44713</v>
      </c>
      <c r="B627" s="59">
        <v>0</v>
      </c>
      <c r="C627" s="59">
        <v>0</v>
      </c>
      <c r="D627" s="59">
        <v>4555.8513000000003</v>
      </c>
      <c r="E627" s="59">
        <v>4954.5648301239407</v>
      </c>
      <c r="F627" s="59">
        <v>3871.1840699999998</v>
      </c>
      <c r="G627" s="59">
        <v>3625.6808386254111</v>
      </c>
      <c r="H627" s="91">
        <v>8.7516800674319661E-2</v>
      </c>
      <c r="I627" s="91">
        <v>-6.3418123999096965E-2</v>
      </c>
      <c r="J627" s="91">
        <v>1.8180806419156204E-2</v>
      </c>
    </row>
    <row r="628" spans="1:10" x14ac:dyDescent="0.3">
      <c r="A628" s="90">
        <v>44743</v>
      </c>
      <c r="B628" s="59">
        <v>0</v>
      </c>
      <c r="C628" s="59">
        <v>0</v>
      </c>
      <c r="D628" s="59">
        <v>6111.4053000000004</v>
      </c>
      <c r="E628" s="59">
        <v>6646.255939480081</v>
      </c>
      <c r="F628" s="59">
        <v>5192.9646699999994</v>
      </c>
      <c r="G628" s="59">
        <v>4863.6365926350099</v>
      </c>
      <c r="H628" s="91">
        <v>8.7516800674319661E-2</v>
      </c>
      <c r="I628" s="91">
        <v>-6.3418123999096965E-2</v>
      </c>
      <c r="J628" s="91">
        <v>1.8180806419155982E-2</v>
      </c>
    </row>
    <row r="629" spans="1:10" x14ac:dyDescent="0.3">
      <c r="A629" s="90">
        <v>44774</v>
      </c>
      <c r="B629" s="59">
        <v>0</v>
      </c>
      <c r="C629" s="59">
        <v>0</v>
      </c>
      <c r="D629" s="59">
        <v>4659.4548000000004</v>
      </c>
      <c r="E629" s="59">
        <v>5067.2353769826032</v>
      </c>
      <c r="F629" s="59">
        <v>3959.2177199999996</v>
      </c>
      <c r="G629" s="59">
        <v>3708.1315596936179</v>
      </c>
      <c r="H629" s="91">
        <v>8.7516800674319883E-2</v>
      </c>
      <c r="I629" s="91">
        <v>-6.3418123999096965E-2</v>
      </c>
      <c r="J629" s="91">
        <v>1.8180806419156204E-2</v>
      </c>
    </row>
    <row r="630" spans="1:10" x14ac:dyDescent="0.3">
      <c r="A630" s="90">
        <v>44805</v>
      </c>
      <c r="B630" s="59">
        <v>0</v>
      </c>
      <c r="C630" s="59">
        <v>0</v>
      </c>
      <c r="D630" s="59">
        <v>10953.442500000001</v>
      </c>
      <c r="E630" s="59">
        <v>11912.052743970124</v>
      </c>
      <c r="F630" s="59">
        <v>9307.32575</v>
      </c>
      <c r="G630" s="59">
        <v>8717.072611486512</v>
      </c>
      <c r="H630" s="91">
        <v>8.7516800674319661E-2</v>
      </c>
      <c r="I630" s="91">
        <v>-6.3418123999096965E-2</v>
      </c>
      <c r="J630" s="91">
        <v>1.8180806419156204E-2</v>
      </c>
    </row>
    <row r="631" spans="1:10" x14ac:dyDescent="0.3">
      <c r="A631" s="90">
        <v>44835</v>
      </c>
      <c r="B631" s="59">
        <v>0</v>
      </c>
      <c r="C631" s="59">
        <v>0</v>
      </c>
      <c r="D631" s="59">
        <v>10953.442500000001</v>
      </c>
      <c r="E631" s="59">
        <v>11912.052743970124</v>
      </c>
      <c r="F631" s="59">
        <v>9307.32575</v>
      </c>
      <c r="G631" s="59">
        <v>8717.072611486512</v>
      </c>
      <c r="H631" s="91">
        <v>8.7516800674319661E-2</v>
      </c>
      <c r="I631" s="91">
        <v>-6.3418123999096965E-2</v>
      </c>
      <c r="J631" s="91">
        <v>1.8180806419156204E-2</v>
      </c>
    </row>
    <row r="632" spans="1:10" x14ac:dyDescent="0.3">
      <c r="A632" s="82" t="s">
        <v>43</v>
      </c>
      <c r="B632" s="59">
        <v>0</v>
      </c>
      <c r="C632" s="59">
        <v>0</v>
      </c>
      <c r="D632" s="59">
        <v>5648370.6193618001</v>
      </c>
      <c r="E632" s="59">
        <v>7672703.3262051586</v>
      </c>
      <c r="F632" s="59">
        <v>3796634.3059170009</v>
      </c>
      <c r="G632" s="59">
        <v>3798297.0383386929</v>
      </c>
      <c r="H632" s="91">
        <v>0.35839232997640713</v>
      </c>
      <c r="I632" s="91">
        <v>4.3794905901295422E-4</v>
      </c>
      <c r="J632" s="91">
        <v>0.21450443438548539</v>
      </c>
    </row>
    <row r="633" spans="1:10" x14ac:dyDescent="0.3">
      <c r="A633" s="83" t="s">
        <v>23</v>
      </c>
      <c r="B633" s="59">
        <v>0</v>
      </c>
      <c r="C633" s="59">
        <v>0</v>
      </c>
      <c r="D633" s="59">
        <v>5648370.6193618001</v>
      </c>
      <c r="E633" s="59">
        <v>7672703.3262051586</v>
      </c>
      <c r="F633" s="59">
        <v>3796634.3059170009</v>
      </c>
      <c r="G633" s="59">
        <v>3798297.0383386929</v>
      </c>
      <c r="H633" s="91">
        <v>0.35839232997640713</v>
      </c>
      <c r="I633" s="91">
        <v>4.3794905901295422E-4</v>
      </c>
      <c r="J633" s="91">
        <v>0.21450443438548539</v>
      </c>
    </row>
    <row r="634" spans="1:10" x14ac:dyDescent="0.3">
      <c r="A634" s="84" t="s">
        <v>26</v>
      </c>
      <c r="B634" s="59">
        <v>0</v>
      </c>
      <c r="C634" s="59">
        <v>0</v>
      </c>
      <c r="D634" s="59">
        <v>5648370.6193618001</v>
      </c>
      <c r="E634" s="59">
        <v>7672703.3262051586</v>
      </c>
      <c r="F634" s="59">
        <v>3796634.3059170009</v>
      </c>
      <c r="G634" s="59">
        <v>3798297.0383386929</v>
      </c>
      <c r="H634" s="91">
        <v>0.35839232997640713</v>
      </c>
      <c r="I634" s="91">
        <v>4.3794905901295422E-4</v>
      </c>
      <c r="J634" s="91">
        <v>0.21450443438548539</v>
      </c>
    </row>
    <row r="635" spans="1:10" x14ac:dyDescent="0.3">
      <c r="A635" s="85" t="s">
        <v>44</v>
      </c>
      <c r="B635" s="59">
        <v>0</v>
      </c>
      <c r="C635" s="59">
        <v>0</v>
      </c>
      <c r="D635" s="59">
        <v>5648370.6193618001</v>
      </c>
      <c r="E635" s="59">
        <v>7672703.3262051586</v>
      </c>
      <c r="F635" s="59">
        <v>3796634.3059170009</v>
      </c>
      <c r="G635" s="59">
        <v>3798297.0383386929</v>
      </c>
      <c r="H635" s="91">
        <v>0.35839232997640713</v>
      </c>
      <c r="I635" s="91">
        <v>4.3794905901295422E-4</v>
      </c>
      <c r="J635" s="91">
        <v>0.21450443438548539</v>
      </c>
    </row>
    <row r="636" spans="1:10" x14ac:dyDescent="0.3">
      <c r="A636" s="86" t="s">
        <v>53</v>
      </c>
      <c r="B636" s="59">
        <v>0</v>
      </c>
      <c r="C636" s="59">
        <v>0</v>
      </c>
      <c r="D636" s="59">
        <v>376297.47359489999</v>
      </c>
      <c r="E636" s="59">
        <v>511159.60192081181</v>
      </c>
      <c r="F636" s="59">
        <v>252933.80936850002</v>
      </c>
      <c r="G636" s="59">
        <v>253044.5814923055</v>
      </c>
      <c r="H636" s="91">
        <v>0.35839232997640735</v>
      </c>
      <c r="I636" s="91">
        <v>4.3794905901317627E-4</v>
      </c>
      <c r="J636" s="91">
        <v>0.21450443438548539</v>
      </c>
    </row>
    <row r="637" spans="1:10" x14ac:dyDescent="0.3">
      <c r="A637" s="87" t="s">
        <v>54</v>
      </c>
      <c r="B637" s="59">
        <v>0</v>
      </c>
      <c r="C637" s="59">
        <v>0</v>
      </c>
      <c r="D637" s="59">
        <v>284489.33502</v>
      </c>
      <c r="E637" s="59">
        <v>386448.13065125648</v>
      </c>
      <c r="F637" s="59">
        <v>191223.63630000001</v>
      </c>
      <c r="G637" s="59">
        <v>191307.38251157865</v>
      </c>
      <c r="H637" s="91">
        <v>0.35839232997640758</v>
      </c>
      <c r="I637" s="91">
        <v>4.3794905901317627E-4</v>
      </c>
      <c r="J637" s="91">
        <v>0.21450443438548561</v>
      </c>
    </row>
    <row r="638" spans="1:10" x14ac:dyDescent="0.3">
      <c r="A638" s="88" t="s">
        <v>25</v>
      </c>
      <c r="B638" s="59">
        <v>0</v>
      </c>
      <c r="C638" s="59">
        <v>0</v>
      </c>
      <c r="D638" s="59">
        <v>284489.33502</v>
      </c>
      <c r="E638" s="59">
        <v>386448.13065125648</v>
      </c>
      <c r="F638" s="59">
        <v>191223.63630000001</v>
      </c>
      <c r="G638" s="59">
        <v>191307.38251157865</v>
      </c>
      <c r="H638" s="91">
        <v>0.35839232997640758</v>
      </c>
      <c r="I638" s="91">
        <v>4.3794905901317627E-4</v>
      </c>
      <c r="J638" s="91">
        <v>0.21450443438548561</v>
      </c>
    </row>
    <row r="639" spans="1:10" x14ac:dyDescent="0.3">
      <c r="A639" s="89" t="s">
        <v>25</v>
      </c>
      <c r="B639" s="59">
        <v>0</v>
      </c>
      <c r="C639" s="59">
        <v>0</v>
      </c>
      <c r="D639" s="59">
        <v>284489.33502</v>
      </c>
      <c r="E639" s="59">
        <v>386448.13065125648</v>
      </c>
      <c r="F639" s="59">
        <v>191223.63630000001</v>
      </c>
      <c r="G639" s="59">
        <v>191307.38251157865</v>
      </c>
      <c r="H639" s="91">
        <v>0.35839232997640758</v>
      </c>
      <c r="I639" s="91">
        <v>4.3794905901317627E-4</v>
      </c>
      <c r="J639" s="91">
        <v>0.21450443438548561</v>
      </c>
    </row>
    <row r="640" spans="1:10" x14ac:dyDescent="0.3">
      <c r="A640" s="90">
        <v>44501</v>
      </c>
      <c r="B640" s="59">
        <v>0</v>
      </c>
      <c r="C640" s="59">
        <v>0</v>
      </c>
      <c r="D640" s="59">
        <v>6912.5764399999998</v>
      </c>
      <c r="E640" s="59">
        <v>9389.9908164716198</v>
      </c>
      <c r="F640" s="59">
        <v>4646.3886000000002</v>
      </c>
      <c r="G640" s="59">
        <v>4648.4234815151794</v>
      </c>
      <c r="H640" s="91">
        <v>0.35839232997640758</v>
      </c>
      <c r="I640" s="91">
        <v>4.3794905901317627E-4</v>
      </c>
      <c r="J640" s="91">
        <v>0.21450443438548539</v>
      </c>
    </row>
    <row r="641" spans="1:10" x14ac:dyDescent="0.3">
      <c r="A641" s="90">
        <v>44531</v>
      </c>
      <c r="B641" s="59">
        <v>0</v>
      </c>
      <c r="C641" s="59">
        <v>0</v>
      </c>
      <c r="D641" s="59">
        <v>2115.6653099999999</v>
      </c>
      <c r="E641" s="59">
        <v>2873.903529901158</v>
      </c>
      <c r="F641" s="59">
        <v>1422.0751500000001</v>
      </c>
      <c r="G641" s="59">
        <v>1422.6979464737885</v>
      </c>
      <c r="H641" s="91">
        <v>0.35839232997640735</v>
      </c>
      <c r="I641" s="91">
        <v>4.3794905901317627E-4</v>
      </c>
      <c r="J641" s="91">
        <v>0.21450443438548517</v>
      </c>
    </row>
    <row r="642" spans="1:10" x14ac:dyDescent="0.3">
      <c r="A642" s="90">
        <v>44562</v>
      </c>
      <c r="B642" s="59">
        <v>0</v>
      </c>
      <c r="C642" s="59">
        <v>0</v>
      </c>
      <c r="D642" s="59">
        <v>1075.3713299999999</v>
      </c>
      <c r="E642" s="59">
        <v>1460.776166548528</v>
      </c>
      <c r="F642" s="59">
        <v>722.82645000000002</v>
      </c>
      <c r="G642" s="59">
        <v>723.1430111636073</v>
      </c>
      <c r="H642" s="91">
        <v>0.35839232997640735</v>
      </c>
      <c r="I642" s="91">
        <v>4.3794905901317627E-4</v>
      </c>
      <c r="J642" s="91">
        <v>0.21450443438548517</v>
      </c>
    </row>
    <row r="643" spans="1:10" x14ac:dyDescent="0.3">
      <c r="A643" s="90">
        <v>44593</v>
      </c>
      <c r="B643" s="59">
        <v>0</v>
      </c>
      <c r="C643" s="59">
        <v>0</v>
      </c>
      <c r="D643" s="59">
        <v>2409.3128400000001</v>
      </c>
      <c r="E643" s="59">
        <v>3272.792082369675</v>
      </c>
      <c r="F643" s="59">
        <v>1619.4546</v>
      </c>
      <c r="G643" s="59">
        <v>1620.1638386181844</v>
      </c>
      <c r="H643" s="91">
        <v>0.35839232997640735</v>
      </c>
      <c r="I643" s="91">
        <v>4.3794905901295422E-4</v>
      </c>
      <c r="J643" s="91">
        <v>0.21450443438548517</v>
      </c>
    </row>
    <row r="644" spans="1:10" x14ac:dyDescent="0.3">
      <c r="A644" s="90">
        <v>44621</v>
      </c>
      <c r="B644" s="59">
        <v>0</v>
      </c>
      <c r="C644" s="59">
        <v>0</v>
      </c>
      <c r="D644" s="59">
        <v>5525.8518700000004</v>
      </c>
      <c r="E644" s="59">
        <v>7506.2747967937876</v>
      </c>
      <c r="F644" s="59">
        <v>3714.2815500000002</v>
      </c>
      <c r="G644" s="59">
        <v>3715.9082161097326</v>
      </c>
      <c r="H644" s="91">
        <v>0.35839232997640713</v>
      </c>
      <c r="I644" s="91">
        <v>4.3794905901317627E-4</v>
      </c>
      <c r="J644" s="91">
        <v>0.21450443438548539</v>
      </c>
    </row>
    <row r="645" spans="1:10" x14ac:dyDescent="0.3">
      <c r="A645" s="90">
        <v>44652</v>
      </c>
      <c r="B645" s="59">
        <v>0</v>
      </c>
      <c r="C645" s="59">
        <v>0</v>
      </c>
      <c r="D645" s="59">
        <v>26385.516739999999</v>
      </c>
      <c r="E645" s="59">
        <v>35841.883562080096</v>
      </c>
      <c r="F645" s="59">
        <v>17735.408100000001</v>
      </c>
      <c r="G645" s="59">
        <v>17743.175305288609</v>
      </c>
      <c r="H645" s="91">
        <v>0.35839232997640735</v>
      </c>
      <c r="I645" s="91">
        <v>4.3794905901317627E-4</v>
      </c>
      <c r="J645" s="91">
        <v>0.21450443438548517</v>
      </c>
    </row>
    <row r="646" spans="1:10" x14ac:dyDescent="0.3">
      <c r="A646" s="90">
        <v>44682</v>
      </c>
      <c r="B646" s="59">
        <v>0</v>
      </c>
      <c r="C646" s="59">
        <v>0</v>
      </c>
      <c r="D646" s="59">
        <v>35858.07159</v>
      </c>
      <c r="E646" s="59">
        <v>48709.329415600914</v>
      </c>
      <c r="F646" s="59">
        <v>24102.523350000003</v>
      </c>
      <c r="G646" s="59">
        <v>24113.079027420976</v>
      </c>
      <c r="H646" s="91">
        <v>0.35839232997640735</v>
      </c>
      <c r="I646" s="91">
        <v>4.3794905901295422E-4</v>
      </c>
      <c r="J646" s="91">
        <v>0.21450443438548517</v>
      </c>
    </row>
    <row r="647" spans="1:10" x14ac:dyDescent="0.3">
      <c r="A647" s="90">
        <v>44713</v>
      </c>
      <c r="B647" s="59">
        <v>0</v>
      </c>
      <c r="C647" s="59">
        <v>0</v>
      </c>
      <c r="D647" s="59">
        <v>33778.819909999998</v>
      </c>
      <c r="E647" s="59">
        <v>45884.889881398354</v>
      </c>
      <c r="F647" s="59">
        <v>22704.924150000003</v>
      </c>
      <c r="G647" s="59">
        <v>22714.867750166457</v>
      </c>
      <c r="H647" s="91">
        <v>0.35839232997640735</v>
      </c>
      <c r="I647" s="91">
        <v>4.3794905901295422E-4</v>
      </c>
      <c r="J647" s="91">
        <v>0.21450443438548517</v>
      </c>
    </row>
    <row r="648" spans="1:10" x14ac:dyDescent="0.3">
      <c r="A648" s="90">
        <v>44743</v>
      </c>
      <c r="B648" s="59">
        <v>0</v>
      </c>
      <c r="C648" s="59">
        <v>0</v>
      </c>
      <c r="D648" s="59">
        <v>34529.809269999998</v>
      </c>
      <c r="E648" s="59">
        <v>46905.028067916246</v>
      </c>
      <c r="F648" s="59">
        <v>23209.712550000004</v>
      </c>
      <c r="G648" s="59">
        <v>23219.877221771239</v>
      </c>
      <c r="H648" s="91">
        <v>0.35839232997640735</v>
      </c>
      <c r="I648" s="91">
        <v>4.3794905901295422E-4</v>
      </c>
      <c r="J648" s="91">
        <v>0.21450443438548517</v>
      </c>
    </row>
    <row r="649" spans="1:10" x14ac:dyDescent="0.3">
      <c r="A649" s="90">
        <v>44774</v>
      </c>
      <c r="B649" s="59">
        <v>0</v>
      </c>
      <c r="C649" s="59">
        <v>0</v>
      </c>
      <c r="D649" s="59">
        <v>43613.50664</v>
      </c>
      <c r="E649" s="59">
        <v>59244.252903151108</v>
      </c>
      <c r="F649" s="59">
        <v>29315.4516</v>
      </c>
      <c r="G649" s="59">
        <v>29328.290274442763</v>
      </c>
      <c r="H649" s="91">
        <v>0.35839232997640713</v>
      </c>
      <c r="I649" s="91">
        <v>4.3794905901295422E-4</v>
      </c>
      <c r="J649" s="91">
        <v>0.21450443438548517</v>
      </c>
    </row>
    <row r="650" spans="1:10" x14ac:dyDescent="0.3">
      <c r="A650" s="90">
        <v>44805</v>
      </c>
      <c r="B650" s="59">
        <v>0</v>
      </c>
      <c r="C650" s="59">
        <v>0</v>
      </c>
      <c r="D650" s="59">
        <v>46142.416539999998</v>
      </c>
      <c r="E650" s="59">
        <v>62679.504714512514</v>
      </c>
      <c r="F650" s="59">
        <v>31015.295100000003</v>
      </c>
      <c r="G650" s="59">
        <v>31028.878219304061</v>
      </c>
      <c r="H650" s="91">
        <v>0.35839232997640735</v>
      </c>
      <c r="I650" s="91">
        <v>4.3794905901317627E-4</v>
      </c>
      <c r="J650" s="91">
        <v>0.21450443438548539</v>
      </c>
    </row>
    <row r="651" spans="1:10" x14ac:dyDescent="0.3">
      <c r="A651" s="90">
        <v>44835</v>
      </c>
      <c r="B651" s="59">
        <v>0</v>
      </c>
      <c r="C651" s="59">
        <v>0</v>
      </c>
      <c r="D651" s="59">
        <v>46142.416539999998</v>
      </c>
      <c r="E651" s="59">
        <v>62679.504714512514</v>
      </c>
      <c r="F651" s="59">
        <v>31015.295100000003</v>
      </c>
      <c r="G651" s="59">
        <v>31028.878219304061</v>
      </c>
      <c r="H651" s="91">
        <v>0.35839232997640735</v>
      </c>
      <c r="I651" s="91">
        <v>4.3794905901317627E-4</v>
      </c>
      <c r="J651" s="91">
        <v>0.21450443438548539</v>
      </c>
    </row>
    <row r="652" spans="1:10" x14ac:dyDescent="0.3">
      <c r="A652" s="87" t="s">
        <v>55</v>
      </c>
      <c r="B652" s="59">
        <v>0</v>
      </c>
      <c r="C652" s="59">
        <v>0</v>
      </c>
      <c r="D652" s="59">
        <v>91808.138574900004</v>
      </c>
      <c r="E652" s="59">
        <v>124711.4712695553</v>
      </c>
      <c r="F652" s="59">
        <v>61710.173068499993</v>
      </c>
      <c r="G652" s="59">
        <v>61737.198980726884</v>
      </c>
      <c r="H652" s="91">
        <v>0.35839232997640713</v>
      </c>
      <c r="I652" s="91">
        <v>4.3794905901339831E-4</v>
      </c>
      <c r="J652" s="91">
        <v>0.21450443438548539</v>
      </c>
    </row>
    <row r="653" spans="1:10" x14ac:dyDescent="0.3">
      <c r="A653" s="88" t="s">
        <v>25</v>
      </c>
      <c r="B653" s="59">
        <v>0</v>
      </c>
      <c r="C653" s="59">
        <v>0</v>
      </c>
      <c r="D653" s="59">
        <v>91808.138574900004</v>
      </c>
      <c r="E653" s="59">
        <v>124711.4712695553</v>
      </c>
      <c r="F653" s="59">
        <v>61710.173068499993</v>
      </c>
      <c r="G653" s="59">
        <v>61737.198980726884</v>
      </c>
      <c r="H653" s="91">
        <v>0.35839232997640713</v>
      </c>
      <c r="I653" s="91">
        <v>4.3794905901339831E-4</v>
      </c>
      <c r="J653" s="91">
        <v>0.21450443438548539</v>
      </c>
    </row>
    <row r="654" spans="1:10" x14ac:dyDescent="0.3">
      <c r="A654" s="89" t="s">
        <v>25</v>
      </c>
      <c r="B654" s="59">
        <v>0</v>
      </c>
      <c r="C654" s="59">
        <v>0</v>
      </c>
      <c r="D654" s="59">
        <v>91808.138574900004</v>
      </c>
      <c r="E654" s="59">
        <v>124711.4712695553</v>
      </c>
      <c r="F654" s="59">
        <v>61710.173068499993</v>
      </c>
      <c r="G654" s="59">
        <v>61737.198980726884</v>
      </c>
      <c r="H654" s="91">
        <v>0.35839232997640713</v>
      </c>
      <c r="I654" s="91">
        <v>4.3794905901339831E-4</v>
      </c>
      <c r="J654" s="91">
        <v>0.21450443438548539</v>
      </c>
    </row>
    <row r="655" spans="1:10" x14ac:dyDescent="0.3">
      <c r="A655" s="90">
        <v>44501</v>
      </c>
      <c r="B655" s="59">
        <v>0</v>
      </c>
      <c r="C655" s="59">
        <v>0</v>
      </c>
      <c r="D655" s="59">
        <v>1981.0685070000002</v>
      </c>
      <c r="E655" s="59">
        <v>2691.0682650666126</v>
      </c>
      <c r="F655" s="59">
        <v>1331.603955</v>
      </c>
      <c r="G655" s="59">
        <v>1332.1871296990705</v>
      </c>
      <c r="H655" s="91">
        <v>0.35839232997640713</v>
      </c>
      <c r="I655" s="91">
        <v>4.3794905901317627E-4</v>
      </c>
      <c r="J655" s="91">
        <v>0.21450443438548517</v>
      </c>
    </row>
    <row r="656" spans="1:10" x14ac:dyDescent="0.3">
      <c r="A656" s="90">
        <v>44531</v>
      </c>
      <c r="B656" s="59">
        <v>0</v>
      </c>
      <c r="C656" s="59">
        <v>0</v>
      </c>
      <c r="D656" s="59">
        <v>703.57146419999992</v>
      </c>
      <c r="E656" s="59">
        <v>955.72608055955038</v>
      </c>
      <c r="F656" s="59">
        <v>472.915773</v>
      </c>
      <c r="G656" s="59">
        <v>473.12288601777777</v>
      </c>
      <c r="H656" s="91">
        <v>0.35839232997640735</v>
      </c>
      <c r="I656" s="91">
        <v>4.3794905901295422E-4</v>
      </c>
      <c r="J656" s="91">
        <v>0.21450443438548517</v>
      </c>
    </row>
    <row r="657" spans="1:10" x14ac:dyDescent="0.3">
      <c r="A657" s="90">
        <v>44562</v>
      </c>
      <c r="B657" s="59">
        <v>0</v>
      </c>
      <c r="C657" s="59">
        <v>0</v>
      </c>
      <c r="D657" s="59">
        <v>61.074677399999999</v>
      </c>
      <c r="E657" s="59">
        <v>82.96337333594343</v>
      </c>
      <c r="F657" s="59">
        <v>41.052231000000006</v>
      </c>
      <c r="G657" s="59">
        <v>41.070209785936839</v>
      </c>
      <c r="H657" s="91">
        <v>0.35839232997640735</v>
      </c>
      <c r="I657" s="91">
        <v>4.3794905901295422E-4</v>
      </c>
      <c r="J657" s="91">
        <v>0.21450443438548517</v>
      </c>
    </row>
    <row r="658" spans="1:10" x14ac:dyDescent="0.3">
      <c r="A658" s="90">
        <v>44593</v>
      </c>
      <c r="B658" s="59">
        <v>0</v>
      </c>
      <c r="C658" s="59">
        <v>0</v>
      </c>
      <c r="D658" s="59">
        <v>651.75720720000004</v>
      </c>
      <c r="E658" s="59">
        <v>885.34199126732403</v>
      </c>
      <c r="F658" s="59">
        <v>438.08806800000002</v>
      </c>
      <c r="G658" s="59">
        <v>438.27992825714546</v>
      </c>
      <c r="H658" s="91">
        <v>0.35839232997640713</v>
      </c>
      <c r="I658" s="91">
        <v>4.3794905901295422E-4</v>
      </c>
      <c r="J658" s="91">
        <v>0.21450443438548517</v>
      </c>
    </row>
    <row r="659" spans="1:10" x14ac:dyDescent="0.3">
      <c r="A659" s="90">
        <v>44621</v>
      </c>
      <c r="B659" s="59">
        <v>0</v>
      </c>
      <c r="C659" s="59">
        <v>0</v>
      </c>
      <c r="D659" s="59">
        <v>1268.6775948</v>
      </c>
      <c r="E659" s="59">
        <v>1723.3619139892362</v>
      </c>
      <c r="F659" s="59">
        <v>852.76006200000006</v>
      </c>
      <c r="G659" s="59">
        <v>853.13352746671683</v>
      </c>
      <c r="H659" s="91">
        <v>0.35839232997640713</v>
      </c>
      <c r="I659" s="91">
        <v>4.3794905901295422E-4</v>
      </c>
      <c r="J659" s="91">
        <v>0.21450443438548517</v>
      </c>
    </row>
    <row r="660" spans="1:10" x14ac:dyDescent="0.3">
      <c r="A660" s="90">
        <v>44652</v>
      </c>
      <c r="B660" s="59">
        <v>0</v>
      </c>
      <c r="C660" s="59">
        <v>0</v>
      </c>
      <c r="D660" s="59">
        <v>9194.2745399999985</v>
      </c>
      <c r="E660" s="59">
        <v>12489.432014833359</v>
      </c>
      <c r="F660" s="59">
        <v>6180.0650999999998</v>
      </c>
      <c r="G660" s="59">
        <v>6182.7716536951848</v>
      </c>
      <c r="H660" s="91">
        <v>0.35839232997640735</v>
      </c>
      <c r="I660" s="91">
        <v>4.3794905901317627E-4</v>
      </c>
      <c r="J660" s="91">
        <v>0.21450443438548517</v>
      </c>
    </row>
    <row r="661" spans="1:10" x14ac:dyDescent="0.3">
      <c r="A661" s="90">
        <v>44682</v>
      </c>
      <c r="B661" s="59">
        <v>0</v>
      </c>
      <c r="C661" s="59">
        <v>0</v>
      </c>
      <c r="D661" s="59">
        <v>11581.9195998</v>
      </c>
      <c r="E661" s="59">
        <v>15732.790750771741</v>
      </c>
      <c r="F661" s="59">
        <v>7784.955387</v>
      </c>
      <c r="G661" s="59">
        <v>7788.3648008861956</v>
      </c>
      <c r="H661" s="91">
        <v>0.35839232997640735</v>
      </c>
      <c r="I661" s="91">
        <v>4.3794905901317627E-4</v>
      </c>
      <c r="J661" s="91">
        <v>0.21450443438548517</v>
      </c>
    </row>
    <row r="662" spans="1:10" x14ac:dyDescent="0.3">
      <c r="A662" s="90">
        <v>44713</v>
      </c>
      <c r="B662" s="59">
        <v>0</v>
      </c>
      <c r="C662" s="59">
        <v>0</v>
      </c>
      <c r="D662" s="59">
        <v>11753.127134099999</v>
      </c>
      <c r="E662" s="59">
        <v>15965.357752199032</v>
      </c>
      <c r="F662" s="59">
        <v>7900.0350165</v>
      </c>
      <c r="G662" s="59">
        <v>7903.4948294016467</v>
      </c>
      <c r="H662" s="91">
        <v>0.35839232997640735</v>
      </c>
      <c r="I662" s="91">
        <v>4.3794905901317627E-4</v>
      </c>
      <c r="J662" s="91">
        <v>0.21450443438548517</v>
      </c>
    </row>
    <row r="663" spans="1:10" x14ac:dyDescent="0.3">
      <c r="A663" s="90">
        <v>44743</v>
      </c>
      <c r="B663" s="59">
        <v>0</v>
      </c>
      <c r="C663" s="59">
        <v>0</v>
      </c>
      <c r="D663" s="59">
        <v>12739.1414205</v>
      </c>
      <c r="E663" s="59">
        <v>17304.751996091953</v>
      </c>
      <c r="F663" s="59">
        <v>8562.7988325000006</v>
      </c>
      <c r="G663" s="59">
        <v>8566.5489021912126</v>
      </c>
      <c r="H663" s="91">
        <v>0.35839232997640713</v>
      </c>
      <c r="I663" s="91">
        <v>4.3794905901317627E-4</v>
      </c>
      <c r="J663" s="91">
        <v>0.21450443438548539</v>
      </c>
    </row>
    <row r="664" spans="1:10" x14ac:dyDescent="0.3">
      <c r="A664" s="90">
        <v>44774</v>
      </c>
      <c r="B664" s="59">
        <v>0</v>
      </c>
      <c r="C664" s="59">
        <v>0</v>
      </c>
      <c r="D664" s="59">
        <v>12733.6292655</v>
      </c>
      <c r="E664" s="59">
        <v>17297.264327018311</v>
      </c>
      <c r="F664" s="59">
        <v>8559.0937575000007</v>
      </c>
      <c r="G664" s="59">
        <v>8562.8422045571024</v>
      </c>
      <c r="H664" s="91">
        <v>0.35839232997640713</v>
      </c>
      <c r="I664" s="91">
        <v>4.3794905901295422E-4</v>
      </c>
      <c r="J664" s="91">
        <v>0.21450443438548517</v>
      </c>
    </row>
    <row r="665" spans="1:10" x14ac:dyDescent="0.3">
      <c r="A665" s="90">
        <v>44805</v>
      </c>
      <c r="B665" s="59">
        <v>0</v>
      </c>
      <c r="C665" s="59">
        <v>0</v>
      </c>
      <c r="D665" s="59">
        <v>14569.948582200001</v>
      </c>
      <c r="E665" s="59">
        <v>19791.706402211112</v>
      </c>
      <c r="F665" s="59">
        <v>9793.4024430000009</v>
      </c>
      <c r="G665" s="59">
        <v>9797.6914543844505</v>
      </c>
      <c r="H665" s="91">
        <v>0.35839232997640735</v>
      </c>
      <c r="I665" s="91">
        <v>4.3794905901317627E-4</v>
      </c>
      <c r="J665" s="91">
        <v>0.21450443438548539</v>
      </c>
    </row>
    <row r="666" spans="1:10" x14ac:dyDescent="0.3">
      <c r="A666" s="90">
        <v>44835</v>
      </c>
      <c r="B666" s="59">
        <v>0</v>
      </c>
      <c r="C666" s="59">
        <v>0</v>
      </c>
      <c r="D666" s="59">
        <v>14569.948582200001</v>
      </c>
      <c r="E666" s="59">
        <v>19791.706402211112</v>
      </c>
      <c r="F666" s="59">
        <v>9793.4024430000009</v>
      </c>
      <c r="G666" s="59">
        <v>9797.6914543844505</v>
      </c>
      <c r="H666" s="91">
        <v>0.35839232997640735</v>
      </c>
      <c r="I666" s="91">
        <v>4.3794905901317627E-4</v>
      </c>
      <c r="J666" s="91">
        <v>0.21450443438548539</v>
      </c>
    </row>
    <row r="667" spans="1:10" x14ac:dyDescent="0.3">
      <c r="A667" s="86" t="s">
        <v>56</v>
      </c>
      <c r="B667" s="59">
        <v>0</v>
      </c>
      <c r="C667" s="59">
        <v>0</v>
      </c>
      <c r="D667" s="59">
        <v>74852.950236900026</v>
      </c>
      <c r="E667" s="59">
        <v>101679.67347791066</v>
      </c>
      <c r="F667" s="59">
        <v>50313.497098500004</v>
      </c>
      <c r="G667" s="59">
        <v>50335.531847209968</v>
      </c>
      <c r="H667" s="91">
        <v>0.35839232997640713</v>
      </c>
      <c r="I667" s="91">
        <v>4.3794905901295422E-4</v>
      </c>
      <c r="J667" s="91">
        <v>0.21450443438548517</v>
      </c>
    </row>
    <row r="668" spans="1:10" x14ac:dyDescent="0.3">
      <c r="A668" s="87" t="s">
        <v>54</v>
      </c>
      <c r="B668" s="59">
        <v>0</v>
      </c>
      <c r="C668" s="59">
        <v>0</v>
      </c>
      <c r="D668" s="59">
        <v>49702.934599999993</v>
      </c>
      <c r="E668" s="59">
        <v>67516.085137958988</v>
      </c>
      <c r="F668" s="59">
        <v>33408.548999999999</v>
      </c>
      <c r="G668" s="59">
        <v>33423.180242597547</v>
      </c>
      <c r="H668" s="91">
        <v>0.35839232997640735</v>
      </c>
      <c r="I668" s="91">
        <v>4.3794905901295422E-4</v>
      </c>
      <c r="J668" s="91">
        <v>0.21450443438548517</v>
      </c>
    </row>
    <row r="669" spans="1:10" x14ac:dyDescent="0.3">
      <c r="A669" s="88" t="s">
        <v>25</v>
      </c>
      <c r="B669" s="59">
        <v>0</v>
      </c>
      <c r="C669" s="59">
        <v>0</v>
      </c>
      <c r="D669" s="59">
        <v>49702.934599999993</v>
      </c>
      <c r="E669" s="59">
        <v>67516.085137958988</v>
      </c>
      <c r="F669" s="59">
        <v>33408.548999999999</v>
      </c>
      <c r="G669" s="59">
        <v>33423.180242597547</v>
      </c>
      <c r="H669" s="91">
        <v>0.35839232997640735</v>
      </c>
      <c r="I669" s="91">
        <v>4.3794905901295422E-4</v>
      </c>
      <c r="J669" s="91">
        <v>0.21450443438548517</v>
      </c>
    </row>
    <row r="670" spans="1:10" x14ac:dyDescent="0.3">
      <c r="A670" s="89" t="s">
        <v>25</v>
      </c>
      <c r="B670" s="59">
        <v>0</v>
      </c>
      <c r="C670" s="59">
        <v>0</v>
      </c>
      <c r="D670" s="59">
        <v>49702.934599999993</v>
      </c>
      <c r="E670" s="59">
        <v>67516.085137958988</v>
      </c>
      <c r="F670" s="59">
        <v>33408.548999999999</v>
      </c>
      <c r="G670" s="59">
        <v>33423.180242597547</v>
      </c>
      <c r="H670" s="91">
        <v>0.35839232997640735</v>
      </c>
      <c r="I670" s="91">
        <v>4.3794905901295422E-4</v>
      </c>
      <c r="J670" s="91">
        <v>0.21450443438548517</v>
      </c>
    </row>
    <row r="671" spans="1:10" x14ac:dyDescent="0.3">
      <c r="A671" s="90">
        <v>44501</v>
      </c>
      <c r="B671" s="59">
        <v>0</v>
      </c>
      <c r="C671" s="59">
        <v>0</v>
      </c>
      <c r="D671" s="59">
        <v>3058.7449199999996</v>
      </c>
      <c r="E671" s="59">
        <v>4154.9756386822992</v>
      </c>
      <c r="F671" s="59">
        <v>2055.9798000000001</v>
      </c>
      <c r="G671" s="59">
        <v>2056.8802144187598</v>
      </c>
      <c r="H671" s="91">
        <v>0.35839232997640735</v>
      </c>
      <c r="I671" s="91">
        <v>4.3794905901295422E-4</v>
      </c>
      <c r="J671" s="91">
        <v>0.21450443438548494</v>
      </c>
    </row>
    <row r="672" spans="1:10" x14ac:dyDescent="0.3">
      <c r="A672" s="90">
        <v>44531</v>
      </c>
      <c r="B672" s="59">
        <v>0</v>
      </c>
      <c r="C672" s="59">
        <v>0</v>
      </c>
      <c r="D672" s="59">
        <v>2816.2101000000002</v>
      </c>
      <c r="E672" s="59">
        <v>3825.5181994420909</v>
      </c>
      <c r="F672" s="59">
        <v>1892.9565</v>
      </c>
      <c r="G672" s="59">
        <v>1893.7855185179276</v>
      </c>
      <c r="H672" s="91">
        <v>0.35839232997640713</v>
      </c>
      <c r="I672" s="91">
        <v>4.3794905901295422E-4</v>
      </c>
      <c r="J672" s="91">
        <v>0.21450443438548517</v>
      </c>
    </row>
    <row r="673" spans="1:10" x14ac:dyDescent="0.3">
      <c r="A673" s="90">
        <v>44562</v>
      </c>
      <c r="B673" s="59">
        <v>0</v>
      </c>
      <c r="C673" s="59">
        <v>0</v>
      </c>
      <c r="D673" s="59">
        <v>3242.8174899999995</v>
      </c>
      <c r="E673" s="59">
        <v>4405.0184059293442</v>
      </c>
      <c r="F673" s="59">
        <v>2179.70685</v>
      </c>
      <c r="G673" s="59">
        <v>2180.6614505638818</v>
      </c>
      <c r="H673" s="91">
        <v>0.35839232997640735</v>
      </c>
      <c r="I673" s="91">
        <v>4.3794905901295422E-4</v>
      </c>
      <c r="J673" s="91">
        <v>0.21450443438548517</v>
      </c>
    </row>
    <row r="674" spans="1:10" x14ac:dyDescent="0.3">
      <c r="A674" s="90">
        <v>44593</v>
      </c>
      <c r="B674" s="59">
        <v>0</v>
      </c>
      <c r="C674" s="59">
        <v>0</v>
      </c>
      <c r="D674" s="59">
        <v>3133.9106700000002</v>
      </c>
      <c r="E674" s="59">
        <v>4257.0802169592243</v>
      </c>
      <c r="F674" s="59">
        <v>2106.5035500000004</v>
      </c>
      <c r="G674" s="59">
        <v>2107.4260912475306</v>
      </c>
      <c r="H674" s="91">
        <v>0.35839232997640735</v>
      </c>
      <c r="I674" s="91">
        <v>4.3794905901317627E-4</v>
      </c>
      <c r="J674" s="91">
        <v>0.21450443438548539</v>
      </c>
    </row>
    <row r="675" spans="1:10" x14ac:dyDescent="0.3">
      <c r="A675" s="90">
        <v>44621</v>
      </c>
      <c r="B675" s="59">
        <v>0</v>
      </c>
      <c r="C675" s="59">
        <v>0</v>
      </c>
      <c r="D675" s="59">
        <v>3184.6893099999993</v>
      </c>
      <c r="E675" s="59">
        <v>4326.0575320618564</v>
      </c>
      <c r="F675" s="59">
        <v>2140.6351500000001</v>
      </c>
      <c r="G675" s="59">
        <v>2141.5726391496328</v>
      </c>
      <c r="H675" s="91">
        <v>0.35839232997640735</v>
      </c>
      <c r="I675" s="91">
        <v>4.3794905901295422E-4</v>
      </c>
      <c r="J675" s="91">
        <v>0.21450443438548517</v>
      </c>
    </row>
    <row r="676" spans="1:10" x14ac:dyDescent="0.3">
      <c r="A676" s="90">
        <v>44652</v>
      </c>
      <c r="B676" s="59">
        <v>0</v>
      </c>
      <c r="C676" s="59">
        <v>0</v>
      </c>
      <c r="D676" s="59">
        <v>6093.1027300000005</v>
      </c>
      <c r="E676" s="59">
        <v>8276.8240141903079</v>
      </c>
      <c r="F676" s="59">
        <v>4095.5674500000005</v>
      </c>
      <c r="G676" s="59">
        <v>4097.3610999108523</v>
      </c>
      <c r="H676" s="91">
        <v>0.35839232997640713</v>
      </c>
      <c r="I676" s="91">
        <v>4.3794905901295422E-4</v>
      </c>
      <c r="J676" s="91">
        <v>0.21450443438548517</v>
      </c>
    </row>
    <row r="677" spans="1:10" x14ac:dyDescent="0.3">
      <c r="A677" s="90">
        <v>44682</v>
      </c>
      <c r="B677" s="59">
        <v>0</v>
      </c>
      <c r="C677" s="59">
        <v>0</v>
      </c>
      <c r="D677" s="59">
        <v>4695.3538499999995</v>
      </c>
      <c r="E677" s="59">
        <v>6378.1326563651937</v>
      </c>
      <c r="F677" s="59">
        <v>3156.0502499999998</v>
      </c>
      <c r="G677" s="59">
        <v>3157.432439237185</v>
      </c>
      <c r="H677" s="91">
        <v>0.35839232997640735</v>
      </c>
      <c r="I677" s="91">
        <v>4.3794905901295422E-4</v>
      </c>
      <c r="J677" s="91">
        <v>0.21450443438548517</v>
      </c>
    </row>
    <row r="678" spans="1:10" x14ac:dyDescent="0.3">
      <c r="A678" s="90">
        <v>44713</v>
      </c>
      <c r="B678" s="59">
        <v>0</v>
      </c>
      <c r="C678" s="59">
        <v>0</v>
      </c>
      <c r="D678" s="59">
        <v>3651.7191699999998</v>
      </c>
      <c r="E678" s="59">
        <v>4960.4673117558114</v>
      </c>
      <c r="F678" s="59">
        <v>2454.5560500000001</v>
      </c>
      <c r="G678" s="59">
        <v>2455.6310205123923</v>
      </c>
      <c r="H678" s="91">
        <v>0.35839232997640713</v>
      </c>
      <c r="I678" s="91">
        <v>4.3794905901295422E-4</v>
      </c>
      <c r="J678" s="91">
        <v>0.21450443438548517</v>
      </c>
    </row>
    <row r="679" spans="1:10" x14ac:dyDescent="0.3">
      <c r="A679" s="90">
        <v>44743</v>
      </c>
      <c r="B679" s="59">
        <v>0</v>
      </c>
      <c r="C679" s="59">
        <v>0</v>
      </c>
      <c r="D679" s="59">
        <v>4381.3280500000001</v>
      </c>
      <c r="E679" s="59">
        <v>5951.5624182304891</v>
      </c>
      <c r="F679" s="59">
        <v>2944.97325</v>
      </c>
      <c r="G679" s="59">
        <v>2946.2629982636563</v>
      </c>
      <c r="H679" s="91">
        <v>0.35839232997640735</v>
      </c>
      <c r="I679" s="91">
        <v>4.3794905901317627E-4</v>
      </c>
      <c r="J679" s="91">
        <v>0.21450443438548539</v>
      </c>
    </row>
    <row r="680" spans="1:10" x14ac:dyDescent="0.3">
      <c r="A680" s="90">
        <v>44774</v>
      </c>
      <c r="B680" s="59">
        <v>0</v>
      </c>
      <c r="C680" s="59">
        <v>0</v>
      </c>
      <c r="D680" s="59">
        <v>3631.0068299999998</v>
      </c>
      <c r="E680" s="59">
        <v>4932.3318279639479</v>
      </c>
      <c r="F680" s="59">
        <v>2440.6339499999999</v>
      </c>
      <c r="G680" s="59">
        <v>2441.7028233417977</v>
      </c>
      <c r="H680" s="91">
        <v>0.35839232997640713</v>
      </c>
      <c r="I680" s="91">
        <v>4.3794905901295422E-4</v>
      </c>
      <c r="J680" s="91">
        <v>0.21450443438548517</v>
      </c>
    </row>
    <row r="681" spans="1:10" x14ac:dyDescent="0.3">
      <c r="A681" s="90">
        <v>44805</v>
      </c>
      <c r="B681" s="59">
        <v>0</v>
      </c>
      <c r="C681" s="59">
        <v>0</v>
      </c>
      <c r="D681" s="59">
        <v>5907.02574</v>
      </c>
      <c r="E681" s="59">
        <v>8024.0584581892108</v>
      </c>
      <c r="F681" s="59">
        <v>3970.4931000000001</v>
      </c>
      <c r="G681" s="59">
        <v>3972.2319737169628</v>
      </c>
      <c r="H681" s="91">
        <v>0.35839232997640713</v>
      </c>
      <c r="I681" s="91">
        <v>4.3794905901295422E-4</v>
      </c>
      <c r="J681" s="91">
        <v>0.21450443438548517</v>
      </c>
    </row>
    <row r="682" spans="1:10" x14ac:dyDescent="0.3">
      <c r="A682" s="90">
        <v>44835</v>
      </c>
      <c r="B682" s="59">
        <v>0</v>
      </c>
      <c r="C682" s="59">
        <v>0</v>
      </c>
      <c r="D682" s="59">
        <v>5907.02574</v>
      </c>
      <c r="E682" s="59">
        <v>8024.0584581892108</v>
      </c>
      <c r="F682" s="59">
        <v>3970.4931000000001</v>
      </c>
      <c r="G682" s="59">
        <v>3972.2319737169628</v>
      </c>
      <c r="H682" s="91">
        <v>0.35839232997640713</v>
      </c>
      <c r="I682" s="91">
        <v>4.3794905901295422E-4</v>
      </c>
      <c r="J682" s="91">
        <v>0.21450443438548517</v>
      </c>
    </row>
    <row r="683" spans="1:10" x14ac:dyDescent="0.3">
      <c r="A683" s="87" t="s">
        <v>55</v>
      </c>
      <c r="B683" s="59">
        <v>0</v>
      </c>
      <c r="C683" s="59">
        <v>0</v>
      </c>
      <c r="D683" s="59">
        <v>25150.015636899992</v>
      </c>
      <c r="E683" s="59">
        <v>34163.588339951668</v>
      </c>
      <c r="F683" s="59">
        <v>16904.948098500001</v>
      </c>
      <c r="G683" s="59">
        <v>16912.351604612402</v>
      </c>
      <c r="H683" s="91">
        <v>0.35839232997640735</v>
      </c>
      <c r="I683" s="91">
        <v>4.3794905901317627E-4</v>
      </c>
      <c r="J683" s="91">
        <v>0.21450443438548539</v>
      </c>
    </row>
    <row r="684" spans="1:10" x14ac:dyDescent="0.3">
      <c r="A684" s="88" t="s">
        <v>25</v>
      </c>
      <c r="B684" s="59">
        <v>0</v>
      </c>
      <c r="C684" s="59">
        <v>0</v>
      </c>
      <c r="D684" s="59">
        <v>25150.015636899992</v>
      </c>
      <c r="E684" s="59">
        <v>34163.588339951668</v>
      </c>
      <c r="F684" s="59">
        <v>16904.948098500001</v>
      </c>
      <c r="G684" s="59">
        <v>16912.351604612402</v>
      </c>
      <c r="H684" s="91">
        <v>0.35839232997640735</v>
      </c>
      <c r="I684" s="91">
        <v>4.3794905901317627E-4</v>
      </c>
      <c r="J684" s="91">
        <v>0.21450443438548539</v>
      </c>
    </row>
    <row r="685" spans="1:10" x14ac:dyDescent="0.3">
      <c r="A685" s="89" t="s">
        <v>25</v>
      </c>
      <c r="B685" s="59">
        <v>0</v>
      </c>
      <c r="C685" s="59">
        <v>0</v>
      </c>
      <c r="D685" s="59">
        <v>25150.015636899992</v>
      </c>
      <c r="E685" s="59">
        <v>34163.588339951668</v>
      </c>
      <c r="F685" s="59">
        <v>16904.948098500001</v>
      </c>
      <c r="G685" s="59">
        <v>16912.351604612402</v>
      </c>
      <c r="H685" s="91">
        <v>0.35839232997640735</v>
      </c>
      <c r="I685" s="91">
        <v>4.3794905901317627E-4</v>
      </c>
      <c r="J685" s="91">
        <v>0.21450443438548539</v>
      </c>
    </row>
    <row r="686" spans="1:10" x14ac:dyDescent="0.3">
      <c r="A686" s="90">
        <v>44501</v>
      </c>
      <c r="B686" s="59">
        <v>0</v>
      </c>
      <c r="C686" s="59">
        <v>0</v>
      </c>
      <c r="D686" s="59">
        <v>2586.2296305999998</v>
      </c>
      <c r="E686" s="59">
        <v>3513.1144937647573</v>
      </c>
      <c r="F686" s="59">
        <v>1738.371789</v>
      </c>
      <c r="G686" s="59">
        <v>1739.1331072892076</v>
      </c>
      <c r="H686" s="91">
        <v>0.35839232997640735</v>
      </c>
      <c r="I686" s="91">
        <v>4.3794905901317627E-4</v>
      </c>
      <c r="J686" s="91">
        <v>0.21450443438548539</v>
      </c>
    </row>
    <row r="687" spans="1:10" x14ac:dyDescent="0.3">
      <c r="A687" s="90">
        <v>44531</v>
      </c>
      <c r="B687" s="59">
        <v>0</v>
      </c>
      <c r="C687" s="59">
        <v>0</v>
      </c>
      <c r="D687" s="59">
        <v>2348.3985161999999</v>
      </c>
      <c r="E687" s="59">
        <v>3190.0465321340557</v>
      </c>
      <c r="F687" s="59">
        <v>1578.5101530000002</v>
      </c>
      <c r="G687" s="59">
        <v>1579.201460036149</v>
      </c>
      <c r="H687" s="91">
        <v>0.35839232997640735</v>
      </c>
      <c r="I687" s="91">
        <v>4.3794905901295422E-4</v>
      </c>
      <c r="J687" s="91">
        <v>0.21450443438548539</v>
      </c>
    </row>
    <row r="688" spans="1:10" x14ac:dyDescent="0.3">
      <c r="A688" s="90">
        <v>44562</v>
      </c>
      <c r="B688" s="59">
        <v>0</v>
      </c>
      <c r="C688" s="59">
        <v>0</v>
      </c>
      <c r="D688" s="59">
        <v>2328.4445151</v>
      </c>
      <c r="E688" s="59">
        <v>3162.9411700874748</v>
      </c>
      <c r="F688" s="59">
        <v>1565.0977815000001</v>
      </c>
      <c r="G688" s="59">
        <v>1565.7832146006717</v>
      </c>
      <c r="H688" s="91">
        <v>0.35839232997640735</v>
      </c>
      <c r="I688" s="91">
        <v>4.3794905901317627E-4</v>
      </c>
      <c r="J688" s="91">
        <v>0.21450443438548539</v>
      </c>
    </row>
    <row r="689" spans="1:10" x14ac:dyDescent="0.3">
      <c r="A689" s="90">
        <v>44593</v>
      </c>
      <c r="B689" s="59">
        <v>0</v>
      </c>
      <c r="C689" s="59">
        <v>0</v>
      </c>
      <c r="D689" s="59">
        <v>2128.3532885999998</v>
      </c>
      <c r="E689" s="59">
        <v>2891.1387827143026</v>
      </c>
      <c r="F689" s="59">
        <v>1430.6035590000001</v>
      </c>
      <c r="G689" s="59">
        <v>1431.2300904824849</v>
      </c>
      <c r="H689" s="91">
        <v>0.35839232997640735</v>
      </c>
      <c r="I689" s="91">
        <v>4.3794905901295422E-4</v>
      </c>
      <c r="J689" s="91">
        <v>0.21450443438548539</v>
      </c>
    </row>
    <row r="690" spans="1:10" x14ac:dyDescent="0.3">
      <c r="A690" s="90">
        <v>44621</v>
      </c>
      <c r="B690" s="59">
        <v>0</v>
      </c>
      <c r="C690" s="59">
        <v>0</v>
      </c>
      <c r="D690" s="59">
        <v>2082.7126451999998</v>
      </c>
      <c r="E690" s="59">
        <v>2829.1408827845544</v>
      </c>
      <c r="F690" s="59">
        <v>1399.925538</v>
      </c>
      <c r="G690" s="59">
        <v>1400.5386340720554</v>
      </c>
      <c r="H690" s="91">
        <v>0.35839232997640735</v>
      </c>
      <c r="I690" s="91">
        <v>4.3794905901295422E-4</v>
      </c>
      <c r="J690" s="91">
        <v>0.21450443438548517</v>
      </c>
    </row>
    <row r="691" spans="1:10" x14ac:dyDescent="0.3">
      <c r="A691" s="90">
        <v>44652</v>
      </c>
      <c r="B691" s="59">
        <v>0</v>
      </c>
      <c r="C691" s="59">
        <v>0</v>
      </c>
      <c r="D691" s="59">
        <v>2284.8984906000001</v>
      </c>
      <c r="E691" s="59">
        <v>3103.78858440571</v>
      </c>
      <c r="F691" s="59">
        <v>1535.8276890000002</v>
      </c>
      <c r="G691" s="59">
        <v>1536.5003032912036</v>
      </c>
      <c r="H691" s="91">
        <v>0.35839232997640713</v>
      </c>
      <c r="I691" s="91">
        <v>4.3794905901295422E-4</v>
      </c>
      <c r="J691" s="91">
        <v>0.21450443438548517</v>
      </c>
    </row>
    <row r="692" spans="1:10" x14ac:dyDescent="0.3">
      <c r="A692" s="90">
        <v>44682</v>
      </c>
      <c r="B692" s="59">
        <v>0</v>
      </c>
      <c r="C692" s="59">
        <v>0</v>
      </c>
      <c r="D692" s="59">
        <v>2267.9210531999997</v>
      </c>
      <c r="E692" s="59">
        <v>3080.7265636588954</v>
      </c>
      <c r="F692" s="59">
        <v>1524.416058</v>
      </c>
      <c r="G692" s="59">
        <v>1525.0836745781455</v>
      </c>
      <c r="H692" s="91">
        <v>0.35839232997640735</v>
      </c>
      <c r="I692" s="91">
        <v>4.3794905901295422E-4</v>
      </c>
      <c r="J692" s="91">
        <v>0.21450443438548539</v>
      </c>
    </row>
    <row r="693" spans="1:10" x14ac:dyDescent="0.3">
      <c r="A693" s="90">
        <v>44713</v>
      </c>
      <c r="B693" s="59">
        <v>0</v>
      </c>
      <c r="C693" s="59">
        <v>0</v>
      </c>
      <c r="D693" s="59">
        <v>2032.7725209</v>
      </c>
      <c r="E693" s="59">
        <v>2761.3026009773666</v>
      </c>
      <c r="F693" s="59">
        <v>1366.3575585000001</v>
      </c>
      <c r="G693" s="59">
        <v>1366.9559535070207</v>
      </c>
      <c r="H693" s="91">
        <v>0.35839232997640758</v>
      </c>
      <c r="I693" s="91">
        <v>4.3794905901317627E-4</v>
      </c>
      <c r="J693" s="91">
        <v>0.21450443438548561</v>
      </c>
    </row>
    <row r="694" spans="1:10" x14ac:dyDescent="0.3">
      <c r="A694" s="90">
        <v>44743</v>
      </c>
      <c r="B694" s="59">
        <v>0</v>
      </c>
      <c r="C694" s="59">
        <v>0</v>
      </c>
      <c r="D694" s="59">
        <v>2025.9374487000002</v>
      </c>
      <c r="E694" s="59">
        <v>2752.0178913260515</v>
      </c>
      <c r="F694" s="59">
        <v>1361.7632655000002</v>
      </c>
      <c r="G694" s="59">
        <v>1362.3596484407244</v>
      </c>
      <c r="H694" s="91">
        <v>0.35839232997640735</v>
      </c>
      <c r="I694" s="91">
        <v>4.3794905901295422E-4</v>
      </c>
      <c r="J694" s="91">
        <v>0.21450443438548539</v>
      </c>
    </row>
    <row r="695" spans="1:10" x14ac:dyDescent="0.3">
      <c r="A695" s="90">
        <v>44774</v>
      </c>
      <c r="B695" s="59">
        <v>0</v>
      </c>
      <c r="C695" s="59">
        <v>0</v>
      </c>
      <c r="D695" s="59">
        <v>1574.4919541999998</v>
      </c>
      <c r="E695" s="59">
        <v>2138.7777941948443</v>
      </c>
      <c r="F695" s="59">
        <v>1058.3176229999999</v>
      </c>
      <c r="G695" s="59">
        <v>1058.7811122071298</v>
      </c>
      <c r="H695" s="91">
        <v>0.35839232997640713</v>
      </c>
      <c r="I695" s="91">
        <v>4.3794905901317627E-4</v>
      </c>
      <c r="J695" s="91">
        <v>0.21450443438548517</v>
      </c>
    </row>
    <row r="696" spans="1:10" x14ac:dyDescent="0.3">
      <c r="A696" s="90">
        <v>44805</v>
      </c>
      <c r="B696" s="59">
        <v>0</v>
      </c>
      <c r="C696" s="59">
        <v>0</v>
      </c>
      <c r="D696" s="59">
        <v>1744.9277867999999</v>
      </c>
      <c r="E696" s="59">
        <v>2370.2965219518273</v>
      </c>
      <c r="F696" s="59">
        <v>1172.8785420000002</v>
      </c>
      <c r="G696" s="59">
        <v>1173.3922030538056</v>
      </c>
      <c r="H696" s="91">
        <v>0.35839232997640713</v>
      </c>
      <c r="I696" s="91">
        <v>4.3794905901295422E-4</v>
      </c>
      <c r="J696" s="91">
        <v>0.21450443438548494</v>
      </c>
    </row>
    <row r="697" spans="1:10" x14ac:dyDescent="0.3">
      <c r="A697" s="90">
        <v>44835</v>
      </c>
      <c r="B697" s="59">
        <v>0</v>
      </c>
      <c r="C697" s="59">
        <v>0</v>
      </c>
      <c r="D697" s="59">
        <v>1744.9277867999999</v>
      </c>
      <c r="E697" s="59">
        <v>2370.2965219518273</v>
      </c>
      <c r="F697" s="59">
        <v>1172.8785420000002</v>
      </c>
      <c r="G697" s="59">
        <v>1173.3922030538056</v>
      </c>
      <c r="H697" s="91">
        <v>0.35839232997640713</v>
      </c>
      <c r="I697" s="91">
        <v>4.3794905901295422E-4</v>
      </c>
      <c r="J697" s="91">
        <v>0.21450443438548494</v>
      </c>
    </row>
    <row r="698" spans="1:10" x14ac:dyDescent="0.3">
      <c r="A698" s="86" t="s">
        <v>25</v>
      </c>
      <c r="B698" s="59">
        <v>0</v>
      </c>
      <c r="C698" s="59">
        <v>0</v>
      </c>
      <c r="D698" s="59">
        <v>5197220.1955300001</v>
      </c>
      <c r="E698" s="59">
        <v>7059864.0508064367</v>
      </c>
      <c r="F698" s="59">
        <v>3493386.9994500009</v>
      </c>
      <c r="G698" s="59">
        <v>3494916.9249991775</v>
      </c>
      <c r="H698" s="91">
        <v>0.35839232997640735</v>
      </c>
      <c r="I698" s="91">
        <v>4.3794905901295422E-4</v>
      </c>
      <c r="J698" s="91">
        <v>0.21450443438548539</v>
      </c>
    </row>
    <row r="699" spans="1:10" x14ac:dyDescent="0.3">
      <c r="A699" s="87" t="s">
        <v>25</v>
      </c>
      <c r="B699" s="59">
        <v>0</v>
      </c>
      <c r="C699" s="59">
        <v>0</v>
      </c>
      <c r="D699" s="59">
        <v>5197220.1955300001</v>
      </c>
      <c r="E699" s="59">
        <v>7059864.0508064367</v>
      </c>
      <c r="F699" s="59">
        <v>3493386.9994500009</v>
      </c>
      <c r="G699" s="59">
        <v>3494916.9249991775</v>
      </c>
      <c r="H699" s="91">
        <v>0.35839232997640735</v>
      </c>
      <c r="I699" s="91">
        <v>4.3794905901295422E-4</v>
      </c>
      <c r="J699" s="91">
        <v>0.21450443438548539</v>
      </c>
    </row>
    <row r="700" spans="1:10" x14ac:dyDescent="0.3">
      <c r="A700" s="88" t="s">
        <v>25</v>
      </c>
      <c r="B700" s="59">
        <v>0</v>
      </c>
      <c r="C700" s="59">
        <v>0</v>
      </c>
      <c r="D700" s="59">
        <v>5197220.1955300001</v>
      </c>
      <c r="E700" s="59">
        <v>7059864.0508064367</v>
      </c>
      <c r="F700" s="59">
        <v>3493386.9994500009</v>
      </c>
      <c r="G700" s="59">
        <v>3494916.9249991775</v>
      </c>
      <c r="H700" s="91">
        <v>0.35839232997640735</v>
      </c>
      <c r="I700" s="91">
        <v>4.3794905901295422E-4</v>
      </c>
      <c r="J700" s="91">
        <v>0.21450443438548539</v>
      </c>
    </row>
    <row r="701" spans="1:10" x14ac:dyDescent="0.3">
      <c r="A701" s="89" t="s">
        <v>25</v>
      </c>
      <c r="B701" s="59">
        <v>0</v>
      </c>
      <c r="C701" s="59">
        <v>0</v>
      </c>
      <c r="D701" s="59">
        <v>5197220.1955300001</v>
      </c>
      <c r="E701" s="59">
        <v>7059864.0508064367</v>
      </c>
      <c r="F701" s="59">
        <v>3493386.9994500009</v>
      </c>
      <c r="G701" s="59">
        <v>3494916.9249991775</v>
      </c>
      <c r="H701" s="91">
        <v>0.35839232997640735</v>
      </c>
      <c r="I701" s="91">
        <v>4.3794905901295422E-4</v>
      </c>
      <c r="J701" s="91">
        <v>0.21450443438548539</v>
      </c>
    </row>
    <row r="702" spans="1:10" x14ac:dyDescent="0.3">
      <c r="A702" s="90">
        <v>44501</v>
      </c>
      <c r="B702" s="59">
        <v>0</v>
      </c>
      <c r="C702" s="59">
        <v>0</v>
      </c>
      <c r="D702" s="59">
        <v>465278.33098999999</v>
      </c>
      <c r="E702" s="59">
        <v>632030.5161210401</v>
      </c>
      <c r="F702" s="59">
        <v>312743.58435000002</v>
      </c>
      <c r="G702" s="59">
        <v>312880.55010847852</v>
      </c>
      <c r="H702" s="91">
        <v>0.35839232997640735</v>
      </c>
      <c r="I702" s="91">
        <v>4.3794905901317627E-4</v>
      </c>
      <c r="J702" s="91">
        <v>0.21450443438548517</v>
      </c>
    </row>
    <row r="703" spans="1:10" x14ac:dyDescent="0.3">
      <c r="A703" s="90">
        <v>44531</v>
      </c>
      <c r="B703" s="59">
        <v>0</v>
      </c>
      <c r="C703" s="59">
        <v>0</v>
      </c>
      <c r="D703" s="59">
        <v>428965.92419999995</v>
      </c>
      <c r="E703" s="59">
        <v>582704.02125452086</v>
      </c>
      <c r="F703" s="59">
        <v>288335.67300000001</v>
      </c>
      <c r="G703" s="59">
        <v>288461.94933667028</v>
      </c>
      <c r="H703" s="91">
        <v>0.35839232997640735</v>
      </c>
      <c r="I703" s="91">
        <v>4.3794905901317627E-4</v>
      </c>
      <c r="J703" s="91">
        <v>0.21450443438548539</v>
      </c>
    </row>
    <row r="704" spans="1:10" x14ac:dyDescent="0.3">
      <c r="A704" s="90">
        <v>44562</v>
      </c>
      <c r="B704" s="59">
        <v>0</v>
      </c>
      <c r="C704" s="59">
        <v>0</v>
      </c>
      <c r="D704" s="59">
        <v>395806.47007000004</v>
      </c>
      <c r="E704" s="59">
        <v>537660.47309812449</v>
      </c>
      <c r="F704" s="59">
        <v>266047.06455000001</v>
      </c>
      <c r="G704" s="59">
        <v>266163.5796115729</v>
      </c>
      <c r="H704" s="91">
        <v>0.35839232997640735</v>
      </c>
      <c r="I704" s="91">
        <v>4.3794905901317627E-4</v>
      </c>
      <c r="J704" s="91">
        <v>0.21450443438548539</v>
      </c>
    </row>
    <row r="705" spans="1:10" x14ac:dyDescent="0.3">
      <c r="A705" s="90">
        <v>44593</v>
      </c>
      <c r="B705" s="59">
        <v>0</v>
      </c>
      <c r="C705" s="59">
        <v>0</v>
      </c>
      <c r="D705" s="59">
        <v>414363.05635999999</v>
      </c>
      <c r="E705" s="59">
        <v>562867.5975850058</v>
      </c>
      <c r="F705" s="59">
        <v>278520.14340000006</v>
      </c>
      <c r="G705" s="59">
        <v>278642.12103471824</v>
      </c>
      <c r="H705" s="91">
        <v>0.35839232997640735</v>
      </c>
      <c r="I705" s="91">
        <v>4.3794905901295422E-4</v>
      </c>
      <c r="J705" s="91">
        <v>0.21450443438548539</v>
      </c>
    </row>
    <row r="706" spans="1:10" x14ac:dyDescent="0.3">
      <c r="A706" s="90">
        <v>44621</v>
      </c>
      <c r="B706" s="59">
        <v>0</v>
      </c>
      <c r="C706" s="59">
        <v>0</v>
      </c>
      <c r="D706" s="59">
        <v>376057.58794999996</v>
      </c>
      <c r="E706" s="59">
        <v>510833.74310070818</v>
      </c>
      <c r="F706" s="59">
        <v>252772.56675</v>
      </c>
      <c r="G706" s="59">
        <v>252883.2682577525</v>
      </c>
      <c r="H706" s="91">
        <v>0.35839232997640735</v>
      </c>
      <c r="I706" s="91">
        <v>4.3794905901317627E-4</v>
      </c>
      <c r="J706" s="91">
        <v>0.21450443438548517</v>
      </c>
    </row>
    <row r="707" spans="1:10" x14ac:dyDescent="0.3">
      <c r="A707" s="90">
        <v>44652</v>
      </c>
      <c r="B707" s="59">
        <v>0</v>
      </c>
      <c r="C707" s="59">
        <v>0</v>
      </c>
      <c r="D707" s="59">
        <v>402278.07410999999</v>
      </c>
      <c r="E707" s="59">
        <v>546451.45038870478</v>
      </c>
      <c r="F707" s="59">
        <v>270397.04715</v>
      </c>
      <c r="G707" s="59">
        <v>270515.46728235926</v>
      </c>
      <c r="H707" s="91">
        <v>0.35839232997640735</v>
      </c>
      <c r="I707" s="91">
        <v>4.3794905901317627E-4</v>
      </c>
      <c r="J707" s="91">
        <v>0.21450443438548539</v>
      </c>
    </row>
    <row r="708" spans="1:10" x14ac:dyDescent="0.3">
      <c r="A708" s="90">
        <v>44682</v>
      </c>
      <c r="B708" s="59">
        <v>0</v>
      </c>
      <c r="C708" s="59">
        <v>0</v>
      </c>
      <c r="D708" s="59">
        <v>433794.57197999995</v>
      </c>
      <c r="E708" s="59">
        <v>589263.21936303051</v>
      </c>
      <c r="F708" s="59">
        <v>291581.3187</v>
      </c>
      <c r="G708" s="59">
        <v>291709.01646415045</v>
      </c>
      <c r="H708" s="91">
        <v>0.35839232997640735</v>
      </c>
      <c r="I708" s="91">
        <v>4.3794905901295422E-4</v>
      </c>
      <c r="J708" s="91">
        <v>0.21450443438548539</v>
      </c>
    </row>
    <row r="709" spans="1:10" x14ac:dyDescent="0.3">
      <c r="A709" s="90">
        <v>44713</v>
      </c>
      <c r="B709" s="59">
        <v>0</v>
      </c>
      <c r="C709" s="59">
        <v>0</v>
      </c>
      <c r="D709" s="59">
        <v>396251.78538000002</v>
      </c>
      <c r="E709" s="59">
        <v>538265.38599964953</v>
      </c>
      <c r="F709" s="59">
        <v>266346.3897</v>
      </c>
      <c r="G709" s="59">
        <v>266463.03585074068</v>
      </c>
      <c r="H709" s="91">
        <v>0.35839232997640735</v>
      </c>
      <c r="I709" s="91">
        <v>4.3794905901317627E-4</v>
      </c>
      <c r="J709" s="91">
        <v>0.21450443438548561</v>
      </c>
    </row>
    <row r="710" spans="1:10" x14ac:dyDescent="0.3">
      <c r="A710" s="90">
        <v>44743</v>
      </c>
      <c r="B710" s="59">
        <v>0</v>
      </c>
      <c r="C710" s="59">
        <v>0</v>
      </c>
      <c r="D710" s="59">
        <v>386915.19702000002</v>
      </c>
      <c r="E710" s="59">
        <v>525582.63598327851</v>
      </c>
      <c r="F710" s="59">
        <v>260070.66630000001</v>
      </c>
      <c r="G710" s="59">
        <v>260184.56400358301</v>
      </c>
      <c r="H710" s="91">
        <v>0.35839232997640735</v>
      </c>
      <c r="I710" s="91">
        <v>4.3794905901317627E-4</v>
      </c>
      <c r="J710" s="91">
        <v>0.21450443438548539</v>
      </c>
    </row>
    <row r="711" spans="1:10" x14ac:dyDescent="0.3">
      <c r="A711" s="90">
        <v>44774</v>
      </c>
      <c r="B711" s="59">
        <v>0</v>
      </c>
      <c r="C711" s="59">
        <v>0</v>
      </c>
      <c r="D711" s="59">
        <v>450293.95521000004</v>
      </c>
      <c r="E711" s="59">
        <v>611675.85499200388</v>
      </c>
      <c r="F711" s="59">
        <v>302671.61865000002</v>
      </c>
      <c r="G711" s="59">
        <v>302804.17340057774</v>
      </c>
      <c r="H711" s="91">
        <v>0.35839232997640713</v>
      </c>
      <c r="I711" s="91">
        <v>4.3794905901295422E-4</v>
      </c>
      <c r="J711" s="91">
        <v>0.21450443438548517</v>
      </c>
    </row>
    <row r="712" spans="1:10" x14ac:dyDescent="0.3">
      <c r="A712" s="90">
        <v>44805</v>
      </c>
      <c r="B712" s="59">
        <v>0</v>
      </c>
      <c r="C712" s="59">
        <v>0</v>
      </c>
      <c r="D712" s="59">
        <v>523607.62112999998</v>
      </c>
      <c r="E712" s="59">
        <v>711264.57646018453</v>
      </c>
      <c r="F712" s="59">
        <v>351950.46345000004</v>
      </c>
      <c r="G712" s="59">
        <v>352104.59982428711</v>
      </c>
      <c r="H712" s="91">
        <v>0.35839232997640713</v>
      </c>
      <c r="I712" s="91">
        <v>4.3794905901295422E-4</v>
      </c>
      <c r="J712" s="91">
        <v>0.21450443438548494</v>
      </c>
    </row>
    <row r="713" spans="1:10" x14ac:dyDescent="0.3">
      <c r="A713" s="90">
        <v>44835</v>
      </c>
      <c r="B713" s="59">
        <v>0</v>
      </c>
      <c r="C713" s="59">
        <v>0</v>
      </c>
      <c r="D713" s="59">
        <v>523607.62112999998</v>
      </c>
      <c r="E713" s="59">
        <v>711264.57646018453</v>
      </c>
      <c r="F713" s="59">
        <v>351950.46345000004</v>
      </c>
      <c r="G713" s="59">
        <v>352104.59982428711</v>
      </c>
      <c r="H713" s="91">
        <v>0.35839232997640713</v>
      </c>
      <c r="I713" s="91">
        <v>4.3794905901295422E-4</v>
      </c>
      <c r="J713" s="91">
        <v>0.21450443438548494</v>
      </c>
    </row>
    <row r="714" spans="1:10" x14ac:dyDescent="0.3">
      <c r="A714" s="82" t="s">
        <v>37</v>
      </c>
      <c r="B714" s="59">
        <v>0</v>
      </c>
      <c r="C714" s="59">
        <v>0</v>
      </c>
      <c r="D714" s="59">
        <v>9208232.8355052005</v>
      </c>
      <c r="E714" s="59">
        <v>11710597.033959445</v>
      </c>
      <c r="F714" s="59">
        <v>6190889.4312032014</v>
      </c>
      <c r="G714" s="59">
        <v>5809487.8318956718</v>
      </c>
      <c r="H714" s="91">
        <v>0.27175292405787155</v>
      </c>
      <c r="I714" s="91">
        <v>-6.1606915055726907E-2</v>
      </c>
      <c r="J714" s="91">
        <v>0.13773269426739021</v>
      </c>
    </row>
    <row r="715" spans="1:10" x14ac:dyDescent="0.3">
      <c r="A715" s="83" t="s">
        <v>33</v>
      </c>
      <c r="B715" s="59">
        <v>0</v>
      </c>
      <c r="C715" s="59">
        <v>0</v>
      </c>
      <c r="D715" s="59">
        <v>61851.547530000003</v>
      </c>
      <c r="E715" s="59">
        <v>79114.809310292549</v>
      </c>
      <c r="F715" s="59">
        <v>42946.453349999996</v>
      </c>
      <c r="G715" s="59">
        <v>40230.567390824246</v>
      </c>
      <c r="H715" s="91">
        <v>0.27910800084540011</v>
      </c>
      <c r="I715" s="91">
        <v>-6.3238888134536708E-2</v>
      </c>
      <c r="J715" s="91">
        <v>0.13881348593447318</v>
      </c>
    </row>
    <row r="716" spans="1:10" x14ac:dyDescent="0.3">
      <c r="A716" s="84" t="s">
        <v>26</v>
      </c>
      <c r="B716" s="59">
        <v>0</v>
      </c>
      <c r="C716" s="59">
        <v>0</v>
      </c>
      <c r="D716" s="59">
        <v>61851.547530000003</v>
      </c>
      <c r="E716" s="59">
        <v>79114.809310292549</v>
      </c>
      <c r="F716" s="59">
        <v>42946.453349999996</v>
      </c>
      <c r="G716" s="59">
        <v>40230.567390824246</v>
      </c>
      <c r="H716" s="91">
        <v>0.27910800084540011</v>
      </c>
      <c r="I716" s="91">
        <v>-6.3238888134536708E-2</v>
      </c>
      <c r="J716" s="91">
        <v>0.13881348593447318</v>
      </c>
    </row>
    <row r="717" spans="1:10" x14ac:dyDescent="0.3">
      <c r="A717" s="85" t="s">
        <v>41</v>
      </c>
      <c r="B717" s="59">
        <v>0</v>
      </c>
      <c r="C717" s="59">
        <v>0</v>
      </c>
      <c r="D717" s="59">
        <v>37331.929099999987</v>
      </c>
      <c r="E717" s="59">
        <v>47476.813540954274</v>
      </c>
      <c r="F717" s="59">
        <v>25067.983959999998</v>
      </c>
      <c r="G717" s="59">
        <v>23478.873965402861</v>
      </c>
      <c r="H717" s="91">
        <v>0.27174819746869927</v>
      </c>
      <c r="I717" s="91">
        <v>-6.3392014177638734E-2</v>
      </c>
      <c r="J717" s="91">
        <v>0.13711196100754863</v>
      </c>
    </row>
    <row r="718" spans="1:10" x14ac:dyDescent="0.3">
      <c r="A718" s="86" t="s">
        <v>25</v>
      </c>
      <c r="B718" s="59">
        <v>0</v>
      </c>
      <c r="C718" s="59">
        <v>0</v>
      </c>
      <c r="D718" s="59">
        <v>37331.929099999987</v>
      </c>
      <c r="E718" s="59">
        <v>47476.813540954274</v>
      </c>
      <c r="F718" s="59">
        <v>25067.983959999998</v>
      </c>
      <c r="G718" s="59">
        <v>23478.873965402861</v>
      </c>
      <c r="H718" s="91">
        <v>0.27174819746869927</v>
      </c>
      <c r="I718" s="91">
        <v>-6.3392014177638734E-2</v>
      </c>
      <c r="J718" s="91">
        <v>0.13711196100754863</v>
      </c>
    </row>
    <row r="719" spans="1:10" x14ac:dyDescent="0.3">
      <c r="A719" s="87" t="s">
        <v>25</v>
      </c>
      <c r="B719" s="59">
        <v>0</v>
      </c>
      <c r="C719" s="59">
        <v>0</v>
      </c>
      <c r="D719" s="59">
        <v>37331.929099999987</v>
      </c>
      <c r="E719" s="59">
        <v>47476.813540954274</v>
      </c>
      <c r="F719" s="59">
        <v>25067.983959999998</v>
      </c>
      <c r="G719" s="59">
        <v>23478.873965402861</v>
      </c>
      <c r="H719" s="91">
        <v>0.27174819746869927</v>
      </c>
      <c r="I719" s="91">
        <v>-6.3392014177638734E-2</v>
      </c>
      <c r="J719" s="91">
        <v>0.13711196100754863</v>
      </c>
    </row>
    <row r="720" spans="1:10" x14ac:dyDescent="0.3">
      <c r="A720" s="88" t="s">
        <v>25</v>
      </c>
      <c r="B720" s="59">
        <v>0</v>
      </c>
      <c r="C720" s="59">
        <v>0</v>
      </c>
      <c r="D720" s="59">
        <v>37331.929099999987</v>
      </c>
      <c r="E720" s="59">
        <v>47476.813540954274</v>
      </c>
      <c r="F720" s="59">
        <v>25067.983959999998</v>
      </c>
      <c r="G720" s="59">
        <v>23478.873965402861</v>
      </c>
      <c r="H720" s="91">
        <v>0.27174819746869927</v>
      </c>
      <c r="I720" s="91">
        <v>-6.3392014177638734E-2</v>
      </c>
      <c r="J720" s="91">
        <v>0.13711196100754863</v>
      </c>
    </row>
    <row r="721" spans="1:10" x14ac:dyDescent="0.3">
      <c r="A721" s="89" t="s">
        <v>35</v>
      </c>
      <c r="B721" s="59">
        <v>0</v>
      </c>
      <c r="C721" s="59">
        <v>0</v>
      </c>
      <c r="D721" s="59">
        <v>24913.715189999999</v>
      </c>
      <c r="E721" s="59">
        <v>32813.238029922111</v>
      </c>
      <c r="F721" s="59">
        <v>20460.412829999997</v>
      </c>
      <c r="G721" s="59">
        <v>19176.757313973867</v>
      </c>
      <c r="H721" s="91">
        <v>0.31707526475589098</v>
      </c>
      <c r="I721" s="91">
        <v>-6.273849539066878E-2</v>
      </c>
      <c r="J721" s="91">
        <v>0.14580704054477578</v>
      </c>
    </row>
    <row r="722" spans="1:10" x14ac:dyDescent="0.3">
      <c r="A722" s="90">
        <v>44501</v>
      </c>
      <c r="B722" s="59">
        <v>0</v>
      </c>
      <c r="C722" s="59">
        <v>0</v>
      </c>
      <c r="D722" s="59">
        <v>2302.5062899999998</v>
      </c>
      <c r="E722" s="59">
        <v>3032.5740815038539</v>
      </c>
      <c r="F722" s="59">
        <v>1890.93553</v>
      </c>
      <c r="G722" s="59">
        <v>1772.3010799670431</v>
      </c>
      <c r="H722" s="91">
        <v>0.31707526475589098</v>
      </c>
      <c r="I722" s="91">
        <v>-6.273849539066878E-2</v>
      </c>
      <c r="J722" s="91">
        <v>0.14580704054477556</v>
      </c>
    </row>
    <row r="723" spans="1:10" x14ac:dyDescent="0.3">
      <c r="A723" s="90">
        <v>44531</v>
      </c>
      <c r="B723" s="59">
        <v>0</v>
      </c>
      <c r="C723" s="59">
        <v>0</v>
      </c>
      <c r="D723" s="59">
        <v>2033.50119</v>
      </c>
      <c r="E723" s="59">
        <v>2678.2741182006689</v>
      </c>
      <c r="F723" s="59">
        <v>1670.0148300000001</v>
      </c>
      <c r="G723" s="59">
        <v>1565.2406122856964</v>
      </c>
      <c r="H723" s="91">
        <v>0.31707526475589076</v>
      </c>
      <c r="I723" s="91">
        <v>-6.2738495390668891E-2</v>
      </c>
      <c r="J723" s="91">
        <v>0.14580704054477556</v>
      </c>
    </row>
    <row r="724" spans="1:10" x14ac:dyDescent="0.3">
      <c r="A724" s="90">
        <v>44562</v>
      </c>
      <c r="B724" s="59">
        <v>0</v>
      </c>
      <c r="C724" s="59">
        <v>0</v>
      </c>
      <c r="D724" s="59">
        <v>2289.2038400000001</v>
      </c>
      <c r="E724" s="59">
        <v>3015.053753648202</v>
      </c>
      <c r="F724" s="59">
        <v>1880.01088</v>
      </c>
      <c r="G724" s="59">
        <v>1762.0618260707129</v>
      </c>
      <c r="H724" s="91">
        <v>0.31707526475589076</v>
      </c>
      <c r="I724" s="91">
        <v>-6.273849539066878E-2</v>
      </c>
      <c r="J724" s="91">
        <v>0.14580704054477556</v>
      </c>
    </row>
    <row r="725" spans="1:10" x14ac:dyDescent="0.3">
      <c r="A725" s="90">
        <v>44593</v>
      </c>
      <c r="B725" s="59">
        <v>0</v>
      </c>
      <c r="C725" s="59">
        <v>0</v>
      </c>
      <c r="D725" s="59">
        <v>2109.7685700000002</v>
      </c>
      <c r="E725" s="59">
        <v>2778.723997906407</v>
      </c>
      <c r="F725" s="59">
        <v>1732.64949</v>
      </c>
      <c r="G725" s="59">
        <v>1623.9456679579903</v>
      </c>
      <c r="H725" s="91">
        <v>0.31707526475589054</v>
      </c>
      <c r="I725" s="91">
        <v>-6.2738495390668891E-2</v>
      </c>
      <c r="J725" s="91">
        <v>0.14580704054477556</v>
      </c>
    </row>
    <row r="726" spans="1:10" x14ac:dyDescent="0.3">
      <c r="A726" s="90">
        <v>44621</v>
      </c>
      <c r="B726" s="59">
        <v>0</v>
      </c>
      <c r="C726" s="59">
        <v>0</v>
      </c>
      <c r="D726" s="59">
        <v>1856.13519</v>
      </c>
      <c r="E726" s="59">
        <v>2444.6697467919757</v>
      </c>
      <c r="F726" s="59">
        <v>1524.35283</v>
      </c>
      <c r="G726" s="59">
        <v>1428.717227001292</v>
      </c>
      <c r="H726" s="91">
        <v>0.31707526475589076</v>
      </c>
      <c r="I726" s="91">
        <v>-6.2738495390668891E-2</v>
      </c>
      <c r="J726" s="91">
        <v>0.14580704054477556</v>
      </c>
    </row>
    <row r="727" spans="1:10" x14ac:dyDescent="0.3">
      <c r="A727" s="90">
        <v>44652</v>
      </c>
      <c r="B727" s="59">
        <v>0</v>
      </c>
      <c r="C727" s="59">
        <v>0</v>
      </c>
      <c r="D727" s="59">
        <v>2279.7443200000002</v>
      </c>
      <c r="E727" s="59">
        <v>3002.5948538397383</v>
      </c>
      <c r="F727" s="59">
        <v>1872.24224</v>
      </c>
      <c r="G727" s="59">
        <v>1754.7805788555445</v>
      </c>
      <c r="H727" s="91">
        <v>0.31707526475589076</v>
      </c>
      <c r="I727" s="91">
        <v>-6.2738495390668891E-2</v>
      </c>
      <c r="J727" s="91">
        <v>0.14580704054477556</v>
      </c>
    </row>
    <row r="728" spans="1:10" x14ac:dyDescent="0.3">
      <c r="A728" s="90">
        <v>44682</v>
      </c>
      <c r="B728" s="59">
        <v>0</v>
      </c>
      <c r="C728" s="59">
        <v>0</v>
      </c>
      <c r="D728" s="59">
        <v>2614.9660600000002</v>
      </c>
      <c r="E728" s="59">
        <v>3444.1071158021687</v>
      </c>
      <c r="F728" s="59">
        <v>2147.54342</v>
      </c>
      <c r="G728" s="59">
        <v>2012.8097770430691</v>
      </c>
      <c r="H728" s="91">
        <v>0.31707526475589076</v>
      </c>
      <c r="I728" s="91">
        <v>-6.2738495390668669E-2</v>
      </c>
      <c r="J728" s="91">
        <v>0.14580704054477556</v>
      </c>
    </row>
    <row r="729" spans="1:10" x14ac:dyDescent="0.3">
      <c r="A729" s="90">
        <v>44713</v>
      </c>
      <c r="B729" s="59">
        <v>0</v>
      </c>
      <c r="C729" s="59">
        <v>0</v>
      </c>
      <c r="D729" s="59">
        <v>1786.37123</v>
      </c>
      <c r="E729" s="59">
        <v>2352.7853607045563</v>
      </c>
      <c r="F729" s="59">
        <v>1467.0591100000001</v>
      </c>
      <c r="G729" s="59">
        <v>1375.0180287894264</v>
      </c>
      <c r="H729" s="91">
        <v>0.31707526475589076</v>
      </c>
      <c r="I729" s="91">
        <v>-6.2738495390668891E-2</v>
      </c>
      <c r="J729" s="91">
        <v>0.14580704054477556</v>
      </c>
    </row>
    <row r="730" spans="1:10" x14ac:dyDescent="0.3">
      <c r="A730" s="90">
        <v>44743</v>
      </c>
      <c r="B730" s="59">
        <v>0</v>
      </c>
      <c r="C730" s="59">
        <v>0</v>
      </c>
      <c r="D730" s="59">
        <v>1870.91569</v>
      </c>
      <c r="E730" s="59">
        <v>2464.1367777426999</v>
      </c>
      <c r="F730" s="59">
        <v>1536.4913300000001</v>
      </c>
      <c r="G730" s="59">
        <v>1440.0941757749924</v>
      </c>
      <c r="H730" s="91">
        <v>0.31707526475589076</v>
      </c>
      <c r="I730" s="91">
        <v>-6.273849539066878E-2</v>
      </c>
      <c r="J730" s="91">
        <v>0.14580704054477533</v>
      </c>
    </row>
    <row r="731" spans="1:10" x14ac:dyDescent="0.3">
      <c r="A731" s="90">
        <v>44774</v>
      </c>
      <c r="B731" s="59">
        <v>0</v>
      </c>
      <c r="C731" s="59">
        <v>0</v>
      </c>
      <c r="D731" s="59">
        <v>1655.7116100000001</v>
      </c>
      <c r="E731" s="59">
        <v>2180.696807100152</v>
      </c>
      <c r="F731" s="59">
        <v>1359.75477</v>
      </c>
      <c r="G731" s="59">
        <v>1274.4458016299152</v>
      </c>
      <c r="H731" s="91">
        <v>0.31707526475589054</v>
      </c>
      <c r="I731" s="91">
        <v>-6.273849539066878E-2</v>
      </c>
      <c r="J731" s="91">
        <v>0.14580704054477533</v>
      </c>
    </row>
    <row r="732" spans="1:10" x14ac:dyDescent="0.3">
      <c r="A732" s="90">
        <v>44805</v>
      </c>
      <c r="B732" s="59">
        <v>0</v>
      </c>
      <c r="C732" s="59">
        <v>0</v>
      </c>
      <c r="D732" s="59">
        <v>2057.4456</v>
      </c>
      <c r="E732" s="59">
        <v>2709.8107083408427</v>
      </c>
      <c r="F732" s="59">
        <v>1689.6792</v>
      </c>
      <c r="G732" s="59">
        <v>1583.6712692990911</v>
      </c>
      <c r="H732" s="91">
        <v>0.31707526475589076</v>
      </c>
      <c r="I732" s="91">
        <v>-6.273849539066878E-2</v>
      </c>
      <c r="J732" s="91">
        <v>0.14580704054477533</v>
      </c>
    </row>
    <row r="733" spans="1:10" x14ac:dyDescent="0.3">
      <c r="A733" s="90">
        <v>44835</v>
      </c>
      <c r="B733" s="59">
        <v>0</v>
      </c>
      <c r="C733" s="59">
        <v>0</v>
      </c>
      <c r="D733" s="59">
        <v>2057.4456</v>
      </c>
      <c r="E733" s="59">
        <v>2709.8107083408427</v>
      </c>
      <c r="F733" s="59">
        <v>1689.6792</v>
      </c>
      <c r="G733" s="59">
        <v>1583.6712692990911</v>
      </c>
      <c r="H733" s="91">
        <v>0.31707526475589076</v>
      </c>
      <c r="I733" s="91">
        <v>-6.273849539066878E-2</v>
      </c>
      <c r="J733" s="91">
        <v>0.14580704054477533</v>
      </c>
    </row>
    <row r="734" spans="1:10" x14ac:dyDescent="0.3">
      <c r="A734" s="89" t="s">
        <v>36</v>
      </c>
      <c r="B734" s="59">
        <v>0</v>
      </c>
      <c r="C734" s="59">
        <v>0</v>
      </c>
      <c r="D734" s="59">
        <v>4090.52531</v>
      </c>
      <c r="E734" s="59">
        <v>4919.1201063055232</v>
      </c>
      <c r="F734" s="59">
        <v>1483.0819300000001</v>
      </c>
      <c r="G734" s="59">
        <v>1390.0356011707108</v>
      </c>
      <c r="H734" s="91">
        <v>0.20256439784882385</v>
      </c>
      <c r="I734" s="91">
        <v>-6.2738495390668669E-2</v>
      </c>
      <c r="J734" s="91">
        <v>0.131969913882241</v>
      </c>
    </row>
    <row r="735" spans="1:10" x14ac:dyDescent="0.3">
      <c r="A735" s="90">
        <v>44501</v>
      </c>
      <c r="B735" s="59">
        <v>0</v>
      </c>
      <c r="C735" s="59">
        <v>0</v>
      </c>
      <c r="D735" s="59">
        <v>358.23065000000003</v>
      </c>
      <c r="E735" s="59">
        <v>430.79542590824281</v>
      </c>
      <c r="F735" s="59">
        <v>129.88195000000002</v>
      </c>
      <c r="G735" s="59">
        <v>121.73335187859394</v>
      </c>
      <c r="H735" s="91">
        <v>0.20256439784882385</v>
      </c>
      <c r="I735" s="91">
        <v>-6.2738495390668891E-2</v>
      </c>
      <c r="J735" s="91">
        <v>0.13196991388224077</v>
      </c>
    </row>
    <row r="736" spans="1:10" x14ac:dyDescent="0.3">
      <c r="A736" s="90">
        <v>44531</v>
      </c>
      <c r="B736" s="59">
        <v>0</v>
      </c>
      <c r="C736" s="59">
        <v>0</v>
      </c>
      <c r="D736" s="59">
        <v>316.04647999999997</v>
      </c>
      <c r="E736" s="59">
        <v>380.06624491344036</v>
      </c>
      <c r="F736" s="59">
        <v>114.58744</v>
      </c>
      <c r="G736" s="59">
        <v>107.39839642373146</v>
      </c>
      <c r="H736" s="91">
        <v>0.20256439784882407</v>
      </c>
      <c r="I736" s="91">
        <v>-6.2738495390668891E-2</v>
      </c>
      <c r="J736" s="91">
        <v>0.131969913882241</v>
      </c>
    </row>
    <row r="737" spans="1:10" x14ac:dyDescent="0.3">
      <c r="A737" s="90">
        <v>44562</v>
      </c>
      <c r="B737" s="59">
        <v>0</v>
      </c>
      <c r="C737" s="59">
        <v>0</v>
      </c>
      <c r="D737" s="59">
        <v>392.37973999999997</v>
      </c>
      <c r="E737" s="59">
        <v>471.86190576117804</v>
      </c>
      <c r="F737" s="59">
        <v>142.26321999999999</v>
      </c>
      <c r="G737" s="59">
        <v>133.33783962776829</v>
      </c>
      <c r="H737" s="91">
        <v>0.20256439784882385</v>
      </c>
      <c r="I737" s="91">
        <v>-6.273849539066878E-2</v>
      </c>
      <c r="J737" s="91">
        <v>0.131969913882241</v>
      </c>
    </row>
    <row r="738" spans="1:10" x14ac:dyDescent="0.3">
      <c r="A738" s="90">
        <v>44593</v>
      </c>
      <c r="B738" s="59">
        <v>0</v>
      </c>
      <c r="C738" s="59">
        <v>0</v>
      </c>
      <c r="D738" s="59">
        <v>384.34465999999998</v>
      </c>
      <c r="E738" s="59">
        <v>462.19920461931093</v>
      </c>
      <c r="F738" s="59">
        <v>139.34997999999999</v>
      </c>
      <c r="G738" s="59">
        <v>130.6073719220802</v>
      </c>
      <c r="H738" s="91">
        <v>0.20256439784882385</v>
      </c>
      <c r="I738" s="91">
        <v>-6.273849539066878E-2</v>
      </c>
      <c r="J738" s="91">
        <v>0.131969913882241</v>
      </c>
    </row>
    <row r="739" spans="1:10" x14ac:dyDescent="0.3">
      <c r="A739" s="90">
        <v>44621</v>
      </c>
      <c r="B739" s="59">
        <v>0</v>
      </c>
      <c r="C739" s="59">
        <v>0</v>
      </c>
      <c r="D739" s="59">
        <v>291.94123999999999</v>
      </c>
      <c r="E739" s="59">
        <v>351.07814148783899</v>
      </c>
      <c r="F739" s="59">
        <v>105.84772000000001</v>
      </c>
      <c r="G739" s="59">
        <v>99.206993306667201</v>
      </c>
      <c r="H739" s="91">
        <v>0.20256439784882385</v>
      </c>
      <c r="I739" s="91">
        <v>-6.2738495390668891E-2</v>
      </c>
      <c r="J739" s="91">
        <v>0.131969913882241</v>
      </c>
    </row>
    <row r="740" spans="1:10" x14ac:dyDescent="0.3">
      <c r="A740" s="90">
        <v>44652</v>
      </c>
      <c r="B740" s="59">
        <v>0</v>
      </c>
      <c r="C740" s="59">
        <v>0</v>
      </c>
      <c r="D740" s="59">
        <v>410.45867000000004</v>
      </c>
      <c r="E740" s="59">
        <v>493.60298333037912</v>
      </c>
      <c r="F740" s="59">
        <v>148.81801000000002</v>
      </c>
      <c r="G740" s="59">
        <v>139.4813919655665</v>
      </c>
      <c r="H740" s="91">
        <v>0.20256439784882385</v>
      </c>
      <c r="I740" s="91">
        <v>-6.2738495390668891E-2</v>
      </c>
      <c r="J740" s="91">
        <v>0.13196991388224077</v>
      </c>
    </row>
    <row r="741" spans="1:10" x14ac:dyDescent="0.3">
      <c r="A741" s="90">
        <v>44682</v>
      </c>
      <c r="B741" s="59">
        <v>0</v>
      </c>
      <c r="C741" s="59">
        <v>0</v>
      </c>
      <c r="D741" s="59">
        <v>378.98793999999998</v>
      </c>
      <c r="E741" s="59">
        <v>455.75740385806614</v>
      </c>
      <c r="F741" s="59">
        <v>137.40781999999999</v>
      </c>
      <c r="G741" s="59">
        <v>128.78706011828814</v>
      </c>
      <c r="H741" s="91">
        <v>0.20256439784882385</v>
      </c>
      <c r="I741" s="91">
        <v>-6.273849539066878E-2</v>
      </c>
      <c r="J741" s="91">
        <v>0.131969913882241</v>
      </c>
    </row>
    <row r="742" spans="1:10" x14ac:dyDescent="0.3">
      <c r="A742" s="90">
        <v>44713</v>
      </c>
      <c r="B742" s="59">
        <v>0</v>
      </c>
      <c r="C742" s="59">
        <v>0</v>
      </c>
      <c r="D742" s="59">
        <v>318.05525</v>
      </c>
      <c r="E742" s="59">
        <v>382.48192019890712</v>
      </c>
      <c r="F742" s="59">
        <v>115.31575000000001</v>
      </c>
      <c r="G742" s="59">
        <v>108.08101335015348</v>
      </c>
      <c r="H742" s="91">
        <v>0.20256439784882385</v>
      </c>
      <c r="I742" s="91">
        <v>-6.2738495390668891E-2</v>
      </c>
      <c r="J742" s="91">
        <v>0.131969913882241</v>
      </c>
    </row>
    <row r="743" spans="1:10" x14ac:dyDescent="0.3">
      <c r="A743" s="90">
        <v>44743</v>
      </c>
      <c r="B743" s="59">
        <v>0</v>
      </c>
      <c r="C743" s="59">
        <v>0</v>
      </c>
      <c r="D743" s="59">
        <v>312.02893999999998</v>
      </c>
      <c r="E743" s="59">
        <v>375.23489434250678</v>
      </c>
      <c r="F743" s="59">
        <v>113.13082</v>
      </c>
      <c r="G743" s="59">
        <v>106.03316257088743</v>
      </c>
      <c r="H743" s="91">
        <v>0.20256439784882385</v>
      </c>
      <c r="I743" s="91">
        <v>-6.2738495390668669E-2</v>
      </c>
      <c r="J743" s="91">
        <v>0.131969913882241</v>
      </c>
    </row>
    <row r="744" spans="1:10" x14ac:dyDescent="0.3">
      <c r="A744" s="90">
        <v>44774</v>
      </c>
      <c r="B744" s="59">
        <v>0</v>
      </c>
      <c r="C744" s="59">
        <v>0</v>
      </c>
      <c r="D744" s="59">
        <v>263.81846000000002</v>
      </c>
      <c r="E744" s="59">
        <v>317.25868749130404</v>
      </c>
      <c r="F744" s="59">
        <v>95.651380000000003</v>
      </c>
      <c r="G744" s="59">
        <v>89.650356336758904</v>
      </c>
      <c r="H744" s="91">
        <v>0.20256439784882385</v>
      </c>
      <c r="I744" s="91">
        <v>-6.2738495390668669E-2</v>
      </c>
      <c r="J744" s="91">
        <v>0.131969913882241</v>
      </c>
    </row>
    <row r="745" spans="1:10" x14ac:dyDescent="0.3">
      <c r="A745" s="90">
        <v>44805</v>
      </c>
      <c r="B745" s="59">
        <v>0</v>
      </c>
      <c r="C745" s="59">
        <v>0</v>
      </c>
      <c r="D745" s="59">
        <v>332.11664000000002</v>
      </c>
      <c r="E745" s="59">
        <v>399.39164719717462</v>
      </c>
      <c r="F745" s="59">
        <v>120.41392</v>
      </c>
      <c r="G745" s="59">
        <v>112.85933183510764</v>
      </c>
      <c r="H745" s="91">
        <v>0.20256439784882385</v>
      </c>
      <c r="I745" s="91">
        <v>-6.273849539066878E-2</v>
      </c>
      <c r="J745" s="91">
        <v>0.13196991388224077</v>
      </c>
    </row>
    <row r="746" spans="1:10" x14ac:dyDescent="0.3">
      <c r="A746" s="90">
        <v>44835</v>
      </c>
      <c r="B746" s="59">
        <v>0</v>
      </c>
      <c r="C746" s="59">
        <v>0</v>
      </c>
      <c r="D746" s="59">
        <v>332.11664000000002</v>
      </c>
      <c r="E746" s="59">
        <v>399.39164719717462</v>
      </c>
      <c r="F746" s="59">
        <v>120.41392</v>
      </c>
      <c r="G746" s="59">
        <v>112.85933183510764</v>
      </c>
      <c r="H746" s="91">
        <v>0.20256439784882385</v>
      </c>
      <c r="I746" s="91">
        <v>-6.273849539066878E-2</v>
      </c>
      <c r="J746" s="91">
        <v>0.13196991388224077</v>
      </c>
    </row>
    <row r="747" spans="1:10" x14ac:dyDescent="0.3">
      <c r="A747" s="89" t="s">
        <v>34</v>
      </c>
      <c r="B747" s="59">
        <v>0</v>
      </c>
      <c r="C747" s="59">
        <v>0</v>
      </c>
      <c r="D747" s="59">
        <v>8327.6885999999995</v>
      </c>
      <c r="E747" s="59">
        <v>9744.4554047266483</v>
      </c>
      <c r="F747" s="59">
        <v>3124.4891999999995</v>
      </c>
      <c r="G747" s="59">
        <v>2912.0810502582831</v>
      </c>
      <c r="H747" s="91">
        <v>0.17012725532588324</v>
      </c>
      <c r="I747" s="91">
        <v>-6.7981719937363461E-2</v>
      </c>
      <c r="J747" s="91">
        <v>0.10516415969239756</v>
      </c>
    </row>
    <row r="748" spans="1:10" x14ac:dyDescent="0.3">
      <c r="A748" s="90">
        <v>44501</v>
      </c>
      <c r="B748" s="59">
        <v>0</v>
      </c>
      <c r="C748" s="59">
        <v>0</v>
      </c>
      <c r="D748" s="59">
        <v>674.14621999999997</v>
      </c>
      <c r="E748" s="59">
        <v>788.83686609691915</v>
      </c>
      <c r="F748" s="59">
        <v>252.93484000000001</v>
      </c>
      <c r="G748" s="59">
        <v>235.73989454471814</v>
      </c>
      <c r="H748" s="91">
        <v>0.17012725532588346</v>
      </c>
      <c r="I748" s="91">
        <v>-6.7981719937363572E-2</v>
      </c>
      <c r="J748" s="91">
        <v>0.10516415969239779</v>
      </c>
    </row>
    <row r="749" spans="1:10" x14ac:dyDescent="0.3">
      <c r="A749" s="90">
        <v>44531</v>
      </c>
      <c r="B749" s="59">
        <v>0</v>
      </c>
      <c r="C749" s="59">
        <v>0</v>
      </c>
      <c r="D749" s="59">
        <v>634.49055999999996</v>
      </c>
      <c r="E749" s="59">
        <v>742.43469750298266</v>
      </c>
      <c r="F749" s="59">
        <v>238.05632</v>
      </c>
      <c r="G749" s="59">
        <v>221.87284192444059</v>
      </c>
      <c r="H749" s="91">
        <v>0.17012725532588324</v>
      </c>
      <c r="I749" s="91">
        <v>-6.7981719937363572E-2</v>
      </c>
      <c r="J749" s="91">
        <v>0.10516415969239756</v>
      </c>
    </row>
    <row r="750" spans="1:10" x14ac:dyDescent="0.3">
      <c r="A750" s="90">
        <v>44562</v>
      </c>
      <c r="B750" s="59">
        <v>0</v>
      </c>
      <c r="C750" s="59">
        <v>0</v>
      </c>
      <c r="D750" s="59">
        <v>771.19822999999997</v>
      </c>
      <c r="E750" s="59">
        <v>902.40006818207928</v>
      </c>
      <c r="F750" s="59">
        <v>289.34806000000003</v>
      </c>
      <c r="G750" s="59">
        <v>269.67768122066053</v>
      </c>
      <c r="H750" s="91">
        <v>0.17012725532588346</v>
      </c>
      <c r="I750" s="91">
        <v>-6.7981719937363683E-2</v>
      </c>
      <c r="J750" s="91">
        <v>0.10516415969239756</v>
      </c>
    </row>
    <row r="751" spans="1:10" x14ac:dyDescent="0.3">
      <c r="A751" s="90">
        <v>44593</v>
      </c>
      <c r="B751" s="59">
        <v>0</v>
      </c>
      <c r="C751" s="59">
        <v>0</v>
      </c>
      <c r="D751" s="59">
        <v>751.3703999999999</v>
      </c>
      <c r="E751" s="59">
        <v>879.19898388511103</v>
      </c>
      <c r="F751" s="59">
        <v>281.90879999999999</v>
      </c>
      <c r="G751" s="59">
        <v>262.74415491052173</v>
      </c>
      <c r="H751" s="91">
        <v>0.17012725532588346</v>
      </c>
      <c r="I751" s="91">
        <v>-6.7981719937363683E-2</v>
      </c>
      <c r="J751" s="91">
        <v>0.10516415969239779</v>
      </c>
    </row>
    <row r="752" spans="1:10" x14ac:dyDescent="0.3">
      <c r="A752" s="90">
        <v>44621</v>
      </c>
      <c r="B752" s="59">
        <v>0</v>
      </c>
      <c r="C752" s="59">
        <v>0</v>
      </c>
      <c r="D752" s="59">
        <v>624.05485999999996</v>
      </c>
      <c r="E752" s="59">
        <v>730.22360050457837</v>
      </c>
      <c r="F752" s="59">
        <v>234.14091999999999</v>
      </c>
      <c r="G752" s="59">
        <v>218.22361755068334</v>
      </c>
      <c r="H752" s="91">
        <v>0.17012725532588346</v>
      </c>
      <c r="I752" s="91">
        <v>-6.7981719937363572E-2</v>
      </c>
      <c r="J752" s="91">
        <v>0.10516415969239756</v>
      </c>
    </row>
    <row r="753" spans="1:10" x14ac:dyDescent="0.3">
      <c r="A753" s="90">
        <v>44652</v>
      </c>
      <c r="B753" s="59">
        <v>0</v>
      </c>
      <c r="C753" s="59">
        <v>0</v>
      </c>
      <c r="D753" s="59">
        <v>863.03238999999985</v>
      </c>
      <c r="E753" s="59">
        <v>1009.8577217680373</v>
      </c>
      <c r="F753" s="59">
        <v>323.80358000000001</v>
      </c>
      <c r="G753" s="59">
        <v>301.79085570972427</v>
      </c>
      <c r="H753" s="91">
        <v>0.17012725532588346</v>
      </c>
      <c r="I753" s="91">
        <v>-6.7981719937363683E-2</v>
      </c>
      <c r="J753" s="91">
        <v>0.10516415969239779</v>
      </c>
    </row>
    <row r="754" spans="1:10" x14ac:dyDescent="0.3">
      <c r="A754" s="90">
        <v>44682</v>
      </c>
      <c r="B754" s="59">
        <v>0</v>
      </c>
      <c r="C754" s="59">
        <v>0</v>
      </c>
      <c r="D754" s="59">
        <v>784.76463999999999</v>
      </c>
      <c r="E754" s="59">
        <v>918.27449428000489</v>
      </c>
      <c r="F754" s="59">
        <v>294.43808000000001</v>
      </c>
      <c r="G754" s="59">
        <v>274.42167290654493</v>
      </c>
      <c r="H754" s="91">
        <v>0.17012725532588324</v>
      </c>
      <c r="I754" s="91">
        <v>-6.7981719937363683E-2</v>
      </c>
      <c r="J754" s="91">
        <v>0.10516415969239756</v>
      </c>
    </row>
    <row r="755" spans="1:10" x14ac:dyDescent="0.3">
      <c r="A755" s="90">
        <v>44713</v>
      </c>
      <c r="B755" s="59">
        <v>0</v>
      </c>
      <c r="C755" s="59">
        <v>0</v>
      </c>
      <c r="D755" s="59">
        <v>691.88690999999994</v>
      </c>
      <c r="E755" s="59">
        <v>809.59573099420641</v>
      </c>
      <c r="F755" s="59">
        <v>259.59102000000001</v>
      </c>
      <c r="G755" s="59">
        <v>241.94357598010544</v>
      </c>
      <c r="H755" s="91">
        <v>0.17012725532588324</v>
      </c>
      <c r="I755" s="91">
        <v>-6.7981719937363683E-2</v>
      </c>
      <c r="J755" s="91">
        <v>0.10516415969239756</v>
      </c>
    </row>
    <row r="756" spans="1:10" x14ac:dyDescent="0.3">
      <c r="A756" s="90">
        <v>44743</v>
      </c>
      <c r="B756" s="59">
        <v>0</v>
      </c>
      <c r="C756" s="59">
        <v>0</v>
      </c>
      <c r="D756" s="59">
        <v>625.09842999999989</v>
      </c>
      <c r="E756" s="59">
        <v>731.44471020441881</v>
      </c>
      <c r="F756" s="59">
        <v>234.53245999999999</v>
      </c>
      <c r="G756" s="59">
        <v>218.58853998805907</v>
      </c>
      <c r="H756" s="91">
        <v>0.17012725532588346</v>
      </c>
      <c r="I756" s="91">
        <v>-6.7981719937363572E-2</v>
      </c>
      <c r="J756" s="91">
        <v>0.10516415969239779</v>
      </c>
    </row>
    <row r="757" spans="1:10" x14ac:dyDescent="0.3">
      <c r="A757" s="90">
        <v>44774</v>
      </c>
      <c r="B757" s="59">
        <v>0</v>
      </c>
      <c r="C757" s="59">
        <v>0</v>
      </c>
      <c r="D757" s="59">
        <v>546.83068000000003</v>
      </c>
      <c r="E757" s="59">
        <v>639.86148271638649</v>
      </c>
      <c r="F757" s="59">
        <v>205.16696000000002</v>
      </c>
      <c r="G757" s="59">
        <v>191.21935718487973</v>
      </c>
      <c r="H757" s="91">
        <v>0.17012725532588346</v>
      </c>
      <c r="I757" s="91">
        <v>-6.7981719937363683E-2</v>
      </c>
      <c r="J757" s="91">
        <v>0.10516415969239779</v>
      </c>
    </row>
    <row r="758" spans="1:10" x14ac:dyDescent="0.3">
      <c r="A758" s="90">
        <v>44805</v>
      </c>
      <c r="B758" s="59">
        <v>0</v>
      </c>
      <c r="C758" s="59">
        <v>0</v>
      </c>
      <c r="D758" s="59">
        <v>680.40764000000001</v>
      </c>
      <c r="E758" s="59">
        <v>796.16352429596179</v>
      </c>
      <c r="F758" s="59">
        <v>255.28408000000002</v>
      </c>
      <c r="G758" s="59">
        <v>237.92942916897249</v>
      </c>
      <c r="H758" s="91">
        <v>0.17012725532588346</v>
      </c>
      <c r="I758" s="91">
        <v>-6.7981719937363572E-2</v>
      </c>
      <c r="J758" s="91">
        <v>0.10516415969239756</v>
      </c>
    </row>
    <row r="759" spans="1:10" x14ac:dyDescent="0.3">
      <c r="A759" s="90">
        <v>44835</v>
      </c>
      <c r="B759" s="59">
        <v>0</v>
      </c>
      <c r="C759" s="59">
        <v>0</v>
      </c>
      <c r="D759" s="59">
        <v>680.40764000000001</v>
      </c>
      <c r="E759" s="59">
        <v>796.16352429596179</v>
      </c>
      <c r="F759" s="59">
        <v>255.28408000000002</v>
      </c>
      <c r="G759" s="59">
        <v>237.92942916897249</v>
      </c>
      <c r="H759" s="91">
        <v>0.17012725532588346</v>
      </c>
      <c r="I759" s="91">
        <v>-6.7981719937363572E-2</v>
      </c>
      <c r="J759" s="91">
        <v>0.10516415969239756</v>
      </c>
    </row>
    <row r="760" spans="1:10" x14ac:dyDescent="0.3">
      <c r="A760" s="85" t="s">
        <v>46</v>
      </c>
      <c r="B760" s="59">
        <v>0</v>
      </c>
      <c r="C760" s="59">
        <v>0</v>
      </c>
      <c r="D760" s="59">
        <v>24519.618429999995</v>
      </c>
      <c r="E760" s="59">
        <v>31637.995769338308</v>
      </c>
      <c r="F760" s="59">
        <v>17878.469389999991</v>
      </c>
      <c r="G760" s="59">
        <v>16751.693425421414</v>
      </c>
      <c r="H760" s="91">
        <v>0.29031354462795833</v>
      </c>
      <c r="I760" s="91">
        <v>-6.3024185124528564E-2</v>
      </c>
      <c r="J760" s="91">
        <v>0.14131772640777873</v>
      </c>
    </row>
    <row r="761" spans="1:10" x14ac:dyDescent="0.3">
      <c r="A761" s="86" t="s">
        <v>25</v>
      </c>
      <c r="B761" s="59">
        <v>0</v>
      </c>
      <c r="C761" s="59">
        <v>0</v>
      </c>
      <c r="D761" s="59">
        <v>24519.618429999995</v>
      </c>
      <c r="E761" s="59">
        <v>31637.995769338308</v>
      </c>
      <c r="F761" s="59">
        <v>17878.469389999991</v>
      </c>
      <c r="G761" s="59">
        <v>16751.693425421414</v>
      </c>
      <c r="H761" s="91">
        <v>0.29031354462795833</v>
      </c>
      <c r="I761" s="91">
        <v>-6.3024185124528564E-2</v>
      </c>
      <c r="J761" s="91">
        <v>0.14131772640777873</v>
      </c>
    </row>
    <row r="762" spans="1:10" x14ac:dyDescent="0.3">
      <c r="A762" s="87" t="s">
        <v>25</v>
      </c>
      <c r="B762" s="59">
        <v>0</v>
      </c>
      <c r="C762" s="59">
        <v>0</v>
      </c>
      <c r="D762" s="59">
        <v>24519.618429999995</v>
      </c>
      <c r="E762" s="59">
        <v>31637.995769338308</v>
      </c>
      <c r="F762" s="59">
        <v>17878.469389999991</v>
      </c>
      <c r="G762" s="59">
        <v>16751.693425421414</v>
      </c>
      <c r="H762" s="91">
        <v>0.29031354462795833</v>
      </c>
      <c r="I762" s="91">
        <v>-6.3024185124528564E-2</v>
      </c>
      <c r="J762" s="91">
        <v>0.14131772640777873</v>
      </c>
    </row>
    <row r="763" spans="1:10" x14ac:dyDescent="0.3">
      <c r="A763" s="88" t="s">
        <v>25</v>
      </c>
      <c r="B763" s="59">
        <v>0</v>
      </c>
      <c r="C763" s="59">
        <v>0</v>
      </c>
      <c r="D763" s="59">
        <v>24519.618429999995</v>
      </c>
      <c r="E763" s="59">
        <v>31637.995769338308</v>
      </c>
      <c r="F763" s="59">
        <v>17878.469389999991</v>
      </c>
      <c r="G763" s="59">
        <v>16751.693425421414</v>
      </c>
      <c r="H763" s="91">
        <v>0.29031354462795833</v>
      </c>
      <c r="I763" s="91">
        <v>-6.3024185124528564E-2</v>
      </c>
      <c r="J763" s="91">
        <v>0.14131772640777873</v>
      </c>
    </row>
    <row r="764" spans="1:10" x14ac:dyDescent="0.3">
      <c r="A764" s="89" t="s">
        <v>35</v>
      </c>
      <c r="B764" s="59">
        <v>0</v>
      </c>
      <c r="C764" s="59">
        <v>0</v>
      </c>
      <c r="D764" s="59">
        <v>19524.744889999998</v>
      </c>
      <c r="E764" s="59">
        <v>25715.558545287975</v>
      </c>
      <c r="F764" s="59">
        <v>16034.71573</v>
      </c>
      <c r="G764" s="59">
        <v>15028.721791082713</v>
      </c>
      <c r="H764" s="91">
        <v>0.31707526475589098</v>
      </c>
      <c r="I764" s="91">
        <v>-6.2738495390668669E-2</v>
      </c>
      <c r="J764" s="91">
        <v>0.14580704054477578</v>
      </c>
    </row>
    <row r="765" spans="1:10" x14ac:dyDescent="0.3">
      <c r="A765" s="90">
        <v>44501</v>
      </c>
      <c r="B765" s="59">
        <v>0</v>
      </c>
      <c r="C765" s="59">
        <v>0</v>
      </c>
      <c r="D765" s="59">
        <v>2010.7392199999999</v>
      </c>
      <c r="E765" s="59">
        <v>2648.2948905365533</v>
      </c>
      <c r="F765" s="59">
        <v>1651.3215399999999</v>
      </c>
      <c r="G765" s="59">
        <v>1547.7201111741979</v>
      </c>
      <c r="H765" s="91">
        <v>0.31707526475589076</v>
      </c>
      <c r="I765" s="91">
        <v>-6.273849539066878E-2</v>
      </c>
      <c r="J765" s="91">
        <v>0.14580704054477556</v>
      </c>
    </row>
    <row r="766" spans="1:10" x14ac:dyDescent="0.3">
      <c r="A766" s="90">
        <v>44531</v>
      </c>
      <c r="B766" s="59">
        <v>0</v>
      </c>
      <c r="C766" s="59">
        <v>0</v>
      </c>
      <c r="D766" s="59">
        <v>1783.1195200000002</v>
      </c>
      <c r="E766" s="59">
        <v>2348.5026138953967</v>
      </c>
      <c r="F766" s="59">
        <v>1464.3886400000001</v>
      </c>
      <c r="G766" s="59">
        <v>1372.5151000592123</v>
      </c>
      <c r="H766" s="91">
        <v>0.31707526475589054</v>
      </c>
      <c r="I766" s="91">
        <v>-6.2738495390668891E-2</v>
      </c>
      <c r="J766" s="91">
        <v>0.14580704054477533</v>
      </c>
    </row>
    <row r="767" spans="1:10" x14ac:dyDescent="0.3">
      <c r="A767" s="90">
        <v>44562</v>
      </c>
      <c r="B767" s="59">
        <v>0</v>
      </c>
      <c r="C767" s="59">
        <v>0</v>
      </c>
      <c r="D767" s="59">
        <v>1857.6132400000001</v>
      </c>
      <c r="E767" s="59">
        <v>2446.616449887048</v>
      </c>
      <c r="F767" s="59">
        <v>1525.5666799999999</v>
      </c>
      <c r="G767" s="59">
        <v>1429.854921878662</v>
      </c>
      <c r="H767" s="91">
        <v>0.31707526475589076</v>
      </c>
      <c r="I767" s="91">
        <v>-6.273849539066878E-2</v>
      </c>
      <c r="J767" s="91">
        <v>0.14580704054477533</v>
      </c>
    </row>
    <row r="768" spans="1:10" x14ac:dyDescent="0.3">
      <c r="A768" s="90">
        <v>44593</v>
      </c>
      <c r="B768" s="59">
        <v>0</v>
      </c>
      <c r="C768" s="59">
        <v>0</v>
      </c>
      <c r="D768" s="59">
        <v>1698.27945</v>
      </c>
      <c r="E768" s="59">
        <v>2236.7618562382386</v>
      </c>
      <c r="F768" s="59">
        <v>1394.7136500000001</v>
      </c>
      <c r="G768" s="59">
        <v>1307.2114140981723</v>
      </c>
      <c r="H768" s="91">
        <v>0.31707526475589076</v>
      </c>
      <c r="I768" s="91">
        <v>-6.273849539066878E-2</v>
      </c>
      <c r="J768" s="91">
        <v>0.14580704054477533</v>
      </c>
    </row>
    <row r="769" spans="1:10" x14ac:dyDescent="0.3">
      <c r="A769" s="90">
        <v>44621</v>
      </c>
      <c r="B769" s="59">
        <v>0</v>
      </c>
      <c r="C769" s="59">
        <v>0</v>
      </c>
      <c r="D769" s="59">
        <v>1443.46363</v>
      </c>
      <c r="E769" s="59">
        <v>1901.1502426477491</v>
      </c>
      <c r="F769" s="59">
        <v>1185.4459100000001</v>
      </c>
      <c r="G769" s="59">
        <v>1111.0728172395779</v>
      </c>
      <c r="H769" s="91">
        <v>0.31707526475589076</v>
      </c>
      <c r="I769" s="91">
        <v>-6.273849539066878E-2</v>
      </c>
      <c r="J769" s="91">
        <v>0.14580704054477533</v>
      </c>
    </row>
    <row r="770" spans="1:10" x14ac:dyDescent="0.3">
      <c r="A770" s="90">
        <v>44652</v>
      </c>
      <c r="B770" s="59">
        <v>0</v>
      </c>
      <c r="C770" s="59">
        <v>0</v>
      </c>
      <c r="D770" s="59">
        <v>2052.12462</v>
      </c>
      <c r="E770" s="59">
        <v>2702.8025771985817</v>
      </c>
      <c r="F770" s="59">
        <v>1685.30934</v>
      </c>
      <c r="G770" s="59">
        <v>1579.5755677405591</v>
      </c>
      <c r="H770" s="91">
        <v>0.31707526475589076</v>
      </c>
      <c r="I770" s="91">
        <v>-6.2738495390668669E-2</v>
      </c>
      <c r="J770" s="91">
        <v>0.14580704054477533</v>
      </c>
    </row>
    <row r="771" spans="1:10" x14ac:dyDescent="0.3">
      <c r="A771" s="90">
        <v>44682</v>
      </c>
      <c r="B771" s="59">
        <v>0</v>
      </c>
      <c r="C771" s="59">
        <v>0</v>
      </c>
      <c r="D771" s="59">
        <v>1968.7626</v>
      </c>
      <c r="E771" s="59">
        <v>2593.0085226364959</v>
      </c>
      <c r="F771" s="59">
        <v>1616.8482000000001</v>
      </c>
      <c r="G771" s="59">
        <v>1515.4095766568889</v>
      </c>
      <c r="H771" s="91">
        <v>0.31707526475589076</v>
      </c>
      <c r="I771" s="91">
        <v>-6.273849539066878E-2</v>
      </c>
      <c r="J771" s="91">
        <v>0.14580704054477556</v>
      </c>
    </row>
    <row r="772" spans="1:10" x14ac:dyDescent="0.3">
      <c r="A772" s="90">
        <v>44713</v>
      </c>
      <c r="B772" s="59">
        <v>0</v>
      </c>
      <c r="C772" s="59">
        <v>0</v>
      </c>
      <c r="D772" s="59">
        <v>1290.04204</v>
      </c>
      <c r="E772" s="59">
        <v>1699.0824613792295</v>
      </c>
      <c r="F772" s="59">
        <v>1059.4482800000001</v>
      </c>
      <c r="G772" s="59">
        <v>992.980088968568</v>
      </c>
      <c r="H772" s="91">
        <v>0.31707526475589076</v>
      </c>
      <c r="I772" s="91">
        <v>-6.2738495390668891E-2</v>
      </c>
      <c r="J772" s="91">
        <v>0.14580704054477556</v>
      </c>
    </row>
    <row r="773" spans="1:10" x14ac:dyDescent="0.3">
      <c r="A773" s="90">
        <v>44743</v>
      </c>
      <c r="B773" s="59">
        <v>0</v>
      </c>
      <c r="C773" s="59">
        <v>0</v>
      </c>
      <c r="D773" s="59">
        <v>1262.2547</v>
      </c>
      <c r="E773" s="59">
        <v>1662.4844431918673</v>
      </c>
      <c r="F773" s="59">
        <v>1036.6279</v>
      </c>
      <c r="G773" s="59">
        <v>971.59142527401127</v>
      </c>
      <c r="H773" s="91">
        <v>0.31707526475589076</v>
      </c>
      <c r="I773" s="91">
        <v>-6.273849539066878E-2</v>
      </c>
      <c r="J773" s="91">
        <v>0.14580704054477533</v>
      </c>
    </row>
    <row r="774" spans="1:10" x14ac:dyDescent="0.3">
      <c r="A774" s="90">
        <v>44774</v>
      </c>
      <c r="B774" s="59">
        <v>0</v>
      </c>
      <c r="C774" s="59">
        <v>0</v>
      </c>
      <c r="D774" s="59">
        <v>1125.3872699999999</v>
      </c>
      <c r="E774" s="59">
        <v>1482.2197365881591</v>
      </c>
      <c r="F774" s="59">
        <v>924.22539000000006</v>
      </c>
      <c r="G774" s="59">
        <v>866.24087962954593</v>
      </c>
      <c r="H774" s="91">
        <v>0.31707526475589076</v>
      </c>
      <c r="I774" s="91">
        <v>-6.2738495390668891E-2</v>
      </c>
      <c r="J774" s="91">
        <v>0.14580704054477556</v>
      </c>
    </row>
    <row r="775" spans="1:10" x14ac:dyDescent="0.3">
      <c r="A775" s="90">
        <v>44805</v>
      </c>
      <c r="B775" s="59">
        <v>0</v>
      </c>
      <c r="C775" s="59">
        <v>0</v>
      </c>
      <c r="D775" s="59">
        <v>1516.4793</v>
      </c>
      <c r="E775" s="59">
        <v>1997.3173755443279</v>
      </c>
      <c r="F775" s="59">
        <v>1245.4101000000001</v>
      </c>
      <c r="G775" s="59">
        <v>1167.2749441816577</v>
      </c>
      <c r="H775" s="91">
        <v>0.31707526475589076</v>
      </c>
      <c r="I775" s="91">
        <v>-6.273849539066878E-2</v>
      </c>
      <c r="J775" s="91">
        <v>0.14580704054477533</v>
      </c>
    </row>
    <row r="776" spans="1:10" x14ac:dyDescent="0.3">
      <c r="A776" s="90">
        <v>44835</v>
      </c>
      <c r="B776" s="59">
        <v>0</v>
      </c>
      <c r="C776" s="59">
        <v>0</v>
      </c>
      <c r="D776" s="59">
        <v>1516.4793</v>
      </c>
      <c r="E776" s="59">
        <v>1997.3173755443279</v>
      </c>
      <c r="F776" s="59">
        <v>1245.4101000000001</v>
      </c>
      <c r="G776" s="59">
        <v>1167.2749441816577</v>
      </c>
      <c r="H776" s="91">
        <v>0.31707526475589076</v>
      </c>
      <c r="I776" s="91">
        <v>-6.273849539066878E-2</v>
      </c>
      <c r="J776" s="91">
        <v>0.14580704054477533</v>
      </c>
    </row>
    <row r="777" spans="1:10" x14ac:dyDescent="0.3">
      <c r="A777" s="89" t="s">
        <v>36</v>
      </c>
      <c r="B777" s="59">
        <v>0</v>
      </c>
      <c r="C777" s="59">
        <v>0</v>
      </c>
      <c r="D777" s="59">
        <v>2398.4713800000004</v>
      </c>
      <c r="E777" s="59">
        <v>2884.3162908473378</v>
      </c>
      <c r="F777" s="59">
        <v>869.60214000000008</v>
      </c>
      <c r="G777" s="59">
        <v>815.04461014789433</v>
      </c>
      <c r="H777" s="91">
        <v>0.20256439784882363</v>
      </c>
      <c r="I777" s="91">
        <v>-6.273849539066878E-2</v>
      </c>
      <c r="J777" s="91">
        <v>0.13196991388224077</v>
      </c>
    </row>
    <row r="778" spans="1:10" x14ac:dyDescent="0.3">
      <c r="A778" s="90">
        <v>44501</v>
      </c>
      <c r="B778" s="59">
        <v>0</v>
      </c>
      <c r="C778" s="59">
        <v>0</v>
      </c>
      <c r="D778" s="59">
        <v>241.72199000000001</v>
      </c>
      <c r="E778" s="59">
        <v>290.68625935116944</v>
      </c>
      <c r="F778" s="59">
        <v>87.639970000000005</v>
      </c>
      <c r="G778" s="59">
        <v>82.141570146116649</v>
      </c>
      <c r="H778" s="91">
        <v>0.20256439784882385</v>
      </c>
      <c r="I778" s="91">
        <v>-6.2738495390668891E-2</v>
      </c>
      <c r="J778" s="91">
        <v>0.13196991388224077</v>
      </c>
    </row>
    <row r="779" spans="1:10" x14ac:dyDescent="0.3">
      <c r="A779" s="90">
        <v>44531</v>
      </c>
      <c r="B779" s="59">
        <v>0</v>
      </c>
      <c r="C779" s="59">
        <v>0</v>
      </c>
      <c r="D779" s="59">
        <v>198.86823000000001</v>
      </c>
      <c r="E779" s="59">
        <v>239.15185326121139</v>
      </c>
      <c r="F779" s="59">
        <v>72.102689999999996</v>
      </c>
      <c r="G779" s="59">
        <v>67.579075715780178</v>
      </c>
      <c r="H779" s="91">
        <v>0.20256439784882363</v>
      </c>
      <c r="I779" s="91">
        <v>-6.273849539066878E-2</v>
      </c>
      <c r="J779" s="91">
        <v>0.13196991388224077</v>
      </c>
    </row>
    <row r="780" spans="1:10" x14ac:dyDescent="0.3">
      <c r="A780" s="90">
        <v>44562</v>
      </c>
      <c r="B780" s="59">
        <v>0</v>
      </c>
      <c r="C780" s="59">
        <v>0</v>
      </c>
      <c r="D780" s="59">
        <v>211.59044</v>
      </c>
      <c r="E780" s="59">
        <v>254.4511300691677</v>
      </c>
      <c r="F780" s="59">
        <v>76.715320000000006</v>
      </c>
      <c r="G780" s="59">
        <v>71.902316249786324</v>
      </c>
      <c r="H780" s="91">
        <v>0.20256439784882385</v>
      </c>
      <c r="I780" s="91">
        <v>-6.273849539066878E-2</v>
      </c>
      <c r="J780" s="91">
        <v>0.13196991388224077</v>
      </c>
    </row>
    <row r="781" spans="1:10" x14ac:dyDescent="0.3">
      <c r="A781" s="90">
        <v>44593</v>
      </c>
      <c r="B781" s="59">
        <v>0</v>
      </c>
      <c r="C781" s="59">
        <v>0</v>
      </c>
      <c r="D781" s="59">
        <v>213.59921000000003</v>
      </c>
      <c r="E781" s="59">
        <v>256.86680535463449</v>
      </c>
      <c r="F781" s="59">
        <v>77.443629999999999</v>
      </c>
      <c r="G781" s="59">
        <v>72.584933176208338</v>
      </c>
      <c r="H781" s="91">
        <v>0.20256439784882385</v>
      </c>
      <c r="I781" s="91">
        <v>-6.273849539066878E-2</v>
      </c>
      <c r="J781" s="91">
        <v>0.13196991388224077</v>
      </c>
    </row>
    <row r="782" spans="1:10" x14ac:dyDescent="0.3">
      <c r="A782" s="90">
        <v>44621</v>
      </c>
      <c r="B782" s="59">
        <v>0</v>
      </c>
      <c r="C782" s="59">
        <v>0</v>
      </c>
      <c r="D782" s="59">
        <v>186.14602000000002</v>
      </c>
      <c r="E782" s="59">
        <v>223.85257645325515</v>
      </c>
      <c r="F782" s="59">
        <v>67.490060000000014</v>
      </c>
      <c r="G782" s="59">
        <v>63.255835181774046</v>
      </c>
      <c r="H782" s="91">
        <v>0.20256439784882385</v>
      </c>
      <c r="I782" s="91">
        <v>-6.2738495390668891E-2</v>
      </c>
      <c r="J782" s="91">
        <v>0.13196991388224077</v>
      </c>
    </row>
    <row r="783" spans="1:10" x14ac:dyDescent="0.3">
      <c r="A783" s="90">
        <v>44652</v>
      </c>
      <c r="B783" s="59">
        <v>0</v>
      </c>
      <c r="C783" s="59">
        <v>0</v>
      </c>
      <c r="D783" s="59">
        <v>252.43543000000003</v>
      </c>
      <c r="E783" s="59">
        <v>303.56986087365891</v>
      </c>
      <c r="F783" s="59">
        <v>91.524290000000008</v>
      </c>
      <c r="G783" s="59">
        <v>85.782193753700767</v>
      </c>
      <c r="H783" s="91">
        <v>0.20256439784882363</v>
      </c>
      <c r="I783" s="91">
        <v>-6.2738495390668891E-2</v>
      </c>
      <c r="J783" s="91">
        <v>0.13196991388224055</v>
      </c>
    </row>
    <row r="784" spans="1:10" x14ac:dyDescent="0.3">
      <c r="A784" s="90">
        <v>44682</v>
      </c>
      <c r="B784" s="59">
        <v>0</v>
      </c>
      <c r="C784" s="59">
        <v>0</v>
      </c>
      <c r="D784" s="59">
        <v>205.56413000000001</v>
      </c>
      <c r="E784" s="59">
        <v>247.20410421276733</v>
      </c>
      <c r="F784" s="59">
        <v>74.530389999999997</v>
      </c>
      <c r="G784" s="59">
        <v>69.854465470520253</v>
      </c>
      <c r="H784" s="91">
        <v>0.20256439784882385</v>
      </c>
      <c r="I784" s="91">
        <v>-6.273849539066878E-2</v>
      </c>
      <c r="J784" s="91">
        <v>0.131969913882241</v>
      </c>
    </row>
    <row r="785" spans="1:10" x14ac:dyDescent="0.3">
      <c r="A785" s="90">
        <v>44713</v>
      </c>
      <c r="B785" s="59">
        <v>0</v>
      </c>
      <c r="C785" s="59">
        <v>0</v>
      </c>
      <c r="D785" s="59">
        <v>160.03201000000001</v>
      </c>
      <c r="E785" s="59">
        <v>192.44879774218694</v>
      </c>
      <c r="F785" s="59">
        <v>58.022030000000001</v>
      </c>
      <c r="G785" s="59">
        <v>54.381815138287756</v>
      </c>
      <c r="H785" s="91">
        <v>0.20256439784882363</v>
      </c>
      <c r="I785" s="91">
        <v>-6.273849539066878E-2</v>
      </c>
      <c r="J785" s="91">
        <v>0.13196991388224077</v>
      </c>
    </row>
    <row r="786" spans="1:10" x14ac:dyDescent="0.3">
      <c r="A786" s="90">
        <v>44743</v>
      </c>
      <c r="B786" s="59">
        <v>0</v>
      </c>
      <c r="C786" s="59">
        <v>0</v>
      </c>
      <c r="D786" s="59">
        <v>180.11971000000003</v>
      </c>
      <c r="E786" s="59">
        <v>216.60555059685478</v>
      </c>
      <c r="F786" s="59">
        <v>65.305130000000005</v>
      </c>
      <c r="G786" s="59">
        <v>61.207984402507982</v>
      </c>
      <c r="H786" s="91">
        <v>0.20256439784882363</v>
      </c>
      <c r="I786" s="91">
        <v>-6.273849539066878E-2</v>
      </c>
      <c r="J786" s="91">
        <v>0.131969913882241</v>
      </c>
    </row>
    <row r="787" spans="1:10" x14ac:dyDescent="0.3">
      <c r="A787" s="90">
        <v>44774</v>
      </c>
      <c r="B787" s="59">
        <v>0</v>
      </c>
      <c r="C787" s="59">
        <v>0</v>
      </c>
      <c r="D787" s="59">
        <v>177.44135000000003</v>
      </c>
      <c r="E787" s="59">
        <v>213.38465021623242</v>
      </c>
      <c r="F787" s="59">
        <v>64.334050000000005</v>
      </c>
      <c r="G787" s="59">
        <v>60.297828500611949</v>
      </c>
      <c r="H787" s="91">
        <v>0.20256439784882385</v>
      </c>
      <c r="I787" s="91">
        <v>-6.273849539066878E-2</v>
      </c>
      <c r="J787" s="91">
        <v>0.13196991388224077</v>
      </c>
    </row>
    <row r="788" spans="1:10" x14ac:dyDescent="0.3">
      <c r="A788" s="90">
        <v>44805</v>
      </c>
      <c r="B788" s="59">
        <v>0</v>
      </c>
      <c r="C788" s="59">
        <v>0</v>
      </c>
      <c r="D788" s="59">
        <v>185.47643000000002</v>
      </c>
      <c r="E788" s="59">
        <v>223.04735135809955</v>
      </c>
      <c r="F788" s="59">
        <v>67.247290000000007</v>
      </c>
      <c r="G788" s="59">
        <v>63.028296206300041</v>
      </c>
      <c r="H788" s="91">
        <v>0.20256439784882385</v>
      </c>
      <c r="I788" s="91">
        <v>-6.273849539066878E-2</v>
      </c>
      <c r="J788" s="91">
        <v>0.13196991388224077</v>
      </c>
    </row>
    <row r="789" spans="1:10" x14ac:dyDescent="0.3">
      <c r="A789" s="90">
        <v>44835</v>
      </c>
      <c r="B789" s="59">
        <v>0</v>
      </c>
      <c r="C789" s="59">
        <v>0</v>
      </c>
      <c r="D789" s="59">
        <v>185.47643000000002</v>
      </c>
      <c r="E789" s="59">
        <v>223.04735135809955</v>
      </c>
      <c r="F789" s="59">
        <v>67.247290000000007</v>
      </c>
      <c r="G789" s="59">
        <v>63.028296206300041</v>
      </c>
      <c r="H789" s="91">
        <v>0.20256439784882385</v>
      </c>
      <c r="I789" s="91">
        <v>-6.273849539066878E-2</v>
      </c>
      <c r="J789" s="91">
        <v>0.13196991388224077</v>
      </c>
    </row>
    <row r="790" spans="1:10" x14ac:dyDescent="0.3">
      <c r="A790" s="89" t="s">
        <v>34</v>
      </c>
      <c r="B790" s="59">
        <v>0</v>
      </c>
      <c r="C790" s="59">
        <v>0</v>
      </c>
      <c r="D790" s="59">
        <v>2596.4021600000001</v>
      </c>
      <c r="E790" s="59">
        <v>3038.1209332029948</v>
      </c>
      <c r="F790" s="59">
        <v>974.15152000000012</v>
      </c>
      <c r="G790" s="59">
        <v>907.92702419080308</v>
      </c>
      <c r="H790" s="91">
        <v>0.17012725532588324</v>
      </c>
      <c r="I790" s="91">
        <v>-6.7981719937363572E-2</v>
      </c>
      <c r="J790" s="91">
        <v>0.10516415969239756</v>
      </c>
    </row>
    <row r="791" spans="1:10" x14ac:dyDescent="0.3">
      <c r="A791" s="90">
        <v>44501</v>
      </c>
      <c r="B791" s="59">
        <v>0</v>
      </c>
      <c r="C791" s="59">
        <v>0</v>
      </c>
      <c r="D791" s="59">
        <v>220.19326999999998</v>
      </c>
      <c r="E791" s="59">
        <v>257.65414666633114</v>
      </c>
      <c r="F791" s="59">
        <v>82.614940000000004</v>
      </c>
      <c r="G791" s="59">
        <v>76.998634286277905</v>
      </c>
      <c r="H791" s="91">
        <v>0.17012725532588324</v>
      </c>
      <c r="I791" s="91">
        <v>-6.7981719937363572E-2</v>
      </c>
      <c r="J791" s="91">
        <v>0.10516415969239779</v>
      </c>
    </row>
    <row r="792" spans="1:10" x14ac:dyDescent="0.3">
      <c r="A792" s="90">
        <v>44531</v>
      </c>
      <c r="B792" s="59">
        <v>0</v>
      </c>
      <c r="C792" s="59">
        <v>0</v>
      </c>
      <c r="D792" s="59">
        <v>208.714</v>
      </c>
      <c r="E792" s="59">
        <v>244.22193996808642</v>
      </c>
      <c r="F792" s="59">
        <v>78.308000000000007</v>
      </c>
      <c r="G792" s="59">
        <v>72.984487475144931</v>
      </c>
      <c r="H792" s="91">
        <v>0.17012725532588346</v>
      </c>
      <c r="I792" s="91">
        <v>-6.7981719937363683E-2</v>
      </c>
      <c r="J792" s="91">
        <v>0.10516415969239756</v>
      </c>
    </row>
    <row r="793" spans="1:10" x14ac:dyDescent="0.3">
      <c r="A793" s="90">
        <v>44562</v>
      </c>
      <c r="B793" s="59">
        <v>0</v>
      </c>
      <c r="C793" s="59">
        <v>0</v>
      </c>
      <c r="D793" s="59">
        <v>222.28040999999999</v>
      </c>
      <c r="E793" s="59">
        <v>260.09636606601202</v>
      </c>
      <c r="F793" s="59">
        <v>83.398020000000002</v>
      </c>
      <c r="G793" s="59">
        <v>77.728479161029355</v>
      </c>
      <c r="H793" s="91">
        <v>0.17012725532588346</v>
      </c>
      <c r="I793" s="91">
        <v>-6.7981719937363572E-2</v>
      </c>
      <c r="J793" s="91">
        <v>0.10516415969239756</v>
      </c>
    </row>
    <row r="794" spans="1:10" x14ac:dyDescent="0.3">
      <c r="A794" s="90">
        <v>44593</v>
      </c>
      <c r="B794" s="59">
        <v>0</v>
      </c>
      <c r="C794" s="59">
        <v>0</v>
      </c>
      <c r="D794" s="59">
        <v>292.19960000000003</v>
      </c>
      <c r="E794" s="59">
        <v>341.910715955321</v>
      </c>
      <c r="F794" s="59">
        <v>109.63120000000002</v>
      </c>
      <c r="G794" s="59">
        <v>102.17828246520291</v>
      </c>
      <c r="H794" s="91">
        <v>0.17012725532588324</v>
      </c>
      <c r="I794" s="91">
        <v>-6.7981719937363683E-2</v>
      </c>
      <c r="J794" s="91">
        <v>0.10516415969239756</v>
      </c>
    </row>
    <row r="795" spans="1:10" x14ac:dyDescent="0.3">
      <c r="A795" s="90">
        <v>44621</v>
      </c>
      <c r="B795" s="59">
        <v>0</v>
      </c>
      <c r="C795" s="59">
        <v>0</v>
      </c>
      <c r="D795" s="59">
        <v>184.71188999999998</v>
      </c>
      <c r="E795" s="59">
        <v>216.13641687175647</v>
      </c>
      <c r="F795" s="59">
        <v>69.302580000000006</v>
      </c>
      <c r="G795" s="59">
        <v>64.591271415503257</v>
      </c>
      <c r="H795" s="91">
        <v>0.17012725532588346</v>
      </c>
      <c r="I795" s="91">
        <v>-6.7981719937363794E-2</v>
      </c>
      <c r="J795" s="91">
        <v>0.10516415969239779</v>
      </c>
    </row>
    <row r="796" spans="1:10" x14ac:dyDescent="0.3">
      <c r="A796" s="90">
        <v>44652</v>
      </c>
      <c r="B796" s="59">
        <v>0</v>
      </c>
      <c r="C796" s="59">
        <v>0</v>
      </c>
      <c r="D796" s="59">
        <v>214.97541999999999</v>
      </c>
      <c r="E796" s="59">
        <v>251.548598167129</v>
      </c>
      <c r="F796" s="59">
        <v>80.657240000000002</v>
      </c>
      <c r="G796" s="59">
        <v>75.174022099399281</v>
      </c>
      <c r="H796" s="91">
        <v>0.17012725532588346</v>
      </c>
      <c r="I796" s="91">
        <v>-6.7981719937363572E-2</v>
      </c>
      <c r="J796" s="91">
        <v>0.10516415969239756</v>
      </c>
    </row>
    <row r="797" spans="1:10" x14ac:dyDescent="0.3">
      <c r="A797" s="90">
        <v>44682</v>
      </c>
      <c r="B797" s="59">
        <v>0</v>
      </c>
      <c r="C797" s="59">
        <v>0</v>
      </c>
      <c r="D797" s="59">
        <v>204.53971999999999</v>
      </c>
      <c r="E797" s="59">
        <v>239.33750116872469</v>
      </c>
      <c r="F797" s="59">
        <v>76.74184000000001</v>
      </c>
      <c r="G797" s="59">
        <v>71.524797725642031</v>
      </c>
      <c r="H797" s="91">
        <v>0.17012725532588346</v>
      </c>
      <c r="I797" s="91">
        <v>-6.7981719937363794E-2</v>
      </c>
      <c r="J797" s="91">
        <v>0.10516415969239756</v>
      </c>
    </row>
    <row r="798" spans="1:10" x14ac:dyDescent="0.3">
      <c r="A798" s="90">
        <v>44713</v>
      </c>
      <c r="B798" s="59">
        <v>0</v>
      </c>
      <c r="C798" s="59">
        <v>0</v>
      </c>
      <c r="D798" s="59">
        <v>190.97331</v>
      </c>
      <c r="E798" s="59">
        <v>223.46307507079908</v>
      </c>
      <c r="F798" s="59">
        <v>71.651820000000001</v>
      </c>
      <c r="G798" s="59">
        <v>66.780806039757607</v>
      </c>
      <c r="H798" s="91">
        <v>0.17012725532588346</v>
      </c>
      <c r="I798" s="91">
        <v>-6.7981719937363683E-2</v>
      </c>
      <c r="J798" s="91">
        <v>0.10516415969239756</v>
      </c>
    </row>
    <row r="799" spans="1:10" x14ac:dyDescent="0.3">
      <c r="A799" s="90">
        <v>44743</v>
      </c>
      <c r="B799" s="59">
        <v>0</v>
      </c>
      <c r="C799" s="59">
        <v>0</v>
      </c>
      <c r="D799" s="59">
        <v>203.49615</v>
      </c>
      <c r="E799" s="59">
        <v>238.11639146888427</v>
      </c>
      <c r="F799" s="59">
        <v>76.350300000000004</v>
      </c>
      <c r="G799" s="59">
        <v>71.159875288266306</v>
      </c>
      <c r="H799" s="91">
        <v>0.17012725532588346</v>
      </c>
      <c r="I799" s="91">
        <v>-6.7981719937363683E-2</v>
      </c>
      <c r="J799" s="91">
        <v>0.10516415969239756</v>
      </c>
    </row>
    <row r="800" spans="1:10" x14ac:dyDescent="0.3">
      <c r="A800" s="90">
        <v>44774</v>
      </c>
      <c r="B800" s="59">
        <v>0</v>
      </c>
      <c r="C800" s="59">
        <v>0</v>
      </c>
      <c r="D800" s="59">
        <v>232.71610999999999</v>
      </c>
      <c r="E800" s="59">
        <v>272.30746306441637</v>
      </c>
      <c r="F800" s="59">
        <v>87.313420000000008</v>
      </c>
      <c r="G800" s="59">
        <v>81.377703534786605</v>
      </c>
      <c r="H800" s="91">
        <v>0.17012725532588346</v>
      </c>
      <c r="I800" s="91">
        <v>-6.7981719937363572E-2</v>
      </c>
      <c r="J800" s="91">
        <v>0.10516415969239756</v>
      </c>
    </row>
    <row r="801" spans="1:10" x14ac:dyDescent="0.3">
      <c r="A801" s="90">
        <v>44805</v>
      </c>
      <c r="B801" s="59">
        <v>0</v>
      </c>
      <c r="C801" s="59">
        <v>0</v>
      </c>
      <c r="D801" s="59">
        <v>210.80114</v>
      </c>
      <c r="E801" s="59">
        <v>246.6641593677673</v>
      </c>
      <c r="F801" s="59">
        <v>79.091080000000005</v>
      </c>
      <c r="G801" s="59">
        <v>73.714332349896381</v>
      </c>
      <c r="H801" s="91">
        <v>0.17012725532588346</v>
      </c>
      <c r="I801" s="91">
        <v>-6.7981719937363683E-2</v>
      </c>
      <c r="J801" s="91">
        <v>0.10516415969239756</v>
      </c>
    </row>
    <row r="802" spans="1:10" x14ac:dyDescent="0.3">
      <c r="A802" s="90">
        <v>44835</v>
      </c>
      <c r="B802" s="59">
        <v>0</v>
      </c>
      <c r="C802" s="59">
        <v>0</v>
      </c>
      <c r="D802" s="59">
        <v>210.80114</v>
      </c>
      <c r="E802" s="59">
        <v>246.6641593677673</v>
      </c>
      <c r="F802" s="59">
        <v>79.091080000000005</v>
      </c>
      <c r="G802" s="59">
        <v>73.714332349896381</v>
      </c>
      <c r="H802" s="91">
        <v>0.17012725532588346</v>
      </c>
      <c r="I802" s="91">
        <v>-6.7981719937363683E-2</v>
      </c>
      <c r="J802" s="91">
        <v>0.10516415969239756</v>
      </c>
    </row>
    <row r="803" spans="1:10" x14ac:dyDescent="0.3">
      <c r="A803" s="83" t="s">
        <v>23</v>
      </c>
      <c r="B803" s="59">
        <v>0</v>
      </c>
      <c r="C803" s="59">
        <v>0</v>
      </c>
      <c r="D803" s="59">
        <v>9146381.2879751995</v>
      </c>
      <c r="E803" s="59">
        <v>11631482.224649152</v>
      </c>
      <c r="F803" s="59">
        <v>6147942.9778532023</v>
      </c>
      <c r="G803" s="59">
        <v>5769257.264504848</v>
      </c>
      <c r="H803" s="91">
        <v>0.27170318603939303</v>
      </c>
      <c r="I803" s="91">
        <v>-6.1595514908401094E-2</v>
      </c>
      <c r="J803" s="91">
        <v>0.13772528859165667</v>
      </c>
    </row>
    <row r="804" spans="1:10" x14ac:dyDescent="0.3">
      <c r="A804" s="84" t="s">
        <v>26</v>
      </c>
      <c r="B804" s="59">
        <v>0</v>
      </c>
      <c r="C804" s="59">
        <v>0</v>
      </c>
      <c r="D804" s="59">
        <v>9146381.2879751995</v>
      </c>
      <c r="E804" s="59">
        <v>11631482.224649152</v>
      </c>
      <c r="F804" s="59">
        <v>6147942.9778532023</v>
      </c>
      <c r="G804" s="59">
        <v>5769257.264504848</v>
      </c>
      <c r="H804" s="91">
        <v>0.27170318603939303</v>
      </c>
      <c r="I804" s="91">
        <v>-6.1595514908401094E-2</v>
      </c>
      <c r="J804" s="91">
        <v>0.13772528859165667</v>
      </c>
    </row>
    <row r="805" spans="1:10" x14ac:dyDescent="0.3">
      <c r="A805" s="85" t="s">
        <v>41</v>
      </c>
      <c r="B805" s="59">
        <v>0</v>
      </c>
      <c r="C805" s="59">
        <v>0</v>
      </c>
      <c r="D805" s="59">
        <v>6593435.2846799996</v>
      </c>
      <c r="E805" s="59">
        <v>8384892.658472118</v>
      </c>
      <c r="F805" s="59">
        <v>4431923.7173800003</v>
      </c>
      <c r="G805" s="59">
        <v>4150859.4295166563</v>
      </c>
      <c r="H805" s="91">
        <v>0.27170318603939414</v>
      </c>
      <c r="I805" s="91">
        <v>-6.3418123999097076E-2</v>
      </c>
      <c r="J805" s="91">
        <v>0.13699264447049453</v>
      </c>
    </row>
    <row r="806" spans="1:10" x14ac:dyDescent="0.3">
      <c r="A806" s="86" t="s">
        <v>25</v>
      </c>
      <c r="B806" s="59">
        <v>0</v>
      </c>
      <c r="C806" s="59">
        <v>0</v>
      </c>
      <c r="D806" s="59">
        <v>6593435.2846799996</v>
      </c>
      <c r="E806" s="59">
        <v>8384892.658472118</v>
      </c>
      <c r="F806" s="59">
        <v>4431923.7173800003</v>
      </c>
      <c r="G806" s="59">
        <v>4150859.4295166563</v>
      </c>
      <c r="H806" s="91">
        <v>0.27170318603939414</v>
      </c>
      <c r="I806" s="91">
        <v>-6.3418123999097076E-2</v>
      </c>
      <c r="J806" s="91">
        <v>0.13699264447049453</v>
      </c>
    </row>
    <row r="807" spans="1:10" x14ac:dyDescent="0.3">
      <c r="A807" s="87" t="s">
        <v>25</v>
      </c>
      <c r="B807" s="59">
        <v>0</v>
      </c>
      <c r="C807" s="59">
        <v>0</v>
      </c>
      <c r="D807" s="59">
        <v>6593435.2846799996</v>
      </c>
      <c r="E807" s="59">
        <v>8384892.658472118</v>
      </c>
      <c r="F807" s="59">
        <v>4431923.7173800003</v>
      </c>
      <c r="G807" s="59">
        <v>4150859.4295166563</v>
      </c>
      <c r="H807" s="91">
        <v>0.27170318603939414</v>
      </c>
      <c r="I807" s="91">
        <v>-6.3418123999097076E-2</v>
      </c>
      <c r="J807" s="91">
        <v>0.13699264447049453</v>
      </c>
    </row>
    <row r="808" spans="1:10" x14ac:dyDescent="0.3">
      <c r="A808" s="88" t="s">
        <v>25</v>
      </c>
      <c r="B808" s="59">
        <v>0</v>
      </c>
      <c r="C808" s="59">
        <v>0</v>
      </c>
      <c r="D808" s="59">
        <v>6593435.2846799996</v>
      </c>
      <c r="E808" s="59">
        <v>8384892.658472118</v>
      </c>
      <c r="F808" s="59">
        <v>4431923.7173800003</v>
      </c>
      <c r="G808" s="59">
        <v>4150859.4295166563</v>
      </c>
      <c r="H808" s="91">
        <v>0.27170318603939414</v>
      </c>
      <c r="I808" s="91">
        <v>-6.3418123999097076E-2</v>
      </c>
      <c r="J808" s="91">
        <v>0.13699264447049453</v>
      </c>
    </row>
    <row r="809" spans="1:10" x14ac:dyDescent="0.3">
      <c r="A809" s="89" t="s">
        <v>25</v>
      </c>
      <c r="B809" s="59">
        <v>0</v>
      </c>
      <c r="C809" s="59">
        <v>0</v>
      </c>
      <c r="D809" s="59">
        <v>6593435.2846799996</v>
      </c>
      <c r="E809" s="59">
        <v>8384892.658472118</v>
      </c>
      <c r="F809" s="59">
        <v>4431923.7173800003</v>
      </c>
      <c r="G809" s="59">
        <v>4150859.4295166563</v>
      </c>
      <c r="H809" s="91">
        <v>0.27170318603939414</v>
      </c>
      <c r="I809" s="91">
        <v>-6.3418123999097076E-2</v>
      </c>
      <c r="J809" s="91">
        <v>0.13699264447049453</v>
      </c>
    </row>
    <row r="810" spans="1:10" x14ac:dyDescent="0.3">
      <c r="A810" s="90">
        <v>44501</v>
      </c>
      <c r="B810" s="59">
        <v>0</v>
      </c>
      <c r="C810" s="59">
        <v>0</v>
      </c>
      <c r="D810" s="59">
        <v>584930.64384000003</v>
      </c>
      <c r="E810" s="59">
        <v>743858.16338340228</v>
      </c>
      <c r="F810" s="59">
        <v>393174.10144</v>
      </c>
      <c r="G810" s="59">
        <v>368239.73752164457</v>
      </c>
      <c r="H810" s="91">
        <v>0.27170318603939436</v>
      </c>
      <c r="I810" s="91">
        <v>-6.3418123999096965E-2</v>
      </c>
      <c r="J810" s="91">
        <v>0.13699264447049475</v>
      </c>
    </row>
    <row r="811" spans="1:10" x14ac:dyDescent="0.3">
      <c r="A811" s="90">
        <v>44531</v>
      </c>
      <c r="B811" s="59">
        <v>0</v>
      </c>
      <c r="C811" s="59">
        <v>0</v>
      </c>
      <c r="D811" s="59">
        <v>560604.59424000001</v>
      </c>
      <c r="E811" s="59">
        <v>712922.6486033299</v>
      </c>
      <c r="F811" s="59">
        <v>376822.80783999996</v>
      </c>
      <c r="G811" s="59">
        <v>352925.412286715</v>
      </c>
      <c r="H811" s="91">
        <v>0.27170318603939436</v>
      </c>
      <c r="I811" s="91">
        <v>-6.3418123999096854E-2</v>
      </c>
      <c r="J811" s="91">
        <v>0.13699264447049497</v>
      </c>
    </row>
    <row r="812" spans="1:10" x14ac:dyDescent="0.3">
      <c r="A812" s="90">
        <v>44562</v>
      </c>
      <c r="B812" s="59">
        <v>0</v>
      </c>
      <c r="C812" s="59">
        <v>0</v>
      </c>
      <c r="D812" s="59">
        <v>572604.00281999994</v>
      </c>
      <c r="E812" s="59">
        <v>728182.33472510427</v>
      </c>
      <c r="F812" s="59">
        <v>384888.47636999993</v>
      </c>
      <c r="G812" s="59">
        <v>360479.57124974381</v>
      </c>
      <c r="H812" s="91">
        <v>0.27170318603939436</v>
      </c>
      <c r="I812" s="91">
        <v>-6.3418123999096854E-2</v>
      </c>
      <c r="J812" s="91">
        <v>0.13699264447049475</v>
      </c>
    </row>
    <row r="813" spans="1:10" x14ac:dyDescent="0.3">
      <c r="A813" s="90">
        <v>44593</v>
      </c>
      <c r="B813" s="59">
        <v>0</v>
      </c>
      <c r="C813" s="59">
        <v>0</v>
      </c>
      <c r="D813" s="59">
        <v>552919.94657999999</v>
      </c>
      <c r="E813" s="59">
        <v>703150.05769051763</v>
      </c>
      <c r="F813" s="59">
        <v>371657.40153000003</v>
      </c>
      <c r="G813" s="59">
        <v>348087.58635458827</v>
      </c>
      <c r="H813" s="91">
        <v>0.27170318603939414</v>
      </c>
      <c r="I813" s="91">
        <v>-6.3418123999097076E-2</v>
      </c>
      <c r="J813" s="91">
        <v>0.13699264447049453</v>
      </c>
    </row>
    <row r="814" spans="1:10" x14ac:dyDescent="0.3">
      <c r="A814" s="90">
        <v>44621</v>
      </c>
      <c r="B814" s="59">
        <v>0</v>
      </c>
      <c r="C814" s="59">
        <v>0</v>
      </c>
      <c r="D814" s="59">
        <v>510691.01777999999</v>
      </c>
      <c r="E814" s="59">
        <v>649447.39439252694</v>
      </c>
      <c r="F814" s="59">
        <v>343272.29073000001</v>
      </c>
      <c r="G814" s="59">
        <v>321502.60603103077</v>
      </c>
      <c r="H814" s="91">
        <v>0.27170318603939436</v>
      </c>
      <c r="I814" s="91">
        <v>-6.3418123999097076E-2</v>
      </c>
      <c r="J814" s="91">
        <v>0.13699264447049453</v>
      </c>
    </row>
    <row r="815" spans="1:10" x14ac:dyDescent="0.3">
      <c r="A815" s="90">
        <v>44652</v>
      </c>
      <c r="B815" s="59">
        <v>0</v>
      </c>
      <c r="C815" s="59">
        <v>0</v>
      </c>
      <c r="D815" s="59">
        <v>613405.94004000002</v>
      </c>
      <c r="E815" s="59">
        <v>780070.28828435764</v>
      </c>
      <c r="F815" s="59">
        <v>412314.40313999995</v>
      </c>
      <c r="G815" s="59">
        <v>386166.1971950538</v>
      </c>
      <c r="H815" s="91">
        <v>0.27170318603939414</v>
      </c>
      <c r="I815" s="91">
        <v>-6.3418123999096965E-2</v>
      </c>
      <c r="J815" s="91">
        <v>0.13699264447049453</v>
      </c>
    </row>
    <row r="816" spans="1:10" x14ac:dyDescent="0.3">
      <c r="A816" s="90">
        <v>44682</v>
      </c>
      <c r="B816" s="59">
        <v>0</v>
      </c>
      <c r="C816" s="59">
        <v>0</v>
      </c>
      <c r="D816" s="59">
        <v>582818.43816000002</v>
      </c>
      <c r="E816" s="59">
        <v>741172.0646905757</v>
      </c>
      <c r="F816" s="59">
        <v>391754.33555999998</v>
      </c>
      <c r="G816" s="59">
        <v>366910.01053027203</v>
      </c>
      <c r="H816" s="91">
        <v>0.27170318603939436</v>
      </c>
      <c r="I816" s="91">
        <v>-6.3418123999097076E-2</v>
      </c>
      <c r="J816" s="91">
        <v>0.13699264447049475</v>
      </c>
    </row>
    <row r="817" spans="1:10" x14ac:dyDescent="0.3">
      <c r="A817" s="90">
        <v>44713</v>
      </c>
      <c r="B817" s="59">
        <v>0</v>
      </c>
      <c r="C817" s="59">
        <v>0</v>
      </c>
      <c r="D817" s="59">
        <v>499271.28894000006</v>
      </c>
      <c r="E817" s="59">
        <v>634924.88884299307</v>
      </c>
      <c r="F817" s="59">
        <v>335596.26678999997</v>
      </c>
      <c r="G817" s="59">
        <v>314313.38112907775</v>
      </c>
      <c r="H817" s="91">
        <v>0.27170318603939436</v>
      </c>
      <c r="I817" s="91">
        <v>-6.3418123999096854E-2</v>
      </c>
      <c r="J817" s="91">
        <v>0.13699264447049475</v>
      </c>
    </row>
    <row r="818" spans="1:10" x14ac:dyDescent="0.3">
      <c r="A818" s="90">
        <v>44743</v>
      </c>
      <c r="B818" s="59">
        <v>0</v>
      </c>
      <c r="C818" s="59">
        <v>0</v>
      </c>
      <c r="D818" s="59">
        <v>513225.36090000003</v>
      </c>
      <c r="E818" s="59">
        <v>652670.32661274797</v>
      </c>
      <c r="F818" s="59">
        <v>344975.80564999999</v>
      </c>
      <c r="G818" s="59">
        <v>323098.08723059989</v>
      </c>
      <c r="H818" s="91">
        <v>0.27170318603939414</v>
      </c>
      <c r="I818" s="91">
        <v>-6.3418123999097076E-2</v>
      </c>
      <c r="J818" s="91">
        <v>0.13699264447049475</v>
      </c>
    </row>
    <row r="819" spans="1:10" x14ac:dyDescent="0.3">
      <c r="A819" s="90">
        <v>44774</v>
      </c>
      <c r="B819" s="59">
        <v>0</v>
      </c>
      <c r="C819" s="59">
        <v>0</v>
      </c>
      <c r="D819" s="59">
        <v>475037.10737999994</v>
      </c>
      <c r="E819" s="59">
        <v>604106.20294208382</v>
      </c>
      <c r="F819" s="59">
        <v>319306.72433</v>
      </c>
      <c r="G819" s="59">
        <v>299056.89089269459</v>
      </c>
      <c r="H819" s="91">
        <v>0.27170318603939436</v>
      </c>
      <c r="I819" s="91">
        <v>-6.3418123999096965E-2</v>
      </c>
      <c r="J819" s="91">
        <v>0.13699264447049475</v>
      </c>
    </row>
    <row r="820" spans="1:10" x14ac:dyDescent="0.3">
      <c r="A820" s="90">
        <v>44805</v>
      </c>
      <c r="B820" s="59">
        <v>0</v>
      </c>
      <c r="C820" s="59">
        <v>0</v>
      </c>
      <c r="D820" s="59">
        <v>563963.47199999995</v>
      </c>
      <c r="E820" s="59">
        <v>717194.14415223873</v>
      </c>
      <c r="F820" s="59">
        <v>379080.55199999991</v>
      </c>
      <c r="G820" s="59">
        <v>355039.97454761784</v>
      </c>
      <c r="H820" s="91">
        <v>0.27170318603939436</v>
      </c>
      <c r="I820" s="91">
        <v>-6.3418123999096854E-2</v>
      </c>
      <c r="J820" s="91">
        <v>0.13699264447049475</v>
      </c>
    </row>
    <row r="821" spans="1:10" x14ac:dyDescent="0.3">
      <c r="A821" s="90">
        <v>44835</v>
      </c>
      <c r="B821" s="59">
        <v>0</v>
      </c>
      <c r="C821" s="59">
        <v>0</v>
      </c>
      <c r="D821" s="59">
        <v>563963.47199999995</v>
      </c>
      <c r="E821" s="59">
        <v>717194.14415223873</v>
      </c>
      <c r="F821" s="59">
        <v>379080.55199999991</v>
      </c>
      <c r="G821" s="59">
        <v>355039.97454761784</v>
      </c>
      <c r="H821" s="91">
        <v>0.27170318603939436</v>
      </c>
      <c r="I821" s="91">
        <v>-6.3418123999096854E-2</v>
      </c>
      <c r="J821" s="91">
        <v>0.13699264447049475</v>
      </c>
    </row>
    <row r="822" spans="1:10" x14ac:dyDescent="0.3">
      <c r="A822" s="85" t="s">
        <v>52</v>
      </c>
      <c r="B822" s="59">
        <v>0</v>
      </c>
      <c r="C822" s="59">
        <v>0</v>
      </c>
      <c r="D822" s="59">
        <v>67968.30365999999</v>
      </c>
      <c r="E822" s="59">
        <v>86435.508314115024</v>
      </c>
      <c r="F822" s="59">
        <v>45686.402310000005</v>
      </c>
      <c r="G822" s="59">
        <v>42789.056383231786</v>
      </c>
      <c r="H822" s="91">
        <v>0.27170318603939458</v>
      </c>
      <c r="I822" s="91">
        <v>-6.3418123999097187E-2</v>
      </c>
      <c r="J822" s="91">
        <v>0.13699264447049475</v>
      </c>
    </row>
    <row r="823" spans="1:10" x14ac:dyDescent="0.3">
      <c r="A823" s="86" t="s">
        <v>25</v>
      </c>
      <c r="B823" s="59">
        <v>0</v>
      </c>
      <c r="C823" s="59">
        <v>0</v>
      </c>
      <c r="D823" s="59">
        <v>67968.30365999999</v>
      </c>
      <c r="E823" s="59">
        <v>86435.508314115024</v>
      </c>
      <c r="F823" s="59">
        <v>45686.402310000005</v>
      </c>
      <c r="G823" s="59">
        <v>42789.056383231786</v>
      </c>
      <c r="H823" s="91">
        <v>0.27170318603939458</v>
      </c>
      <c r="I823" s="91">
        <v>-6.3418123999097187E-2</v>
      </c>
      <c r="J823" s="91">
        <v>0.13699264447049475</v>
      </c>
    </row>
    <row r="824" spans="1:10" x14ac:dyDescent="0.3">
      <c r="A824" s="87" t="s">
        <v>25</v>
      </c>
      <c r="B824" s="59">
        <v>0</v>
      </c>
      <c r="C824" s="59">
        <v>0</v>
      </c>
      <c r="D824" s="59">
        <v>67968.30365999999</v>
      </c>
      <c r="E824" s="59">
        <v>86435.508314115024</v>
      </c>
      <c r="F824" s="59">
        <v>45686.402310000005</v>
      </c>
      <c r="G824" s="59">
        <v>42789.056383231786</v>
      </c>
      <c r="H824" s="91">
        <v>0.27170318603939458</v>
      </c>
      <c r="I824" s="91">
        <v>-6.3418123999097187E-2</v>
      </c>
      <c r="J824" s="91">
        <v>0.13699264447049475</v>
      </c>
    </row>
    <row r="825" spans="1:10" x14ac:dyDescent="0.3">
      <c r="A825" s="88" t="s">
        <v>25</v>
      </c>
      <c r="B825" s="59">
        <v>0</v>
      </c>
      <c r="C825" s="59">
        <v>0</v>
      </c>
      <c r="D825" s="59">
        <v>67968.30365999999</v>
      </c>
      <c r="E825" s="59">
        <v>86435.508314115024</v>
      </c>
      <c r="F825" s="59">
        <v>45686.402310000005</v>
      </c>
      <c r="G825" s="59">
        <v>42789.056383231786</v>
      </c>
      <c r="H825" s="91">
        <v>0.27170318603939458</v>
      </c>
      <c r="I825" s="91">
        <v>-6.3418123999097187E-2</v>
      </c>
      <c r="J825" s="91">
        <v>0.13699264447049475</v>
      </c>
    </row>
    <row r="826" spans="1:10" x14ac:dyDescent="0.3">
      <c r="A826" s="89" t="s">
        <v>25</v>
      </c>
      <c r="B826" s="59">
        <v>0</v>
      </c>
      <c r="C826" s="59">
        <v>0</v>
      </c>
      <c r="D826" s="59">
        <v>67968.30365999999</v>
      </c>
      <c r="E826" s="59">
        <v>86435.508314115024</v>
      </c>
      <c r="F826" s="59">
        <v>45686.402310000005</v>
      </c>
      <c r="G826" s="59">
        <v>42789.056383231786</v>
      </c>
      <c r="H826" s="91">
        <v>0.27170318603939458</v>
      </c>
      <c r="I826" s="91">
        <v>-6.3418123999097187E-2</v>
      </c>
      <c r="J826" s="91">
        <v>0.13699264447049475</v>
      </c>
    </row>
    <row r="827" spans="1:10" x14ac:dyDescent="0.3">
      <c r="A827" s="90">
        <v>44501</v>
      </c>
      <c r="B827" s="59">
        <v>0</v>
      </c>
      <c r="C827" s="59">
        <v>0</v>
      </c>
      <c r="D827" s="59">
        <v>5961.1728599999997</v>
      </c>
      <c r="E827" s="59">
        <v>7580.8425185935685</v>
      </c>
      <c r="F827" s="59">
        <v>4006.9345099999996</v>
      </c>
      <c r="G827" s="59">
        <v>3752.8222403885588</v>
      </c>
      <c r="H827" s="91">
        <v>0.27170318603939436</v>
      </c>
      <c r="I827" s="91">
        <v>-6.3418123999096965E-2</v>
      </c>
      <c r="J827" s="91">
        <v>0.13699264447049475</v>
      </c>
    </row>
    <row r="828" spans="1:10" x14ac:dyDescent="0.3">
      <c r="A828" s="90">
        <v>44531</v>
      </c>
      <c r="B828" s="59">
        <v>0</v>
      </c>
      <c r="C828" s="59">
        <v>0</v>
      </c>
      <c r="D828" s="59">
        <v>5888.6654400000007</v>
      </c>
      <c r="E828" s="59">
        <v>7488.634601568072</v>
      </c>
      <c r="F828" s="59">
        <v>3958.19704</v>
      </c>
      <c r="G828" s="59">
        <v>3707.1756093044214</v>
      </c>
      <c r="H828" s="91">
        <v>0.27170318603939414</v>
      </c>
      <c r="I828" s="91">
        <v>-6.3418123999096965E-2</v>
      </c>
      <c r="J828" s="91">
        <v>0.13699264447049453</v>
      </c>
    </row>
    <row r="829" spans="1:10" x14ac:dyDescent="0.3">
      <c r="A829" s="90">
        <v>44562</v>
      </c>
      <c r="B829" s="59">
        <v>0</v>
      </c>
      <c r="C829" s="59">
        <v>0</v>
      </c>
      <c r="D829" s="59">
        <v>5277.0976199999996</v>
      </c>
      <c r="E829" s="59">
        <v>6710.9018563949048</v>
      </c>
      <c r="F829" s="59">
        <v>3547.1181699999997</v>
      </c>
      <c r="G829" s="59">
        <v>3322.1665900554899</v>
      </c>
      <c r="H829" s="91">
        <v>0.27170318603939436</v>
      </c>
      <c r="I829" s="91">
        <v>-6.3418123999096965E-2</v>
      </c>
      <c r="J829" s="91">
        <v>0.13699264447049475</v>
      </c>
    </row>
    <row r="830" spans="1:10" x14ac:dyDescent="0.3">
      <c r="A830" s="90">
        <v>44593</v>
      </c>
      <c r="B830" s="59">
        <v>0</v>
      </c>
      <c r="C830" s="59">
        <v>0</v>
      </c>
      <c r="D830" s="59">
        <v>5818.8153599999996</v>
      </c>
      <c r="E830" s="59">
        <v>7399.8060322869651</v>
      </c>
      <c r="F830" s="59">
        <v>3911.2457599999998</v>
      </c>
      <c r="G830" s="59">
        <v>3663.2018914013775</v>
      </c>
      <c r="H830" s="91">
        <v>0.27170318603939436</v>
      </c>
      <c r="I830" s="91">
        <v>-6.3418123999096965E-2</v>
      </c>
      <c r="J830" s="91">
        <v>0.13699264447049475</v>
      </c>
    </row>
    <row r="831" spans="1:10" x14ac:dyDescent="0.3">
      <c r="A831" s="90">
        <v>44621</v>
      </c>
      <c r="B831" s="59">
        <v>0</v>
      </c>
      <c r="C831" s="59">
        <v>0</v>
      </c>
      <c r="D831" s="59">
        <v>5389.4651399999993</v>
      </c>
      <c r="E831" s="59">
        <v>6853.7999895862504</v>
      </c>
      <c r="F831" s="59">
        <v>3622.6484899999996</v>
      </c>
      <c r="G831" s="59">
        <v>3392.9069188560384</v>
      </c>
      <c r="H831" s="91">
        <v>0.27170318603939458</v>
      </c>
      <c r="I831" s="91">
        <v>-6.3418123999096965E-2</v>
      </c>
      <c r="J831" s="91">
        <v>0.13699264447049475</v>
      </c>
    </row>
    <row r="832" spans="1:10" x14ac:dyDescent="0.3">
      <c r="A832" s="90">
        <v>44652</v>
      </c>
      <c r="B832" s="59">
        <v>0</v>
      </c>
      <c r="C832" s="59">
        <v>0</v>
      </c>
      <c r="D832" s="59">
        <v>6566.2871400000004</v>
      </c>
      <c r="E832" s="59">
        <v>8350.3682763875022</v>
      </c>
      <c r="F832" s="59">
        <v>4413.6754899999996</v>
      </c>
      <c r="G832" s="59">
        <v>4133.7684704834046</v>
      </c>
      <c r="H832" s="91">
        <v>0.27170318603939414</v>
      </c>
      <c r="I832" s="91">
        <v>-6.3418123999096965E-2</v>
      </c>
      <c r="J832" s="91">
        <v>0.13699264447049453</v>
      </c>
    </row>
    <row r="833" spans="1:10" x14ac:dyDescent="0.3">
      <c r="A833" s="90">
        <v>44682</v>
      </c>
      <c r="B833" s="59">
        <v>0</v>
      </c>
      <c r="C833" s="59">
        <v>0</v>
      </c>
      <c r="D833" s="59">
        <v>6031.0229399999998</v>
      </c>
      <c r="E833" s="59">
        <v>7669.6710878746753</v>
      </c>
      <c r="F833" s="59">
        <v>4053.8857899999998</v>
      </c>
      <c r="G833" s="59">
        <v>3796.7959582916028</v>
      </c>
      <c r="H833" s="91">
        <v>0.27170318603939436</v>
      </c>
      <c r="I833" s="91">
        <v>-6.3418123999096965E-2</v>
      </c>
      <c r="J833" s="91">
        <v>0.13699264447049497</v>
      </c>
    </row>
    <row r="834" spans="1:10" x14ac:dyDescent="0.3">
      <c r="A834" s="90">
        <v>44713</v>
      </c>
      <c r="B834" s="59">
        <v>0</v>
      </c>
      <c r="C834" s="59">
        <v>0</v>
      </c>
      <c r="D834" s="59">
        <v>4861.7933400000002</v>
      </c>
      <c r="E834" s="59">
        <v>6182.7580803431083</v>
      </c>
      <c r="F834" s="59">
        <v>3267.9621899999997</v>
      </c>
      <c r="G834" s="59">
        <v>3060.7141586102193</v>
      </c>
      <c r="H834" s="91">
        <v>0.27170318603939436</v>
      </c>
      <c r="I834" s="91">
        <v>-6.3418123999096965E-2</v>
      </c>
      <c r="J834" s="91">
        <v>0.13699264447049453</v>
      </c>
    </row>
    <row r="835" spans="1:10" x14ac:dyDescent="0.3">
      <c r="A835" s="90">
        <v>44743</v>
      </c>
      <c r="B835" s="59">
        <v>0</v>
      </c>
      <c r="C835" s="59">
        <v>0</v>
      </c>
      <c r="D835" s="59">
        <v>5091.8430600000002</v>
      </c>
      <c r="E835" s="59">
        <v>6475.3130422145787</v>
      </c>
      <c r="F835" s="59">
        <v>3422.59521</v>
      </c>
      <c r="G835" s="59">
        <v>3205.5406425735046</v>
      </c>
      <c r="H835" s="91">
        <v>0.27170318603939414</v>
      </c>
      <c r="I835" s="91">
        <v>-6.3418123999096965E-2</v>
      </c>
      <c r="J835" s="91">
        <v>0.13699264447049453</v>
      </c>
    </row>
    <row r="836" spans="1:10" x14ac:dyDescent="0.3">
      <c r="A836" s="90">
        <v>44774</v>
      </c>
      <c r="B836" s="59">
        <v>0</v>
      </c>
      <c r="C836" s="59">
        <v>0</v>
      </c>
      <c r="D836" s="59">
        <v>4862.1729599999999</v>
      </c>
      <c r="E836" s="59">
        <v>6183.2408443065924</v>
      </c>
      <c r="F836" s="59">
        <v>3268.2173599999996</v>
      </c>
      <c r="G836" s="59">
        <v>3060.9531462075188</v>
      </c>
      <c r="H836" s="91">
        <v>0.27170318603939436</v>
      </c>
      <c r="I836" s="91">
        <v>-6.3418123999096854E-2</v>
      </c>
      <c r="J836" s="91">
        <v>0.13699264447049475</v>
      </c>
    </row>
    <row r="837" spans="1:10" x14ac:dyDescent="0.3">
      <c r="A837" s="90">
        <v>44805</v>
      </c>
      <c r="B837" s="59">
        <v>0</v>
      </c>
      <c r="C837" s="59">
        <v>0</v>
      </c>
      <c r="D837" s="59">
        <v>6109.9838999999993</v>
      </c>
      <c r="E837" s="59">
        <v>7770.0859922794034</v>
      </c>
      <c r="F837" s="59">
        <v>4106.9611499999992</v>
      </c>
      <c r="G837" s="59">
        <v>3846.505378529826</v>
      </c>
      <c r="H837" s="91">
        <v>0.27170318603939436</v>
      </c>
      <c r="I837" s="91">
        <v>-6.3418123999096854E-2</v>
      </c>
      <c r="J837" s="91">
        <v>0.13699264447049475</v>
      </c>
    </row>
    <row r="838" spans="1:10" x14ac:dyDescent="0.3">
      <c r="A838" s="90">
        <v>44835</v>
      </c>
      <c r="B838" s="59">
        <v>0</v>
      </c>
      <c r="C838" s="59">
        <v>0</v>
      </c>
      <c r="D838" s="59">
        <v>6109.9838999999993</v>
      </c>
      <c r="E838" s="59">
        <v>7770.0859922794034</v>
      </c>
      <c r="F838" s="59">
        <v>4106.9611499999992</v>
      </c>
      <c r="G838" s="59">
        <v>3846.505378529826</v>
      </c>
      <c r="H838" s="91">
        <v>0.27170318603939436</v>
      </c>
      <c r="I838" s="91">
        <v>-6.3418123999096854E-2</v>
      </c>
      <c r="J838" s="91">
        <v>0.13699264447049475</v>
      </c>
    </row>
    <row r="839" spans="1:10" x14ac:dyDescent="0.3">
      <c r="A839" s="85" t="s">
        <v>38</v>
      </c>
      <c r="B839" s="59">
        <v>0</v>
      </c>
      <c r="C839" s="59">
        <v>0</v>
      </c>
      <c r="D839" s="59">
        <v>229504.20606</v>
      </c>
      <c r="E839" s="59">
        <v>291861.23005594366</v>
      </c>
      <c r="F839" s="59">
        <v>154266.34071000002</v>
      </c>
      <c r="G839" s="59">
        <v>144483.05878596628</v>
      </c>
      <c r="H839" s="91">
        <v>0.27170318603939436</v>
      </c>
      <c r="I839" s="91">
        <v>-6.3418123999097298E-2</v>
      </c>
      <c r="J839" s="91">
        <v>0.13699264447049453</v>
      </c>
    </row>
    <row r="840" spans="1:10" x14ac:dyDescent="0.3">
      <c r="A840" s="86" t="s">
        <v>25</v>
      </c>
      <c r="B840" s="59">
        <v>0</v>
      </c>
      <c r="C840" s="59">
        <v>0</v>
      </c>
      <c r="D840" s="59">
        <v>229504.20606</v>
      </c>
      <c r="E840" s="59">
        <v>291861.23005594366</v>
      </c>
      <c r="F840" s="59">
        <v>154266.34071000002</v>
      </c>
      <c r="G840" s="59">
        <v>144483.05878596628</v>
      </c>
      <c r="H840" s="91">
        <v>0.27170318603939436</v>
      </c>
      <c r="I840" s="91">
        <v>-6.3418123999097298E-2</v>
      </c>
      <c r="J840" s="91">
        <v>0.13699264447049453</v>
      </c>
    </row>
    <row r="841" spans="1:10" x14ac:dyDescent="0.3">
      <c r="A841" s="87" t="s">
        <v>25</v>
      </c>
      <c r="B841" s="59">
        <v>0</v>
      </c>
      <c r="C841" s="59">
        <v>0</v>
      </c>
      <c r="D841" s="59">
        <v>229504.20606</v>
      </c>
      <c r="E841" s="59">
        <v>291861.23005594366</v>
      </c>
      <c r="F841" s="59">
        <v>154266.34071000002</v>
      </c>
      <c r="G841" s="59">
        <v>144483.05878596628</v>
      </c>
      <c r="H841" s="91">
        <v>0.27170318603939436</v>
      </c>
      <c r="I841" s="91">
        <v>-6.3418123999097298E-2</v>
      </c>
      <c r="J841" s="91">
        <v>0.13699264447049453</v>
      </c>
    </row>
    <row r="842" spans="1:10" x14ac:dyDescent="0.3">
      <c r="A842" s="88" t="s">
        <v>25</v>
      </c>
      <c r="B842" s="59">
        <v>0</v>
      </c>
      <c r="C842" s="59">
        <v>0</v>
      </c>
      <c r="D842" s="59">
        <v>229504.20606</v>
      </c>
      <c r="E842" s="59">
        <v>291861.23005594366</v>
      </c>
      <c r="F842" s="59">
        <v>154266.34071000002</v>
      </c>
      <c r="G842" s="59">
        <v>144483.05878596628</v>
      </c>
      <c r="H842" s="91">
        <v>0.27170318603939436</v>
      </c>
      <c r="I842" s="91">
        <v>-6.3418123999097298E-2</v>
      </c>
      <c r="J842" s="91">
        <v>0.13699264447049453</v>
      </c>
    </row>
    <row r="843" spans="1:10" x14ac:dyDescent="0.3">
      <c r="A843" s="89" t="s">
        <v>25</v>
      </c>
      <c r="B843" s="59">
        <v>0</v>
      </c>
      <c r="C843" s="59">
        <v>0</v>
      </c>
      <c r="D843" s="59">
        <v>229504.20606</v>
      </c>
      <c r="E843" s="59">
        <v>291861.23005594366</v>
      </c>
      <c r="F843" s="59">
        <v>154266.34071000002</v>
      </c>
      <c r="G843" s="59">
        <v>144483.05878596628</v>
      </c>
      <c r="H843" s="91">
        <v>0.27170318603939436</v>
      </c>
      <c r="I843" s="91">
        <v>-6.3418123999097298E-2</v>
      </c>
      <c r="J843" s="91">
        <v>0.13699264447049453</v>
      </c>
    </row>
    <row r="844" spans="1:10" x14ac:dyDescent="0.3">
      <c r="A844" s="90">
        <v>44501</v>
      </c>
      <c r="B844" s="59">
        <v>0</v>
      </c>
      <c r="C844" s="59">
        <v>0</v>
      </c>
      <c r="D844" s="59">
        <v>19077.423479999998</v>
      </c>
      <c r="E844" s="59">
        <v>24260.820220938749</v>
      </c>
      <c r="F844" s="59">
        <v>12823.313179999999</v>
      </c>
      <c r="G844" s="59">
        <v>12010.082714671506</v>
      </c>
      <c r="H844" s="91">
        <v>0.27170318603939436</v>
      </c>
      <c r="I844" s="91">
        <v>-6.3418123999096965E-2</v>
      </c>
      <c r="J844" s="91">
        <v>0.13699264447049475</v>
      </c>
    </row>
    <row r="845" spans="1:10" x14ac:dyDescent="0.3">
      <c r="A845" s="90">
        <v>44531</v>
      </c>
      <c r="B845" s="59">
        <v>0</v>
      </c>
      <c r="C845" s="59">
        <v>0</v>
      </c>
      <c r="D845" s="59">
        <v>17092.770119999997</v>
      </c>
      <c r="E845" s="59">
        <v>21736.930219842961</v>
      </c>
      <c r="F845" s="59">
        <v>11489.284419999998</v>
      </c>
      <c r="G845" s="59">
        <v>10760.655555991545</v>
      </c>
      <c r="H845" s="91">
        <v>0.27170318603939458</v>
      </c>
      <c r="I845" s="91">
        <v>-6.3418123999096965E-2</v>
      </c>
      <c r="J845" s="91">
        <v>0.13699264447049475</v>
      </c>
    </row>
    <row r="846" spans="1:10" x14ac:dyDescent="0.3">
      <c r="A846" s="90">
        <v>44562</v>
      </c>
      <c r="B846" s="59">
        <v>0</v>
      </c>
      <c r="C846" s="59">
        <v>0</v>
      </c>
      <c r="D846" s="59">
        <v>17588.93346</v>
      </c>
      <c r="E846" s="59">
        <v>22367.902720116905</v>
      </c>
      <c r="F846" s="59">
        <v>11822.791609999998</v>
      </c>
      <c r="G846" s="59">
        <v>11073.012345661537</v>
      </c>
      <c r="H846" s="91">
        <v>0.27170318603939414</v>
      </c>
      <c r="I846" s="91">
        <v>-6.3418123999096854E-2</v>
      </c>
      <c r="J846" s="91">
        <v>0.13699264447049453</v>
      </c>
    </row>
    <row r="847" spans="1:10" x14ac:dyDescent="0.3">
      <c r="A847" s="90">
        <v>44593</v>
      </c>
      <c r="B847" s="59">
        <v>0</v>
      </c>
      <c r="C847" s="59">
        <v>0</v>
      </c>
      <c r="D847" s="59">
        <v>17128.454400000002</v>
      </c>
      <c r="E847" s="59">
        <v>21782.310032410485</v>
      </c>
      <c r="F847" s="59">
        <v>11513.270399999999</v>
      </c>
      <c r="G847" s="59">
        <v>10783.120390137667</v>
      </c>
      <c r="H847" s="91">
        <v>0.27170318603939436</v>
      </c>
      <c r="I847" s="91">
        <v>-6.3418123999096965E-2</v>
      </c>
      <c r="J847" s="91">
        <v>0.13699264447049475</v>
      </c>
    </row>
    <row r="848" spans="1:10" x14ac:dyDescent="0.3">
      <c r="A848" s="90">
        <v>44621</v>
      </c>
      <c r="B848" s="59">
        <v>0</v>
      </c>
      <c r="C848" s="59">
        <v>0</v>
      </c>
      <c r="D848" s="59">
        <v>16844.119020000002</v>
      </c>
      <c r="E848" s="59">
        <v>21420.719823760759</v>
      </c>
      <c r="F848" s="59">
        <v>11322.148070000001</v>
      </c>
      <c r="G848" s="59">
        <v>10604.118679760602</v>
      </c>
      <c r="H848" s="91">
        <v>0.27170318603939414</v>
      </c>
      <c r="I848" s="91">
        <v>-6.3418123999097187E-2</v>
      </c>
      <c r="J848" s="91">
        <v>0.13699264447049453</v>
      </c>
    </row>
    <row r="849" spans="1:10" x14ac:dyDescent="0.3">
      <c r="A849" s="90">
        <v>44652</v>
      </c>
      <c r="B849" s="59">
        <v>0</v>
      </c>
      <c r="C849" s="59">
        <v>0</v>
      </c>
      <c r="D849" s="59">
        <v>18360.700920000003</v>
      </c>
      <c r="E849" s="59">
        <v>23349.361857880438</v>
      </c>
      <c r="F849" s="59">
        <v>12341.552220000001</v>
      </c>
      <c r="G849" s="59">
        <v>11558.874130970709</v>
      </c>
      <c r="H849" s="91">
        <v>0.27170318603939414</v>
      </c>
      <c r="I849" s="91">
        <v>-6.3418123999097076E-2</v>
      </c>
      <c r="J849" s="91">
        <v>0.13699264447049453</v>
      </c>
    </row>
    <row r="850" spans="1:10" x14ac:dyDescent="0.3">
      <c r="A850" s="90">
        <v>44682</v>
      </c>
      <c r="B850" s="59">
        <v>0</v>
      </c>
      <c r="C850" s="59">
        <v>0</v>
      </c>
      <c r="D850" s="59">
        <v>16632.29106</v>
      </c>
      <c r="E850" s="59">
        <v>21151.337532136538</v>
      </c>
      <c r="F850" s="59">
        <v>11179.763209999999</v>
      </c>
      <c r="G850" s="59">
        <v>10470.763600467677</v>
      </c>
      <c r="H850" s="91">
        <v>0.27170318603939458</v>
      </c>
      <c r="I850" s="91">
        <v>-6.3418123999096965E-2</v>
      </c>
      <c r="J850" s="91">
        <v>0.13699264447049475</v>
      </c>
    </row>
    <row r="851" spans="1:10" x14ac:dyDescent="0.3">
      <c r="A851" s="90">
        <v>44713</v>
      </c>
      <c r="B851" s="59">
        <v>0</v>
      </c>
      <c r="C851" s="59">
        <v>0</v>
      </c>
      <c r="D851" s="59">
        <v>18888.752339999999</v>
      </c>
      <c r="E851" s="59">
        <v>24020.886531087064</v>
      </c>
      <c r="F851" s="59">
        <v>12696.493689999999</v>
      </c>
      <c r="G851" s="59">
        <v>11891.305878813828</v>
      </c>
      <c r="H851" s="91">
        <v>0.27170318603939436</v>
      </c>
      <c r="I851" s="91">
        <v>-6.3418123999096965E-2</v>
      </c>
      <c r="J851" s="91">
        <v>0.13699264447049453</v>
      </c>
    </row>
    <row r="852" spans="1:10" x14ac:dyDescent="0.3">
      <c r="A852" s="90">
        <v>44743</v>
      </c>
      <c r="B852" s="59">
        <v>0</v>
      </c>
      <c r="C852" s="59">
        <v>0</v>
      </c>
      <c r="D852" s="59">
        <v>23187.189600000002</v>
      </c>
      <c r="E852" s="59">
        <v>29487.222889619512</v>
      </c>
      <c r="F852" s="59">
        <v>15585.783599999999</v>
      </c>
      <c r="G852" s="59">
        <v>14597.362443032109</v>
      </c>
      <c r="H852" s="91">
        <v>0.27170318603939436</v>
      </c>
      <c r="I852" s="91">
        <v>-6.3418123999096854E-2</v>
      </c>
      <c r="J852" s="91">
        <v>0.13699264447049475</v>
      </c>
    </row>
    <row r="853" spans="1:10" x14ac:dyDescent="0.3">
      <c r="A853" s="90">
        <v>44774</v>
      </c>
      <c r="B853" s="59">
        <v>0</v>
      </c>
      <c r="C853" s="59">
        <v>0</v>
      </c>
      <c r="D853" s="59">
        <v>20265.254459999996</v>
      </c>
      <c r="E853" s="59">
        <v>25771.388662681045</v>
      </c>
      <c r="F853" s="59">
        <v>13621.740109999997</v>
      </c>
      <c r="G853" s="59">
        <v>12757.874906620547</v>
      </c>
      <c r="H853" s="91">
        <v>0.27170318603939458</v>
      </c>
      <c r="I853" s="91">
        <v>-6.3418123999096743E-2</v>
      </c>
      <c r="J853" s="91">
        <v>0.13699264447049475</v>
      </c>
    </row>
    <row r="854" spans="1:10" x14ac:dyDescent="0.3">
      <c r="A854" s="90">
        <v>44805</v>
      </c>
      <c r="B854" s="59">
        <v>0</v>
      </c>
      <c r="C854" s="59">
        <v>0</v>
      </c>
      <c r="D854" s="59">
        <v>22219.158600000002</v>
      </c>
      <c r="E854" s="59">
        <v>28256.174782734608</v>
      </c>
      <c r="F854" s="59">
        <v>14935.1001</v>
      </c>
      <c r="G854" s="59">
        <v>13987.944069919273</v>
      </c>
      <c r="H854" s="91">
        <v>0.27170318603939414</v>
      </c>
      <c r="I854" s="91">
        <v>-6.3418123999097076E-2</v>
      </c>
      <c r="J854" s="91">
        <v>0.13699264447049453</v>
      </c>
    </row>
    <row r="855" spans="1:10" x14ac:dyDescent="0.3">
      <c r="A855" s="90">
        <v>44835</v>
      </c>
      <c r="B855" s="59">
        <v>0</v>
      </c>
      <c r="C855" s="59">
        <v>0</v>
      </c>
      <c r="D855" s="59">
        <v>22219.158600000002</v>
      </c>
      <c r="E855" s="59">
        <v>28256.174782734608</v>
      </c>
      <c r="F855" s="59">
        <v>14935.1001</v>
      </c>
      <c r="G855" s="59">
        <v>13987.944069919273</v>
      </c>
      <c r="H855" s="91">
        <v>0.27170318603939414</v>
      </c>
      <c r="I855" s="91">
        <v>-6.3418123999097076E-2</v>
      </c>
      <c r="J855" s="91">
        <v>0.13699264447049453</v>
      </c>
    </row>
    <row r="856" spans="1:10" x14ac:dyDescent="0.3">
      <c r="A856" s="85" t="s">
        <v>46</v>
      </c>
      <c r="B856" s="59">
        <v>0</v>
      </c>
      <c r="C856" s="59">
        <v>0</v>
      </c>
      <c r="D856" s="59">
        <v>1697769.59094</v>
      </c>
      <c r="E856" s="59">
        <v>2159058.9979591975</v>
      </c>
      <c r="F856" s="59">
        <v>1141193.47379</v>
      </c>
      <c r="G856" s="59">
        <v>1068821.1245622253</v>
      </c>
      <c r="H856" s="91">
        <v>0.2717031860393937</v>
      </c>
      <c r="I856" s="91">
        <v>-6.3418123999096965E-2</v>
      </c>
      <c r="J856" s="91">
        <v>0.13699264447049431</v>
      </c>
    </row>
    <row r="857" spans="1:10" x14ac:dyDescent="0.3">
      <c r="A857" s="86" t="s">
        <v>25</v>
      </c>
      <c r="B857" s="59">
        <v>0</v>
      </c>
      <c r="C857" s="59">
        <v>0</v>
      </c>
      <c r="D857" s="59">
        <v>1697769.59094</v>
      </c>
      <c r="E857" s="59">
        <v>2159058.9979591975</v>
      </c>
      <c r="F857" s="59">
        <v>1141193.47379</v>
      </c>
      <c r="G857" s="59">
        <v>1068821.1245622253</v>
      </c>
      <c r="H857" s="91">
        <v>0.2717031860393937</v>
      </c>
      <c r="I857" s="91">
        <v>-6.3418123999096965E-2</v>
      </c>
      <c r="J857" s="91">
        <v>0.13699264447049431</v>
      </c>
    </row>
    <row r="858" spans="1:10" x14ac:dyDescent="0.3">
      <c r="A858" s="87" t="s">
        <v>25</v>
      </c>
      <c r="B858" s="59">
        <v>0</v>
      </c>
      <c r="C858" s="59">
        <v>0</v>
      </c>
      <c r="D858" s="59">
        <v>1697769.59094</v>
      </c>
      <c r="E858" s="59">
        <v>2159058.9979591975</v>
      </c>
      <c r="F858" s="59">
        <v>1141193.47379</v>
      </c>
      <c r="G858" s="59">
        <v>1068821.1245622253</v>
      </c>
      <c r="H858" s="91">
        <v>0.2717031860393937</v>
      </c>
      <c r="I858" s="91">
        <v>-6.3418123999096965E-2</v>
      </c>
      <c r="J858" s="91">
        <v>0.13699264447049431</v>
      </c>
    </row>
    <row r="859" spans="1:10" x14ac:dyDescent="0.3">
      <c r="A859" s="88" t="s">
        <v>25</v>
      </c>
      <c r="B859" s="59">
        <v>0</v>
      </c>
      <c r="C859" s="59">
        <v>0</v>
      </c>
      <c r="D859" s="59">
        <v>1697769.59094</v>
      </c>
      <c r="E859" s="59">
        <v>2159058.9979591975</v>
      </c>
      <c r="F859" s="59">
        <v>1141193.47379</v>
      </c>
      <c r="G859" s="59">
        <v>1068821.1245622253</v>
      </c>
      <c r="H859" s="91">
        <v>0.2717031860393937</v>
      </c>
      <c r="I859" s="91">
        <v>-6.3418123999096965E-2</v>
      </c>
      <c r="J859" s="91">
        <v>0.13699264447049431</v>
      </c>
    </row>
    <row r="860" spans="1:10" x14ac:dyDescent="0.3">
      <c r="A860" s="89" t="s">
        <v>25</v>
      </c>
      <c r="B860" s="59">
        <v>0</v>
      </c>
      <c r="C860" s="59">
        <v>0</v>
      </c>
      <c r="D860" s="59">
        <v>1697769.59094</v>
      </c>
      <c r="E860" s="59">
        <v>2159058.9979591975</v>
      </c>
      <c r="F860" s="59">
        <v>1141193.47379</v>
      </c>
      <c r="G860" s="59">
        <v>1068821.1245622253</v>
      </c>
      <c r="H860" s="91">
        <v>0.2717031860393937</v>
      </c>
      <c r="I860" s="91">
        <v>-6.3418123999096965E-2</v>
      </c>
      <c r="J860" s="91">
        <v>0.13699264447049431</v>
      </c>
    </row>
    <row r="861" spans="1:10" x14ac:dyDescent="0.3">
      <c r="A861" s="90">
        <v>44501</v>
      </c>
      <c r="B861" s="59">
        <v>0</v>
      </c>
      <c r="C861" s="59">
        <v>0</v>
      </c>
      <c r="D861" s="59">
        <v>149667.84234</v>
      </c>
      <c r="E861" s="59">
        <v>190333.07195141976</v>
      </c>
      <c r="F861" s="59">
        <v>100602.55868999999</v>
      </c>
      <c r="G861" s="59">
        <v>94222.533148371149</v>
      </c>
      <c r="H861" s="91">
        <v>0.27170318603939436</v>
      </c>
      <c r="I861" s="91">
        <v>-6.3418123999096854E-2</v>
      </c>
      <c r="J861" s="91">
        <v>0.13699264447049453</v>
      </c>
    </row>
    <row r="862" spans="1:10" x14ac:dyDescent="0.3">
      <c r="A862" s="90">
        <v>44531</v>
      </c>
      <c r="B862" s="59">
        <v>0</v>
      </c>
      <c r="C862" s="59">
        <v>0</v>
      </c>
      <c r="D862" s="59">
        <v>149105.62512000001</v>
      </c>
      <c r="E862" s="59">
        <v>189618.09852149955</v>
      </c>
      <c r="F862" s="59">
        <v>100224.65192</v>
      </c>
      <c r="G862" s="59">
        <v>93868.59251677111</v>
      </c>
      <c r="H862" s="91">
        <v>0.27170318603939414</v>
      </c>
      <c r="I862" s="91">
        <v>-6.3418123999096965E-2</v>
      </c>
      <c r="J862" s="91">
        <v>0.13699264447049453</v>
      </c>
    </row>
    <row r="863" spans="1:10" x14ac:dyDescent="0.3">
      <c r="A863" s="90">
        <v>44562</v>
      </c>
      <c r="B863" s="59">
        <v>0</v>
      </c>
      <c r="C863" s="59">
        <v>0</v>
      </c>
      <c r="D863" s="59">
        <v>127610.02223999999</v>
      </c>
      <c r="E863" s="59">
        <v>162282.07185316595</v>
      </c>
      <c r="F863" s="59">
        <v>85775.905839999992</v>
      </c>
      <c r="G863" s="59">
        <v>80336.158807304004</v>
      </c>
      <c r="H863" s="91">
        <v>0.27170318603939436</v>
      </c>
      <c r="I863" s="91">
        <v>-6.3418123999096965E-2</v>
      </c>
      <c r="J863" s="91">
        <v>0.13699264447049475</v>
      </c>
    </row>
    <row r="864" spans="1:10" x14ac:dyDescent="0.3">
      <c r="A864" s="90">
        <v>44593</v>
      </c>
      <c r="B864" s="59">
        <v>0</v>
      </c>
      <c r="C864" s="59">
        <v>0</v>
      </c>
      <c r="D864" s="59">
        <v>138568.51277999999</v>
      </c>
      <c r="E864" s="59">
        <v>176218.01918706653</v>
      </c>
      <c r="F864" s="59">
        <v>93141.898229999992</v>
      </c>
      <c r="G864" s="59">
        <v>87235.013778538589</v>
      </c>
      <c r="H864" s="91">
        <v>0.27170318603939436</v>
      </c>
      <c r="I864" s="91">
        <v>-6.3418123999096854E-2</v>
      </c>
      <c r="J864" s="91">
        <v>0.13699264447049475</v>
      </c>
    </row>
    <row r="865" spans="1:10" x14ac:dyDescent="0.3">
      <c r="A865" s="90">
        <v>44621</v>
      </c>
      <c r="B865" s="59">
        <v>0</v>
      </c>
      <c r="C865" s="59">
        <v>0</v>
      </c>
      <c r="D865" s="59">
        <v>134834.95008000001</v>
      </c>
      <c r="E865" s="59">
        <v>171470.03560619871</v>
      </c>
      <c r="F865" s="59">
        <v>90632.30128</v>
      </c>
      <c r="G865" s="59">
        <v>84884.570759101451</v>
      </c>
      <c r="H865" s="91">
        <v>0.27170318603939436</v>
      </c>
      <c r="I865" s="91">
        <v>-6.3418123999096854E-2</v>
      </c>
      <c r="J865" s="91">
        <v>0.13699264447049475</v>
      </c>
    </row>
    <row r="866" spans="1:10" x14ac:dyDescent="0.3">
      <c r="A866" s="90">
        <v>44652</v>
      </c>
      <c r="B866" s="59">
        <v>0</v>
      </c>
      <c r="C866" s="59">
        <v>0</v>
      </c>
      <c r="D866" s="59">
        <v>180568.15109999999</v>
      </c>
      <c r="E866" s="59">
        <v>229629.09305111275</v>
      </c>
      <c r="F866" s="59">
        <v>121372.88634999999</v>
      </c>
      <c r="G866" s="59">
        <v>113675.64559332738</v>
      </c>
      <c r="H866" s="91">
        <v>0.27170318603939436</v>
      </c>
      <c r="I866" s="91">
        <v>-6.3418123999096965E-2</v>
      </c>
      <c r="J866" s="91">
        <v>0.13699264447049475</v>
      </c>
    </row>
    <row r="867" spans="1:10" x14ac:dyDescent="0.3">
      <c r="A867" s="90">
        <v>44682</v>
      </c>
      <c r="B867" s="59">
        <v>0</v>
      </c>
      <c r="C867" s="59">
        <v>0</v>
      </c>
      <c r="D867" s="59">
        <v>159018.64218</v>
      </c>
      <c r="E867" s="59">
        <v>202224.51389996443</v>
      </c>
      <c r="F867" s="59">
        <v>106887.90613</v>
      </c>
      <c r="G867" s="59">
        <v>100109.27564504382</v>
      </c>
      <c r="H867" s="91">
        <v>0.27170318603939436</v>
      </c>
      <c r="I867" s="91">
        <v>-6.3418123999097076E-2</v>
      </c>
      <c r="J867" s="91">
        <v>0.13699264447049453</v>
      </c>
    </row>
    <row r="868" spans="1:10" x14ac:dyDescent="0.3">
      <c r="A868" s="90">
        <v>44713</v>
      </c>
      <c r="B868" s="59">
        <v>0</v>
      </c>
      <c r="C868" s="59">
        <v>0</v>
      </c>
      <c r="D868" s="59">
        <v>119978.90100000001</v>
      </c>
      <c r="E868" s="59">
        <v>152577.5506592051</v>
      </c>
      <c r="F868" s="59">
        <v>80646.478499999997</v>
      </c>
      <c r="G868" s="59">
        <v>75532.030126396494</v>
      </c>
      <c r="H868" s="91">
        <v>0.27170318603939436</v>
      </c>
      <c r="I868" s="91">
        <v>-6.3418123999096965E-2</v>
      </c>
      <c r="J868" s="91">
        <v>0.13699264447049453</v>
      </c>
    </row>
    <row r="869" spans="1:10" x14ac:dyDescent="0.3">
      <c r="A869" s="90">
        <v>44743</v>
      </c>
      <c r="B869" s="59">
        <v>0</v>
      </c>
      <c r="C869" s="59">
        <v>0</v>
      </c>
      <c r="D869" s="59">
        <v>113206.48020000001</v>
      </c>
      <c r="E869" s="59">
        <v>143965.0415506456</v>
      </c>
      <c r="F869" s="59">
        <v>76094.245700000014</v>
      </c>
      <c r="G869" s="59">
        <v>71268.491390579642</v>
      </c>
      <c r="H869" s="91">
        <v>0.27170318603939414</v>
      </c>
      <c r="I869" s="91">
        <v>-6.3418123999097187E-2</v>
      </c>
      <c r="J869" s="91">
        <v>0.13699264447049453</v>
      </c>
    </row>
    <row r="870" spans="1:10" x14ac:dyDescent="0.3">
      <c r="A870" s="90">
        <v>44774</v>
      </c>
      <c r="B870" s="59">
        <v>0</v>
      </c>
      <c r="C870" s="59">
        <v>0</v>
      </c>
      <c r="D870" s="59">
        <v>106656.13710000001</v>
      </c>
      <c r="E870" s="59">
        <v>135634.94936072448</v>
      </c>
      <c r="F870" s="59">
        <v>71691.287349999999</v>
      </c>
      <c r="G870" s="59">
        <v>67144.760399182822</v>
      </c>
      <c r="H870" s="91">
        <v>0.27170318603939458</v>
      </c>
      <c r="I870" s="91">
        <v>-6.3418123999096743E-2</v>
      </c>
      <c r="J870" s="91">
        <v>0.13699264447049497</v>
      </c>
    </row>
    <row r="871" spans="1:10" x14ac:dyDescent="0.3">
      <c r="A871" s="90">
        <v>44805</v>
      </c>
      <c r="B871" s="59">
        <v>0</v>
      </c>
      <c r="C871" s="59">
        <v>0</v>
      </c>
      <c r="D871" s="59">
        <v>159277.16339999999</v>
      </c>
      <c r="E871" s="59">
        <v>202553.27615909721</v>
      </c>
      <c r="F871" s="59">
        <v>107061.67690000001</v>
      </c>
      <c r="G871" s="59">
        <v>100272.02619880454</v>
      </c>
      <c r="H871" s="91">
        <v>0.27170318603939436</v>
      </c>
      <c r="I871" s="91">
        <v>-6.3418123999097076E-2</v>
      </c>
      <c r="J871" s="91">
        <v>0.13699264447049475</v>
      </c>
    </row>
    <row r="872" spans="1:10" x14ac:dyDescent="0.3">
      <c r="A872" s="90">
        <v>44835</v>
      </c>
      <c r="B872" s="59">
        <v>0</v>
      </c>
      <c r="C872" s="59">
        <v>0</v>
      </c>
      <c r="D872" s="59">
        <v>159277.16339999999</v>
      </c>
      <c r="E872" s="59">
        <v>202553.27615909721</v>
      </c>
      <c r="F872" s="59">
        <v>107061.67690000001</v>
      </c>
      <c r="G872" s="59">
        <v>100272.02619880454</v>
      </c>
      <c r="H872" s="91">
        <v>0.27170318603939436</v>
      </c>
      <c r="I872" s="91">
        <v>-6.3418123999097076E-2</v>
      </c>
      <c r="J872" s="91">
        <v>0.13699264447049475</v>
      </c>
    </row>
    <row r="873" spans="1:10" x14ac:dyDescent="0.3">
      <c r="A873" s="85" t="s">
        <v>50</v>
      </c>
      <c r="B873" s="59">
        <v>0</v>
      </c>
      <c r="C873" s="59">
        <v>0</v>
      </c>
      <c r="D873" s="59">
        <v>557703.90263519995</v>
      </c>
      <c r="E873" s="59">
        <v>709233.82984778797</v>
      </c>
      <c r="F873" s="59">
        <v>374873.04366319999</v>
      </c>
      <c r="G873" s="59">
        <v>362304.59525676683</v>
      </c>
      <c r="H873" s="91">
        <v>0.27170318603939436</v>
      </c>
      <c r="I873" s="91">
        <v>-3.3527213062897965E-2</v>
      </c>
      <c r="J873" s="91">
        <v>0.14900805703778452</v>
      </c>
    </row>
    <row r="874" spans="1:10" x14ac:dyDescent="0.3">
      <c r="A874" s="86" t="s">
        <v>51</v>
      </c>
      <c r="B874" s="59">
        <v>0</v>
      </c>
      <c r="C874" s="59">
        <v>0</v>
      </c>
      <c r="D874" s="59">
        <v>557703.90263519995</v>
      </c>
      <c r="E874" s="59">
        <v>709233.82984778797</v>
      </c>
      <c r="F874" s="59">
        <v>374873.04366319999</v>
      </c>
      <c r="G874" s="59">
        <v>362304.59525676683</v>
      </c>
      <c r="H874" s="91">
        <v>0.27170318603939436</v>
      </c>
      <c r="I874" s="91">
        <v>-3.3527213062897965E-2</v>
      </c>
      <c r="J874" s="91">
        <v>0.14900805703778452</v>
      </c>
    </row>
    <row r="875" spans="1:10" x14ac:dyDescent="0.3">
      <c r="A875" s="87" t="s">
        <v>25</v>
      </c>
      <c r="B875" s="59">
        <v>0</v>
      </c>
      <c r="C875" s="59">
        <v>0</v>
      </c>
      <c r="D875" s="59">
        <v>557703.90263519995</v>
      </c>
      <c r="E875" s="59">
        <v>709233.82984778797</v>
      </c>
      <c r="F875" s="59">
        <v>374873.04366319999</v>
      </c>
      <c r="G875" s="59">
        <v>362304.59525676683</v>
      </c>
      <c r="H875" s="91">
        <v>0.27170318603939436</v>
      </c>
      <c r="I875" s="91">
        <v>-3.3527213062897965E-2</v>
      </c>
      <c r="J875" s="91">
        <v>0.14900805703778452</v>
      </c>
    </row>
    <row r="876" spans="1:10" x14ac:dyDescent="0.3">
      <c r="A876" s="88" t="s">
        <v>25</v>
      </c>
      <c r="B876" s="59">
        <v>0</v>
      </c>
      <c r="C876" s="59">
        <v>0</v>
      </c>
      <c r="D876" s="59">
        <v>557703.90263519995</v>
      </c>
      <c r="E876" s="59">
        <v>709233.82984778797</v>
      </c>
      <c r="F876" s="59">
        <v>374873.04366319999</v>
      </c>
      <c r="G876" s="59">
        <v>362304.59525676683</v>
      </c>
      <c r="H876" s="91">
        <v>0.27170318603939436</v>
      </c>
      <c r="I876" s="91">
        <v>-3.3527213062897965E-2</v>
      </c>
      <c r="J876" s="91">
        <v>0.14900805703778452</v>
      </c>
    </row>
    <row r="877" spans="1:10" x14ac:dyDescent="0.3">
      <c r="A877" s="89" t="s">
        <v>25</v>
      </c>
      <c r="B877" s="59">
        <v>0</v>
      </c>
      <c r="C877" s="59">
        <v>0</v>
      </c>
      <c r="D877" s="59">
        <v>557703.90263519995</v>
      </c>
      <c r="E877" s="59">
        <v>709233.82984778797</v>
      </c>
      <c r="F877" s="59">
        <v>374873.04366319999</v>
      </c>
      <c r="G877" s="59">
        <v>362304.59525676683</v>
      </c>
      <c r="H877" s="91">
        <v>0.27170318603939436</v>
      </c>
      <c r="I877" s="91">
        <v>-3.3527213062897965E-2</v>
      </c>
      <c r="J877" s="91">
        <v>0.14900805703778452</v>
      </c>
    </row>
    <row r="878" spans="1:10" x14ac:dyDescent="0.3">
      <c r="A878" s="90">
        <v>44501</v>
      </c>
      <c r="B878" s="59">
        <v>0</v>
      </c>
      <c r="C878" s="59">
        <v>0</v>
      </c>
      <c r="D878" s="59">
        <v>48695.482173599994</v>
      </c>
      <c r="E878" s="59">
        <v>61926.199825891643</v>
      </c>
      <c r="F878" s="59">
        <v>32731.748027599995</v>
      </c>
      <c r="G878" s="59">
        <v>31634.34373755756</v>
      </c>
      <c r="H878" s="91">
        <v>0.27170318603939436</v>
      </c>
      <c r="I878" s="91">
        <v>-3.3527213062897965E-2</v>
      </c>
      <c r="J878" s="91">
        <v>0.14900805703778452</v>
      </c>
    </row>
    <row r="879" spans="1:10" x14ac:dyDescent="0.3">
      <c r="A879" s="90">
        <v>44531</v>
      </c>
      <c r="B879" s="59">
        <v>0</v>
      </c>
      <c r="C879" s="59">
        <v>0</v>
      </c>
      <c r="D879" s="59">
        <v>45294.413446799997</v>
      </c>
      <c r="E879" s="59">
        <v>57601.049890081136</v>
      </c>
      <c r="F879" s="59">
        <v>30445.644273799997</v>
      </c>
      <c r="G879" s="59">
        <v>29424.886671395107</v>
      </c>
      <c r="H879" s="91">
        <v>0.27170318603939414</v>
      </c>
      <c r="I879" s="91">
        <v>-3.3527213062897965E-2</v>
      </c>
      <c r="J879" s="91">
        <v>0.14900805703778452</v>
      </c>
    </row>
    <row r="880" spans="1:10" x14ac:dyDescent="0.3">
      <c r="A880" s="90">
        <v>44562</v>
      </c>
      <c r="B880" s="59">
        <v>0</v>
      </c>
      <c r="C880" s="59">
        <v>0</v>
      </c>
      <c r="D880" s="59">
        <v>45661.604687999999</v>
      </c>
      <c r="E880" s="59">
        <v>58068.00816140094</v>
      </c>
      <c r="F880" s="59">
        <v>30692.460007999995</v>
      </c>
      <c r="G880" s="59">
        <v>29663.427361887305</v>
      </c>
      <c r="H880" s="91">
        <v>0.27170318603939414</v>
      </c>
      <c r="I880" s="91">
        <v>-3.3527213062897965E-2</v>
      </c>
      <c r="J880" s="91">
        <v>0.14900805703778452</v>
      </c>
    </row>
    <row r="881" spans="1:10" x14ac:dyDescent="0.3">
      <c r="A881" s="90">
        <v>44593</v>
      </c>
      <c r="B881" s="59">
        <v>0</v>
      </c>
      <c r="C881" s="59">
        <v>0</v>
      </c>
      <c r="D881" s="59">
        <v>42804.364388400005</v>
      </c>
      <c r="E881" s="59">
        <v>54434.446569119471</v>
      </c>
      <c r="F881" s="59">
        <v>28771.902589399997</v>
      </c>
      <c r="G881" s="59">
        <v>27807.26088106024</v>
      </c>
      <c r="H881" s="91">
        <v>0.27170318603939414</v>
      </c>
      <c r="I881" s="91">
        <v>-3.3527213062897854E-2</v>
      </c>
      <c r="J881" s="91">
        <v>0.1490080570377843</v>
      </c>
    </row>
    <row r="882" spans="1:10" x14ac:dyDescent="0.3">
      <c r="A882" s="90">
        <v>44621</v>
      </c>
      <c r="B882" s="59">
        <v>0</v>
      </c>
      <c r="C882" s="59">
        <v>0</v>
      </c>
      <c r="D882" s="59">
        <v>40408.878671999999</v>
      </c>
      <c r="E882" s="59">
        <v>51388.099751461727</v>
      </c>
      <c r="F882" s="59">
        <v>27161.723751999998</v>
      </c>
      <c r="G882" s="59">
        <v>26251.066852611119</v>
      </c>
      <c r="H882" s="91">
        <v>0.27170318603939436</v>
      </c>
      <c r="I882" s="91">
        <v>-3.3527213062897965E-2</v>
      </c>
      <c r="J882" s="91">
        <v>0.14900805703778452</v>
      </c>
    </row>
    <row r="883" spans="1:10" x14ac:dyDescent="0.3">
      <c r="A883" s="90">
        <v>44652</v>
      </c>
      <c r="B883" s="59">
        <v>0</v>
      </c>
      <c r="C883" s="59">
        <v>0</v>
      </c>
      <c r="D883" s="59">
        <v>45932.448373200001</v>
      </c>
      <c r="E883" s="59">
        <v>58412.44093878843</v>
      </c>
      <c r="F883" s="59">
        <v>30874.513596199995</v>
      </c>
      <c r="G883" s="59">
        <v>29839.377200646861</v>
      </c>
      <c r="H883" s="91">
        <v>0.27170318603939414</v>
      </c>
      <c r="I883" s="91">
        <v>-3.3527213062897854E-2</v>
      </c>
      <c r="J883" s="91">
        <v>0.1490080570377843</v>
      </c>
    </row>
    <row r="884" spans="1:10" x14ac:dyDescent="0.3">
      <c r="A884" s="90">
        <v>44682</v>
      </c>
      <c r="B884" s="59">
        <v>0</v>
      </c>
      <c r="C884" s="59">
        <v>0</v>
      </c>
      <c r="D884" s="59">
        <v>48876.758315999999</v>
      </c>
      <c r="E884" s="59">
        <v>62156.729273734665</v>
      </c>
      <c r="F884" s="59">
        <v>32853.596805999994</v>
      </c>
      <c r="G884" s="59">
        <v>31752.107266002691</v>
      </c>
      <c r="H884" s="91">
        <v>0.27170318603939436</v>
      </c>
      <c r="I884" s="91">
        <v>-3.3527213062897854E-2</v>
      </c>
      <c r="J884" s="91">
        <v>0.14900805703778452</v>
      </c>
    </row>
    <row r="885" spans="1:10" x14ac:dyDescent="0.3">
      <c r="A885" s="90">
        <v>44713</v>
      </c>
      <c r="B885" s="59">
        <v>0</v>
      </c>
      <c r="C885" s="59">
        <v>0</v>
      </c>
      <c r="D885" s="59">
        <v>43280.392683600003</v>
      </c>
      <c r="E885" s="59">
        <v>55039.813268770216</v>
      </c>
      <c r="F885" s="59">
        <v>29091.875562599998</v>
      </c>
      <c r="G885" s="59">
        <v>28116.506052213394</v>
      </c>
      <c r="H885" s="91">
        <v>0.27170318603939436</v>
      </c>
      <c r="I885" s="91">
        <v>-3.3527213062897965E-2</v>
      </c>
      <c r="J885" s="91">
        <v>0.14900805703778452</v>
      </c>
    </row>
    <row r="886" spans="1:10" x14ac:dyDescent="0.3">
      <c r="A886" s="90">
        <v>44743</v>
      </c>
      <c r="B886" s="59">
        <v>0</v>
      </c>
      <c r="C886" s="59">
        <v>0</v>
      </c>
      <c r="D886" s="59">
        <v>48063.156732000003</v>
      </c>
      <c r="E886" s="59">
        <v>61122.069547195162</v>
      </c>
      <c r="F886" s="59">
        <v>32306.716461999997</v>
      </c>
      <c r="G886" s="59">
        <v>31223.562295815889</v>
      </c>
      <c r="H886" s="91">
        <v>0.27170318603939414</v>
      </c>
      <c r="I886" s="91">
        <v>-3.3527213062897965E-2</v>
      </c>
      <c r="J886" s="91">
        <v>0.14900805703778452</v>
      </c>
    </row>
    <row r="887" spans="1:10" x14ac:dyDescent="0.3">
      <c r="A887" s="90">
        <v>44774</v>
      </c>
      <c r="B887" s="59">
        <v>0</v>
      </c>
      <c r="C887" s="59">
        <v>0</v>
      </c>
      <c r="D887" s="59">
        <v>48300.814036800002</v>
      </c>
      <c r="E887" s="59">
        <v>61424.299098894859</v>
      </c>
      <c r="F887" s="59">
        <v>32466.463088799996</v>
      </c>
      <c r="G887" s="59">
        <v>31377.953063423087</v>
      </c>
      <c r="H887" s="91">
        <v>0.27170318603939436</v>
      </c>
      <c r="I887" s="91">
        <v>-3.3527213062897965E-2</v>
      </c>
      <c r="J887" s="91">
        <v>0.14900805703778452</v>
      </c>
    </row>
    <row r="888" spans="1:10" x14ac:dyDescent="0.3">
      <c r="A888" s="90">
        <v>44805</v>
      </c>
      <c r="B888" s="59">
        <v>0</v>
      </c>
      <c r="C888" s="59">
        <v>0</v>
      </c>
      <c r="D888" s="59">
        <v>50192.794562399999</v>
      </c>
      <c r="E888" s="59">
        <v>63830.336761224877</v>
      </c>
      <c r="F888" s="59">
        <v>33738.199748399995</v>
      </c>
      <c r="G888" s="59">
        <v>32607.05193707678</v>
      </c>
      <c r="H888" s="91">
        <v>0.27170318603939458</v>
      </c>
      <c r="I888" s="91">
        <v>-3.3527213062897854E-2</v>
      </c>
      <c r="J888" s="91">
        <v>0.14900805703778475</v>
      </c>
    </row>
    <row r="889" spans="1:10" x14ac:dyDescent="0.3">
      <c r="A889" s="90">
        <v>44835</v>
      </c>
      <c r="B889" s="59">
        <v>0</v>
      </c>
      <c r="C889" s="59">
        <v>0</v>
      </c>
      <c r="D889" s="59">
        <v>50192.794562399999</v>
      </c>
      <c r="E889" s="59">
        <v>63830.336761224877</v>
      </c>
      <c r="F889" s="59">
        <v>33738.199748399995</v>
      </c>
      <c r="G889" s="59">
        <v>32607.05193707678</v>
      </c>
      <c r="H889" s="91">
        <v>0.27170318603939458</v>
      </c>
      <c r="I889" s="91">
        <v>-3.3527213062897854E-2</v>
      </c>
      <c r="J889" s="91">
        <v>0.14900805703778475</v>
      </c>
    </row>
    <row r="890" spans="1:10" x14ac:dyDescent="0.3">
      <c r="A890" s="82" t="s">
        <v>47</v>
      </c>
      <c r="B890" s="59">
        <v>0</v>
      </c>
      <c r="C890" s="59">
        <v>0</v>
      </c>
      <c r="D890" s="59">
        <v>1065765.8407300001</v>
      </c>
      <c r="E890" s="59">
        <v>1355344.3066206756</v>
      </c>
      <c r="F890" s="59">
        <v>716363.70557999995</v>
      </c>
      <c r="G890" s="59">
        <v>670949.99596611189</v>
      </c>
      <c r="H890" s="91">
        <v>0.27170927686360047</v>
      </c>
      <c r="I890" s="91">
        <v>-6.3394766178332729E-2</v>
      </c>
      <c r="J890" s="91">
        <v>0.13700729937525824</v>
      </c>
    </row>
    <row r="891" spans="1:10" x14ac:dyDescent="0.3">
      <c r="A891" s="83" t="s">
        <v>23</v>
      </c>
      <c r="B891" s="59">
        <v>0</v>
      </c>
      <c r="C891" s="59">
        <v>0</v>
      </c>
      <c r="D891" s="59">
        <v>1065765.8407300001</v>
      </c>
      <c r="E891" s="59">
        <v>1355344.3066206756</v>
      </c>
      <c r="F891" s="59">
        <v>716363.70557999995</v>
      </c>
      <c r="G891" s="59">
        <v>670949.99596611189</v>
      </c>
      <c r="H891" s="91">
        <v>0.27170927686360047</v>
      </c>
      <c r="I891" s="91">
        <v>-6.3394766178332729E-2</v>
      </c>
      <c r="J891" s="91">
        <v>0.13700729937525824</v>
      </c>
    </row>
    <row r="892" spans="1:10" x14ac:dyDescent="0.3">
      <c r="A892" s="84" t="s">
        <v>26</v>
      </c>
      <c r="B892" s="59">
        <v>0</v>
      </c>
      <c r="C892" s="59">
        <v>0</v>
      </c>
      <c r="D892" s="59">
        <v>1065765.8407300001</v>
      </c>
      <c r="E892" s="59">
        <v>1355344.3066206756</v>
      </c>
      <c r="F892" s="59">
        <v>716363.70557999995</v>
      </c>
      <c r="G892" s="59">
        <v>670949.99596611189</v>
      </c>
      <c r="H892" s="91">
        <v>0.27170927686360047</v>
      </c>
      <c r="I892" s="91">
        <v>-6.3394766178332729E-2</v>
      </c>
      <c r="J892" s="91">
        <v>0.13700729937525824</v>
      </c>
    </row>
    <row r="893" spans="1:10" x14ac:dyDescent="0.3">
      <c r="A893" s="85" t="s">
        <v>48</v>
      </c>
      <c r="B893" s="59">
        <v>0</v>
      </c>
      <c r="C893" s="59">
        <v>0</v>
      </c>
      <c r="D893" s="59">
        <v>1065765.8407300001</v>
      </c>
      <c r="E893" s="59">
        <v>1355344.3066206756</v>
      </c>
      <c r="F893" s="59">
        <v>716363.70557999995</v>
      </c>
      <c r="G893" s="59">
        <v>670949.99596611189</v>
      </c>
      <c r="H893" s="91">
        <v>0.27170927686360047</v>
      </c>
      <c r="I893" s="91">
        <v>-6.3394766178332729E-2</v>
      </c>
      <c r="J893" s="91">
        <v>0.13700729937525824</v>
      </c>
    </row>
    <row r="894" spans="1:10" x14ac:dyDescent="0.3">
      <c r="A894" s="86" t="s">
        <v>49</v>
      </c>
      <c r="B894" s="59">
        <v>0</v>
      </c>
      <c r="C894" s="59">
        <v>0</v>
      </c>
      <c r="D894" s="59">
        <v>1065765.8407300001</v>
      </c>
      <c r="E894" s="59">
        <v>1355344.3066206756</v>
      </c>
      <c r="F894" s="59">
        <v>716363.70557999995</v>
      </c>
      <c r="G894" s="59">
        <v>670949.99596611189</v>
      </c>
      <c r="H894" s="91">
        <v>0.27170927686360047</v>
      </c>
      <c r="I894" s="91">
        <v>-6.3394766178332729E-2</v>
      </c>
      <c r="J894" s="91">
        <v>0.13700729937525824</v>
      </c>
    </row>
    <row r="895" spans="1:10" x14ac:dyDescent="0.3">
      <c r="A895" s="87" t="s">
        <v>25</v>
      </c>
      <c r="B895" s="59">
        <v>0</v>
      </c>
      <c r="C895" s="59">
        <v>0</v>
      </c>
      <c r="D895" s="59">
        <v>1065765.8407300001</v>
      </c>
      <c r="E895" s="59">
        <v>1355344.3066206756</v>
      </c>
      <c r="F895" s="59">
        <v>716363.70557999995</v>
      </c>
      <c r="G895" s="59">
        <v>670949.99596611189</v>
      </c>
      <c r="H895" s="91">
        <v>0.27170927686360047</v>
      </c>
      <c r="I895" s="91">
        <v>-6.3394766178332729E-2</v>
      </c>
      <c r="J895" s="91">
        <v>0.13700729937525824</v>
      </c>
    </row>
    <row r="896" spans="1:10" x14ac:dyDescent="0.3">
      <c r="A896" s="88" t="s">
        <v>25</v>
      </c>
      <c r="B896" s="59">
        <v>0</v>
      </c>
      <c r="C896" s="59">
        <v>0</v>
      </c>
      <c r="D896" s="59">
        <v>1065765.8407300001</v>
      </c>
      <c r="E896" s="59">
        <v>1355344.3066206756</v>
      </c>
      <c r="F896" s="59">
        <v>716363.70557999995</v>
      </c>
      <c r="G896" s="59">
        <v>670949.99596611189</v>
      </c>
      <c r="H896" s="91">
        <v>0.27170927686360047</v>
      </c>
      <c r="I896" s="91">
        <v>-6.3394766178332729E-2</v>
      </c>
      <c r="J896" s="91">
        <v>0.13700729937525824</v>
      </c>
    </row>
    <row r="897" spans="1:10" x14ac:dyDescent="0.3">
      <c r="A897" s="89" t="s">
        <v>25</v>
      </c>
      <c r="B897" s="59">
        <v>0</v>
      </c>
      <c r="C897" s="59">
        <v>0</v>
      </c>
      <c r="D897" s="59">
        <v>1065765.8407300001</v>
      </c>
      <c r="E897" s="59">
        <v>1355344.3066206756</v>
      </c>
      <c r="F897" s="59">
        <v>716363.70557999995</v>
      </c>
      <c r="G897" s="59">
        <v>670949.99596611189</v>
      </c>
      <c r="H897" s="91">
        <v>0.27170927686360047</v>
      </c>
      <c r="I897" s="91">
        <v>-6.3394766178332729E-2</v>
      </c>
      <c r="J897" s="91">
        <v>0.13700729937525824</v>
      </c>
    </row>
    <row r="898" spans="1:10" x14ac:dyDescent="0.3">
      <c r="A898" s="90">
        <v>44501</v>
      </c>
      <c r="B898" s="59">
        <v>0</v>
      </c>
      <c r="C898" s="59">
        <v>0</v>
      </c>
      <c r="D898" s="59">
        <v>81094.871159999995</v>
      </c>
      <c r="E898" s="59">
        <v>103129.09996023047</v>
      </c>
      <c r="F898" s="59">
        <v>54508.617360000004</v>
      </c>
      <c r="G898" s="59">
        <v>51053.05630775859</v>
      </c>
      <c r="H898" s="91">
        <v>0.27170927686360069</v>
      </c>
      <c r="I898" s="91">
        <v>-6.339476617833284E-2</v>
      </c>
      <c r="J898" s="91">
        <v>0.13700729937525824</v>
      </c>
    </row>
    <row r="899" spans="1:10" x14ac:dyDescent="0.3">
      <c r="A899" s="90">
        <v>44531</v>
      </c>
      <c r="B899" s="59">
        <v>0</v>
      </c>
      <c r="C899" s="59">
        <v>0</v>
      </c>
      <c r="D899" s="59">
        <v>81879.503979999994</v>
      </c>
      <c r="E899" s="59">
        <v>104126.92479635611</v>
      </c>
      <c r="F899" s="59">
        <v>55036.015079999997</v>
      </c>
      <c r="G899" s="59">
        <v>51547.0197726162</v>
      </c>
      <c r="H899" s="91">
        <v>0.27170927686360069</v>
      </c>
      <c r="I899" s="91">
        <v>-6.3394766178332729E-2</v>
      </c>
      <c r="J899" s="91">
        <v>0.13700729937525846</v>
      </c>
    </row>
    <row r="900" spans="1:10" x14ac:dyDescent="0.3">
      <c r="A900" s="90">
        <v>44562</v>
      </c>
      <c r="B900" s="59">
        <v>0</v>
      </c>
      <c r="C900" s="59">
        <v>0</v>
      </c>
      <c r="D900" s="59">
        <v>83208.243539999996</v>
      </c>
      <c r="E900" s="59">
        <v>105816.69522134378</v>
      </c>
      <c r="F900" s="59">
        <v>55929.13884</v>
      </c>
      <c r="G900" s="59">
        <v>52383.524160682689</v>
      </c>
      <c r="H900" s="91">
        <v>0.27170927686360069</v>
      </c>
      <c r="I900" s="91">
        <v>-6.3394766178332729E-2</v>
      </c>
      <c r="J900" s="91">
        <v>0.13700729937525846</v>
      </c>
    </row>
    <row r="901" spans="1:10" x14ac:dyDescent="0.3">
      <c r="A901" s="90">
        <v>44593</v>
      </c>
      <c r="B901" s="59">
        <v>0</v>
      </c>
      <c r="C901" s="59">
        <v>0</v>
      </c>
      <c r="D901" s="59">
        <v>77766.340979999994</v>
      </c>
      <c r="E901" s="59">
        <v>98896.177252003996</v>
      </c>
      <c r="F901" s="59">
        <v>52271.317080000001</v>
      </c>
      <c r="G901" s="59">
        <v>48957.589155879905</v>
      </c>
      <c r="H901" s="91">
        <v>0.27170927686360069</v>
      </c>
      <c r="I901" s="91">
        <v>-6.339476617833284E-2</v>
      </c>
      <c r="J901" s="91">
        <v>0.13700729937525846</v>
      </c>
    </row>
    <row r="902" spans="1:10" x14ac:dyDescent="0.3">
      <c r="A902" s="90">
        <v>44621</v>
      </c>
      <c r="B902" s="59">
        <v>0</v>
      </c>
      <c r="C902" s="59">
        <v>0</v>
      </c>
      <c r="D902" s="59">
        <v>89466.723789999989</v>
      </c>
      <c r="E902" s="59">
        <v>113775.6626143364</v>
      </c>
      <c r="F902" s="59">
        <v>60135.83034</v>
      </c>
      <c r="G902" s="59">
        <v>56323.533436655809</v>
      </c>
      <c r="H902" s="91">
        <v>0.27170927686360091</v>
      </c>
      <c r="I902" s="91">
        <v>-6.339476617833284E-2</v>
      </c>
      <c r="J902" s="91">
        <v>0.13700729937525824</v>
      </c>
    </row>
    <row r="903" spans="1:10" x14ac:dyDescent="0.3">
      <c r="A903" s="90">
        <v>44652</v>
      </c>
      <c r="B903" s="59">
        <v>0</v>
      </c>
      <c r="C903" s="59">
        <v>0</v>
      </c>
      <c r="D903" s="59">
        <v>89953.204490000004</v>
      </c>
      <c r="E903" s="59">
        <v>114394.3246335415</v>
      </c>
      <c r="F903" s="59">
        <v>60462.822540000001</v>
      </c>
      <c r="G903" s="59">
        <v>56629.796042594673</v>
      </c>
      <c r="H903" s="91">
        <v>0.27170927686360069</v>
      </c>
      <c r="I903" s="91">
        <v>-6.3394766178332729E-2</v>
      </c>
      <c r="J903" s="91">
        <v>0.13700729937525846</v>
      </c>
    </row>
    <row r="904" spans="1:10" x14ac:dyDescent="0.3">
      <c r="A904" s="90">
        <v>44682</v>
      </c>
      <c r="B904" s="59">
        <v>0</v>
      </c>
      <c r="C904" s="59">
        <v>0</v>
      </c>
      <c r="D904" s="59">
        <v>95607.655270000003</v>
      </c>
      <c r="E904" s="59">
        <v>121585.14214603613</v>
      </c>
      <c r="F904" s="59">
        <v>64263.510420000006</v>
      </c>
      <c r="G904" s="59">
        <v>60189.540203125245</v>
      </c>
      <c r="H904" s="91">
        <v>0.27170927686360069</v>
      </c>
      <c r="I904" s="91">
        <v>-6.3394766178332951E-2</v>
      </c>
      <c r="J904" s="91">
        <v>0.13700729937525846</v>
      </c>
    </row>
    <row r="905" spans="1:10" x14ac:dyDescent="0.3">
      <c r="A905" s="90">
        <v>44713</v>
      </c>
      <c r="B905" s="59">
        <v>0</v>
      </c>
      <c r="C905" s="59">
        <v>0</v>
      </c>
      <c r="D905" s="59">
        <v>94020.642479999995</v>
      </c>
      <c r="E905" s="59">
        <v>119566.92325849194</v>
      </c>
      <c r="F905" s="59">
        <v>63196.786080000005</v>
      </c>
      <c r="G905" s="59">
        <v>59190.440603236282</v>
      </c>
      <c r="H905" s="91">
        <v>0.27170927686360069</v>
      </c>
      <c r="I905" s="91">
        <v>-6.339476617833284E-2</v>
      </c>
      <c r="J905" s="91">
        <v>0.13700729937525846</v>
      </c>
    </row>
    <row r="906" spans="1:10" x14ac:dyDescent="0.3">
      <c r="A906" s="90">
        <v>44743</v>
      </c>
      <c r="B906" s="59">
        <v>0</v>
      </c>
      <c r="C906" s="59">
        <v>0</v>
      </c>
      <c r="D906" s="59">
        <v>97674.049899999998</v>
      </c>
      <c r="E906" s="59">
        <v>124212.99536666826</v>
      </c>
      <c r="F906" s="59">
        <v>65652.455400000006</v>
      </c>
      <c r="G906" s="59">
        <v>61490.433340883581</v>
      </c>
      <c r="H906" s="91">
        <v>0.27170927686360069</v>
      </c>
      <c r="I906" s="91">
        <v>-6.339476617833284E-2</v>
      </c>
      <c r="J906" s="91">
        <v>0.13700729937525846</v>
      </c>
    </row>
    <row r="907" spans="1:10" x14ac:dyDescent="0.3">
      <c r="A907" s="90">
        <v>44774</v>
      </c>
      <c r="B907" s="59">
        <v>0</v>
      </c>
      <c r="C907" s="59">
        <v>0</v>
      </c>
      <c r="D907" s="59">
        <v>95840.038539999994</v>
      </c>
      <c r="E907" s="59">
        <v>121880.66610628302</v>
      </c>
      <c r="F907" s="59">
        <v>64419.708840000007</v>
      </c>
      <c r="G907" s="59">
        <v>60335.836460811923</v>
      </c>
      <c r="H907" s="91">
        <v>0.27170927686360091</v>
      </c>
      <c r="I907" s="91">
        <v>-6.339476617833284E-2</v>
      </c>
      <c r="J907" s="91">
        <v>0.13700729937525846</v>
      </c>
    </row>
    <row r="908" spans="1:10" x14ac:dyDescent="0.3">
      <c r="A908" s="90">
        <v>44805</v>
      </c>
      <c r="B908" s="59">
        <v>0</v>
      </c>
      <c r="C908" s="59">
        <v>0</v>
      </c>
      <c r="D908" s="59">
        <v>89627.283299999996</v>
      </c>
      <c r="E908" s="59">
        <v>113979.84763269208</v>
      </c>
      <c r="F908" s="59">
        <v>60243.751799999998</v>
      </c>
      <c r="G908" s="59">
        <v>56424.613240933482</v>
      </c>
      <c r="H908" s="91">
        <v>0.27170927686360091</v>
      </c>
      <c r="I908" s="91">
        <v>-6.339476617833284E-2</v>
      </c>
      <c r="J908" s="91">
        <v>0.13700729937525846</v>
      </c>
    </row>
    <row r="909" spans="1:10" x14ac:dyDescent="0.3">
      <c r="A909" s="90">
        <v>44835</v>
      </c>
      <c r="B909" s="59">
        <v>0</v>
      </c>
      <c r="C909" s="59">
        <v>0</v>
      </c>
      <c r="D909" s="59">
        <v>89627.283299999996</v>
      </c>
      <c r="E909" s="59">
        <v>113979.84763269208</v>
      </c>
      <c r="F909" s="59">
        <v>60243.751799999998</v>
      </c>
      <c r="G909" s="59">
        <v>56424.613240933482</v>
      </c>
      <c r="H909" s="91">
        <v>0.27170927686360091</v>
      </c>
      <c r="I909" s="91">
        <v>-6.339476617833284E-2</v>
      </c>
      <c r="J909" s="91">
        <v>0.13700729937525846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87533-CBBE-4C87-9D9F-D4FBC9A31FE5}">
  <sheetPr codeName="Planilha29">
    <tabColor indexed="12" tint="-0.249977111117893"/>
  </sheetPr>
  <dimension ref="A1:AV892"/>
  <sheetViews>
    <sheetView showGridLines="0" topLeftCell="AJ1" workbookViewId="0">
      <selection activeCell="AV8" sqref="AV8:AV10"/>
    </sheetView>
  </sheetViews>
  <sheetFormatPr defaultRowHeight="11.25" customHeight="1" x14ac:dyDescent="0.3"/>
  <cols>
    <col min="1" max="1" width="18.5546875" style="4" bestFit="1" customWidth="1"/>
    <col min="2" max="2" width="12.88671875" style="4" bestFit="1" customWidth="1"/>
    <col min="3" max="3" width="14.109375" style="4" bestFit="1" customWidth="1"/>
    <col min="4" max="4" width="13.21875" style="4" bestFit="1" customWidth="1"/>
    <col min="5" max="5" width="24.44140625" style="4" bestFit="1" customWidth="1"/>
    <col min="6" max="6" width="12.88671875" style="4" bestFit="1" customWidth="1"/>
    <col min="7" max="7" width="37.88671875" style="4" bestFit="1" customWidth="1"/>
    <col min="8" max="8" width="10" style="4" bestFit="1" customWidth="1"/>
    <col min="9" max="9" width="11.77734375" style="5" bestFit="1" customWidth="1"/>
    <col min="10" max="10" width="6.77734375" style="6" bestFit="1" customWidth="1"/>
    <col min="11" max="11" width="7.6640625" style="6" bestFit="1" customWidth="1"/>
    <col min="12" max="12" width="11" style="6" bestFit="1" customWidth="1"/>
    <col min="13" max="13" width="12.21875" style="6" bestFit="1" customWidth="1"/>
    <col min="14" max="14" width="8.88671875" style="6" bestFit="1" customWidth="1"/>
    <col min="15" max="15" width="10.109375" style="6" bestFit="1" customWidth="1"/>
    <col min="16" max="16" width="7.6640625" style="6" bestFit="1" customWidth="1"/>
    <col min="17" max="17" width="10.77734375" style="4" bestFit="1" customWidth="1"/>
    <col min="18" max="18" width="12.77734375" style="4" bestFit="1" customWidth="1"/>
    <col min="19" max="19" width="22.33203125" style="4" bestFit="1" customWidth="1"/>
    <col min="20" max="20" width="23.77734375" style="4" bestFit="1" customWidth="1"/>
    <col min="21" max="21" width="21.6640625" style="4" bestFit="1" customWidth="1"/>
    <col min="22" max="22" width="15.44140625" style="4" bestFit="1" customWidth="1"/>
    <col min="23" max="23" width="16.77734375" style="4" bestFit="1" customWidth="1"/>
    <col min="24" max="24" width="14.6640625" style="4" bestFit="1" customWidth="1"/>
    <col min="25" max="25" width="20.21875" style="4" bestFit="1" customWidth="1"/>
    <col min="26" max="26" width="21.77734375" style="4" bestFit="1" customWidth="1"/>
    <col min="27" max="27" width="19.5546875" style="4" bestFit="1" customWidth="1"/>
    <col min="28" max="28" width="22.6640625" style="4" bestFit="1" customWidth="1"/>
    <col min="29" max="29" width="24" style="4" bestFit="1" customWidth="1"/>
    <col min="30" max="30" width="21.88671875" style="4" bestFit="1" customWidth="1"/>
    <col min="31" max="31" width="23.44140625" style="4" bestFit="1" customWidth="1"/>
    <col min="32" max="32" width="24.88671875" style="4" bestFit="1" customWidth="1"/>
    <col min="33" max="33" width="22.77734375" style="4" bestFit="1" customWidth="1"/>
    <col min="34" max="34" width="8.88671875" style="4"/>
    <col min="35" max="35" width="9" style="4" bestFit="1" customWidth="1"/>
    <col min="36" max="36" width="14.109375" style="4" bestFit="1" customWidth="1"/>
    <col min="37" max="37" width="15" style="4" bestFit="1" customWidth="1"/>
    <col min="38" max="38" width="9" style="4" bestFit="1" customWidth="1"/>
    <col min="39" max="39" width="8.88671875" style="4"/>
    <col min="40" max="40" width="9" style="4" bestFit="1" customWidth="1"/>
    <col min="41" max="41" width="11.88671875" style="4" bestFit="1" customWidth="1"/>
    <col min="42" max="42" width="12.88671875" style="4" bestFit="1" customWidth="1"/>
    <col min="43" max="43" width="9" style="4" bestFit="1" customWidth="1"/>
    <col min="44" max="44" width="8.88671875" style="4"/>
    <col min="45" max="45" width="9" style="4" bestFit="1" customWidth="1"/>
    <col min="46" max="47" width="10.5546875" style="4" bestFit="1" customWidth="1"/>
    <col min="48" max="48" width="9" style="4" bestFit="1" customWidth="1"/>
    <col min="49" max="16384" width="8.88671875" style="4"/>
  </cols>
  <sheetData>
    <row r="1" spans="1:4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763</v>
      </c>
      <c r="W1" s="1" t="s">
        <v>764</v>
      </c>
      <c r="X1" s="1" t="s">
        <v>765</v>
      </c>
      <c r="Y1" s="1" t="s">
        <v>766</v>
      </c>
      <c r="Z1" s="1" t="s">
        <v>767</v>
      </c>
      <c r="AA1" s="1" t="s">
        <v>768</v>
      </c>
      <c r="AB1" s="1" t="s">
        <v>781</v>
      </c>
      <c r="AC1" s="1" t="s">
        <v>782</v>
      </c>
      <c r="AD1" s="1" t="s">
        <v>783</v>
      </c>
      <c r="AE1" s="1" t="s">
        <v>784</v>
      </c>
      <c r="AF1" s="1" t="s">
        <v>785</v>
      </c>
      <c r="AG1" s="1" t="s">
        <v>786</v>
      </c>
      <c r="AI1" s="34" t="s">
        <v>69</v>
      </c>
      <c r="AJ1" s="34" t="s">
        <v>787</v>
      </c>
      <c r="AK1" s="34" t="s">
        <v>788</v>
      </c>
      <c r="AL1" s="34" t="s">
        <v>789</v>
      </c>
      <c r="AN1" s="34" t="s">
        <v>69</v>
      </c>
      <c r="AO1" s="34" t="s">
        <v>790</v>
      </c>
      <c r="AP1" s="34" t="s">
        <v>791</v>
      </c>
      <c r="AQ1" s="34" t="s">
        <v>789</v>
      </c>
      <c r="AS1" s="34" t="s">
        <v>69</v>
      </c>
      <c r="AT1" s="34" t="s">
        <v>792</v>
      </c>
      <c r="AU1" s="34" t="s">
        <v>793</v>
      </c>
      <c r="AV1" s="34" t="s">
        <v>789</v>
      </c>
    </row>
    <row r="2" spans="1:48" ht="11.25" customHeight="1" x14ac:dyDescent="0.3">
      <c r="A2" s="4" t="s">
        <v>21</v>
      </c>
      <c r="B2" s="4" t="s">
        <v>45</v>
      </c>
      <c r="C2" s="4" t="s">
        <v>42</v>
      </c>
      <c r="D2" s="4" t="s">
        <v>41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44562</v>
      </c>
      <c r="J2" s="6">
        <v>30</v>
      </c>
      <c r="K2" s="6">
        <v>30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26</v>
      </c>
      <c r="R2" s="4">
        <v>0</v>
      </c>
      <c r="S2" s="6">
        <v>3</v>
      </c>
      <c r="T2" s="6">
        <v>0</v>
      </c>
      <c r="U2" s="6">
        <v>0</v>
      </c>
      <c r="V2" s="6">
        <f>IF(ISERROR(VLOOKUP($S$2,'TAR FIN'!$A$1:$O$103,15,0)),0,VLOOKUP($S$2,'TAR FIN'!$A$1:$O$103,15,0))</f>
        <v>18.920000000000002</v>
      </c>
      <c r="W2" s="6">
        <f>IF(ISERROR(VLOOKUP($T$2,'TAR FIN'!$A$1:$O$103,15,0)),0,VLOOKUP($T$2,'TAR FIN'!$A$1:$O$103,15,0))</f>
        <v>0</v>
      </c>
      <c r="X2" s="6">
        <f>IF(ISERROR(VLOOKUP($U$2,'TAR FIN'!$A$1:$O$103,15,0)),0,VLOOKUP($U$2,'TAR FIN'!$A$1:$O$103,15,0))</f>
        <v>0</v>
      </c>
      <c r="Y2" s="6">
        <f ca="1">('TUSD BE'!$AM$6+'TUSD BF_350'!$AM$6+'TUSD CVA'!$AM$6)*1</f>
        <v>21.369338625624472</v>
      </c>
      <c r="Z2" s="6">
        <f ca="1">('TUSD BE'!$AM$7+'TUSD BF_350'!$AM$7+'TUSD CVA'!$AM$7)*1</f>
        <v>145.72237393634796</v>
      </c>
      <c r="AA2" s="6">
        <f ca="1">('TE BE'!$AB$6+'TE BF_350'!$AB$6+'TE CVA'!$AB$6)*1</f>
        <v>222.39386487986414</v>
      </c>
      <c r="AB2" s="6">
        <f>$K$2*$V$2</f>
        <v>567.6</v>
      </c>
      <c r="AC2" s="6">
        <f>$M$2*$W$2</f>
        <v>0</v>
      </c>
      <c r="AD2" s="6">
        <f>$O$2*$X$2</f>
        <v>0</v>
      </c>
      <c r="AE2" s="6">
        <f ca="1">$K$2*$Y$2</f>
        <v>641.08015876873412</v>
      </c>
      <c r="AF2" s="6">
        <f ca="1">$M$2*$Z$2</f>
        <v>0</v>
      </c>
      <c r="AG2" s="6">
        <f ca="1">$O$2*$AA$2</f>
        <v>0</v>
      </c>
      <c r="AI2" s="35" t="s">
        <v>45</v>
      </c>
      <c r="AJ2" s="36">
        <f t="shared" ref="AJ2:AJ7" si="0">SUMIF($B$2:$B$886,AI2,$AB$2:$AB$886)+SUMIF($B$2:$B$886,AI2,$AC$2:$AC$886)</f>
        <v>788109.95433600014</v>
      </c>
      <c r="AK2" s="36">
        <f t="shared" ref="AK2:AK7" ca="1" si="1">SUMIF($B$2:$B$886,AI2,$AE$2:$AE$886)+SUMIF($B$2:$B$886,AI2,$AF$2:$AF$886)</f>
        <v>932241.28781687305</v>
      </c>
      <c r="AL2" s="37">
        <f t="shared" ref="AL2:AL10" ca="1" si="2">IF(AJ2&lt;&gt;0,AK2/AJ2-1,0)</f>
        <v>0.18288226495287296</v>
      </c>
      <c r="AN2" s="35" t="s">
        <v>45</v>
      </c>
      <c r="AO2" s="36">
        <f t="shared" ref="AO2:AO7" si="3">SUMIF($B$2:$B$886,AN2,$AD$2:$AD$886)</f>
        <v>266820.27776960004</v>
      </c>
      <c r="AP2" s="36">
        <f t="shared" ref="AP2:AP7" ca="1" si="4">SUMIF($B$2:$B$886,AN2,$AG$2:$AG$886)</f>
        <v>248752.65439930873</v>
      </c>
      <c r="AQ2" s="37">
        <f t="shared" ref="AQ2:AQ10" ca="1" si="5">IF(AO2&lt;&gt;0,AP2/AO2-1,0)</f>
        <v>-6.7714581220445158E-2</v>
      </c>
      <c r="AS2" s="35" t="s">
        <v>45</v>
      </c>
      <c r="AT2" s="36">
        <f t="shared" ref="AT2:AT7" si="6">SUMIF($B$2:$B$886,AS2,$AB$2:$AB$886)+SUMIF($B$2:$B$886,AS2,$AC$2:$AC$886)+SUMIF($B$2:$B$886,AS2,$AD$2:$AD$886)</f>
        <v>1054930.2321056002</v>
      </c>
      <c r="AU2" s="36">
        <f t="shared" ref="AU2:AU7" ca="1" si="7">SUMIF($B$2:$B$886,AS2,$AE$2:$AE$886)+SUMIF($B$2:$B$886,AS2,$AF$2:$AF$886)+SUMIF($B$2:$B$886,AS2,$AG$2:$AG$886)</f>
        <v>1180993.9422161817</v>
      </c>
      <c r="AV2" s="37">
        <f t="shared" ref="AV2:AV10" ca="1" si="8">IF(AT2&lt;&gt;0,AU2/AT2-1,0)</f>
        <v>0.11949957094220642</v>
      </c>
    </row>
    <row r="3" spans="1:48" ht="11.25" customHeight="1" x14ac:dyDescent="0.3">
      <c r="A3" s="4" t="s">
        <v>21</v>
      </c>
      <c r="B3" s="4" t="s">
        <v>45</v>
      </c>
      <c r="C3" s="4" t="s">
        <v>42</v>
      </c>
      <c r="D3" s="4" t="s">
        <v>41</v>
      </c>
      <c r="E3" s="4" t="s">
        <v>25</v>
      </c>
      <c r="F3" s="4" t="s">
        <v>25</v>
      </c>
      <c r="G3" s="4" t="s">
        <v>25</v>
      </c>
      <c r="H3" s="4" t="s">
        <v>34</v>
      </c>
      <c r="I3" s="5">
        <v>44562</v>
      </c>
      <c r="J3" s="6">
        <v>30</v>
      </c>
      <c r="K3" s="6">
        <v>30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26</v>
      </c>
      <c r="R3" s="4">
        <v>0</v>
      </c>
      <c r="S3" s="6">
        <v>1</v>
      </c>
      <c r="T3" s="6">
        <v>0</v>
      </c>
      <c r="U3" s="6">
        <v>0</v>
      </c>
      <c r="V3" s="6">
        <f>IF(ISERROR(VLOOKUP($S$3,'TAR FIN'!$A$1:$O$103,15,0)),0,VLOOKUP($S$3,'TAR FIN'!$A$1:$O$103,15,0))</f>
        <v>45.73</v>
      </c>
      <c r="W3" s="6">
        <f>IF(ISERROR(VLOOKUP($T$3,'TAR FIN'!$A$1:$O$103,15,0)),0,VLOOKUP($T$3,'TAR FIN'!$A$1:$O$103,15,0))</f>
        <v>0</v>
      </c>
      <c r="X3" s="6">
        <f>IF(ISERROR(VLOOKUP($U$3,'TAR FIN'!$A$1:$O$103,15,0)),0,VLOOKUP($U$3,'TAR FIN'!$A$1:$O$103,15,0))</f>
        <v>0</v>
      </c>
      <c r="Y3" s="6">
        <f ca="1">('TUSD BE'!$AM$5+'TUSD BF_350'!$AM$5+'TUSD CVA'!$AM$5)*1</f>
        <v>51.039453840016805</v>
      </c>
      <c r="Z3" s="6">
        <f ca="1">('TUSD BE'!$AM$7+'TUSD BF_350'!$AM$7+'TUSD CVA'!$AM$7)*1</f>
        <v>145.72237393634796</v>
      </c>
      <c r="AA3" s="6">
        <f ca="1">('TE BE'!$AB$5+'TE BF_350'!$AB$5+'TE CVA'!$AB$5)*1</f>
        <v>361.95264704220779</v>
      </c>
      <c r="AB3" s="6">
        <f>$K$3*$V$3</f>
        <v>1371.8999999999999</v>
      </c>
      <c r="AC3" s="6">
        <f>$M$3*$W$3</f>
        <v>0</v>
      </c>
      <c r="AD3" s="6">
        <f>$O$3*$X$3</f>
        <v>0</v>
      </c>
      <c r="AE3" s="6">
        <f ca="1">$K$3*$Y$3</f>
        <v>1531.1836152005042</v>
      </c>
      <c r="AF3" s="6">
        <f ca="1">$M$3*$Z$3</f>
        <v>0</v>
      </c>
      <c r="AG3" s="6">
        <f ca="1">$O$3*$AA$3</f>
        <v>0</v>
      </c>
      <c r="AI3" s="35" t="s">
        <v>39</v>
      </c>
      <c r="AJ3" s="36">
        <f t="shared" si="0"/>
        <v>5870585.0618053861</v>
      </c>
      <c r="AK3" s="36">
        <f t="shared" ca="1" si="1"/>
        <v>7965318.6056190887</v>
      </c>
      <c r="AL3" s="37">
        <f t="shared" ca="1" si="2"/>
        <v>0.3568185320134869</v>
      </c>
      <c r="AN3" s="35" t="s">
        <v>39</v>
      </c>
      <c r="AO3" s="36">
        <f t="shared" si="3"/>
        <v>4708595.2003349978</v>
      </c>
      <c r="AP3" s="36">
        <f t="shared" ca="1" si="4"/>
        <v>4343771.0803187443</v>
      </c>
      <c r="AQ3" s="37">
        <f t="shared" ca="1" si="5"/>
        <v>-7.7480459562609627E-2</v>
      </c>
      <c r="AS3" s="35" t="s">
        <v>39</v>
      </c>
      <c r="AT3" s="36">
        <f t="shared" si="6"/>
        <v>10579180.262140384</v>
      </c>
      <c r="AU3" s="36">
        <f t="shared" ca="1" si="7"/>
        <v>12309089.685937833</v>
      </c>
      <c r="AV3" s="37">
        <f t="shared" ca="1" si="8"/>
        <v>0.16352017651010819</v>
      </c>
    </row>
    <row r="4" spans="1:48" ht="11.25" customHeight="1" x14ac:dyDescent="0.3">
      <c r="A4" s="4" t="s">
        <v>21</v>
      </c>
      <c r="B4" s="4" t="s">
        <v>45</v>
      </c>
      <c r="C4" s="4" t="s">
        <v>42</v>
      </c>
      <c r="D4" s="4" t="s">
        <v>44</v>
      </c>
      <c r="E4" s="4" t="s">
        <v>53</v>
      </c>
      <c r="F4" s="4" t="s">
        <v>55</v>
      </c>
      <c r="G4" s="4" t="s">
        <v>25</v>
      </c>
      <c r="H4" s="4" t="s">
        <v>35</v>
      </c>
      <c r="I4" s="5">
        <v>44713</v>
      </c>
      <c r="J4" s="6">
        <v>0</v>
      </c>
      <c r="K4" s="6">
        <v>0</v>
      </c>
      <c r="L4" s="6">
        <v>169.28800000000001</v>
      </c>
      <c r="M4" s="6">
        <v>33.857599999999998</v>
      </c>
      <c r="N4" s="6">
        <v>169.28800000000001</v>
      </c>
      <c r="O4" s="6">
        <v>33.857599999999998</v>
      </c>
      <c r="P4" s="6">
        <v>0</v>
      </c>
      <c r="Q4" s="4" t="s">
        <v>26</v>
      </c>
      <c r="R4" s="4">
        <v>0</v>
      </c>
      <c r="S4" s="6">
        <v>0</v>
      </c>
      <c r="T4" s="6">
        <v>6</v>
      </c>
      <c r="U4" s="6">
        <v>63</v>
      </c>
      <c r="V4" s="6">
        <f>IF(ISERROR(VLOOKUP($S$4,'TAR FIN'!$A$1:$O$103,15,0)),0,VLOOKUP($S$4,'TAR FIN'!$A$1:$O$103,15,0))</f>
        <v>0</v>
      </c>
      <c r="W4" s="6">
        <f>IF(ISERROR(VLOOKUP($T$4,'TAR FIN'!$A$1:$O$103,15,0)),0,VLOOKUP($T$4,'TAR FIN'!$A$1:$O$103,15,0))</f>
        <v>84.99</v>
      </c>
      <c r="X4" s="6">
        <f>IF(ISERROR(VLOOKUP($U$4,'TAR FIN'!$A$1:$O$103,15,0)),0,VLOOKUP($U$4,'TAR FIN'!$A$1:$O$103,15,0))</f>
        <v>242.77</v>
      </c>
      <c r="Y4" s="6">
        <f ca="1">('TUSD BE'!$AM$6+'TUSD BF_350'!$AM$6+'TUSD CVA'!$AM$6)*1</f>
        <v>21.369338625624472</v>
      </c>
      <c r="Z4" s="6">
        <f ca="1">('TUSD BE'!$AM$7+'TUSD BF_350'!$AM$7+'TUSD CVA'!$AM$7)*1</f>
        <v>145.72237393634796</v>
      </c>
      <c r="AA4" s="6">
        <f ca="1">('TE BE'!$AB$6+'TE BF_350'!$AB$6+'TE CVA'!$AB$6)*1</f>
        <v>222.39386487986414</v>
      </c>
      <c r="AB4" s="6">
        <f>$K$4*$V$4</f>
        <v>0</v>
      </c>
      <c r="AC4" s="6">
        <f>$M$4*$W$4</f>
        <v>2877.5574239999996</v>
      </c>
      <c r="AD4" s="6">
        <f>$O$4*$X$4</f>
        <v>8219.6095519999999</v>
      </c>
      <c r="AE4" s="6">
        <f ca="1">$K$4*$Y$4</f>
        <v>0</v>
      </c>
      <c r="AF4" s="6">
        <f ca="1">$M$4*$Z$4</f>
        <v>4933.8098477872945</v>
      </c>
      <c r="AG4" s="6">
        <f ca="1">$O$4*$AA$4</f>
        <v>7529.7225195564879</v>
      </c>
      <c r="AI4" s="35" t="s">
        <v>22</v>
      </c>
      <c r="AJ4" s="36">
        <f t="shared" si="0"/>
        <v>18810270.251039986</v>
      </c>
      <c r="AK4" s="36">
        <f t="shared" ca="1" si="1"/>
        <v>18866757.739264991</v>
      </c>
      <c r="AL4" s="37">
        <f t="shared" ca="1" si="2"/>
        <v>3.003013113109354E-3</v>
      </c>
      <c r="AN4" s="35" t="s">
        <v>22</v>
      </c>
      <c r="AO4" s="36">
        <f t="shared" si="3"/>
        <v>12828733.238685004</v>
      </c>
      <c r="AP4" s="36">
        <f t="shared" ca="1" si="4"/>
        <v>14404367.490425246</v>
      </c>
      <c r="AQ4" s="37">
        <f t="shared" ca="1" si="5"/>
        <v>0.12282071989687338</v>
      </c>
      <c r="AS4" s="35" t="s">
        <v>22</v>
      </c>
      <c r="AT4" s="36">
        <f t="shared" si="6"/>
        <v>31639003.48972499</v>
      </c>
      <c r="AU4" s="36">
        <f t="shared" ca="1" si="7"/>
        <v>33271125.229690239</v>
      </c>
      <c r="AV4" s="37">
        <f t="shared" ca="1" si="8"/>
        <v>5.1585750496070171E-2</v>
      </c>
    </row>
    <row r="5" spans="1:48" ht="11.25" customHeight="1" x14ac:dyDescent="0.3">
      <c r="A5" s="4" t="s">
        <v>21</v>
      </c>
      <c r="B5" s="4" t="s">
        <v>45</v>
      </c>
      <c r="C5" s="4" t="s">
        <v>42</v>
      </c>
      <c r="D5" s="4" t="s">
        <v>44</v>
      </c>
      <c r="E5" s="4" t="s">
        <v>53</v>
      </c>
      <c r="F5" s="4" t="s">
        <v>55</v>
      </c>
      <c r="G5" s="4" t="s">
        <v>25</v>
      </c>
      <c r="H5" s="4" t="s">
        <v>35</v>
      </c>
      <c r="I5" s="5">
        <v>44743</v>
      </c>
      <c r="J5" s="6">
        <v>0</v>
      </c>
      <c r="K5" s="6">
        <v>0</v>
      </c>
      <c r="L5" s="6">
        <v>169.28800000000001</v>
      </c>
      <c r="M5" s="6">
        <v>33.857599999999998</v>
      </c>
      <c r="N5" s="6">
        <v>169.28800000000001</v>
      </c>
      <c r="O5" s="6">
        <v>33.857599999999998</v>
      </c>
      <c r="P5" s="6">
        <v>0</v>
      </c>
      <c r="Q5" s="4" t="s">
        <v>26</v>
      </c>
      <c r="R5" s="4">
        <v>0</v>
      </c>
      <c r="S5" s="6">
        <v>0</v>
      </c>
      <c r="T5" s="6">
        <v>6</v>
      </c>
      <c r="U5" s="6">
        <v>63</v>
      </c>
      <c r="V5" s="6">
        <f>IF(ISERROR(VLOOKUP($S$5,'TAR FIN'!$A$1:$O$103,15,0)),0,VLOOKUP($S$5,'TAR FIN'!$A$1:$O$103,15,0))</f>
        <v>0</v>
      </c>
      <c r="W5" s="6">
        <f>IF(ISERROR(VLOOKUP($T$5,'TAR FIN'!$A$1:$O$103,15,0)),0,VLOOKUP($T$5,'TAR FIN'!$A$1:$O$103,15,0))</f>
        <v>84.99</v>
      </c>
      <c r="X5" s="6">
        <f>IF(ISERROR(VLOOKUP($U$5,'TAR FIN'!$A$1:$O$103,15,0)),0,VLOOKUP($U$5,'TAR FIN'!$A$1:$O$103,15,0))</f>
        <v>242.77</v>
      </c>
      <c r="Y5" s="6">
        <f ca="1">('TUSD BE'!$AM$6+'TUSD BF_350'!$AM$6+'TUSD CVA'!$AM$6)*1</f>
        <v>21.369338625624472</v>
      </c>
      <c r="Z5" s="6">
        <f ca="1">('TUSD BE'!$AM$7+'TUSD BF_350'!$AM$7+'TUSD CVA'!$AM$7)*1</f>
        <v>145.72237393634796</v>
      </c>
      <c r="AA5" s="6">
        <f ca="1">('TE BE'!$AB$6+'TE BF_350'!$AB$6+'TE CVA'!$AB$6)*1</f>
        <v>222.39386487986414</v>
      </c>
      <c r="AB5" s="6">
        <f>$K$5*$V$5</f>
        <v>0</v>
      </c>
      <c r="AC5" s="6">
        <f>$M$5*$W$5</f>
        <v>2877.5574239999996</v>
      </c>
      <c r="AD5" s="6">
        <f>$O$5*$X$5</f>
        <v>8219.6095519999999</v>
      </c>
      <c r="AE5" s="6">
        <f ca="1">$K$5*$Y$5</f>
        <v>0</v>
      </c>
      <c r="AF5" s="6">
        <f ca="1">$M$5*$Z$5</f>
        <v>4933.8098477872945</v>
      </c>
      <c r="AG5" s="6">
        <f ca="1">$O$5*$AA$5</f>
        <v>7529.7225195564879</v>
      </c>
      <c r="AI5" s="35" t="s">
        <v>43</v>
      </c>
      <c r="AJ5" s="36">
        <f t="shared" si="0"/>
        <v>5648370.6193618001</v>
      </c>
      <c r="AK5" s="36">
        <f t="shared" ca="1" si="1"/>
        <v>6110648.6771882847</v>
      </c>
      <c r="AL5" s="37">
        <f t="shared" ca="1" si="2"/>
        <v>8.1842727572065233E-2</v>
      </c>
      <c r="AN5" s="35" t="s">
        <v>43</v>
      </c>
      <c r="AO5" s="36">
        <f t="shared" si="3"/>
        <v>3796634.3059169999</v>
      </c>
      <c r="AP5" s="36">
        <f t="shared" ca="1" si="4"/>
        <v>4553583.9380493546</v>
      </c>
      <c r="AQ5" s="37">
        <f t="shared" ca="1" si="5"/>
        <v>0.19937385882876835</v>
      </c>
      <c r="AS5" s="35" t="s">
        <v>43</v>
      </c>
      <c r="AT5" s="36">
        <f t="shared" si="6"/>
        <v>9445004.9252787996</v>
      </c>
      <c r="AU5" s="36">
        <f t="shared" ca="1" si="7"/>
        <v>10664232.615237638</v>
      </c>
      <c r="AV5" s="37">
        <f t="shared" ca="1" si="8"/>
        <v>0.12908703590992032</v>
      </c>
    </row>
    <row r="6" spans="1:48" ht="11.25" customHeight="1" x14ac:dyDescent="0.3">
      <c r="A6" s="4" t="s">
        <v>21</v>
      </c>
      <c r="B6" s="4" t="s">
        <v>45</v>
      </c>
      <c r="C6" s="4" t="s">
        <v>42</v>
      </c>
      <c r="D6" s="4" t="s">
        <v>44</v>
      </c>
      <c r="E6" s="4" t="s">
        <v>53</v>
      </c>
      <c r="F6" s="4" t="s">
        <v>55</v>
      </c>
      <c r="G6" s="4" t="s">
        <v>25</v>
      </c>
      <c r="H6" s="4" t="s">
        <v>35</v>
      </c>
      <c r="I6" s="5">
        <v>44774</v>
      </c>
      <c r="J6" s="6">
        <v>0</v>
      </c>
      <c r="K6" s="6">
        <v>0</v>
      </c>
      <c r="L6" s="6">
        <v>498.92200000000003</v>
      </c>
      <c r="M6" s="6">
        <v>99.784400000000005</v>
      </c>
      <c r="N6" s="6">
        <v>498.92200000000003</v>
      </c>
      <c r="O6" s="6">
        <v>99.784400000000005</v>
      </c>
      <c r="P6" s="6">
        <v>0</v>
      </c>
      <c r="Q6" s="4" t="s">
        <v>26</v>
      </c>
      <c r="R6" s="4">
        <v>0</v>
      </c>
      <c r="S6" s="6">
        <v>0</v>
      </c>
      <c r="T6" s="6">
        <v>6</v>
      </c>
      <c r="U6" s="6">
        <v>63</v>
      </c>
      <c r="V6" s="6">
        <f>IF(ISERROR(VLOOKUP($S$6,'TAR FIN'!$A$1:$O$103,15,0)),0,VLOOKUP($S$6,'TAR FIN'!$A$1:$O$103,15,0))</f>
        <v>0</v>
      </c>
      <c r="W6" s="6">
        <f>IF(ISERROR(VLOOKUP($T$6,'TAR FIN'!$A$1:$O$103,15,0)),0,VLOOKUP($T$6,'TAR FIN'!$A$1:$O$103,15,0))</f>
        <v>84.99</v>
      </c>
      <c r="X6" s="6">
        <f>IF(ISERROR(VLOOKUP($U$6,'TAR FIN'!$A$1:$O$103,15,0)),0,VLOOKUP($U$6,'TAR FIN'!$A$1:$O$103,15,0))</f>
        <v>242.77</v>
      </c>
      <c r="Y6" s="6">
        <f ca="1">('TUSD BE'!$AM$6+'TUSD BF_350'!$AM$6+'TUSD CVA'!$AM$6)*1</f>
        <v>21.369338625624472</v>
      </c>
      <c r="Z6" s="6">
        <f ca="1">('TUSD BE'!$AM$7+'TUSD BF_350'!$AM$7+'TUSD CVA'!$AM$7)*1</f>
        <v>145.72237393634796</v>
      </c>
      <c r="AA6" s="6">
        <f ca="1">('TE BE'!$AB$6+'TE BF_350'!$AB$6+'TE CVA'!$AB$6)*1</f>
        <v>222.39386487986414</v>
      </c>
      <c r="AB6" s="6">
        <f>$K$6*$V$6</f>
        <v>0</v>
      </c>
      <c r="AC6" s="6">
        <f>$M$6*$W$6</f>
        <v>8480.6761559999995</v>
      </c>
      <c r="AD6" s="6">
        <f>$O$6*$X$6</f>
        <v>24224.658788000001</v>
      </c>
      <c r="AE6" s="6">
        <f ca="1">$K$6*$Y$6</f>
        <v>0</v>
      </c>
      <c r="AF6" s="6">
        <f ca="1">$M$6*$Z$6</f>
        <v>14540.819649814121</v>
      </c>
      <c r="AG6" s="6">
        <f ca="1">$O$6*$AA$6</f>
        <v>22191.438370718315</v>
      </c>
      <c r="AI6" s="35" t="s">
        <v>37</v>
      </c>
      <c r="AJ6" s="36">
        <f t="shared" si="0"/>
        <v>9208232.8355051987</v>
      </c>
      <c r="AK6" s="36">
        <f t="shared" ca="1" si="1"/>
        <v>9342572.2069903966</v>
      </c>
      <c r="AL6" s="37">
        <f t="shared" ca="1" si="2"/>
        <v>1.4589050242866497E-2</v>
      </c>
      <c r="AN6" s="35" t="s">
        <v>37</v>
      </c>
      <c r="AO6" s="36">
        <f t="shared" si="3"/>
        <v>6190889.4312032033</v>
      </c>
      <c r="AP6" s="36">
        <f t="shared" ca="1" si="4"/>
        <v>6964698.2918247972</v>
      </c>
      <c r="AQ6" s="37">
        <f t="shared" ca="1" si="5"/>
        <v>0.12499154914986166</v>
      </c>
      <c r="AS6" s="35" t="s">
        <v>37</v>
      </c>
      <c r="AT6" s="36">
        <f t="shared" si="6"/>
        <v>15399122.266708402</v>
      </c>
      <c r="AU6" s="36">
        <f t="shared" ca="1" si="7"/>
        <v>16307270.498815194</v>
      </c>
      <c r="AV6" s="37">
        <f t="shared" ca="1" si="8"/>
        <v>5.8974025686524545E-2</v>
      </c>
    </row>
    <row r="7" spans="1:48" ht="11.25" customHeight="1" x14ac:dyDescent="0.3">
      <c r="A7" s="4" t="s">
        <v>21</v>
      </c>
      <c r="B7" s="4" t="s">
        <v>45</v>
      </c>
      <c r="C7" s="4" t="s">
        <v>42</v>
      </c>
      <c r="D7" s="4" t="s">
        <v>44</v>
      </c>
      <c r="E7" s="4" t="s">
        <v>53</v>
      </c>
      <c r="F7" s="4" t="s">
        <v>25</v>
      </c>
      <c r="G7" s="4" t="s">
        <v>25</v>
      </c>
      <c r="H7" s="4" t="s">
        <v>35</v>
      </c>
      <c r="I7" s="5">
        <v>44501</v>
      </c>
      <c r="J7" s="6">
        <v>114</v>
      </c>
      <c r="K7" s="52">
        <v>114</v>
      </c>
      <c r="L7" s="6">
        <v>0</v>
      </c>
      <c r="M7" s="52">
        <v>0</v>
      </c>
      <c r="N7" s="6">
        <v>0</v>
      </c>
      <c r="O7" s="52">
        <v>0</v>
      </c>
      <c r="P7" s="6">
        <v>0</v>
      </c>
      <c r="Q7" s="4" t="s">
        <v>26</v>
      </c>
      <c r="R7" s="4">
        <v>0</v>
      </c>
      <c r="S7" s="6">
        <v>3</v>
      </c>
      <c r="T7" s="6">
        <v>0</v>
      </c>
      <c r="U7" s="6">
        <v>0</v>
      </c>
      <c r="V7" s="52">
        <f>IF(ISERROR(VLOOKUP($S$7,'TAR FIN'!$A$1:$O$103,15,0)),0,VLOOKUP($S$7,'TAR FIN'!$A$1:$O$103,15,0))*(1-0.04)</f>
        <v>18.1632</v>
      </c>
      <c r="W7" s="52">
        <f>IF(ISERROR(VLOOKUP($T$7,'TAR FIN'!$A$1:$O$103,15,0)),0,VLOOKUP($T$7,'TAR FIN'!$A$1:$O$103,15,0))*(1-0.04)</f>
        <v>0</v>
      </c>
      <c r="X7" s="52">
        <f>IF(ISERROR(VLOOKUP($U$7,'TAR FIN'!$A$1:$O$103,15,0)),0,VLOOKUP($U$7,'TAR FIN'!$A$1:$O$103,15,0))*(1-0.04)</f>
        <v>0</v>
      </c>
      <c r="Y7" s="52">
        <f ca="1">('TUSD BE'!$AM$6+'TUSD BF_350'!$AM$6+'TUSD CVA'!$AM$6)*1*(1-0.02)</f>
        <v>20.941951853111981</v>
      </c>
      <c r="Z7" s="52">
        <f ca="1">('TUSD BE'!$AM$7+'TUSD BF_350'!$AM$7+'TUSD CVA'!$AM$7)*1*(1-0.02)</f>
        <v>142.80792645762099</v>
      </c>
      <c r="AA7" s="52">
        <f ca="1">('TE BE'!$AB$6+'TE BF_350'!$AB$6+'TE CVA'!$AB$6)*1*(1-0.02)</f>
        <v>217.94598758226687</v>
      </c>
      <c r="AB7" s="6">
        <f>$K$7*$V$7</f>
        <v>2070.6048000000001</v>
      </c>
      <c r="AC7" s="6">
        <f>$M$7*$W$7</f>
        <v>0</v>
      </c>
      <c r="AD7" s="6">
        <f>$O$7*$X$7</f>
        <v>0</v>
      </c>
      <c r="AE7" s="6">
        <f ca="1">$K$7*$Y$7</f>
        <v>2387.3825112547656</v>
      </c>
      <c r="AF7" s="6">
        <f ca="1">$M$7*$Z$7</f>
        <v>0</v>
      </c>
      <c r="AG7" s="6">
        <f ca="1">$O$7*$AA$7</f>
        <v>0</v>
      </c>
      <c r="AI7" s="35" t="s">
        <v>47</v>
      </c>
      <c r="AJ7" s="36">
        <f t="shared" si="0"/>
        <v>1065765.8407300001</v>
      </c>
      <c r="AK7" s="36">
        <f t="shared" ca="1" si="1"/>
        <v>1079445.86589</v>
      </c>
      <c r="AL7" s="37">
        <f t="shared" ca="1" si="2"/>
        <v>1.2835863786579749E-2</v>
      </c>
      <c r="AN7" s="35" t="s">
        <v>47</v>
      </c>
      <c r="AO7" s="36">
        <f t="shared" si="3"/>
        <v>716363.70557999995</v>
      </c>
      <c r="AP7" s="36">
        <f t="shared" ca="1" si="4"/>
        <v>804365.06146000023</v>
      </c>
      <c r="AQ7" s="37">
        <f t="shared" ca="1" si="5"/>
        <v>0.12284452045033523</v>
      </c>
      <c r="AS7" s="35" t="s">
        <v>47</v>
      </c>
      <c r="AT7" s="36">
        <f t="shared" si="6"/>
        <v>1782129.5463100001</v>
      </c>
      <c r="AU7" s="36">
        <f t="shared" ca="1" si="7"/>
        <v>1883810.9273500002</v>
      </c>
      <c r="AV7" s="37">
        <f t="shared" ca="1" si="8"/>
        <v>5.7056110904247781E-2</v>
      </c>
    </row>
    <row r="8" spans="1:48" ht="11.25" customHeight="1" x14ac:dyDescent="0.3">
      <c r="A8" s="4" t="s">
        <v>21</v>
      </c>
      <c r="B8" s="4" t="s">
        <v>45</v>
      </c>
      <c r="C8" s="4" t="s">
        <v>42</v>
      </c>
      <c r="D8" s="4" t="s">
        <v>44</v>
      </c>
      <c r="E8" s="4" t="s">
        <v>53</v>
      </c>
      <c r="F8" s="4" t="s">
        <v>25</v>
      </c>
      <c r="G8" s="4" t="s">
        <v>25</v>
      </c>
      <c r="H8" s="4" t="s">
        <v>35</v>
      </c>
      <c r="I8" s="5">
        <v>44531</v>
      </c>
      <c r="J8" s="6">
        <v>114</v>
      </c>
      <c r="K8" s="52">
        <v>114</v>
      </c>
      <c r="L8" s="6">
        <v>0</v>
      </c>
      <c r="M8" s="52">
        <v>0</v>
      </c>
      <c r="N8" s="6">
        <v>0</v>
      </c>
      <c r="O8" s="52">
        <v>0</v>
      </c>
      <c r="P8" s="6">
        <v>0</v>
      </c>
      <c r="Q8" s="4" t="s">
        <v>26</v>
      </c>
      <c r="R8" s="4">
        <v>0</v>
      </c>
      <c r="S8" s="6">
        <v>3</v>
      </c>
      <c r="T8" s="6">
        <v>0</v>
      </c>
      <c r="U8" s="6">
        <v>0</v>
      </c>
      <c r="V8" s="52">
        <f>IF(ISERROR(VLOOKUP($S$8,'TAR FIN'!$A$1:$O$103,15,0)),0,VLOOKUP($S$8,'TAR FIN'!$A$1:$O$103,15,0))*(1-0.04)</f>
        <v>18.1632</v>
      </c>
      <c r="W8" s="52">
        <f>IF(ISERROR(VLOOKUP($T$8,'TAR FIN'!$A$1:$O$103,15,0)),0,VLOOKUP($T$8,'TAR FIN'!$A$1:$O$103,15,0))*(1-0.04)</f>
        <v>0</v>
      </c>
      <c r="X8" s="52">
        <f>IF(ISERROR(VLOOKUP($U$8,'TAR FIN'!$A$1:$O$103,15,0)),0,VLOOKUP($U$8,'TAR FIN'!$A$1:$O$103,15,0))*(1-0.04)</f>
        <v>0</v>
      </c>
      <c r="Y8" s="52">
        <f ca="1">('TUSD BE'!$AM$6+'TUSD BF_350'!$AM$6+'TUSD CVA'!$AM$6)*1*(1-0.02)</f>
        <v>20.941951853111981</v>
      </c>
      <c r="Z8" s="52">
        <f ca="1">('TUSD BE'!$AM$7+'TUSD BF_350'!$AM$7+'TUSD CVA'!$AM$7)*1*(1-0.02)</f>
        <v>142.80792645762099</v>
      </c>
      <c r="AA8" s="52">
        <f ca="1">('TE BE'!$AB$6+'TE BF_350'!$AB$6+'TE CVA'!$AB$6)*1*(1-0.02)</f>
        <v>217.94598758226687</v>
      </c>
      <c r="AB8" s="6">
        <f>$K$8*$V$8</f>
        <v>2070.6048000000001</v>
      </c>
      <c r="AC8" s="6">
        <f>$M$8*$W$8</f>
        <v>0</v>
      </c>
      <c r="AD8" s="6">
        <f>$O$8*$X$8</f>
        <v>0</v>
      </c>
      <c r="AE8" s="6">
        <f ca="1">$K$8*$Y$8</f>
        <v>2387.3825112547656</v>
      </c>
      <c r="AF8" s="6">
        <f ca="1">$M$8*$Z$8</f>
        <v>0</v>
      </c>
      <c r="AG8" s="6">
        <f ca="1">$O$8*$AA$8</f>
        <v>0</v>
      </c>
      <c r="AI8" s="35" t="s">
        <v>794</v>
      </c>
      <c r="AJ8" s="36">
        <f>+$AJ$2+$AJ$3</f>
        <v>6658695.0161413867</v>
      </c>
      <c r="AK8" s="36">
        <f ca="1">+$AK$2+$AK$3</f>
        <v>8897559.8934359625</v>
      </c>
      <c r="AL8" s="37">
        <f t="shared" ca="1" si="2"/>
        <v>0.33623177993095177</v>
      </c>
      <c r="AN8" s="35" t="s">
        <v>794</v>
      </c>
      <c r="AO8" s="36">
        <f>+$AO$2+$AO$3</f>
        <v>4975415.4781045979</v>
      </c>
      <c r="AP8" s="36">
        <f ca="1">+$AP$2+$AP$3</f>
        <v>4592523.7347180527</v>
      </c>
      <c r="AQ8" s="37">
        <f t="shared" ca="1" si="5"/>
        <v>-7.6956737597401403E-2</v>
      </c>
      <c r="AS8" s="35" t="s">
        <v>794</v>
      </c>
      <c r="AT8" s="36">
        <f>+$AT$2+$AT$3</f>
        <v>11634110.494245984</v>
      </c>
      <c r="AU8" s="36">
        <f ca="1">+$AU$2+$AU$3</f>
        <v>13490083.628154015</v>
      </c>
      <c r="AV8" s="37">
        <f t="shared" ca="1" si="8"/>
        <v>0.1595285806186868</v>
      </c>
    </row>
    <row r="9" spans="1:48" ht="11.25" customHeight="1" x14ac:dyDescent="0.3">
      <c r="A9" s="4" t="s">
        <v>21</v>
      </c>
      <c r="B9" s="4" t="s">
        <v>45</v>
      </c>
      <c r="C9" s="4" t="s">
        <v>42</v>
      </c>
      <c r="D9" s="4" t="s">
        <v>44</v>
      </c>
      <c r="E9" s="4" t="s">
        <v>53</v>
      </c>
      <c r="F9" s="4" t="s">
        <v>25</v>
      </c>
      <c r="G9" s="4" t="s">
        <v>25</v>
      </c>
      <c r="H9" s="4" t="s">
        <v>35</v>
      </c>
      <c r="I9" s="5">
        <v>44593</v>
      </c>
      <c r="J9" s="6">
        <v>114</v>
      </c>
      <c r="K9" s="52">
        <v>114</v>
      </c>
      <c r="L9" s="6">
        <v>0</v>
      </c>
      <c r="M9" s="52">
        <v>0</v>
      </c>
      <c r="N9" s="6">
        <v>0</v>
      </c>
      <c r="O9" s="52">
        <v>0</v>
      </c>
      <c r="P9" s="6">
        <v>0</v>
      </c>
      <c r="Q9" s="4" t="s">
        <v>26</v>
      </c>
      <c r="R9" s="4">
        <v>0</v>
      </c>
      <c r="S9" s="6">
        <v>3</v>
      </c>
      <c r="T9" s="6">
        <v>0</v>
      </c>
      <c r="U9" s="6">
        <v>0</v>
      </c>
      <c r="V9" s="52">
        <f>IF(ISERROR(VLOOKUP($S$9,'TAR FIN'!$A$1:$O$103,15,0)),0,VLOOKUP($S$9,'TAR FIN'!$A$1:$O$103,15,0))*(1-0.04)</f>
        <v>18.1632</v>
      </c>
      <c r="W9" s="52">
        <f>IF(ISERROR(VLOOKUP($T$9,'TAR FIN'!$A$1:$O$103,15,0)),0,VLOOKUP($T$9,'TAR FIN'!$A$1:$O$103,15,0))*(1-0.04)</f>
        <v>0</v>
      </c>
      <c r="X9" s="52">
        <f>IF(ISERROR(VLOOKUP($U$9,'TAR FIN'!$A$1:$O$103,15,0)),0,VLOOKUP($U$9,'TAR FIN'!$A$1:$O$103,15,0))*(1-0.04)</f>
        <v>0</v>
      </c>
      <c r="Y9" s="52">
        <f ca="1">('TUSD BE'!$AM$6+'TUSD BF_350'!$AM$6+'TUSD CVA'!$AM$6)*1*(1-0.02)</f>
        <v>20.941951853111981</v>
      </c>
      <c r="Z9" s="52">
        <f ca="1">('TUSD BE'!$AM$7+'TUSD BF_350'!$AM$7+'TUSD CVA'!$AM$7)*1*(1-0.02)</f>
        <v>142.80792645762099</v>
      </c>
      <c r="AA9" s="52">
        <f ca="1">('TE BE'!$AB$6+'TE BF_350'!$AB$6+'TE CVA'!$AB$6)*1*(1-0.02)</f>
        <v>217.94598758226687</v>
      </c>
      <c r="AB9" s="6">
        <f>$K$9*$V$9</f>
        <v>2070.6048000000001</v>
      </c>
      <c r="AC9" s="6">
        <f>$M$9*$W$9</f>
        <v>0</v>
      </c>
      <c r="AD9" s="6">
        <f>$O$9*$X$9</f>
        <v>0</v>
      </c>
      <c r="AE9" s="6">
        <f ca="1">$K$9*$Y$9</f>
        <v>2387.3825112547656</v>
      </c>
      <c r="AF9" s="6">
        <f ca="1">$M$9*$Z$9</f>
        <v>0</v>
      </c>
      <c r="AG9" s="6">
        <f ca="1">$O$9*$AA$9</f>
        <v>0</v>
      </c>
      <c r="AI9" s="35" t="s">
        <v>88</v>
      </c>
      <c r="AJ9" s="36">
        <f>+$AJ$4+$AJ$5+$AJ$6+$AJ$7</f>
        <v>34732639.546636984</v>
      </c>
      <c r="AK9" s="36">
        <f ca="1">+$AK$4+$AK$5+$AK$6+$AK$7</f>
        <v>35399424.489333674</v>
      </c>
      <c r="AL9" s="37">
        <f t="shared" ca="1" si="2"/>
        <v>1.9197646691993198E-2</v>
      </c>
      <c r="AN9" s="35" t="s">
        <v>88</v>
      </c>
      <c r="AO9" s="36">
        <f>+$AO$4+$AO$5+$AO$6+$AO$7</f>
        <v>23532620.681385208</v>
      </c>
      <c r="AP9" s="36">
        <f ca="1">+$AP$4+$AP$5+$AP$6+$AP$7</f>
        <v>26727014.7817594</v>
      </c>
      <c r="AQ9" s="37">
        <f t="shared" ca="1" si="5"/>
        <v>0.13574323674460209</v>
      </c>
      <c r="AS9" s="35" t="s">
        <v>88</v>
      </c>
      <c r="AT9" s="36">
        <f>+$AT$4+$AT$5+$AT$6+$AT$7</f>
        <v>58265260.228022195</v>
      </c>
      <c r="AU9" s="36">
        <f ca="1">+$AU$4+$AU$5+$AU$6+$AU$7</f>
        <v>62126439.271093071</v>
      </c>
      <c r="AV9" s="37">
        <f t="shared" ca="1" si="8"/>
        <v>6.6268974479133602E-2</v>
      </c>
    </row>
    <row r="10" spans="1:48" ht="11.25" customHeight="1" x14ac:dyDescent="0.3">
      <c r="A10" s="4" t="s">
        <v>21</v>
      </c>
      <c r="B10" s="4" t="s">
        <v>45</v>
      </c>
      <c r="C10" s="4" t="s">
        <v>42</v>
      </c>
      <c r="D10" s="4" t="s">
        <v>44</v>
      </c>
      <c r="E10" s="4" t="s">
        <v>53</v>
      </c>
      <c r="F10" s="4" t="s">
        <v>25</v>
      </c>
      <c r="G10" s="4" t="s">
        <v>25</v>
      </c>
      <c r="H10" s="4" t="s">
        <v>35</v>
      </c>
      <c r="I10" s="5">
        <v>44621</v>
      </c>
      <c r="J10" s="6">
        <v>114</v>
      </c>
      <c r="K10" s="52">
        <v>114</v>
      </c>
      <c r="L10" s="6">
        <v>0</v>
      </c>
      <c r="M10" s="52">
        <v>0</v>
      </c>
      <c r="N10" s="6">
        <v>0</v>
      </c>
      <c r="O10" s="52">
        <v>0</v>
      </c>
      <c r="P10" s="6">
        <v>0</v>
      </c>
      <c r="Q10" s="4" t="s">
        <v>26</v>
      </c>
      <c r="R10" s="4">
        <v>0</v>
      </c>
      <c r="S10" s="6">
        <v>3</v>
      </c>
      <c r="T10" s="6">
        <v>0</v>
      </c>
      <c r="U10" s="6">
        <v>0</v>
      </c>
      <c r="V10" s="52">
        <f>IF(ISERROR(VLOOKUP($S$10,'TAR FIN'!$A$1:$O$103,15,0)),0,VLOOKUP($S$10,'TAR FIN'!$A$1:$O$103,15,0))*(1-0.04)</f>
        <v>18.1632</v>
      </c>
      <c r="W10" s="52">
        <f>IF(ISERROR(VLOOKUP($T$10,'TAR FIN'!$A$1:$O$103,15,0)),0,VLOOKUP($T$10,'TAR FIN'!$A$1:$O$103,15,0))*(1-0.04)</f>
        <v>0</v>
      </c>
      <c r="X10" s="52">
        <f>IF(ISERROR(VLOOKUP($U$10,'TAR FIN'!$A$1:$O$103,15,0)),0,VLOOKUP($U$10,'TAR FIN'!$A$1:$O$103,15,0))*(1-0.04)</f>
        <v>0</v>
      </c>
      <c r="Y10" s="52">
        <f ca="1">('TUSD BE'!$AM$6+'TUSD BF_350'!$AM$6+'TUSD CVA'!$AM$6)*1*(1-0.02)</f>
        <v>20.941951853111981</v>
      </c>
      <c r="Z10" s="52">
        <f ca="1">('TUSD BE'!$AM$7+'TUSD BF_350'!$AM$7+'TUSD CVA'!$AM$7)*1*(1-0.02)</f>
        <v>142.80792645762099</v>
      </c>
      <c r="AA10" s="52">
        <f ca="1">('TE BE'!$AB$6+'TE BF_350'!$AB$6+'TE CVA'!$AB$6)*1*(1-0.02)</f>
        <v>217.94598758226687</v>
      </c>
      <c r="AB10" s="6">
        <f>$K$10*$V$10</f>
        <v>2070.6048000000001</v>
      </c>
      <c r="AC10" s="6">
        <f>$M$10*$W$10</f>
        <v>0</v>
      </c>
      <c r="AD10" s="6">
        <f>$O$10*$X$10</f>
        <v>0</v>
      </c>
      <c r="AE10" s="6">
        <f ca="1">$K$10*$Y$10</f>
        <v>2387.3825112547656</v>
      </c>
      <c r="AF10" s="6">
        <f ca="1">$M$10*$Z$10</f>
        <v>0</v>
      </c>
      <c r="AG10" s="6">
        <f ca="1">$O$10*$AA$10</f>
        <v>0</v>
      </c>
      <c r="AI10" s="35" t="s">
        <v>795</v>
      </c>
      <c r="AJ10" s="36">
        <f>AJ9+AJ8</f>
        <v>41391334.562778369</v>
      </c>
      <c r="AK10" s="36">
        <f ca="1">AK9+AK8</f>
        <v>44296984.382769637</v>
      </c>
      <c r="AL10" s="37">
        <f t="shared" ca="1" si="2"/>
        <v>7.019947171754648E-2</v>
      </c>
      <c r="AN10" s="35" t="s">
        <v>795</v>
      </c>
      <c r="AO10" s="36">
        <f>AO9+AO8</f>
        <v>28508036.159489807</v>
      </c>
      <c r="AP10" s="36">
        <f ca="1">AP9+AP8</f>
        <v>31319538.516477451</v>
      </c>
      <c r="AQ10" s="37">
        <f t="shared" ca="1" si="5"/>
        <v>9.8621397182834247E-2</v>
      </c>
      <c r="AS10" s="35" t="s">
        <v>795</v>
      </c>
      <c r="AT10" s="36">
        <f>AT9+AT8</f>
        <v>69899370.722268179</v>
      </c>
      <c r="AU10" s="36">
        <f ca="1">AU9+AU8</f>
        <v>75616522.89924708</v>
      </c>
      <c r="AV10" s="37">
        <f t="shared" ca="1" si="8"/>
        <v>8.179118235119609E-2</v>
      </c>
    </row>
    <row r="11" spans="1:48" ht="11.25" customHeight="1" x14ac:dyDescent="0.3">
      <c r="A11" s="4" t="s">
        <v>21</v>
      </c>
      <c r="B11" s="4" t="s">
        <v>45</v>
      </c>
      <c r="C11" s="4" t="s">
        <v>42</v>
      </c>
      <c r="D11" s="4" t="s">
        <v>44</v>
      </c>
      <c r="E11" s="4" t="s">
        <v>53</v>
      </c>
      <c r="F11" s="4" t="s">
        <v>25</v>
      </c>
      <c r="G11" s="4" t="s">
        <v>25</v>
      </c>
      <c r="H11" s="4" t="s">
        <v>35</v>
      </c>
      <c r="I11" s="5">
        <v>44652</v>
      </c>
      <c r="J11" s="6">
        <v>114</v>
      </c>
      <c r="K11" s="52">
        <v>114</v>
      </c>
      <c r="L11" s="6">
        <v>0</v>
      </c>
      <c r="M11" s="52">
        <v>0</v>
      </c>
      <c r="N11" s="6">
        <v>0</v>
      </c>
      <c r="O11" s="52">
        <v>0</v>
      </c>
      <c r="P11" s="6">
        <v>0</v>
      </c>
      <c r="Q11" s="4" t="s">
        <v>26</v>
      </c>
      <c r="R11" s="4">
        <v>0</v>
      </c>
      <c r="S11" s="6">
        <v>3</v>
      </c>
      <c r="T11" s="6">
        <v>0</v>
      </c>
      <c r="U11" s="6">
        <v>0</v>
      </c>
      <c r="V11" s="52">
        <f>IF(ISERROR(VLOOKUP($S$11,'TAR FIN'!$A$1:$O$103,15,0)),0,VLOOKUP($S$11,'TAR FIN'!$A$1:$O$103,15,0))*(1-0.04)</f>
        <v>18.1632</v>
      </c>
      <c r="W11" s="52">
        <f>IF(ISERROR(VLOOKUP($T$11,'TAR FIN'!$A$1:$O$103,15,0)),0,VLOOKUP($T$11,'TAR FIN'!$A$1:$O$103,15,0))*(1-0.04)</f>
        <v>0</v>
      </c>
      <c r="X11" s="52">
        <f>IF(ISERROR(VLOOKUP($U$11,'TAR FIN'!$A$1:$O$103,15,0)),0,VLOOKUP($U$11,'TAR FIN'!$A$1:$O$103,15,0))*(1-0.04)</f>
        <v>0</v>
      </c>
      <c r="Y11" s="52">
        <f ca="1">('TUSD BE'!$AM$6+'TUSD BF_350'!$AM$6+'TUSD CVA'!$AM$6)*1*(1-0.02)</f>
        <v>20.941951853111981</v>
      </c>
      <c r="Z11" s="52">
        <f ca="1">('TUSD BE'!$AM$7+'TUSD BF_350'!$AM$7+'TUSD CVA'!$AM$7)*1*(1-0.02)</f>
        <v>142.80792645762099</v>
      </c>
      <c r="AA11" s="52">
        <f ca="1">('TE BE'!$AB$6+'TE BF_350'!$AB$6+'TE CVA'!$AB$6)*1*(1-0.02)</f>
        <v>217.94598758226687</v>
      </c>
      <c r="AB11" s="6">
        <f>$K$11*$V$11</f>
        <v>2070.6048000000001</v>
      </c>
      <c r="AC11" s="6">
        <f>$M$11*$W$11</f>
        <v>0</v>
      </c>
      <c r="AD11" s="6">
        <f>$O$11*$X$11</f>
        <v>0</v>
      </c>
      <c r="AE11" s="6">
        <f ca="1">$K$11*$Y$11</f>
        <v>2387.3825112547656</v>
      </c>
      <c r="AF11" s="6">
        <f ca="1">$M$11*$Z$11</f>
        <v>0</v>
      </c>
      <c r="AG11" s="6">
        <f ca="1">$O$11*$AA$11</f>
        <v>0</v>
      </c>
    </row>
    <row r="12" spans="1:48" ht="11.25" customHeight="1" x14ac:dyDescent="0.3">
      <c r="A12" s="4" t="s">
        <v>21</v>
      </c>
      <c r="B12" s="4" t="s">
        <v>45</v>
      </c>
      <c r="C12" s="4" t="s">
        <v>42</v>
      </c>
      <c r="D12" s="4" t="s">
        <v>44</v>
      </c>
      <c r="E12" s="4" t="s">
        <v>53</v>
      </c>
      <c r="F12" s="4" t="s">
        <v>25</v>
      </c>
      <c r="G12" s="4" t="s">
        <v>25</v>
      </c>
      <c r="H12" s="4" t="s">
        <v>35</v>
      </c>
      <c r="I12" s="5">
        <v>44682</v>
      </c>
      <c r="J12" s="6">
        <v>114</v>
      </c>
      <c r="K12" s="52">
        <v>114</v>
      </c>
      <c r="L12" s="6">
        <v>0</v>
      </c>
      <c r="M12" s="52">
        <v>0</v>
      </c>
      <c r="N12" s="6">
        <v>0</v>
      </c>
      <c r="O12" s="52">
        <v>0</v>
      </c>
      <c r="P12" s="6">
        <v>0</v>
      </c>
      <c r="Q12" s="4" t="s">
        <v>26</v>
      </c>
      <c r="R12" s="4">
        <v>0</v>
      </c>
      <c r="S12" s="6">
        <v>3</v>
      </c>
      <c r="T12" s="6">
        <v>0</v>
      </c>
      <c r="U12" s="6">
        <v>0</v>
      </c>
      <c r="V12" s="52">
        <f>IF(ISERROR(VLOOKUP($S$12,'TAR FIN'!$A$1:$O$103,15,0)),0,VLOOKUP($S$12,'TAR FIN'!$A$1:$O$103,15,0))*(1-0.04)</f>
        <v>18.1632</v>
      </c>
      <c r="W12" s="52">
        <f>IF(ISERROR(VLOOKUP($T$12,'TAR FIN'!$A$1:$O$103,15,0)),0,VLOOKUP($T$12,'TAR FIN'!$A$1:$O$103,15,0))*(1-0.04)</f>
        <v>0</v>
      </c>
      <c r="X12" s="52">
        <f>IF(ISERROR(VLOOKUP($U$12,'TAR FIN'!$A$1:$O$103,15,0)),0,VLOOKUP($U$12,'TAR FIN'!$A$1:$O$103,15,0))*(1-0.04)</f>
        <v>0</v>
      </c>
      <c r="Y12" s="52">
        <f ca="1">('TUSD BE'!$AM$6+'TUSD BF_350'!$AM$6+'TUSD CVA'!$AM$6)*1*(1-0.02)</f>
        <v>20.941951853111981</v>
      </c>
      <c r="Z12" s="52">
        <f ca="1">('TUSD BE'!$AM$7+'TUSD BF_350'!$AM$7+'TUSD CVA'!$AM$7)*1*(1-0.02)</f>
        <v>142.80792645762099</v>
      </c>
      <c r="AA12" s="52">
        <f ca="1">('TE BE'!$AB$6+'TE BF_350'!$AB$6+'TE CVA'!$AB$6)*1*(1-0.02)</f>
        <v>217.94598758226687</v>
      </c>
      <c r="AB12" s="6">
        <f>$K$12*$V$12</f>
        <v>2070.6048000000001</v>
      </c>
      <c r="AC12" s="6">
        <f>$M$12*$W$12</f>
        <v>0</v>
      </c>
      <c r="AD12" s="6">
        <f>$O$12*$X$12</f>
        <v>0</v>
      </c>
      <c r="AE12" s="6">
        <f ca="1">$K$12*$Y$12</f>
        <v>2387.3825112547656</v>
      </c>
      <c r="AF12" s="6">
        <f ca="1">$M$12*$Z$12</f>
        <v>0</v>
      </c>
      <c r="AG12" s="6">
        <f ca="1">$O$12*$AA$12</f>
        <v>0</v>
      </c>
    </row>
    <row r="13" spans="1:48" ht="11.25" customHeight="1" x14ac:dyDescent="0.3">
      <c r="A13" s="4" t="s">
        <v>21</v>
      </c>
      <c r="B13" s="4" t="s">
        <v>45</v>
      </c>
      <c r="C13" s="4" t="s">
        <v>42</v>
      </c>
      <c r="D13" s="4" t="s">
        <v>44</v>
      </c>
      <c r="E13" s="4" t="s">
        <v>53</v>
      </c>
      <c r="F13" s="4" t="s">
        <v>25</v>
      </c>
      <c r="G13" s="4" t="s">
        <v>25</v>
      </c>
      <c r="H13" s="4" t="s">
        <v>35</v>
      </c>
      <c r="I13" s="5">
        <v>44713</v>
      </c>
      <c r="J13" s="6">
        <v>1100</v>
      </c>
      <c r="K13" s="52">
        <v>1100</v>
      </c>
      <c r="L13" s="6">
        <v>249.721</v>
      </c>
      <c r="M13" s="52">
        <v>249.721</v>
      </c>
      <c r="N13" s="6">
        <v>249.721</v>
      </c>
      <c r="O13" s="52">
        <v>249.721</v>
      </c>
      <c r="P13" s="6">
        <v>0</v>
      </c>
      <c r="Q13" s="4" t="s">
        <v>26</v>
      </c>
      <c r="R13" s="4">
        <v>0</v>
      </c>
      <c r="S13" s="6">
        <v>3</v>
      </c>
      <c r="T13" s="6">
        <v>6</v>
      </c>
      <c r="U13" s="6">
        <v>63</v>
      </c>
      <c r="V13" s="52">
        <f>IF(ISERROR(VLOOKUP($S$13,'TAR FIN'!$A$1:$O$103,15,0)),0,VLOOKUP($S$13,'TAR FIN'!$A$1:$O$103,15,0))*(1-0.04)</f>
        <v>18.1632</v>
      </c>
      <c r="W13" s="52">
        <f>IF(ISERROR(VLOOKUP($T$13,'TAR FIN'!$A$1:$O$103,15,0)),0,VLOOKUP($T$13,'TAR FIN'!$A$1:$O$103,15,0))*(1-0.04)</f>
        <v>81.590399999999988</v>
      </c>
      <c r="X13" s="52">
        <f>IF(ISERROR(VLOOKUP($U$13,'TAR FIN'!$A$1:$O$103,15,0)),0,VLOOKUP($U$13,'TAR FIN'!$A$1:$O$103,15,0))*(1-0.04)</f>
        <v>233.0592</v>
      </c>
      <c r="Y13" s="52">
        <f ca="1">('TUSD BE'!$AM$6+'TUSD BF_350'!$AM$6+'TUSD CVA'!$AM$6)*1*(1-0.02)</f>
        <v>20.941951853111981</v>
      </c>
      <c r="Z13" s="52">
        <f ca="1">('TUSD BE'!$AM$7+'TUSD BF_350'!$AM$7+'TUSD CVA'!$AM$7)*1*(1-0.02)</f>
        <v>142.80792645762099</v>
      </c>
      <c r="AA13" s="52">
        <f ca="1">('TE BE'!$AB$6+'TE BF_350'!$AB$6+'TE CVA'!$AB$6)*1*(1-0.02)</f>
        <v>217.94598758226687</v>
      </c>
      <c r="AB13" s="6">
        <f>$K$13*$V$13</f>
        <v>19979.52</v>
      </c>
      <c r="AC13" s="6">
        <f>$M$13*$W$13</f>
        <v>20374.836278399998</v>
      </c>
      <c r="AD13" s="6">
        <f>$O$13*$X$13</f>
        <v>58199.776483200003</v>
      </c>
      <c r="AE13" s="6">
        <f ca="1">$K$13*$Y$13</f>
        <v>23036.14703842318</v>
      </c>
      <c r="AF13" s="6">
        <f ca="1">$M$13*$Z$13</f>
        <v>35662.138202923576</v>
      </c>
      <c r="AG13" s="6">
        <f ca="1">$O$13*$AA$13</f>
        <v>54425.689965031263</v>
      </c>
    </row>
    <row r="14" spans="1:48" ht="11.25" customHeight="1" x14ac:dyDescent="0.3">
      <c r="A14" s="4" t="s">
        <v>21</v>
      </c>
      <c r="B14" s="4" t="s">
        <v>45</v>
      </c>
      <c r="C14" s="4" t="s">
        <v>42</v>
      </c>
      <c r="D14" s="4" t="s">
        <v>44</v>
      </c>
      <c r="E14" s="4" t="s">
        <v>53</v>
      </c>
      <c r="F14" s="4" t="s">
        <v>25</v>
      </c>
      <c r="G14" s="4" t="s">
        <v>25</v>
      </c>
      <c r="H14" s="4" t="s">
        <v>35</v>
      </c>
      <c r="I14" s="5">
        <v>44743</v>
      </c>
      <c r="J14" s="6">
        <v>1100</v>
      </c>
      <c r="K14" s="52">
        <v>1100</v>
      </c>
      <c r="L14" s="6">
        <v>249.721</v>
      </c>
      <c r="M14" s="52">
        <v>249.721</v>
      </c>
      <c r="N14" s="6">
        <v>249.721</v>
      </c>
      <c r="O14" s="52">
        <v>249.721</v>
      </c>
      <c r="P14" s="6">
        <v>0</v>
      </c>
      <c r="Q14" s="4" t="s">
        <v>26</v>
      </c>
      <c r="R14" s="4">
        <v>0</v>
      </c>
      <c r="S14" s="6">
        <v>3</v>
      </c>
      <c r="T14" s="6">
        <v>6</v>
      </c>
      <c r="U14" s="6">
        <v>63</v>
      </c>
      <c r="V14" s="52">
        <f>IF(ISERROR(VLOOKUP($S$14,'TAR FIN'!$A$1:$O$103,15,0)),0,VLOOKUP($S$14,'TAR FIN'!$A$1:$O$103,15,0))*(1-0.04)</f>
        <v>18.1632</v>
      </c>
      <c r="W14" s="52">
        <f>IF(ISERROR(VLOOKUP($T$14,'TAR FIN'!$A$1:$O$103,15,0)),0,VLOOKUP($T$14,'TAR FIN'!$A$1:$O$103,15,0))*(1-0.04)</f>
        <v>81.590399999999988</v>
      </c>
      <c r="X14" s="52">
        <f>IF(ISERROR(VLOOKUP($U$14,'TAR FIN'!$A$1:$O$103,15,0)),0,VLOOKUP($U$14,'TAR FIN'!$A$1:$O$103,15,0))*(1-0.04)</f>
        <v>233.0592</v>
      </c>
      <c r="Y14" s="52">
        <f ca="1">('TUSD BE'!$AM$6+'TUSD BF_350'!$AM$6+'TUSD CVA'!$AM$6)*1*(1-0.02)</f>
        <v>20.941951853111981</v>
      </c>
      <c r="Z14" s="52">
        <f ca="1">('TUSD BE'!$AM$7+'TUSD BF_350'!$AM$7+'TUSD CVA'!$AM$7)*1*(1-0.02)</f>
        <v>142.80792645762099</v>
      </c>
      <c r="AA14" s="52">
        <f ca="1">('TE BE'!$AB$6+'TE BF_350'!$AB$6+'TE CVA'!$AB$6)*1*(1-0.02)</f>
        <v>217.94598758226687</v>
      </c>
      <c r="AB14" s="6">
        <f>$K$14*$V$14</f>
        <v>19979.52</v>
      </c>
      <c r="AC14" s="6">
        <f>$M$14*$W$14</f>
        <v>20374.836278399998</v>
      </c>
      <c r="AD14" s="6">
        <f>$O$14*$X$14</f>
        <v>58199.776483200003</v>
      </c>
      <c r="AE14" s="6">
        <f ca="1">$K$14*$Y$14</f>
        <v>23036.14703842318</v>
      </c>
      <c r="AF14" s="6">
        <f ca="1">$M$14*$Z$14</f>
        <v>35662.138202923576</v>
      </c>
      <c r="AG14" s="6">
        <f ca="1">$O$14*$AA$14</f>
        <v>54425.689965031263</v>
      </c>
    </row>
    <row r="15" spans="1:48" ht="11.25" customHeight="1" x14ac:dyDescent="0.3">
      <c r="A15" s="4" t="s">
        <v>21</v>
      </c>
      <c r="B15" s="4" t="s">
        <v>45</v>
      </c>
      <c r="C15" s="4" t="s">
        <v>42</v>
      </c>
      <c r="D15" s="4" t="s">
        <v>44</v>
      </c>
      <c r="E15" s="4" t="s">
        <v>53</v>
      </c>
      <c r="F15" s="4" t="s">
        <v>25</v>
      </c>
      <c r="G15" s="4" t="s">
        <v>25</v>
      </c>
      <c r="H15" s="4" t="s">
        <v>35</v>
      </c>
      <c r="I15" s="5">
        <v>44774</v>
      </c>
      <c r="J15" s="6">
        <v>1100</v>
      </c>
      <c r="K15" s="52">
        <v>1100</v>
      </c>
      <c r="L15" s="6">
        <v>422.24400000000003</v>
      </c>
      <c r="M15" s="52">
        <v>422.24400000000003</v>
      </c>
      <c r="N15" s="6">
        <v>422.24400000000003</v>
      </c>
      <c r="O15" s="52">
        <v>422.24400000000003</v>
      </c>
      <c r="P15" s="6">
        <v>0</v>
      </c>
      <c r="Q15" s="4" t="s">
        <v>26</v>
      </c>
      <c r="R15" s="4">
        <v>0</v>
      </c>
      <c r="S15" s="6">
        <v>3</v>
      </c>
      <c r="T15" s="6">
        <v>6</v>
      </c>
      <c r="U15" s="6">
        <v>63</v>
      </c>
      <c r="V15" s="52">
        <f>IF(ISERROR(VLOOKUP($S$15,'TAR FIN'!$A$1:$O$103,15,0)),0,VLOOKUP($S$15,'TAR FIN'!$A$1:$O$103,15,0))*(1-0.04)</f>
        <v>18.1632</v>
      </c>
      <c r="W15" s="52">
        <f>IF(ISERROR(VLOOKUP($T$15,'TAR FIN'!$A$1:$O$103,15,0)),0,VLOOKUP($T$15,'TAR FIN'!$A$1:$O$103,15,0))*(1-0.04)</f>
        <v>81.590399999999988</v>
      </c>
      <c r="X15" s="52">
        <f>IF(ISERROR(VLOOKUP($U$15,'TAR FIN'!$A$1:$O$103,15,0)),0,VLOOKUP($U$15,'TAR FIN'!$A$1:$O$103,15,0))*(1-0.04)</f>
        <v>233.0592</v>
      </c>
      <c r="Y15" s="52">
        <f ca="1">('TUSD BE'!$AM$6+'TUSD BF_350'!$AM$6+'TUSD CVA'!$AM$6)*1*(1-0.02)</f>
        <v>20.941951853111981</v>
      </c>
      <c r="Z15" s="52">
        <f ca="1">('TUSD BE'!$AM$7+'TUSD BF_350'!$AM$7+'TUSD CVA'!$AM$7)*1*(1-0.02)</f>
        <v>142.80792645762099</v>
      </c>
      <c r="AA15" s="52">
        <f ca="1">('TE BE'!$AB$6+'TE BF_350'!$AB$6+'TE CVA'!$AB$6)*1*(1-0.02)</f>
        <v>217.94598758226687</v>
      </c>
      <c r="AB15" s="6">
        <f>$K$15*$V$15</f>
        <v>19979.52</v>
      </c>
      <c r="AC15" s="6">
        <f>$M$15*$W$15</f>
        <v>34451.056857600001</v>
      </c>
      <c r="AD15" s="6">
        <f>$O$15*$X$15</f>
        <v>98407.848844800013</v>
      </c>
      <c r="AE15" s="6">
        <f ca="1">$K$15*$Y$15</f>
        <v>23036.14703842318</v>
      </c>
      <c r="AF15" s="6">
        <f ca="1">$M$15*$Z$15</f>
        <v>60299.790099171725</v>
      </c>
      <c r="AG15" s="6">
        <f ca="1">$O$15*$AA$15</f>
        <v>92026.385580686692</v>
      </c>
    </row>
    <row r="16" spans="1:48" ht="11.25" customHeight="1" x14ac:dyDescent="0.3">
      <c r="A16" s="4" t="s">
        <v>21</v>
      </c>
      <c r="B16" s="4" t="s">
        <v>45</v>
      </c>
      <c r="C16" s="4" t="s">
        <v>42</v>
      </c>
      <c r="D16" s="4" t="s">
        <v>44</v>
      </c>
      <c r="E16" s="4" t="s">
        <v>53</v>
      </c>
      <c r="F16" s="4" t="s">
        <v>25</v>
      </c>
      <c r="G16" s="4" t="s">
        <v>25</v>
      </c>
      <c r="H16" s="4" t="s">
        <v>35</v>
      </c>
      <c r="I16" s="5">
        <v>44805</v>
      </c>
      <c r="J16" s="6">
        <v>110</v>
      </c>
      <c r="K16" s="52">
        <v>110</v>
      </c>
      <c r="L16" s="6">
        <v>0</v>
      </c>
      <c r="M16" s="52">
        <v>0</v>
      </c>
      <c r="N16" s="6">
        <v>0</v>
      </c>
      <c r="O16" s="52">
        <v>0</v>
      </c>
      <c r="P16" s="6">
        <v>0</v>
      </c>
      <c r="Q16" s="4" t="s">
        <v>26</v>
      </c>
      <c r="R16" s="4">
        <v>0</v>
      </c>
      <c r="S16" s="6">
        <v>3</v>
      </c>
      <c r="T16" s="6">
        <v>0</v>
      </c>
      <c r="U16" s="6">
        <v>0</v>
      </c>
      <c r="V16" s="52">
        <f>IF(ISERROR(VLOOKUP($S$16,'TAR FIN'!$A$1:$O$103,15,0)),0,VLOOKUP($S$16,'TAR FIN'!$A$1:$O$103,15,0))*(1-0.04)</f>
        <v>18.1632</v>
      </c>
      <c r="W16" s="52">
        <f>IF(ISERROR(VLOOKUP($T$16,'TAR FIN'!$A$1:$O$103,15,0)),0,VLOOKUP($T$16,'TAR FIN'!$A$1:$O$103,15,0))*(1-0.04)</f>
        <v>0</v>
      </c>
      <c r="X16" s="52">
        <f>IF(ISERROR(VLOOKUP($U$16,'TAR FIN'!$A$1:$O$103,15,0)),0,VLOOKUP($U$16,'TAR FIN'!$A$1:$O$103,15,0))*(1-0.04)</f>
        <v>0</v>
      </c>
      <c r="Y16" s="52">
        <f ca="1">('TUSD BE'!$AM$6+'TUSD BF_350'!$AM$6+'TUSD CVA'!$AM$6)*1*(1-0.02)</f>
        <v>20.941951853111981</v>
      </c>
      <c r="Z16" s="52">
        <f ca="1">('TUSD BE'!$AM$7+'TUSD BF_350'!$AM$7+'TUSD CVA'!$AM$7)*1*(1-0.02)</f>
        <v>142.80792645762099</v>
      </c>
      <c r="AA16" s="52">
        <f ca="1">('TE BE'!$AB$6+'TE BF_350'!$AB$6+'TE CVA'!$AB$6)*1*(1-0.02)</f>
        <v>217.94598758226687</v>
      </c>
      <c r="AB16" s="6">
        <f>$K$16*$V$16</f>
        <v>1997.952</v>
      </c>
      <c r="AC16" s="6">
        <f>$M$16*$W$16</f>
        <v>0</v>
      </c>
      <c r="AD16" s="6">
        <f>$O$16*$X$16</f>
        <v>0</v>
      </c>
      <c r="AE16" s="6">
        <f ca="1">$K$16*$Y$16</f>
        <v>2303.6147038423178</v>
      </c>
      <c r="AF16" s="6">
        <f ca="1">$M$16*$Z$16</f>
        <v>0</v>
      </c>
      <c r="AG16" s="6">
        <f ca="1">$O$16*$AA$16</f>
        <v>0</v>
      </c>
    </row>
    <row r="17" spans="1:33" ht="11.25" customHeight="1" x14ac:dyDescent="0.3">
      <c r="A17" s="4" t="s">
        <v>57</v>
      </c>
      <c r="B17" s="4" t="s">
        <v>45</v>
      </c>
      <c r="C17" s="4" t="s">
        <v>42</v>
      </c>
      <c r="D17" s="4" t="s">
        <v>44</v>
      </c>
      <c r="E17" s="4" t="s">
        <v>53</v>
      </c>
      <c r="F17" s="4" t="s">
        <v>25</v>
      </c>
      <c r="G17" s="4" t="s">
        <v>25</v>
      </c>
      <c r="H17" s="4" t="s">
        <v>35</v>
      </c>
      <c r="I17" s="5">
        <v>44835</v>
      </c>
      <c r="J17" s="6">
        <v>110</v>
      </c>
      <c r="K17" s="52">
        <v>110</v>
      </c>
      <c r="L17" s="6">
        <v>0</v>
      </c>
      <c r="M17" s="52">
        <v>0</v>
      </c>
      <c r="N17" s="6">
        <v>0</v>
      </c>
      <c r="O17" s="52">
        <v>0</v>
      </c>
      <c r="P17" s="6">
        <v>0</v>
      </c>
      <c r="Q17" s="4" t="s">
        <v>26</v>
      </c>
      <c r="R17" s="4">
        <v>0</v>
      </c>
      <c r="S17" s="6">
        <v>3</v>
      </c>
      <c r="T17" s="6">
        <v>0</v>
      </c>
      <c r="U17" s="6">
        <v>0</v>
      </c>
      <c r="V17" s="52">
        <f>IF(ISERROR(VLOOKUP($S$17,'TAR FIN'!$A$1:$O$103,15,0)),0,VLOOKUP($S$17,'TAR FIN'!$A$1:$O$103,15,0))*(1-0.04)</f>
        <v>18.1632</v>
      </c>
      <c r="W17" s="52">
        <f>IF(ISERROR(VLOOKUP($T$17,'TAR FIN'!$A$1:$O$103,15,0)),0,VLOOKUP($T$17,'TAR FIN'!$A$1:$O$103,15,0))*(1-0.04)</f>
        <v>0</v>
      </c>
      <c r="X17" s="52">
        <f>IF(ISERROR(VLOOKUP($U$17,'TAR FIN'!$A$1:$O$103,15,0)),0,VLOOKUP($U$17,'TAR FIN'!$A$1:$O$103,15,0))*(1-0.04)</f>
        <v>0</v>
      </c>
      <c r="Y17" s="52">
        <f ca="1">('TUSD BE'!$AM$6+'TUSD BF_350'!$AM$6+'TUSD CVA'!$AM$6)*1*(1-0.02)</f>
        <v>20.941951853111981</v>
      </c>
      <c r="Z17" s="52">
        <f ca="1">('TUSD BE'!$AM$7+'TUSD BF_350'!$AM$7+'TUSD CVA'!$AM$7)*1*(1-0.02)</f>
        <v>142.80792645762099</v>
      </c>
      <c r="AA17" s="52">
        <f ca="1">('TE BE'!$AB$6+'TE BF_350'!$AB$6+'TE CVA'!$AB$6)*1*(1-0.02)</f>
        <v>217.94598758226687</v>
      </c>
      <c r="AB17" s="6">
        <f>$K$17*$V$17</f>
        <v>1997.952</v>
      </c>
      <c r="AC17" s="6">
        <f>$M$17*$W$17</f>
        <v>0</v>
      </c>
      <c r="AD17" s="6">
        <f>$O$17*$X$17</f>
        <v>0</v>
      </c>
      <c r="AE17" s="6">
        <f ca="1">$K$17*$Y$17</f>
        <v>2303.6147038423178</v>
      </c>
      <c r="AF17" s="6">
        <f ca="1">$M$17*$Z$17</f>
        <v>0</v>
      </c>
      <c r="AG17" s="6">
        <f ca="1">$O$17*$AA$17</f>
        <v>0</v>
      </c>
    </row>
    <row r="18" spans="1:33" ht="11.25" customHeight="1" x14ac:dyDescent="0.3">
      <c r="A18" s="4" t="s">
        <v>21</v>
      </c>
      <c r="B18" s="4" t="s">
        <v>45</v>
      </c>
      <c r="C18" s="4" t="s">
        <v>42</v>
      </c>
      <c r="D18" s="4" t="s">
        <v>44</v>
      </c>
      <c r="E18" s="4" t="s">
        <v>53</v>
      </c>
      <c r="F18" s="4" t="s">
        <v>25</v>
      </c>
      <c r="G18" s="4" t="s">
        <v>25</v>
      </c>
      <c r="H18" s="4" t="s">
        <v>34</v>
      </c>
      <c r="I18" s="5">
        <v>44501</v>
      </c>
      <c r="J18" s="6">
        <v>111</v>
      </c>
      <c r="K18" s="52">
        <v>111</v>
      </c>
      <c r="L18" s="6">
        <v>0</v>
      </c>
      <c r="M18" s="52">
        <v>0</v>
      </c>
      <c r="N18" s="6">
        <v>0</v>
      </c>
      <c r="O18" s="52">
        <v>0</v>
      </c>
      <c r="P18" s="6">
        <v>0</v>
      </c>
      <c r="Q18" s="4" t="s">
        <v>26</v>
      </c>
      <c r="R18" s="4">
        <v>0</v>
      </c>
      <c r="S18" s="6">
        <v>1</v>
      </c>
      <c r="T18" s="6">
        <v>0</v>
      </c>
      <c r="U18" s="6">
        <v>0</v>
      </c>
      <c r="V18" s="52">
        <f>IF(ISERROR(VLOOKUP($S$18,'TAR FIN'!$A$1:$O$103,15,0)),0,VLOOKUP($S$18,'TAR FIN'!$A$1:$O$103,15,0))*(1-0.04)</f>
        <v>43.900799999999997</v>
      </c>
      <c r="W18" s="52">
        <f>IF(ISERROR(VLOOKUP($T$18,'TAR FIN'!$A$1:$O$103,15,0)),0,VLOOKUP($T$18,'TAR FIN'!$A$1:$O$103,15,0))*(1-0.04)</f>
        <v>0</v>
      </c>
      <c r="X18" s="52">
        <f>IF(ISERROR(VLOOKUP($U$18,'TAR FIN'!$A$1:$O$103,15,0)),0,VLOOKUP($U$18,'TAR FIN'!$A$1:$O$103,15,0))*(1-0.04)</f>
        <v>0</v>
      </c>
      <c r="Y18" s="52">
        <f ca="1">('TUSD BE'!$AM$5+'TUSD BF_350'!$AM$5+'TUSD CVA'!$AM$5)*1*(1-0.02)</f>
        <v>50.018664763216471</v>
      </c>
      <c r="Z18" s="52">
        <f ca="1">('TUSD BE'!$AM$7+'TUSD BF_350'!$AM$7+'TUSD CVA'!$AM$7)*1*(1-0.02)</f>
        <v>142.80792645762099</v>
      </c>
      <c r="AA18" s="52">
        <f ca="1">('TE BE'!$AB$5+'TE BF_350'!$AB$5+'TE CVA'!$AB$5)*1*(1-0.02)</f>
        <v>354.71359410136364</v>
      </c>
      <c r="AB18" s="6">
        <f>$K$18*$V$18</f>
        <v>4872.9888000000001</v>
      </c>
      <c r="AC18" s="6">
        <f>$M$18*$W$18</f>
        <v>0</v>
      </c>
      <c r="AD18" s="6">
        <f>$O$18*$X$18</f>
        <v>0</v>
      </c>
      <c r="AE18" s="6">
        <f ca="1">$K$18*$Y$18</f>
        <v>5552.0717887170285</v>
      </c>
      <c r="AF18" s="6">
        <f ca="1">$M$18*$Z$18</f>
        <v>0</v>
      </c>
      <c r="AG18" s="6">
        <f ca="1">$O$18*$AA$18</f>
        <v>0</v>
      </c>
    </row>
    <row r="19" spans="1:33" ht="11.25" customHeight="1" x14ac:dyDescent="0.3">
      <c r="A19" s="4" t="s">
        <v>21</v>
      </c>
      <c r="B19" s="4" t="s">
        <v>45</v>
      </c>
      <c r="C19" s="4" t="s">
        <v>42</v>
      </c>
      <c r="D19" s="4" t="s">
        <v>44</v>
      </c>
      <c r="E19" s="4" t="s">
        <v>53</v>
      </c>
      <c r="F19" s="4" t="s">
        <v>25</v>
      </c>
      <c r="G19" s="4" t="s">
        <v>25</v>
      </c>
      <c r="H19" s="4" t="s">
        <v>34</v>
      </c>
      <c r="I19" s="5">
        <v>44531</v>
      </c>
      <c r="J19" s="6">
        <v>111</v>
      </c>
      <c r="K19" s="52">
        <v>111</v>
      </c>
      <c r="L19" s="6">
        <v>0</v>
      </c>
      <c r="M19" s="52">
        <v>0</v>
      </c>
      <c r="N19" s="6">
        <v>0</v>
      </c>
      <c r="O19" s="52">
        <v>0</v>
      </c>
      <c r="P19" s="6">
        <v>0</v>
      </c>
      <c r="Q19" s="4" t="s">
        <v>26</v>
      </c>
      <c r="R19" s="4">
        <v>0</v>
      </c>
      <c r="S19" s="6">
        <v>1</v>
      </c>
      <c r="T19" s="6">
        <v>0</v>
      </c>
      <c r="U19" s="6">
        <v>0</v>
      </c>
      <c r="V19" s="52">
        <f>IF(ISERROR(VLOOKUP($S$19,'TAR FIN'!$A$1:$O$103,15,0)),0,VLOOKUP($S$19,'TAR FIN'!$A$1:$O$103,15,0))*(1-0.04)</f>
        <v>43.900799999999997</v>
      </c>
      <c r="W19" s="52">
        <f>IF(ISERROR(VLOOKUP($T$19,'TAR FIN'!$A$1:$O$103,15,0)),0,VLOOKUP($T$19,'TAR FIN'!$A$1:$O$103,15,0))*(1-0.04)</f>
        <v>0</v>
      </c>
      <c r="X19" s="52">
        <f>IF(ISERROR(VLOOKUP($U$19,'TAR FIN'!$A$1:$O$103,15,0)),0,VLOOKUP($U$19,'TAR FIN'!$A$1:$O$103,15,0))*(1-0.04)</f>
        <v>0</v>
      </c>
      <c r="Y19" s="52">
        <f ca="1">('TUSD BE'!$AM$5+'TUSD BF_350'!$AM$5+'TUSD CVA'!$AM$5)*1*(1-0.02)</f>
        <v>50.018664763216471</v>
      </c>
      <c r="Z19" s="52">
        <f ca="1">('TUSD BE'!$AM$7+'TUSD BF_350'!$AM$7+'TUSD CVA'!$AM$7)*1*(1-0.02)</f>
        <v>142.80792645762099</v>
      </c>
      <c r="AA19" s="52">
        <f ca="1">('TE BE'!$AB$5+'TE BF_350'!$AB$5+'TE CVA'!$AB$5)*1*(1-0.02)</f>
        <v>354.71359410136364</v>
      </c>
      <c r="AB19" s="6">
        <f>$K$19*$V$19</f>
        <v>4872.9888000000001</v>
      </c>
      <c r="AC19" s="6">
        <f>$M$19*$W$19</f>
        <v>0</v>
      </c>
      <c r="AD19" s="6">
        <f>$O$19*$X$19</f>
        <v>0</v>
      </c>
      <c r="AE19" s="6">
        <f ca="1">$K$19*$Y$19</f>
        <v>5552.0717887170285</v>
      </c>
      <c r="AF19" s="6">
        <f ca="1">$M$19*$Z$19</f>
        <v>0</v>
      </c>
      <c r="AG19" s="6">
        <f ca="1">$O$19*$AA$19</f>
        <v>0</v>
      </c>
    </row>
    <row r="20" spans="1:33" ht="11.25" customHeight="1" x14ac:dyDescent="0.3">
      <c r="A20" s="4" t="s">
        <v>21</v>
      </c>
      <c r="B20" s="4" t="s">
        <v>45</v>
      </c>
      <c r="C20" s="4" t="s">
        <v>42</v>
      </c>
      <c r="D20" s="4" t="s">
        <v>44</v>
      </c>
      <c r="E20" s="4" t="s">
        <v>53</v>
      </c>
      <c r="F20" s="4" t="s">
        <v>25</v>
      </c>
      <c r="G20" s="4" t="s">
        <v>25</v>
      </c>
      <c r="H20" s="4" t="s">
        <v>34</v>
      </c>
      <c r="I20" s="5">
        <v>44593</v>
      </c>
      <c r="J20" s="6">
        <v>111</v>
      </c>
      <c r="K20" s="52">
        <v>111</v>
      </c>
      <c r="L20" s="6">
        <v>0</v>
      </c>
      <c r="M20" s="52">
        <v>0</v>
      </c>
      <c r="N20" s="6">
        <v>0</v>
      </c>
      <c r="O20" s="52">
        <v>0</v>
      </c>
      <c r="P20" s="6">
        <v>0</v>
      </c>
      <c r="Q20" s="4" t="s">
        <v>26</v>
      </c>
      <c r="R20" s="4">
        <v>0</v>
      </c>
      <c r="S20" s="6">
        <v>1</v>
      </c>
      <c r="T20" s="6">
        <v>0</v>
      </c>
      <c r="U20" s="6">
        <v>0</v>
      </c>
      <c r="V20" s="52">
        <f>IF(ISERROR(VLOOKUP($S$20,'TAR FIN'!$A$1:$O$103,15,0)),0,VLOOKUP($S$20,'TAR FIN'!$A$1:$O$103,15,0))*(1-0.04)</f>
        <v>43.900799999999997</v>
      </c>
      <c r="W20" s="52">
        <f>IF(ISERROR(VLOOKUP($T$20,'TAR FIN'!$A$1:$O$103,15,0)),0,VLOOKUP($T$20,'TAR FIN'!$A$1:$O$103,15,0))*(1-0.04)</f>
        <v>0</v>
      </c>
      <c r="X20" s="52">
        <f>IF(ISERROR(VLOOKUP($U$20,'TAR FIN'!$A$1:$O$103,15,0)),0,VLOOKUP($U$20,'TAR FIN'!$A$1:$O$103,15,0))*(1-0.04)</f>
        <v>0</v>
      </c>
      <c r="Y20" s="52">
        <f ca="1">('TUSD BE'!$AM$5+'TUSD BF_350'!$AM$5+'TUSD CVA'!$AM$5)*1*(1-0.02)</f>
        <v>50.018664763216471</v>
      </c>
      <c r="Z20" s="52">
        <f ca="1">('TUSD BE'!$AM$7+'TUSD BF_350'!$AM$7+'TUSD CVA'!$AM$7)*1*(1-0.02)</f>
        <v>142.80792645762099</v>
      </c>
      <c r="AA20" s="52">
        <f ca="1">('TE BE'!$AB$5+'TE BF_350'!$AB$5+'TE CVA'!$AB$5)*1*(1-0.02)</f>
        <v>354.71359410136364</v>
      </c>
      <c r="AB20" s="6">
        <f>$K$20*$V$20</f>
        <v>4872.9888000000001</v>
      </c>
      <c r="AC20" s="6">
        <f>$M$20*$W$20</f>
        <v>0</v>
      </c>
      <c r="AD20" s="6">
        <f>$O$20*$X$20</f>
        <v>0</v>
      </c>
      <c r="AE20" s="6">
        <f ca="1">$K$20*$Y$20</f>
        <v>5552.0717887170285</v>
      </c>
      <c r="AF20" s="6">
        <f ca="1">$M$20*$Z$20</f>
        <v>0</v>
      </c>
      <c r="AG20" s="6">
        <f ca="1">$O$20*$AA$20</f>
        <v>0</v>
      </c>
    </row>
    <row r="21" spans="1:33" ht="11.25" customHeight="1" x14ac:dyDescent="0.3">
      <c r="A21" s="4" t="s">
        <v>21</v>
      </c>
      <c r="B21" s="4" t="s">
        <v>45</v>
      </c>
      <c r="C21" s="4" t="s">
        <v>42</v>
      </c>
      <c r="D21" s="4" t="s">
        <v>44</v>
      </c>
      <c r="E21" s="4" t="s">
        <v>53</v>
      </c>
      <c r="F21" s="4" t="s">
        <v>25</v>
      </c>
      <c r="G21" s="4" t="s">
        <v>25</v>
      </c>
      <c r="H21" s="4" t="s">
        <v>34</v>
      </c>
      <c r="I21" s="5">
        <v>44621</v>
      </c>
      <c r="J21" s="6">
        <v>111</v>
      </c>
      <c r="K21" s="52">
        <v>111</v>
      </c>
      <c r="L21" s="6">
        <v>0</v>
      </c>
      <c r="M21" s="52">
        <v>0</v>
      </c>
      <c r="N21" s="6">
        <v>0</v>
      </c>
      <c r="O21" s="52">
        <v>0</v>
      </c>
      <c r="P21" s="6">
        <v>0</v>
      </c>
      <c r="Q21" s="4" t="s">
        <v>26</v>
      </c>
      <c r="R21" s="4">
        <v>0</v>
      </c>
      <c r="S21" s="6">
        <v>1</v>
      </c>
      <c r="T21" s="6">
        <v>0</v>
      </c>
      <c r="U21" s="6">
        <v>0</v>
      </c>
      <c r="V21" s="52">
        <f>IF(ISERROR(VLOOKUP($S$21,'TAR FIN'!$A$1:$O$103,15,0)),0,VLOOKUP($S$21,'TAR FIN'!$A$1:$O$103,15,0))*(1-0.04)</f>
        <v>43.900799999999997</v>
      </c>
      <c r="W21" s="52">
        <f>IF(ISERROR(VLOOKUP($T$21,'TAR FIN'!$A$1:$O$103,15,0)),0,VLOOKUP($T$21,'TAR FIN'!$A$1:$O$103,15,0))*(1-0.04)</f>
        <v>0</v>
      </c>
      <c r="X21" s="52">
        <f>IF(ISERROR(VLOOKUP($U$21,'TAR FIN'!$A$1:$O$103,15,0)),0,VLOOKUP($U$21,'TAR FIN'!$A$1:$O$103,15,0))*(1-0.04)</f>
        <v>0</v>
      </c>
      <c r="Y21" s="52">
        <f ca="1">('TUSD BE'!$AM$5+'TUSD BF_350'!$AM$5+'TUSD CVA'!$AM$5)*1*(1-0.02)</f>
        <v>50.018664763216471</v>
      </c>
      <c r="Z21" s="52">
        <f ca="1">('TUSD BE'!$AM$7+'TUSD BF_350'!$AM$7+'TUSD CVA'!$AM$7)*1*(1-0.02)</f>
        <v>142.80792645762099</v>
      </c>
      <c r="AA21" s="52">
        <f ca="1">('TE BE'!$AB$5+'TE BF_350'!$AB$5+'TE CVA'!$AB$5)*1*(1-0.02)</f>
        <v>354.71359410136364</v>
      </c>
      <c r="AB21" s="6">
        <f>$K$21*$V$21</f>
        <v>4872.9888000000001</v>
      </c>
      <c r="AC21" s="6">
        <f>$M$21*$W$21</f>
        <v>0</v>
      </c>
      <c r="AD21" s="6">
        <f>$O$21*$X$21</f>
        <v>0</v>
      </c>
      <c r="AE21" s="6">
        <f ca="1">$K$21*$Y$21</f>
        <v>5552.0717887170285</v>
      </c>
      <c r="AF21" s="6">
        <f ca="1">$M$21*$Z$21</f>
        <v>0</v>
      </c>
      <c r="AG21" s="6">
        <f ca="1">$O$21*$AA$21</f>
        <v>0</v>
      </c>
    </row>
    <row r="22" spans="1:33" ht="11.25" customHeight="1" x14ac:dyDescent="0.3">
      <c r="A22" s="4" t="s">
        <v>21</v>
      </c>
      <c r="B22" s="4" t="s">
        <v>45</v>
      </c>
      <c r="C22" s="4" t="s">
        <v>42</v>
      </c>
      <c r="D22" s="4" t="s">
        <v>44</v>
      </c>
      <c r="E22" s="4" t="s">
        <v>53</v>
      </c>
      <c r="F22" s="4" t="s">
        <v>25</v>
      </c>
      <c r="G22" s="4" t="s">
        <v>25</v>
      </c>
      <c r="H22" s="4" t="s">
        <v>34</v>
      </c>
      <c r="I22" s="5">
        <v>44652</v>
      </c>
      <c r="J22" s="6">
        <v>111</v>
      </c>
      <c r="K22" s="52">
        <v>111</v>
      </c>
      <c r="L22" s="6">
        <v>0</v>
      </c>
      <c r="M22" s="52">
        <v>0</v>
      </c>
      <c r="N22" s="6">
        <v>0</v>
      </c>
      <c r="O22" s="52">
        <v>0</v>
      </c>
      <c r="P22" s="6">
        <v>0</v>
      </c>
      <c r="Q22" s="4" t="s">
        <v>26</v>
      </c>
      <c r="R22" s="4">
        <v>0</v>
      </c>
      <c r="S22" s="6">
        <v>1</v>
      </c>
      <c r="T22" s="6">
        <v>0</v>
      </c>
      <c r="U22" s="6">
        <v>0</v>
      </c>
      <c r="V22" s="52">
        <f>IF(ISERROR(VLOOKUP($S$22,'TAR FIN'!$A$1:$O$103,15,0)),0,VLOOKUP($S$22,'TAR FIN'!$A$1:$O$103,15,0))*(1-0.04)</f>
        <v>43.900799999999997</v>
      </c>
      <c r="W22" s="52">
        <f>IF(ISERROR(VLOOKUP($T$22,'TAR FIN'!$A$1:$O$103,15,0)),0,VLOOKUP($T$22,'TAR FIN'!$A$1:$O$103,15,0))*(1-0.04)</f>
        <v>0</v>
      </c>
      <c r="X22" s="52">
        <f>IF(ISERROR(VLOOKUP($U$22,'TAR FIN'!$A$1:$O$103,15,0)),0,VLOOKUP($U$22,'TAR FIN'!$A$1:$O$103,15,0))*(1-0.04)</f>
        <v>0</v>
      </c>
      <c r="Y22" s="52">
        <f ca="1">('TUSD BE'!$AM$5+'TUSD BF_350'!$AM$5+'TUSD CVA'!$AM$5)*1*(1-0.02)</f>
        <v>50.018664763216471</v>
      </c>
      <c r="Z22" s="52">
        <f ca="1">('TUSD BE'!$AM$7+'TUSD BF_350'!$AM$7+'TUSD CVA'!$AM$7)*1*(1-0.02)</f>
        <v>142.80792645762099</v>
      </c>
      <c r="AA22" s="52">
        <f ca="1">('TE BE'!$AB$5+'TE BF_350'!$AB$5+'TE CVA'!$AB$5)*1*(1-0.02)</f>
        <v>354.71359410136364</v>
      </c>
      <c r="AB22" s="6">
        <f>$K$22*$V$22</f>
        <v>4872.9888000000001</v>
      </c>
      <c r="AC22" s="6">
        <f>$M$22*$W$22</f>
        <v>0</v>
      </c>
      <c r="AD22" s="6">
        <f>$O$22*$X$22</f>
        <v>0</v>
      </c>
      <c r="AE22" s="6">
        <f ca="1">$K$22*$Y$22</f>
        <v>5552.0717887170285</v>
      </c>
      <c r="AF22" s="6">
        <f ca="1">$M$22*$Z$22</f>
        <v>0</v>
      </c>
      <c r="AG22" s="6">
        <f ca="1">$O$22*$AA$22</f>
        <v>0</v>
      </c>
    </row>
    <row r="23" spans="1:33" ht="11.25" customHeight="1" x14ac:dyDescent="0.3">
      <c r="A23" s="4" t="s">
        <v>21</v>
      </c>
      <c r="B23" s="4" t="s">
        <v>45</v>
      </c>
      <c r="C23" s="4" t="s">
        <v>42</v>
      </c>
      <c r="D23" s="4" t="s">
        <v>44</v>
      </c>
      <c r="E23" s="4" t="s">
        <v>53</v>
      </c>
      <c r="F23" s="4" t="s">
        <v>25</v>
      </c>
      <c r="G23" s="4" t="s">
        <v>25</v>
      </c>
      <c r="H23" s="4" t="s">
        <v>34</v>
      </c>
      <c r="I23" s="5">
        <v>44682</v>
      </c>
      <c r="J23" s="6">
        <v>111</v>
      </c>
      <c r="K23" s="52">
        <v>111</v>
      </c>
      <c r="L23" s="6">
        <v>0</v>
      </c>
      <c r="M23" s="52">
        <v>0</v>
      </c>
      <c r="N23" s="6">
        <v>0</v>
      </c>
      <c r="O23" s="52">
        <v>0</v>
      </c>
      <c r="P23" s="6">
        <v>0</v>
      </c>
      <c r="Q23" s="4" t="s">
        <v>26</v>
      </c>
      <c r="R23" s="4">
        <v>0</v>
      </c>
      <c r="S23" s="6">
        <v>1</v>
      </c>
      <c r="T23" s="6">
        <v>0</v>
      </c>
      <c r="U23" s="6">
        <v>0</v>
      </c>
      <c r="V23" s="52">
        <f>IF(ISERROR(VLOOKUP($S$23,'TAR FIN'!$A$1:$O$103,15,0)),0,VLOOKUP($S$23,'TAR FIN'!$A$1:$O$103,15,0))*(1-0.04)</f>
        <v>43.900799999999997</v>
      </c>
      <c r="W23" s="52">
        <f>IF(ISERROR(VLOOKUP($T$23,'TAR FIN'!$A$1:$O$103,15,0)),0,VLOOKUP($T$23,'TAR FIN'!$A$1:$O$103,15,0))*(1-0.04)</f>
        <v>0</v>
      </c>
      <c r="X23" s="52">
        <f>IF(ISERROR(VLOOKUP($U$23,'TAR FIN'!$A$1:$O$103,15,0)),0,VLOOKUP($U$23,'TAR FIN'!$A$1:$O$103,15,0))*(1-0.04)</f>
        <v>0</v>
      </c>
      <c r="Y23" s="52">
        <f ca="1">('TUSD BE'!$AM$5+'TUSD BF_350'!$AM$5+'TUSD CVA'!$AM$5)*1*(1-0.02)</f>
        <v>50.018664763216471</v>
      </c>
      <c r="Z23" s="52">
        <f ca="1">('TUSD BE'!$AM$7+'TUSD BF_350'!$AM$7+'TUSD CVA'!$AM$7)*1*(1-0.02)</f>
        <v>142.80792645762099</v>
      </c>
      <c r="AA23" s="52">
        <f ca="1">('TE BE'!$AB$5+'TE BF_350'!$AB$5+'TE CVA'!$AB$5)*1*(1-0.02)</f>
        <v>354.71359410136364</v>
      </c>
      <c r="AB23" s="6">
        <f>$K$23*$V$23</f>
        <v>4872.9888000000001</v>
      </c>
      <c r="AC23" s="6">
        <f>$M$23*$W$23</f>
        <v>0</v>
      </c>
      <c r="AD23" s="6">
        <f>$O$23*$X$23</f>
        <v>0</v>
      </c>
      <c r="AE23" s="6">
        <f ca="1">$K$23*$Y$23</f>
        <v>5552.0717887170285</v>
      </c>
      <c r="AF23" s="6">
        <f ca="1">$M$23*$Z$23</f>
        <v>0</v>
      </c>
      <c r="AG23" s="6">
        <f ca="1">$O$23*$AA$23</f>
        <v>0</v>
      </c>
    </row>
    <row r="24" spans="1:33" ht="11.25" customHeight="1" x14ac:dyDescent="0.3">
      <c r="A24" s="4" t="s">
        <v>21</v>
      </c>
      <c r="B24" s="4" t="s">
        <v>45</v>
      </c>
      <c r="C24" s="4" t="s">
        <v>42</v>
      </c>
      <c r="D24" s="4" t="s">
        <v>44</v>
      </c>
      <c r="E24" s="4" t="s">
        <v>53</v>
      </c>
      <c r="F24" s="4" t="s">
        <v>25</v>
      </c>
      <c r="G24" s="4" t="s">
        <v>25</v>
      </c>
      <c r="H24" s="4" t="s">
        <v>34</v>
      </c>
      <c r="I24" s="5">
        <v>44713</v>
      </c>
      <c r="J24" s="6">
        <v>1100</v>
      </c>
      <c r="K24" s="52">
        <v>1100</v>
      </c>
      <c r="L24" s="6">
        <v>0.437</v>
      </c>
      <c r="M24" s="52">
        <v>0.437</v>
      </c>
      <c r="N24" s="6">
        <v>0.437</v>
      </c>
      <c r="O24" s="52">
        <v>0.437</v>
      </c>
      <c r="P24" s="6">
        <v>0</v>
      </c>
      <c r="Q24" s="4" t="s">
        <v>26</v>
      </c>
      <c r="R24" s="4">
        <v>0</v>
      </c>
      <c r="S24" s="6">
        <v>1</v>
      </c>
      <c r="T24" s="6">
        <v>6</v>
      </c>
      <c r="U24" s="6">
        <v>62</v>
      </c>
      <c r="V24" s="52">
        <f>IF(ISERROR(VLOOKUP($S$24,'TAR FIN'!$A$1:$O$103,15,0)),0,VLOOKUP($S$24,'TAR FIN'!$A$1:$O$103,15,0))*(1-0.04)</f>
        <v>43.900799999999997</v>
      </c>
      <c r="W24" s="52">
        <f>IF(ISERROR(VLOOKUP($T$24,'TAR FIN'!$A$1:$O$103,15,0)),0,VLOOKUP($T$24,'TAR FIN'!$A$1:$O$103,15,0))*(1-0.04)</f>
        <v>81.590399999999988</v>
      </c>
      <c r="X24" s="52">
        <f>IF(ISERROR(VLOOKUP($U$24,'TAR FIN'!$A$1:$O$103,15,0)),0,VLOOKUP($U$24,'TAR FIN'!$A$1:$O$103,15,0))*(1-0.04)</f>
        <v>375.8784</v>
      </c>
      <c r="Y24" s="52">
        <f ca="1">('TUSD BE'!$AM$5+'TUSD BF_350'!$AM$5+'TUSD CVA'!$AM$5)*1*(1-0.02)</f>
        <v>50.018664763216471</v>
      </c>
      <c r="Z24" s="52">
        <f ca="1">('TUSD BE'!$AM$7+'TUSD BF_350'!$AM$7+'TUSD CVA'!$AM$7)*1*(1-0.02)</f>
        <v>142.80792645762099</v>
      </c>
      <c r="AA24" s="52">
        <f ca="1">('TE BE'!$AB$5+'TE BF_350'!$AB$5+'TE CVA'!$AB$5)*1*(1-0.02)</f>
        <v>354.71359410136364</v>
      </c>
      <c r="AB24" s="6">
        <f>$K$24*$V$24</f>
        <v>48290.879999999997</v>
      </c>
      <c r="AC24" s="6">
        <f>$M$24*$W$24</f>
        <v>35.655004799999993</v>
      </c>
      <c r="AD24" s="6">
        <f>$O$24*$X$24</f>
        <v>164.25886080000001</v>
      </c>
      <c r="AE24" s="6">
        <f ca="1">$K$24*$Y$24</f>
        <v>55020.531239538119</v>
      </c>
      <c r="AF24" s="6">
        <f ca="1">$M$24*$Z$24</f>
        <v>62.407063861980376</v>
      </c>
      <c r="AG24" s="6">
        <f ca="1">$O$24*$AA$24</f>
        <v>155.00984062229591</v>
      </c>
    </row>
    <row r="25" spans="1:33" ht="11.25" customHeight="1" x14ac:dyDescent="0.3">
      <c r="A25" s="4" t="s">
        <v>21</v>
      </c>
      <c r="B25" s="4" t="s">
        <v>45</v>
      </c>
      <c r="C25" s="4" t="s">
        <v>42</v>
      </c>
      <c r="D25" s="4" t="s">
        <v>44</v>
      </c>
      <c r="E25" s="4" t="s">
        <v>53</v>
      </c>
      <c r="F25" s="4" t="s">
        <v>25</v>
      </c>
      <c r="G25" s="4" t="s">
        <v>25</v>
      </c>
      <c r="H25" s="4" t="s">
        <v>34</v>
      </c>
      <c r="I25" s="5">
        <v>44743</v>
      </c>
      <c r="J25" s="6">
        <v>1100</v>
      </c>
      <c r="K25" s="52">
        <v>1100</v>
      </c>
      <c r="L25" s="6">
        <v>0.437</v>
      </c>
      <c r="M25" s="52">
        <v>0.437</v>
      </c>
      <c r="N25" s="6">
        <v>0.437</v>
      </c>
      <c r="O25" s="52">
        <v>0.437</v>
      </c>
      <c r="P25" s="6">
        <v>0</v>
      </c>
      <c r="Q25" s="4" t="s">
        <v>26</v>
      </c>
      <c r="R25" s="4">
        <v>0</v>
      </c>
      <c r="S25" s="6">
        <v>1</v>
      </c>
      <c r="T25" s="6">
        <v>6</v>
      </c>
      <c r="U25" s="6">
        <v>62</v>
      </c>
      <c r="V25" s="52">
        <f>IF(ISERROR(VLOOKUP($S$25,'TAR FIN'!$A$1:$O$103,15,0)),0,VLOOKUP($S$25,'TAR FIN'!$A$1:$O$103,15,0))*(1-0.04)</f>
        <v>43.900799999999997</v>
      </c>
      <c r="W25" s="52">
        <f>IF(ISERROR(VLOOKUP($T$25,'TAR FIN'!$A$1:$O$103,15,0)),0,VLOOKUP($T$25,'TAR FIN'!$A$1:$O$103,15,0))*(1-0.04)</f>
        <v>81.590399999999988</v>
      </c>
      <c r="X25" s="52">
        <f>IF(ISERROR(VLOOKUP($U$25,'TAR FIN'!$A$1:$O$103,15,0)),0,VLOOKUP($U$25,'TAR FIN'!$A$1:$O$103,15,0))*(1-0.04)</f>
        <v>375.8784</v>
      </c>
      <c r="Y25" s="52">
        <f ca="1">('TUSD BE'!$AM$5+'TUSD BF_350'!$AM$5+'TUSD CVA'!$AM$5)*1*(1-0.02)</f>
        <v>50.018664763216471</v>
      </c>
      <c r="Z25" s="52">
        <f ca="1">('TUSD BE'!$AM$7+'TUSD BF_350'!$AM$7+'TUSD CVA'!$AM$7)*1*(1-0.02)</f>
        <v>142.80792645762099</v>
      </c>
      <c r="AA25" s="52">
        <f ca="1">('TE BE'!$AB$5+'TE BF_350'!$AB$5+'TE CVA'!$AB$5)*1*(1-0.02)</f>
        <v>354.71359410136364</v>
      </c>
      <c r="AB25" s="6">
        <f>$K$25*$V$25</f>
        <v>48290.879999999997</v>
      </c>
      <c r="AC25" s="6">
        <f>$M$25*$W$25</f>
        <v>35.655004799999993</v>
      </c>
      <c r="AD25" s="6">
        <f>$O$25*$X$25</f>
        <v>164.25886080000001</v>
      </c>
      <c r="AE25" s="6">
        <f ca="1">$K$25*$Y$25</f>
        <v>55020.531239538119</v>
      </c>
      <c r="AF25" s="6">
        <f ca="1">$M$25*$Z$25</f>
        <v>62.407063861980376</v>
      </c>
      <c r="AG25" s="6">
        <f ca="1">$O$25*$AA$25</f>
        <v>155.00984062229591</v>
      </c>
    </row>
    <row r="26" spans="1:33" ht="11.25" customHeight="1" x14ac:dyDescent="0.3">
      <c r="A26" s="4" t="s">
        <v>21</v>
      </c>
      <c r="B26" s="4" t="s">
        <v>45</v>
      </c>
      <c r="C26" s="4" t="s">
        <v>42</v>
      </c>
      <c r="D26" s="4" t="s">
        <v>44</v>
      </c>
      <c r="E26" s="4" t="s">
        <v>53</v>
      </c>
      <c r="F26" s="4" t="s">
        <v>25</v>
      </c>
      <c r="G26" s="4" t="s">
        <v>25</v>
      </c>
      <c r="H26" s="4" t="s">
        <v>34</v>
      </c>
      <c r="I26" s="5">
        <v>44774</v>
      </c>
      <c r="J26" s="6">
        <v>1100</v>
      </c>
      <c r="K26" s="52">
        <v>1100</v>
      </c>
      <c r="L26" s="6">
        <v>5.5E-2</v>
      </c>
      <c r="M26" s="52">
        <v>5.5E-2</v>
      </c>
      <c r="N26" s="6">
        <v>5.5E-2</v>
      </c>
      <c r="O26" s="52">
        <v>5.5E-2</v>
      </c>
      <c r="P26" s="6">
        <v>0</v>
      </c>
      <c r="Q26" s="4" t="s">
        <v>26</v>
      </c>
      <c r="R26" s="4">
        <v>0</v>
      </c>
      <c r="S26" s="6">
        <v>1</v>
      </c>
      <c r="T26" s="6">
        <v>6</v>
      </c>
      <c r="U26" s="6">
        <v>62</v>
      </c>
      <c r="V26" s="52">
        <f>IF(ISERROR(VLOOKUP($S$26,'TAR FIN'!$A$1:$O$103,15,0)),0,VLOOKUP($S$26,'TAR FIN'!$A$1:$O$103,15,0))*(1-0.04)</f>
        <v>43.900799999999997</v>
      </c>
      <c r="W26" s="52">
        <f>IF(ISERROR(VLOOKUP($T$26,'TAR FIN'!$A$1:$O$103,15,0)),0,VLOOKUP($T$26,'TAR FIN'!$A$1:$O$103,15,0))*(1-0.04)</f>
        <v>81.590399999999988</v>
      </c>
      <c r="X26" s="52">
        <f>IF(ISERROR(VLOOKUP($U$26,'TAR FIN'!$A$1:$O$103,15,0)),0,VLOOKUP($U$26,'TAR FIN'!$A$1:$O$103,15,0))*(1-0.04)</f>
        <v>375.8784</v>
      </c>
      <c r="Y26" s="52">
        <f ca="1">('TUSD BE'!$AM$5+'TUSD BF_350'!$AM$5+'TUSD CVA'!$AM$5)*1*(1-0.02)</f>
        <v>50.018664763216471</v>
      </c>
      <c r="Z26" s="52">
        <f ca="1">('TUSD BE'!$AM$7+'TUSD BF_350'!$AM$7+'TUSD CVA'!$AM$7)*1*(1-0.02)</f>
        <v>142.80792645762099</v>
      </c>
      <c r="AA26" s="52">
        <f ca="1">('TE BE'!$AB$5+'TE BF_350'!$AB$5+'TE CVA'!$AB$5)*1*(1-0.02)</f>
        <v>354.71359410136364</v>
      </c>
      <c r="AB26" s="6">
        <f>$K$26*$V$26</f>
        <v>48290.879999999997</v>
      </c>
      <c r="AC26" s="6">
        <f>$M$26*$W$26</f>
        <v>4.4874719999999995</v>
      </c>
      <c r="AD26" s="6">
        <f>$O$26*$X$26</f>
        <v>20.673311999999999</v>
      </c>
      <c r="AE26" s="6">
        <f ca="1">$K$26*$Y$26</f>
        <v>55020.531239538119</v>
      </c>
      <c r="AF26" s="6">
        <f ca="1">$M$26*$Z$26</f>
        <v>7.8544359551691549</v>
      </c>
      <c r="AG26" s="6">
        <f ca="1">$O$26*$AA$26</f>
        <v>19.509247675575001</v>
      </c>
    </row>
    <row r="27" spans="1:33" ht="11.25" customHeight="1" x14ac:dyDescent="0.3">
      <c r="A27" s="4" t="s">
        <v>21</v>
      </c>
      <c r="B27" s="4" t="s">
        <v>45</v>
      </c>
      <c r="C27" s="4" t="s">
        <v>42</v>
      </c>
      <c r="D27" s="4" t="s">
        <v>44</v>
      </c>
      <c r="E27" s="4" t="s">
        <v>53</v>
      </c>
      <c r="F27" s="4" t="s">
        <v>25</v>
      </c>
      <c r="G27" s="4" t="s">
        <v>25</v>
      </c>
      <c r="H27" s="4" t="s">
        <v>34</v>
      </c>
      <c r="I27" s="5">
        <v>44805</v>
      </c>
      <c r="J27" s="6">
        <v>110</v>
      </c>
      <c r="K27" s="52">
        <v>110</v>
      </c>
      <c r="L27" s="6">
        <v>0</v>
      </c>
      <c r="M27" s="52">
        <v>0</v>
      </c>
      <c r="N27" s="6">
        <v>0</v>
      </c>
      <c r="O27" s="52">
        <v>0</v>
      </c>
      <c r="P27" s="6">
        <v>0</v>
      </c>
      <c r="Q27" s="4" t="s">
        <v>26</v>
      </c>
      <c r="R27" s="4">
        <v>0</v>
      </c>
      <c r="S27" s="6">
        <v>1</v>
      </c>
      <c r="T27" s="6">
        <v>0</v>
      </c>
      <c r="U27" s="6">
        <v>0</v>
      </c>
      <c r="V27" s="52">
        <f>IF(ISERROR(VLOOKUP($S$27,'TAR FIN'!$A$1:$O$103,15,0)),0,VLOOKUP($S$27,'TAR FIN'!$A$1:$O$103,15,0))*(1-0.04)</f>
        <v>43.900799999999997</v>
      </c>
      <c r="W27" s="52">
        <f>IF(ISERROR(VLOOKUP($T$27,'TAR FIN'!$A$1:$O$103,15,0)),0,VLOOKUP($T$27,'TAR FIN'!$A$1:$O$103,15,0))*(1-0.04)</f>
        <v>0</v>
      </c>
      <c r="X27" s="52">
        <f>IF(ISERROR(VLOOKUP($U$27,'TAR FIN'!$A$1:$O$103,15,0)),0,VLOOKUP($U$27,'TAR FIN'!$A$1:$O$103,15,0))*(1-0.04)</f>
        <v>0</v>
      </c>
      <c r="Y27" s="52">
        <f ca="1">('TUSD BE'!$AM$5+'TUSD BF_350'!$AM$5+'TUSD CVA'!$AM$5)*1*(1-0.02)</f>
        <v>50.018664763216471</v>
      </c>
      <c r="Z27" s="52">
        <f ca="1">('TUSD BE'!$AM$7+'TUSD BF_350'!$AM$7+'TUSD CVA'!$AM$7)*1*(1-0.02)</f>
        <v>142.80792645762099</v>
      </c>
      <c r="AA27" s="52">
        <f ca="1">('TE BE'!$AB$5+'TE BF_350'!$AB$5+'TE CVA'!$AB$5)*1*(1-0.02)</f>
        <v>354.71359410136364</v>
      </c>
      <c r="AB27" s="6">
        <f>$K$27*$V$27</f>
        <v>4829.0879999999997</v>
      </c>
      <c r="AC27" s="6">
        <f>$M$27*$W$27</f>
        <v>0</v>
      </c>
      <c r="AD27" s="6">
        <f>$O$27*$X$27</f>
        <v>0</v>
      </c>
      <c r="AE27" s="6">
        <f ca="1">$K$27*$Y$27</f>
        <v>5502.0531239538113</v>
      </c>
      <c r="AF27" s="6">
        <f ca="1">$M$27*$Z$27</f>
        <v>0</v>
      </c>
      <c r="AG27" s="6">
        <f ca="1">$O$27*$AA$27</f>
        <v>0</v>
      </c>
    </row>
    <row r="28" spans="1:33" ht="11.25" customHeight="1" x14ac:dyDescent="0.3">
      <c r="A28" s="4" t="s">
        <v>57</v>
      </c>
      <c r="B28" s="4" t="s">
        <v>45</v>
      </c>
      <c r="C28" s="4" t="s">
        <v>42</v>
      </c>
      <c r="D28" s="4" t="s">
        <v>44</v>
      </c>
      <c r="E28" s="4" t="s">
        <v>53</v>
      </c>
      <c r="F28" s="4" t="s">
        <v>25</v>
      </c>
      <c r="G28" s="4" t="s">
        <v>25</v>
      </c>
      <c r="H28" s="4" t="s">
        <v>34</v>
      </c>
      <c r="I28" s="5">
        <v>44835</v>
      </c>
      <c r="J28" s="6">
        <v>110</v>
      </c>
      <c r="K28" s="52">
        <v>110</v>
      </c>
      <c r="L28" s="6">
        <v>0</v>
      </c>
      <c r="M28" s="52">
        <v>0</v>
      </c>
      <c r="N28" s="6">
        <v>0</v>
      </c>
      <c r="O28" s="52">
        <v>0</v>
      </c>
      <c r="P28" s="6">
        <v>0</v>
      </c>
      <c r="Q28" s="4" t="s">
        <v>26</v>
      </c>
      <c r="R28" s="4">
        <v>0</v>
      </c>
      <c r="S28" s="6">
        <v>1</v>
      </c>
      <c r="T28" s="6">
        <v>0</v>
      </c>
      <c r="U28" s="6">
        <v>0</v>
      </c>
      <c r="V28" s="52">
        <f>IF(ISERROR(VLOOKUP($S$28,'TAR FIN'!$A$1:$O$103,15,0)),0,VLOOKUP($S$28,'TAR FIN'!$A$1:$O$103,15,0))*(1-0.04)</f>
        <v>43.900799999999997</v>
      </c>
      <c r="W28" s="52">
        <f>IF(ISERROR(VLOOKUP($T$28,'TAR FIN'!$A$1:$O$103,15,0)),0,VLOOKUP($T$28,'TAR FIN'!$A$1:$O$103,15,0))*(1-0.04)</f>
        <v>0</v>
      </c>
      <c r="X28" s="52">
        <f>IF(ISERROR(VLOOKUP($U$28,'TAR FIN'!$A$1:$O$103,15,0)),0,VLOOKUP($U$28,'TAR FIN'!$A$1:$O$103,15,0))*(1-0.04)</f>
        <v>0</v>
      </c>
      <c r="Y28" s="52">
        <f ca="1">('TUSD BE'!$AM$5+'TUSD BF_350'!$AM$5+'TUSD CVA'!$AM$5)*1*(1-0.02)</f>
        <v>50.018664763216471</v>
      </c>
      <c r="Z28" s="52">
        <f ca="1">('TUSD BE'!$AM$7+'TUSD BF_350'!$AM$7+'TUSD CVA'!$AM$7)*1*(1-0.02)</f>
        <v>142.80792645762099</v>
      </c>
      <c r="AA28" s="52">
        <f ca="1">('TE BE'!$AB$5+'TE BF_350'!$AB$5+'TE CVA'!$AB$5)*1*(1-0.02)</f>
        <v>354.71359410136364</v>
      </c>
      <c r="AB28" s="6">
        <f>$K$28*$V$28</f>
        <v>4829.0879999999997</v>
      </c>
      <c r="AC28" s="6">
        <f>$M$28*$W$28</f>
        <v>0</v>
      </c>
      <c r="AD28" s="6">
        <f>$O$28*$X$28</f>
        <v>0</v>
      </c>
      <c r="AE28" s="6">
        <f ca="1">$K$28*$Y$28</f>
        <v>5502.0531239538113</v>
      </c>
      <c r="AF28" s="6">
        <f ca="1">$M$28*$Z$28</f>
        <v>0</v>
      </c>
      <c r="AG28" s="6">
        <f ca="1">$O$28*$AA$28</f>
        <v>0</v>
      </c>
    </row>
    <row r="29" spans="1:33" ht="11.25" customHeight="1" x14ac:dyDescent="0.3">
      <c r="A29" s="4" t="s">
        <v>21</v>
      </c>
      <c r="B29" s="4" t="s">
        <v>45</v>
      </c>
      <c r="C29" s="4" t="s">
        <v>60</v>
      </c>
      <c r="D29" s="4" t="s">
        <v>25</v>
      </c>
      <c r="E29" s="4" t="s">
        <v>25</v>
      </c>
      <c r="F29" s="4" t="s">
        <v>25</v>
      </c>
      <c r="G29" s="4" t="s">
        <v>61</v>
      </c>
      <c r="H29" s="4" t="s">
        <v>25</v>
      </c>
      <c r="I29" s="5">
        <v>44501</v>
      </c>
      <c r="J29" s="6">
        <v>3010</v>
      </c>
      <c r="K29" s="6">
        <v>3010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62</v>
      </c>
      <c r="R29" s="4">
        <v>26879</v>
      </c>
      <c r="S29" s="6">
        <v>10</v>
      </c>
      <c r="T29" s="6">
        <v>0</v>
      </c>
      <c r="U29" s="6">
        <v>0</v>
      </c>
      <c r="V29" s="6">
        <f>IF(ISERROR(VLOOKUP($S$29,'TAR FIN'!$A$1:$O$103,15,0)),0,VLOOKUP($S$29,'TAR FIN'!$A$1:$O$103,15,0))</f>
        <v>11.48</v>
      </c>
      <c r="W29" s="6">
        <f>IF(ISERROR(VLOOKUP($T$29,'TAR FIN'!$A$1:$O$103,15,0)),0,VLOOKUP($T$29,'TAR FIN'!$A$1:$O$103,15,0))</f>
        <v>0</v>
      </c>
      <c r="X29" s="6">
        <f>IF(ISERROR(VLOOKUP($U$29,'TAR FIN'!$A$1:$O$103,15,0)),0,VLOOKUP($U$29,'TAR FIN'!$A$1:$O$103,15,0))</f>
        <v>0</v>
      </c>
      <c r="Y29" s="6">
        <f ca="1">('TUSD BE'!$AM$9+'TUSD BF_350'!$AM$9+'TUSD CVA'!$AM$9)*1</f>
        <v>12.436759261643918</v>
      </c>
      <c r="Z29" s="6"/>
      <c r="AA29" s="6"/>
      <c r="AB29" s="6">
        <f>$K$29*$V$29</f>
        <v>34554.800000000003</v>
      </c>
      <c r="AC29" s="6">
        <f>$M$29*$W$29</f>
        <v>0</v>
      </c>
      <c r="AD29" s="6">
        <f>$O$29*$X$29</f>
        <v>0</v>
      </c>
      <c r="AE29" s="6">
        <f ca="1">$K$29*$Y$29</f>
        <v>37434.645377548193</v>
      </c>
      <c r="AF29" s="6">
        <f>$M$29*$Z$29</f>
        <v>0</v>
      </c>
      <c r="AG29" s="6">
        <f>$O$29*$AA$29</f>
        <v>0</v>
      </c>
    </row>
    <row r="30" spans="1:33" ht="11.25" customHeight="1" x14ac:dyDescent="0.3">
      <c r="A30" s="4" t="s">
        <v>21</v>
      </c>
      <c r="B30" s="4" t="s">
        <v>45</v>
      </c>
      <c r="C30" s="4" t="s">
        <v>60</v>
      </c>
      <c r="D30" s="4" t="s">
        <v>25</v>
      </c>
      <c r="E30" s="4" t="s">
        <v>25</v>
      </c>
      <c r="F30" s="4" t="s">
        <v>25</v>
      </c>
      <c r="G30" s="4" t="s">
        <v>61</v>
      </c>
      <c r="H30" s="4" t="s">
        <v>25</v>
      </c>
      <c r="I30" s="5">
        <v>44531</v>
      </c>
      <c r="J30" s="6">
        <v>3010</v>
      </c>
      <c r="K30" s="6">
        <v>3010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62</v>
      </c>
      <c r="R30" s="4">
        <v>26879</v>
      </c>
      <c r="S30" s="6">
        <v>10</v>
      </c>
      <c r="T30" s="6">
        <v>0</v>
      </c>
      <c r="U30" s="6">
        <v>0</v>
      </c>
      <c r="V30" s="6">
        <f>IF(ISERROR(VLOOKUP($S$30,'TAR FIN'!$A$1:$O$103,15,0)),0,VLOOKUP($S$30,'TAR FIN'!$A$1:$O$103,15,0))</f>
        <v>11.48</v>
      </c>
      <c r="W30" s="6">
        <f>IF(ISERROR(VLOOKUP($T$30,'TAR FIN'!$A$1:$O$103,15,0)),0,VLOOKUP($T$30,'TAR FIN'!$A$1:$O$103,15,0))</f>
        <v>0</v>
      </c>
      <c r="X30" s="6">
        <f>IF(ISERROR(VLOOKUP($U$30,'TAR FIN'!$A$1:$O$103,15,0)),0,VLOOKUP($U$30,'TAR FIN'!$A$1:$O$103,15,0))</f>
        <v>0</v>
      </c>
      <c r="Y30" s="6">
        <f ca="1">('TUSD BE'!$AM$9+'TUSD BF_350'!$AM$9+'TUSD CVA'!$AM$9)*1</f>
        <v>12.436759261643918</v>
      </c>
      <c r="Z30" s="6"/>
      <c r="AA30" s="6"/>
      <c r="AB30" s="6">
        <f>$K$30*$V$30</f>
        <v>34554.800000000003</v>
      </c>
      <c r="AC30" s="6">
        <f>$M$30*$W$30</f>
        <v>0</v>
      </c>
      <c r="AD30" s="6">
        <f>$O$30*$X$30</f>
        <v>0</v>
      </c>
      <c r="AE30" s="6">
        <f ca="1">$K$30*$Y$30</f>
        <v>37434.645377548193</v>
      </c>
      <c r="AF30" s="6">
        <f>$M$30*$Z$30</f>
        <v>0</v>
      </c>
      <c r="AG30" s="6">
        <f>$O$30*$AA$30</f>
        <v>0</v>
      </c>
    </row>
    <row r="31" spans="1:33" ht="11.25" customHeight="1" x14ac:dyDescent="0.3">
      <c r="A31" s="4" t="s">
        <v>21</v>
      </c>
      <c r="B31" s="4" t="s">
        <v>45</v>
      </c>
      <c r="C31" s="4" t="s">
        <v>60</v>
      </c>
      <c r="D31" s="4" t="s">
        <v>25</v>
      </c>
      <c r="E31" s="4" t="s">
        <v>25</v>
      </c>
      <c r="F31" s="4" t="s">
        <v>25</v>
      </c>
      <c r="G31" s="4" t="s">
        <v>61</v>
      </c>
      <c r="H31" s="4" t="s">
        <v>25</v>
      </c>
      <c r="I31" s="5">
        <v>44562</v>
      </c>
      <c r="J31" s="6">
        <v>3010</v>
      </c>
      <c r="K31" s="6">
        <v>3010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62</v>
      </c>
      <c r="R31" s="4">
        <v>26879</v>
      </c>
      <c r="S31" s="6">
        <v>10</v>
      </c>
      <c r="T31" s="6">
        <v>0</v>
      </c>
      <c r="U31" s="6">
        <v>0</v>
      </c>
      <c r="V31" s="6">
        <f>IF(ISERROR(VLOOKUP($S$31,'TAR FIN'!$A$1:$O$103,15,0)),0,VLOOKUP($S$31,'TAR FIN'!$A$1:$O$103,15,0))</f>
        <v>11.48</v>
      </c>
      <c r="W31" s="6">
        <f>IF(ISERROR(VLOOKUP($T$31,'TAR FIN'!$A$1:$O$103,15,0)),0,VLOOKUP($T$31,'TAR FIN'!$A$1:$O$103,15,0))</f>
        <v>0</v>
      </c>
      <c r="X31" s="6">
        <f>IF(ISERROR(VLOOKUP($U$31,'TAR FIN'!$A$1:$O$103,15,0)),0,VLOOKUP($U$31,'TAR FIN'!$A$1:$O$103,15,0))</f>
        <v>0</v>
      </c>
      <c r="Y31" s="6">
        <f ca="1">('TUSD BE'!$AM$9+'TUSD BF_350'!$AM$9+'TUSD CVA'!$AM$9)*1</f>
        <v>12.436759261643918</v>
      </c>
      <c r="Z31" s="6"/>
      <c r="AA31" s="6"/>
      <c r="AB31" s="6">
        <f>$K$31*$V$31</f>
        <v>34554.800000000003</v>
      </c>
      <c r="AC31" s="6">
        <f>$M$31*$W$31</f>
        <v>0</v>
      </c>
      <c r="AD31" s="6">
        <f>$O$31*$X$31</f>
        <v>0</v>
      </c>
      <c r="AE31" s="6">
        <f ca="1">$K$31*$Y$31</f>
        <v>37434.645377548193</v>
      </c>
      <c r="AF31" s="6">
        <f>$M$31*$Z$31</f>
        <v>0</v>
      </c>
      <c r="AG31" s="6">
        <f>$O$31*$AA$31</f>
        <v>0</v>
      </c>
    </row>
    <row r="32" spans="1:33" ht="11.25" customHeight="1" x14ac:dyDescent="0.3">
      <c r="A32" s="4" t="s">
        <v>21</v>
      </c>
      <c r="B32" s="4" t="s">
        <v>45</v>
      </c>
      <c r="C32" s="4" t="s">
        <v>60</v>
      </c>
      <c r="D32" s="4" t="s">
        <v>25</v>
      </c>
      <c r="E32" s="4" t="s">
        <v>25</v>
      </c>
      <c r="F32" s="4" t="s">
        <v>25</v>
      </c>
      <c r="G32" s="4" t="s">
        <v>61</v>
      </c>
      <c r="H32" s="4" t="s">
        <v>25</v>
      </c>
      <c r="I32" s="5">
        <v>44593</v>
      </c>
      <c r="J32" s="6">
        <v>3010</v>
      </c>
      <c r="K32" s="6">
        <v>3010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62</v>
      </c>
      <c r="R32" s="4">
        <v>26879</v>
      </c>
      <c r="S32" s="6">
        <v>10</v>
      </c>
      <c r="T32" s="6">
        <v>0</v>
      </c>
      <c r="U32" s="6">
        <v>0</v>
      </c>
      <c r="V32" s="6">
        <f>IF(ISERROR(VLOOKUP($S$32,'TAR FIN'!$A$1:$O$103,15,0)),0,VLOOKUP($S$32,'TAR FIN'!$A$1:$O$103,15,0))</f>
        <v>11.48</v>
      </c>
      <c r="W32" s="6">
        <f>IF(ISERROR(VLOOKUP($T$32,'TAR FIN'!$A$1:$O$103,15,0)),0,VLOOKUP($T$32,'TAR FIN'!$A$1:$O$103,15,0))</f>
        <v>0</v>
      </c>
      <c r="X32" s="6">
        <f>IF(ISERROR(VLOOKUP($U$32,'TAR FIN'!$A$1:$O$103,15,0)),0,VLOOKUP($U$32,'TAR FIN'!$A$1:$O$103,15,0))</f>
        <v>0</v>
      </c>
      <c r="Y32" s="6">
        <f ca="1">('TUSD BE'!$AM$9+'TUSD BF_350'!$AM$9+'TUSD CVA'!$AM$9)*1</f>
        <v>12.436759261643918</v>
      </c>
      <c r="Z32" s="6"/>
      <c r="AA32" s="6"/>
      <c r="AB32" s="6">
        <f>$K$32*$V$32</f>
        <v>34554.800000000003</v>
      </c>
      <c r="AC32" s="6">
        <f>$M$32*$W$32</f>
        <v>0</v>
      </c>
      <c r="AD32" s="6">
        <f>$O$32*$X$32</f>
        <v>0</v>
      </c>
      <c r="AE32" s="6">
        <f ca="1">$K$32*$Y$32</f>
        <v>37434.645377548193</v>
      </c>
      <c r="AF32" s="6">
        <f>$M$32*$Z$32</f>
        <v>0</v>
      </c>
      <c r="AG32" s="6">
        <f>$O$32*$AA$32</f>
        <v>0</v>
      </c>
    </row>
    <row r="33" spans="1:33" ht="11.25" customHeight="1" x14ac:dyDescent="0.3">
      <c r="A33" s="4" t="s">
        <v>21</v>
      </c>
      <c r="B33" s="4" t="s">
        <v>45</v>
      </c>
      <c r="C33" s="4" t="s">
        <v>60</v>
      </c>
      <c r="D33" s="4" t="s">
        <v>25</v>
      </c>
      <c r="E33" s="4" t="s">
        <v>25</v>
      </c>
      <c r="F33" s="4" t="s">
        <v>25</v>
      </c>
      <c r="G33" s="4" t="s">
        <v>61</v>
      </c>
      <c r="H33" s="4" t="s">
        <v>25</v>
      </c>
      <c r="I33" s="5">
        <v>44621</v>
      </c>
      <c r="J33" s="6">
        <v>3010</v>
      </c>
      <c r="K33" s="6">
        <v>3010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62</v>
      </c>
      <c r="R33" s="4">
        <v>26879</v>
      </c>
      <c r="S33" s="6">
        <v>10</v>
      </c>
      <c r="T33" s="6">
        <v>0</v>
      </c>
      <c r="U33" s="6">
        <v>0</v>
      </c>
      <c r="V33" s="6">
        <f>IF(ISERROR(VLOOKUP($S$33,'TAR FIN'!$A$1:$O$103,15,0)),0,VLOOKUP($S$33,'TAR FIN'!$A$1:$O$103,15,0))</f>
        <v>11.48</v>
      </c>
      <c r="W33" s="6">
        <f>IF(ISERROR(VLOOKUP($T$33,'TAR FIN'!$A$1:$O$103,15,0)),0,VLOOKUP($T$33,'TAR FIN'!$A$1:$O$103,15,0))</f>
        <v>0</v>
      </c>
      <c r="X33" s="6">
        <f>IF(ISERROR(VLOOKUP($U$33,'TAR FIN'!$A$1:$O$103,15,0)),0,VLOOKUP($U$33,'TAR FIN'!$A$1:$O$103,15,0))</f>
        <v>0</v>
      </c>
      <c r="Y33" s="6">
        <f ca="1">('TUSD BE'!$AM$9+'TUSD BF_350'!$AM$9+'TUSD CVA'!$AM$9)*1</f>
        <v>12.436759261643918</v>
      </c>
      <c r="Z33" s="6"/>
      <c r="AA33" s="6"/>
      <c r="AB33" s="6">
        <f>$K$33*$V$33</f>
        <v>34554.800000000003</v>
      </c>
      <c r="AC33" s="6">
        <f>$M$33*$W$33</f>
        <v>0</v>
      </c>
      <c r="AD33" s="6">
        <f>$O$33*$X$33</f>
        <v>0</v>
      </c>
      <c r="AE33" s="6">
        <f ca="1">$K$33*$Y$33</f>
        <v>37434.645377548193</v>
      </c>
      <c r="AF33" s="6">
        <f>$M$33*$Z$33</f>
        <v>0</v>
      </c>
      <c r="AG33" s="6">
        <f>$O$33*$AA$33</f>
        <v>0</v>
      </c>
    </row>
    <row r="34" spans="1:33" ht="11.25" customHeight="1" x14ac:dyDescent="0.3">
      <c r="A34" s="4" t="s">
        <v>21</v>
      </c>
      <c r="B34" s="4" t="s">
        <v>45</v>
      </c>
      <c r="C34" s="4" t="s">
        <v>60</v>
      </c>
      <c r="D34" s="4" t="s">
        <v>25</v>
      </c>
      <c r="E34" s="4" t="s">
        <v>25</v>
      </c>
      <c r="F34" s="4" t="s">
        <v>25</v>
      </c>
      <c r="G34" s="4" t="s">
        <v>61</v>
      </c>
      <c r="H34" s="4" t="s">
        <v>25</v>
      </c>
      <c r="I34" s="5">
        <v>44652</v>
      </c>
      <c r="J34" s="6">
        <v>3010</v>
      </c>
      <c r="K34" s="6">
        <v>3010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62</v>
      </c>
      <c r="R34" s="4">
        <v>26879</v>
      </c>
      <c r="S34" s="6">
        <v>10</v>
      </c>
      <c r="T34" s="6">
        <v>0</v>
      </c>
      <c r="U34" s="6">
        <v>0</v>
      </c>
      <c r="V34" s="6">
        <f>IF(ISERROR(VLOOKUP($S$34,'TAR FIN'!$A$1:$O$103,15,0)),0,VLOOKUP($S$34,'TAR FIN'!$A$1:$O$103,15,0))</f>
        <v>11.48</v>
      </c>
      <c r="W34" s="6">
        <f>IF(ISERROR(VLOOKUP($T$34,'TAR FIN'!$A$1:$O$103,15,0)),0,VLOOKUP($T$34,'TAR FIN'!$A$1:$O$103,15,0))</f>
        <v>0</v>
      </c>
      <c r="X34" s="6">
        <f>IF(ISERROR(VLOOKUP($U$34,'TAR FIN'!$A$1:$O$103,15,0)),0,VLOOKUP($U$34,'TAR FIN'!$A$1:$O$103,15,0))</f>
        <v>0</v>
      </c>
      <c r="Y34" s="6">
        <f ca="1">('TUSD BE'!$AM$9+'TUSD BF_350'!$AM$9+'TUSD CVA'!$AM$9)*1</f>
        <v>12.436759261643918</v>
      </c>
      <c r="Z34" s="6"/>
      <c r="AA34" s="6"/>
      <c r="AB34" s="6">
        <f>$K$34*$V$34</f>
        <v>34554.800000000003</v>
      </c>
      <c r="AC34" s="6">
        <f>$M$34*$W$34</f>
        <v>0</v>
      </c>
      <c r="AD34" s="6">
        <f>$O$34*$X$34</f>
        <v>0</v>
      </c>
      <c r="AE34" s="6">
        <f ca="1">$K$34*$Y$34</f>
        <v>37434.645377548193</v>
      </c>
      <c r="AF34" s="6">
        <f>$M$34*$Z$34</f>
        <v>0</v>
      </c>
      <c r="AG34" s="6">
        <f>$O$34*$AA$34</f>
        <v>0</v>
      </c>
    </row>
    <row r="35" spans="1:33" ht="11.25" customHeight="1" x14ac:dyDescent="0.3">
      <c r="A35" s="4" t="s">
        <v>21</v>
      </c>
      <c r="B35" s="4" t="s">
        <v>45</v>
      </c>
      <c r="C35" s="4" t="s">
        <v>60</v>
      </c>
      <c r="D35" s="4" t="s">
        <v>25</v>
      </c>
      <c r="E35" s="4" t="s">
        <v>25</v>
      </c>
      <c r="F35" s="4" t="s">
        <v>25</v>
      </c>
      <c r="G35" s="4" t="s">
        <v>61</v>
      </c>
      <c r="H35" s="4" t="s">
        <v>25</v>
      </c>
      <c r="I35" s="5">
        <v>44682</v>
      </c>
      <c r="J35" s="6">
        <v>3010</v>
      </c>
      <c r="K35" s="6">
        <v>3010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62</v>
      </c>
      <c r="R35" s="4">
        <v>26879</v>
      </c>
      <c r="S35" s="6">
        <v>10</v>
      </c>
      <c r="T35" s="6">
        <v>0</v>
      </c>
      <c r="U35" s="6">
        <v>0</v>
      </c>
      <c r="V35" s="6">
        <f>IF(ISERROR(VLOOKUP($S$35,'TAR FIN'!$A$1:$O$103,15,0)),0,VLOOKUP($S$35,'TAR FIN'!$A$1:$O$103,15,0))</f>
        <v>11.48</v>
      </c>
      <c r="W35" s="6">
        <f>IF(ISERROR(VLOOKUP($T$35,'TAR FIN'!$A$1:$O$103,15,0)),0,VLOOKUP($T$35,'TAR FIN'!$A$1:$O$103,15,0))</f>
        <v>0</v>
      </c>
      <c r="X35" s="6">
        <f>IF(ISERROR(VLOOKUP($U$35,'TAR FIN'!$A$1:$O$103,15,0)),0,VLOOKUP($U$35,'TAR FIN'!$A$1:$O$103,15,0))</f>
        <v>0</v>
      </c>
      <c r="Y35" s="6">
        <f ca="1">('TUSD BE'!$AM$9+'TUSD BF_350'!$AM$9+'TUSD CVA'!$AM$9)*1</f>
        <v>12.436759261643918</v>
      </c>
      <c r="Z35" s="6"/>
      <c r="AA35" s="6"/>
      <c r="AB35" s="6">
        <f>$K$35*$V$35</f>
        <v>34554.800000000003</v>
      </c>
      <c r="AC35" s="6">
        <f>$M$35*$W$35</f>
        <v>0</v>
      </c>
      <c r="AD35" s="6">
        <f>$O$35*$X$35</f>
        <v>0</v>
      </c>
      <c r="AE35" s="6">
        <f ca="1">$K$35*$Y$35</f>
        <v>37434.645377548193</v>
      </c>
      <c r="AF35" s="6">
        <f>$M$35*$Z$35</f>
        <v>0</v>
      </c>
      <c r="AG35" s="6">
        <f>$O$35*$AA$35</f>
        <v>0</v>
      </c>
    </row>
    <row r="36" spans="1:33" ht="11.25" customHeight="1" x14ac:dyDescent="0.3">
      <c r="A36" s="4" t="s">
        <v>21</v>
      </c>
      <c r="B36" s="4" t="s">
        <v>45</v>
      </c>
      <c r="C36" s="4" t="s">
        <v>60</v>
      </c>
      <c r="D36" s="4" t="s">
        <v>25</v>
      </c>
      <c r="E36" s="4" t="s">
        <v>25</v>
      </c>
      <c r="F36" s="4" t="s">
        <v>25</v>
      </c>
      <c r="G36" s="4" t="s">
        <v>61</v>
      </c>
      <c r="H36" s="4" t="s">
        <v>25</v>
      </c>
      <c r="I36" s="5">
        <v>44713</v>
      </c>
      <c r="J36" s="6">
        <v>3010</v>
      </c>
      <c r="K36" s="6">
        <v>3010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62</v>
      </c>
      <c r="R36" s="4">
        <v>26879</v>
      </c>
      <c r="S36" s="6">
        <v>10</v>
      </c>
      <c r="T36" s="6">
        <v>0</v>
      </c>
      <c r="U36" s="6">
        <v>0</v>
      </c>
      <c r="V36" s="6">
        <f>IF(ISERROR(VLOOKUP($S$36,'TAR FIN'!$A$1:$O$103,15,0)),0,VLOOKUP($S$36,'TAR FIN'!$A$1:$O$103,15,0))</f>
        <v>11.48</v>
      </c>
      <c r="W36" s="6">
        <f>IF(ISERROR(VLOOKUP($T$36,'TAR FIN'!$A$1:$O$103,15,0)),0,VLOOKUP($T$36,'TAR FIN'!$A$1:$O$103,15,0))</f>
        <v>0</v>
      </c>
      <c r="X36" s="6">
        <f>IF(ISERROR(VLOOKUP($U$36,'TAR FIN'!$A$1:$O$103,15,0)),0,VLOOKUP($U$36,'TAR FIN'!$A$1:$O$103,15,0))</f>
        <v>0</v>
      </c>
      <c r="Y36" s="6">
        <f ca="1">('TUSD BE'!$AM$9+'TUSD BF_350'!$AM$9+'TUSD CVA'!$AM$9)*1</f>
        <v>12.436759261643918</v>
      </c>
      <c r="Z36" s="6"/>
      <c r="AA36" s="6"/>
      <c r="AB36" s="6">
        <f>$K$36*$V$36</f>
        <v>34554.800000000003</v>
      </c>
      <c r="AC36" s="6">
        <f>$M$36*$W$36</f>
        <v>0</v>
      </c>
      <c r="AD36" s="6">
        <f>$O$36*$X$36</f>
        <v>0</v>
      </c>
      <c r="AE36" s="6">
        <f ca="1">$K$36*$Y$36</f>
        <v>37434.645377548193</v>
      </c>
      <c r="AF36" s="6">
        <f>$M$36*$Z$36</f>
        <v>0</v>
      </c>
      <c r="AG36" s="6">
        <f>$O$36*$AA$36</f>
        <v>0</v>
      </c>
    </row>
    <row r="37" spans="1:33" ht="11.25" customHeight="1" x14ac:dyDescent="0.3">
      <c r="A37" s="4" t="s">
        <v>21</v>
      </c>
      <c r="B37" s="4" t="s">
        <v>45</v>
      </c>
      <c r="C37" s="4" t="s">
        <v>60</v>
      </c>
      <c r="D37" s="4" t="s">
        <v>25</v>
      </c>
      <c r="E37" s="4" t="s">
        <v>25</v>
      </c>
      <c r="F37" s="4" t="s">
        <v>25</v>
      </c>
      <c r="G37" s="4" t="s">
        <v>61</v>
      </c>
      <c r="H37" s="4" t="s">
        <v>25</v>
      </c>
      <c r="I37" s="5">
        <v>44743</v>
      </c>
      <c r="J37" s="6">
        <v>3010</v>
      </c>
      <c r="K37" s="6">
        <v>3010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62</v>
      </c>
      <c r="R37" s="4">
        <v>26879</v>
      </c>
      <c r="S37" s="6">
        <v>10</v>
      </c>
      <c r="T37" s="6">
        <v>0</v>
      </c>
      <c r="U37" s="6">
        <v>0</v>
      </c>
      <c r="V37" s="6">
        <f>IF(ISERROR(VLOOKUP($S$37,'TAR FIN'!$A$1:$O$103,15,0)),0,VLOOKUP($S$37,'TAR FIN'!$A$1:$O$103,15,0))</f>
        <v>11.48</v>
      </c>
      <c r="W37" s="6">
        <f>IF(ISERROR(VLOOKUP($T$37,'TAR FIN'!$A$1:$O$103,15,0)),0,VLOOKUP($T$37,'TAR FIN'!$A$1:$O$103,15,0))</f>
        <v>0</v>
      </c>
      <c r="X37" s="6">
        <f>IF(ISERROR(VLOOKUP($U$37,'TAR FIN'!$A$1:$O$103,15,0)),0,VLOOKUP($U$37,'TAR FIN'!$A$1:$O$103,15,0))</f>
        <v>0</v>
      </c>
      <c r="Y37" s="6">
        <f ca="1">('TUSD BE'!$AM$9+'TUSD BF_350'!$AM$9+'TUSD CVA'!$AM$9)*1</f>
        <v>12.436759261643918</v>
      </c>
      <c r="Z37" s="6"/>
      <c r="AA37" s="6"/>
      <c r="AB37" s="6">
        <f>$K$37*$V$37</f>
        <v>34554.800000000003</v>
      </c>
      <c r="AC37" s="6">
        <f>$M$37*$W$37</f>
        <v>0</v>
      </c>
      <c r="AD37" s="6">
        <f>$O$37*$X$37</f>
        <v>0</v>
      </c>
      <c r="AE37" s="6">
        <f ca="1">$K$37*$Y$37</f>
        <v>37434.645377548193</v>
      </c>
      <c r="AF37" s="6">
        <f>$M$37*$Z$37</f>
        <v>0</v>
      </c>
      <c r="AG37" s="6">
        <f>$O$37*$AA$37</f>
        <v>0</v>
      </c>
    </row>
    <row r="38" spans="1:33" ht="11.25" customHeight="1" x14ac:dyDescent="0.3">
      <c r="A38" s="4" t="s">
        <v>21</v>
      </c>
      <c r="B38" s="4" t="s">
        <v>45</v>
      </c>
      <c r="C38" s="4" t="s">
        <v>60</v>
      </c>
      <c r="D38" s="4" t="s">
        <v>25</v>
      </c>
      <c r="E38" s="4" t="s">
        <v>25</v>
      </c>
      <c r="F38" s="4" t="s">
        <v>25</v>
      </c>
      <c r="G38" s="4" t="s">
        <v>61</v>
      </c>
      <c r="H38" s="4" t="s">
        <v>25</v>
      </c>
      <c r="I38" s="5">
        <v>44774</v>
      </c>
      <c r="J38" s="6">
        <v>3010</v>
      </c>
      <c r="K38" s="6">
        <v>3010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62</v>
      </c>
      <c r="R38" s="4">
        <v>26879</v>
      </c>
      <c r="S38" s="6">
        <v>10</v>
      </c>
      <c r="T38" s="6">
        <v>0</v>
      </c>
      <c r="U38" s="6">
        <v>0</v>
      </c>
      <c r="V38" s="6">
        <f>IF(ISERROR(VLOOKUP($S$38,'TAR FIN'!$A$1:$O$103,15,0)),0,VLOOKUP($S$38,'TAR FIN'!$A$1:$O$103,15,0))</f>
        <v>11.48</v>
      </c>
      <c r="W38" s="6">
        <f>IF(ISERROR(VLOOKUP($T$38,'TAR FIN'!$A$1:$O$103,15,0)),0,VLOOKUP($T$38,'TAR FIN'!$A$1:$O$103,15,0))</f>
        <v>0</v>
      </c>
      <c r="X38" s="6">
        <f>IF(ISERROR(VLOOKUP($U$38,'TAR FIN'!$A$1:$O$103,15,0)),0,VLOOKUP($U$38,'TAR FIN'!$A$1:$O$103,15,0))</f>
        <v>0</v>
      </c>
      <c r="Y38" s="6">
        <f ca="1">('TUSD BE'!$AM$9+'TUSD BF_350'!$AM$9+'TUSD CVA'!$AM$9)*1</f>
        <v>12.436759261643918</v>
      </c>
      <c r="Z38" s="6"/>
      <c r="AA38" s="6"/>
      <c r="AB38" s="6">
        <f>$K$38*$V$38</f>
        <v>34554.800000000003</v>
      </c>
      <c r="AC38" s="6">
        <f>$M$38*$W$38</f>
        <v>0</v>
      </c>
      <c r="AD38" s="6">
        <f>$O$38*$X$38</f>
        <v>0</v>
      </c>
      <c r="AE38" s="6">
        <f ca="1">$K$38*$Y$38</f>
        <v>37434.645377548193</v>
      </c>
      <c r="AF38" s="6">
        <f>$M$38*$Z$38</f>
        <v>0</v>
      </c>
      <c r="AG38" s="6">
        <f>$O$38*$AA$38</f>
        <v>0</v>
      </c>
    </row>
    <row r="39" spans="1:33" ht="11.25" customHeight="1" x14ac:dyDescent="0.3">
      <c r="A39" s="4" t="s">
        <v>21</v>
      </c>
      <c r="B39" s="4" t="s">
        <v>45</v>
      </c>
      <c r="C39" s="4" t="s">
        <v>60</v>
      </c>
      <c r="D39" s="4" t="s">
        <v>25</v>
      </c>
      <c r="E39" s="4" t="s">
        <v>25</v>
      </c>
      <c r="F39" s="4" t="s">
        <v>25</v>
      </c>
      <c r="G39" s="4" t="s">
        <v>61</v>
      </c>
      <c r="H39" s="4" t="s">
        <v>25</v>
      </c>
      <c r="I39" s="5">
        <v>44805</v>
      </c>
      <c r="J39" s="6">
        <v>3010</v>
      </c>
      <c r="K39" s="6">
        <v>3010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62</v>
      </c>
      <c r="R39" s="4">
        <v>26879</v>
      </c>
      <c r="S39" s="6">
        <v>10</v>
      </c>
      <c r="T39" s="6">
        <v>0</v>
      </c>
      <c r="U39" s="6">
        <v>0</v>
      </c>
      <c r="V39" s="6">
        <f>IF(ISERROR(VLOOKUP($S$39,'TAR FIN'!$A$1:$O$103,15,0)),0,VLOOKUP($S$39,'TAR FIN'!$A$1:$O$103,15,0))</f>
        <v>11.48</v>
      </c>
      <c r="W39" s="6">
        <f>IF(ISERROR(VLOOKUP($T$39,'TAR FIN'!$A$1:$O$103,15,0)),0,VLOOKUP($T$39,'TAR FIN'!$A$1:$O$103,15,0))</f>
        <v>0</v>
      </c>
      <c r="X39" s="6">
        <f>IF(ISERROR(VLOOKUP($U$39,'TAR FIN'!$A$1:$O$103,15,0)),0,VLOOKUP($U$39,'TAR FIN'!$A$1:$O$103,15,0))</f>
        <v>0</v>
      </c>
      <c r="Y39" s="6">
        <f ca="1">('TUSD BE'!$AM$9+'TUSD BF_350'!$AM$9+'TUSD CVA'!$AM$9)*1</f>
        <v>12.436759261643918</v>
      </c>
      <c r="Z39" s="6"/>
      <c r="AA39" s="6"/>
      <c r="AB39" s="6">
        <f>$K$39*$V$39</f>
        <v>34554.800000000003</v>
      </c>
      <c r="AC39" s="6">
        <f>$M$39*$W$39</f>
        <v>0</v>
      </c>
      <c r="AD39" s="6">
        <f>$O$39*$X$39</f>
        <v>0</v>
      </c>
      <c r="AE39" s="6">
        <f ca="1">$K$39*$Y$39</f>
        <v>37434.645377548193</v>
      </c>
      <c r="AF39" s="6">
        <f>$M$39*$Z$39</f>
        <v>0</v>
      </c>
      <c r="AG39" s="6">
        <f>$O$39*$AA$39</f>
        <v>0</v>
      </c>
    </row>
    <row r="40" spans="1:33" ht="11.25" customHeight="1" x14ac:dyDescent="0.3">
      <c r="A40" s="4" t="s">
        <v>57</v>
      </c>
      <c r="B40" s="4" t="s">
        <v>45</v>
      </c>
      <c r="C40" s="4" t="s">
        <v>60</v>
      </c>
      <c r="D40" s="4" t="s">
        <v>25</v>
      </c>
      <c r="E40" s="4" t="s">
        <v>25</v>
      </c>
      <c r="F40" s="4" t="s">
        <v>25</v>
      </c>
      <c r="G40" s="4" t="s">
        <v>61</v>
      </c>
      <c r="H40" s="4" t="s">
        <v>25</v>
      </c>
      <c r="I40" s="5">
        <v>44835</v>
      </c>
      <c r="J40" s="6">
        <v>3010</v>
      </c>
      <c r="K40" s="6">
        <v>3010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62</v>
      </c>
      <c r="R40" s="4">
        <v>26879</v>
      </c>
      <c r="S40" s="6">
        <v>10</v>
      </c>
      <c r="T40" s="6">
        <v>0</v>
      </c>
      <c r="U40" s="6">
        <v>0</v>
      </c>
      <c r="V40" s="6">
        <f>IF(ISERROR(VLOOKUP($S$40,'TAR FIN'!$A$1:$O$103,15,0)),0,VLOOKUP($S$40,'TAR FIN'!$A$1:$O$103,15,0))</f>
        <v>11.48</v>
      </c>
      <c r="W40" s="6">
        <f>IF(ISERROR(VLOOKUP($T$40,'TAR FIN'!$A$1:$O$103,15,0)),0,VLOOKUP($T$40,'TAR FIN'!$A$1:$O$103,15,0))</f>
        <v>0</v>
      </c>
      <c r="X40" s="6">
        <f>IF(ISERROR(VLOOKUP($U$40,'TAR FIN'!$A$1:$O$103,15,0)),0,VLOOKUP($U$40,'TAR FIN'!$A$1:$O$103,15,0))</f>
        <v>0</v>
      </c>
      <c r="Y40" s="6">
        <f ca="1">('TUSD BE'!$AM$9+'TUSD BF_350'!$AM$9+'TUSD CVA'!$AM$9)*1</f>
        <v>12.436759261643918</v>
      </c>
      <c r="Z40" s="6"/>
      <c r="AA40" s="6"/>
      <c r="AB40" s="6">
        <f>$K$40*$V$40</f>
        <v>34554.800000000003</v>
      </c>
      <c r="AC40" s="6">
        <f>$M$40*$W$40</f>
        <v>0</v>
      </c>
      <c r="AD40" s="6">
        <f>$O$40*$X$40</f>
        <v>0</v>
      </c>
      <c r="AE40" s="6">
        <f ca="1">$K$40*$Y$40</f>
        <v>37434.645377548193</v>
      </c>
      <c r="AF40" s="6">
        <f>$M$40*$Z$40</f>
        <v>0</v>
      </c>
      <c r="AG40" s="6">
        <f>$O$40*$AA$40</f>
        <v>0</v>
      </c>
    </row>
    <row r="41" spans="1:33" ht="11.25" customHeight="1" x14ac:dyDescent="0.3">
      <c r="A41" s="4" t="s">
        <v>21</v>
      </c>
      <c r="B41" s="4" t="s">
        <v>45</v>
      </c>
      <c r="C41" s="4" t="s">
        <v>40</v>
      </c>
      <c r="D41" s="4" t="s">
        <v>44</v>
      </c>
      <c r="E41" s="4" t="s">
        <v>53</v>
      </c>
      <c r="F41" s="4" t="s">
        <v>55</v>
      </c>
      <c r="G41" s="4" t="s">
        <v>25</v>
      </c>
      <c r="H41" s="4" t="s">
        <v>35</v>
      </c>
      <c r="I41" s="5">
        <v>44805</v>
      </c>
      <c r="J41" s="6">
        <v>0</v>
      </c>
      <c r="K41" s="6">
        <v>0</v>
      </c>
      <c r="L41" s="6">
        <v>5.2069999999999999</v>
      </c>
      <c r="M41" s="6">
        <v>1.0414000000000001</v>
      </c>
      <c r="N41" s="6">
        <v>5.2069999999999999</v>
      </c>
      <c r="O41" s="6">
        <v>1.0414000000000001</v>
      </c>
      <c r="P41" s="6">
        <v>0</v>
      </c>
      <c r="Q41" s="4" t="s">
        <v>26</v>
      </c>
      <c r="R41" s="4">
        <v>0</v>
      </c>
      <c r="S41" s="6">
        <v>0</v>
      </c>
      <c r="T41" s="6">
        <v>16</v>
      </c>
      <c r="U41" s="6">
        <v>63</v>
      </c>
      <c r="V41" s="6">
        <f>IF(ISERROR(VLOOKUP($S$41,'TAR FIN'!$A$1:$O$103,15,0)),0,VLOOKUP($S$41,'TAR FIN'!$A$1:$O$103,15,0))</f>
        <v>0</v>
      </c>
      <c r="W41" s="6">
        <f>IF(ISERROR(VLOOKUP($T$41,'TAR FIN'!$A$1:$O$103,15,0)),0,VLOOKUP($T$41,'TAR FIN'!$A$1:$O$103,15,0))</f>
        <v>84.99</v>
      </c>
      <c r="X41" s="6">
        <f>IF(ISERROR(VLOOKUP($U$41,'TAR FIN'!$A$1:$O$103,15,0)),0,VLOOKUP($U$41,'TAR FIN'!$A$1:$O$103,15,0))</f>
        <v>242.77</v>
      </c>
      <c r="Y41" s="6"/>
      <c r="Z41" s="6">
        <f ca="1">('TUSD BE'!$AM$12+'TUSD BF_350'!$AM$12+'TUSD CVA'!$AM$12)*1</f>
        <v>145.72237393634796</v>
      </c>
      <c r="AA41" s="6">
        <f ca="1">('TE BE'!$AB$6+'TE BF_350'!$AB$6+'TE CVA'!$AB$6)*1</f>
        <v>222.39386487986414</v>
      </c>
      <c r="AB41" s="6">
        <f>$K$41*$V$41</f>
        <v>0</v>
      </c>
      <c r="AC41" s="6">
        <f>$M$41*$W$41</f>
        <v>88.508586000000008</v>
      </c>
      <c r="AD41" s="6">
        <f>$O$41*$X$41</f>
        <v>252.82067800000004</v>
      </c>
      <c r="AE41" s="6">
        <f>$K$41*$Y$41</f>
        <v>0</v>
      </c>
      <c r="AF41" s="6">
        <f ca="1">$M$41*$Z$41</f>
        <v>151.75528021731279</v>
      </c>
      <c r="AG41" s="6">
        <f ca="1">$O$41*$AA$41</f>
        <v>231.60097088589055</v>
      </c>
    </row>
    <row r="42" spans="1:33" ht="11.25" customHeight="1" x14ac:dyDescent="0.3">
      <c r="A42" s="4" t="s">
        <v>57</v>
      </c>
      <c r="B42" s="4" t="s">
        <v>45</v>
      </c>
      <c r="C42" s="4" t="s">
        <v>40</v>
      </c>
      <c r="D42" s="4" t="s">
        <v>44</v>
      </c>
      <c r="E42" s="4" t="s">
        <v>53</v>
      </c>
      <c r="F42" s="4" t="s">
        <v>55</v>
      </c>
      <c r="G42" s="4" t="s">
        <v>25</v>
      </c>
      <c r="H42" s="4" t="s">
        <v>35</v>
      </c>
      <c r="I42" s="5">
        <v>44835</v>
      </c>
      <c r="J42" s="6">
        <v>0</v>
      </c>
      <c r="K42" s="6">
        <v>0</v>
      </c>
      <c r="L42" s="6">
        <v>5.2069999999999999</v>
      </c>
      <c r="M42" s="6">
        <v>1.0414000000000001</v>
      </c>
      <c r="N42" s="6">
        <v>5.2069999999999999</v>
      </c>
      <c r="O42" s="6">
        <v>1.0414000000000001</v>
      </c>
      <c r="P42" s="6">
        <v>0</v>
      </c>
      <c r="Q42" s="4" t="s">
        <v>26</v>
      </c>
      <c r="R42" s="4">
        <v>0</v>
      </c>
      <c r="S42" s="6">
        <v>0</v>
      </c>
      <c r="T42" s="6">
        <v>16</v>
      </c>
      <c r="U42" s="6">
        <v>63</v>
      </c>
      <c r="V42" s="6">
        <f>IF(ISERROR(VLOOKUP($S$42,'TAR FIN'!$A$1:$O$103,15,0)),0,VLOOKUP($S$42,'TAR FIN'!$A$1:$O$103,15,0))</f>
        <v>0</v>
      </c>
      <c r="W42" s="6">
        <f>IF(ISERROR(VLOOKUP($T$42,'TAR FIN'!$A$1:$O$103,15,0)),0,VLOOKUP($T$42,'TAR FIN'!$A$1:$O$103,15,0))</f>
        <v>84.99</v>
      </c>
      <c r="X42" s="6">
        <f>IF(ISERROR(VLOOKUP($U$42,'TAR FIN'!$A$1:$O$103,15,0)),0,VLOOKUP($U$42,'TAR FIN'!$A$1:$O$103,15,0))</f>
        <v>242.77</v>
      </c>
      <c r="Y42" s="6"/>
      <c r="Z42" s="6">
        <f ca="1">('TUSD BE'!$AM$12+'TUSD BF_350'!$AM$12+'TUSD CVA'!$AM$12)*1</f>
        <v>145.72237393634796</v>
      </c>
      <c r="AA42" s="6">
        <f ca="1">('TE BE'!$AB$6+'TE BF_350'!$AB$6+'TE CVA'!$AB$6)*1</f>
        <v>222.39386487986414</v>
      </c>
      <c r="AB42" s="6">
        <f>$K$42*$V$42</f>
        <v>0</v>
      </c>
      <c r="AC42" s="6">
        <f>$M$42*$W$42</f>
        <v>88.508586000000008</v>
      </c>
      <c r="AD42" s="6">
        <f>$O$42*$X$42</f>
        <v>252.82067800000004</v>
      </c>
      <c r="AE42" s="6">
        <f>$K$42*$Y$42</f>
        <v>0</v>
      </c>
      <c r="AF42" s="6">
        <f ca="1">$M$42*$Z$42</f>
        <v>151.75528021731279</v>
      </c>
      <c r="AG42" s="6">
        <f ca="1">$O$42*$AA$42</f>
        <v>231.60097088589055</v>
      </c>
    </row>
    <row r="43" spans="1:33" ht="11.25" customHeight="1" x14ac:dyDescent="0.3">
      <c r="A43" s="4" t="s">
        <v>21</v>
      </c>
      <c r="B43" s="4" t="s">
        <v>45</v>
      </c>
      <c r="C43" s="4" t="s">
        <v>40</v>
      </c>
      <c r="D43" s="4" t="s">
        <v>44</v>
      </c>
      <c r="E43" s="4" t="s">
        <v>53</v>
      </c>
      <c r="F43" s="4" t="s">
        <v>25</v>
      </c>
      <c r="G43" s="4" t="s">
        <v>25</v>
      </c>
      <c r="H43" s="4" t="s">
        <v>35</v>
      </c>
      <c r="I43" s="5">
        <v>44805</v>
      </c>
      <c r="J43" s="6">
        <v>0</v>
      </c>
      <c r="K43" s="52">
        <v>0</v>
      </c>
      <c r="L43" s="6">
        <v>9.7170000000000005</v>
      </c>
      <c r="M43" s="52">
        <v>9.7170000000000005</v>
      </c>
      <c r="N43" s="6">
        <v>9.7170000000000005</v>
      </c>
      <c r="O43" s="52">
        <v>9.7170000000000005</v>
      </c>
      <c r="P43" s="6">
        <v>0</v>
      </c>
      <c r="Q43" s="4" t="s">
        <v>26</v>
      </c>
      <c r="R43" s="4">
        <v>0</v>
      </c>
      <c r="S43" s="6">
        <v>0</v>
      </c>
      <c r="T43" s="6">
        <v>16</v>
      </c>
      <c r="U43" s="6">
        <v>63</v>
      </c>
      <c r="V43" s="52">
        <f>IF(ISERROR(VLOOKUP($S$43,'TAR FIN'!$A$1:$O$103,15,0)),0,VLOOKUP($S$43,'TAR FIN'!$A$1:$O$103,15,0))</f>
        <v>0</v>
      </c>
      <c r="W43" s="52">
        <f>IF(ISERROR(VLOOKUP($T$43,'TAR FIN'!$A$1:$O$103,15,0)),0,VLOOKUP($T$43,'TAR FIN'!$A$1:$O$103,15,0))*(1-0.04)</f>
        <v>81.590399999999988</v>
      </c>
      <c r="X43" s="52">
        <f>IF(ISERROR(VLOOKUP($U$43,'TAR FIN'!$A$1:$O$103,15,0)),0,VLOOKUP($U$43,'TAR FIN'!$A$1:$O$103,15,0))*(1-0.04)</f>
        <v>233.0592</v>
      </c>
      <c r="Y43" s="52"/>
      <c r="Z43" s="52">
        <f ca="1">('TUSD BE'!$AM$12+'TUSD BF_350'!$AM$12+'TUSD CVA'!$AM$12)*1*(1-0.02)</f>
        <v>142.80792645762099</v>
      </c>
      <c r="AA43" s="52">
        <f ca="1">('TE BE'!$AB$6+'TE BF_350'!$AB$6+'TE CVA'!$AB$6)*1*(1-0.02)</f>
        <v>217.94598758226687</v>
      </c>
      <c r="AB43" s="6">
        <f>$K$43*$V$43</f>
        <v>0</v>
      </c>
      <c r="AC43" s="6">
        <f>$M$43*$W$43</f>
        <v>792.8139167999999</v>
      </c>
      <c r="AD43" s="6">
        <f>$O$43*$X$43</f>
        <v>2264.6362464000003</v>
      </c>
      <c r="AE43" s="6">
        <f>$K$43*$Y$43</f>
        <v>0</v>
      </c>
      <c r="AF43" s="6">
        <f ca="1">$M$43*$Z$43</f>
        <v>1387.6646213887034</v>
      </c>
      <c r="AG43" s="6">
        <f ca="1">$O$43*$AA$43</f>
        <v>2117.7811613368872</v>
      </c>
    </row>
    <row r="44" spans="1:33" ht="11.25" customHeight="1" x14ac:dyDescent="0.3">
      <c r="A44" s="4" t="s">
        <v>57</v>
      </c>
      <c r="B44" s="4" t="s">
        <v>45</v>
      </c>
      <c r="C44" s="4" t="s">
        <v>40</v>
      </c>
      <c r="D44" s="4" t="s">
        <v>44</v>
      </c>
      <c r="E44" s="4" t="s">
        <v>53</v>
      </c>
      <c r="F44" s="4" t="s">
        <v>25</v>
      </c>
      <c r="G44" s="4" t="s">
        <v>25</v>
      </c>
      <c r="H44" s="4" t="s">
        <v>35</v>
      </c>
      <c r="I44" s="5">
        <v>44835</v>
      </c>
      <c r="J44" s="6">
        <v>0</v>
      </c>
      <c r="K44" s="52">
        <v>0</v>
      </c>
      <c r="L44" s="6">
        <v>9.7170000000000005</v>
      </c>
      <c r="M44" s="52">
        <v>9.7170000000000005</v>
      </c>
      <c r="N44" s="6">
        <v>9.7170000000000005</v>
      </c>
      <c r="O44" s="52">
        <v>9.7170000000000005</v>
      </c>
      <c r="P44" s="6">
        <v>0</v>
      </c>
      <c r="Q44" s="4" t="s">
        <v>26</v>
      </c>
      <c r="R44" s="4">
        <v>0</v>
      </c>
      <c r="S44" s="6">
        <v>0</v>
      </c>
      <c r="T44" s="6">
        <v>16</v>
      </c>
      <c r="U44" s="6">
        <v>63</v>
      </c>
      <c r="V44" s="52">
        <f>IF(ISERROR(VLOOKUP($S$44,'TAR FIN'!$A$1:$O$103,15,0)),0,VLOOKUP($S$44,'TAR FIN'!$A$1:$O$103,15,0))</f>
        <v>0</v>
      </c>
      <c r="W44" s="52">
        <f>IF(ISERROR(VLOOKUP($T$44,'TAR FIN'!$A$1:$O$103,15,0)),0,VLOOKUP($T$44,'TAR FIN'!$A$1:$O$103,15,0))*(1-0.04)</f>
        <v>81.590399999999988</v>
      </c>
      <c r="X44" s="52">
        <f>IF(ISERROR(VLOOKUP($U$44,'TAR FIN'!$A$1:$O$103,15,0)),0,VLOOKUP($U$44,'TAR FIN'!$A$1:$O$103,15,0))*(1-0.04)</f>
        <v>233.0592</v>
      </c>
      <c r="Y44" s="52"/>
      <c r="Z44" s="52">
        <f ca="1">('TUSD BE'!$AM$12+'TUSD BF_350'!$AM$12+'TUSD CVA'!$AM$12)*1*(1-0.02)</f>
        <v>142.80792645762099</v>
      </c>
      <c r="AA44" s="52">
        <f ca="1">('TE BE'!$AB$6+'TE BF_350'!$AB$6+'TE CVA'!$AB$6)*1*(1-0.02)</f>
        <v>217.94598758226687</v>
      </c>
      <c r="AB44" s="6">
        <f>$K$44*$V$44</f>
        <v>0</v>
      </c>
      <c r="AC44" s="6">
        <f>$M$44*$W$44</f>
        <v>792.8139167999999</v>
      </c>
      <c r="AD44" s="6">
        <f>$O$44*$X$44</f>
        <v>2264.6362464000003</v>
      </c>
      <c r="AE44" s="6">
        <f>$K$44*$Y$44</f>
        <v>0</v>
      </c>
      <c r="AF44" s="6">
        <f ca="1">$M$44*$Z$44</f>
        <v>1387.6646213887034</v>
      </c>
      <c r="AG44" s="6">
        <f ca="1">$O$44*$AA$44</f>
        <v>2117.7811613368872</v>
      </c>
    </row>
    <row r="45" spans="1:33" ht="11.25" customHeight="1" x14ac:dyDescent="0.3">
      <c r="A45" s="4" t="s">
        <v>21</v>
      </c>
      <c r="B45" s="4" t="s">
        <v>45</v>
      </c>
      <c r="C45" s="4" t="s">
        <v>40</v>
      </c>
      <c r="D45" s="4" t="s">
        <v>44</v>
      </c>
      <c r="E45" s="4" t="s">
        <v>53</v>
      </c>
      <c r="F45" s="4" t="s">
        <v>25</v>
      </c>
      <c r="G45" s="4" t="s">
        <v>25</v>
      </c>
      <c r="H45" s="4" t="s">
        <v>25</v>
      </c>
      <c r="I45" s="5">
        <v>44805</v>
      </c>
      <c r="J45" s="6">
        <v>106</v>
      </c>
      <c r="K45" s="52">
        <v>106</v>
      </c>
      <c r="L45" s="6">
        <v>0</v>
      </c>
      <c r="M45" s="52">
        <v>0</v>
      </c>
      <c r="N45" s="6">
        <v>0</v>
      </c>
      <c r="O45" s="52">
        <v>0</v>
      </c>
      <c r="P45" s="6">
        <v>1</v>
      </c>
      <c r="Q45" s="4" t="s">
        <v>26</v>
      </c>
      <c r="R45" s="4">
        <v>0</v>
      </c>
      <c r="S45" s="6">
        <v>11</v>
      </c>
      <c r="T45" s="6">
        <v>0</v>
      </c>
      <c r="U45" s="6">
        <v>0</v>
      </c>
      <c r="V45" s="52">
        <f>IF(ISERROR(VLOOKUP($S$45,'TAR FIN'!$A$1:$O$103,15,0)),0,VLOOKUP($S$45,'TAR FIN'!$A$1:$O$103,15,0))*(1-0.04)</f>
        <v>18.1632</v>
      </c>
      <c r="W45" s="52">
        <f>IF(ISERROR(VLOOKUP($T$45,'TAR FIN'!$A$1:$O$103,15,0)),0,VLOOKUP($T$45,'TAR FIN'!$A$1:$O$103,15,0))</f>
        <v>0</v>
      </c>
      <c r="X45" s="52">
        <f>IF(ISERROR(VLOOKUP($U$45,'TAR FIN'!$A$1:$O$103,15,0)),0,VLOOKUP($U$45,'TAR FIN'!$A$1:$O$103,15,0))</f>
        <v>0</v>
      </c>
      <c r="Y45" s="52">
        <f ca="1">('TUSD BE'!$AM$10+'TUSD BF_350'!$AM$10+'TUSD CVA'!$AM$10)*1*(1-0.02)</f>
        <v>20.941951853111981</v>
      </c>
      <c r="Z45" s="52"/>
      <c r="AA45" s="52"/>
      <c r="AB45" s="6">
        <f>$K$45*$V$45</f>
        <v>1925.2991999999999</v>
      </c>
      <c r="AC45" s="6">
        <f>$M$45*$W$45</f>
        <v>0</v>
      </c>
      <c r="AD45" s="6">
        <f>$O$45*$X$45</f>
        <v>0</v>
      </c>
      <c r="AE45" s="6">
        <f ca="1">$K$45*$Y$45</f>
        <v>2219.84689642987</v>
      </c>
      <c r="AF45" s="6">
        <f>$M$45*$Z$45</f>
        <v>0</v>
      </c>
      <c r="AG45" s="6">
        <f>$O$45*$AA$45</f>
        <v>0</v>
      </c>
    </row>
    <row r="46" spans="1:33" ht="11.25" customHeight="1" x14ac:dyDescent="0.3">
      <c r="A46" s="4" t="s">
        <v>57</v>
      </c>
      <c r="B46" s="4" t="s">
        <v>45</v>
      </c>
      <c r="C46" s="4" t="s">
        <v>40</v>
      </c>
      <c r="D46" s="4" t="s">
        <v>44</v>
      </c>
      <c r="E46" s="4" t="s">
        <v>53</v>
      </c>
      <c r="F46" s="4" t="s">
        <v>25</v>
      </c>
      <c r="G46" s="4" t="s">
        <v>25</v>
      </c>
      <c r="H46" s="4" t="s">
        <v>25</v>
      </c>
      <c r="I46" s="5">
        <v>44835</v>
      </c>
      <c r="J46" s="6">
        <v>106</v>
      </c>
      <c r="K46" s="52">
        <v>106</v>
      </c>
      <c r="L46" s="6">
        <v>0</v>
      </c>
      <c r="M46" s="52">
        <v>0</v>
      </c>
      <c r="N46" s="6">
        <v>0</v>
      </c>
      <c r="O46" s="52">
        <v>0</v>
      </c>
      <c r="P46" s="6">
        <v>1</v>
      </c>
      <c r="Q46" s="4" t="s">
        <v>26</v>
      </c>
      <c r="R46" s="4">
        <v>0</v>
      </c>
      <c r="S46" s="6">
        <v>11</v>
      </c>
      <c r="T46" s="6">
        <v>0</v>
      </c>
      <c r="U46" s="6">
        <v>0</v>
      </c>
      <c r="V46" s="52">
        <f>IF(ISERROR(VLOOKUP($S$46,'TAR FIN'!$A$1:$O$103,15,0)),0,VLOOKUP($S$46,'TAR FIN'!$A$1:$O$103,15,0))*(1-0.04)</f>
        <v>18.1632</v>
      </c>
      <c r="W46" s="52">
        <f>IF(ISERROR(VLOOKUP($T$46,'TAR FIN'!$A$1:$O$103,15,0)),0,VLOOKUP($T$46,'TAR FIN'!$A$1:$O$103,15,0))</f>
        <v>0</v>
      </c>
      <c r="X46" s="52">
        <f>IF(ISERROR(VLOOKUP($U$46,'TAR FIN'!$A$1:$O$103,15,0)),0,VLOOKUP($U$46,'TAR FIN'!$A$1:$O$103,15,0))</f>
        <v>0</v>
      </c>
      <c r="Y46" s="52">
        <f ca="1">('TUSD BE'!$AM$10+'TUSD BF_350'!$AM$10+'TUSD CVA'!$AM$10)*1*(1-0.02)</f>
        <v>20.941951853111981</v>
      </c>
      <c r="Z46" s="52"/>
      <c r="AA46" s="52"/>
      <c r="AB46" s="6">
        <f>$K$46*$V$46</f>
        <v>1925.2991999999999</v>
      </c>
      <c r="AC46" s="6">
        <f>$M$46*$W$46</f>
        <v>0</v>
      </c>
      <c r="AD46" s="6">
        <f>$O$46*$X$46</f>
        <v>0</v>
      </c>
      <c r="AE46" s="6">
        <f ca="1">$K$46*$Y$46</f>
        <v>2219.84689642987</v>
      </c>
      <c r="AF46" s="6">
        <f>$M$46*$Z$46</f>
        <v>0</v>
      </c>
      <c r="AG46" s="6">
        <f>$O$46*$AA$46</f>
        <v>0</v>
      </c>
    </row>
    <row r="47" spans="1:33" ht="11.25" customHeight="1" x14ac:dyDescent="0.3">
      <c r="A47" s="4" t="s">
        <v>21</v>
      </c>
      <c r="B47" s="4" t="s">
        <v>45</v>
      </c>
      <c r="C47" s="4" t="s">
        <v>40</v>
      </c>
      <c r="D47" s="4" t="s">
        <v>44</v>
      </c>
      <c r="E47" s="4" t="s">
        <v>53</v>
      </c>
      <c r="F47" s="4" t="s">
        <v>25</v>
      </c>
      <c r="G47" s="4" t="s">
        <v>25</v>
      </c>
      <c r="H47" s="4" t="s">
        <v>34</v>
      </c>
      <c r="I47" s="5">
        <v>44805</v>
      </c>
      <c r="J47" s="6">
        <v>0</v>
      </c>
      <c r="K47" s="52">
        <v>0</v>
      </c>
      <c r="L47" s="6">
        <v>1.8859999999999999</v>
      </c>
      <c r="M47" s="52">
        <v>1.8859999999999999</v>
      </c>
      <c r="N47" s="6">
        <v>1.8859999999999999</v>
      </c>
      <c r="O47" s="52">
        <v>1.8859999999999999</v>
      </c>
      <c r="P47" s="6">
        <v>0</v>
      </c>
      <c r="Q47" s="4" t="s">
        <v>26</v>
      </c>
      <c r="R47" s="4">
        <v>0</v>
      </c>
      <c r="S47" s="6">
        <v>0</v>
      </c>
      <c r="T47" s="6">
        <v>14</v>
      </c>
      <c r="U47" s="6">
        <v>62</v>
      </c>
      <c r="V47" s="52">
        <f>IF(ISERROR(VLOOKUP($S$47,'TAR FIN'!$A$1:$O$103,15,0)),0,VLOOKUP($S$47,'TAR FIN'!$A$1:$O$103,15,0))</f>
        <v>0</v>
      </c>
      <c r="W47" s="52">
        <f>IF(ISERROR(VLOOKUP($T$47,'TAR FIN'!$A$1:$O$103,15,0)),0,VLOOKUP($T$47,'TAR FIN'!$A$1:$O$103,15,0))*(1-0.04)</f>
        <v>1147.9871999999998</v>
      </c>
      <c r="X47" s="52">
        <f>IF(ISERROR(VLOOKUP($U$47,'TAR FIN'!$A$1:$O$103,15,0)),0,VLOOKUP($U$47,'TAR FIN'!$A$1:$O$103,15,0))*(1-0.04)</f>
        <v>375.8784</v>
      </c>
      <c r="Y47" s="52"/>
      <c r="Z47" s="52">
        <f ca="1">('TUSD BE'!$AM$11+'TUSD BF_350'!$AM$11+'TUSD CVA'!$AM$11)*1*(1-0.02)</f>
        <v>1357.7878188473314</v>
      </c>
      <c r="AA47" s="52">
        <f ca="1">('TE BE'!$AB$5+'TE BF_350'!$AB$5+'TE CVA'!$AB$5)*1*(1-0.02)</f>
        <v>354.71359410136364</v>
      </c>
      <c r="AB47" s="6">
        <f>$K$47*$V$47</f>
        <v>0</v>
      </c>
      <c r="AC47" s="6">
        <f>$M$47*$W$47</f>
        <v>2165.1038591999995</v>
      </c>
      <c r="AD47" s="6">
        <f>$O$47*$X$47</f>
        <v>708.90666239999996</v>
      </c>
      <c r="AE47" s="6">
        <f>$K$47*$Y$47</f>
        <v>0</v>
      </c>
      <c r="AF47" s="6">
        <f ca="1">$M$47*$Z$47</f>
        <v>2560.787826346067</v>
      </c>
      <c r="AG47" s="6">
        <f ca="1">$O$47*$AA$47</f>
        <v>668.98983847517184</v>
      </c>
    </row>
    <row r="48" spans="1:33" ht="11.25" customHeight="1" x14ac:dyDescent="0.3">
      <c r="A48" s="4" t="s">
        <v>57</v>
      </c>
      <c r="B48" s="4" t="s">
        <v>45</v>
      </c>
      <c r="C48" s="4" t="s">
        <v>40</v>
      </c>
      <c r="D48" s="4" t="s">
        <v>44</v>
      </c>
      <c r="E48" s="4" t="s">
        <v>53</v>
      </c>
      <c r="F48" s="4" t="s">
        <v>25</v>
      </c>
      <c r="G48" s="4" t="s">
        <v>25</v>
      </c>
      <c r="H48" s="4" t="s">
        <v>34</v>
      </c>
      <c r="I48" s="5">
        <v>44835</v>
      </c>
      <c r="J48" s="6">
        <v>0</v>
      </c>
      <c r="K48" s="52">
        <v>0</v>
      </c>
      <c r="L48" s="6">
        <v>1.8859999999999999</v>
      </c>
      <c r="M48" s="52">
        <v>1.8859999999999999</v>
      </c>
      <c r="N48" s="6">
        <v>1.8859999999999999</v>
      </c>
      <c r="O48" s="52">
        <v>1.8859999999999999</v>
      </c>
      <c r="P48" s="6">
        <v>0</v>
      </c>
      <c r="Q48" s="4" t="s">
        <v>26</v>
      </c>
      <c r="R48" s="4">
        <v>0</v>
      </c>
      <c r="S48" s="6">
        <v>0</v>
      </c>
      <c r="T48" s="6">
        <v>14</v>
      </c>
      <c r="U48" s="6">
        <v>62</v>
      </c>
      <c r="V48" s="52">
        <f>IF(ISERROR(VLOOKUP($S$48,'TAR FIN'!$A$1:$O$103,15,0)),0,VLOOKUP($S$48,'TAR FIN'!$A$1:$O$103,15,0))</f>
        <v>0</v>
      </c>
      <c r="W48" s="52">
        <f>IF(ISERROR(VLOOKUP($T$48,'TAR FIN'!$A$1:$O$103,15,0)),0,VLOOKUP($T$48,'TAR FIN'!$A$1:$O$103,15,0))*(1-0.04)</f>
        <v>1147.9871999999998</v>
      </c>
      <c r="X48" s="52">
        <f>IF(ISERROR(VLOOKUP($U$48,'TAR FIN'!$A$1:$O$103,15,0)),0,VLOOKUP($U$48,'TAR FIN'!$A$1:$O$103,15,0))*(1-0.04)</f>
        <v>375.8784</v>
      </c>
      <c r="Y48" s="52"/>
      <c r="Z48" s="52">
        <f ca="1">('TUSD BE'!$AM$11+'TUSD BF_350'!$AM$11+'TUSD CVA'!$AM$11)*1*(1-0.02)</f>
        <v>1357.7878188473314</v>
      </c>
      <c r="AA48" s="52">
        <f ca="1">('TE BE'!$AB$5+'TE BF_350'!$AB$5+'TE CVA'!$AB$5)*1*(1-0.02)</f>
        <v>354.71359410136364</v>
      </c>
      <c r="AB48" s="6">
        <f>$K$48*$V$48</f>
        <v>0</v>
      </c>
      <c r="AC48" s="6">
        <f>$M$48*$W$48</f>
        <v>2165.1038591999995</v>
      </c>
      <c r="AD48" s="6">
        <f>$O$48*$X$48</f>
        <v>708.90666239999996</v>
      </c>
      <c r="AE48" s="6">
        <f>$K$48*$Y$48</f>
        <v>0</v>
      </c>
      <c r="AF48" s="6">
        <f ca="1">$M$48*$Z$48</f>
        <v>2560.787826346067</v>
      </c>
      <c r="AG48" s="6">
        <f ca="1">$O$48*$AA$48</f>
        <v>668.98983847517184</v>
      </c>
    </row>
    <row r="49" spans="1:33" ht="11.25" customHeight="1" x14ac:dyDescent="0.3">
      <c r="A49" s="4" t="s">
        <v>21</v>
      </c>
      <c r="B49" s="4" t="s">
        <v>45</v>
      </c>
      <c r="C49" s="4" t="s">
        <v>40</v>
      </c>
      <c r="D49" s="4" t="s">
        <v>44</v>
      </c>
      <c r="E49" s="4" t="s">
        <v>56</v>
      </c>
      <c r="F49" s="4" t="s">
        <v>25</v>
      </c>
      <c r="G49" s="4" t="s">
        <v>25</v>
      </c>
      <c r="H49" s="4" t="s">
        <v>35</v>
      </c>
      <c r="I49" s="5">
        <v>44593</v>
      </c>
      <c r="J49" s="6">
        <v>0</v>
      </c>
      <c r="K49" s="52">
        <v>0</v>
      </c>
      <c r="L49" s="6">
        <v>0.42099999999999999</v>
      </c>
      <c r="M49" s="52">
        <v>0.42099999999999999</v>
      </c>
      <c r="N49" s="6">
        <v>0.42099999999999999</v>
      </c>
      <c r="O49" s="52">
        <v>0.42099999999999999</v>
      </c>
      <c r="P49" s="6">
        <v>0</v>
      </c>
      <c r="Q49" s="4" t="s">
        <v>26</v>
      </c>
      <c r="R49" s="4">
        <v>0</v>
      </c>
      <c r="S49" s="6">
        <v>0</v>
      </c>
      <c r="T49" s="6">
        <v>16</v>
      </c>
      <c r="U49" s="6">
        <v>63</v>
      </c>
      <c r="V49" s="52">
        <f>IF(ISERROR(VLOOKUP($S$49,'TAR FIN'!$A$1:$O$103,15,0)),0,VLOOKUP($S$49,'TAR FIN'!$A$1:$O$103,15,0))</f>
        <v>0</v>
      </c>
      <c r="W49" s="52">
        <f>IF(ISERROR(VLOOKUP($T$49,'TAR FIN'!$A$1:$O$103,15,0)),0,VLOOKUP($T$49,'TAR FIN'!$A$1:$O$103,15,0))*(1-0.04)</f>
        <v>81.590399999999988</v>
      </c>
      <c r="X49" s="52">
        <f>IF(ISERROR(VLOOKUP($U$49,'TAR FIN'!$A$1:$O$103,15,0)),0,VLOOKUP($U$49,'TAR FIN'!$A$1:$O$103,15,0))*(1-0.04)</f>
        <v>233.0592</v>
      </c>
      <c r="Y49" s="52"/>
      <c r="Z49" s="52">
        <f ca="1">('TUSD BE'!$AM$12+'TUSD BF_350'!$AM$12+'TUSD CVA'!$AM$12)*1*(1-0.02)</f>
        <v>142.80792645762099</v>
      </c>
      <c r="AA49" s="52">
        <f ca="1">('TE BE'!$AB$6+'TE BF_350'!$AB$6+'TE CVA'!$AB$6)*1*(1-0.02)</f>
        <v>217.94598758226687</v>
      </c>
      <c r="AB49" s="6">
        <f>$K$49*$V$49</f>
        <v>0</v>
      </c>
      <c r="AC49" s="6">
        <f>$M$49*$W$49</f>
        <v>34.349558399999992</v>
      </c>
      <c r="AD49" s="6">
        <f>$O$49*$X$49</f>
        <v>98.117923199999993</v>
      </c>
      <c r="AE49" s="6">
        <f>$K$49*$Y$49</f>
        <v>0</v>
      </c>
      <c r="AF49" s="6">
        <f ca="1">$M$49*$Z$49</f>
        <v>60.122137038658437</v>
      </c>
      <c r="AG49" s="6">
        <f ca="1">$O$49*$AA$49</f>
        <v>91.755260772134349</v>
      </c>
    </row>
    <row r="50" spans="1:33" ht="11.25" customHeight="1" x14ac:dyDescent="0.3">
      <c r="A50" s="4" t="s">
        <v>21</v>
      </c>
      <c r="B50" s="4" t="s">
        <v>45</v>
      </c>
      <c r="C50" s="4" t="s">
        <v>40</v>
      </c>
      <c r="D50" s="4" t="s">
        <v>44</v>
      </c>
      <c r="E50" s="4" t="s">
        <v>56</v>
      </c>
      <c r="F50" s="4" t="s">
        <v>25</v>
      </c>
      <c r="G50" s="4" t="s">
        <v>25</v>
      </c>
      <c r="H50" s="4" t="s">
        <v>35</v>
      </c>
      <c r="I50" s="5">
        <v>44621</v>
      </c>
      <c r="J50" s="6">
        <v>0</v>
      </c>
      <c r="K50" s="52">
        <v>0</v>
      </c>
      <c r="L50" s="6">
        <v>0.45</v>
      </c>
      <c r="M50" s="52">
        <v>0.45</v>
      </c>
      <c r="N50" s="6">
        <v>0.45</v>
      </c>
      <c r="O50" s="52">
        <v>0.45</v>
      </c>
      <c r="P50" s="6">
        <v>0</v>
      </c>
      <c r="Q50" s="4" t="s">
        <v>26</v>
      </c>
      <c r="R50" s="4">
        <v>0</v>
      </c>
      <c r="S50" s="6">
        <v>0</v>
      </c>
      <c r="T50" s="6">
        <v>16</v>
      </c>
      <c r="U50" s="6">
        <v>63</v>
      </c>
      <c r="V50" s="52">
        <f>IF(ISERROR(VLOOKUP($S$50,'TAR FIN'!$A$1:$O$103,15,0)),0,VLOOKUP($S$50,'TAR FIN'!$A$1:$O$103,15,0))</f>
        <v>0</v>
      </c>
      <c r="W50" s="52">
        <f>IF(ISERROR(VLOOKUP($T$50,'TAR FIN'!$A$1:$O$103,15,0)),0,VLOOKUP($T$50,'TAR FIN'!$A$1:$O$103,15,0))*(1-0.04)</f>
        <v>81.590399999999988</v>
      </c>
      <c r="X50" s="52">
        <f>IF(ISERROR(VLOOKUP($U$50,'TAR FIN'!$A$1:$O$103,15,0)),0,VLOOKUP($U$50,'TAR FIN'!$A$1:$O$103,15,0))*(1-0.04)</f>
        <v>233.0592</v>
      </c>
      <c r="Y50" s="52"/>
      <c r="Z50" s="52">
        <f ca="1">('TUSD BE'!$AM$12+'TUSD BF_350'!$AM$12+'TUSD CVA'!$AM$12)*1*(1-0.02)</f>
        <v>142.80792645762099</v>
      </c>
      <c r="AA50" s="52">
        <f ca="1">('TE BE'!$AB$6+'TE BF_350'!$AB$6+'TE CVA'!$AB$6)*1*(1-0.02)</f>
        <v>217.94598758226687</v>
      </c>
      <c r="AB50" s="6">
        <f>$K$50*$V$50</f>
        <v>0</v>
      </c>
      <c r="AC50" s="6">
        <f>$M$50*$W$50</f>
        <v>36.715679999999999</v>
      </c>
      <c r="AD50" s="6">
        <f>$O$50*$X$50</f>
        <v>104.87664000000001</v>
      </c>
      <c r="AE50" s="6">
        <f>$K$50*$Y$50</f>
        <v>0</v>
      </c>
      <c r="AF50" s="6">
        <f ca="1">$M$50*$Z$50</f>
        <v>64.263566905929451</v>
      </c>
      <c r="AG50" s="6">
        <f ca="1">$O$50*$AA$50</f>
        <v>98.075694412020098</v>
      </c>
    </row>
    <row r="51" spans="1:33" ht="11.25" customHeight="1" x14ac:dyDescent="0.3">
      <c r="A51" s="4" t="s">
        <v>21</v>
      </c>
      <c r="B51" s="4" t="s">
        <v>45</v>
      </c>
      <c r="C51" s="4" t="s">
        <v>40</v>
      </c>
      <c r="D51" s="4" t="s">
        <v>44</v>
      </c>
      <c r="E51" s="4" t="s">
        <v>56</v>
      </c>
      <c r="F51" s="4" t="s">
        <v>25</v>
      </c>
      <c r="G51" s="4" t="s">
        <v>25</v>
      </c>
      <c r="H51" s="4" t="s">
        <v>35</v>
      </c>
      <c r="I51" s="5">
        <v>44652</v>
      </c>
      <c r="J51" s="6">
        <v>0</v>
      </c>
      <c r="K51" s="52">
        <v>0</v>
      </c>
      <c r="L51" s="6">
        <v>0.48299999999999998</v>
      </c>
      <c r="M51" s="52">
        <v>0.48299999999999998</v>
      </c>
      <c r="N51" s="6">
        <v>0.48299999999999998</v>
      </c>
      <c r="O51" s="52">
        <v>0.48299999999999998</v>
      </c>
      <c r="P51" s="6">
        <v>0</v>
      </c>
      <c r="Q51" s="4" t="s">
        <v>26</v>
      </c>
      <c r="R51" s="4">
        <v>0</v>
      </c>
      <c r="S51" s="6">
        <v>0</v>
      </c>
      <c r="T51" s="6">
        <v>16</v>
      </c>
      <c r="U51" s="6">
        <v>63</v>
      </c>
      <c r="V51" s="52">
        <f>IF(ISERROR(VLOOKUP($S$51,'TAR FIN'!$A$1:$O$103,15,0)),0,VLOOKUP($S$51,'TAR FIN'!$A$1:$O$103,15,0))</f>
        <v>0</v>
      </c>
      <c r="W51" s="52">
        <f>IF(ISERROR(VLOOKUP($T$51,'TAR FIN'!$A$1:$O$103,15,0)),0,VLOOKUP($T$51,'TAR FIN'!$A$1:$O$103,15,0))*(1-0.04)</f>
        <v>81.590399999999988</v>
      </c>
      <c r="X51" s="52">
        <f>IF(ISERROR(VLOOKUP($U$51,'TAR FIN'!$A$1:$O$103,15,0)),0,VLOOKUP($U$51,'TAR FIN'!$A$1:$O$103,15,0))*(1-0.04)</f>
        <v>233.0592</v>
      </c>
      <c r="Y51" s="52"/>
      <c r="Z51" s="52">
        <f ca="1">('TUSD BE'!$AM$12+'TUSD BF_350'!$AM$12+'TUSD CVA'!$AM$12)*1*(1-0.02)</f>
        <v>142.80792645762099</v>
      </c>
      <c r="AA51" s="52">
        <f ca="1">('TE BE'!$AB$6+'TE BF_350'!$AB$6+'TE CVA'!$AB$6)*1*(1-0.02)</f>
        <v>217.94598758226687</v>
      </c>
      <c r="AB51" s="6">
        <f>$K$51*$V$51</f>
        <v>0</v>
      </c>
      <c r="AC51" s="6">
        <f>$M$51*$W$51</f>
        <v>39.40816319999999</v>
      </c>
      <c r="AD51" s="6">
        <f>$O$51*$X$51</f>
        <v>112.5675936</v>
      </c>
      <c r="AE51" s="6">
        <f>$K$51*$Y$51</f>
        <v>0</v>
      </c>
      <c r="AF51" s="6">
        <f ca="1">$M$51*$Z$51</f>
        <v>68.976228479030937</v>
      </c>
      <c r="AG51" s="6">
        <f ca="1">$O$51*$AA$51</f>
        <v>105.26791200223489</v>
      </c>
    </row>
    <row r="52" spans="1:33" ht="11.25" customHeight="1" x14ac:dyDescent="0.3">
      <c r="A52" s="4" t="s">
        <v>21</v>
      </c>
      <c r="B52" s="4" t="s">
        <v>45</v>
      </c>
      <c r="C52" s="4" t="s">
        <v>40</v>
      </c>
      <c r="D52" s="4" t="s">
        <v>44</v>
      </c>
      <c r="E52" s="4" t="s">
        <v>56</v>
      </c>
      <c r="F52" s="4" t="s">
        <v>25</v>
      </c>
      <c r="G52" s="4" t="s">
        <v>25</v>
      </c>
      <c r="H52" s="4" t="s">
        <v>35</v>
      </c>
      <c r="I52" s="5">
        <v>44682</v>
      </c>
      <c r="J52" s="6">
        <v>0</v>
      </c>
      <c r="K52" s="52">
        <v>0</v>
      </c>
      <c r="L52" s="6">
        <v>0.58699999999999997</v>
      </c>
      <c r="M52" s="52">
        <v>0.58699999999999997</v>
      </c>
      <c r="N52" s="6">
        <v>0.58699999999999997</v>
      </c>
      <c r="O52" s="52">
        <v>0.58699999999999997</v>
      </c>
      <c r="P52" s="6">
        <v>0</v>
      </c>
      <c r="Q52" s="4" t="s">
        <v>26</v>
      </c>
      <c r="R52" s="4">
        <v>0</v>
      </c>
      <c r="S52" s="6">
        <v>0</v>
      </c>
      <c r="T52" s="6">
        <v>16</v>
      </c>
      <c r="U52" s="6">
        <v>63</v>
      </c>
      <c r="V52" s="52">
        <f>IF(ISERROR(VLOOKUP($S$52,'TAR FIN'!$A$1:$O$103,15,0)),0,VLOOKUP($S$52,'TAR FIN'!$A$1:$O$103,15,0))</f>
        <v>0</v>
      </c>
      <c r="W52" s="52">
        <f>IF(ISERROR(VLOOKUP($T$52,'TAR FIN'!$A$1:$O$103,15,0)),0,VLOOKUP($T$52,'TAR FIN'!$A$1:$O$103,15,0))*(1-0.04)</f>
        <v>81.590399999999988</v>
      </c>
      <c r="X52" s="52">
        <f>IF(ISERROR(VLOOKUP($U$52,'TAR FIN'!$A$1:$O$103,15,0)),0,VLOOKUP($U$52,'TAR FIN'!$A$1:$O$103,15,0))*(1-0.04)</f>
        <v>233.0592</v>
      </c>
      <c r="Y52" s="52"/>
      <c r="Z52" s="52">
        <f ca="1">('TUSD BE'!$AM$12+'TUSD BF_350'!$AM$12+'TUSD CVA'!$AM$12)*1*(1-0.02)</f>
        <v>142.80792645762099</v>
      </c>
      <c r="AA52" s="52">
        <f ca="1">('TE BE'!$AB$6+'TE BF_350'!$AB$6+'TE CVA'!$AB$6)*1*(1-0.02)</f>
        <v>217.94598758226687</v>
      </c>
      <c r="AB52" s="6">
        <f>$K$52*$V$52</f>
        <v>0</v>
      </c>
      <c r="AC52" s="6">
        <f>$M$52*$W$52</f>
        <v>47.893564799999993</v>
      </c>
      <c r="AD52" s="6">
        <f>$O$52*$X$52</f>
        <v>136.80575039999999</v>
      </c>
      <c r="AE52" s="6">
        <f>$K$52*$Y$52</f>
        <v>0</v>
      </c>
      <c r="AF52" s="6">
        <f ca="1">$M$52*$Z$52</f>
        <v>83.828252830623512</v>
      </c>
      <c r="AG52" s="6">
        <f ca="1">$O$52*$AA$52</f>
        <v>127.93429471079064</v>
      </c>
    </row>
    <row r="53" spans="1:33" ht="11.25" customHeight="1" x14ac:dyDescent="0.3">
      <c r="A53" s="4" t="s">
        <v>21</v>
      </c>
      <c r="B53" s="4" t="s">
        <v>45</v>
      </c>
      <c r="C53" s="4" t="s">
        <v>40</v>
      </c>
      <c r="D53" s="4" t="s">
        <v>44</v>
      </c>
      <c r="E53" s="4" t="s">
        <v>56</v>
      </c>
      <c r="F53" s="4" t="s">
        <v>25</v>
      </c>
      <c r="G53" s="4" t="s">
        <v>25</v>
      </c>
      <c r="H53" s="4" t="s">
        <v>35</v>
      </c>
      <c r="I53" s="5">
        <v>44713</v>
      </c>
      <c r="J53" s="6">
        <v>0</v>
      </c>
      <c r="K53" s="52">
        <v>0</v>
      </c>
      <c r="L53" s="6">
        <v>0.55700000000000005</v>
      </c>
      <c r="M53" s="52">
        <v>0.55700000000000005</v>
      </c>
      <c r="N53" s="6">
        <v>0.55700000000000005</v>
      </c>
      <c r="O53" s="52">
        <v>0.55700000000000005</v>
      </c>
      <c r="P53" s="6">
        <v>0</v>
      </c>
      <c r="Q53" s="4" t="s">
        <v>26</v>
      </c>
      <c r="R53" s="4">
        <v>0</v>
      </c>
      <c r="S53" s="6">
        <v>0</v>
      </c>
      <c r="T53" s="6">
        <v>16</v>
      </c>
      <c r="U53" s="6">
        <v>63</v>
      </c>
      <c r="V53" s="52">
        <f>IF(ISERROR(VLOOKUP($S$53,'TAR FIN'!$A$1:$O$103,15,0)),0,VLOOKUP($S$53,'TAR FIN'!$A$1:$O$103,15,0))</f>
        <v>0</v>
      </c>
      <c r="W53" s="52">
        <f>IF(ISERROR(VLOOKUP($T$53,'TAR FIN'!$A$1:$O$103,15,0)),0,VLOOKUP($T$53,'TAR FIN'!$A$1:$O$103,15,0))*(1-0.04)</f>
        <v>81.590399999999988</v>
      </c>
      <c r="X53" s="52">
        <f>IF(ISERROR(VLOOKUP($U$53,'TAR FIN'!$A$1:$O$103,15,0)),0,VLOOKUP($U$53,'TAR FIN'!$A$1:$O$103,15,0))*(1-0.04)</f>
        <v>233.0592</v>
      </c>
      <c r="Y53" s="52"/>
      <c r="Z53" s="52">
        <f ca="1">('TUSD BE'!$AM$12+'TUSD BF_350'!$AM$12+'TUSD CVA'!$AM$12)*1*(1-0.02)</f>
        <v>142.80792645762099</v>
      </c>
      <c r="AA53" s="52">
        <f ca="1">('TE BE'!$AB$6+'TE BF_350'!$AB$6+'TE CVA'!$AB$6)*1*(1-0.02)</f>
        <v>217.94598758226687</v>
      </c>
      <c r="AB53" s="6">
        <f>$K$53*$V$53</f>
        <v>0</v>
      </c>
      <c r="AC53" s="6">
        <f>$M$53*$W$53</f>
        <v>45.445852799999997</v>
      </c>
      <c r="AD53" s="6">
        <f>$O$53*$X$53</f>
        <v>129.81397440000001</v>
      </c>
      <c r="AE53" s="6">
        <f>$K$53*$Y$53</f>
        <v>0</v>
      </c>
      <c r="AF53" s="6">
        <f ca="1">$M$53*$Z$53</f>
        <v>79.544015036894905</v>
      </c>
      <c r="AG53" s="6">
        <f ca="1">$O$53*$AA$53</f>
        <v>121.39591508332265</v>
      </c>
    </row>
    <row r="54" spans="1:33" ht="11.25" customHeight="1" x14ac:dyDescent="0.3">
      <c r="A54" s="4" t="s">
        <v>21</v>
      </c>
      <c r="B54" s="4" t="s">
        <v>45</v>
      </c>
      <c r="C54" s="4" t="s">
        <v>40</v>
      </c>
      <c r="D54" s="4" t="s">
        <v>44</v>
      </c>
      <c r="E54" s="4" t="s">
        <v>56</v>
      </c>
      <c r="F54" s="4" t="s">
        <v>25</v>
      </c>
      <c r="G54" s="4" t="s">
        <v>25</v>
      </c>
      <c r="H54" s="4" t="s">
        <v>35</v>
      </c>
      <c r="I54" s="5">
        <v>44743</v>
      </c>
      <c r="J54" s="6">
        <v>0</v>
      </c>
      <c r="K54" s="52">
        <v>0</v>
      </c>
      <c r="L54" s="6">
        <v>0.94299999999999995</v>
      </c>
      <c r="M54" s="52">
        <v>0.94299999999999995</v>
      </c>
      <c r="N54" s="6">
        <v>0.94299999999999995</v>
      </c>
      <c r="O54" s="52">
        <v>0.94299999999999995</v>
      </c>
      <c r="P54" s="6">
        <v>0</v>
      </c>
      <c r="Q54" s="4" t="s">
        <v>26</v>
      </c>
      <c r="R54" s="4">
        <v>0</v>
      </c>
      <c r="S54" s="6">
        <v>0</v>
      </c>
      <c r="T54" s="6">
        <v>16</v>
      </c>
      <c r="U54" s="6">
        <v>63</v>
      </c>
      <c r="V54" s="52">
        <f>IF(ISERROR(VLOOKUP($S$54,'TAR FIN'!$A$1:$O$103,15,0)),0,VLOOKUP($S$54,'TAR FIN'!$A$1:$O$103,15,0))</f>
        <v>0</v>
      </c>
      <c r="W54" s="52">
        <f>IF(ISERROR(VLOOKUP($T$54,'TAR FIN'!$A$1:$O$103,15,0)),0,VLOOKUP($T$54,'TAR FIN'!$A$1:$O$103,15,0))*(1-0.04)</f>
        <v>81.590399999999988</v>
      </c>
      <c r="X54" s="52">
        <f>IF(ISERROR(VLOOKUP($U$54,'TAR FIN'!$A$1:$O$103,15,0)),0,VLOOKUP($U$54,'TAR FIN'!$A$1:$O$103,15,0))*(1-0.04)</f>
        <v>233.0592</v>
      </c>
      <c r="Y54" s="52"/>
      <c r="Z54" s="52">
        <f ca="1">('TUSD BE'!$AM$12+'TUSD BF_350'!$AM$12+'TUSD CVA'!$AM$12)*1*(1-0.02)</f>
        <v>142.80792645762099</v>
      </c>
      <c r="AA54" s="52">
        <f ca="1">('TE BE'!$AB$6+'TE BF_350'!$AB$6+'TE CVA'!$AB$6)*1*(1-0.02)</f>
        <v>217.94598758226687</v>
      </c>
      <c r="AB54" s="6">
        <f>$K$54*$V$54</f>
        <v>0</v>
      </c>
      <c r="AC54" s="6">
        <f>$M$54*$W$54</f>
        <v>76.939747199999985</v>
      </c>
      <c r="AD54" s="6">
        <f>$O$54*$X$54</f>
        <v>219.77482559999999</v>
      </c>
      <c r="AE54" s="6">
        <f>$K$54*$Y$54</f>
        <v>0</v>
      </c>
      <c r="AF54" s="6">
        <f ca="1">$M$54*$Z$54</f>
        <v>134.6678746495366</v>
      </c>
      <c r="AG54" s="6">
        <f ca="1">$O$54*$AA$54</f>
        <v>205.52306629007765</v>
      </c>
    </row>
    <row r="55" spans="1:33" ht="11.25" customHeight="1" x14ac:dyDescent="0.3">
      <c r="A55" s="4" t="s">
        <v>21</v>
      </c>
      <c r="B55" s="4" t="s">
        <v>45</v>
      </c>
      <c r="C55" s="4" t="s">
        <v>40</v>
      </c>
      <c r="D55" s="4" t="s">
        <v>44</v>
      </c>
      <c r="E55" s="4" t="s">
        <v>56</v>
      </c>
      <c r="F55" s="4" t="s">
        <v>25</v>
      </c>
      <c r="G55" s="4" t="s">
        <v>25</v>
      </c>
      <c r="H55" s="4" t="s">
        <v>35</v>
      </c>
      <c r="I55" s="5">
        <v>44774</v>
      </c>
      <c r="J55" s="6">
        <v>0</v>
      </c>
      <c r="K55" s="52">
        <v>0</v>
      </c>
      <c r="L55" s="6">
        <v>2.7690000000000001</v>
      </c>
      <c r="M55" s="52">
        <v>2.7690000000000001</v>
      </c>
      <c r="N55" s="6">
        <v>2.7690000000000001</v>
      </c>
      <c r="O55" s="52">
        <v>2.7690000000000001</v>
      </c>
      <c r="P55" s="6">
        <v>0</v>
      </c>
      <c r="Q55" s="4" t="s">
        <v>26</v>
      </c>
      <c r="R55" s="4">
        <v>0</v>
      </c>
      <c r="S55" s="6">
        <v>0</v>
      </c>
      <c r="T55" s="6">
        <v>16</v>
      </c>
      <c r="U55" s="6">
        <v>63</v>
      </c>
      <c r="V55" s="52">
        <f>IF(ISERROR(VLOOKUP($S$55,'TAR FIN'!$A$1:$O$103,15,0)),0,VLOOKUP($S$55,'TAR FIN'!$A$1:$O$103,15,0))</f>
        <v>0</v>
      </c>
      <c r="W55" s="52">
        <f>IF(ISERROR(VLOOKUP($T$55,'TAR FIN'!$A$1:$O$103,15,0)),0,VLOOKUP($T$55,'TAR FIN'!$A$1:$O$103,15,0))*(1-0.04)</f>
        <v>81.590399999999988</v>
      </c>
      <c r="X55" s="52">
        <f>IF(ISERROR(VLOOKUP($U$55,'TAR FIN'!$A$1:$O$103,15,0)),0,VLOOKUP($U$55,'TAR FIN'!$A$1:$O$103,15,0))*(1-0.04)</f>
        <v>233.0592</v>
      </c>
      <c r="Y55" s="52"/>
      <c r="Z55" s="52">
        <f ca="1">('TUSD BE'!$AM$12+'TUSD BF_350'!$AM$12+'TUSD CVA'!$AM$12)*1*(1-0.02)</f>
        <v>142.80792645762099</v>
      </c>
      <c r="AA55" s="52">
        <f ca="1">('TE BE'!$AB$6+'TE BF_350'!$AB$6+'TE CVA'!$AB$6)*1*(1-0.02)</f>
        <v>217.94598758226687</v>
      </c>
      <c r="AB55" s="6">
        <f>$K$55*$V$55</f>
        <v>0</v>
      </c>
      <c r="AC55" s="6">
        <f>$M$55*$W$55</f>
        <v>225.92381759999998</v>
      </c>
      <c r="AD55" s="6">
        <f>$O$55*$X$55</f>
        <v>645.34092480000004</v>
      </c>
      <c r="AE55" s="6">
        <f>$K$55*$Y$55</f>
        <v>0</v>
      </c>
      <c r="AF55" s="6">
        <f ca="1">$M$55*$Z$55</f>
        <v>395.43514836115253</v>
      </c>
      <c r="AG55" s="6">
        <f ca="1">$O$55*$AA$55</f>
        <v>603.49243961529703</v>
      </c>
    </row>
    <row r="56" spans="1:33" ht="11.25" customHeight="1" x14ac:dyDescent="0.3">
      <c r="A56" s="4" t="s">
        <v>21</v>
      </c>
      <c r="B56" s="4" t="s">
        <v>45</v>
      </c>
      <c r="C56" s="4" t="s">
        <v>40</v>
      </c>
      <c r="D56" s="4" t="s">
        <v>44</v>
      </c>
      <c r="E56" s="4" t="s">
        <v>56</v>
      </c>
      <c r="F56" s="4" t="s">
        <v>25</v>
      </c>
      <c r="G56" s="4" t="s">
        <v>25</v>
      </c>
      <c r="H56" s="4" t="s">
        <v>35</v>
      </c>
      <c r="I56" s="5">
        <v>44805</v>
      </c>
      <c r="J56" s="6">
        <v>0</v>
      </c>
      <c r="K56" s="52">
        <v>0</v>
      </c>
      <c r="L56" s="6">
        <v>5.2640000000000002</v>
      </c>
      <c r="M56" s="52">
        <v>5.2640000000000002</v>
      </c>
      <c r="N56" s="6">
        <v>5.2640000000000002</v>
      </c>
      <c r="O56" s="52">
        <v>5.2640000000000002</v>
      </c>
      <c r="P56" s="6">
        <v>0</v>
      </c>
      <c r="Q56" s="4" t="s">
        <v>26</v>
      </c>
      <c r="R56" s="4">
        <v>0</v>
      </c>
      <c r="S56" s="6">
        <v>0</v>
      </c>
      <c r="T56" s="6">
        <v>16</v>
      </c>
      <c r="U56" s="6">
        <v>63</v>
      </c>
      <c r="V56" s="52">
        <f>IF(ISERROR(VLOOKUP($S$56,'TAR FIN'!$A$1:$O$103,15,0)),0,VLOOKUP($S$56,'TAR FIN'!$A$1:$O$103,15,0))</f>
        <v>0</v>
      </c>
      <c r="W56" s="52">
        <f>IF(ISERROR(VLOOKUP($T$56,'TAR FIN'!$A$1:$O$103,15,0)),0,VLOOKUP($T$56,'TAR FIN'!$A$1:$O$103,15,0))*(1-0.04)</f>
        <v>81.590399999999988</v>
      </c>
      <c r="X56" s="52">
        <f>IF(ISERROR(VLOOKUP($U$56,'TAR FIN'!$A$1:$O$103,15,0)),0,VLOOKUP($U$56,'TAR FIN'!$A$1:$O$103,15,0))*(1-0.04)</f>
        <v>233.0592</v>
      </c>
      <c r="Y56" s="52"/>
      <c r="Z56" s="52">
        <f ca="1">('TUSD BE'!$AM$12+'TUSD BF_350'!$AM$12+'TUSD CVA'!$AM$12)*1*(1-0.02)</f>
        <v>142.80792645762099</v>
      </c>
      <c r="AA56" s="52">
        <f ca="1">('TE BE'!$AB$6+'TE BF_350'!$AB$6+'TE CVA'!$AB$6)*1*(1-0.02)</f>
        <v>217.94598758226687</v>
      </c>
      <c r="AB56" s="6">
        <f>$K$56*$V$56</f>
        <v>0</v>
      </c>
      <c r="AC56" s="6">
        <f>$M$56*$W$56</f>
        <v>429.49186559999998</v>
      </c>
      <c r="AD56" s="6">
        <f>$O$56*$X$56</f>
        <v>1226.8236288000001</v>
      </c>
      <c r="AE56" s="6">
        <f>$K$56*$Y$56</f>
        <v>0</v>
      </c>
      <c r="AF56" s="6">
        <f ca="1">$M$56*$Z$56</f>
        <v>751.74092487291693</v>
      </c>
      <c r="AG56" s="6">
        <f ca="1">$O$56*$AA$56</f>
        <v>1147.2676786330528</v>
      </c>
    </row>
    <row r="57" spans="1:33" ht="11.25" customHeight="1" x14ac:dyDescent="0.3">
      <c r="A57" s="4" t="s">
        <v>57</v>
      </c>
      <c r="B57" s="4" t="s">
        <v>45</v>
      </c>
      <c r="C57" s="4" t="s">
        <v>40</v>
      </c>
      <c r="D57" s="4" t="s">
        <v>44</v>
      </c>
      <c r="E57" s="4" t="s">
        <v>56</v>
      </c>
      <c r="F57" s="4" t="s">
        <v>25</v>
      </c>
      <c r="G57" s="4" t="s">
        <v>25</v>
      </c>
      <c r="H57" s="4" t="s">
        <v>35</v>
      </c>
      <c r="I57" s="5">
        <v>44835</v>
      </c>
      <c r="J57" s="6">
        <v>0</v>
      </c>
      <c r="K57" s="52">
        <v>0</v>
      </c>
      <c r="L57" s="6">
        <v>5.2640000000000002</v>
      </c>
      <c r="M57" s="52">
        <v>5.2640000000000002</v>
      </c>
      <c r="N57" s="6">
        <v>5.2640000000000002</v>
      </c>
      <c r="O57" s="52">
        <v>5.2640000000000002</v>
      </c>
      <c r="P57" s="6">
        <v>0</v>
      </c>
      <c r="Q57" s="4" t="s">
        <v>26</v>
      </c>
      <c r="R57" s="4">
        <v>0</v>
      </c>
      <c r="S57" s="6">
        <v>0</v>
      </c>
      <c r="T57" s="6">
        <v>16</v>
      </c>
      <c r="U57" s="6">
        <v>63</v>
      </c>
      <c r="V57" s="52">
        <f>IF(ISERROR(VLOOKUP($S$57,'TAR FIN'!$A$1:$O$103,15,0)),0,VLOOKUP($S$57,'TAR FIN'!$A$1:$O$103,15,0))</f>
        <v>0</v>
      </c>
      <c r="W57" s="52">
        <f>IF(ISERROR(VLOOKUP($T$57,'TAR FIN'!$A$1:$O$103,15,0)),0,VLOOKUP($T$57,'TAR FIN'!$A$1:$O$103,15,0))*(1-0.04)</f>
        <v>81.590399999999988</v>
      </c>
      <c r="X57" s="52">
        <f>IF(ISERROR(VLOOKUP($U$57,'TAR FIN'!$A$1:$O$103,15,0)),0,VLOOKUP($U$57,'TAR FIN'!$A$1:$O$103,15,0))*(1-0.04)</f>
        <v>233.0592</v>
      </c>
      <c r="Y57" s="52"/>
      <c r="Z57" s="52">
        <f ca="1">('TUSD BE'!$AM$12+'TUSD BF_350'!$AM$12+'TUSD CVA'!$AM$12)*1*(1-0.02)</f>
        <v>142.80792645762099</v>
      </c>
      <c r="AA57" s="52">
        <f ca="1">('TE BE'!$AB$6+'TE BF_350'!$AB$6+'TE CVA'!$AB$6)*1*(1-0.02)</f>
        <v>217.94598758226687</v>
      </c>
      <c r="AB57" s="6">
        <f>$K$57*$V$57</f>
        <v>0</v>
      </c>
      <c r="AC57" s="6">
        <f>$M$57*$W$57</f>
        <v>429.49186559999998</v>
      </c>
      <c r="AD57" s="6">
        <f>$O$57*$X$57</f>
        <v>1226.8236288000001</v>
      </c>
      <c r="AE57" s="6">
        <f>$K$57*$Y$57</f>
        <v>0</v>
      </c>
      <c r="AF57" s="6">
        <f ca="1">$M$57*$Z$57</f>
        <v>751.74092487291693</v>
      </c>
      <c r="AG57" s="6">
        <f ca="1">$O$57*$AA$57</f>
        <v>1147.2676786330528</v>
      </c>
    </row>
    <row r="58" spans="1:33" ht="11.25" customHeight="1" x14ac:dyDescent="0.3">
      <c r="A58" s="4" t="s">
        <v>21</v>
      </c>
      <c r="B58" s="4" t="s">
        <v>45</v>
      </c>
      <c r="C58" s="4" t="s">
        <v>40</v>
      </c>
      <c r="D58" s="4" t="s">
        <v>44</v>
      </c>
      <c r="E58" s="4" t="s">
        <v>56</v>
      </c>
      <c r="F58" s="4" t="s">
        <v>25</v>
      </c>
      <c r="G58" s="4" t="s">
        <v>25</v>
      </c>
      <c r="H58" s="4" t="s">
        <v>25</v>
      </c>
      <c r="I58" s="5">
        <v>44593</v>
      </c>
      <c r="J58" s="6">
        <v>1</v>
      </c>
      <c r="K58" s="52">
        <v>1</v>
      </c>
      <c r="L58" s="6">
        <v>0</v>
      </c>
      <c r="M58" s="52">
        <v>0</v>
      </c>
      <c r="N58" s="6">
        <v>0</v>
      </c>
      <c r="O58" s="52">
        <v>0</v>
      </c>
      <c r="P58" s="6">
        <v>1</v>
      </c>
      <c r="Q58" s="4" t="s">
        <v>26</v>
      </c>
      <c r="R58" s="4">
        <v>0</v>
      </c>
      <c r="S58" s="6">
        <v>11</v>
      </c>
      <c r="T58" s="6">
        <v>0</v>
      </c>
      <c r="U58" s="6">
        <v>0</v>
      </c>
      <c r="V58" s="52">
        <f>IF(ISERROR(VLOOKUP($S$58,'TAR FIN'!$A$1:$O$103,15,0)),0,VLOOKUP($S$58,'TAR FIN'!$A$1:$O$103,15,0))*(1-0.04)</f>
        <v>18.1632</v>
      </c>
      <c r="W58" s="52">
        <f>IF(ISERROR(VLOOKUP($T$58,'TAR FIN'!$A$1:$O$103,15,0)),0,VLOOKUP($T$58,'TAR FIN'!$A$1:$O$103,15,0))</f>
        <v>0</v>
      </c>
      <c r="X58" s="52">
        <f>IF(ISERROR(VLOOKUP($U$58,'TAR FIN'!$A$1:$O$103,15,0)),0,VLOOKUP($U$58,'TAR FIN'!$A$1:$O$103,15,0))</f>
        <v>0</v>
      </c>
      <c r="Y58" s="52">
        <f ca="1">('TUSD BE'!$AM$10+'TUSD BF_350'!$AM$10+'TUSD CVA'!$AM$10)*1*(1-0.02)</f>
        <v>20.941951853111981</v>
      </c>
      <c r="Z58" s="52"/>
      <c r="AA58" s="52"/>
      <c r="AB58" s="6">
        <f>$K$58*$V$58</f>
        <v>18.1632</v>
      </c>
      <c r="AC58" s="6">
        <f>$M$58*$W$58</f>
        <v>0</v>
      </c>
      <c r="AD58" s="6">
        <f>$O$58*$X$58</f>
        <v>0</v>
      </c>
      <c r="AE58" s="6">
        <f ca="1">$K$58*$Y$58</f>
        <v>20.941951853111981</v>
      </c>
      <c r="AF58" s="6">
        <f>$M$58*$Z$58</f>
        <v>0</v>
      </c>
      <c r="AG58" s="6">
        <f>$O$58*$AA$58</f>
        <v>0</v>
      </c>
    </row>
    <row r="59" spans="1:33" ht="11.25" customHeight="1" x14ac:dyDescent="0.3">
      <c r="A59" s="4" t="s">
        <v>21</v>
      </c>
      <c r="B59" s="4" t="s">
        <v>45</v>
      </c>
      <c r="C59" s="4" t="s">
        <v>40</v>
      </c>
      <c r="D59" s="4" t="s">
        <v>44</v>
      </c>
      <c r="E59" s="4" t="s">
        <v>56</v>
      </c>
      <c r="F59" s="4" t="s">
        <v>25</v>
      </c>
      <c r="G59" s="4" t="s">
        <v>25</v>
      </c>
      <c r="H59" s="4" t="s">
        <v>25</v>
      </c>
      <c r="I59" s="5">
        <v>44621</v>
      </c>
      <c r="J59" s="6">
        <v>1</v>
      </c>
      <c r="K59" s="52">
        <v>1</v>
      </c>
      <c r="L59" s="6">
        <v>0</v>
      </c>
      <c r="M59" s="52">
        <v>0</v>
      </c>
      <c r="N59" s="6">
        <v>0</v>
      </c>
      <c r="O59" s="52">
        <v>0</v>
      </c>
      <c r="P59" s="6">
        <v>2</v>
      </c>
      <c r="Q59" s="4" t="s">
        <v>26</v>
      </c>
      <c r="R59" s="4">
        <v>0</v>
      </c>
      <c r="S59" s="6">
        <v>11</v>
      </c>
      <c r="T59" s="6">
        <v>0</v>
      </c>
      <c r="U59" s="6">
        <v>0</v>
      </c>
      <c r="V59" s="52">
        <f>IF(ISERROR(VLOOKUP($S$59,'TAR FIN'!$A$1:$O$103,15,0)),0,VLOOKUP($S$59,'TAR FIN'!$A$1:$O$103,15,0))*(1-0.04)</f>
        <v>18.1632</v>
      </c>
      <c r="W59" s="52">
        <f>IF(ISERROR(VLOOKUP($T$59,'TAR FIN'!$A$1:$O$103,15,0)),0,VLOOKUP($T$59,'TAR FIN'!$A$1:$O$103,15,0))</f>
        <v>0</v>
      </c>
      <c r="X59" s="52">
        <f>IF(ISERROR(VLOOKUP($U$59,'TAR FIN'!$A$1:$O$103,15,0)),0,VLOOKUP($U$59,'TAR FIN'!$A$1:$O$103,15,0))</f>
        <v>0</v>
      </c>
      <c r="Y59" s="52">
        <f ca="1">('TUSD BE'!$AM$10+'TUSD BF_350'!$AM$10+'TUSD CVA'!$AM$10)*1*(1-0.02)</f>
        <v>20.941951853111981</v>
      </c>
      <c r="Z59" s="52"/>
      <c r="AA59" s="52"/>
      <c r="AB59" s="6">
        <f>$K$59*$V$59</f>
        <v>18.1632</v>
      </c>
      <c r="AC59" s="6">
        <f>$M$59*$W$59</f>
        <v>0</v>
      </c>
      <c r="AD59" s="6">
        <f>$O$59*$X$59</f>
        <v>0</v>
      </c>
      <c r="AE59" s="6">
        <f ca="1">$K$59*$Y$59</f>
        <v>20.941951853111981</v>
      </c>
      <c r="AF59" s="6">
        <f>$M$59*$Z$59</f>
        <v>0</v>
      </c>
      <c r="AG59" s="6">
        <f>$O$59*$AA$59</f>
        <v>0</v>
      </c>
    </row>
    <row r="60" spans="1:33" ht="11.25" customHeight="1" x14ac:dyDescent="0.3">
      <c r="A60" s="4" t="s">
        <v>21</v>
      </c>
      <c r="B60" s="4" t="s">
        <v>45</v>
      </c>
      <c r="C60" s="4" t="s">
        <v>40</v>
      </c>
      <c r="D60" s="4" t="s">
        <v>44</v>
      </c>
      <c r="E60" s="4" t="s">
        <v>56</v>
      </c>
      <c r="F60" s="4" t="s">
        <v>25</v>
      </c>
      <c r="G60" s="4" t="s">
        <v>25</v>
      </c>
      <c r="H60" s="4" t="s">
        <v>25</v>
      </c>
      <c r="I60" s="5">
        <v>44652</v>
      </c>
      <c r="J60" s="6">
        <v>3</v>
      </c>
      <c r="K60" s="52">
        <v>3</v>
      </c>
      <c r="L60" s="6">
        <v>0</v>
      </c>
      <c r="M60" s="52">
        <v>0</v>
      </c>
      <c r="N60" s="6">
        <v>0</v>
      </c>
      <c r="O60" s="52">
        <v>0</v>
      </c>
      <c r="P60" s="6">
        <v>2</v>
      </c>
      <c r="Q60" s="4" t="s">
        <v>26</v>
      </c>
      <c r="R60" s="4">
        <v>0</v>
      </c>
      <c r="S60" s="6">
        <v>11</v>
      </c>
      <c r="T60" s="6">
        <v>0</v>
      </c>
      <c r="U60" s="6">
        <v>0</v>
      </c>
      <c r="V60" s="52">
        <f>IF(ISERROR(VLOOKUP($S$60,'TAR FIN'!$A$1:$O$103,15,0)),0,VLOOKUP($S$60,'TAR FIN'!$A$1:$O$103,15,0))*(1-0.04)</f>
        <v>18.1632</v>
      </c>
      <c r="W60" s="52">
        <f>IF(ISERROR(VLOOKUP($T$60,'TAR FIN'!$A$1:$O$103,15,0)),0,VLOOKUP($T$60,'TAR FIN'!$A$1:$O$103,15,0))</f>
        <v>0</v>
      </c>
      <c r="X60" s="52">
        <f>IF(ISERROR(VLOOKUP($U$60,'TAR FIN'!$A$1:$O$103,15,0)),0,VLOOKUP($U$60,'TAR FIN'!$A$1:$O$103,15,0))</f>
        <v>0</v>
      </c>
      <c r="Y60" s="52">
        <f ca="1">('TUSD BE'!$AM$10+'TUSD BF_350'!$AM$10+'TUSD CVA'!$AM$10)*1*(1-0.02)</f>
        <v>20.941951853111981</v>
      </c>
      <c r="Z60" s="52"/>
      <c r="AA60" s="52"/>
      <c r="AB60" s="6">
        <f>$K$60*$V$60</f>
        <v>54.489599999999996</v>
      </c>
      <c r="AC60" s="6">
        <f>$M$60*$W$60</f>
        <v>0</v>
      </c>
      <c r="AD60" s="6">
        <f>$O$60*$X$60</f>
        <v>0</v>
      </c>
      <c r="AE60" s="6">
        <f ca="1">$K$60*$Y$60</f>
        <v>62.825855559335942</v>
      </c>
      <c r="AF60" s="6">
        <f>$M$60*$Z$60</f>
        <v>0</v>
      </c>
      <c r="AG60" s="6">
        <f>$O$60*$AA$60</f>
        <v>0</v>
      </c>
    </row>
    <row r="61" spans="1:33" ht="11.25" customHeight="1" x14ac:dyDescent="0.3">
      <c r="A61" s="4" t="s">
        <v>21</v>
      </c>
      <c r="B61" s="4" t="s">
        <v>45</v>
      </c>
      <c r="C61" s="4" t="s">
        <v>40</v>
      </c>
      <c r="D61" s="4" t="s">
        <v>44</v>
      </c>
      <c r="E61" s="4" t="s">
        <v>56</v>
      </c>
      <c r="F61" s="4" t="s">
        <v>25</v>
      </c>
      <c r="G61" s="4" t="s">
        <v>25</v>
      </c>
      <c r="H61" s="4" t="s">
        <v>25</v>
      </c>
      <c r="I61" s="5">
        <v>44682</v>
      </c>
      <c r="J61" s="6">
        <v>3</v>
      </c>
      <c r="K61" s="52">
        <v>3</v>
      </c>
      <c r="L61" s="6">
        <v>0</v>
      </c>
      <c r="M61" s="52">
        <v>0</v>
      </c>
      <c r="N61" s="6">
        <v>0</v>
      </c>
      <c r="O61" s="52">
        <v>0</v>
      </c>
      <c r="P61" s="6">
        <v>2</v>
      </c>
      <c r="Q61" s="4" t="s">
        <v>26</v>
      </c>
      <c r="R61" s="4">
        <v>0</v>
      </c>
      <c r="S61" s="6">
        <v>11</v>
      </c>
      <c r="T61" s="6">
        <v>0</v>
      </c>
      <c r="U61" s="6">
        <v>0</v>
      </c>
      <c r="V61" s="52">
        <f>IF(ISERROR(VLOOKUP($S$61,'TAR FIN'!$A$1:$O$103,15,0)),0,VLOOKUP($S$61,'TAR FIN'!$A$1:$O$103,15,0))*(1-0.04)</f>
        <v>18.1632</v>
      </c>
      <c r="W61" s="52">
        <f>IF(ISERROR(VLOOKUP($T$61,'TAR FIN'!$A$1:$O$103,15,0)),0,VLOOKUP($T$61,'TAR FIN'!$A$1:$O$103,15,0))</f>
        <v>0</v>
      </c>
      <c r="X61" s="52">
        <f>IF(ISERROR(VLOOKUP($U$61,'TAR FIN'!$A$1:$O$103,15,0)),0,VLOOKUP($U$61,'TAR FIN'!$A$1:$O$103,15,0))</f>
        <v>0</v>
      </c>
      <c r="Y61" s="52">
        <f ca="1">('TUSD BE'!$AM$10+'TUSD BF_350'!$AM$10+'TUSD CVA'!$AM$10)*1*(1-0.02)</f>
        <v>20.941951853111981</v>
      </c>
      <c r="Z61" s="52"/>
      <c r="AA61" s="52"/>
      <c r="AB61" s="6">
        <f>$K$61*$V$61</f>
        <v>54.489599999999996</v>
      </c>
      <c r="AC61" s="6">
        <f>$M$61*$W$61</f>
        <v>0</v>
      </c>
      <c r="AD61" s="6">
        <f>$O$61*$X$61</f>
        <v>0</v>
      </c>
      <c r="AE61" s="6">
        <f ca="1">$K$61*$Y$61</f>
        <v>62.825855559335942</v>
      </c>
      <c r="AF61" s="6">
        <f>$M$61*$Z$61</f>
        <v>0</v>
      </c>
      <c r="AG61" s="6">
        <f>$O$61*$AA$61</f>
        <v>0</v>
      </c>
    </row>
    <row r="62" spans="1:33" ht="11.25" customHeight="1" x14ac:dyDescent="0.3">
      <c r="A62" s="4" t="s">
        <v>21</v>
      </c>
      <c r="B62" s="4" t="s">
        <v>45</v>
      </c>
      <c r="C62" s="4" t="s">
        <v>40</v>
      </c>
      <c r="D62" s="4" t="s">
        <v>44</v>
      </c>
      <c r="E62" s="4" t="s">
        <v>56</v>
      </c>
      <c r="F62" s="4" t="s">
        <v>25</v>
      </c>
      <c r="G62" s="4" t="s">
        <v>25</v>
      </c>
      <c r="H62" s="4" t="s">
        <v>25</v>
      </c>
      <c r="I62" s="5">
        <v>44713</v>
      </c>
      <c r="J62" s="6">
        <v>3</v>
      </c>
      <c r="K62" s="52">
        <v>3</v>
      </c>
      <c r="L62" s="6">
        <v>0</v>
      </c>
      <c r="M62" s="52">
        <v>0</v>
      </c>
      <c r="N62" s="6">
        <v>0</v>
      </c>
      <c r="O62" s="52">
        <v>0</v>
      </c>
      <c r="P62" s="6">
        <v>2</v>
      </c>
      <c r="Q62" s="4" t="s">
        <v>26</v>
      </c>
      <c r="R62" s="4">
        <v>0</v>
      </c>
      <c r="S62" s="6">
        <v>11</v>
      </c>
      <c r="T62" s="6">
        <v>0</v>
      </c>
      <c r="U62" s="6">
        <v>0</v>
      </c>
      <c r="V62" s="52">
        <f>IF(ISERROR(VLOOKUP($S$62,'TAR FIN'!$A$1:$O$103,15,0)),0,VLOOKUP($S$62,'TAR FIN'!$A$1:$O$103,15,0))*(1-0.04)</f>
        <v>18.1632</v>
      </c>
      <c r="W62" s="52">
        <f>IF(ISERROR(VLOOKUP($T$62,'TAR FIN'!$A$1:$O$103,15,0)),0,VLOOKUP($T$62,'TAR FIN'!$A$1:$O$103,15,0))</f>
        <v>0</v>
      </c>
      <c r="X62" s="52">
        <f>IF(ISERROR(VLOOKUP($U$62,'TAR FIN'!$A$1:$O$103,15,0)),0,VLOOKUP($U$62,'TAR FIN'!$A$1:$O$103,15,0))</f>
        <v>0</v>
      </c>
      <c r="Y62" s="52">
        <f ca="1">('TUSD BE'!$AM$10+'TUSD BF_350'!$AM$10+'TUSD CVA'!$AM$10)*1*(1-0.02)</f>
        <v>20.941951853111981</v>
      </c>
      <c r="Z62" s="52"/>
      <c r="AA62" s="52"/>
      <c r="AB62" s="6">
        <f>$K$62*$V$62</f>
        <v>54.489599999999996</v>
      </c>
      <c r="AC62" s="6">
        <f>$M$62*$W$62</f>
        <v>0</v>
      </c>
      <c r="AD62" s="6">
        <f>$O$62*$X$62</f>
        <v>0</v>
      </c>
      <c r="AE62" s="6">
        <f ca="1">$K$62*$Y$62</f>
        <v>62.825855559335942</v>
      </c>
      <c r="AF62" s="6">
        <f>$M$62*$Z$62</f>
        <v>0</v>
      </c>
      <c r="AG62" s="6">
        <f>$O$62*$AA$62</f>
        <v>0</v>
      </c>
    </row>
    <row r="63" spans="1:33" ht="11.25" customHeight="1" x14ac:dyDescent="0.3">
      <c r="A63" s="4" t="s">
        <v>21</v>
      </c>
      <c r="B63" s="4" t="s">
        <v>45</v>
      </c>
      <c r="C63" s="4" t="s">
        <v>40</v>
      </c>
      <c r="D63" s="4" t="s">
        <v>44</v>
      </c>
      <c r="E63" s="4" t="s">
        <v>56</v>
      </c>
      <c r="F63" s="4" t="s">
        <v>25</v>
      </c>
      <c r="G63" s="4" t="s">
        <v>25</v>
      </c>
      <c r="H63" s="4" t="s">
        <v>25</v>
      </c>
      <c r="I63" s="5">
        <v>44743</v>
      </c>
      <c r="J63" s="6">
        <v>4</v>
      </c>
      <c r="K63" s="52">
        <v>4</v>
      </c>
      <c r="L63" s="6">
        <v>0</v>
      </c>
      <c r="M63" s="52">
        <v>0</v>
      </c>
      <c r="N63" s="6">
        <v>0</v>
      </c>
      <c r="O63" s="52">
        <v>0</v>
      </c>
      <c r="P63" s="6">
        <v>2</v>
      </c>
      <c r="Q63" s="4" t="s">
        <v>26</v>
      </c>
      <c r="R63" s="4">
        <v>0</v>
      </c>
      <c r="S63" s="6">
        <v>11</v>
      </c>
      <c r="T63" s="6">
        <v>0</v>
      </c>
      <c r="U63" s="6">
        <v>0</v>
      </c>
      <c r="V63" s="52">
        <f>IF(ISERROR(VLOOKUP($S$63,'TAR FIN'!$A$1:$O$103,15,0)),0,VLOOKUP($S$63,'TAR FIN'!$A$1:$O$103,15,0))*(1-0.04)</f>
        <v>18.1632</v>
      </c>
      <c r="W63" s="52">
        <f>IF(ISERROR(VLOOKUP($T$63,'TAR FIN'!$A$1:$O$103,15,0)),0,VLOOKUP($T$63,'TAR FIN'!$A$1:$O$103,15,0))</f>
        <v>0</v>
      </c>
      <c r="X63" s="52">
        <f>IF(ISERROR(VLOOKUP($U$63,'TAR FIN'!$A$1:$O$103,15,0)),0,VLOOKUP($U$63,'TAR FIN'!$A$1:$O$103,15,0))</f>
        <v>0</v>
      </c>
      <c r="Y63" s="52">
        <f ca="1">('TUSD BE'!$AM$10+'TUSD BF_350'!$AM$10+'TUSD CVA'!$AM$10)*1*(1-0.02)</f>
        <v>20.941951853111981</v>
      </c>
      <c r="Z63" s="52"/>
      <c r="AA63" s="52"/>
      <c r="AB63" s="6">
        <f>$K$63*$V$63</f>
        <v>72.652799999999999</v>
      </c>
      <c r="AC63" s="6">
        <f>$M$63*$W$63</f>
        <v>0</v>
      </c>
      <c r="AD63" s="6">
        <f>$O$63*$X$63</f>
        <v>0</v>
      </c>
      <c r="AE63" s="6">
        <f ca="1">$K$63*$Y$63</f>
        <v>83.767807412447922</v>
      </c>
      <c r="AF63" s="6">
        <f>$M$63*$Z$63</f>
        <v>0</v>
      </c>
      <c r="AG63" s="6">
        <f>$O$63*$AA$63</f>
        <v>0</v>
      </c>
    </row>
    <row r="64" spans="1:33" ht="11.25" customHeight="1" x14ac:dyDescent="0.3">
      <c r="A64" s="4" t="s">
        <v>21</v>
      </c>
      <c r="B64" s="4" t="s">
        <v>45</v>
      </c>
      <c r="C64" s="4" t="s">
        <v>40</v>
      </c>
      <c r="D64" s="4" t="s">
        <v>44</v>
      </c>
      <c r="E64" s="4" t="s">
        <v>56</v>
      </c>
      <c r="F64" s="4" t="s">
        <v>25</v>
      </c>
      <c r="G64" s="4" t="s">
        <v>25</v>
      </c>
      <c r="H64" s="4" t="s">
        <v>25</v>
      </c>
      <c r="I64" s="5">
        <v>44774</v>
      </c>
      <c r="J64" s="6">
        <v>10</v>
      </c>
      <c r="K64" s="52">
        <v>10</v>
      </c>
      <c r="L64" s="6">
        <v>0</v>
      </c>
      <c r="M64" s="52">
        <v>0</v>
      </c>
      <c r="N64" s="6">
        <v>0</v>
      </c>
      <c r="O64" s="52">
        <v>0</v>
      </c>
      <c r="P64" s="6">
        <v>2</v>
      </c>
      <c r="Q64" s="4" t="s">
        <v>26</v>
      </c>
      <c r="R64" s="4">
        <v>0</v>
      </c>
      <c r="S64" s="6">
        <v>11</v>
      </c>
      <c r="T64" s="6">
        <v>0</v>
      </c>
      <c r="U64" s="6">
        <v>0</v>
      </c>
      <c r="V64" s="52">
        <f>IF(ISERROR(VLOOKUP($S$64,'TAR FIN'!$A$1:$O$103,15,0)),0,VLOOKUP($S$64,'TAR FIN'!$A$1:$O$103,15,0))*(1-0.04)</f>
        <v>18.1632</v>
      </c>
      <c r="W64" s="52">
        <f>IF(ISERROR(VLOOKUP($T$64,'TAR FIN'!$A$1:$O$103,15,0)),0,VLOOKUP($T$64,'TAR FIN'!$A$1:$O$103,15,0))</f>
        <v>0</v>
      </c>
      <c r="X64" s="52">
        <f>IF(ISERROR(VLOOKUP($U$64,'TAR FIN'!$A$1:$O$103,15,0)),0,VLOOKUP($U$64,'TAR FIN'!$A$1:$O$103,15,0))</f>
        <v>0</v>
      </c>
      <c r="Y64" s="52">
        <f ca="1">('TUSD BE'!$AM$10+'TUSD BF_350'!$AM$10+'TUSD CVA'!$AM$10)*1*(1-0.02)</f>
        <v>20.941951853111981</v>
      </c>
      <c r="Z64" s="52"/>
      <c r="AA64" s="52"/>
      <c r="AB64" s="6">
        <f>$K$64*$V$64</f>
        <v>181.63200000000001</v>
      </c>
      <c r="AC64" s="6">
        <f>$M$64*$W$64</f>
        <v>0</v>
      </c>
      <c r="AD64" s="6">
        <f>$O$64*$X$64</f>
        <v>0</v>
      </c>
      <c r="AE64" s="6">
        <f ca="1">$K$64*$Y$64</f>
        <v>209.41951853111982</v>
      </c>
      <c r="AF64" s="6">
        <f>$M$64*$Z$64</f>
        <v>0</v>
      </c>
      <c r="AG64" s="6">
        <f>$O$64*$AA$64</f>
        <v>0</v>
      </c>
    </row>
    <row r="65" spans="1:33" ht="11.25" customHeight="1" x14ac:dyDescent="0.3">
      <c r="A65" s="4" t="s">
        <v>21</v>
      </c>
      <c r="B65" s="4" t="s">
        <v>45</v>
      </c>
      <c r="C65" s="4" t="s">
        <v>40</v>
      </c>
      <c r="D65" s="4" t="s">
        <v>44</v>
      </c>
      <c r="E65" s="4" t="s">
        <v>56</v>
      </c>
      <c r="F65" s="4" t="s">
        <v>25</v>
      </c>
      <c r="G65" s="4" t="s">
        <v>25</v>
      </c>
      <c r="H65" s="4" t="s">
        <v>25</v>
      </c>
      <c r="I65" s="5">
        <v>44805</v>
      </c>
      <c r="J65" s="6">
        <v>11</v>
      </c>
      <c r="K65" s="52">
        <v>11</v>
      </c>
      <c r="L65" s="6">
        <v>0</v>
      </c>
      <c r="M65" s="52">
        <v>0</v>
      </c>
      <c r="N65" s="6">
        <v>0</v>
      </c>
      <c r="O65" s="52">
        <v>0</v>
      </c>
      <c r="P65" s="6">
        <v>2</v>
      </c>
      <c r="Q65" s="4" t="s">
        <v>26</v>
      </c>
      <c r="R65" s="4">
        <v>0</v>
      </c>
      <c r="S65" s="6">
        <v>11</v>
      </c>
      <c r="T65" s="6">
        <v>0</v>
      </c>
      <c r="U65" s="6">
        <v>0</v>
      </c>
      <c r="V65" s="52">
        <f>IF(ISERROR(VLOOKUP($S$65,'TAR FIN'!$A$1:$O$103,15,0)),0,VLOOKUP($S$65,'TAR FIN'!$A$1:$O$103,15,0))*(1-0.04)</f>
        <v>18.1632</v>
      </c>
      <c r="W65" s="52">
        <f>IF(ISERROR(VLOOKUP($T$65,'TAR FIN'!$A$1:$O$103,15,0)),0,VLOOKUP($T$65,'TAR FIN'!$A$1:$O$103,15,0))</f>
        <v>0</v>
      </c>
      <c r="X65" s="52">
        <f>IF(ISERROR(VLOOKUP($U$65,'TAR FIN'!$A$1:$O$103,15,0)),0,VLOOKUP($U$65,'TAR FIN'!$A$1:$O$103,15,0))</f>
        <v>0</v>
      </c>
      <c r="Y65" s="52">
        <f ca="1">('TUSD BE'!$AM$10+'TUSD BF_350'!$AM$10+'TUSD CVA'!$AM$10)*1*(1-0.02)</f>
        <v>20.941951853111981</v>
      </c>
      <c r="Z65" s="52"/>
      <c r="AA65" s="52"/>
      <c r="AB65" s="6">
        <f>$K$65*$V$65</f>
        <v>199.79519999999999</v>
      </c>
      <c r="AC65" s="6">
        <f>$M$65*$W$65</f>
        <v>0</v>
      </c>
      <c r="AD65" s="6">
        <f>$O$65*$X$65</f>
        <v>0</v>
      </c>
      <c r="AE65" s="6">
        <f ca="1">$K$65*$Y$65</f>
        <v>230.36147038423178</v>
      </c>
      <c r="AF65" s="6">
        <f>$M$65*$Z$65</f>
        <v>0</v>
      </c>
      <c r="AG65" s="6">
        <f>$O$65*$AA$65</f>
        <v>0</v>
      </c>
    </row>
    <row r="66" spans="1:33" ht="11.25" customHeight="1" x14ac:dyDescent="0.3">
      <c r="A66" s="4" t="s">
        <v>57</v>
      </c>
      <c r="B66" s="4" t="s">
        <v>45</v>
      </c>
      <c r="C66" s="4" t="s">
        <v>40</v>
      </c>
      <c r="D66" s="4" t="s">
        <v>44</v>
      </c>
      <c r="E66" s="4" t="s">
        <v>56</v>
      </c>
      <c r="F66" s="4" t="s">
        <v>25</v>
      </c>
      <c r="G66" s="4" t="s">
        <v>25</v>
      </c>
      <c r="H66" s="4" t="s">
        <v>25</v>
      </c>
      <c r="I66" s="5">
        <v>44835</v>
      </c>
      <c r="J66" s="6">
        <v>11</v>
      </c>
      <c r="K66" s="52">
        <v>11</v>
      </c>
      <c r="L66" s="6">
        <v>0</v>
      </c>
      <c r="M66" s="52">
        <v>0</v>
      </c>
      <c r="N66" s="6">
        <v>0</v>
      </c>
      <c r="O66" s="52">
        <v>0</v>
      </c>
      <c r="P66" s="6">
        <v>2</v>
      </c>
      <c r="Q66" s="4" t="s">
        <v>26</v>
      </c>
      <c r="R66" s="4">
        <v>0</v>
      </c>
      <c r="S66" s="6">
        <v>11</v>
      </c>
      <c r="T66" s="6">
        <v>0</v>
      </c>
      <c r="U66" s="6">
        <v>0</v>
      </c>
      <c r="V66" s="52">
        <f>IF(ISERROR(VLOOKUP($S$66,'TAR FIN'!$A$1:$O$103,15,0)),0,VLOOKUP($S$66,'TAR FIN'!$A$1:$O$103,15,0))*(1-0.04)</f>
        <v>18.1632</v>
      </c>
      <c r="W66" s="52">
        <f>IF(ISERROR(VLOOKUP($T$66,'TAR FIN'!$A$1:$O$103,15,0)),0,VLOOKUP($T$66,'TAR FIN'!$A$1:$O$103,15,0))</f>
        <v>0</v>
      </c>
      <c r="X66" s="52">
        <f>IF(ISERROR(VLOOKUP($U$66,'TAR FIN'!$A$1:$O$103,15,0)),0,VLOOKUP($U$66,'TAR FIN'!$A$1:$O$103,15,0))</f>
        <v>0</v>
      </c>
      <c r="Y66" s="52">
        <f ca="1">('TUSD BE'!$AM$10+'TUSD BF_350'!$AM$10+'TUSD CVA'!$AM$10)*1*(1-0.02)</f>
        <v>20.941951853111981</v>
      </c>
      <c r="Z66" s="52"/>
      <c r="AA66" s="52"/>
      <c r="AB66" s="6">
        <f>$K$66*$V$66</f>
        <v>199.79519999999999</v>
      </c>
      <c r="AC66" s="6">
        <f>$M$66*$W$66</f>
        <v>0</v>
      </c>
      <c r="AD66" s="6">
        <f>$O$66*$X$66</f>
        <v>0</v>
      </c>
      <c r="AE66" s="6">
        <f ca="1">$K$66*$Y$66</f>
        <v>230.36147038423178</v>
      </c>
      <c r="AF66" s="6">
        <f>$M$66*$Z$66</f>
        <v>0</v>
      </c>
      <c r="AG66" s="6">
        <f>$O$66*$AA$66</f>
        <v>0</v>
      </c>
    </row>
    <row r="67" spans="1:33" ht="11.25" customHeight="1" x14ac:dyDescent="0.3">
      <c r="A67" s="4" t="s">
        <v>21</v>
      </c>
      <c r="B67" s="4" t="s">
        <v>45</v>
      </c>
      <c r="C67" s="4" t="s">
        <v>40</v>
      </c>
      <c r="D67" s="4" t="s">
        <v>44</v>
      </c>
      <c r="E67" s="4" t="s">
        <v>56</v>
      </c>
      <c r="F67" s="4" t="s">
        <v>25</v>
      </c>
      <c r="G67" s="4" t="s">
        <v>25</v>
      </c>
      <c r="H67" s="4" t="s">
        <v>34</v>
      </c>
      <c r="I67" s="5">
        <v>44593</v>
      </c>
      <c r="J67" s="6">
        <v>0</v>
      </c>
      <c r="K67" s="52">
        <v>0</v>
      </c>
      <c r="L67" s="6">
        <v>5.6000000000000001E-2</v>
      </c>
      <c r="M67" s="52">
        <v>5.6000000000000001E-2</v>
      </c>
      <c r="N67" s="6">
        <v>5.6000000000000001E-2</v>
      </c>
      <c r="O67" s="52">
        <v>5.6000000000000001E-2</v>
      </c>
      <c r="P67" s="6">
        <v>0</v>
      </c>
      <c r="Q67" s="4" t="s">
        <v>26</v>
      </c>
      <c r="R67" s="4">
        <v>0</v>
      </c>
      <c r="S67" s="6">
        <v>0</v>
      </c>
      <c r="T67" s="6">
        <v>14</v>
      </c>
      <c r="U67" s="6">
        <v>62</v>
      </c>
      <c r="V67" s="52">
        <f>IF(ISERROR(VLOOKUP($S$67,'TAR FIN'!$A$1:$O$103,15,0)),0,VLOOKUP($S$67,'TAR FIN'!$A$1:$O$103,15,0))</f>
        <v>0</v>
      </c>
      <c r="W67" s="52">
        <f>IF(ISERROR(VLOOKUP($T$67,'TAR FIN'!$A$1:$O$103,15,0)),0,VLOOKUP($T$67,'TAR FIN'!$A$1:$O$103,15,0))*(1-0.04)</f>
        <v>1147.9871999999998</v>
      </c>
      <c r="X67" s="52">
        <f>IF(ISERROR(VLOOKUP($U$67,'TAR FIN'!$A$1:$O$103,15,0)),0,VLOOKUP($U$67,'TAR FIN'!$A$1:$O$103,15,0))*(1-0.04)</f>
        <v>375.8784</v>
      </c>
      <c r="Y67" s="52"/>
      <c r="Z67" s="52">
        <f ca="1">('TUSD BE'!$AM$11+'TUSD BF_350'!$AM$11+'TUSD CVA'!$AM$11)*1*(1-0.02)</f>
        <v>1357.7878188473314</v>
      </c>
      <c r="AA67" s="52">
        <f ca="1">('TE BE'!$AB$5+'TE BF_350'!$AB$5+'TE CVA'!$AB$5)*1*(1-0.02)</f>
        <v>354.71359410136364</v>
      </c>
      <c r="AB67" s="6">
        <f>$K$67*$V$67</f>
        <v>0</v>
      </c>
      <c r="AC67" s="6">
        <f>$M$67*$W$67</f>
        <v>64.28728319999999</v>
      </c>
      <c r="AD67" s="6">
        <f>$O$67*$X$67</f>
        <v>21.049190400000001</v>
      </c>
      <c r="AE67" s="6">
        <f>$K$67*$Y$67</f>
        <v>0</v>
      </c>
      <c r="AF67" s="6">
        <f ca="1">$M$67*$Z$67</f>
        <v>76.036117855450556</v>
      </c>
      <c r="AG67" s="6">
        <f ca="1">$O$67*$AA$67</f>
        <v>19.863961269676363</v>
      </c>
    </row>
    <row r="68" spans="1:33" ht="11.25" customHeight="1" x14ac:dyDescent="0.3">
      <c r="A68" s="4" t="s">
        <v>21</v>
      </c>
      <c r="B68" s="4" t="s">
        <v>45</v>
      </c>
      <c r="C68" s="4" t="s">
        <v>40</v>
      </c>
      <c r="D68" s="4" t="s">
        <v>44</v>
      </c>
      <c r="E68" s="4" t="s">
        <v>56</v>
      </c>
      <c r="F68" s="4" t="s">
        <v>25</v>
      </c>
      <c r="G68" s="4" t="s">
        <v>25</v>
      </c>
      <c r="H68" s="4" t="s">
        <v>34</v>
      </c>
      <c r="I68" s="5">
        <v>44621</v>
      </c>
      <c r="J68" s="6">
        <v>0</v>
      </c>
      <c r="K68" s="52">
        <v>0</v>
      </c>
      <c r="L68" s="6">
        <v>6.8000000000000005E-2</v>
      </c>
      <c r="M68" s="52">
        <v>6.8000000000000005E-2</v>
      </c>
      <c r="N68" s="6">
        <v>6.8000000000000005E-2</v>
      </c>
      <c r="O68" s="52">
        <v>6.8000000000000005E-2</v>
      </c>
      <c r="P68" s="6">
        <v>0</v>
      </c>
      <c r="Q68" s="4" t="s">
        <v>26</v>
      </c>
      <c r="R68" s="4">
        <v>0</v>
      </c>
      <c r="S68" s="6">
        <v>0</v>
      </c>
      <c r="T68" s="6">
        <v>14</v>
      </c>
      <c r="U68" s="6">
        <v>62</v>
      </c>
      <c r="V68" s="52">
        <f>IF(ISERROR(VLOOKUP($S$68,'TAR FIN'!$A$1:$O$103,15,0)),0,VLOOKUP($S$68,'TAR FIN'!$A$1:$O$103,15,0))</f>
        <v>0</v>
      </c>
      <c r="W68" s="52">
        <f>IF(ISERROR(VLOOKUP($T$68,'TAR FIN'!$A$1:$O$103,15,0)),0,VLOOKUP($T$68,'TAR FIN'!$A$1:$O$103,15,0))*(1-0.04)</f>
        <v>1147.9871999999998</v>
      </c>
      <c r="X68" s="52">
        <f>IF(ISERROR(VLOOKUP($U$68,'TAR FIN'!$A$1:$O$103,15,0)),0,VLOOKUP($U$68,'TAR FIN'!$A$1:$O$103,15,0))*(1-0.04)</f>
        <v>375.8784</v>
      </c>
      <c r="Y68" s="52"/>
      <c r="Z68" s="52">
        <f ca="1">('TUSD BE'!$AM$11+'TUSD BF_350'!$AM$11+'TUSD CVA'!$AM$11)*1*(1-0.02)</f>
        <v>1357.7878188473314</v>
      </c>
      <c r="AA68" s="52">
        <f ca="1">('TE BE'!$AB$5+'TE BF_350'!$AB$5+'TE CVA'!$AB$5)*1*(1-0.02)</f>
        <v>354.71359410136364</v>
      </c>
      <c r="AB68" s="6">
        <f>$K$68*$V$68</f>
        <v>0</v>
      </c>
      <c r="AC68" s="6">
        <f>$M$68*$W$68</f>
        <v>78.063129599999996</v>
      </c>
      <c r="AD68" s="6">
        <f>$O$68*$X$68</f>
        <v>25.559731200000002</v>
      </c>
      <c r="AE68" s="6">
        <f>$K$68*$Y$68</f>
        <v>0</v>
      </c>
      <c r="AF68" s="6">
        <f ca="1">$M$68*$Z$68</f>
        <v>92.329571681618546</v>
      </c>
      <c r="AG68" s="6">
        <f ca="1">$O$68*$AA$68</f>
        <v>24.12052439889273</v>
      </c>
    </row>
    <row r="69" spans="1:33" ht="11.25" customHeight="1" x14ac:dyDescent="0.3">
      <c r="A69" s="4" t="s">
        <v>21</v>
      </c>
      <c r="B69" s="4" t="s">
        <v>45</v>
      </c>
      <c r="C69" s="4" t="s">
        <v>40</v>
      </c>
      <c r="D69" s="4" t="s">
        <v>44</v>
      </c>
      <c r="E69" s="4" t="s">
        <v>56</v>
      </c>
      <c r="F69" s="4" t="s">
        <v>25</v>
      </c>
      <c r="G69" s="4" t="s">
        <v>25</v>
      </c>
      <c r="H69" s="4" t="s">
        <v>34</v>
      </c>
      <c r="I69" s="5">
        <v>44652</v>
      </c>
      <c r="J69" s="6">
        <v>0</v>
      </c>
      <c r="K69" s="52">
        <v>0</v>
      </c>
      <c r="L69" s="6">
        <v>7.2999999999999995E-2</v>
      </c>
      <c r="M69" s="52">
        <v>7.2999999999999995E-2</v>
      </c>
      <c r="N69" s="6">
        <v>7.2999999999999995E-2</v>
      </c>
      <c r="O69" s="52">
        <v>7.2999999999999995E-2</v>
      </c>
      <c r="P69" s="6">
        <v>0</v>
      </c>
      <c r="Q69" s="4" t="s">
        <v>26</v>
      </c>
      <c r="R69" s="4">
        <v>0</v>
      </c>
      <c r="S69" s="6">
        <v>0</v>
      </c>
      <c r="T69" s="6">
        <v>14</v>
      </c>
      <c r="U69" s="6">
        <v>62</v>
      </c>
      <c r="V69" s="52">
        <f>IF(ISERROR(VLOOKUP($S$69,'TAR FIN'!$A$1:$O$103,15,0)),0,VLOOKUP($S$69,'TAR FIN'!$A$1:$O$103,15,0))</f>
        <v>0</v>
      </c>
      <c r="W69" s="52">
        <f>IF(ISERROR(VLOOKUP($T$69,'TAR FIN'!$A$1:$O$103,15,0)),0,VLOOKUP($T$69,'TAR FIN'!$A$1:$O$103,15,0))*(1-0.04)</f>
        <v>1147.9871999999998</v>
      </c>
      <c r="X69" s="52">
        <f>IF(ISERROR(VLOOKUP($U$69,'TAR FIN'!$A$1:$O$103,15,0)),0,VLOOKUP($U$69,'TAR FIN'!$A$1:$O$103,15,0))*(1-0.04)</f>
        <v>375.8784</v>
      </c>
      <c r="Y69" s="52"/>
      <c r="Z69" s="52">
        <f ca="1">('TUSD BE'!$AM$11+'TUSD BF_350'!$AM$11+'TUSD CVA'!$AM$11)*1*(1-0.02)</f>
        <v>1357.7878188473314</v>
      </c>
      <c r="AA69" s="52">
        <f ca="1">('TE BE'!$AB$5+'TE BF_350'!$AB$5+'TE CVA'!$AB$5)*1*(1-0.02)</f>
        <v>354.71359410136364</v>
      </c>
      <c r="AB69" s="6">
        <f>$K$69*$V$69</f>
        <v>0</v>
      </c>
      <c r="AC69" s="6">
        <f>$M$69*$W$69</f>
        <v>83.803065599999982</v>
      </c>
      <c r="AD69" s="6">
        <f>$O$69*$X$69</f>
        <v>27.439123199999997</v>
      </c>
      <c r="AE69" s="6">
        <f>$K$69*$Y$69</f>
        <v>0</v>
      </c>
      <c r="AF69" s="6">
        <f ca="1">$M$69*$Z$69</f>
        <v>99.118510775855185</v>
      </c>
      <c r="AG69" s="6">
        <f ca="1">$O$69*$AA$69</f>
        <v>25.894092369399544</v>
      </c>
    </row>
    <row r="70" spans="1:33" ht="11.25" customHeight="1" x14ac:dyDescent="0.3">
      <c r="A70" s="4" t="s">
        <v>21</v>
      </c>
      <c r="B70" s="4" t="s">
        <v>45</v>
      </c>
      <c r="C70" s="4" t="s">
        <v>40</v>
      </c>
      <c r="D70" s="4" t="s">
        <v>44</v>
      </c>
      <c r="E70" s="4" t="s">
        <v>56</v>
      </c>
      <c r="F70" s="4" t="s">
        <v>25</v>
      </c>
      <c r="G70" s="4" t="s">
        <v>25</v>
      </c>
      <c r="H70" s="4" t="s">
        <v>34</v>
      </c>
      <c r="I70" s="5">
        <v>44682</v>
      </c>
      <c r="J70" s="6">
        <v>0</v>
      </c>
      <c r="K70" s="52">
        <v>0</v>
      </c>
      <c r="L70" s="6">
        <v>0.1</v>
      </c>
      <c r="M70" s="52">
        <v>0.1</v>
      </c>
      <c r="N70" s="6">
        <v>0.1</v>
      </c>
      <c r="O70" s="52">
        <v>0.1</v>
      </c>
      <c r="P70" s="6">
        <v>0</v>
      </c>
      <c r="Q70" s="4" t="s">
        <v>26</v>
      </c>
      <c r="R70" s="4">
        <v>0</v>
      </c>
      <c r="S70" s="6">
        <v>0</v>
      </c>
      <c r="T70" s="6">
        <v>14</v>
      </c>
      <c r="U70" s="6">
        <v>62</v>
      </c>
      <c r="V70" s="52">
        <f>IF(ISERROR(VLOOKUP($S$70,'TAR FIN'!$A$1:$O$103,15,0)),0,VLOOKUP($S$70,'TAR FIN'!$A$1:$O$103,15,0))</f>
        <v>0</v>
      </c>
      <c r="W70" s="52">
        <f>IF(ISERROR(VLOOKUP($T$70,'TAR FIN'!$A$1:$O$103,15,0)),0,VLOOKUP($T$70,'TAR FIN'!$A$1:$O$103,15,0))*(1-0.04)</f>
        <v>1147.9871999999998</v>
      </c>
      <c r="X70" s="52">
        <f>IF(ISERROR(VLOOKUP($U$70,'TAR FIN'!$A$1:$O$103,15,0)),0,VLOOKUP($U$70,'TAR FIN'!$A$1:$O$103,15,0))*(1-0.04)</f>
        <v>375.8784</v>
      </c>
      <c r="Y70" s="52"/>
      <c r="Z70" s="52">
        <f ca="1">('TUSD BE'!$AM$11+'TUSD BF_350'!$AM$11+'TUSD CVA'!$AM$11)*1*(1-0.02)</f>
        <v>1357.7878188473314</v>
      </c>
      <c r="AA70" s="52">
        <f ca="1">('TE BE'!$AB$5+'TE BF_350'!$AB$5+'TE CVA'!$AB$5)*1*(1-0.02)</f>
        <v>354.71359410136364</v>
      </c>
      <c r="AB70" s="6">
        <f>$K$70*$V$70</f>
        <v>0</v>
      </c>
      <c r="AC70" s="6">
        <f>$M$70*$W$70</f>
        <v>114.79871999999999</v>
      </c>
      <c r="AD70" s="6">
        <f>$O$70*$X$70</f>
        <v>37.58784</v>
      </c>
      <c r="AE70" s="6">
        <f>$K$70*$Y$70</f>
        <v>0</v>
      </c>
      <c r="AF70" s="6">
        <f ca="1">$M$70*$Z$70</f>
        <v>135.77878188473315</v>
      </c>
      <c r="AG70" s="6">
        <f ca="1">$O$70*$AA$70</f>
        <v>35.471359410136365</v>
      </c>
    </row>
    <row r="71" spans="1:33" ht="11.25" customHeight="1" x14ac:dyDescent="0.3">
      <c r="A71" s="4" t="s">
        <v>21</v>
      </c>
      <c r="B71" s="4" t="s">
        <v>45</v>
      </c>
      <c r="C71" s="4" t="s">
        <v>40</v>
      </c>
      <c r="D71" s="4" t="s">
        <v>44</v>
      </c>
      <c r="E71" s="4" t="s">
        <v>56</v>
      </c>
      <c r="F71" s="4" t="s">
        <v>25</v>
      </c>
      <c r="G71" s="4" t="s">
        <v>25</v>
      </c>
      <c r="H71" s="4" t="s">
        <v>34</v>
      </c>
      <c r="I71" s="5">
        <v>44713</v>
      </c>
      <c r="J71" s="6">
        <v>0</v>
      </c>
      <c r="K71" s="52">
        <v>0</v>
      </c>
      <c r="L71" s="6">
        <v>9.7000000000000003E-2</v>
      </c>
      <c r="M71" s="52">
        <v>9.7000000000000003E-2</v>
      </c>
      <c r="N71" s="6">
        <v>9.7000000000000003E-2</v>
      </c>
      <c r="O71" s="52">
        <v>9.7000000000000003E-2</v>
      </c>
      <c r="P71" s="6">
        <v>0</v>
      </c>
      <c r="Q71" s="4" t="s">
        <v>26</v>
      </c>
      <c r="R71" s="4">
        <v>0</v>
      </c>
      <c r="S71" s="6">
        <v>0</v>
      </c>
      <c r="T71" s="6">
        <v>14</v>
      </c>
      <c r="U71" s="6">
        <v>62</v>
      </c>
      <c r="V71" s="52">
        <f>IF(ISERROR(VLOOKUP($S$71,'TAR FIN'!$A$1:$O$103,15,0)),0,VLOOKUP($S$71,'TAR FIN'!$A$1:$O$103,15,0))</f>
        <v>0</v>
      </c>
      <c r="W71" s="52">
        <f>IF(ISERROR(VLOOKUP($T$71,'TAR FIN'!$A$1:$O$103,15,0)),0,VLOOKUP($T$71,'TAR FIN'!$A$1:$O$103,15,0))*(1-0.04)</f>
        <v>1147.9871999999998</v>
      </c>
      <c r="X71" s="52">
        <f>IF(ISERROR(VLOOKUP($U$71,'TAR FIN'!$A$1:$O$103,15,0)),0,VLOOKUP($U$71,'TAR FIN'!$A$1:$O$103,15,0))*(1-0.04)</f>
        <v>375.8784</v>
      </c>
      <c r="Y71" s="52"/>
      <c r="Z71" s="52">
        <f ca="1">('TUSD BE'!$AM$11+'TUSD BF_350'!$AM$11+'TUSD CVA'!$AM$11)*1*(1-0.02)</f>
        <v>1357.7878188473314</v>
      </c>
      <c r="AA71" s="52">
        <f ca="1">('TE BE'!$AB$5+'TE BF_350'!$AB$5+'TE CVA'!$AB$5)*1*(1-0.02)</f>
        <v>354.71359410136364</v>
      </c>
      <c r="AB71" s="6">
        <f>$K$71*$V$71</f>
        <v>0</v>
      </c>
      <c r="AC71" s="6">
        <f>$M$71*$W$71</f>
        <v>111.35475839999998</v>
      </c>
      <c r="AD71" s="6">
        <f>$O$71*$X$71</f>
        <v>36.4602048</v>
      </c>
      <c r="AE71" s="6">
        <f>$K$71*$Y$71</f>
        <v>0</v>
      </c>
      <c r="AF71" s="6">
        <f ca="1">$M$71*$Z$71</f>
        <v>131.70541842819117</v>
      </c>
      <c r="AG71" s="6">
        <f ca="1">$O$71*$AA$71</f>
        <v>34.407218627832272</v>
      </c>
    </row>
    <row r="72" spans="1:33" ht="11.25" customHeight="1" x14ac:dyDescent="0.3">
      <c r="A72" s="4" t="s">
        <v>21</v>
      </c>
      <c r="B72" s="4" t="s">
        <v>45</v>
      </c>
      <c r="C72" s="4" t="s">
        <v>40</v>
      </c>
      <c r="D72" s="4" t="s">
        <v>44</v>
      </c>
      <c r="E72" s="4" t="s">
        <v>56</v>
      </c>
      <c r="F72" s="4" t="s">
        <v>25</v>
      </c>
      <c r="G72" s="4" t="s">
        <v>25</v>
      </c>
      <c r="H72" s="4" t="s">
        <v>34</v>
      </c>
      <c r="I72" s="5">
        <v>44743</v>
      </c>
      <c r="J72" s="6">
        <v>0</v>
      </c>
      <c r="K72" s="52">
        <v>0</v>
      </c>
      <c r="L72" s="6">
        <v>0.10199999999999999</v>
      </c>
      <c r="M72" s="52">
        <v>0.10199999999999999</v>
      </c>
      <c r="N72" s="6">
        <v>0.10199999999999999</v>
      </c>
      <c r="O72" s="52">
        <v>0.10199999999999999</v>
      </c>
      <c r="P72" s="6">
        <v>0</v>
      </c>
      <c r="Q72" s="4" t="s">
        <v>26</v>
      </c>
      <c r="R72" s="4">
        <v>0</v>
      </c>
      <c r="S72" s="6">
        <v>0</v>
      </c>
      <c r="T72" s="6">
        <v>14</v>
      </c>
      <c r="U72" s="6">
        <v>62</v>
      </c>
      <c r="V72" s="52">
        <f>IF(ISERROR(VLOOKUP($S$72,'TAR FIN'!$A$1:$O$103,15,0)),0,VLOOKUP($S$72,'TAR FIN'!$A$1:$O$103,15,0))</f>
        <v>0</v>
      </c>
      <c r="W72" s="52">
        <f>IF(ISERROR(VLOOKUP($T$72,'TAR FIN'!$A$1:$O$103,15,0)),0,VLOOKUP($T$72,'TAR FIN'!$A$1:$O$103,15,0))*(1-0.04)</f>
        <v>1147.9871999999998</v>
      </c>
      <c r="X72" s="52">
        <f>IF(ISERROR(VLOOKUP($U$72,'TAR FIN'!$A$1:$O$103,15,0)),0,VLOOKUP($U$72,'TAR FIN'!$A$1:$O$103,15,0))*(1-0.04)</f>
        <v>375.8784</v>
      </c>
      <c r="Y72" s="52"/>
      <c r="Z72" s="52">
        <f ca="1">('TUSD BE'!$AM$11+'TUSD BF_350'!$AM$11+'TUSD CVA'!$AM$11)*1*(1-0.02)</f>
        <v>1357.7878188473314</v>
      </c>
      <c r="AA72" s="52">
        <f ca="1">('TE BE'!$AB$5+'TE BF_350'!$AB$5+'TE CVA'!$AB$5)*1*(1-0.02)</f>
        <v>354.71359410136364</v>
      </c>
      <c r="AB72" s="6">
        <f>$K$72*$V$72</f>
        <v>0</v>
      </c>
      <c r="AC72" s="6">
        <f>$M$72*$W$72</f>
        <v>117.09469439999997</v>
      </c>
      <c r="AD72" s="6">
        <f>$O$72*$X$72</f>
        <v>38.339596799999995</v>
      </c>
      <c r="AE72" s="6">
        <f>$K$72*$Y$72</f>
        <v>0</v>
      </c>
      <c r="AF72" s="6">
        <f ca="1">$M$72*$Z$72</f>
        <v>138.4943575224278</v>
      </c>
      <c r="AG72" s="6">
        <f ca="1">$O$72*$AA$72</f>
        <v>36.18078659833909</v>
      </c>
    </row>
    <row r="73" spans="1:33" ht="11.25" customHeight="1" x14ac:dyDescent="0.3">
      <c r="A73" s="4" t="s">
        <v>21</v>
      </c>
      <c r="B73" s="4" t="s">
        <v>45</v>
      </c>
      <c r="C73" s="4" t="s">
        <v>40</v>
      </c>
      <c r="D73" s="4" t="s">
        <v>44</v>
      </c>
      <c r="E73" s="4" t="s">
        <v>56</v>
      </c>
      <c r="F73" s="4" t="s">
        <v>25</v>
      </c>
      <c r="G73" s="4" t="s">
        <v>25</v>
      </c>
      <c r="H73" s="4" t="s">
        <v>34</v>
      </c>
      <c r="I73" s="5">
        <v>44774</v>
      </c>
      <c r="J73" s="6">
        <v>0</v>
      </c>
      <c r="K73" s="52">
        <v>0</v>
      </c>
      <c r="L73" s="6">
        <v>0.129</v>
      </c>
      <c r="M73" s="52">
        <v>0.129</v>
      </c>
      <c r="N73" s="6">
        <v>0.129</v>
      </c>
      <c r="O73" s="52">
        <v>0.129</v>
      </c>
      <c r="P73" s="6">
        <v>0</v>
      </c>
      <c r="Q73" s="4" t="s">
        <v>26</v>
      </c>
      <c r="R73" s="4">
        <v>0</v>
      </c>
      <c r="S73" s="6">
        <v>0</v>
      </c>
      <c r="T73" s="6">
        <v>14</v>
      </c>
      <c r="U73" s="6">
        <v>62</v>
      </c>
      <c r="V73" s="52">
        <f>IF(ISERROR(VLOOKUP($S$73,'TAR FIN'!$A$1:$O$103,15,0)),0,VLOOKUP($S$73,'TAR FIN'!$A$1:$O$103,15,0))</f>
        <v>0</v>
      </c>
      <c r="W73" s="52">
        <f>IF(ISERROR(VLOOKUP($T$73,'TAR FIN'!$A$1:$O$103,15,0)),0,VLOOKUP($T$73,'TAR FIN'!$A$1:$O$103,15,0))*(1-0.04)</f>
        <v>1147.9871999999998</v>
      </c>
      <c r="X73" s="52">
        <f>IF(ISERROR(VLOOKUP($U$73,'TAR FIN'!$A$1:$O$103,15,0)),0,VLOOKUP($U$73,'TAR FIN'!$A$1:$O$103,15,0))*(1-0.04)</f>
        <v>375.8784</v>
      </c>
      <c r="Y73" s="52"/>
      <c r="Z73" s="52">
        <f ca="1">('TUSD BE'!$AM$11+'TUSD BF_350'!$AM$11+'TUSD CVA'!$AM$11)*1*(1-0.02)</f>
        <v>1357.7878188473314</v>
      </c>
      <c r="AA73" s="52">
        <f ca="1">('TE BE'!$AB$5+'TE BF_350'!$AB$5+'TE CVA'!$AB$5)*1*(1-0.02)</f>
        <v>354.71359410136364</v>
      </c>
      <c r="AB73" s="6">
        <f>$K$73*$V$73</f>
        <v>0</v>
      </c>
      <c r="AC73" s="6">
        <f>$M$73*$W$73</f>
        <v>148.09034879999999</v>
      </c>
      <c r="AD73" s="6">
        <f>$O$73*$X$73</f>
        <v>48.488313599999998</v>
      </c>
      <c r="AE73" s="6">
        <f>$K$73*$Y$73</f>
        <v>0</v>
      </c>
      <c r="AF73" s="6">
        <f ca="1">$M$73*$Z$73</f>
        <v>175.15462863130577</v>
      </c>
      <c r="AG73" s="6">
        <f ca="1">$O$73*$AA$73</f>
        <v>45.758053639075911</v>
      </c>
    </row>
    <row r="74" spans="1:33" ht="11.25" customHeight="1" x14ac:dyDescent="0.3">
      <c r="A74" s="4" t="s">
        <v>21</v>
      </c>
      <c r="B74" s="4" t="s">
        <v>45</v>
      </c>
      <c r="C74" s="4" t="s">
        <v>40</v>
      </c>
      <c r="D74" s="4" t="s">
        <v>44</v>
      </c>
      <c r="E74" s="4" t="s">
        <v>56</v>
      </c>
      <c r="F74" s="4" t="s">
        <v>25</v>
      </c>
      <c r="G74" s="4" t="s">
        <v>25</v>
      </c>
      <c r="H74" s="4" t="s">
        <v>34</v>
      </c>
      <c r="I74" s="5">
        <v>44805</v>
      </c>
      <c r="J74" s="6">
        <v>0</v>
      </c>
      <c r="K74" s="52">
        <v>0</v>
      </c>
      <c r="L74" s="6">
        <v>0.54700000000000004</v>
      </c>
      <c r="M74" s="52">
        <v>0.54700000000000004</v>
      </c>
      <c r="N74" s="6">
        <v>0.54700000000000004</v>
      </c>
      <c r="O74" s="52">
        <v>0.54700000000000004</v>
      </c>
      <c r="P74" s="6">
        <v>0</v>
      </c>
      <c r="Q74" s="4" t="s">
        <v>26</v>
      </c>
      <c r="R74" s="4">
        <v>0</v>
      </c>
      <c r="S74" s="6">
        <v>0</v>
      </c>
      <c r="T74" s="6">
        <v>14</v>
      </c>
      <c r="U74" s="6">
        <v>62</v>
      </c>
      <c r="V74" s="52">
        <f>IF(ISERROR(VLOOKUP($S$74,'TAR FIN'!$A$1:$O$103,15,0)),0,VLOOKUP($S$74,'TAR FIN'!$A$1:$O$103,15,0))</f>
        <v>0</v>
      </c>
      <c r="W74" s="52">
        <f>IF(ISERROR(VLOOKUP($T$74,'TAR FIN'!$A$1:$O$103,15,0)),0,VLOOKUP($T$74,'TAR FIN'!$A$1:$O$103,15,0))*(1-0.04)</f>
        <v>1147.9871999999998</v>
      </c>
      <c r="X74" s="52">
        <f>IF(ISERROR(VLOOKUP($U$74,'TAR FIN'!$A$1:$O$103,15,0)),0,VLOOKUP($U$74,'TAR FIN'!$A$1:$O$103,15,0))*(1-0.04)</f>
        <v>375.8784</v>
      </c>
      <c r="Y74" s="52"/>
      <c r="Z74" s="52">
        <f ca="1">('TUSD BE'!$AM$11+'TUSD BF_350'!$AM$11+'TUSD CVA'!$AM$11)*1*(1-0.02)</f>
        <v>1357.7878188473314</v>
      </c>
      <c r="AA74" s="52">
        <f ca="1">('TE BE'!$AB$5+'TE BF_350'!$AB$5+'TE CVA'!$AB$5)*1*(1-0.02)</f>
        <v>354.71359410136364</v>
      </c>
      <c r="AB74" s="6">
        <f>$K$74*$V$74</f>
        <v>0</v>
      </c>
      <c r="AC74" s="6">
        <f>$M$74*$W$74</f>
        <v>627.94899839999994</v>
      </c>
      <c r="AD74" s="6">
        <f>$O$74*$X$74</f>
        <v>205.60548480000003</v>
      </c>
      <c r="AE74" s="6">
        <f>$K$74*$Y$74</f>
        <v>0</v>
      </c>
      <c r="AF74" s="6">
        <f ca="1">$M$74*$Z$74</f>
        <v>742.70993690949035</v>
      </c>
      <c r="AG74" s="6">
        <f ca="1">$O$74*$AA$74</f>
        <v>194.02833597344593</v>
      </c>
    </row>
    <row r="75" spans="1:33" ht="11.25" customHeight="1" x14ac:dyDescent="0.3">
      <c r="A75" s="4" t="s">
        <v>57</v>
      </c>
      <c r="B75" s="4" t="s">
        <v>45</v>
      </c>
      <c r="C75" s="4" t="s">
        <v>40</v>
      </c>
      <c r="D75" s="4" t="s">
        <v>44</v>
      </c>
      <c r="E75" s="4" t="s">
        <v>56</v>
      </c>
      <c r="F75" s="4" t="s">
        <v>25</v>
      </c>
      <c r="G75" s="4" t="s">
        <v>25</v>
      </c>
      <c r="H75" s="4" t="s">
        <v>34</v>
      </c>
      <c r="I75" s="5">
        <v>44835</v>
      </c>
      <c r="J75" s="6">
        <v>0</v>
      </c>
      <c r="K75" s="52">
        <v>0</v>
      </c>
      <c r="L75" s="6">
        <v>0.54700000000000004</v>
      </c>
      <c r="M75" s="52">
        <v>0.54700000000000004</v>
      </c>
      <c r="N75" s="6">
        <v>0.54700000000000004</v>
      </c>
      <c r="O75" s="52">
        <v>0.54700000000000004</v>
      </c>
      <c r="P75" s="6">
        <v>0</v>
      </c>
      <c r="Q75" s="4" t="s">
        <v>26</v>
      </c>
      <c r="R75" s="4">
        <v>0</v>
      </c>
      <c r="S75" s="6">
        <v>0</v>
      </c>
      <c r="T75" s="6">
        <v>14</v>
      </c>
      <c r="U75" s="6">
        <v>62</v>
      </c>
      <c r="V75" s="52">
        <f>IF(ISERROR(VLOOKUP($S$75,'TAR FIN'!$A$1:$O$103,15,0)),0,VLOOKUP($S$75,'TAR FIN'!$A$1:$O$103,15,0))</f>
        <v>0</v>
      </c>
      <c r="W75" s="52">
        <f>IF(ISERROR(VLOOKUP($T$75,'TAR FIN'!$A$1:$O$103,15,0)),0,VLOOKUP($T$75,'TAR FIN'!$A$1:$O$103,15,0))*(1-0.04)</f>
        <v>1147.9871999999998</v>
      </c>
      <c r="X75" s="52">
        <f>IF(ISERROR(VLOOKUP($U$75,'TAR FIN'!$A$1:$O$103,15,0)),0,VLOOKUP($U$75,'TAR FIN'!$A$1:$O$103,15,0))*(1-0.04)</f>
        <v>375.8784</v>
      </c>
      <c r="Y75" s="52"/>
      <c r="Z75" s="52">
        <f ca="1">('TUSD BE'!$AM$11+'TUSD BF_350'!$AM$11+'TUSD CVA'!$AM$11)*1*(1-0.02)</f>
        <v>1357.7878188473314</v>
      </c>
      <c r="AA75" s="52">
        <f ca="1">('TE BE'!$AB$5+'TE BF_350'!$AB$5+'TE CVA'!$AB$5)*1*(1-0.02)</f>
        <v>354.71359410136364</v>
      </c>
      <c r="AB75" s="6">
        <f>$K$75*$V$75</f>
        <v>0</v>
      </c>
      <c r="AC75" s="6">
        <f>$M$75*$W$75</f>
        <v>627.94899839999994</v>
      </c>
      <c r="AD75" s="6">
        <f>$O$75*$X$75</f>
        <v>205.60548480000003</v>
      </c>
      <c r="AE75" s="6">
        <f>$K$75*$Y$75</f>
        <v>0</v>
      </c>
      <c r="AF75" s="6">
        <f ca="1">$M$75*$Z$75</f>
        <v>742.70993690949035</v>
      </c>
      <c r="AG75" s="6">
        <f ca="1">$O$75*$AA$75</f>
        <v>194.02833597344593</v>
      </c>
    </row>
    <row r="76" spans="1:33" ht="11.25" customHeight="1" x14ac:dyDescent="0.3">
      <c r="A76" s="4" t="s">
        <v>28</v>
      </c>
      <c r="B76" s="4" t="s">
        <v>45</v>
      </c>
      <c r="C76" s="4" t="s">
        <v>40</v>
      </c>
      <c r="D76" s="4" t="s">
        <v>44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44501</v>
      </c>
      <c r="J76" s="6">
        <v>37</v>
      </c>
      <c r="K76" s="52">
        <v>37</v>
      </c>
      <c r="L76" s="6">
        <v>0</v>
      </c>
      <c r="M76" s="52">
        <v>0</v>
      </c>
      <c r="N76" s="6">
        <v>0</v>
      </c>
      <c r="O76" s="52">
        <v>0</v>
      </c>
      <c r="P76" s="6">
        <v>1</v>
      </c>
      <c r="Q76" s="4" t="s">
        <v>26</v>
      </c>
      <c r="R76" s="4">
        <v>0</v>
      </c>
      <c r="S76" s="6">
        <v>11</v>
      </c>
      <c r="T76" s="6">
        <v>0</v>
      </c>
      <c r="U76" s="6">
        <v>0</v>
      </c>
      <c r="V76" s="52">
        <f>IF(ISERROR(VLOOKUP($S$76,'TAR FIN'!$A$1:$O$103,15,0)),0,VLOOKUP($S$76,'TAR FIN'!$A$1:$O$103,15,0))*(1-0.04)</f>
        <v>18.1632</v>
      </c>
      <c r="W76" s="52">
        <f>IF(ISERROR(VLOOKUP($T$76,'TAR FIN'!$A$1:$O$103,15,0)),0,VLOOKUP($T$76,'TAR FIN'!$A$1:$O$103,15,0))</f>
        <v>0</v>
      </c>
      <c r="X76" s="52">
        <f>IF(ISERROR(VLOOKUP($U$76,'TAR FIN'!$A$1:$O$103,15,0)),0,VLOOKUP($U$76,'TAR FIN'!$A$1:$O$103,15,0))</f>
        <v>0</v>
      </c>
      <c r="Y76" s="52">
        <f ca="1">('TUSD BE'!$AM$10+'TUSD BF_350'!$AM$10+'TUSD CVA'!$AM$10)*1*(1-0.02)</f>
        <v>20.941951853111981</v>
      </c>
      <c r="Z76" s="52"/>
      <c r="AA76" s="52"/>
      <c r="AB76" s="6">
        <f>$K$76*$V$76</f>
        <v>672.03840000000002</v>
      </c>
      <c r="AC76" s="6">
        <f>$M$76*$W$76</f>
        <v>0</v>
      </c>
      <c r="AD76" s="6">
        <f>$O$76*$X$76</f>
        <v>0</v>
      </c>
      <c r="AE76" s="6">
        <f ca="1">$K$76*$Y$76</f>
        <v>774.85221856514329</v>
      </c>
      <c r="AF76" s="6">
        <f>$M$76*$Z$76</f>
        <v>0</v>
      </c>
      <c r="AG76" s="6">
        <f>$O$76*$AA$76</f>
        <v>0</v>
      </c>
    </row>
    <row r="77" spans="1:33" ht="11.25" customHeight="1" x14ac:dyDescent="0.3">
      <c r="A77" s="4" t="s">
        <v>28</v>
      </c>
      <c r="B77" s="4" t="s">
        <v>45</v>
      </c>
      <c r="C77" s="4" t="s">
        <v>40</v>
      </c>
      <c r="D77" s="4" t="s">
        <v>44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44531</v>
      </c>
      <c r="J77" s="6">
        <v>27</v>
      </c>
      <c r="K77" s="52">
        <v>27</v>
      </c>
      <c r="L77" s="6">
        <v>0</v>
      </c>
      <c r="M77" s="52">
        <v>0</v>
      </c>
      <c r="N77" s="6">
        <v>0</v>
      </c>
      <c r="O77" s="52">
        <v>0</v>
      </c>
      <c r="P77" s="6">
        <v>1</v>
      </c>
      <c r="Q77" s="4" t="s">
        <v>26</v>
      </c>
      <c r="R77" s="4">
        <v>0</v>
      </c>
      <c r="S77" s="6">
        <v>11</v>
      </c>
      <c r="T77" s="6">
        <v>0</v>
      </c>
      <c r="U77" s="6">
        <v>0</v>
      </c>
      <c r="V77" s="52">
        <f>IF(ISERROR(VLOOKUP($S$77,'TAR FIN'!$A$1:$O$103,15,0)),0,VLOOKUP($S$77,'TAR FIN'!$A$1:$O$103,15,0))*(1-0.04)</f>
        <v>18.1632</v>
      </c>
      <c r="W77" s="52">
        <f>IF(ISERROR(VLOOKUP($T$77,'TAR FIN'!$A$1:$O$103,15,0)),0,VLOOKUP($T$77,'TAR FIN'!$A$1:$O$103,15,0))</f>
        <v>0</v>
      </c>
      <c r="X77" s="52">
        <f>IF(ISERROR(VLOOKUP($U$77,'TAR FIN'!$A$1:$O$103,15,0)),0,VLOOKUP($U$77,'TAR FIN'!$A$1:$O$103,15,0))</f>
        <v>0</v>
      </c>
      <c r="Y77" s="52">
        <f ca="1">('TUSD BE'!$AM$10+'TUSD BF_350'!$AM$10+'TUSD CVA'!$AM$10)*1*(1-0.02)</f>
        <v>20.941951853111981</v>
      </c>
      <c r="Z77" s="52"/>
      <c r="AA77" s="52"/>
      <c r="AB77" s="6">
        <f>$K$77*$V$77</f>
        <v>490.40640000000002</v>
      </c>
      <c r="AC77" s="6">
        <f>$M$77*$W$77</f>
        <v>0</v>
      </c>
      <c r="AD77" s="6">
        <f>$O$77*$X$77</f>
        <v>0</v>
      </c>
      <c r="AE77" s="6">
        <f ca="1">$K$77*$Y$77</f>
        <v>565.43270003402347</v>
      </c>
      <c r="AF77" s="6">
        <f>$M$77*$Z$77</f>
        <v>0</v>
      </c>
      <c r="AG77" s="6">
        <f>$O$77*$AA$77</f>
        <v>0</v>
      </c>
    </row>
    <row r="78" spans="1:33" ht="11.25" customHeight="1" x14ac:dyDescent="0.3">
      <c r="A78" s="4" t="s">
        <v>28</v>
      </c>
      <c r="B78" s="4" t="s">
        <v>45</v>
      </c>
      <c r="C78" s="4" t="s">
        <v>40</v>
      </c>
      <c r="D78" s="4" t="s">
        <v>44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44562</v>
      </c>
      <c r="J78" s="6">
        <v>35</v>
      </c>
      <c r="K78" s="52">
        <v>35</v>
      </c>
      <c r="L78" s="6">
        <v>0</v>
      </c>
      <c r="M78" s="52">
        <v>0</v>
      </c>
      <c r="N78" s="6">
        <v>0</v>
      </c>
      <c r="O78" s="52">
        <v>0</v>
      </c>
      <c r="P78" s="6">
        <v>1</v>
      </c>
      <c r="Q78" s="4" t="s">
        <v>26</v>
      </c>
      <c r="R78" s="4">
        <v>0</v>
      </c>
      <c r="S78" s="6">
        <v>11</v>
      </c>
      <c r="T78" s="6">
        <v>0</v>
      </c>
      <c r="U78" s="6">
        <v>0</v>
      </c>
      <c r="V78" s="52">
        <f>IF(ISERROR(VLOOKUP($S$78,'TAR FIN'!$A$1:$O$103,15,0)),0,VLOOKUP($S$78,'TAR FIN'!$A$1:$O$103,15,0))*(1-0.04)</f>
        <v>18.1632</v>
      </c>
      <c r="W78" s="52">
        <f>IF(ISERROR(VLOOKUP($T$78,'TAR FIN'!$A$1:$O$103,15,0)),0,VLOOKUP($T$78,'TAR FIN'!$A$1:$O$103,15,0))</f>
        <v>0</v>
      </c>
      <c r="X78" s="52">
        <f>IF(ISERROR(VLOOKUP($U$78,'TAR FIN'!$A$1:$O$103,15,0)),0,VLOOKUP($U$78,'TAR FIN'!$A$1:$O$103,15,0))</f>
        <v>0</v>
      </c>
      <c r="Y78" s="52">
        <f ca="1">('TUSD BE'!$AM$10+'TUSD BF_350'!$AM$10+'TUSD CVA'!$AM$10)*1*(1-0.02)</f>
        <v>20.941951853111981</v>
      </c>
      <c r="Z78" s="52"/>
      <c r="AA78" s="52"/>
      <c r="AB78" s="6">
        <f>$K$78*$V$78</f>
        <v>635.71199999999999</v>
      </c>
      <c r="AC78" s="6">
        <f>$M$78*$W$78</f>
        <v>0</v>
      </c>
      <c r="AD78" s="6">
        <f>$O$78*$X$78</f>
        <v>0</v>
      </c>
      <c r="AE78" s="6">
        <f ca="1">$K$78*$Y$78</f>
        <v>732.96831485891937</v>
      </c>
      <c r="AF78" s="6">
        <f>$M$78*$Z$78</f>
        <v>0</v>
      </c>
      <c r="AG78" s="6">
        <f>$O$78*$AA$78</f>
        <v>0</v>
      </c>
    </row>
    <row r="79" spans="1:33" ht="11.25" customHeight="1" x14ac:dyDescent="0.3">
      <c r="A79" s="4" t="s">
        <v>28</v>
      </c>
      <c r="B79" s="4" t="s">
        <v>45</v>
      </c>
      <c r="C79" s="4" t="s">
        <v>40</v>
      </c>
      <c r="D79" s="4" t="s">
        <v>44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44593</v>
      </c>
      <c r="J79" s="6">
        <v>195</v>
      </c>
      <c r="K79" s="52">
        <v>195</v>
      </c>
      <c r="L79" s="6">
        <v>0</v>
      </c>
      <c r="M79" s="52">
        <v>0</v>
      </c>
      <c r="N79" s="6">
        <v>0</v>
      </c>
      <c r="O79" s="52">
        <v>0</v>
      </c>
      <c r="P79" s="6">
        <v>1</v>
      </c>
      <c r="Q79" s="4" t="s">
        <v>26</v>
      </c>
      <c r="R79" s="4">
        <v>0</v>
      </c>
      <c r="S79" s="6">
        <v>11</v>
      </c>
      <c r="T79" s="6">
        <v>0</v>
      </c>
      <c r="U79" s="6">
        <v>0</v>
      </c>
      <c r="V79" s="52">
        <f>IF(ISERROR(VLOOKUP($S$79,'TAR FIN'!$A$1:$O$103,15,0)),0,VLOOKUP($S$79,'TAR FIN'!$A$1:$O$103,15,0))*(1-0.04)</f>
        <v>18.1632</v>
      </c>
      <c r="W79" s="52">
        <f>IF(ISERROR(VLOOKUP($T$79,'TAR FIN'!$A$1:$O$103,15,0)),0,VLOOKUP($T$79,'TAR FIN'!$A$1:$O$103,15,0))</f>
        <v>0</v>
      </c>
      <c r="X79" s="52">
        <f>IF(ISERROR(VLOOKUP($U$79,'TAR FIN'!$A$1:$O$103,15,0)),0,VLOOKUP($U$79,'TAR FIN'!$A$1:$O$103,15,0))</f>
        <v>0</v>
      </c>
      <c r="Y79" s="52">
        <f ca="1">('TUSD BE'!$AM$10+'TUSD BF_350'!$AM$10+'TUSD CVA'!$AM$10)*1*(1-0.02)</f>
        <v>20.941951853111981</v>
      </c>
      <c r="Z79" s="52"/>
      <c r="AA79" s="52"/>
      <c r="AB79" s="6">
        <f>$K$79*$V$79</f>
        <v>3541.8240000000001</v>
      </c>
      <c r="AC79" s="6">
        <f>$M$79*$W$79</f>
        <v>0</v>
      </c>
      <c r="AD79" s="6">
        <f>$O$79*$X$79</f>
        <v>0</v>
      </c>
      <c r="AE79" s="6">
        <f ca="1">$K$79*$Y$79</f>
        <v>4083.6806113568364</v>
      </c>
      <c r="AF79" s="6">
        <f>$M$79*$Z$79</f>
        <v>0</v>
      </c>
      <c r="AG79" s="6">
        <f>$O$79*$AA$79</f>
        <v>0</v>
      </c>
    </row>
    <row r="80" spans="1:33" ht="11.25" customHeight="1" x14ac:dyDescent="0.3">
      <c r="A80" s="4" t="s">
        <v>28</v>
      </c>
      <c r="B80" s="4" t="s">
        <v>45</v>
      </c>
      <c r="C80" s="4" t="s">
        <v>40</v>
      </c>
      <c r="D80" s="4" t="s">
        <v>44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44621</v>
      </c>
      <c r="J80" s="6">
        <v>34</v>
      </c>
      <c r="K80" s="52">
        <v>34</v>
      </c>
      <c r="L80" s="6">
        <v>0</v>
      </c>
      <c r="M80" s="52">
        <v>0</v>
      </c>
      <c r="N80" s="6">
        <v>0</v>
      </c>
      <c r="O80" s="52">
        <v>0</v>
      </c>
      <c r="P80" s="6">
        <v>1</v>
      </c>
      <c r="Q80" s="4" t="s">
        <v>26</v>
      </c>
      <c r="R80" s="4">
        <v>0</v>
      </c>
      <c r="S80" s="6">
        <v>11</v>
      </c>
      <c r="T80" s="6">
        <v>0</v>
      </c>
      <c r="U80" s="6">
        <v>0</v>
      </c>
      <c r="V80" s="52">
        <f>IF(ISERROR(VLOOKUP($S$80,'TAR FIN'!$A$1:$O$103,15,0)),0,VLOOKUP($S$80,'TAR FIN'!$A$1:$O$103,15,0))*(1-0.04)</f>
        <v>18.1632</v>
      </c>
      <c r="W80" s="52">
        <f>IF(ISERROR(VLOOKUP($T$80,'TAR FIN'!$A$1:$O$103,15,0)),0,VLOOKUP($T$80,'TAR FIN'!$A$1:$O$103,15,0))</f>
        <v>0</v>
      </c>
      <c r="X80" s="52">
        <f>IF(ISERROR(VLOOKUP($U$80,'TAR FIN'!$A$1:$O$103,15,0)),0,VLOOKUP($U$80,'TAR FIN'!$A$1:$O$103,15,0))</f>
        <v>0</v>
      </c>
      <c r="Y80" s="52">
        <f ca="1">('TUSD BE'!$AM$10+'TUSD BF_350'!$AM$10+'TUSD CVA'!$AM$10)*1*(1-0.02)</f>
        <v>20.941951853111981</v>
      </c>
      <c r="Z80" s="52"/>
      <c r="AA80" s="52"/>
      <c r="AB80" s="6">
        <f>$K$80*$V$80</f>
        <v>617.54880000000003</v>
      </c>
      <c r="AC80" s="6">
        <f>$M$80*$W$80</f>
        <v>0</v>
      </c>
      <c r="AD80" s="6">
        <f>$O$80*$X$80</f>
        <v>0</v>
      </c>
      <c r="AE80" s="6">
        <f ca="1">$K$80*$Y$80</f>
        <v>712.0263630058073</v>
      </c>
      <c r="AF80" s="6">
        <f>$M$80*$Z$80</f>
        <v>0</v>
      </c>
      <c r="AG80" s="6">
        <f>$O$80*$AA$80</f>
        <v>0</v>
      </c>
    </row>
    <row r="81" spans="1:33" ht="11.25" customHeight="1" x14ac:dyDescent="0.3">
      <c r="A81" s="4" t="s">
        <v>28</v>
      </c>
      <c r="B81" s="4" t="s">
        <v>45</v>
      </c>
      <c r="C81" s="4" t="s">
        <v>40</v>
      </c>
      <c r="D81" s="4" t="s">
        <v>44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44652</v>
      </c>
      <c r="J81" s="6">
        <v>26</v>
      </c>
      <c r="K81" s="52">
        <v>26</v>
      </c>
      <c r="L81" s="6">
        <v>0</v>
      </c>
      <c r="M81" s="52">
        <v>0</v>
      </c>
      <c r="N81" s="6">
        <v>0</v>
      </c>
      <c r="O81" s="52">
        <v>0</v>
      </c>
      <c r="P81" s="6">
        <v>1</v>
      </c>
      <c r="Q81" s="4" t="s">
        <v>26</v>
      </c>
      <c r="R81" s="4">
        <v>0</v>
      </c>
      <c r="S81" s="6">
        <v>11</v>
      </c>
      <c r="T81" s="6">
        <v>0</v>
      </c>
      <c r="U81" s="6">
        <v>0</v>
      </c>
      <c r="V81" s="52">
        <f>IF(ISERROR(VLOOKUP($S$81,'TAR FIN'!$A$1:$O$103,15,0)),0,VLOOKUP($S$81,'TAR FIN'!$A$1:$O$103,15,0))*(1-0.04)</f>
        <v>18.1632</v>
      </c>
      <c r="W81" s="52">
        <f>IF(ISERROR(VLOOKUP($T$81,'TAR FIN'!$A$1:$O$103,15,0)),0,VLOOKUP($T$81,'TAR FIN'!$A$1:$O$103,15,0))</f>
        <v>0</v>
      </c>
      <c r="X81" s="52">
        <f>IF(ISERROR(VLOOKUP($U$81,'TAR FIN'!$A$1:$O$103,15,0)),0,VLOOKUP($U$81,'TAR FIN'!$A$1:$O$103,15,0))</f>
        <v>0</v>
      </c>
      <c r="Y81" s="52">
        <f ca="1">('TUSD BE'!$AM$10+'TUSD BF_350'!$AM$10+'TUSD CVA'!$AM$10)*1*(1-0.02)</f>
        <v>20.941951853111981</v>
      </c>
      <c r="Z81" s="52"/>
      <c r="AA81" s="52"/>
      <c r="AB81" s="6">
        <f>$K$81*$V$81</f>
        <v>472.2432</v>
      </c>
      <c r="AC81" s="6">
        <f>$M$81*$W$81</f>
        <v>0</v>
      </c>
      <c r="AD81" s="6">
        <f>$O$81*$X$81</f>
        <v>0</v>
      </c>
      <c r="AE81" s="6">
        <f ca="1">$K$81*$Y$81</f>
        <v>544.49074818091151</v>
      </c>
      <c r="AF81" s="6">
        <f>$M$81*$Z$81</f>
        <v>0</v>
      </c>
      <c r="AG81" s="6">
        <f>$O$81*$AA$81</f>
        <v>0</v>
      </c>
    </row>
    <row r="82" spans="1:33" ht="11.25" customHeight="1" x14ac:dyDescent="0.3">
      <c r="A82" s="4" t="s">
        <v>28</v>
      </c>
      <c r="B82" s="4" t="s">
        <v>45</v>
      </c>
      <c r="C82" s="4" t="s">
        <v>40</v>
      </c>
      <c r="D82" s="4" t="s">
        <v>44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44682</v>
      </c>
      <c r="J82" s="6">
        <v>31</v>
      </c>
      <c r="K82" s="52">
        <v>31</v>
      </c>
      <c r="L82" s="6">
        <v>0</v>
      </c>
      <c r="M82" s="52">
        <v>0</v>
      </c>
      <c r="N82" s="6">
        <v>0</v>
      </c>
      <c r="O82" s="52">
        <v>0</v>
      </c>
      <c r="P82" s="6">
        <v>1</v>
      </c>
      <c r="Q82" s="4" t="s">
        <v>26</v>
      </c>
      <c r="R82" s="4">
        <v>0</v>
      </c>
      <c r="S82" s="6">
        <v>11</v>
      </c>
      <c r="T82" s="6">
        <v>0</v>
      </c>
      <c r="U82" s="6">
        <v>0</v>
      </c>
      <c r="V82" s="52">
        <f>IF(ISERROR(VLOOKUP($S$82,'TAR FIN'!$A$1:$O$103,15,0)),0,VLOOKUP($S$82,'TAR FIN'!$A$1:$O$103,15,0))*(1-0.04)</f>
        <v>18.1632</v>
      </c>
      <c r="W82" s="52">
        <f>IF(ISERROR(VLOOKUP($T$82,'TAR FIN'!$A$1:$O$103,15,0)),0,VLOOKUP($T$82,'TAR FIN'!$A$1:$O$103,15,0))</f>
        <v>0</v>
      </c>
      <c r="X82" s="52">
        <f>IF(ISERROR(VLOOKUP($U$82,'TAR FIN'!$A$1:$O$103,15,0)),0,VLOOKUP($U$82,'TAR FIN'!$A$1:$O$103,15,0))</f>
        <v>0</v>
      </c>
      <c r="Y82" s="52">
        <f ca="1">('TUSD BE'!$AM$10+'TUSD BF_350'!$AM$10+'TUSD CVA'!$AM$10)*1*(1-0.02)</f>
        <v>20.941951853111981</v>
      </c>
      <c r="Z82" s="52"/>
      <c r="AA82" s="52"/>
      <c r="AB82" s="6">
        <f>$K$82*$V$82</f>
        <v>563.05920000000003</v>
      </c>
      <c r="AC82" s="6">
        <f>$M$82*$W$82</f>
        <v>0</v>
      </c>
      <c r="AD82" s="6">
        <f>$O$82*$X$82</f>
        <v>0</v>
      </c>
      <c r="AE82" s="6">
        <f ca="1">$K$82*$Y$82</f>
        <v>649.20050744647142</v>
      </c>
      <c r="AF82" s="6">
        <f>$M$82*$Z$82</f>
        <v>0</v>
      </c>
      <c r="AG82" s="6">
        <f>$O$82*$AA$82</f>
        <v>0</v>
      </c>
    </row>
    <row r="83" spans="1:33" ht="11.25" customHeight="1" x14ac:dyDescent="0.3">
      <c r="A83" s="4" t="s">
        <v>28</v>
      </c>
      <c r="B83" s="4" t="s">
        <v>45</v>
      </c>
      <c r="C83" s="4" t="s">
        <v>40</v>
      </c>
      <c r="D83" s="4" t="s">
        <v>44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44713</v>
      </c>
      <c r="J83" s="6">
        <v>41</v>
      </c>
      <c r="K83" s="52">
        <v>41</v>
      </c>
      <c r="L83" s="6">
        <v>0</v>
      </c>
      <c r="M83" s="52">
        <v>0</v>
      </c>
      <c r="N83" s="6">
        <v>0</v>
      </c>
      <c r="O83" s="52">
        <v>0</v>
      </c>
      <c r="P83" s="6">
        <v>1</v>
      </c>
      <c r="Q83" s="4" t="s">
        <v>26</v>
      </c>
      <c r="R83" s="4">
        <v>0</v>
      </c>
      <c r="S83" s="6">
        <v>11</v>
      </c>
      <c r="T83" s="6">
        <v>0</v>
      </c>
      <c r="U83" s="6">
        <v>0</v>
      </c>
      <c r="V83" s="52">
        <f>IF(ISERROR(VLOOKUP($S$83,'TAR FIN'!$A$1:$O$103,15,0)),0,VLOOKUP($S$83,'TAR FIN'!$A$1:$O$103,15,0))*(1-0.04)</f>
        <v>18.1632</v>
      </c>
      <c r="W83" s="52">
        <f>IF(ISERROR(VLOOKUP($T$83,'TAR FIN'!$A$1:$O$103,15,0)),0,VLOOKUP($T$83,'TAR FIN'!$A$1:$O$103,15,0))</f>
        <v>0</v>
      </c>
      <c r="X83" s="52">
        <f>IF(ISERROR(VLOOKUP($U$83,'TAR FIN'!$A$1:$O$103,15,0)),0,VLOOKUP($U$83,'TAR FIN'!$A$1:$O$103,15,0))</f>
        <v>0</v>
      </c>
      <c r="Y83" s="52">
        <f ca="1">('TUSD BE'!$AM$10+'TUSD BF_350'!$AM$10+'TUSD CVA'!$AM$10)*1*(1-0.02)</f>
        <v>20.941951853111981</v>
      </c>
      <c r="Z83" s="52"/>
      <c r="AA83" s="52"/>
      <c r="AB83" s="6">
        <f>$K$83*$V$83</f>
        <v>744.69119999999998</v>
      </c>
      <c r="AC83" s="6">
        <f>$M$83*$W$83</f>
        <v>0</v>
      </c>
      <c r="AD83" s="6">
        <f>$O$83*$X$83</f>
        <v>0</v>
      </c>
      <c r="AE83" s="6">
        <f ca="1">$K$83*$Y$83</f>
        <v>858.62002597759124</v>
      </c>
      <c r="AF83" s="6">
        <f>$M$83*$Z$83</f>
        <v>0</v>
      </c>
      <c r="AG83" s="6">
        <f>$O$83*$AA$83</f>
        <v>0</v>
      </c>
    </row>
    <row r="84" spans="1:33" ht="11.25" customHeight="1" x14ac:dyDescent="0.3">
      <c r="A84" s="4" t="s">
        <v>21</v>
      </c>
      <c r="B84" s="4" t="s">
        <v>39</v>
      </c>
      <c r="C84" s="4" t="s">
        <v>42</v>
      </c>
      <c r="D84" s="4" t="s">
        <v>41</v>
      </c>
      <c r="E84" s="4" t="s">
        <v>25</v>
      </c>
      <c r="F84" s="4" t="s">
        <v>25</v>
      </c>
      <c r="G84" s="4" t="s">
        <v>25</v>
      </c>
      <c r="H84" s="4" t="s">
        <v>35</v>
      </c>
      <c r="I84" s="5">
        <v>44501</v>
      </c>
      <c r="J84" s="6">
        <v>73</v>
      </c>
      <c r="K84" s="6">
        <v>73</v>
      </c>
      <c r="L84" s="6">
        <v>40.456000000000003</v>
      </c>
      <c r="M84" s="6">
        <v>40.456000000000003</v>
      </c>
      <c r="N84" s="6">
        <v>40.456000000000003</v>
      </c>
      <c r="O84" s="6">
        <v>40.456000000000003</v>
      </c>
      <c r="P84" s="6">
        <v>0</v>
      </c>
      <c r="Q84" s="4" t="s">
        <v>26</v>
      </c>
      <c r="R84" s="4">
        <v>0</v>
      </c>
      <c r="S84" s="6">
        <v>5</v>
      </c>
      <c r="T84" s="6">
        <v>8</v>
      </c>
      <c r="U84" s="6">
        <v>66</v>
      </c>
      <c r="V84" s="6">
        <f>IF(ISERROR(VLOOKUP($S$84,'TAR FIN'!$A$1:$O$103,15,0)),0,VLOOKUP($S$84,'TAR FIN'!$A$1:$O$103,15,0))</f>
        <v>18.920000000000002</v>
      </c>
      <c r="W84" s="6">
        <f>IF(ISERROR(VLOOKUP($T$84,'TAR FIN'!$A$1:$O$103,15,0)),0,VLOOKUP($T$84,'TAR FIN'!$A$1:$O$103,15,0))</f>
        <v>84.99</v>
      </c>
      <c r="X84" s="6">
        <f>IF(ISERROR(VLOOKUP($U$84,'TAR FIN'!$A$1:$O$103,15,0)),0,VLOOKUP($U$84,'TAR FIN'!$A$1:$O$103,15,0))</f>
        <v>242.77</v>
      </c>
      <c r="Y84" s="6">
        <f ca="1">('TUSD BE'!$AM$18+'TUSD BF_350'!$AM$18+'TUSD CVA'!$AM$18)*1</f>
        <v>21.369338625624472</v>
      </c>
      <c r="Z84" s="6">
        <f ca="1">('TUSD BE'!$AM$19+'TUSD BF_350'!$AM$19+'TUSD CVA'!$AM$19)*1</f>
        <v>145.72237393634796</v>
      </c>
      <c r="AA84" s="6">
        <f ca="1">('TE BE'!$AB$9+'TE BF_350'!$AB$9+'TE CVA'!$AB$9)*1</f>
        <v>222.39386487986414</v>
      </c>
      <c r="AB84" s="6">
        <f>$K$84*$V$84</f>
        <v>1381.16</v>
      </c>
      <c r="AC84" s="6">
        <f>$M$84*$W$84</f>
        <v>3438.3554400000003</v>
      </c>
      <c r="AD84" s="6">
        <f>$O$84*$X$84</f>
        <v>9821.5031200000012</v>
      </c>
      <c r="AE84" s="6">
        <f ca="1">$K$84*$Y$84</f>
        <v>1559.9617196705865</v>
      </c>
      <c r="AF84" s="6">
        <f ca="1">$M$84*$Z$84</f>
        <v>5895.3443599688935</v>
      </c>
      <c r="AG84" s="6">
        <f ca="1">$O$84*$AA$84</f>
        <v>8997.1661975797851</v>
      </c>
    </row>
    <row r="85" spans="1:33" ht="11.25" customHeight="1" x14ac:dyDescent="0.3">
      <c r="A85" s="4" t="s">
        <v>21</v>
      </c>
      <c r="B85" s="4" t="s">
        <v>39</v>
      </c>
      <c r="C85" s="4" t="s">
        <v>42</v>
      </c>
      <c r="D85" s="4" t="s">
        <v>41</v>
      </c>
      <c r="E85" s="4" t="s">
        <v>25</v>
      </c>
      <c r="F85" s="4" t="s">
        <v>25</v>
      </c>
      <c r="G85" s="4" t="s">
        <v>25</v>
      </c>
      <c r="H85" s="4" t="s">
        <v>35</v>
      </c>
      <c r="I85" s="5">
        <v>44531</v>
      </c>
      <c r="J85" s="6">
        <v>73</v>
      </c>
      <c r="K85" s="6">
        <v>73</v>
      </c>
      <c r="L85" s="6">
        <v>41.588000000000001</v>
      </c>
      <c r="M85" s="6">
        <v>41.588000000000001</v>
      </c>
      <c r="N85" s="6">
        <v>41.588000000000001</v>
      </c>
      <c r="O85" s="6">
        <v>41.588000000000001</v>
      </c>
      <c r="P85" s="6">
        <v>0</v>
      </c>
      <c r="Q85" s="4" t="s">
        <v>26</v>
      </c>
      <c r="R85" s="4">
        <v>0</v>
      </c>
      <c r="S85" s="6">
        <v>5</v>
      </c>
      <c r="T85" s="6">
        <v>8</v>
      </c>
      <c r="U85" s="6">
        <v>66</v>
      </c>
      <c r="V85" s="6">
        <f>IF(ISERROR(VLOOKUP($S$85,'TAR FIN'!$A$1:$O$103,15,0)),0,VLOOKUP($S$85,'TAR FIN'!$A$1:$O$103,15,0))</f>
        <v>18.920000000000002</v>
      </c>
      <c r="W85" s="6">
        <f>IF(ISERROR(VLOOKUP($T$85,'TAR FIN'!$A$1:$O$103,15,0)),0,VLOOKUP($T$85,'TAR FIN'!$A$1:$O$103,15,0))</f>
        <v>84.99</v>
      </c>
      <c r="X85" s="6">
        <f>IF(ISERROR(VLOOKUP($U$85,'TAR FIN'!$A$1:$O$103,15,0)),0,VLOOKUP($U$85,'TAR FIN'!$A$1:$O$103,15,0))</f>
        <v>242.77</v>
      </c>
      <c r="Y85" s="6">
        <f ca="1">('TUSD BE'!$AM$18+'TUSD BF_350'!$AM$18+'TUSD CVA'!$AM$18)*1</f>
        <v>21.369338625624472</v>
      </c>
      <c r="Z85" s="6">
        <f ca="1">('TUSD BE'!$AM$19+'TUSD BF_350'!$AM$19+'TUSD CVA'!$AM$19)*1</f>
        <v>145.72237393634796</v>
      </c>
      <c r="AA85" s="6">
        <f ca="1">('TE BE'!$AB$9+'TE BF_350'!$AB$9+'TE CVA'!$AB$9)*1</f>
        <v>222.39386487986414</v>
      </c>
      <c r="AB85" s="6">
        <f>$K$85*$V$85</f>
        <v>1381.16</v>
      </c>
      <c r="AC85" s="6">
        <f>$M$85*$W$85</f>
        <v>3534.56412</v>
      </c>
      <c r="AD85" s="6">
        <f>$O$85*$X$85</f>
        <v>10096.31876</v>
      </c>
      <c r="AE85" s="6">
        <f ca="1">$K$85*$Y$85</f>
        <v>1559.9617196705865</v>
      </c>
      <c r="AF85" s="6">
        <f ca="1">$M$85*$Z$85</f>
        <v>6060.3020872648394</v>
      </c>
      <c r="AG85" s="6">
        <f ca="1">$O$85*$AA$85</f>
        <v>9248.9160526237902</v>
      </c>
    </row>
    <row r="86" spans="1:33" ht="11.25" customHeight="1" x14ac:dyDescent="0.3">
      <c r="A86" s="4" t="s">
        <v>21</v>
      </c>
      <c r="B86" s="4" t="s">
        <v>39</v>
      </c>
      <c r="C86" s="4" t="s">
        <v>42</v>
      </c>
      <c r="D86" s="4" t="s">
        <v>41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44562</v>
      </c>
      <c r="J86" s="6">
        <v>73</v>
      </c>
      <c r="K86" s="6">
        <v>73</v>
      </c>
      <c r="L86" s="6">
        <v>41.439</v>
      </c>
      <c r="M86" s="6">
        <v>41.439</v>
      </c>
      <c r="N86" s="6">
        <v>41.439</v>
      </c>
      <c r="O86" s="6">
        <v>41.439</v>
      </c>
      <c r="P86" s="6">
        <v>0</v>
      </c>
      <c r="Q86" s="4" t="s">
        <v>26</v>
      </c>
      <c r="R86" s="4">
        <v>0</v>
      </c>
      <c r="S86" s="6">
        <v>5</v>
      </c>
      <c r="T86" s="6">
        <v>8</v>
      </c>
      <c r="U86" s="6">
        <v>66</v>
      </c>
      <c r="V86" s="6">
        <f>IF(ISERROR(VLOOKUP($S$86,'TAR FIN'!$A$1:$O$103,15,0)),0,VLOOKUP($S$86,'TAR FIN'!$A$1:$O$103,15,0))</f>
        <v>18.920000000000002</v>
      </c>
      <c r="W86" s="6">
        <f>IF(ISERROR(VLOOKUP($T$86,'TAR FIN'!$A$1:$O$103,15,0)),0,VLOOKUP($T$86,'TAR FIN'!$A$1:$O$103,15,0))</f>
        <v>84.99</v>
      </c>
      <c r="X86" s="6">
        <f>IF(ISERROR(VLOOKUP($U$86,'TAR FIN'!$A$1:$O$103,15,0)),0,VLOOKUP($U$86,'TAR FIN'!$A$1:$O$103,15,0))</f>
        <v>242.77</v>
      </c>
      <c r="Y86" s="6">
        <f ca="1">('TUSD BE'!$AM$18+'TUSD BF_350'!$AM$18+'TUSD CVA'!$AM$18)*1</f>
        <v>21.369338625624472</v>
      </c>
      <c r="Z86" s="6">
        <f ca="1">('TUSD BE'!$AM$19+'TUSD BF_350'!$AM$19+'TUSD CVA'!$AM$19)*1</f>
        <v>145.72237393634796</v>
      </c>
      <c r="AA86" s="6">
        <f ca="1">('TE BE'!$AB$9+'TE BF_350'!$AB$9+'TE CVA'!$AB$9)*1</f>
        <v>222.39386487986414</v>
      </c>
      <c r="AB86" s="6">
        <f>$K$86*$V$86</f>
        <v>1381.16</v>
      </c>
      <c r="AC86" s="6">
        <f>$M$86*$W$86</f>
        <v>3521.9006099999997</v>
      </c>
      <c r="AD86" s="6">
        <f>$O$86*$X$86</f>
        <v>10060.14603</v>
      </c>
      <c r="AE86" s="6">
        <f ca="1">$K$86*$Y$86</f>
        <v>1559.9617196705865</v>
      </c>
      <c r="AF86" s="6">
        <f ca="1">$M$86*$Z$86</f>
        <v>6038.589453548323</v>
      </c>
      <c r="AG86" s="6">
        <f ca="1">$O$86*$AA$86</f>
        <v>9215.7793667566893</v>
      </c>
    </row>
    <row r="87" spans="1:33" ht="11.25" customHeight="1" x14ac:dyDescent="0.3">
      <c r="A87" s="4" t="s">
        <v>21</v>
      </c>
      <c r="B87" s="4" t="s">
        <v>39</v>
      </c>
      <c r="C87" s="4" t="s">
        <v>42</v>
      </c>
      <c r="D87" s="4" t="s">
        <v>41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44593</v>
      </c>
      <c r="J87" s="6">
        <v>71</v>
      </c>
      <c r="K87" s="6">
        <v>71</v>
      </c>
      <c r="L87" s="6">
        <v>37.423999999999999</v>
      </c>
      <c r="M87" s="6">
        <v>37.423999999999999</v>
      </c>
      <c r="N87" s="6">
        <v>37.423999999999999</v>
      </c>
      <c r="O87" s="6">
        <v>37.423999999999999</v>
      </c>
      <c r="P87" s="6">
        <v>0</v>
      </c>
      <c r="Q87" s="4" t="s">
        <v>26</v>
      </c>
      <c r="R87" s="4">
        <v>0</v>
      </c>
      <c r="S87" s="6">
        <v>5</v>
      </c>
      <c r="T87" s="6">
        <v>8</v>
      </c>
      <c r="U87" s="6">
        <v>66</v>
      </c>
      <c r="V87" s="6">
        <f>IF(ISERROR(VLOOKUP($S$87,'TAR FIN'!$A$1:$O$103,15,0)),0,VLOOKUP($S$87,'TAR FIN'!$A$1:$O$103,15,0))</f>
        <v>18.920000000000002</v>
      </c>
      <c r="W87" s="6">
        <f>IF(ISERROR(VLOOKUP($T$87,'TAR FIN'!$A$1:$O$103,15,0)),0,VLOOKUP($T$87,'TAR FIN'!$A$1:$O$103,15,0))</f>
        <v>84.99</v>
      </c>
      <c r="X87" s="6">
        <f>IF(ISERROR(VLOOKUP($U$87,'TAR FIN'!$A$1:$O$103,15,0)),0,VLOOKUP($U$87,'TAR FIN'!$A$1:$O$103,15,0))</f>
        <v>242.77</v>
      </c>
      <c r="Y87" s="6">
        <f ca="1">('TUSD BE'!$AM$18+'TUSD BF_350'!$AM$18+'TUSD CVA'!$AM$18)*1</f>
        <v>21.369338625624472</v>
      </c>
      <c r="Z87" s="6">
        <f ca="1">('TUSD BE'!$AM$19+'TUSD BF_350'!$AM$19+'TUSD CVA'!$AM$19)*1</f>
        <v>145.72237393634796</v>
      </c>
      <c r="AA87" s="6">
        <f ca="1">('TE BE'!$AB$9+'TE BF_350'!$AB$9+'TE CVA'!$AB$9)*1</f>
        <v>222.39386487986414</v>
      </c>
      <c r="AB87" s="6">
        <f>$K$87*$V$87</f>
        <v>1343.3200000000002</v>
      </c>
      <c r="AC87" s="6">
        <f>$M$87*$W$87</f>
        <v>3180.6657599999999</v>
      </c>
      <c r="AD87" s="6">
        <f>$O$87*$X$87</f>
        <v>9085.4244799999997</v>
      </c>
      <c r="AE87" s="6">
        <f ca="1">$K$87*$Y$87</f>
        <v>1517.2230424193376</v>
      </c>
      <c r="AF87" s="6">
        <f ca="1">$M$87*$Z$87</f>
        <v>5453.5141221938857</v>
      </c>
      <c r="AG87" s="6">
        <f ca="1">$O$87*$AA$87</f>
        <v>8322.8679992640355</v>
      </c>
    </row>
    <row r="88" spans="1:33" ht="11.25" customHeight="1" x14ac:dyDescent="0.3">
      <c r="A88" s="4" t="s">
        <v>21</v>
      </c>
      <c r="B88" s="4" t="s">
        <v>39</v>
      </c>
      <c r="C88" s="4" t="s">
        <v>42</v>
      </c>
      <c r="D88" s="4" t="s">
        <v>41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44621</v>
      </c>
      <c r="J88" s="6">
        <v>73</v>
      </c>
      <c r="K88" s="6">
        <v>73</v>
      </c>
      <c r="L88" s="6">
        <v>42.923000000000002</v>
      </c>
      <c r="M88" s="6">
        <v>42.923000000000002</v>
      </c>
      <c r="N88" s="6">
        <v>42.923000000000002</v>
      </c>
      <c r="O88" s="6">
        <v>42.923000000000002</v>
      </c>
      <c r="P88" s="6">
        <v>0</v>
      </c>
      <c r="Q88" s="4" t="s">
        <v>26</v>
      </c>
      <c r="R88" s="4">
        <v>0</v>
      </c>
      <c r="S88" s="6">
        <v>5</v>
      </c>
      <c r="T88" s="6">
        <v>8</v>
      </c>
      <c r="U88" s="6">
        <v>66</v>
      </c>
      <c r="V88" s="6">
        <f>IF(ISERROR(VLOOKUP($S$88,'TAR FIN'!$A$1:$O$103,15,0)),0,VLOOKUP($S$88,'TAR FIN'!$A$1:$O$103,15,0))</f>
        <v>18.920000000000002</v>
      </c>
      <c r="W88" s="6">
        <f>IF(ISERROR(VLOOKUP($T$88,'TAR FIN'!$A$1:$O$103,15,0)),0,VLOOKUP($T$88,'TAR FIN'!$A$1:$O$103,15,0))</f>
        <v>84.99</v>
      </c>
      <c r="X88" s="6">
        <f>IF(ISERROR(VLOOKUP($U$88,'TAR FIN'!$A$1:$O$103,15,0)),0,VLOOKUP($U$88,'TAR FIN'!$A$1:$O$103,15,0))</f>
        <v>242.77</v>
      </c>
      <c r="Y88" s="6">
        <f ca="1">('TUSD BE'!$AM$18+'TUSD BF_350'!$AM$18+'TUSD CVA'!$AM$18)*1</f>
        <v>21.369338625624472</v>
      </c>
      <c r="Z88" s="6">
        <f ca="1">('TUSD BE'!$AM$19+'TUSD BF_350'!$AM$19+'TUSD CVA'!$AM$19)*1</f>
        <v>145.72237393634796</v>
      </c>
      <c r="AA88" s="6">
        <f ca="1">('TE BE'!$AB$9+'TE BF_350'!$AB$9+'TE CVA'!$AB$9)*1</f>
        <v>222.39386487986414</v>
      </c>
      <c r="AB88" s="6">
        <f>$K$88*$V$88</f>
        <v>1381.16</v>
      </c>
      <c r="AC88" s="6">
        <f>$M$88*$W$88</f>
        <v>3648.0257699999997</v>
      </c>
      <c r="AD88" s="6">
        <f>$O$88*$X$88</f>
        <v>10420.416710000001</v>
      </c>
      <c r="AE88" s="6">
        <f ca="1">$K$88*$Y$88</f>
        <v>1559.9617196705865</v>
      </c>
      <c r="AF88" s="6">
        <f ca="1">$M$88*$Z$88</f>
        <v>6254.8414564698642</v>
      </c>
      <c r="AG88" s="6">
        <f ca="1">$O$88*$AA$88</f>
        <v>9545.8118622384081</v>
      </c>
    </row>
    <row r="89" spans="1:33" ht="11.25" customHeight="1" x14ac:dyDescent="0.3">
      <c r="A89" s="4" t="s">
        <v>21</v>
      </c>
      <c r="B89" s="4" t="s">
        <v>39</v>
      </c>
      <c r="C89" s="4" t="s">
        <v>42</v>
      </c>
      <c r="D89" s="4" t="s">
        <v>41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44652</v>
      </c>
      <c r="J89" s="6">
        <v>72</v>
      </c>
      <c r="K89" s="6">
        <v>72</v>
      </c>
      <c r="L89" s="6">
        <v>42.067</v>
      </c>
      <c r="M89" s="6">
        <v>42.067</v>
      </c>
      <c r="N89" s="6">
        <v>42.067</v>
      </c>
      <c r="O89" s="6">
        <v>42.067</v>
      </c>
      <c r="P89" s="6">
        <v>0</v>
      </c>
      <c r="Q89" s="4" t="s">
        <v>26</v>
      </c>
      <c r="R89" s="4">
        <v>0</v>
      </c>
      <c r="S89" s="6">
        <v>5</v>
      </c>
      <c r="T89" s="6">
        <v>8</v>
      </c>
      <c r="U89" s="6">
        <v>66</v>
      </c>
      <c r="V89" s="6">
        <f>IF(ISERROR(VLOOKUP($S$89,'TAR FIN'!$A$1:$O$103,15,0)),0,VLOOKUP($S$89,'TAR FIN'!$A$1:$O$103,15,0))</f>
        <v>18.920000000000002</v>
      </c>
      <c r="W89" s="6">
        <f>IF(ISERROR(VLOOKUP($T$89,'TAR FIN'!$A$1:$O$103,15,0)),0,VLOOKUP($T$89,'TAR FIN'!$A$1:$O$103,15,0))</f>
        <v>84.99</v>
      </c>
      <c r="X89" s="6">
        <f>IF(ISERROR(VLOOKUP($U$89,'TAR FIN'!$A$1:$O$103,15,0)),0,VLOOKUP($U$89,'TAR FIN'!$A$1:$O$103,15,0))</f>
        <v>242.77</v>
      </c>
      <c r="Y89" s="6">
        <f ca="1">('TUSD BE'!$AM$18+'TUSD BF_350'!$AM$18+'TUSD CVA'!$AM$18)*1</f>
        <v>21.369338625624472</v>
      </c>
      <c r="Z89" s="6">
        <f ca="1">('TUSD BE'!$AM$19+'TUSD BF_350'!$AM$19+'TUSD CVA'!$AM$19)*1</f>
        <v>145.72237393634796</v>
      </c>
      <c r="AA89" s="6">
        <f ca="1">('TE BE'!$AB$9+'TE BF_350'!$AB$9+'TE CVA'!$AB$9)*1</f>
        <v>222.39386487986414</v>
      </c>
      <c r="AB89" s="6">
        <f>$K$89*$V$89</f>
        <v>1362.2400000000002</v>
      </c>
      <c r="AC89" s="6">
        <f>$M$89*$W$89</f>
        <v>3575.2743299999997</v>
      </c>
      <c r="AD89" s="6">
        <f>$O$89*$X$89</f>
        <v>10212.605590000001</v>
      </c>
      <c r="AE89" s="6">
        <f ca="1">$K$89*$Y$89</f>
        <v>1538.5923810449619</v>
      </c>
      <c r="AF89" s="6">
        <f ca="1">$M$89*$Z$89</f>
        <v>6130.1031043803496</v>
      </c>
      <c r="AG89" s="6">
        <f ca="1">$O$89*$AA$89</f>
        <v>9355.4427139012441</v>
      </c>
    </row>
    <row r="90" spans="1:33" ht="11.25" customHeight="1" x14ac:dyDescent="0.3">
      <c r="A90" s="4" t="s">
        <v>21</v>
      </c>
      <c r="B90" s="4" t="s">
        <v>39</v>
      </c>
      <c r="C90" s="4" t="s">
        <v>42</v>
      </c>
      <c r="D90" s="4" t="s">
        <v>41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44682</v>
      </c>
      <c r="J90" s="6">
        <v>71</v>
      </c>
      <c r="K90" s="6">
        <v>71</v>
      </c>
      <c r="L90" s="6">
        <v>37.844999999999999</v>
      </c>
      <c r="M90" s="6">
        <v>37.844999999999999</v>
      </c>
      <c r="N90" s="6">
        <v>37.844999999999999</v>
      </c>
      <c r="O90" s="6">
        <v>37.844999999999999</v>
      </c>
      <c r="P90" s="6">
        <v>0</v>
      </c>
      <c r="Q90" s="4" t="s">
        <v>26</v>
      </c>
      <c r="R90" s="4">
        <v>0</v>
      </c>
      <c r="S90" s="6">
        <v>5</v>
      </c>
      <c r="T90" s="6">
        <v>8</v>
      </c>
      <c r="U90" s="6">
        <v>66</v>
      </c>
      <c r="V90" s="6">
        <f>IF(ISERROR(VLOOKUP($S$90,'TAR FIN'!$A$1:$O$103,15,0)),0,VLOOKUP($S$90,'TAR FIN'!$A$1:$O$103,15,0))</f>
        <v>18.920000000000002</v>
      </c>
      <c r="W90" s="6">
        <f>IF(ISERROR(VLOOKUP($T$90,'TAR FIN'!$A$1:$O$103,15,0)),0,VLOOKUP($T$90,'TAR FIN'!$A$1:$O$103,15,0))</f>
        <v>84.99</v>
      </c>
      <c r="X90" s="6">
        <f>IF(ISERROR(VLOOKUP($U$90,'TAR FIN'!$A$1:$O$103,15,0)),0,VLOOKUP($U$90,'TAR FIN'!$A$1:$O$103,15,0))</f>
        <v>242.77</v>
      </c>
      <c r="Y90" s="6">
        <f ca="1">('TUSD BE'!$AM$18+'TUSD BF_350'!$AM$18+'TUSD CVA'!$AM$18)*1</f>
        <v>21.369338625624472</v>
      </c>
      <c r="Z90" s="6">
        <f ca="1">('TUSD BE'!$AM$19+'TUSD BF_350'!$AM$19+'TUSD CVA'!$AM$19)*1</f>
        <v>145.72237393634796</v>
      </c>
      <c r="AA90" s="6">
        <f ca="1">('TE BE'!$AB$9+'TE BF_350'!$AB$9+'TE CVA'!$AB$9)*1</f>
        <v>222.39386487986414</v>
      </c>
      <c r="AB90" s="6">
        <f>$K$90*$V$90</f>
        <v>1343.3200000000002</v>
      </c>
      <c r="AC90" s="6">
        <f>$M$90*$W$90</f>
        <v>3216.4465499999997</v>
      </c>
      <c r="AD90" s="6">
        <f>$O$90*$X$90</f>
        <v>9187.630650000001</v>
      </c>
      <c r="AE90" s="6">
        <f ca="1">$K$90*$Y$90</f>
        <v>1517.2230424193376</v>
      </c>
      <c r="AF90" s="6">
        <f ca="1">$M$90*$Z$90</f>
        <v>5514.8632416210885</v>
      </c>
      <c r="AG90" s="6">
        <f ca="1">$O$90*$AA$90</f>
        <v>8416.4958163784577</v>
      </c>
    </row>
    <row r="91" spans="1:33" ht="11.25" customHeight="1" x14ac:dyDescent="0.3">
      <c r="A91" s="4" t="s">
        <v>21</v>
      </c>
      <c r="B91" s="4" t="s">
        <v>39</v>
      </c>
      <c r="C91" s="4" t="s">
        <v>42</v>
      </c>
      <c r="D91" s="4" t="s">
        <v>41</v>
      </c>
      <c r="E91" s="4" t="s">
        <v>25</v>
      </c>
      <c r="F91" s="4" t="s">
        <v>25</v>
      </c>
      <c r="G91" s="4" t="s">
        <v>25</v>
      </c>
      <c r="H91" s="4" t="s">
        <v>35</v>
      </c>
      <c r="I91" s="5">
        <v>44713</v>
      </c>
      <c r="J91" s="6">
        <v>69</v>
      </c>
      <c r="K91" s="6">
        <v>69</v>
      </c>
      <c r="L91" s="6">
        <v>31.007000000000001</v>
      </c>
      <c r="M91" s="6">
        <v>31.007000000000001</v>
      </c>
      <c r="N91" s="6">
        <v>31.007000000000001</v>
      </c>
      <c r="O91" s="6">
        <v>31.007000000000001</v>
      </c>
      <c r="P91" s="6">
        <v>0</v>
      </c>
      <c r="Q91" s="4" t="s">
        <v>26</v>
      </c>
      <c r="R91" s="4">
        <v>0</v>
      </c>
      <c r="S91" s="6">
        <v>5</v>
      </c>
      <c r="T91" s="6">
        <v>8</v>
      </c>
      <c r="U91" s="6">
        <v>66</v>
      </c>
      <c r="V91" s="6">
        <f>IF(ISERROR(VLOOKUP($S$91,'TAR FIN'!$A$1:$O$103,15,0)),0,VLOOKUP($S$91,'TAR FIN'!$A$1:$O$103,15,0))</f>
        <v>18.920000000000002</v>
      </c>
      <c r="W91" s="6">
        <f>IF(ISERROR(VLOOKUP($T$91,'TAR FIN'!$A$1:$O$103,15,0)),0,VLOOKUP($T$91,'TAR FIN'!$A$1:$O$103,15,0))</f>
        <v>84.99</v>
      </c>
      <c r="X91" s="6">
        <f>IF(ISERROR(VLOOKUP($U$91,'TAR FIN'!$A$1:$O$103,15,0)),0,VLOOKUP($U$91,'TAR FIN'!$A$1:$O$103,15,0))</f>
        <v>242.77</v>
      </c>
      <c r="Y91" s="6">
        <f ca="1">('TUSD BE'!$AM$18+'TUSD BF_350'!$AM$18+'TUSD CVA'!$AM$18)*1</f>
        <v>21.369338625624472</v>
      </c>
      <c r="Z91" s="6">
        <f ca="1">('TUSD BE'!$AM$19+'TUSD BF_350'!$AM$19+'TUSD CVA'!$AM$19)*1</f>
        <v>145.72237393634796</v>
      </c>
      <c r="AA91" s="6">
        <f ca="1">('TE BE'!$AB$9+'TE BF_350'!$AB$9+'TE CVA'!$AB$9)*1</f>
        <v>222.39386487986414</v>
      </c>
      <c r="AB91" s="6">
        <f>$K$91*$V$91</f>
        <v>1305.48</v>
      </c>
      <c r="AC91" s="6">
        <f>$M$91*$W$91</f>
        <v>2635.2849299999998</v>
      </c>
      <c r="AD91" s="6">
        <f>$O$91*$X$91</f>
        <v>7527.5693900000006</v>
      </c>
      <c r="AE91" s="6">
        <f ca="1">$K$91*$Y$91</f>
        <v>1474.4843651680885</v>
      </c>
      <c r="AF91" s="6">
        <f ca="1">$M$91*$Z$91</f>
        <v>4518.4136486443413</v>
      </c>
      <c r="AG91" s="6">
        <f ca="1">$O$91*$AA$91</f>
        <v>6895.7665683299474</v>
      </c>
    </row>
    <row r="92" spans="1:33" ht="11.25" customHeight="1" x14ac:dyDescent="0.3">
      <c r="A92" s="4" t="s">
        <v>21</v>
      </c>
      <c r="B92" s="4" t="s">
        <v>39</v>
      </c>
      <c r="C92" s="4" t="s">
        <v>42</v>
      </c>
      <c r="D92" s="4" t="s">
        <v>41</v>
      </c>
      <c r="E92" s="4" t="s">
        <v>25</v>
      </c>
      <c r="F92" s="4" t="s">
        <v>25</v>
      </c>
      <c r="G92" s="4" t="s">
        <v>25</v>
      </c>
      <c r="H92" s="4" t="s">
        <v>35</v>
      </c>
      <c r="I92" s="5">
        <v>44743</v>
      </c>
      <c r="J92" s="6">
        <v>69</v>
      </c>
      <c r="K92" s="6">
        <v>69</v>
      </c>
      <c r="L92" s="6">
        <v>33.862000000000002</v>
      </c>
      <c r="M92" s="6">
        <v>33.862000000000002</v>
      </c>
      <c r="N92" s="6">
        <v>33.862000000000002</v>
      </c>
      <c r="O92" s="6">
        <v>33.862000000000002</v>
      </c>
      <c r="P92" s="6">
        <v>0</v>
      </c>
      <c r="Q92" s="4" t="s">
        <v>26</v>
      </c>
      <c r="R92" s="4">
        <v>0</v>
      </c>
      <c r="S92" s="6">
        <v>5</v>
      </c>
      <c r="T92" s="6">
        <v>8</v>
      </c>
      <c r="U92" s="6">
        <v>66</v>
      </c>
      <c r="V92" s="6">
        <f>IF(ISERROR(VLOOKUP($S$92,'TAR FIN'!$A$1:$O$103,15,0)),0,VLOOKUP($S$92,'TAR FIN'!$A$1:$O$103,15,0))</f>
        <v>18.920000000000002</v>
      </c>
      <c r="W92" s="6">
        <f>IF(ISERROR(VLOOKUP($T$92,'TAR FIN'!$A$1:$O$103,15,0)),0,VLOOKUP($T$92,'TAR FIN'!$A$1:$O$103,15,0))</f>
        <v>84.99</v>
      </c>
      <c r="X92" s="6">
        <f>IF(ISERROR(VLOOKUP($U$92,'TAR FIN'!$A$1:$O$103,15,0)),0,VLOOKUP($U$92,'TAR FIN'!$A$1:$O$103,15,0))</f>
        <v>242.77</v>
      </c>
      <c r="Y92" s="6">
        <f ca="1">('TUSD BE'!$AM$18+'TUSD BF_350'!$AM$18+'TUSD CVA'!$AM$18)*1</f>
        <v>21.369338625624472</v>
      </c>
      <c r="Z92" s="6">
        <f ca="1">('TUSD BE'!$AM$19+'TUSD BF_350'!$AM$19+'TUSD CVA'!$AM$19)*1</f>
        <v>145.72237393634796</v>
      </c>
      <c r="AA92" s="6">
        <f ca="1">('TE BE'!$AB$9+'TE BF_350'!$AB$9+'TE CVA'!$AB$9)*1</f>
        <v>222.39386487986414</v>
      </c>
      <c r="AB92" s="6">
        <f>$K$92*$V$92</f>
        <v>1305.48</v>
      </c>
      <c r="AC92" s="6">
        <f>$M$92*$W$92</f>
        <v>2877.93138</v>
      </c>
      <c r="AD92" s="6">
        <f>$O$92*$X$92</f>
        <v>8220.677740000001</v>
      </c>
      <c r="AE92" s="6">
        <f ca="1">$K$92*$Y$92</f>
        <v>1474.4843651680885</v>
      </c>
      <c r="AF92" s="6">
        <f ca="1">$M$92*$Z$92</f>
        <v>4934.4510262326148</v>
      </c>
      <c r="AG92" s="6">
        <f ca="1">$O$92*$AA$92</f>
        <v>7530.7010525619598</v>
      </c>
    </row>
    <row r="93" spans="1:33" ht="11.25" customHeight="1" x14ac:dyDescent="0.3">
      <c r="A93" s="4" t="s">
        <v>21</v>
      </c>
      <c r="B93" s="4" t="s">
        <v>39</v>
      </c>
      <c r="C93" s="4" t="s">
        <v>42</v>
      </c>
      <c r="D93" s="4" t="s">
        <v>41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44774</v>
      </c>
      <c r="J93" s="6">
        <v>71</v>
      </c>
      <c r="K93" s="6">
        <v>71</v>
      </c>
      <c r="L93" s="6">
        <v>39.929000000000002</v>
      </c>
      <c r="M93" s="6">
        <v>39.929000000000002</v>
      </c>
      <c r="N93" s="6">
        <v>39.929000000000002</v>
      </c>
      <c r="O93" s="6">
        <v>39.929000000000002</v>
      </c>
      <c r="P93" s="6">
        <v>0</v>
      </c>
      <c r="Q93" s="4" t="s">
        <v>26</v>
      </c>
      <c r="R93" s="4">
        <v>0</v>
      </c>
      <c r="S93" s="6">
        <v>5</v>
      </c>
      <c r="T93" s="6">
        <v>8</v>
      </c>
      <c r="U93" s="6">
        <v>66</v>
      </c>
      <c r="V93" s="6">
        <f>IF(ISERROR(VLOOKUP($S$93,'TAR FIN'!$A$1:$O$103,15,0)),0,VLOOKUP($S$93,'TAR FIN'!$A$1:$O$103,15,0))</f>
        <v>18.920000000000002</v>
      </c>
      <c r="W93" s="6">
        <f>IF(ISERROR(VLOOKUP($T$93,'TAR FIN'!$A$1:$O$103,15,0)),0,VLOOKUP($T$93,'TAR FIN'!$A$1:$O$103,15,0))</f>
        <v>84.99</v>
      </c>
      <c r="X93" s="6">
        <f>IF(ISERROR(VLOOKUP($U$93,'TAR FIN'!$A$1:$O$103,15,0)),0,VLOOKUP($U$93,'TAR FIN'!$A$1:$O$103,15,0))</f>
        <v>242.77</v>
      </c>
      <c r="Y93" s="6">
        <f ca="1">('TUSD BE'!$AM$18+'TUSD BF_350'!$AM$18+'TUSD CVA'!$AM$18)*1</f>
        <v>21.369338625624472</v>
      </c>
      <c r="Z93" s="6">
        <f ca="1">('TUSD BE'!$AM$19+'TUSD BF_350'!$AM$19+'TUSD CVA'!$AM$19)*1</f>
        <v>145.72237393634796</v>
      </c>
      <c r="AA93" s="6">
        <f ca="1">('TE BE'!$AB$9+'TE BF_350'!$AB$9+'TE CVA'!$AB$9)*1</f>
        <v>222.39386487986414</v>
      </c>
      <c r="AB93" s="6">
        <f>$K$93*$V$93</f>
        <v>1343.3200000000002</v>
      </c>
      <c r="AC93" s="6">
        <f>$M$93*$W$93</f>
        <v>3393.5657099999999</v>
      </c>
      <c r="AD93" s="6">
        <f>$O$93*$X$93</f>
        <v>9693.5633300000009</v>
      </c>
      <c r="AE93" s="6">
        <f ca="1">$K$93*$Y$93</f>
        <v>1517.2230424193376</v>
      </c>
      <c r="AF93" s="6">
        <f ca="1">$M$93*$Z$93</f>
        <v>5818.5486689044383</v>
      </c>
      <c r="AG93" s="6">
        <f ca="1">$O$93*$AA$93</f>
        <v>8879.9646307880957</v>
      </c>
    </row>
    <row r="94" spans="1:33" ht="11.25" customHeight="1" x14ac:dyDescent="0.3">
      <c r="A94" s="4" t="s">
        <v>21</v>
      </c>
      <c r="B94" s="4" t="s">
        <v>39</v>
      </c>
      <c r="C94" s="4" t="s">
        <v>42</v>
      </c>
      <c r="D94" s="4" t="s">
        <v>41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44805</v>
      </c>
      <c r="J94" s="6">
        <v>71</v>
      </c>
      <c r="K94" s="6">
        <v>71</v>
      </c>
      <c r="L94" s="6">
        <v>37.898000000000003</v>
      </c>
      <c r="M94" s="6">
        <v>37.898000000000003</v>
      </c>
      <c r="N94" s="6">
        <v>37.898000000000003</v>
      </c>
      <c r="O94" s="6">
        <v>37.898000000000003</v>
      </c>
      <c r="P94" s="6">
        <v>0</v>
      </c>
      <c r="Q94" s="4" t="s">
        <v>26</v>
      </c>
      <c r="R94" s="4">
        <v>0</v>
      </c>
      <c r="S94" s="6">
        <v>5</v>
      </c>
      <c r="T94" s="6">
        <v>8</v>
      </c>
      <c r="U94" s="6">
        <v>66</v>
      </c>
      <c r="V94" s="6">
        <f>IF(ISERROR(VLOOKUP($S$94,'TAR FIN'!$A$1:$O$103,15,0)),0,VLOOKUP($S$94,'TAR FIN'!$A$1:$O$103,15,0))</f>
        <v>18.920000000000002</v>
      </c>
      <c r="W94" s="6">
        <f>IF(ISERROR(VLOOKUP($T$94,'TAR FIN'!$A$1:$O$103,15,0)),0,VLOOKUP($T$94,'TAR FIN'!$A$1:$O$103,15,0))</f>
        <v>84.99</v>
      </c>
      <c r="X94" s="6">
        <f>IF(ISERROR(VLOOKUP($U$94,'TAR FIN'!$A$1:$O$103,15,0)),0,VLOOKUP($U$94,'TAR FIN'!$A$1:$O$103,15,0))</f>
        <v>242.77</v>
      </c>
      <c r="Y94" s="6">
        <f ca="1">('TUSD BE'!$AM$18+'TUSD BF_350'!$AM$18+'TUSD CVA'!$AM$18)*1</f>
        <v>21.369338625624472</v>
      </c>
      <c r="Z94" s="6">
        <f ca="1">('TUSD BE'!$AM$19+'TUSD BF_350'!$AM$19+'TUSD CVA'!$AM$19)*1</f>
        <v>145.72237393634796</v>
      </c>
      <c r="AA94" s="6">
        <f ca="1">('TE BE'!$AB$9+'TE BF_350'!$AB$9+'TE CVA'!$AB$9)*1</f>
        <v>222.39386487986414</v>
      </c>
      <c r="AB94" s="6">
        <f>$K$94*$V$94</f>
        <v>1343.3200000000002</v>
      </c>
      <c r="AC94" s="6">
        <f>$M$94*$W$94</f>
        <v>3220.95102</v>
      </c>
      <c r="AD94" s="6">
        <f>$O$94*$X$94</f>
        <v>9200.4974600000005</v>
      </c>
      <c r="AE94" s="6">
        <f ca="1">$K$94*$Y$94</f>
        <v>1517.2230424193376</v>
      </c>
      <c r="AF94" s="6">
        <f ca="1">$M$94*$Z$94</f>
        <v>5522.5865274397156</v>
      </c>
      <c r="AG94" s="6">
        <f ca="1">$O$94*$AA$94</f>
        <v>8428.2826912170913</v>
      </c>
    </row>
    <row r="95" spans="1:33" ht="11.25" customHeight="1" x14ac:dyDescent="0.3">
      <c r="A95" s="4" t="s">
        <v>57</v>
      </c>
      <c r="B95" s="4" t="s">
        <v>39</v>
      </c>
      <c r="C95" s="4" t="s">
        <v>42</v>
      </c>
      <c r="D95" s="4" t="s">
        <v>41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44835</v>
      </c>
      <c r="J95" s="6">
        <v>71</v>
      </c>
      <c r="K95" s="6">
        <v>71</v>
      </c>
      <c r="L95" s="6">
        <v>37.898000000000003</v>
      </c>
      <c r="M95" s="6">
        <v>37.898000000000003</v>
      </c>
      <c r="N95" s="6">
        <v>37.898000000000003</v>
      </c>
      <c r="O95" s="6">
        <v>37.898000000000003</v>
      </c>
      <c r="P95" s="6">
        <v>0</v>
      </c>
      <c r="Q95" s="4" t="s">
        <v>26</v>
      </c>
      <c r="R95" s="4">
        <v>0</v>
      </c>
      <c r="S95" s="6">
        <v>5</v>
      </c>
      <c r="T95" s="6">
        <v>8</v>
      </c>
      <c r="U95" s="6">
        <v>66</v>
      </c>
      <c r="V95" s="6">
        <f>IF(ISERROR(VLOOKUP($S$95,'TAR FIN'!$A$1:$O$103,15,0)),0,VLOOKUP($S$95,'TAR FIN'!$A$1:$O$103,15,0))</f>
        <v>18.920000000000002</v>
      </c>
      <c r="W95" s="6">
        <f>IF(ISERROR(VLOOKUP($T$95,'TAR FIN'!$A$1:$O$103,15,0)),0,VLOOKUP($T$95,'TAR FIN'!$A$1:$O$103,15,0))</f>
        <v>84.99</v>
      </c>
      <c r="X95" s="6">
        <f>IF(ISERROR(VLOOKUP($U$95,'TAR FIN'!$A$1:$O$103,15,0)),0,VLOOKUP($U$95,'TAR FIN'!$A$1:$O$103,15,0))</f>
        <v>242.77</v>
      </c>
      <c r="Y95" s="6">
        <f ca="1">('TUSD BE'!$AM$18+'TUSD BF_350'!$AM$18+'TUSD CVA'!$AM$18)*1</f>
        <v>21.369338625624472</v>
      </c>
      <c r="Z95" s="6">
        <f ca="1">('TUSD BE'!$AM$19+'TUSD BF_350'!$AM$19+'TUSD CVA'!$AM$19)*1</f>
        <v>145.72237393634796</v>
      </c>
      <c r="AA95" s="6">
        <f ca="1">('TE BE'!$AB$9+'TE BF_350'!$AB$9+'TE CVA'!$AB$9)*1</f>
        <v>222.39386487986414</v>
      </c>
      <c r="AB95" s="6">
        <f>$K$95*$V$95</f>
        <v>1343.3200000000002</v>
      </c>
      <c r="AC95" s="6">
        <f>$M$95*$W$95</f>
        <v>3220.95102</v>
      </c>
      <c r="AD95" s="6">
        <f>$O$95*$X$95</f>
        <v>9200.4974600000005</v>
      </c>
      <c r="AE95" s="6">
        <f ca="1">$K$95*$Y$95</f>
        <v>1517.2230424193376</v>
      </c>
      <c r="AF95" s="6">
        <f ca="1">$M$95*$Z$95</f>
        <v>5522.5865274397156</v>
      </c>
      <c r="AG95" s="6">
        <f ca="1">$O$95*$AA$95</f>
        <v>8428.2826912170913</v>
      </c>
    </row>
    <row r="96" spans="1:33" ht="11.25" customHeight="1" x14ac:dyDescent="0.3">
      <c r="A96" s="4" t="s">
        <v>21</v>
      </c>
      <c r="B96" s="4" t="s">
        <v>39</v>
      </c>
      <c r="C96" s="4" t="s">
        <v>42</v>
      </c>
      <c r="D96" s="4" t="s">
        <v>41</v>
      </c>
      <c r="E96" s="4" t="s">
        <v>25</v>
      </c>
      <c r="F96" s="4" t="s">
        <v>25</v>
      </c>
      <c r="G96" s="4" t="s">
        <v>25</v>
      </c>
      <c r="H96" s="4" t="s">
        <v>34</v>
      </c>
      <c r="I96" s="5">
        <v>44501</v>
      </c>
      <c r="J96" s="6">
        <v>69</v>
      </c>
      <c r="K96" s="6">
        <v>69</v>
      </c>
      <c r="L96" s="6">
        <v>3.7280000000000002</v>
      </c>
      <c r="M96" s="6">
        <v>3.7280000000000002</v>
      </c>
      <c r="N96" s="6">
        <v>3.7280000000000002</v>
      </c>
      <c r="O96" s="6">
        <v>3.7280000000000002</v>
      </c>
      <c r="P96" s="6">
        <v>0</v>
      </c>
      <c r="Q96" s="4" t="s">
        <v>26</v>
      </c>
      <c r="R96" s="4">
        <v>0</v>
      </c>
      <c r="S96" s="6">
        <v>4</v>
      </c>
      <c r="T96" s="6">
        <v>8</v>
      </c>
      <c r="U96" s="6">
        <v>65</v>
      </c>
      <c r="V96" s="6">
        <f>IF(ISERROR(VLOOKUP($S$96,'TAR FIN'!$A$1:$O$103,15,0)),0,VLOOKUP($S$96,'TAR FIN'!$A$1:$O$103,15,0))</f>
        <v>45.73</v>
      </c>
      <c r="W96" s="6">
        <f>IF(ISERROR(VLOOKUP($T$96,'TAR FIN'!$A$1:$O$103,15,0)),0,VLOOKUP($T$96,'TAR FIN'!$A$1:$O$103,15,0))</f>
        <v>84.99</v>
      </c>
      <c r="X96" s="6">
        <f>IF(ISERROR(VLOOKUP($U$96,'TAR FIN'!$A$1:$O$103,15,0)),0,VLOOKUP($U$96,'TAR FIN'!$A$1:$O$103,15,0))</f>
        <v>391.54</v>
      </c>
      <c r="Y96" s="6">
        <f ca="1">('TUSD BE'!$AM$17+'TUSD BF_350'!$AM$17+'TUSD CVA'!$AM$17)*1</f>
        <v>51.039453840016805</v>
      </c>
      <c r="Z96" s="6">
        <f ca="1">('TUSD BE'!$AM$19+'TUSD BF_350'!$AM$19+'TUSD CVA'!$AM$19)*1</f>
        <v>145.72237393634796</v>
      </c>
      <c r="AA96" s="6">
        <f ca="1">('TE BE'!$AB$8+'TE BF_350'!$AB$8+'TE CVA'!$AB$8)*1</f>
        <v>361.95264704220779</v>
      </c>
      <c r="AB96" s="6">
        <f>$K$96*$V$96</f>
        <v>3155.37</v>
      </c>
      <c r="AC96" s="6">
        <f>$M$96*$W$96</f>
        <v>316.84271999999999</v>
      </c>
      <c r="AD96" s="6">
        <f>$O$96*$X$96</f>
        <v>1459.6611200000002</v>
      </c>
      <c r="AE96" s="6">
        <f ca="1">$K$96*$Y$96</f>
        <v>3521.7223149611596</v>
      </c>
      <c r="AF96" s="6">
        <f ca="1">$M$96*$Z$96</f>
        <v>543.2530100347052</v>
      </c>
      <c r="AG96" s="6">
        <f ca="1">$O$96*$AA$96</f>
        <v>1349.3594681733507</v>
      </c>
    </row>
    <row r="97" spans="1:33" ht="11.25" customHeight="1" x14ac:dyDescent="0.3">
      <c r="A97" s="4" t="s">
        <v>21</v>
      </c>
      <c r="B97" s="4" t="s">
        <v>39</v>
      </c>
      <c r="C97" s="4" t="s">
        <v>42</v>
      </c>
      <c r="D97" s="4" t="s">
        <v>41</v>
      </c>
      <c r="E97" s="4" t="s">
        <v>25</v>
      </c>
      <c r="F97" s="4" t="s">
        <v>25</v>
      </c>
      <c r="G97" s="4" t="s">
        <v>25</v>
      </c>
      <c r="H97" s="4" t="s">
        <v>34</v>
      </c>
      <c r="I97" s="5">
        <v>44531</v>
      </c>
      <c r="J97" s="6">
        <v>69</v>
      </c>
      <c r="K97" s="6">
        <v>69</v>
      </c>
      <c r="L97" s="6">
        <v>4.2489999999999997</v>
      </c>
      <c r="M97" s="6">
        <v>4.2489999999999997</v>
      </c>
      <c r="N97" s="6">
        <v>4.2489999999999997</v>
      </c>
      <c r="O97" s="6">
        <v>4.2489999999999997</v>
      </c>
      <c r="P97" s="6">
        <v>0</v>
      </c>
      <c r="Q97" s="4" t="s">
        <v>26</v>
      </c>
      <c r="R97" s="4">
        <v>0</v>
      </c>
      <c r="S97" s="6">
        <v>4</v>
      </c>
      <c r="T97" s="6">
        <v>8</v>
      </c>
      <c r="U97" s="6">
        <v>65</v>
      </c>
      <c r="V97" s="6">
        <f>IF(ISERROR(VLOOKUP($S$97,'TAR FIN'!$A$1:$O$103,15,0)),0,VLOOKUP($S$97,'TAR FIN'!$A$1:$O$103,15,0))</f>
        <v>45.73</v>
      </c>
      <c r="W97" s="6">
        <f>IF(ISERROR(VLOOKUP($T$97,'TAR FIN'!$A$1:$O$103,15,0)),0,VLOOKUP($T$97,'TAR FIN'!$A$1:$O$103,15,0))</f>
        <v>84.99</v>
      </c>
      <c r="X97" s="6">
        <f>IF(ISERROR(VLOOKUP($U$97,'TAR FIN'!$A$1:$O$103,15,0)),0,VLOOKUP($U$97,'TAR FIN'!$A$1:$O$103,15,0))</f>
        <v>391.54</v>
      </c>
      <c r="Y97" s="6">
        <f ca="1">('TUSD BE'!$AM$17+'TUSD BF_350'!$AM$17+'TUSD CVA'!$AM$17)*1</f>
        <v>51.039453840016805</v>
      </c>
      <c r="Z97" s="6">
        <f ca="1">('TUSD BE'!$AM$19+'TUSD BF_350'!$AM$19+'TUSD CVA'!$AM$19)*1</f>
        <v>145.72237393634796</v>
      </c>
      <c r="AA97" s="6">
        <f ca="1">('TE BE'!$AB$8+'TE BF_350'!$AB$8+'TE CVA'!$AB$8)*1</f>
        <v>361.95264704220779</v>
      </c>
      <c r="AB97" s="6">
        <f>$K$97*$V$97</f>
        <v>3155.37</v>
      </c>
      <c r="AC97" s="6">
        <f>$M$97*$W$97</f>
        <v>361.12250999999998</v>
      </c>
      <c r="AD97" s="6">
        <f>$O$97*$X$97</f>
        <v>1663.65346</v>
      </c>
      <c r="AE97" s="6">
        <f ca="1">$K$97*$Y$97</f>
        <v>3521.7223149611596</v>
      </c>
      <c r="AF97" s="6">
        <f ca="1">$M$97*$Z$97</f>
        <v>619.17436685554242</v>
      </c>
      <c r="AG97" s="6">
        <f ca="1">$O$97*$AA$97</f>
        <v>1537.9367972823409</v>
      </c>
    </row>
    <row r="98" spans="1:33" ht="11.25" customHeight="1" x14ac:dyDescent="0.3">
      <c r="A98" s="4" t="s">
        <v>21</v>
      </c>
      <c r="B98" s="4" t="s">
        <v>39</v>
      </c>
      <c r="C98" s="4" t="s">
        <v>42</v>
      </c>
      <c r="D98" s="4" t="s">
        <v>41</v>
      </c>
      <c r="E98" s="4" t="s">
        <v>25</v>
      </c>
      <c r="F98" s="4" t="s">
        <v>25</v>
      </c>
      <c r="G98" s="4" t="s">
        <v>25</v>
      </c>
      <c r="H98" s="4" t="s">
        <v>34</v>
      </c>
      <c r="I98" s="5">
        <v>44562</v>
      </c>
      <c r="J98" s="6">
        <v>71</v>
      </c>
      <c r="K98" s="6">
        <v>71</v>
      </c>
      <c r="L98" s="6">
        <v>3.9460000000000002</v>
      </c>
      <c r="M98" s="6">
        <v>3.9460000000000002</v>
      </c>
      <c r="N98" s="6">
        <v>3.9460000000000002</v>
      </c>
      <c r="O98" s="6">
        <v>3.9460000000000002</v>
      </c>
      <c r="P98" s="6">
        <v>0</v>
      </c>
      <c r="Q98" s="4" t="s">
        <v>26</v>
      </c>
      <c r="R98" s="4">
        <v>0</v>
      </c>
      <c r="S98" s="6">
        <v>4</v>
      </c>
      <c r="T98" s="6">
        <v>8</v>
      </c>
      <c r="U98" s="6">
        <v>65</v>
      </c>
      <c r="V98" s="6">
        <f>IF(ISERROR(VLOOKUP($S$98,'TAR FIN'!$A$1:$O$103,15,0)),0,VLOOKUP($S$98,'TAR FIN'!$A$1:$O$103,15,0))</f>
        <v>45.73</v>
      </c>
      <c r="W98" s="6">
        <f>IF(ISERROR(VLOOKUP($T$98,'TAR FIN'!$A$1:$O$103,15,0)),0,VLOOKUP($T$98,'TAR FIN'!$A$1:$O$103,15,0))</f>
        <v>84.99</v>
      </c>
      <c r="X98" s="6">
        <f>IF(ISERROR(VLOOKUP($U$98,'TAR FIN'!$A$1:$O$103,15,0)),0,VLOOKUP($U$98,'TAR FIN'!$A$1:$O$103,15,0))</f>
        <v>391.54</v>
      </c>
      <c r="Y98" s="6">
        <f ca="1">('TUSD BE'!$AM$17+'TUSD BF_350'!$AM$17+'TUSD CVA'!$AM$17)*1</f>
        <v>51.039453840016805</v>
      </c>
      <c r="Z98" s="6">
        <f ca="1">('TUSD BE'!$AM$19+'TUSD BF_350'!$AM$19+'TUSD CVA'!$AM$19)*1</f>
        <v>145.72237393634796</v>
      </c>
      <c r="AA98" s="6">
        <f ca="1">('TE BE'!$AB$8+'TE BF_350'!$AB$8+'TE CVA'!$AB$8)*1</f>
        <v>361.95264704220779</v>
      </c>
      <c r="AB98" s="6">
        <f>$K$98*$V$98</f>
        <v>3246.83</v>
      </c>
      <c r="AC98" s="6">
        <f>$M$98*$W$98</f>
        <v>335.37054000000001</v>
      </c>
      <c r="AD98" s="6">
        <f>$O$98*$X$98</f>
        <v>1545.0168400000002</v>
      </c>
      <c r="AE98" s="6">
        <f ca="1">$K$98*$Y$98</f>
        <v>3623.8012226411929</v>
      </c>
      <c r="AF98" s="6">
        <f ca="1">$M$98*$Z$98</f>
        <v>575.02048755282908</v>
      </c>
      <c r="AG98" s="6">
        <f ca="1">$O$98*$AA$98</f>
        <v>1428.265145228552</v>
      </c>
    </row>
    <row r="99" spans="1:33" ht="11.25" customHeight="1" x14ac:dyDescent="0.3">
      <c r="A99" s="4" t="s">
        <v>21</v>
      </c>
      <c r="B99" s="4" t="s">
        <v>39</v>
      </c>
      <c r="C99" s="4" t="s">
        <v>42</v>
      </c>
      <c r="D99" s="4" t="s">
        <v>41</v>
      </c>
      <c r="E99" s="4" t="s">
        <v>25</v>
      </c>
      <c r="F99" s="4" t="s">
        <v>25</v>
      </c>
      <c r="G99" s="4" t="s">
        <v>25</v>
      </c>
      <c r="H99" s="4" t="s">
        <v>34</v>
      </c>
      <c r="I99" s="5">
        <v>44593</v>
      </c>
      <c r="J99" s="6">
        <v>69</v>
      </c>
      <c r="K99" s="6">
        <v>69</v>
      </c>
      <c r="L99" s="6">
        <v>3.734</v>
      </c>
      <c r="M99" s="6">
        <v>3.734</v>
      </c>
      <c r="N99" s="6">
        <v>3.734</v>
      </c>
      <c r="O99" s="6">
        <v>3.734</v>
      </c>
      <c r="P99" s="6">
        <v>0</v>
      </c>
      <c r="Q99" s="4" t="s">
        <v>26</v>
      </c>
      <c r="R99" s="4">
        <v>0</v>
      </c>
      <c r="S99" s="6">
        <v>4</v>
      </c>
      <c r="T99" s="6">
        <v>8</v>
      </c>
      <c r="U99" s="6">
        <v>65</v>
      </c>
      <c r="V99" s="6">
        <f>IF(ISERROR(VLOOKUP($S$99,'TAR FIN'!$A$1:$O$103,15,0)),0,VLOOKUP($S$99,'TAR FIN'!$A$1:$O$103,15,0))</f>
        <v>45.73</v>
      </c>
      <c r="W99" s="6">
        <f>IF(ISERROR(VLOOKUP($T$99,'TAR FIN'!$A$1:$O$103,15,0)),0,VLOOKUP($T$99,'TAR FIN'!$A$1:$O$103,15,0))</f>
        <v>84.99</v>
      </c>
      <c r="X99" s="6">
        <f>IF(ISERROR(VLOOKUP($U$99,'TAR FIN'!$A$1:$O$103,15,0)),0,VLOOKUP($U$99,'TAR FIN'!$A$1:$O$103,15,0))</f>
        <v>391.54</v>
      </c>
      <c r="Y99" s="6">
        <f ca="1">('TUSD BE'!$AM$17+'TUSD BF_350'!$AM$17+'TUSD CVA'!$AM$17)*1</f>
        <v>51.039453840016805</v>
      </c>
      <c r="Z99" s="6">
        <f ca="1">('TUSD BE'!$AM$19+'TUSD BF_350'!$AM$19+'TUSD CVA'!$AM$19)*1</f>
        <v>145.72237393634796</v>
      </c>
      <c r="AA99" s="6">
        <f ca="1">('TE BE'!$AB$8+'TE BF_350'!$AB$8+'TE CVA'!$AB$8)*1</f>
        <v>361.95264704220779</v>
      </c>
      <c r="AB99" s="6">
        <f>$K$99*$V$99</f>
        <v>3155.37</v>
      </c>
      <c r="AC99" s="6">
        <f>$M$99*$W$99</f>
        <v>317.35265999999996</v>
      </c>
      <c r="AD99" s="6">
        <f>$O$99*$X$99</f>
        <v>1462.01036</v>
      </c>
      <c r="AE99" s="6">
        <f ca="1">$K$99*$Y$99</f>
        <v>3521.7223149611596</v>
      </c>
      <c r="AF99" s="6">
        <f ca="1">$M$99*$Z$99</f>
        <v>544.12734427832333</v>
      </c>
      <c r="AG99" s="6">
        <f ca="1">$O$99*$AA$99</f>
        <v>1351.5311840556039</v>
      </c>
    </row>
    <row r="100" spans="1:33" ht="11.25" customHeight="1" x14ac:dyDescent="0.3">
      <c r="A100" s="4" t="s">
        <v>21</v>
      </c>
      <c r="B100" s="4" t="s">
        <v>39</v>
      </c>
      <c r="C100" s="4" t="s">
        <v>42</v>
      </c>
      <c r="D100" s="4" t="s">
        <v>41</v>
      </c>
      <c r="E100" s="4" t="s">
        <v>25</v>
      </c>
      <c r="F100" s="4" t="s">
        <v>25</v>
      </c>
      <c r="G100" s="4" t="s">
        <v>25</v>
      </c>
      <c r="H100" s="4" t="s">
        <v>34</v>
      </c>
      <c r="I100" s="5">
        <v>44621</v>
      </c>
      <c r="J100" s="6">
        <v>69</v>
      </c>
      <c r="K100" s="6">
        <v>69</v>
      </c>
      <c r="L100" s="6">
        <v>4.2190000000000003</v>
      </c>
      <c r="M100" s="6">
        <v>4.2190000000000003</v>
      </c>
      <c r="N100" s="6">
        <v>4.2190000000000003</v>
      </c>
      <c r="O100" s="6">
        <v>4.2190000000000003</v>
      </c>
      <c r="P100" s="6">
        <v>0</v>
      </c>
      <c r="Q100" s="4" t="s">
        <v>26</v>
      </c>
      <c r="R100" s="4">
        <v>0</v>
      </c>
      <c r="S100" s="6">
        <v>4</v>
      </c>
      <c r="T100" s="6">
        <v>8</v>
      </c>
      <c r="U100" s="6">
        <v>65</v>
      </c>
      <c r="V100" s="6">
        <f>IF(ISERROR(VLOOKUP($S$100,'TAR FIN'!$A$1:$O$103,15,0)),0,VLOOKUP($S$100,'TAR FIN'!$A$1:$O$103,15,0))</f>
        <v>45.73</v>
      </c>
      <c r="W100" s="6">
        <f>IF(ISERROR(VLOOKUP($T$100,'TAR FIN'!$A$1:$O$103,15,0)),0,VLOOKUP($T$100,'TAR FIN'!$A$1:$O$103,15,0))</f>
        <v>84.99</v>
      </c>
      <c r="X100" s="6">
        <f>IF(ISERROR(VLOOKUP($U$100,'TAR FIN'!$A$1:$O$103,15,0)),0,VLOOKUP($U$100,'TAR FIN'!$A$1:$O$103,15,0))</f>
        <v>391.54</v>
      </c>
      <c r="Y100" s="6">
        <f ca="1">('TUSD BE'!$AM$17+'TUSD BF_350'!$AM$17+'TUSD CVA'!$AM$17)*1</f>
        <v>51.039453840016805</v>
      </c>
      <c r="Z100" s="6">
        <f ca="1">('TUSD BE'!$AM$19+'TUSD BF_350'!$AM$19+'TUSD CVA'!$AM$19)*1</f>
        <v>145.72237393634796</v>
      </c>
      <c r="AA100" s="6">
        <f ca="1">('TE BE'!$AB$8+'TE BF_350'!$AB$8+'TE CVA'!$AB$8)*1</f>
        <v>361.95264704220779</v>
      </c>
      <c r="AB100" s="6">
        <f>$K$100*$V$100</f>
        <v>3155.37</v>
      </c>
      <c r="AC100" s="6">
        <f>$M$100*$W$100</f>
        <v>358.57281</v>
      </c>
      <c r="AD100" s="6">
        <f>$O$100*$X$100</f>
        <v>1651.9072600000002</v>
      </c>
      <c r="AE100" s="6">
        <f ca="1">$K$100*$Y$100</f>
        <v>3521.7223149611596</v>
      </c>
      <c r="AF100" s="6">
        <f ca="1">$M$100*$Z$100</f>
        <v>614.80269563745208</v>
      </c>
      <c r="AG100" s="6">
        <f ca="1">$O$100*$AA$100</f>
        <v>1527.0782178710747</v>
      </c>
    </row>
    <row r="101" spans="1:33" ht="11.25" customHeight="1" x14ac:dyDescent="0.3">
      <c r="A101" s="4" t="s">
        <v>21</v>
      </c>
      <c r="B101" s="4" t="s">
        <v>39</v>
      </c>
      <c r="C101" s="4" t="s">
        <v>42</v>
      </c>
      <c r="D101" s="4" t="s">
        <v>41</v>
      </c>
      <c r="E101" s="4" t="s">
        <v>25</v>
      </c>
      <c r="F101" s="4" t="s">
        <v>25</v>
      </c>
      <c r="G101" s="4" t="s">
        <v>25</v>
      </c>
      <c r="H101" s="4" t="s">
        <v>34</v>
      </c>
      <c r="I101" s="5">
        <v>44652</v>
      </c>
      <c r="J101" s="6">
        <v>69</v>
      </c>
      <c r="K101" s="6">
        <v>69</v>
      </c>
      <c r="L101" s="6">
        <v>3.7389999999999999</v>
      </c>
      <c r="M101" s="6">
        <v>3.7389999999999999</v>
      </c>
      <c r="N101" s="6">
        <v>3.7389999999999999</v>
      </c>
      <c r="O101" s="6">
        <v>3.7389999999999999</v>
      </c>
      <c r="P101" s="6">
        <v>0</v>
      </c>
      <c r="Q101" s="4" t="s">
        <v>26</v>
      </c>
      <c r="R101" s="4">
        <v>0</v>
      </c>
      <c r="S101" s="6">
        <v>4</v>
      </c>
      <c r="T101" s="6">
        <v>8</v>
      </c>
      <c r="U101" s="6">
        <v>65</v>
      </c>
      <c r="V101" s="6">
        <f>IF(ISERROR(VLOOKUP($S$101,'TAR FIN'!$A$1:$O$103,15,0)),0,VLOOKUP($S$101,'TAR FIN'!$A$1:$O$103,15,0))</f>
        <v>45.73</v>
      </c>
      <c r="W101" s="6">
        <f>IF(ISERROR(VLOOKUP($T$101,'TAR FIN'!$A$1:$O$103,15,0)),0,VLOOKUP($T$101,'TAR FIN'!$A$1:$O$103,15,0))</f>
        <v>84.99</v>
      </c>
      <c r="X101" s="6">
        <f>IF(ISERROR(VLOOKUP($U$101,'TAR FIN'!$A$1:$O$103,15,0)),0,VLOOKUP($U$101,'TAR FIN'!$A$1:$O$103,15,0))</f>
        <v>391.54</v>
      </c>
      <c r="Y101" s="6">
        <f ca="1">('TUSD BE'!$AM$17+'TUSD BF_350'!$AM$17+'TUSD CVA'!$AM$17)*1</f>
        <v>51.039453840016805</v>
      </c>
      <c r="Z101" s="6">
        <f ca="1">('TUSD BE'!$AM$19+'TUSD BF_350'!$AM$19+'TUSD CVA'!$AM$19)*1</f>
        <v>145.72237393634796</v>
      </c>
      <c r="AA101" s="6">
        <f ca="1">('TE BE'!$AB$8+'TE BF_350'!$AB$8+'TE CVA'!$AB$8)*1</f>
        <v>361.95264704220779</v>
      </c>
      <c r="AB101" s="6">
        <f>$K$101*$V$101</f>
        <v>3155.37</v>
      </c>
      <c r="AC101" s="6">
        <f>$M$101*$W$101</f>
        <v>317.77760999999998</v>
      </c>
      <c r="AD101" s="6">
        <f>$O$101*$X$101</f>
        <v>1463.9680599999999</v>
      </c>
      <c r="AE101" s="6">
        <f ca="1">$K$101*$Y$101</f>
        <v>3521.7223149611596</v>
      </c>
      <c r="AF101" s="6">
        <f ca="1">$M$101*$Z$101</f>
        <v>544.85595614800502</v>
      </c>
      <c r="AG101" s="6">
        <f ca="1">$O$101*$AA$101</f>
        <v>1353.3409472908149</v>
      </c>
    </row>
    <row r="102" spans="1:33" ht="11.25" customHeight="1" x14ac:dyDescent="0.3">
      <c r="A102" s="4" t="s">
        <v>21</v>
      </c>
      <c r="B102" s="4" t="s">
        <v>39</v>
      </c>
      <c r="C102" s="4" t="s">
        <v>42</v>
      </c>
      <c r="D102" s="4" t="s">
        <v>41</v>
      </c>
      <c r="E102" s="4" t="s">
        <v>25</v>
      </c>
      <c r="F102" s="4" t="s">
        <v>25</v>
      </c>
      <c r="G102" s="4" t="s">
        <v>25</v>
      </c>
      <c r="H102" s="4" t="s">
        <v>34</v>
      </c>
      <c r="I102" s="5">
        <v>44682</v>
      </c>
      <c r="J102" s="6">
        <v>69</v>
      </c>
      <c r="K102" s="6">
        <v>69</v>
      </c>
      <c r="L102" s="6">
        <v>3.806</v>
      </c>
      <c r="M102" s="6">
        <v>3.806</v>
      </c>
      <c r="N102" s="6">
        <v>3.806</v>
      </c>
      <c r="O102" s="6">
        <v>3.806</v>
      </c>
      <c r="P102" s="6">
        <v>0</v>
      </c>
      <c r="Q102" s="4" t="s">
        <v>26</v>
      </c>
      <c r="R102" s="4">
        <v>0</v>
      </c>
      <c r="S102" s="6">
        <v>4</v>
      </c>
      <c r="T102" s="6">
        <v>8</v>
      </c>
      <c r="U102" s="6">
        <v>65</v>
      </c>
      <c r="V102" s="6">
        <f>IF(ISERROR(VLOOKUP($S$102,'TAR FIN'!$A$1:$O$103,15,0)),0,VLOOKUP($S$102,'TAR FIN'!$A$1:$O$103,15,0))</f>
        <v>45.73</v>
      </c>
      <c r="W102" s="6">
        <f>IF(ISERROR(VLOOKUP($T$102,'TAR FIN'!$A$1:$O$103,15,0)),0,VLOOKUP($T$102,'TAR FIN'!$A$1:$O$103,15,0))</f>
        <v>84.99</v>
      </c>
      <c r="X102" s="6">
        <f>IF(ISERROR(VLOOKUP($U$102,'TAR FIN'!$A$1:$O$103,15,0)),0,VLOOKUP($U$102,'TAR FIN'!$A$1:$O$103,15,0))</f>
        <v>391.54</v>
      </c>
      <c r="Y102" s="6">
        <f ca="1">('TUSD BE'!$AM$17+'TUSD BF_350'!$AM$17+'TUSD CVA'!$AM$17)*1</f>
        <v>51.039453840016805</v>
      </c>
      <c r="Z102" s="6">
        <f ca="1">('TUSD BE'!$AM$19+'TUSD BF_350'!$AM$19+'TUSD CVA'!$AM$19)*1</f>
        <v>145.72237393634796</v>
      </c>
      <c r="AA102" s="6">
        <f ca="1">('TE BE'!$AB$8+'TE BF_350'!$AB$8+'TE CVA'!$AB$8)*1</f>
        <v>361.95264704220779</v>
      </c>
      <c r="AB102" s="6">
        <f>$K$102*$V$102</f>
        <v>3155.37</v>
      </c>
      <c r="AC102" s="6">
        <f>$M$102*$W$102</f>
        <v>323.47193999999996</v>
      </c>
      <c r="AD102" s="6">
        <f>$O$102*$X$102</f>
        <v>1490.2012400000001</v>
      </c>
      <c r="AE102" s="6">
        <f ca="1">$K$102*$Y$102</f>
        <v>3521.7223149611596</v>
      </c>
      <c r="AF102" s="6">
        <f ca="1">$M$102*$Z$102</f>
        <v>554.6193552017404</v>
      </c>
      <c r="AG102" s="6">
        <f ca="1">$O$102*$AA$102</f>
        <v>1377.5917746426428</v>
      </c>
    </row>
    <row r="103" spans="1:33" ht="11.25" customHeight="1" x14ac:dyDescent="0.3">
      <c r="A103" s="4" t="s">
        <v>21</v>
      </c>
      <c r="B103" s="4" t="s">
        <v>39</v>
      </c>
      <c r="C103" s="4" t="s">
        <v>42</v>
      </c>
      <c r="D103" s="4" t="s">
        <v>41</v>
      </c>
      <c r="E103" s="4" t="s">
        <v>25</v>
      </c>
      <c r="F103" s="4" t="s">
        <v>25</v>
      </c>
      <c r="G103" s="4" t="s">
        <v>25</v>
      </c>
      <c r="H103" s="4" t="s">
        <v>34</v>
      </c>
      <c r="I103" s="5">
        <v>44713</v>
      </c>
      <c r="J103" s="6">
        <v>69</v>
      </c>
      <c r="K103" s="6">
        <v>69</v>
      </c>
      <c r="L103" s="6">
        <v>3.0289999999999999</v>
      </c>
      <c r="M103" s="6">
        <v>3.0289999999999999</v>
      </c>
      <c r="N103" s="6">
        <v>3.0289999999999999</v>
      </c>
      <c r="O103" s="6">
        <v>3.0289999999999999</v>
      </c>
      <c r="P103" s="6">
        <v>0</v>
      </c>
      <c r="Q103" s="4" t="s">
        <v>26</v>
      </c>
      <c r="R103" s="4">
        <v>0</v>
      </c>
      <c r="S103" s="6">
        <v>4</v>
      </c>
      <c r="T103" s="6">
        <v>8</v>
      </c>
      <c r="U103" s="6">
        <v>65</v>
      </c>
      <c r="V103" s="6">
        <f>IF(ISERROR(VLOOKUP($S$103,'TAR FIN'!$A$1:$O$103,15,0)),0,VLOOKUP($S$103,'TAR FIN'!$A$1:$O$103,15,0))</f>
        <v>45.73</v>
      </c>
      <c r="W103" s="6">
        <f>IF(ISERROR(VLOOKUP($T$103,'TAR FIN'!$A$1:$O$103,15,0)),0,VLOOKUP($T$103,'TAR FIN'!$A$1:$O$103,15,0))</f>
        <v>84.99</v>
      </c>
      <c r="X103" s="6">
        <f>IF(ISERROR(VLOOKUP($U$103,'TAR FIN'!$A$1:$O$103,15,0)),0,VLOOKUP($U$103,'TAR FIN'!$A$1:$O$103,15,0))</f>
        <v>391.54</v>
      </c>
      <c r="Y103" s="6">
        <f ca="1">('TUSD BE'!$AM$17+'TUSD BF_350'!$AM$17+'TUSD CVA'!$AM$17)*1</f>
        <v>51.039453840016805</v>
      </c>
      <c r="Z103" s="6">
        <f ca="1">('TUSD BE'!$AM$19+'TUSD BF_350'!$AM$19+'TUSD CVA'!$AM$19)*1</f>
        <v>145.72237393634796</v>
      </c>
      <c r="AA103" s="6">
        <f ca="1">('TE BE'!$AB$8+'TE BF_350'!$AB$8+'TE CVA'!$AB$8)*1</f>
        <v>361.95264704220779</v>
      </c>
      <c r="AB103" s="6">
        <f>$K$103*$V$103</f>
        <v>3155.37</v>
      </c>
      <c r="AC103" s="6">
        <f>$M$103*$W$103</f>
        <v>257.43471</v>
      </c>
      <c r="AD103" s="6">
        <f>$O$103*$X$103</f>
        <v>1185.9746600000001</v>
      </c>
      <c r="AE103" s="6">
        <f ca="1">$K$103*$Y$103</f>
        <v>3521.7223149611596</v>
      </c>
      <c r="AF103" s="6">
        <f ca="1">$M$103*$Z$103</f>
        <v>441.39307065319798</v>
      </c>
      <c r="AG103" s="6">
        <f ca="1">$O$103*$AA$103</f>
        <v>1096.3545678908474</v>
      </c>
    </row>
    <row r="104" spans="1:33" ht="11.25" customHeight="1" x14ac:dyDescent="0.3">
      <c r="A104" s="4" t="s">
        <v>21</v>
      </c>
      <c r="B104" s="4" t="s">
        <v>39</v>
      </c>
      <c r="C104" s="4" t="s">
        <v>42</v>
      </c>
      <c r="D104" s="4" t="s">
        <v>41</v>
      </c>
      <c r="E104" s="4" t="s">
        <v>25</v>
      </c>
      <c r="F104" s="4" t="s">
        <v>25</v>
      </c>
      <c r="G104" s="4" t="s">
        <v>25</v>
      </c>
      <c r="H104" s="4" t="s">
        <v>34</v>
      </c>
      <c r="I104" s="5">
        <v>44743</v>
      </c>
      <c r="J104" s="6">
        <v>69</v>
      </c>
      <c r="K104" s="6">
        <v>69</v>
      </c>
      <c r="L104" s="6">
        <v>3.2509999999999999</v>
      </c>
      <c r="M104" s="6">
        <v>3.2509999999999999</v>
      </c>
      <c r="N104" s="6">
        <v>3.2509999999999999</v>
      </c>
      <c r="O104" s="6">
        <v>3.2509999999999999</v>
      </c>
      <c r="P104" s="6">
        <v>0</v>
      </c>
      <c r="Q104" s="4" t="s">
        <v>26</v>
      </c>
      <c r="R104" s="4">
        <v>0</v>
      </c>
      <c r="S104" s="6">
        <v>4</v>
      </c>
      <c r="T104" s="6">
        <v>8</v>
      </c>
      <c r="U104" s="6">
        <v>65</v>
      </c>
      <c r="V104" s="6">
        <f>IF(ISERROR(VLOOKUP($S$104,'TAR FIN'!$A$1:$O$103,15,0)),0,VLOOKUP($S$104,'TAR FIN'!$A$1:$O$103,15,0))</f>
        <v>45.73</v>
      </c>
      <c r="W104" s="6">
        <f>IF(ISERROR(VLOOKUP($T$104,'TAR FIN'!$A$1:$O$103,15,0)),0,VLOOKUP($T$104,'TAR FIN'!$A$1:$O$103,15,0))</f>
        <v>84.99</v>
      </c>
      <c r="X104" s="6">
        <f>IF(ISERROR(VLOOKUP($U$104,'TAR FIN'!$A$1:$O$103,15,0)),0,VLOOKUP($U$104,'TAR FIN'!$A$1:$O$103,15,0))</f>
        <v>391.54</v>
      </c>
      <c r="Y104" s="6">
        <f ca="1">('TUSD BE'!$AM$17+'TUSD BF_350'!$AM$17+'TUSD CVA'!$AM$17)*1</f>
        <v>51.039453840016805</v>
      </c>
      <c r="Z104" s="6">
        <f ca="1">('TUSD BE'!$AM$19+'TUSD BF_350'!$AM$19+'TUSD CVA'!$AM$19)*1</f>
        <v>145.72237393634796</v>
      </c>
      <c r="AA104" s="6">
        <f ca="1">('TE BE'!$AB$8+'TE BF_350'!$AB$8+'TE CVA'!$AB$8)*1</f>
        <v>361.95264704220779</v>
      </c>
      <c r="AB104" s="6">
        <f>$K$104*$V$104</f>
        <v>3155.37</v>
      </c>
      <c r="AC104" s="6">
        <f>$M$104*$W$104</f>
        <v>276.30248999999998</v>
      </c>
      <c r="AD104" s="6">
        <f>$O$104*$X$104</f>
        <v>1272.89654</v>
      </c>
      <c r="AE104" s="6">
        <f ca="1">$K$104*$Y$104</f>
        <v>3521.7223149611596</v>
      </c>
      <c r="AF104" s="6">
        <f ca="1">$M$104*$Z$104</f>
        <v>473.74343766706721</v>
      </c>
      <c r="AG104" s="6">
        <f ca="1">$O$104*$AA$104</f>
        <v>1176.7080555342175</v>
      </c>
    </row>
    <row r="105" spans="1:33" ht="11.25" customHeight="1" x14ac:dyDescent="0.3">
      <c r="A105" s="4" t="s">
        <v>21</v>
      </c>
      <c r="B105" s="4" t="s">
        <v>39</v>
      </c>
      <c r="C105" s="4" t="s">
        <v>42</v>
      </c>
      <c r="D105" s="4" t="s">
        <v>41</v>
      </c>
      <c r="E105" s="4" t="s">
        <v>25</v>
      </c>
      <c r="F105" s="4" t="s">
        <v>25</v>
      </c>
      <c r="G105" s="4" t="s">
        <v>25</v>
      </c>
      <c r="H105" s="4" t="s">
        <v>34</v>
      </c>
      <c r="I105" s="5">
        <v>44774</v>
      </c>
      <c r="J105" s="6">
        <v>69</v>
      </c>
      <c r="K105" s="6">
        <v>69</v>
      </c>
      <c r="L105" s="6">
        <v>4.1680000000000001</v>
      </c>
      <c r="M105" s="6">
        <v>4.1680000000000001</v>
      </c>
      <c r="N105" s="6">
        <v>4.1680000000000001</v>
      </c>
      <c r="O105" s="6">
        <v>4.1680000000000001</v>
      </c>
      <c r="P105" s="6">
        <v>0</v>
      </c>
      <c r="Q105" s="4" t="s">
        <v>26</v>
      </c>
      <c r="R105" s="4">
        <v>0</v>
      </c>
      <c r="S105" s="6">
        <v>4</v>
      </c>
      <c r="T105" s="6">
        <v>8</v>
      </c>
      <c r="U105" s="6">
        <v>65</v>
      </c>
      <c r="V105" s="6">
        <f>IF(ISERROR(VLOOKUP($S$105,'TAR FIN'!$A$1:$O$103,15,0)),0,VLOOKUP($S$105,'TAR FIN'!$A$1:$O$103,15,0))</f>
        <v>45.73</v>
      </c>
      <c r="W105" s="6">
        <f>IF(ISERROR(VLOOKUP($T$105,'TAR FIN'!$A$1:$O$103,15,0)),0,VLOOKUP($T$105,'TAR FIN'!$A$1:$O$103,15,0))</f>
        <v>84.99</v>
      </c>
      <c r="X105" s="6">
        <f>IF(ISERROR(VLOOKUP($U$105,'TAR FIN'!$A$1:$O$103,15,0)),0,VLOOKUP($U$105,'TAR FIN'!$A$1:$O$103,15,0))</f>
        <v>391.54</v>
      </c>
      <c r="Y105" s="6">
        <f ca="1">('TUSD BE'!$AM$17+'TUSD BF_350'!$AM$17+'TUSD CVA'!$AM$17)*1</f>
        <v>51.039453840016805</v>
      </c>
      <c r="Z105" s="6">
        <f ca="1">('TUSD BE'!$AM$19+'TUSD BF_350'!$AM$19+'TUSD CVA'!$AM$19)*1</f>
        <v>145.72237393634796</v>
      </c>
      <c r="AA105" s="6">
        <f ca="1">('TE BE'!$AB$8+'TE BF_350'!$AB$8+'TE CVA'!$AB$8)*1</f>
        <v>361.95264704220779</v>
      </c>
      <c r="AB105" s="6">
        <f>$K$105*$V$105</f>
        <v>3155.37</v>
      </c>
      <c r="AC105" s="6">
        <f>$M$105*$W$105</f>
        <v>354.23831999999999</v>
      </c>
      <c r="AD105" s="6">
        <f>$O$105*$X$105</f>
        <v>1631.9387200000001</v>
      </c>
      <c r="AE105" s="6">
        <f ca="1">$K$105*$Y$105</f>
        <v>3521.7223149611596</v>
      </c>
      <c r="AF105" s="6">
        <f ca="1">$M$105*$Z$105</f>
        <v>607.37085456669831</v>
      </c>
      <c r="AG105" s="6">
        <f ca="1">$O$105*$AA$105</f>
        <v>1508.618632871922</v>
      </c>
    </row>
    <row r="106" spans="1:33" ht="11.25" customHeight="1" x14ac:dyDescent="0.3">
      <c r="A106" s="4" t="s">
        <v>21</v>
      </c>
      <c r="B106" s="4" t="s">
        <v>39</v>
      </c>
      <c r="C106" s="4" t="s">
        <v>42</v>
      </c>
      <c r="D106" s="4" t="s">
        <v>41</v>
      </c>
      <c r="E106" s="4" t="s">
        <v>25</v>
      </c>
      <c r="F106" s="4" t="s">
        <v>25</v>
      </c>
      <c r="G106" s="4" t="s">
        <v>25</v>
      </c>
      <c r="H106" s="4" t="s">
        <v>34</v>
      </c>
      <c r="I106" s="5">
        <v>44805</v>
      </c>
      <c r="J106" s="6">
        <v>69</v>
      </c>
      <c r="K106" s="6">
        <v>69</v>
      </c>
      <c r="L106" s="6">
        <v>3.67</v>
      </c>
      <c r="M106" s="6">
        <v>3.67</v>
      </c>
      <c r="N106" s="6">
        <v>3.67</v>
      </c>
      <c r="O106" s="6">
        <v>3.67</v>
      </c>
      <c r="P106" s="6">
        <v>0</v>
      </c>
      <c r="Q106" s="4" t="s">
        <v>26</v>
      </c>
      <c r="R106" s="4">
        <v>0</v>
      </c>
      <c r="S106" s="6">
        <v>4</v>
      </c>
      <c r="T106" s="6">
        <v>8</v>
      </c>
      <c r="U106" s="6">
        <v>65</v>
      </c>
      <c r="V106" s="6">
        <f>IF(ISERROR(VLOOKUP($S$106,'TAR FIN'!$A$1:$O$103,15,0)),0,VLOOKUP($S$106,'TAR FIN'!$A$1:$O$103,15,0))</f>
        <v>45.73</v>
      </c>
      <c r="W106" s="6">
        <f>IF(ISERROR(VLOOKUP($T$106,'TAR FIN'!$A$1:$O$103,15,0)),0,VLOOKUP($T$106,'TAR FIN'!$A$1:$O$103,15,0))</f>
        <v>84.99</v>
      </c>
      <c r="X106" s="6">
        <f>IF(ISERROR(VLOOKUP($U$106,'TAR FIN'!$A$1:$O$103,15,0)),0,VLOOKUP($U$106,'TAR FIN'!$A$1:$O$103,15,0))</f>
        <v>391.54</v>
      </c>
      <c r="Y106" s="6">
        <f ca="1">('TUSD BE'!$AM$17+'TUSD BF_350'!$AM$17+'TUSD CVA'!$AM$17)*1</f>
        <v>51.039453840016805</v>
      </c>
      <c r="Z106" s="6">
        <f ca="1">('TUSD BE'!$AM$19+'TUSD BF_350'!$AM$19+'TUSD CVA'!$AM$19)*1</f>
        <v>145.72237393634796</v>
      </c>
      <c r="AA106" s="6">
        <f ca="1">('TE BE'!$AB$8+'TE BF_350'!$AB$8+'TE CVA'!$AB$8)*1</f>
        <v>361.95264704220779</v>
      </c>
      <c r="AB106" s="6">
        <f>$K$106*$V$106</f>
        <v>3155.37</v>
      </c>
      <c r="AC106" s="6">
        <f>$M$106*$W$106</f>
        <v>311.91329999999999</v>
      </c>
      <c r="AD106" s="6">
        <f>$O$106*$X$106</f>
        <v>1436.9518</v>
      </c>
      <c r="AE106" s="6">
        <f ca="1">$K$106*$Y$106</f>
        <v>3521.7223149611596</v>
      </c>
      <c r="AF106" s="6">
        <f ca="1">$M$106*$Z$106</f>
        <v>534.80111234639696</v>
      </c>
      <c r="AG106" s="6">
        <f ca="1">$O$106*$AA$106</f>
        <v>1328.3662146449026</v>
      </c>
    </row>
    <row r="107" spans="1:33" ht="11.25" customHeight="1" x14ac:dyDescent="0.3">
      <c r="A107" s="4" t="s">
        <v>57</v>
      </c>
      <c r="B107" s="4" t="s">
        <v>39</v>
      </c>
      <c r="C107" s="4" t="s">
        <v>42</v>
      </c>
      <c r="D107" s="4" t="s">
        <v>41</v>
      </c>
      <c r="E107" s="4" t="s">
        <v>25</v>
      </c>
      <c r="F107" s="4" t="s">
        <v>25</v>
      </c>
      <c r="G107" s="4" t="s">
        <v>25</v>
      </c>
      <c r="H107" s="4" t="s">
        <v>34</v>
      </c>
      <c r="I107" s="5">
        <v>44835</v>
      </c>
      <c r="J107" s="6">
        <v>69</v>
      </c>
      <c r="K107" s="6">
        <v>69</v>
      </c>
      <c r="L107" s="6">
        <v>3.67</v>
      </c>
      <c r="M107" s="6">
        <v>3.67</v>
      </c>
      <c r="N107" s="6">
        <v>3.67</v>
      </c>
      <c r="O107" s="6">
        <v>3.67</v>
      </c>
      <c r="P107" s="6">
        <v>0</v>
      </c>
      <c r="Q107" s="4" t="s">
        <v>26</v>
      </c>
      <c r="R107" s="4">
        <v>0</v>
      </c>
      <c r="S107" s="6">
        <v>4</v>
      </c>
      <c r="T107" s="6">
        <v>8</v>
      </c>
      <c r="U107" s="6">
        <v>65</v>
      </c>
      <c r="V107" s="6">
        <f>IF(ISERROR(VLOOKUP($S$107,'TAR FIN'!$A$1:$O$103,15,0)),0,VLOOKUP($S$107,'TAR FIN'!$A$1:$O$103,15,0))</f>
        <v>45.73</v>
      </c>
      <c r="W107" s="6">
        <f>IF(ISERROR(VLOOKUP($T$107,'TAR FIN'!$A$1:$O$103,15,0)),0,VLOOKUP($T$107,'TAR FIN'!$A$1:$O$103,15,0))</f>
        <v>84.99</v>
      </c>
      <c r="X107" s="6">
        <f>IF(ISERROR(VLOOKUP($U$107,'TAR FIN'!$A$1:$O$103,15,0)),0,VLOOKUP($U$107,'TAR FIN'!$A$1:$O$103,15,0))</f>
        <v>391.54</v>
      </c>
      <c r="Y107" s="6">
        <f ca="1">('TUSD BE'!$AM$17+'TUSD BF_350'!$AM$17+'TUSD CVA'!$AM$17)*1</f>
        <v>51.039453840016805</v>
      </c>
      <c r="Z107" s="6">
        <f ca="1">('TUSD BE'!$AM$19+'TUSD BF_350'!$AM$19+'TUSD CVA'!$AM$19)*1</f>
        <v>145.72237393634796</v>
      </c>
      <c r="AA107" s="6">
        <f ca="1">('TE BE'!$AB$8+'TE BF_350'!$AB$8+'TE CVA'!$AB$8)*1</f>
        <v>361.95264704220779</v>
      </c>
      <c r="AB107" s="6">
        <f>$K$107*$V$107</f>
        <v>3155.37</v>
      </c>
      <c r="AC107" s="6">
        <f>$M$107*$W$107</f>
        <v>311.91329999999999</v>
      </c>
      <c r="AD107" s="6">
        <f>$O$107*$X$107</f>
        <v>1436.9518</v>
      </c>
      <c r="AE107" s="6">
        <f ca="1">$K$107*$Y$107</f>
        <v>3521.7223149611596</v>
      </c>
      <c r="AF107" s="6">
        <f ca="1">$M$107*$Z$107</f>
        <v>534.80111234639696</v>
      </c>
      <c r="AG107" s="6">
        <f ca="1">$O$107*$AA$107</f>
        <v>1328.3662146449026</v>
      </c>
    </row>
    <row r="108" spans="1:33" ht="11.25" customHeight="1" x14ac:dyDescent="0.3">
      <c r="A108" s="4" t="s">
        <v>21</v>
      </c>
      <c r="B108" s="4" t="s">
        <v>39</v>
      </c>
      <c r="C108" s="4" t="s">
        <v>42</v>
      </c>
      <c r="D108" s="4" t="s">
        <v>50</v>
      </c>
      <c r="E108" s="4" t="s">
        <v>51</v>
      </c>
      <c r="F108" s="4" t="s">
        <v>25</v>
      </c>
      <c r="G108" s="4" t="s">
        <v>25</v>
      </c>
      <c r="H108" s="4" t="s">
        <v>35</v>
      </c>
      <c r="I108" s="5">
        <v>44501</v>
      </c>
      <c r="J108" s="6">
        <v>505</v>
      </c>
      <c r="K108" s="53">
        <v>505</v>
      </c>
      <c r="L108" s="6">
        <v>222.565</v>
      </c>
      <c r="M108" s="52">
        <v>222.565</v>
      </c>
      <c r="N108" s="6">
        <v>222.565</v>
      </c>
      <c r="O108" s="52">
        <v>222.565</v>
      </c>
      <c r="P108" s="6">
        <v>0</v>
      </c>
      <c r="Q108" s="4" t="s">
        <v>26</v>
      </c>
      <c r="R108" s="4">
        <v>0</v>
      </c>
      <c r="S108" s="6">
        <v>5</v>
      </c>
      <c r="T108" s="6">
        <v>8</v>
      </c>
      <c r="U108" s="6">
        <v>66</v>
      </c>
      <c r="V108" s="52">
        <f>IF(ISERROR(VLOOKUP($S$108,'TAR FIN'!$A$1:$O$103,15,0)),0,VLOOKUP($S$108,'TAR FIN'!$A$1:$O$103,15,0))*(1-0.06)</f>
        <v>17.784800000000001</v>
      </c>
      <c r="W108" s="52">
        <f>IF(ISERROR(VLOOKUP($T$108,'TAR FIN'!$A$1:$O$103,15,0)),0,VLOOKUP($T$108,'TAR FIN'!$A$1:$O$103,15,0))*(1-0.06)</f>
        <v>79.890599999999992</v>
      </c>
      <c r="X108" s="52">
        <f>IF(ISERROR(VLOOKUP($U$108,'TAR FIN'!$A$1:$O$103,15,0)),0,VLOOKUP($U$108,'TAR FIN'!$A$1:$O$103,15,0))*(1-0.06)</f>
        <v>228.2038</v>
      </c>
      <c r="Y108" s="52">
        <f ca="1">('TUSD BE'!$AM$18+'TUSD BF_350'!$AM$18+'TUSD CVA'!$AM$18)*1*(1-0.03)</f>
        <v>20.728258466855738</v>
      </c>
      <c r="Z108" s="52">
        <f ca="1">('TUSD BE'!$AM$19+'TUSD BF_350'!$AM$19+'TUSD CVA'!$AM$19)*1*(1-0.03)</f>
        <v>141.35070271825751</v>
      </c>
      <c r="AA108" s="52">
        <f ca="1">('TE BE'!$AB$9+'TE BF_350'!$AB$9+'TE CVA'!$AB$9)*1*(1-0.03)</f>
        <v>215.72204893346822</v>
      </c>
      <c r="AB108" s="6">
        <f>$K$108*$V$108</f>
        <v>8981.3240000000005</v>
      </c>
      <c r="AC108" s="6">
        <f>$M$108*$W$108</f>
        <v>17780.851388999999</v>
      </c>
      <c r="AD108" s="6">
        <f>$O$108*$X$108</f>
        <v>50790.178746999998</v>
      </c>
      <c r="AE108" s="6">
        <f ca="1">$K$108*$Y$108</f>
        <v>10467.770525762147</v>
      </c>
      <c r="AF108" s="6">
        <f ca="1">$M$108*$Z$108</f>
        <v>31459.719150488982</v>
      </c>
      <c r="AG108" s="6">
        <f ca="1">$O$108*$AA$108</f>
        <v>48012.177820877354</v>
      </c>
    </row>
    <row r="109" spans="1:33" ht="11.25" customHeight="1" x14ac:dyDescent="0.3">
      <c r="A109" s="4" t="s">
        <v>21</v>
      </c>
      <c r="B109" s="4" t="s">
        <v>39</v>
      </c>
      <c r="C109" s="4" t="s">
        <v>42</v>
      </c>
      <c r="D109" s="4" t="s">
        <v>50</v>
      </c>
      <c r="E109" s="4" t="s">
        <v>51</v>
      </c>
      <c r="F109" s="4" t="s">
        <v>25</v>
      </c>
      <c r="G109" s="4" t="s">
        <v>25</v>
      </c>
      <c r="H109" s="4" t="s">
        <v>35</v>
      </c>
      <c r="I109" s="5">
        <v>44531</v>
      </c>
      <c r="J109" s="6">
        <v>504</v>
      </c>
      <c r="K109" s="53">
        <v>504</v>
      </c>
      <c r="L109" s="6">
        <v>220.71299999999999</v>
      </c>
      <c r="M109" s="52">
        <v>220.71299999999999</v>
      </c>
      <c r="N109" s="6">
        <v>220.71299999999999</v>
      </c>
      <c r="O109" s="52">
        <v>220.71299999999999</v>
      </c>
      <c r="P109" s="6">
        <v>0</v>
      </c>
      <c r="Q109" s="4" t="s">
        <v>26</v>
      </c>
      <c r="R109" s="4">
        <v>0</v>
      </c>
      <c r="S109" s="6">
        <v>5</v>
      </c>
      <c r="T109" s="6">
        <v>8</v>
      </c>
      <c r="U109" s="6">
        <v>66</v>
      </c>
      <c r="V109" s="52">
        <f>IF(ISERROR(VLOOKUP($S$109,'TAR FIN'!$A$1:$O$103,15,0)),0,VLOOKUP($S$109,'TAR FIN'!$A$1:$O$103,15,0))*(1-0.06)</f>
        <v>17.784800000000001</v>
      </c>
      <c r="W109" s="52">
        <f>IF(ISERROR(VLOOKUP($T$109,'TAR FIN'!$A$1:$O$103,15,0)),0,VLOOKUP($T$109,'TAR FIN'!$A$1:$O$103,15,0))*(1-0.06)</f>
        <v>79.890599999999992</v>
      </c>
      <c r="X109" s="52">
        <f>IF(ISERROR(VLOOKUP($U$109,'TAR FIN'!$A$1:$O$103,15,0)),0,VLOOKUP($U$109,'TAR FIN'!$A$1:$O$103,15,0))*(1-0.06)</f>
        <v>228.2038</v>
      </c>
      <c r="Y109" s="52">
        <f ca="1">('TUSD BE'!$AM$18+'TUSD BF_350'!$AM$18+'TUSD CVA'!$AM$18)*1*(1-0.03)</f>
        <v>20.728258466855738</v>
      </c>
      <c r="Z109" s="52">
        <f ca="1">('TUSD BE'!$AM$19+'TUSD BF_350'!$AM$19+'TUSD CVA'!$AM$19)*1*(1-0.03)</f>
        <v>141.35070271825751</v>
      </c>
      <c r="AA109" s="52">
        <f ca="1">('TE BE'!$AB$9+'TE BF_350'!$AB$9+'TE CVA'!$AB$9)*1*(1-0.03)</f>
        <v>215.72204893346822</v>
      </c>
      <c r="AB109" s="6">
        <f>$K$109*$V$109</f>
        <v>8963.5392000000011</v>
      </c>
      <c r="AC109" s="6">
        <f>$M$109*$W$109</f>
        <v>17632.893997799998</v>
      </c>
      <c r="AD109" s="6">
        <f>$O$109*$X$109</f>
        <v>50367.545309399997</v>
      </c>
      <c r="AE109" s="6">
        <f ca="1">$K$109*$Y$109</f>
        <v>10447.042267295292</v>
      </c>
      <c r="AF109" s="6">
        <f ca="1">$M$109*$Z$109</f>
        <v>31197.937649054769</v>
      </c>
      <c r="AG109" s="6">
        <f ca="1">$O$109*$AA$109</f>
        <v>47612.660586252568</v>
      </c>
    </row>
    <row r="110" spans="1:33" ht="11.25" customHeight="1" x14ac:dyDescent="0.3">
      <c r="A110" s="4" t="s">
        <v>21</v>
      </c>
      <c r="B110" s="4" t="s">
        <v>39</v>
      </c>
      <c r="C110" s="4" t="s">
        <v>42</v>
      </c>
      <c r="D110" s="4" t="s">
        <v>50</v>
      </c>
      <c r="E110" s="4" t="s">
        <v>51</v>
      </c>
      <c r="F110" s="4" t="s">
        <v>25</v>
      </c>
      <c r="G110" s="4" t="s">
        <v>25</v>
      </c>
      <c r="H110" s="4" t="s">
        <v>35</v>
      </c>
      <c r="I110" s="5">
        <v>44562</v>
      </c>
      <c r="J110" s="6">
        <v>505</v>
      </c>
      <c r="K110" s="53">
        <v>505</v>
      </c>
      <c r="L110" s="6">
        <v>224.678</v>
      </c>
      <c r="M110" s="52">
        <v>224.678</v>
      </c>
      <c r="N110" s="6">
        <v>224.678</v>
      </c>
      <c r="O110" s="52">
        <v>224.678</v>
      </c>
      <c r="P110" s="6">
        <v>0</v>
      </c>
      <c r="Q110" s="4" t="s">
        <v>26</v>
      </c>
      <c r="R110" s="4">
        <v>0</v>
      </c>
      <c r="S110" s="6">
        <v>5</v>
      </c>
      <c r="T110" s="6">
        <v>8</v>
      </c>
      <c r="U110" s="6">
        <v>66</v>
      </c>
      <c r="V110" s="52">
        <f>IF(ISERROR(VLOOKUP($S$110,'TAR FIN'!$A$1:$O$103,15,0)),0,VLOOKUP($S$110,'TAR FIN'!$A$1:$O$103,15,0))*(1-0.06)</f>
        <v>17.784800000000001</v>
      </c>
      <c r="W110" s="52">
        <f>IF(ISERROR(VLOOKUP($T$110,'TAR FIN'!$A$1:$O$103,15,0)),0,VLOOKUP($T$110,'TAR FIN'!$A$1:$O$103,15,0))*(1-0.06)</f>
        <v>79.890599999999992</v>
      </c>
      <c r="X110" s="52">
        <f>IF(ISERROR(VLOOKUP($U$110,'TAR FIN'!$A$1:$O$103,15,0)),0,VLOOKUP($U$110,'TAR FIN'!$A$1:$O$103,15,0))*(1-0.06)</f>
        <v>228.2038</v>
      </c>
      <c r="Y110" s="52">
        <f ca="1">('TUSD BE'!$AM$18+'TUSD BF_350'!$AM$18+'TUSD CVA'!$AM$18)*1*(1-0.03)</f>
        <v>20.728258466855738</v>
      </c>
      <c r="Z110" s="52">
        <f ca="1">('TUSD BE'!$AM$19+'TUSD BF_350'!$AM$19+'TUSD CVA'!$AM$19)*1*(1-0.03)</f>
        <v>141.35070271825751</v>
      </c>
      <c r="AA110" s="52">
        <f ca="1">('TE BE'!$AB$9+'TE BF_350'!$AB$9+'TE CVA'!$AB$9)*1*(1-0.03)</f>
        <v>215.72204893346822</v>
      </c>
      <c r="AB110" s="6">
        <f>$K$110*$V$110</f>
        <v>8981.3240000000005</v>
      </c>
      <c r="AC110" s="6">
        <f>$M$110*$W$110</f>
        <v>17949.660226799999</v>
      </c>
      <c r="AD110" s="6">
        <f>$O$110*$X$110</f>
        <v>51272.373376399999</v>
      </c>
      <c r="AE110" s="6">
        <f ca="1">$K$110*$Y$110</f>
        <v>10467.770525762147</v>
      </c>
      <c r="AF110" s="6">
        <f ca="1">$M$110*$Z$110</f>
        <v>31758.393185332661</v>
      </c>
      <c r="AG110" s="6">
        <f ca="1">$O$110*$AA$110</f>
        <v>48467.99851027377</v>
      </c>
    </row>
    <row r="111" spans="1:33" ht="11.25" customHeight="1" x14ac:dyDescent="0.3">
      <c r="A111" s="4" t="s">
        <v>21</v>
      </c>
      <c r="B111" s="4" t="s">
        <v>39</v>
      </c>
      <c r="C111" s="4" t="s">
        <v>42</v>
      </c>
      <c r="D111" s="4" t="s">
        <v>50</v>
      </c>
      <c r="E111" s="4" t="s">
        <v>51</v>
      </c>
      <c r="F111" s="4" t="s">
        <v>25</v>
      </c>
      <c r="G111" s="4" t="s">
        <v>25</v>
      </c>
      <c r="H111" s="4" t="s">
        <v>35</v>
      </c>
      <c r="I111" s="5">
        <v>44593</v>
      </c>
      <c r="J111" s="6">
        <v>501</v>
      </c>
      <c r="K111" s="53">
        <v>501</v>
      </c>
      <c r="L111" s="6">
        <v>190.18799999999999</v>
      </c>
      <c r="M111" s="52">
        <v>190.18799999999999</v>
      </c>
      <c r="N111" s="6">
        <v>190.18799999999999</v>
      </c>
      <c r="O111" s="52">
        <v>190.18799999999999</v>
      </c>
      <c r="P111" s="6">
        <v>0</v>
      </c>
      <c r="Q111" s="4" t="s">
        <v>26</v>
      </c>
      <c r="R111" s="4">
        <v>0</v>
      </c>
      <c r="S111" s="6">
        <v>5</v>
      </c>
      <c r="T111" s="6">
        <v>8</v>
      </c>
      <c r="U111" s="6">
        <v>66</v>
      </c>
      <c r="V111" s="52">
        <f>IF(ISERROR(VLOOKUP($S$111,'TAR FIN'!$A$1:$O$103,15,0)),0,VLOOKUP($S$111,'TAR FIN'!$A$1:$O$103,15,0))*(1-0.06)</f>
        <v>17.784800000000001</v>
      </c>
      <c r="W111" s="52">
        <f>IF(ISERROR(VLOOKUP($T$111,'TAR FIN'!$A$1:$O$103,15,0)),0,VLOOKUP($T$111,'TAR FIN'!$A$1:$O$103,15,0))*(1-0.06)</f>
        <v>79.890599999999992</v>
      </c>
      <c r="X111" s="52">
        <f>IF(ISERROR(VLOOKUP($U$111,'TAR FIN'!$A$1:$O$103,15,0)),0,VLOOKUP($U$111,'TAR FIN'!$A$1:$O$103,15,0))*(1-0.06)</f>
        <v>228.2038</v>
      </c>
      <c r="Y111" s="52">
        <f ca="1">('TUSD BE'!$AM$18+'TUSD BF_350'!$AM$18+'TUSD CVA'!$AM$18)*1*(1-0.03)</f>
        <v>20.728258466855738</v>
      </c>
      <c r="Z111" s="52">
        <f ca="1">('TUSD BE'!$AM$19+'TUSD BF_350'!$AM$19+'TUSD CVA'!$AM$19)*1*(1-0.03)</f>
        <v>141.35070271825751</v>
      </c>
      <c r="AA111" s="52">
        <f ca="1">('TE BE'!$AB$9+'TE BF_350'!$AB$9+'TE CVA'!$AB$9)*1*(1-0.03)</f>
        <v>215.72204893346822</v>
      </c>
      <c r="AB111" s="6">
        <f>$K$111*$V$111</f>
        <v>8910.1848000000009</v>
      </c>
      <c r="AC111" s="6">
        <f>$M$111*$W$111</f>
        <v>15194.233432799998</v>
      </c>
      <c r="AD111" s="6">
        <f>$O$111*$X$111</f>
        <v>43401.624314399996</v>
      </c>
      <c r="AE111" s="6">
        <f ca="1">$K$111*$Y$111</f>
        <v>10384.857491894725</v>
      </c>
      <c r="AF111" s="6">
        <f ca="1">$M$111*$Z$111</f>
        <v>26883.207448579957</v>
      </c>
      <c r="AG111" s="6">
        <f ca="1">$O$111*$AA$111</f>
        <v>41027.745042558454</v>
      </c>
    </row>
    <row r="112" spans="1:33" ht="11.25" customHeight="1" x14ac:dyDescent="0.3">
      <c r="A112" s="4" t="s">
        <v>21</v>
      </c>
      <c r="B112" s="4" t="s">
        <v>39</v>
      </c>
      <c r="C112" s="4" t="s">
        <v>42</v>
      </c>
      <c r="D112" s="4" t="s">
        <v>50</v>
      </c>
      <c r="E112" s="4" t="s">
        <v>51</v>
      </c>
      <c r="F112" s="4" t="s">
        <v>25</v>
      </c>
      <c r="G112" s="4" t="s">
        <v>25</v>
      </c>
      <c r="H112" s="4" t="s">
        <v>35</v>
      </c>
      <c r="I112" s="5">
        <v>44621</v>
      </c>
      <c r="J112" s="6">
        <v>501</v>
      </c>
      <c r="K112" s="53">
        <v>501</v>
      </c>
      <c r="L112" s="6">
        <v>215.52799999999999</v>
      </c>
      <c r="M112" s="52">
        <v>215.52799999999999</v>
      </c>
      <c r="N112" s="6">
        <v>215.52799999999999</v>
      </c>
      <c r="O112" s="52">
        <v>215.52799999999999</v>
      </c>
      <c r="P112" s="6">
        <v>0</v>
      </c>
      <c r="Q112" s="4" t="s">
        <v>26</v>
      </c>
      <c r="R112" s="4">
        <v>0</v>
      </c>
      <c r="S112" s="6">
        <v>5</v>
      </c>
      <c r="T112" s="6">
        <v>8</v>
      </c>
      <c r="U112" s="6">
        <v>66</v>
      </c>
      <c r="V112" s="52">
        <f>IF(ISERROR(VLOOKUP($S$112,'TAR FIN'!$A$1:$O$103,15,0)),0,VLOOKUP($S$112,'TAR FIN'!$A$1:$O$103,15,0))*(1-0.06)</f>
        <v>17.784800000000001</v>
      </c>
      <c r="W112" s="52">
        <f>IF(ISERROR(VLOOKUP($T$112,'TAR FIN'!$A$1:$O$103,15,0)),0,VLOOKUP($T$112,'TAR FIN'!$A$1:$O$103,15,0))*(1-0.06)</f>
        <v>79.890599999999992</v>
      </c>
      <c r="X112" s="52">
        <f>IF(ISERROR(VLOOKUP($U$112,'TAR FIN'!$A$1:$O$103,15,0)),0,VLOOKUP($U$112,'TAR FIN'!$A$1:$O$103,15,0))*(1-0.06)</f>
        <v>228.2038</v>
      </c>
      <c r="Y112" s="52">
        <f ca="1">('TUSD BE'!$AM$18+'TUSD BF_350'!$AM$18+'TUSD CVA'!$AM$18)*1*(1-0.03)</f>
        <v>20.728258466855738</v>
      </c>
      <c r="Z112" s="52">
        <f ca="1">('TUSD BE'!$AM$19+'TUSD BF_350'!$AM$19+'TUSD CVA'!$AM$19)*1*(1-0.03)</f>
        <v>141.35070271825751</v>
      </c>
      <c r="AA112" s="52">
        <f ca="1">('TE BE'!$AB$9+'TE BF_350'!$AB$9+'TE CVA'!$AB$9)*1*(1-0.03)</f>
        <v>215.72204893346822</v>
      </c>
      <c r="AB112" s="6">
        <f>$K$112*$V$112</f>
        <v>8910.1848000000009</v>
      </c>
      <c r="AC112" s="6">
        <f>$M$112*$W$112</f>
        <v>17218.661236799999</v>
      </c>
      <c r="AD112" s="6">
        <f>$O$112*$X$112</f>
        <v>49184.308606400002</v>
      </c>
      <c r="AE112" s="6">
        <f ca="1">$K$112*$Y$112</f>
        <v>10384.857491894725</v>
      </c>
      <c r="AF112" s="6">
        <f ca="1">$M$112*$Z$112</f>
        <v>30465.034255460603</v>
      </c>
      <c r="AG112" s="6">
        <f ca="1">$O$112*$AA$112</f>
        <v>46494.141762532534</v>
      </c>
    </row>
    <row r="113" spans="1:33" ht="11.25" customHeight="1" x14ac:dyDescent="0.3">
      <c r="A113" s="4" t="s">
        <v>21</v>
      </c>
      <c r="B113" s="4" t="s">
        <v>39</v>
      </c>
      <c r="C113" s="4" t="s">
        <v>42</v>
      </c>
      <c r="D113" s="4" t="s">
        <v>50</v>
      </c>
      <c r="E113" s="4" t="s">
        <v>51</v>
      </c>
      <c r="F113" s="4" t="s">
        <v>25</v>
      </c>
      <c r="G113" s="4" t="s">
        <v>25</v>
      </c>
      <c r="H113" s="4" t="s">
        <v>35</v>
      </c>
      <c r="I113" s="5">
        <v>44652</v>
      </c>
      <c r="J113" s="6">
        <v>502</v>
      </c>
      <c r="K113" s="53">
        <v>502</v>
      </c>
      <c r="L113" s="6">
        <v>224.44300000000001</v>
      </c>
      <c r="M113" s="52">
        <v>224.44300000000001</v>
      </c>
      <c r="N113" s="6">
        <v>224.44300000000001</v>
      </c>
      <c r="O113" s="52">
        <v>224.44300000000001</v>
      </c>
      <c r="P113" s="6">
        <v>0</v>
      </c>
      <c r="Q113" s="4" t="s">
        <v>26</v>
      </c>
      <c r="R113" s="4">
        <v>0</v>
      </c>
      <c r="S113" s="6">
        <v>5</v>
      </c>
      <c r="T113" s="6">
        <v>8</v>
      </c>
      <c r="U113" s="6">
        <v>66</v>
      </c>
      <c r="V113" s="52">
        <f>IF(ISERROR(VLOOKUP($S$113,'TAR FIN'!$A$1:$O$103,15,0)),0,VLOOKUP($S$113,'TAR FIN'!$A$1:$O$103,15,0))*(1-0.06)</f>
        <v>17.784800000000001</v>
      </c>
      <c r="W113" s="52">
        <f>IF(ISERROR(VLOOKUP($T$113,'TAR FIN'!$A$1:$O$103,15,0)),0,VLOOKUP($T$113,'TAR FIN'!$A$1:$O$103,15,0))*(1-0.06)</f>
        <v>79.890599999999992</v>
      </c>
      <c r="X113" s="52">
        <f>IF(ISERROR(VLOOKUP($U$113,'TAR FIN'!$A$1:$O$103,15,0)),0,VLOOKUP($U$113,'TAR FIN'!$A$1:$O$103,15,0))*(1-0.06)</f>
        <v>228.2038</v>
      </c>
      <c r="Y113" s="52">
        <f ca="1">('TUSD BE'!$AM$18+'TUSD BF_350'!$AM$18+'TUSD CVA'!$AM$18)*1*(1-0.03)</f>
        <v>20.728258466855738</v>
      </c>
      <c r="Z113" s="52">
        <f ca="1">('TUSD BE'!$AM$19+'TUSD BF_350'!$AM$19+'TUSD CVA'!$AM$19)*1*(1-0.03)</f>
        <v>141.35070271825751</v>
      </c>
      <c r="AA113" s="52">
        <f ca="1">('TE BE'!$AB$9+'TE BF_350'!$AB$9+'TE CVA'!$AB$9)*1*(1-0.03)</f>
        <v>215.72204893346822</v>
      </c>
      <c r="AB113" s="6">
        <f>$K$113*$V$113</f>
        <v>8927.9696000000004</v>
      </c>
      <c r="AC113" s="6">
        <f>$M$113*$W$113</f>
        <v>17930.885935800001</v>
      </c>
      <c r="AD113" s="6">
        <f>$O$113*$X$113</f>
        <v>51218.745483400002</v>
      </c>
      <c r="AE113" s="6">
        <f ca="1">$K$113*$Y$113</f>
        <v>10405.585750361581</v>
      </c>
      <c r="AF113" s="6">
        <f ca="1">$M$113*$Z$113</f>
        <v>31725.175770193873</v>
      </c>
      <c r="AG113" s="6">
        <f ca="1">$O$113*$AA$113</f>
        <v>48417.303828774406</v>
      </c>
    </row>
    <row r="114" spans="1:33" ht="11.25" customHeight="1" x14ac:dyDescent="0.3">
      <c r="A114" s="4" t="s">
        <v>21</v>
      </c>
      <c r="B114" s="4" t="s">
        <v>39</v>
      </c>
      <c r="C114" s="4" t="s">
        <v>42</v>
      </c>
      <c r="D114" s="4" t="s">
        <v>50</v>
      </c>
      <c r="E114" s="4" t="s">
        <v>51</v>
      </c>
      <c r="F114" s="4" t="s">
        <v>25</v>
      </c>
      <c r="G114" s="4" t="s">
        <v>25</v>
      </c>
      <c r="H114" s="4" t="s">
        <v>35</v>
      </c>
      <c r="I114" s="5">
        <v>44682</v>
      </c>
      <c r="J114" s="6">
        <v>501</v>
      </c>
      <c r="K114" s="53">
        <v>501</v>
      </c>
      <c r="L114" s="6">
        <v>230.06399999999999</v>
      </c>
      <c r="M114" s="52">
        <v>230.06399999999999</v>
      </c>
      <c r="N114" s="6">
        <v>230.06399999999999</v>
      </c>
      <c r="O114" s="52">
        <v>230.06399999999999</v>
      </c>
      <c r="P114" s="6">
        <v>0</v>
      </c>
      <c r="Q114" s="4" t="s">
        <v>26</v>
      </c>
      <c r="R114" s="4">
        <v>0</v>
      </c>
      <c r="S114" s="6">
        <v>5</v>
      </c>
      <c r="T114" s="6">
        <v>8</v>
      </c>
      <c r="U114" s="6">
        <v>66</v>
      </c>
      <c r="V114" s="52">
        <f>IF(ISERROR(VLOOKUP($S$114,'TAR FIN'!$A$1:$O$103,15,0)),0,VLOOKUP($S$114,'TAR FIN'!$A$1:$O$103,15,0))*(1-0.06)</f>
        <v>17.784800000000001</v>
      </c>
      <c r="W114" s="52">
        <f>IF(ISERROR(VLOOKUP($T$114,'TAR FIN'!$A$1:$O$103,15,0)),0,VLOOKUP($T$114,'TAR FIN'!$A$1:$O$103,15,0))*(1-0.06)</f>
        <v>79.890599999999992</v>
      </c>
      <c r="X114" s="52">
        <f>IF(ISERROR(VLOOKUP($U$114,'TAR FIN'!$A$1:$O$103,15,0)),0,VLOOKUP($U$114,'TAR FIN'!$A$1:$O$103,15,0))*(1-0.06)</f>
        <v>228.2038</v>
      </c>
      <c r="Y114" s="52">
        <f ca="1">('TUSD BE'!$AM$18+'TUSD BF_350'!$AM$18+'TUSD CVA'!$AM$18)*1*(1-0.03)</f>
        <v>20.728258466855738</v>
      </c>
      <c r="Z114" s="52">
        <f ca="1">('TUSD BE'!$AM$19+'TUSD BF_350'!$AM$19+'TUSD CVA'!$AM$19)*1*(1-0.03)</f>
        <v>141.35070271825751</v>
      </c>
      <c r="AA114" s="52">
        <f ca="1">('TE BE'!$AB$9+'TE BF_350'!$AB$9+'TE CVA'!$AB$9)*1*(1-0.03)</f>
        <v>215.72204893346822</v>
      </c>
      <c r="AB114" s="6">
        <f>$K$114*$V$114</f>
        <v>8910.1848000000009</v>
      </c>
      <c r="AC114" s="6">
        <f>$M$114*$W$114</f>
        <v>18379.950998399996</v>
      </c>
      <c r="AD114" s="6">
        <f>$O$114*$X$114</f>
        <v>52501.479043200001</v>
      </c>
      <c r="AE114" s="6">
        <f ca="1">$K$114*$Y$114</f>
        <v>10384.857491894725</v>
      </c>
      <c r="AF114" s="6">
        <f ca="1">$M$114*$Z$114</f>
        <v>32519.708070173194</v>
      </c>
      <c r="AG114" s="6">
        <f ca="1">$O$114*$AA$114</f>
        <v>49629.877465829428</v>
      </c>
    </row>
    <row r="115" spans="1:33" ht="11.25" customHeight="1" x14ac:dyDescent="0.3">
      <c r="A115" s="4" t="s">
        <v>21</v>
      </c>
      <c r="B115" s="4" t="s">
        <v>39</v>
      </c>
      <c r="C115" s="4" t="s">
        <v>42</v>
      </c>
      <c r="D115" s="4" t="s">
        <v>50</v>
      </c>
      <c r="E115" s="4" t="s">
        <v>51</v>
      </c>
      <c r="F115" s="4" t="s">
        <v>25</v>
      </c>
      <c r="G115" s="4" t="s">
        <v>25</v>
      </c>
      <c r="H115" s="4" t="s">
        <v>35</v>
      </c>
      <c r="I115" s="5">
        <v>44713</v>
      </c>
      <c r="J115" s="6">
        <v>501</v>
      </c>
      <c r="K115" s="53">
        <v>501</v>
      </c>
      <c r="L115" s="6">
        <v>217.18299999999999</v>
      </c>
      <c r="M115" s="52">
        <v>217.18299999999999</v>
      </c>
      <c r="N115" s="6">
        <v>217.18299999999999</v>
      </c>
      <c r="O115" s="52">
        <v>217.18299999999999</v>
      </c>
      <c r="P115" s="6">
        <v>0</v>
      </c>
      <c r="Q115" s="4" t="s">
        <v>26</v>
      </c>
      <c r="R115" s="4">
        <v>0</v>
      </c>
      <c r="S115" s="6">
        <v>5</v>
      </c>
      <c r="T115" s="6">
        <v>8</v>
      </c>
      <c r="U115" s="6">
        <v>66</v>
      </c>
      <c r="V115" s="52">
        <f>IF(ISERROR(VLOOKUP($S$115,'TAR FIN'!$A$1:$O$103,15,0)),0,VLOOKUP($S$115,'TAR FIN'!$A$1:$O$103,15,0))*(1-0.06)</f>
        <v>17.784800000000001</v>
      </c>
      <c r="W115" s="52">
        <f>IF(ISERROR(VLOOKUP($T$115,'TAR FIN'!$A$1:$O$103,15,0)),0,VLOOKUP($T$115,'TAR FIN'!$A$1:$O$103,15,0))*(1-0.06)</f>
        <v>79.890599999999992</v>
      </c>
      <c r="X115" s="52">
        <f>IF(ISERROR(VLOOKUP($U$115,'TAR FIN'!$A$1:$O$103,15,0)),0,VLOOKUP($U$115,'TAR FIN'!$A$1:$O$103,15,0))*(1-0.06)</f>
        <v>228.2038</v>
      </c>
      <c r="Y115" s="52">
        <f ca="1">('TUSD BE'!$AM$18+'TUSD BF_350'!$AM$18+'TUSD CVA'!$AM$18)*1*(1-0.03)</f>
        <v>20.728258466855738</v>
      </c>
      <c r="Z115" s="52">
        <f ca="1">('TUSD BE'!$AM$19+'TUSD BF_350'!$AM$19+'TUSD CVA'!$AM$19)*1*(1-0.03)</f>
        <v>141.35070271825751</v>
      </c>
      <c r="AA115" s="52">
        <f ca="1">('TE BE'!$AB$9+'TE BF_350'!$AB$9+'TE CVA'!$AB$9)*1*(1-0.03)</f>
        <v>215.72204893346822</v>
      </c>
      <c r="AB115" s="6">
        <f>$K$115*$V$115</f>
        <v>8910.1848000000009</v>
      </c>
      <c r="AC115" s="6">
        <f>$M$115*$W$115</f>
        <v>17350.880179799999</v>
      </c>
      <c r="AD115" s="6">
        <f>$O$115*$X$115</f>
        <v>49561.985895400001</v>
      </c>
      <c r="AE115" s="6">
        <f ca="1">$K$115*$Y$115</f>
        <v>10384.857491894725</v>
      </c>
      <c r="AF115" s="6">
        <f ca="1">$M$115*$Z$115</f>
        <v>30698.969668459318</v>
      </c>
      <c r="AG115" s="6">
        <f ca="1">$O$115*$AA$115</f>
        <v>46851.161753517423</v>
      </c>
    </row>
    <row r="116" spans="1:33" ht="11.25" customHeight="1" x14ac:dyDescent="0.3">
      <c r="A116" s="4" t="s">
        <v>21</v>
      </c>
      <c r="B116" s="4" t="s">
        <v>39</v>
      </c>
      <c r="C116" s="4" t="s">
        <v>42</v>
      </c>
      <c r="D116" s="4" t="s">
        <v>50</v>
      </c>
      <c r="E116" s="4" t="s">
        <v>51</v>
      </c>
      <c r="F116" s="4" t="s">
        <v>25</v>
      </c>
      <c r="G116" s="4" t="s">
        <v>25</v>
      </c>
      <c r="H116" s="4" t="s">
        <v>35</v>
      </c>
      <c r="I116" s="5">
        <v>44743</v>
      </c>
      <c r="J116" s="6">
        <v>500</v>
      </c>
      <c r="K116" s="53">
        <v>500</v>
      </c>
      <c r="L116" s="6">
        <v>227.62</v>
      </c>
      <c r="M116" s="52">
        <v>227.62</v>
      </c>
      <c r="N116" s="6">
        <v>227.62</v>
      </c>
      <c r="O116" s="52">
        <v>227.62</v>
      </c>
      <c r="P116" s="6">
        <v>0</v>
      </c>
      <c r="Q116" s="4" t="s">
        <v>26</v>
      </c>
      <c r="R116" s="4">
        <v>0</v>
      </c>
      <c r="S116" s="6">
        <v>5</v>
      </c>
      <c r="T116" s="6">
        <v>8</v>
      </c>
      <c r="U116" s="6">
        <v>66</v>
      </c>
      <c r="V116" s="52">
        <f>IF(ISERROR(VLOOKUP($S$116,'TAR FIN'!$A$1:$O$103,15,0)),0,VLOOKUP($S$116,'TAR FIN'!$A$1:$O$103,15,0))*(1-0.06)</f>
        <v>17.784800000000001</v>
      </c>
      <c r="W116" s="52">
        <f>IF(ISERROR(VLOOKUP($T$116,'TAR FIN'!$A$1:$O$103,15,0)),0,VLOOKUP($T$116,'TAR FIN'!$A$1:$O$103,15,0))*(1-0.06)</f>
        <v>79.890599999999992</v>
      </c>
      <c r="X116" s="52">
        <f>IF(ISERROR(VLOOKUP($U$116,'TAR FIN'!$A$1:$O$103,15,0)),0,VLOOKUP($U$116,'TAR FIN'!$A$1:$O$103,15,0))*(1-0.06)</f>
        <v>228.2038</v>
      </c>
      <c r="Y116" s="52">
        <f ca="1">('TUSD BE'!$AM$18+'TUSD BF_350'!$AM$18+'TUSD CVA'!$AM$18)*1*(1-0.03)</f>
        <v>20.728258466855738</v>
      </c>
      <c r="Z116" s="52">
        <f ca="1">('TUSD BE'!$AM$19+'TUSD BF_350'!$AM$19+'TUSD CVA'!$AM$19)*1*(1-0.03)</f>
        <v>141.35070271825751</v>
      </c>
      <c r="AA116" s="52">
        <f ca="1">('TE BE'!$AB$9+'TE BF_350'!$AB$9+'TE CVA'!$AB$9)*1*(1-0.03)</f>
        <v>215.72204893346822</v>
      </c>
      <c r="AB116" s="6">
        <f>$K$116*$V$116</f>
        <v>8892.4</v>
      </c>
      <c r="AC116" s="6">
        <f>$M$116*$W$116</f>
        <v>18184.698371999999</v>
      </c>
      <c r="AD116" s="6">
        <f>$O$116*$X$116</f>
        <v>51943.748956000003</v>
      </c>
      <c r="AE116" s="6">
        <f ca="1">$K$116*$Y$116</f>
        <v>10364.12923342787</v>
      </c>
      <c r="AF116" s="6">
        <f ca="1">$M$116*$Z$116</f>
        <v>32174.246952729776</v>
      </c>
      <c r="AG116" s="6">
        <f ca="1">$O$116*$AA$116</f>
        <v>49102.652778236035</v>
      </c>
    </row>
    <row r="117" spans="1:33" ht="11.25" customHeight="1" x14ac:dyDescent="0.3">
      <c r="A117" s="4" t="s">
        <v>21</v>
      </c>
      <c r="B117" s="4" t="s">
        <v>39</v>
      </c>
      <c r="C117" s="4" t="s">
        <v>42</v>
      </c>
      <c r="D117" s="4" t="s">
        <v>50</v>
      </c>
      <c r="E117" s="4" t="s">
        <v>51</v>
      </c>
      <c r="F117" s="4" t="s">
        <v>25</v>
      </c>
      <c r="G117" s="4" t="s">
        <v>25</v>
      </c>
      <c r="H117" s="4" t="s">
        <v>35</v>
      </c>
      <c r="I117" s="5">
        <v>44774</v>
      </c>
      <c r="J117" s="6">
        <v>500</v>
      </c>
      <c r="K117" s="53">
        <v>500</v>
      </c>
      <c r="L117" s="6">
        <v>242.39400000000001</v>
      </c>
      <c r="M117" s="52">
        <v>242.39400000000001</v>
      </c>
      <c r="N117" s="6">
        <v>242.39400000000001</v>
      </c>
      <c r="O117" s="52">
        <v>242.39400000000001</v>
      </c>
      <c r="P117" s="6">
        <v>0</v>
      </c>
      <c r="Q117" s="4" t="s">
        <v>26</v>
      </c>
      <c r="R117" s="4">
        <v>0</v>
      </c>
      <c r="S117" s="6">
        <v>5</v>
      </c>
      <c r="T117" s="6">
        <v>8</v>
      </c>
      <c r="U117" s="6">
        <v>66</v>
      </c>
      <c r="V117" s="52">
        <f>IF(ISERROR(VLOOKUP($S$117,'TAR FIN'!$A$1:$O$103,15,0)),0,VLOOKUP($S$117,'TAR FIN'!$A$1:$O$103,15,0))*(1-0.06)</f>
        <v>17.784800000000001</v>
      </c>
      <c r="W117" s="52">
        <f>IF(ISERROR(VLOOKUP($T$117,'TAR FIN'!$A$1:$O$103,15,0)),0,VLOOKUP($T$117,'TAR FIN'!$A$1:$O$103,15,0))*(1-0.06)</f>
        <v>79.890599999999992</v>
      </c>
      <c r="X117" s="52">
        <f>IF(ISERROR(VLOOKUP($U$117,'TAR FIN'!$A$1:$O$103,15,0)),0,VLOOKUP($U$117,'TAR FIN'!$A$1:$O$103,15,0))*(1-0.06)</f>
        <v>228.2038</v>
      </c>
      <c r="Y117" s="52">
        <f ca="1">('TUSD BE'!$AM$18+'TUSD BF_350'!$AM$18+'TUSD CVA'!$AM$18)*1*(1-0.03)</f>
        <v>20.728258466855738</v>
      </c>
      <c r="Z117" s="52">
        <f ca="1">('TUSD BE'!$AM$19+'TUSD BF_350'!$AM$19+'TUSD CVA'!$AM$19)*1*(1-0.03)</f>
        <v>141.35070271825751</v>
      </c>
      <c r="AA117" s="52">
        <f ca="1">('TE BE'!$AB$9+'TE BF_350'!$AB$9+'TE CVA'!$AB$9)*1*(1-0.03)</f>
        <v>215.72204893346822</v>
      </c>
      <c r="AB117" s="6">
        <f>$K$117*$V$117</f>
        <v>8892.4</v>
      </c>
      <c r="AC117" s="6">
        <f>$M$117*$W$117</f>
        <v>19365.0020964</v>
      </c>
      <c r="AD117" s="6">
        <f>$O$117*$X$117</f>
        <v>55315.231897199999</v>
      </c>
      <c r="AE117" s="6">
        <f ca="1">$K$117*$Y$117</f>
        <v>10364.12923342787</v>
      </c>
      <c r="AF117" s="6">
        <f ca="1">$M$117*$Z$117</f>
        <v>34262.562234689314</v>
      </c>
      <c r="AG117" s="6">
        <f ca="1">$O$117*$AA$117</f>
        <v>52289.730329179096</v>
      </c>
    </row>
    <row r="118" spans="1:33" ht="11.25" customHeight="1" x14ac:dyDescent="0.3">
      <c r="A118" s="4" t="s">
        <v>21</v>
      </c>
      <c r="B118" s="4" t="s">
        <v>39</v>
      </c>
      <c r="C118" s="4" t="s">
        <v>42</v>
      </c>
      <c r="D118" s="4" t="s">
        <v>50</v>
      </c>
      <c r="E118" s="4" t="s">
        <v>51</v>
      </c>
      <c r="F118" s="4" t="s">
        <v>25</v>
      </c>
      <c r="G118" s="4" t="s">
        <v>25</v>
      </c>
      <c r="H118" s="4" t="s">
        <v>35</v>
      </c>
      <c r="I118" s="5">
        <v>44805</v>
      </c>
      <c r="J118" s="6">
        <v>500</v>
      </c>
      <c r="K118" s="53">
        <v>500</v>
      </c>
      <c r="L118" s="6">
        <v>249.33799999999999</v>
      </c>
      <c r="M118" s="52">
        <v>249.33799999999999</v>
      </c>
      <c r="N118" s="6">
        <v>249.33799999999999</v>
      </c>
      <c r="O118" s="52">
        <v>249.33799999999999</v>
      </c>
      <c r="P118" s="6">
        <v>0</v>
      </c>
      <c r="Q118" s="4" t="s">
        <v>26</v>
      </c>
      <c r="R118" s="4">
        <v>0</v>
      </c>
      <c r="S118" s="6">
        <v>5</v>
      </c>
      <c r="T118" s="6">
        <v>8</v>
      </c>
      <c r="U118" s="6">
        <v>66</v>
      </c>
      <c r="V118" s="52">
        <f>IF(ISERROR(VLOOKUP($S$118,'TAR FIN'!$A$1:$O$103,15,0)),0,VLOOKUP($S$118,'TAR FIN'!$A$1:$O$103,15,0))*(1-0.06)</f>
        <v>17.784800000000001</v>
      </c>
      <c r="W118" s="52">
        <f>IF(ISERROR(VLOOKUP($T$118,'TAR FIN'!$A$1:$O$103,15,0)),0,VLOOKUP($T$118,'TAR FIN'!$A$1:$O$103,15,0))*(1-0.06)</f>
        <v>79.890599999999992</v>
      </c>
      <c r="X118" s="52">
        <f>IF(ISERROR(VLOOKUP($U$118,'TAR FIN'!$A$1:$O$103,15,0)),0,VLOOKUP($U$118,'TAR FIN'!$A$1:$O$103,15,0))*(1-0.06)</f>
        <v>228.2038</v>
      </c>
      <c r="Y118" s="52">
        <f ca="1">('TUSD BE'!$AM$18+'TUSD BF_350'!$AM$18+'TUSD CVA'!$AM$18)*1*(1-0.03)</f>
        <v>20.728258466855738</v>
      </c>
      <c r="Z118" s="52">
        <f ca="1">('TUSD BE'!$AM$19+'TUSD BF_350'!$AM$19+'TUSD CVA'!$AM$19)*1*(1-0.03)</f>
        <v>141.35070271825751</v>
      </c>
      <c r="AA118" s="52">
        <f ca="1">('TE BE'!$AB$9+'TE BF_350'!$AB$9+'TE CVA'!$AB$9)*1*(1-0.03)</f>
        <v>215.72204893346822</v>
      </c>
      <c r="AB118" s="6">
        <f>$K$118*$V$118</f>
        <v>8892.4</v>
      </c>
      <c r="AC118" s="6">
        <f>$M$118*$W$118</f>
        <v>19919.762422799999</v>
      </c>
      <c r="AD118" s="6">
        <f>$O$118*$X$118</f>
        <v>56899.879084399996</v>
      </c>
      <c r="AE118" s="6">
        <f ca="1">$K$118*$Y$118</f>
        <v>10364.12923342787</v>
      </c>
      <c r="AF118" s="6">
        <f ca="1">$M$118*$Z$118</f>
        <v>35244.101514364891</v>
      </c>
      <c r="AG118" s="6">
        <f ca="1">$O$118*$AA$118</f>
        <v>53787.704236973099</v>
      </c>
    </row>
    <row r="119" spans="1:33" ht="11.25" customHeight="1" x14ac:dyDescent="0.3">
      <c r="A119" s="4" t="s">
        <v>57</v>
      </c>
      <c r="B119" s="4" t="s">
        <v>39</v>
      </c>
      <c r="C119" s="4" t="s">
        <v>42</v>
      </c>
      <c r="D119" s="4" t="s">
        <v>50</v>
      </c>
      <c r="E119" s="4" t="s">
        <v>51</v>
      </c>
      <c r="F119" s="4" t="s">
        <v>25</v>
      </c>
      <c r="G119" s="4" t="s">
        <v>25</v>
      </c>
      <c r="H119" s="4" t="s">
        <v>35</v>
      </c>
      <c r="I119" s="5">
        <v>44835</v>
      </c>
      <c r="J119" s="6">
        <v>500</v>
      </c>
      <c r="K119" s="53">
        <v>500</v>
      </c>
      <c r="L119" s="6">
        <v>249.33799999999999</v>
      </c>
      <c r="M119" s="52">
        <v>249.33799999999999</v>
      </c>
      <c r="N119" s="6">
        <v>249.33799999999999</v>
      </c>
      <c r="O119" s="52">
        <v>249.33799999999999</v>
      </c>
      <c r="P119" s="6">
        <v>0</v>
      </c>
      <c r="Q119" s="4" t="s">
        <v>26</v>
      </c>
      <c r="R119" s="4">
        <v>0</v>
      </c>
      <c r="S119" s="6">
        <v>5</v>
      </c>
      <c r="T119" s="6">
        <v>8</v>
      </c>
      <c r="U119" s="6">
        <v>66</v>
      </c>
      <c r="V119" s="52">
        <f>IF(ISERROR(VLOOKUP($S$119,'TAR FIN'!$A$1:$O$103,15,0)),0,VLOOKUP($S$119,'TAR FIN'!$A$1:$O$103,15,0))*(1-0.06)</f>
        <v>17.784800000000001</v>
      </c>
      <c r="W119" s="52">
        <f>IF(ISERROR(VLOOKUP($T$119,'TAR FIN'!$A$1:$O$103,15,0)),0,VLOOKUP($T$119,'TAR FIN'!$A$1:$O$103,15,0))*(1-0.06)</f>
        <v>79.890599999999992</v>
      </c>
      <c r="X119" s="52">
        <f>IF(ISERROR(VLOOKUP($U$119,'TAR FIN'!$A$1:$O$103,15,0)),0,VLOOKUP($U$119,'TAR FIN'!$A$1:$O$103,15,0))*(1-0.06)</f>
        <v>228.2038</v>
      </c>
      <c r="Y119" s="52">
        <f ca="1">('TUSD BE'!$AM$18+'TUSD BF_350'!$AM$18+'TUSD CVA'!$AM$18)*1*(1-0.03)</f>
        <v>20.728258466855738</v>
      </c>
      <c r="Z119" s="52">
        <f ca="1">('TUSD BE'!$AM$19+'TUSD BF_350'!$AM$19+'TUSD CVA'!$AM$19)*1*(1-0.03)</f>
        <v>141.35070271825751</v>
      </c>
      <c r="AA119" s="52">
        <f ca="1">('TE BE'!$AB$9+'TE BF_350'!$AB$9+'TE CVA'!$AB$9)*1*(1-0.03)</f>
        <v>215.72204893346822</v>
      </c>
      <c r="AB119" s="6">
        <f>$K$119*$V$119</f>
        <v>8892.4</v>
      </c>
      <c r="AC119" s="6">
        <f>$M$119*$W$119</f>
        <v>19919.762422799999</v>
      </c>
      <c r="AD119" s="6">
        <f>$O$119*$X$119</f>
        <v>56899.879084399996</v>
      </c>
      <c r="AE119" s="6">
        <f ca="1">$K$119*$Y$119</f>
        <v>10364.12923342787</v>
      </c>
      <c r="AF119" s="6">
        <f ca="1">$M$119*$Z$119</f>
        <v>35244.101514364891</v>
      </c>
      <c r="AG119" s="6">
        <f ca="1">$O$119*$AA$119</f>
        <v>53787.704236973099</v>
      </c>
    </row>
    <row r="120" spans="1:33" ht="11.25" customHeight="1" x14ac:dyDescent="0.3">
      <c r="A120" s="4" t="s">
        <v>21</v>
      </c>
      <c r="B120" s="4" t="s">
        <v>39</v>
      </c>
      <c r="C120" s="4" t="s">
        <v>42</v>
      </c>
      <c r="D120" s="4" t="s">
        <v>50</v>
      </c>
      <c r="E120" s="4" t="s">
        <v>51</v>
      </c>
      <c r="F120" s="4" t="s">
        <v>25</v>
      </c>
      <c r="G120" s="4" t="s">
        <v>25</v>
      </c>
      <c r="H120" s="4" t="s">
        <v>34</v>
      </c>
      <c r="I120" s="5">
        <v>44501</v>
      </c>
      <c r="J120" s="6">
        <v>504</v>
      </c>
      <c r="K120" s="53">
        <v>504</v>
      </c>
      <c r="L120" s="6">
        <v>26.707000000000001</v>
      </c>
      <c r="M120" s="52">
        <v>26.707000000000001</v>
      </c>
      <c r="N120" s="6">
        <v>26.707000000000001</v>
      </c>
      <c r="O120" s="52">
        <v>26.707000000000001</v>
      </c>
      <c r="P120" s="6">
        <v>0</v>
      </c>
      <c r="Q120" s="4" t="s">
        <v>26</v>
      </c>
      <c r="R120" s="4">
        <v>0</v>
      </c>
      <c r="S120" s="6">
        <v>4</v>
      </c>
      <c r="T120" s="6">
        <v>8</v>
      </c>
      <c r="U120" s="6">
        <v>65</v>
      </c>
      <c r="V120" s="52">
        <f>IF(ISERROR(VLOOKUP($S$120,'TAR FIN'!$A$1:$O$103,15,0)),0,VLOOKUP($S$120,'TAR FIN'!$A$1:$O$103,15,0))*(1-0.06)</f>
        <v>42.986199999999997</v>
      </c>
      <c r="W120" s="52">
        <f>IF(ISERROR(VLOOKUP($T$120,'TAR FIN'!$A$1:$O$103,15,0)),0,VLOOKUP($T$120,'TAR FIN'!$A$1:$O$103,15,0))*(1-0.06)</f>
        <v>79.890599999999992</v>
      </c>
      <c r="X120" s="52">
        <f>IF(ISERROR(VLOOKUP($U$120,'TAR FIN'!$A$1:$O$103,15,0)),0,VLOOKUP($U$120,'TAR FIN'!$A$1:$O$103,15,0))*(1-0.06)</f>
        <v>368.04759999999999</v>
      </c>
      <c r="Y120" s="52">
        <f ca="1">('TUSD BE'!$AM$17+'TUSD BF_350'!$AM$17+'TUSD CVA'!$AM$17)*1*(1-0.03)</f>
        <v>49.5082702248163</v>
      </c>
      <c r="Z120" s="52">
        <f ca="1">('TUSD BE'!$AM$19+'TUSD BF_350'!$AM$19+'TUSD CVA'!$AM$19)*1*(1-0.03)</f>
        <v>141.35070271825751</v>
      </c>
      <c r="AA120" s="52">
        <f ca="1">('TE BE'!$AB$8+'TE BF_350'!$AB$8+'TE CVA'!$AB$8)*1*(1-0.03)</f>
        <v>351.09406763094154</v>
      </c>
      <c r="AB120" s="6">
        <f>$K$120*$V$120</f>
        <v>21665.0448</v>
      </c>
      <c r="AC120" s="6">
        <f>$M$120*$W$120</f>
        <v>2133.6382541999997</v>
      </c>
      <c r="AD120" s="6">
        <f>$O$120*$X$120</f>
        <v>9829.4472532</v>
      </c>
      <c r="AE120" s="6">
        <f ca="1">$K$120*$Y$120</f>
        <v>24952.168193307414</v>
      </c>
      <c r="AF120" s="6">
        <f ca="1">$M$120*$Z$120</f>
        <v>3775.0532174965033</v>
      </c>
      <c r="AG120" s="6">
        <f ca="1">$O$120*$AA$120</f>
        <v>9376.6692642195558</v>
      </c>
    </row>
    <row r="121" spans="1:33" ht="11.25" customHeight="1" x14ac:dyDescent="0.3">
      <c r="A121" s="4" t="s">
        <v>21</v>
      </c>
      <c r="B121" s="4" t="s">
        <v>39</v>
      </c>
      <c r="C121" s="4" t="s">
        <v>42</v>
      </c>
      <c r="D121" s="4" t="s">
        <v>50</v>
      </c>
      <c r="E121" s="4" t="s">
        <v>51</v>
      </c>
      <c r="F121" s="4" t="s">
        <v>25</v>
      </c>
      <c r="G121" s="4" t="s">
        <v>25</v>
      </c>
      <c r="H121" s="4" t="s">
        <v>34</v>
      </c>
      <c r="I121" s="5">
        <v>44531</v>
      </c>
      <c r="J121" s="6">
        <v>503</v>
      </c>
      <c r="K121" s="53">
        <v>503</v>
      </c>
      <c r="L121" s="6">
        <v>30.75</v>
      </c>
      <c r="M121" s="52">
        <v>30.75</v>
      </c>
      <c r="N121" s="6">
        <v>30.75</v>
      </c>
      <c r="O121" s="52">
        <v>30.75</v>
      </c>
      <c r="P121" s="6">
        <v>0</v>
      </c>
      <c r="Q121" s="4" t="s">
        <v>26</v>
      </c>
      <c r="R121" s="4">
        <v>0</v>
      </c>
      <c r="S121" s="6">
        <v>4</v>
      </c>
      <c r="T121" s="6">
        <v>8</v>
      </c>
      <c r="U121" s="6">
        <v>65</v>
      </c>
      <c r="V121" s="52">
        <f>IF(ISERROR(VLOOKUP($S$121,'TAR FIN'!$A$1:$O$103,15,0)),0,VLOOKUP($S$121,'TAR FIN'!$A$1:$O$103,15,0))*(1-0.06)</f>
        <v>42.986199999999997</v>
      </c>
      <c r="W121" s="52">
        <f>IF(ISERROR(VLOOKUP($T$121,'TAR FIN'!$A$1:$O$103,15,0)),0,VLOOKUP($T$121,'TAR FIN'!$A$1:$O$103,15,0))*(1-0.06)</f>
        <v>79.890599999999992</v>
      </c>
      <c r="X121" s="52">
        <f>IF(ISERROR(VLOOKUP($U$121,'TAR FIN'!$A$1:$O$103,15,0)),0,VLOOKUP($U$121,'TAR FIN'!$A$1:$O$103,15,0))*(1-0.06)</f>
        <v>368.04759999999999</v>
      </c>
      <c r="Y121" s="52">
        <f ca="1">('TUSD BE'!$AM$17+'TUSD BF_350'!$AM$17+'TUSD CVA'!$AM$17)*1*(1-0.03)</f>
        <v>49.5082702248163</v>
      </c>
      <c r="Z121" s="52">
        <f ca="1">('TUSD BE'!$AM$19+'TUSD BF_350'!$AM$19+'TUSD CVA'!$AM$19)*1*(1-0.03)</f>
        <v>141.35070271825751</v>
      </c>
      <c r="AA121" s="52">
        <f ca="1">('TE BE'!$AB$8+'TE BF_350'!$AB$8+'TE CVA'!$AB$8)*1*(1-0.03)</f>
        <v>351.09406763094154</v>
      </c>
      <c r="AB121" s="6">
        <f>$K$121*$V$121</f>
        <v>21622.058599999997</v>
      </c>
      <c r="AC121" s="6">
        <f>$M$121*$W$121</f>
        <v>2456.6359499999999</v>
      </c>
      <c r="AD121" s="6">
        <f>$O$121*$X$121</f>
        <v>11317.4637</v>
      </c>
      <c r="AE121" s="6">
        <f ca="1">$K$121*$Y$121</f>
        <v>24902.6599230826</v>
      </c>
      <c r="AF121" s="6">
        <f ca="1">$M$121*$Z$121</f>
        <v>4346.5341085864184</v>
      </c>
      <c r="AG121" s="6">
        <f ca="1">$O$121*$AA$121</f>
        <v>10796.142579651452</v>
      </c>
    </row>
    <row r="122" spans="1:33" ht="11.25" customHeight="1" x14ac:dyDescent="0.3">
      <c r="A122" s="4" t="s">
        <v>21</v>
      </c>
      <c r="B122" s="4" t="s">
        <v>39</v>
      </c>
      <c r="C122" s="4" t="s">
        <v>42</v>
      </c>
      <c r="D122" s="4" t="s">
        <v>50</v>
      </c>
      <c r="E122" s="4" t="s">
        <v>51</v>
      </c>
      <c r="F122" s="4" t="s">
        <v>25</v>
      </c>
      <c r="G122" s="4" t="s">
        <v>25</v>
      </c>
      <c r="H122" s="4" t="s">
        <v>34</v>
      </c>
      <c r="I122" s="5">
        <v>44562</v>
      </c>
      <c r="J122" s="6">
        <v>503</v>
      </c>
      <c r="K122" s="53">
        <v>503</v>
      </c>
      <c r="L122" s="6">
        <v>27.852</v>
      </c>
      <c r="M122" s="52">
        <v>27.852</v>
      </c>
      <c r="N122" s="6">
        <v>27.852</v>
      </c>
      <c r="O122" s="52">
        <v>27.852</v>
      </c>
      <c r="P122" s="6">
        <v>0</v>
      </c>
      <c r="Q122" s="4" t="s">
        <v>26</v>
      </c>
      <c r="R122" s="4">
        <v>0</v>
      </c>
      <c r="S122" s="6">
        <v>4</v>
      </c>
      <c r="T122" s="6">
        <v>8</v>
      </c>
      <c r="U122" s="6">
        <v>65</v>
      </c>
      <c r="V122" s="52">
        <f>IF(ISERROR(VLOOKUP($S$122,'TAR FIN'!$A$1:$O$103,15,0)),0,VLOOKUP($S$122,'TAR FIN'!$A$1:$O$103,15,0))*(1-0.06)</f>
        <v>42.986199999999997</v>
      </c>
      <c r="W122" s="52">
        <f>IF(ISERROR(VLOOKUP($T$122,'TAR FIN'!$A$1:$O$103,15,0)),0,VLOOKUP($T$122,'TAR FIN'!$A$1:$O$103,15,0))*(1-0.06)</f>
        <v>79.890599999999992</v>
      </c>
      <c r="X122" s="52">
        <f>IF(ISERROR(VLOOKUP($U$122,'TAR FIN'!$A$1:$O$103,15,0)),0,VLOOKUP($U$122,'TAR FIN'!$A$1:$O$103,15,0))*(1-0.06)</f>
        <v>368.04759999999999</v>
      </c>
      <c r="Y122" s="52">
        <f ca="1">('TUSD BE'!$AM$17+'TUSD BF_350'!$AM$17+'TUSD CVA'!$AM$17)*1*(1-0.03)</f>
        <v>49.5082702248163</v>
      </c>
      <c r="Z122" s="52">
        <f ca="1">('TUSD BE'!$AM$19+'TUSD BF_350'!$AM$19+'TUSD CVA'!$AM$19)*1*(1-0.03)</f>
        <v>141.35070271825751</v>
      </c>
      <c r="AA122" s="52">
        <f ca="1">('TE BE'!$AB$8+'TE BF_350'!$AB$8+'TE CVA'!$AB$8)*1*(1-0.03)</f>
        <v>351.09406763094154</v>
      </c>
      <c r="AB122" s="6">
        <f>$K$122*$V$122</f>
        <v>21622.058599999997</v>
      </c>
      <c r="AC122" s="6">
        <f>$M$122*$W$122</f>
        <v>2225.1129911999997</v>
      </c>
      <c r="AD122" s="6">
        <f>$O$122*$X$122</f>
        <v>10250.8617552</v>
      </c>
      <c r="AE122" s="6">
        <f ca="1">$K$122*$Y$122</f>
        <v>24902.6599230826</v>
      </c>
      <c r="AF122" s="6">
        <f ca="1">$M$122*$Z$122</f>
        <v>3936.8997721089081</v>
      </c>
      <c r="AG122" s="6">
        <f ca="1">$O$122*$AA$122</f>
        <v>9778.6719716569842</v>
      </c>
    </row>
    <row r="123" spans="1:33" ht="11.25" customHeight="1" x14ac:dyDescent="0.3">
      <c r="A123" s="4" t="s">
        <v>21</v>
      </c>
      <c r="B123" s="4" t="s">
        <v>39</v>
      </c>
      <c r="C123" s="4" t="s">
        <v>42</v>
      </c>
      <c r="D123" s="4" t="s">
        <v>50</v>
      </c>
      <c r="E123" s="4" t="s">
        <v>51</v>
      </c>
      <c r="F123" s="4" t="s">
        <v>25</v>
      </c>
      <c r="G123" s="4" t="s">
        <v>25</v>
      </c>
      <c r="H123" s="4" t="s">
        <v>34</v>
      </c>
      <c r="I123" s="5">
        <v>44593</v>
      </c>
      <c r="J123" s="6">
        <v>496</v>
      </c>
      <c r="K123" s="53">
        <v>496</v>
      </c>
      <c r="L123" s="6">
        <v>25.864999999999998</v>
      </c>
      <c r="M123" s="52">
        <v>25.864999999999998</v>
      </c>
      <c r="N123" s="6">
        <v>25.864999999999998</v>
      </c>
      <c r="O123" s="52">
        <v>25.864999999999998</v>
      </c>
      <c r="P123" s="6">
        <v>0</v>
      </c>
      <c r="Q123" s="4" t="s">
        <v>26</v>
      </c>
      <c r="R123" s="4">
        <v>0</v>
      </c>
      <c r="S123" s="6">
        <v>4</v>
      </c>
      <c r="T123" s="6">
        <v>8</v>
      </c>
      <c r="U123" s="6">
        <v>65</v>
      </c>
      <c r="V123" s="52">
        <f>IF(ISERROR(VLOOKUP($S$123,'TAR FIN'!$A$1:$O$103,15,0)),0,VLOOKUP($S$123,'TAR FIN'!$A$1:$O$103,15,0))*(1-0.06)</f>
        <v>42.986199999999997</v>
      </c>
      <c r="W123" s="52">
        <f>IF(ISERROR(VLOOKUP($T$123,'TAR FIN'!$A$1:$O$103,15,0)),0,VLOOKUP($T$123,'TAR FIN'!$A$1:$O$103,15,0))*(1-0.06)</f>
        <v>79.890599999999992</v>
      </c>
      <c r="X123" s="52">
        <f>IF(ISERROR(VLOOKUP($U$123,'TAR FIN'!$A$1:$O$103,15,0)),0,VLOOKUP($U$123,'TAR FIN'!$A$1:$O$103,15,0))*(1-0.06)</f>
        <v>368.04759999999999</v>
      </c>
      <c r="Y123" s="52">
        <f ca="1">('TUSD BE'!$AM$17+'TUSD BF_350'!$AM$17+'TUSD CVA'!$AM$17)*1*(1-0.03)</f>
        <v>49.5082702248163</v>
      </c>
      <c r="Z123" s="52">
        <f ca="1">('TUSD BE'!$AM$19+'TUSD BF_350'!$AM$19+'TUSD CVA'!$AM$19)*1*(1-0.03)</f>
        <v>141.35070271825751</v>
      </c>
      <c r="AA123" s="52">
        <f ca="1">('TE BE'!$AB$8+'TE BF_350'!$AB$8+'TE CVA'!$AB$8)*1*(1-0.03)</f>
        <v>351.09406763094154</v>
      </c>
      <c r="AB123" s="6">
        <f>$K$123*$V$123</f>
        <v>21321.155199999997</v>
      </c>
      <c r="AC123" s="6">
        <f>$M$123*$W$123</f>
        <v>2066.3703689999998</v>
      </c>
      <c r="AD123" s="6">
        <f>$O$123*$X$123</f>
        <v>9519.5511739999984</v>
      </c>
      <c r="AE123" s="6">
        <f ca="1">$K$123*$Y$123</f>
        <v>24556.102031508886</v>
      </c>
      <c r="AF123" s="6">
        <f ca="1">$M$123*$Z$123</f>
        <v>3656.0359258077301</v>
      </c>
      <c r="AG123" s="6">
        <f ca="1">$O$123*$AA$123</f>
        <v>9081.0480592743024</v>
      </c>
    </row>
    <row r="124" spans="1:33" ht="11.25" customHeight="1" x14ac:dyDescent="0.3">
      <c r="A124" s="4" t="s">
        <v>21</v>
      </c>
      <c r="B124" s="4" t="s">
        <v>39</v>
      </c>
      <c r="C124" s="4" t="s">
        <v>42</v>
      </c>
      <c r="D124" s="4" t="s">
        <v>50</v>
      </c>
      <c r="E124" s="4" t="s">
        <v>51</v>
      </c>
      <c r="F124" s="4" t="s">
        <v>25</v>
      </c>
      <c r="G124" s="4" t="s">
        <v>25</v>
      </c>
      <c r="H124" s="4" t="s">
        <v>34</v>
      </c>
      <c r="I124" s="5">
        <v>44621</v>
      </c>
      <c r="J124" s="6">
        <v>496</v>
      </c>
      <c r="K124" s="53">
        <v>496</v>
      </c>
      <c r="L124" s="6">
        <v>28.08</v>
      </c>
      <c r="M124" s="52">
        <v>28.08</v>
      </c>
      <c r="N124" s="6">
        <v>28.08</v>
      </c>
      <c r="O124" s="52">
        <v>28.08</v>
      </c>
      <c r="P124" s="6">
        <v>0</v>
      </c>
      <c r="Q124" s="4" t="s">
        <v>26</v>
      </c>
      <c r="R124" s="4">
        <v>0</v>
      </c>
      <c r="S124" s="6">
        <v>4</v>
      </c>
      <c r="T124" s="6">
        <v>8</v>
      </c>
      <c r="U124" s="6">
        <v>65</v>
      </c>
      <c r="V124" s="52">
        <f>IF(ISERROR(VLOOKUP($S$124,'TAR FIN'!$A$1:$O$103,15,0)),0,VLOOKUP($S$124,'TAR FIN'!$A$1:$O$103,15,0))*(1-0.06)</f>
        <v>42.986199999999997</v>
      </c>
      <c r="W124" s="52">
        <f>IF(ISERROR(VLOOKUP($T$124,'TAR FIN'!$A$1:$O$103,15,0)),0,VLOOKUP($T$124,'TAR FIN'!$A$1:$O$103,15,0))*(1-0.06)</f>
        <v>79.890599999999992</v>
      </c>
      <c r="X124" s="52">
        <f>IF(ISERROR(VLOOKUP($U$124,'TAR FIN'!$A$1:$O$103,15,0)),0,VLOOKUP($U$124,'TAR FIN'!$A$1:$O$103,15,0))*(1-0.06)</f>
        <v>368.04759999999999</v>
      </c>
      <c r="Y124" s="52">
        <f ca="1">('TUSD BE'!$AM$17+'TUSD BF_350'!$AM$17+'TUSD CVA'!$AM$17)*1*(1-0.03)</f>
        <v>49.5082702248163</v>
      </c>
      <c r="Z124" s="52">
        <f ca="1">('TUSD BE'!$AM$19+'TUSD BF_350'!$AM$19+'TUSD CVA'!$AM$19)*1*(1-0.03)</f>
        <v>141.35070271825751</v>
      </c>
      <c r="AA124" s="52">
        <f ca="1">('TE BE'!$AB$8+'TE BF_350'!$AB$8+'TE CVA'!$AB$8)*1*(1-0.03)</f>
        <v>351.09406763094154</v>
      </c>
      <c r="AB124" s="6">
        <f>$K$124*$V$124</f>
        <v>21321.155199999997</v>
      </c>
      <c r="AC124" s="6">
        <f>$M$124*$W$124</f>
        <v>2243.3280479999999</v>
      </c>
      <c r="AD124" s="6">
        <f>$O$124*$X$124</f>
        <v>10334.776607999998</v>
      </c>
      <c r="AE124" s="6">
        <f ca="1">$K$124*$Y$124</f>
        <v>24556.102031508886</v>
      </c>
      <c r="AF124" s="6">
        <f ca="1">$M$124*$Z$124</f>
        <v>3969.1277323286704</v>
      </c>
      <c r="AG124" s="6">
        <f ca="1">$O$124*$AA$124</f>
        <v>9858.7214190768373</v>
      </c>
    </row>
    <row r="125" spans="1:33" ht="11.25" customHeight="1" x14ac:dyDescent="0.3">
      <c r="A125" s="4" t="s">
        <v>21</v>
      </c>
      <c r="B125" s="4" t="s">
        <v>39</v>
      </c>
      <c r="C125" s="4" t="s">
        <v>42</v>
      </c>
      <c r="D125" s="4" t="s">
        <v>50</v>
      </c>
      <c r="E125" s="4" t="s">
        <v>51</v>
      </c>
      <c r="F125" s="4" t="s">
        <v>25</v>
      </c>
      <c r="G125" s="4" t="s">
        <v>25</v>
      </c>
      <c r="H125" s="4" t="s">
        <v>34</v>
      </c>
      <c r="I125" s="5">
        <v>44652</v>
      </c>
      <c r="J125" s="6">
        <v>496</v>
      </c>
      <c r="K125" s="53">
        <v>496</v>
      </c>
      <c r="L125" s="6">
        <v>24.72</v>
      </c>
      <c r="M125" s="52">
        <v>24.72</v>
      </c>
      <c r="N125" s="6">
        <v>24.72</v>
      </c>
      <c r="O125" s="52">
        <v>24.72</v>
      </c>
      <c r="P125" s="6">
        <v>0</v>
      </c>
      <c r="Q125" s="4" t="s">
        <v>26</v>
      </c>
      <c r="R125" s="4">
        <v>0</v>
      </c>
      <c r="S125" s="6">
        <v>4</v>
      </c>
      <c r="T125" s="6">
        <v>8</v>
      </c>
      <c r="U125" s="6">
        <v>65</v>
      </c>
      <c r="V125" s="52">
        <f>IF(ISERROR(VLOOKUP($S$125,'TAR FIN'!$A$1:$O$103,15,0)),0,VLOOKUP($S$125,'TAR FIN'!$A$1:$O$103,15,0))*(1-0.06)</f>
        <v>42.986199999999997</v>
      </c>
      <c r="W125" s="52">
        <f>IF(ISERROR(VLOOKUP($T$125,'TAR FIN'!$A$1:$O$103,15,0)),0,VLOOKUP($T$125,'TAR FIN'!$A$1:$O$103,15,0))*(1-0.06)</f>
        <v>79.890599999999992</v>
      </c>
      <c r="X125" s="52">
        <f>IF(ISERROR(VLOOKUP($U$125,'TAR FIN'!$A$1:$O$103,15,0)),0,VLOOKUP($U$125,'TAR FIN'!$A$1:$O$103,15,0))*(1-0.06)</f>
        <v>368.04759999999999</v>
      </c>
      <c r="Y125" s="52">
        <f ca="1">('TUSD BE'!$AM$17+'TUSD BF_350'!$AM$17+'TUSD CVA'!$AM$17)*1*(1-0.03)</f>
        <v>49.5082702248163</v>
      </c>
      <c r="Z125" s="52">
        <f ca="1">('TUSD BE'!$AM$19+'TUSD BF_350'!$AM$19+'TUSD CVA'!$AM$19)*1*(1-0.03)</f>
        <v>141.35070271825751</v>
      </c>
      <c r="AA125" s="52">
        <f ca="1">('TE BE'!$AB$8+'TE BF_350'!$AB$8+'TE CVA'!$AB$8)*1*(1-0.03)</f>
        <v>351.09406763094154</v>
      </c>
      <c r="AB125" s="6">
        <f>$K$125*$V$125</f>
        <v>21321.155199999997</v>
      </c>
      <c r="AC125" s="6">
        <f>$M$125*$W$125</f>
        <v>1974.8956319999998</v>
      </c>
      <c r="AD125" s="6">
        <f>$O$125*$X$125</f>
        <v>9098.1366719999987</v>
      </c>
      <c r="AE125" s="6">
        <f ca="1">$K$125*$Y$125</f>
        <v>24556.102031508886</v>
      </c>
      <c r="AF125" s="6">
        <f ca="1">$M$125*$Z$125</f>
        <v>3494.1893711953253</v>
      </c>
      <c r="AG125" s="6">
        <f ca="1">$O$125*$AA$125</f>
        <v>8679.045351836874</v>
      </c>
    </row>
    <row r="126" spans="1:33" ht="11.25" customHeight="1" x14ac:dyDescent="0.3">
      <c r="A126" s="4" t="s">
        <v>21</v>
      </c>
      <c r="B126" s="4" t="s">
        <v>39</v>
      </c>
      <c r="C126" s="4" t="s">
        <v>42</v>
      </c>
      <c r="D126" s="4" t="s">
        <v>50</v>
      </c>
      <c r="E126" s="4" t="s">
        <v>51</v>
      </c>
      <c r="F126" s="4" t="s">
        <v>25</v>
      </c>
      <c r="G126" s="4" t="s">
        <v>25</v>
      </c>
      <c r="H126" s="4" t="s">
        <v>34</v>
      </c>
      <c r="I126" s="5">
        <v>44682</v>
      </c>
      <c r="J126" s="6">
        <v>495</v>
      </c>
      <c r="K126" s="53">
        <v>495</v>
      </c>
      <c r="L126" s="6">
        <v>28.018000000000001</v>
      </c>
      <c r="M126" s="52">
        <v>28.018000000000001</v>
      </c>
      <c r="N126" s="6">
        <v>28.018000000000001</v>
      </c>
      <c r="O126" s="52">
        <v>28.018000000000001</v>
      </c>
      <c r="P126" s="6">
        <v>0</v>
      </c>
      <c r="Q126" s="4" t="s">
        <v>26</v>
      </c>
      <c r="R126" s="4">
        <v>0</v>
      </c>
      <c r="S126" s="6">
        <v>4</v>
      </c>
      <c r="T126" s="6">
        <v>8</v>
      </c>
      <c r="U126" s="6">
        <v>65</v>
      </c>
      <c r="V126" s="52">
        <f>IF(ISERROR(VLOOKUP($S$126,'TAR FIN'!$A$1:$O$103,15,0)),0,VLOOKUP($S$126,'TAR FIN'!$A$1:$O$103,15,0))*(1-0.06)</f>
        <v>42.986199999999997</v>
      </c>
      <c r="W126" s="52">
        <f>IF(ISERROR(VLOOKUP($T$126,'TAR FIN'!$A$1:$O$103,15,0)),0,VLOOKUP($T$126,'TAR FIN'!$A$1:$O$103,15,0))*(1-0.06)</f>
        <v>79.890599999999992</v>
      </c>
      <c r="X126" s="52">
        <f>IF(ISERROR(VLOOKUP($U$126,'TAR FIN'!$A$1:$O$103,15,0)),0,VLOOKUP($U$126,'TAR FIN'!$A$1:$O$103,15,0))*(1-0.06)</f>
        <v>368.04759999999999</v>
      </c>
      <c r="Y126" s="52">
        <f ca="1">('TUSD BE'!$AM$17+'TUSD BF_350'!$AM$17+'TUSD CVA'!$AM$17)*1*(1-0.03)</f>
        <v>49.5082702248163</v>
      </c>
      <c r="Z126" s="52">
        <f ca="1">('TUSD BE'!$AM$19+'TUSD BF_350'!$AM$19+'TUSD CVA'!$AM$19)*1*(1-0.03)</f>
        <v>141.35070271825751</v>
      </c>
      <c r="AA126" s="52">
        <f ca="1">('TE BE'!$AB$8+'TE BF_350'!$AB$8+'TE CVA'!$AB$8)*1*(1-0.03)</f>
        <v>351.09406763094154</v>
      </c>
      <c r="AB126" s="6">
        <f>$K$126*$V$126</f>
        <v>21278.168999999998</v>
      </c>
      <c r="AC126" s="6">
        <f>$M$126*$W$126</f>
        <v>2238.3748307999999</v>
      </c>
      <c r="AD126" s="6">
        <f>$O$126*$X$126</f>
        <v>10311.957656799999</v>
      </c>
      <c r="AE126" s="6">
        <f ca="1">$K$126*$Y$126</f>
        <v>24506.593761284068</v>
      </c>
      <c r="AF126" s="6">
        <f ca="1">$M$126*$Z$126</f>
        <v>3960.3639887601389</v>
      </c>
      <c r="AG126" s="6">
        <f ca="1">$O$126*$AA$126</f>
        <v>9836.9535868837211</v>
      </c>
    </row>
    <row r="127" spans="1:33" ht="11.25" customHeight="1" x14ac:dyDescent="0.3">
      <c r="A127" s="4" t="s">
        <v>21</v>
      </c>
      <c r="B127" s="4" t="s">
        <v>39</v>
      </c>
      <c r="C127" s="4" t="s">
        <v>42</v>
      </c>
      <c r="D127" s="4" t="s">
        <v>50</v>
      </c>
      <c r="E127" s="4" t="s">
        <v>51</v>
      </c>
      <c r="F127" s="4" t="s">
        <v>25</v>
      </c>
      <c r="G127" s="4" t="s">
        <v>25</v>
      </c>
      <c r="H127" s="4" t="s">
        <v>34</v>
      </c>
      <c r="I127" s="5">
        <v>44713</v>
      </c>
      <c r="J127" s="6">
        <v>495</v>
      </c>
      <c r="K127" s="53">
        <v>495</v>
      </c>
      <c r="L127" s="6">
        <v>26.640999999999998</v>
      </c>
      <c r="M127" s="52">
        <v>26.640999999999998</v>
      </c>
      <c r="N127" s="6">
        <v>26.640999999999998</v>
      </c>
      <c r="O127" s="52">
        <v>26.640999999999998</v>
      </c>
      <c r="P127" s="6">
        <v>0</v>
      </c>
      <c r="Q127" s="4" t="s">
        <v>26</v>
      </c>
      <c r="R127" s="4">
        <v>0</v>
      </c>
      <c r="S127" s="6">
        <v>4</v>
      </c>
      <c r="T127" s="6">
        <v>8</v>
      </c>
      <c r="U127" s="6">
        <v>65</v>
      </c>
      <c r="V127" s="52">
        <f>IF(ISERROR(VLOOKUP($S$127,'TAR FIN'!$A$1:$O$103,15,0)),0,VLOOKUP($S$127,'TAR FIN'!$A$1:$O$103,15,0))*(1-0.06)</f>
        <v>42.986199999999997</v>
      </c>
      <c r="W127" s="52">
        <f>IF(ISERROR(VLOOKUP($T$127,'TAR FIN'!$A$1:$O$103,15,0)),0,VLOOKUP($T$127,'TAR FIN'!$A$1:$O$103,15,0))*(1-0.06)</f>
        <v>79.890599999999992</v>
      </c>
      <c r="X127" s="52">
        <f>IF(ISERROR(VLOOKUP($U$127,'TAR FIN'!$A$1:$O$103,15,0)),0,VLOOKUP($U$127,'TAR FIN'!$A$1:$O$103,15,0))*(1-0.06)</f>
        <v>368.04759999999999</v>
      </c>
      <c r="Y127" s="52">
        <f ca="1">('TUSD BE'!$AM$17+'TUSD BF_350'!$AM$17+'TUSD CVA'!$AM$17)*1*(1-0.03)</f>
        <v>49.5082702248163</v>
      </c>
      <c r="Z127" s="52">
        <f ca="1">('TUSD BE'!$AM$19+'TUSD BF_350'!$AM$19+'TUSD CVA'!$AM$19)*1*(1-0.03)</f>
        <v>141.35070271825751</v>
      </c>
      <c r="AA127" s="52">
        <f ca="1">('TE BE'!$AB$8+'TE BF_350'!$AB$8+'TE CVA'!$AB$8)*1*(1-0.03)</f>
        <v>351.09406763094154</v>
      </c>
      <c r="AB127" s="6">
        <f>$K$127*$V$127</f>
        <v>21278.168999999998</v>
      </c>
      <c r="AC127" s="6">
        <f>$M$127*$W$127</f>
        <v>2128.3654745999997</v>
      </c>
      <c r="AD127" s="6">
        <f>$O$127*$X$127</f>
        <v>9805.1561115999993</v>
      </c>
      <c r="AE127" s="6">
        <f ca="1">$K$127*$Y$127</f>
        <v>24506.593761284068</v>
      </c>
      <c r="AF127" s="6">
        <f ca="1">$M$127*$Z$127</f>
        <v>3765.724071117098</v>
      </c>
      <c r="AG127" s="6">
        <f ca="1">$O$127*$AA$127</f>
        <v>9353.4970557559136</v>
      </c>
    </row>
    <row r="128" spans="1:33" ht="11.25" customHeight="1" x14ac:dyDescent="0.3">
      <c r="A128" s="4" t="s">
        <v>21</v>
      </c>
      <c r="B128" s="4" t="s">
        <v>39</v>
      </c>
      <c r="C128" s="4" t="s">
        <v>42</v>
      </c>
      <c r="D128" s="4" t="s">
        <v>50</v>
      </c>
      <c r="E128" s="4" t="s">
        <v>51</v>
      </c>
      <c r="F128" s="4" t="s">
        <v>25</v>
      </c>
      <c r="G128" s="4" t="s">
        <v>25</v>
      </c>
      <c r="H128" s="4" t="s">
        <v>34</v>
      </c>
      <c r="I128" s="5">
        <v>44743</v>
      </c>
      <c r="J128" s="6">
        <v>495</v>
      </c>
      <c r="K128" s="53">
        <v>495</v>
      </c>
      <c r="L128" s="6">
        <v>26.555</v>
      </c>
      <c r="M128" s="52">
        <v>26.555</v>
      </c>
      <c r="N128" s="6">
        <v>26.555</v>
      </c>
      <c r="O128" s="52">
        <v>26.555</v>
      </c>
      <c r="P128" s="6">
        <v>0</v>
      </c>
      <c r="Q128" s="4" t="s">
        <v>26</v>
      </c>
      <c r="R128" s="4">
        <v>0</v>
      </c>
      <c r="S128" s="6">
        <v>4</v>
      </c>
      <c r="T128" s="6">
        <v>8</v>
      </c>
      <c r="U128" s="6">
        <v>65</v>
      </c>
      <c r="V128" s="52">
        <f>IF(ISERROR(VLOOKUP($S$128,'TAR FIN'!$A$1:$O$103,15,0)),0,VLOOKUP($S$128,'TAR FIN'!$A$1:$O$103,15,0))*(1-0.06)</f>
        <v>42.986199999999997</v>
      </c>
      <c r="W128" s="52">
        <f>IF(ISERROR(VLOOKUP($T$128,'TAR FIN'!$A$1:$O$103,15,0)),0,VLOOKUP($T$128,'TAR FIN'!$A$1:$O$103,15,0))*(1-0.06)</f>
        <v>79.890599999999992</v>
      </c>
      <c r="X128" s="52">
        <f>IF(ISERROR(VLOOKUP($U$128,'TAR FIN'!$A$1:$O$103,15,0)),0,VLOOKUP($U$128,'TAR FIN'!$A$1:$O$103,15,0))*(1-0.06)</f>
        <v>368.04759999999999</v>
      </c>
      <c r="Y128" s="52">
        <f ca="1">('TUSD BE'!$AM$17+'TUSD BF_350'!$AM$17+'TUSD CVA'!$AM$17)*1*(1-0.03)</f>
        <v>49.5082702248163</v>
      </c>
      <c r="Z128" s="52">
        <f ca="1">('TUSD BE'!$AM$19+'TUSD BF_350'!$AM$19+'TUSD CVA'!$AM$19)*1*(1-0.03)</f>
        <v>141.35070271825751</v>
      </c>
      <c r="AA128" s="52">
        <f ca="1">('TE BE'!$AB$8+'TE BF_350'!$AB$8+'TE CVA'!$AB$8)*1*(1-0.03)</f>
        <v>351.09406763094154</v>
      </c>
      <c r="AB128" s="6">
        <f>$K$128*$V$128</f>
        <v>21278.168999999998</v>
      </c>
      <c r="AC128" s="6">
        <f>$M$128*$W$128</f>
        <v>2121.4948829999998</v>
      </c>
      <c r="AD128" s="6">
        <f>$O$128*$X$128</f>
        <v>9773.5040179999996</v>
      </c>
      <c r="AE128" s="6">
        <f ca="1">$K$128*$Y$128</f>
        <v>24506.593761284068</v>
      </c>
      <c r="AF128" s="6">
        <f ca="1">$M$128*$Z$128</f>
        <v>3753.5679106833281</v>
      </c>
      <c r="AG128" s="6">
        <f ca="1">$O$128*$AA$128</f>
        <v>9323.3029659396525</v>
      </c>
    </row>
    <row r="129" spans="1:33" ht="11.25" customHeight="1" x14ac:dyDescent="0.3">
      <c r="A129" s="4" t="s">
        <v>21</v>
      </c>
      <c r="B129" s="4" t="s">
        <v>39</v>
      </c>
      <c r="C129" s="4" t="s">
        <v>42</v>
      </c>
      <c r="D129" s="4" t="s">
        <v>50</v>
      </c>
      <c r="E129" s="4" t="s">
        <v>51</v>
      </c>
      <c r="F129" s="4" t="s">
        <v>25</v>
      </c>
      <c r="G129" s="4" t="s">
        <v>25</v>
      </c>
      <c r="H129" s="4" t="s">
        <v>34</v>
      </c>
      <c r="I129" s="5">
        <v>44774</v>
      </c>
      <c r="J129" s="6">
        <v>495</v>
      </c>
      <c r="K129" s="53">
        <v>495</v>
      </c>
      <c r="L129" s="6">
        <v>28.975000000000001</v>
      </c>
      <c r="M129" s="52">
        <v>28.975000000000001</v>
      </c>
      <c r="N129" s="6">
        <v>28.975000000000001</v>
      </c>
      <c r="O129" s="52">
        <v>28.975000000000001</v>
      </c>
      <c r="P129" s="6">
        <v>0</v>
      </c>
      <c r="Q129" s="4" t="s">
        <v>26</v>
      </c>
      <c r="R129" s="4">
        <v>0</v>
      </c>
      <c r="S129" s="6">
        <v>4</v>
      </c>
      <c r="T129" s="6">
        <v>8</v>
      </c>
      <c r="U129" s="6">
        <v>65</v>
      </c>
      <c r="V129" s="52">
        <f>IF(ISERROR(VLOOKUP($S$129,'TAR FIN'!$A$1:$O$103,15,0)),0,VLOOKUP($S$129,'TAR FIN'!$A$1:$O$103,15,0))*(1-0.06)</f>
        <v>42.986199999999997</v>
      </c>
      <c r="W129" s="52">
        <f>IF(ISERROR(VLOOKUP($T$129,'TAR FIN'!$A$1:$O$103,15,0)),0,VLOOKUP($T$129,'TAR FIN'!$A$1:$O$103,15,0))*(1-0.06)</f>
        <v>79.890599999999992</v>
      </c>
      <c r="X129" s="52">
        <f>IF(ISERROR(VLOOKUP($U$129,'TAR FIN'!$A$1:$O$103,15,0)),0,VLOOKUP($U$129,'TAR FIN'!$A$1:$O$103,15,0))*(1-0.06)</f>
        <v>368.04759999999999</v>
      </c>
      <c r="Y129" s="52">
        <f ca="1">('TUSD BE'!$AM$17+'TUSD BF_350'!$AM$17+'TUSD CVA'!$AM$17)*1*(1-0.03)</f>
        <v>49.5082702248163</v>
      </c>
      <c r="Z129" s="52">
        <f ca="1">('TUSD BE'!$AM$19+'TUSD BF_350'!$AM$19+'TUSD CVA'!$AM$19)*1*(1-0.03)</f>
        <v>141.35070271825751</v>
      </c>
      <c r="AA129" s="52">
        <f ca="1">('TE BE'!$AB$8+'TE BF_350'!$AB$8+'TE CVA'!$AB$8)*1*(1-0.03)</f>
        <v>351.09406763094154</v>
      </c>
      <c r="AB129" s="6">
        <f>$K$129*$V$129</f>
        <v>21278.168999999998</v>
      </c>
      <c r="AC129" s="6">
        <f>$M$129*$W$129</f>
        <v>2314.8301349999997</v>
      </c>
      <c r="AD129" s="6">
        <f>$O$129*$X$129</f>
        <v>10664.17921</v>
      </c>
      <c r="AE129" s="6">
        <f ca="1">$K$129*$Y$129</f>
        <v>24506.593761284068</v>
      </c>
      <c r="AF129" s="6">
        <f ca="1">$M$129*$Z$129</f>
        <v>4095.6366112615115</v>
      </c>
      <c r="AG129" s="6">
        <f ca="1">$O$129*$AA$129</f>
        <v>10172.950609606532</v>
      </c>
    </row>
    <row r="130" spans="1:33" ht="11.25" customHeight="1" x14ac:dyDescent="0.3">
      <c r="A130" s="4" t="s">
        <v>21</v>
      </c>
      <c r="B130" s="4" t="s">
        <v>39</v>
      </c>
      <c r="C130" s="4" t="s">
        <v>42</v>
      </c>
      <c r="D130" s="4" t="s">
        <v>50</v>
      </c>
      <c r="E130" s="4" t="s">
        <v>51</v>
      </c>
      <c r="F130" s="4" t="s">
        <v>25</v>
      </c>
      <c r="G130" s="4" t="s">
        <v>25</v>
      </c>
      <c r="H130" s="4" t="s">
        <v>34</v>
      </c>
      <c r="I130" s="5">
        <v>44805</v>
      </c>
      <c r="J130" s="6">
        <v>495</v>
      </c>
      <c r="K130" s="53">
        <v>495</v>
      </c>
      <c r="L130" s="6">
        <v>26.323</v>
      </c>
      <c r="M130" s="52">
        <v>26.323</v>
      </c>
      <c r="N130" s="6">
        <v>26.323</v>
      </c>
      <c r="O130" s="52">
        <v>26.323</v>
      </c>
      <c r="P130" s="6">
        <v>0</v>
      </c>
      <c r="Q130" s="4" t="s">
        <v>26</v>
      </c>
      <c r="R130" s="4">
        <v>0</v>
      </c>
      <c r="S130" s="6">
        <v>4</v>
      </c>
      <c r="T130" s="6">
        <v>8</v>
      </c>
      <c r="U130" s="6">
        <v>65</v>
      </c>
      <c r="V130" s="52">
        <f>IF(ISERROR(VLOOKUP($S$130,'TAR FIN'!$A$1:$O$103,15,0)),0,VLOOKUP($S$130,'TAR FIN'!$A$1:$O$103,15,0))*(1-0.06)</f>
        <v>42.986199999999997</v>
      </c>
      <c r="W130" s="52">
        <f>IF(ISERROR(VLOOKUP($T$130,'TAR FIN'!$A$1:$O$103,15,0)),0,VLOOKUP($T$130,'TAR FIN'!$A$1:$O$103,15,0))*(1-0.06)</f>
        <v>79.890599999999992</v>
      </c>
      <c r="X130" s="52">
        <f>IF(ISERROR(VLOOKUP($U$130,'TAR FIN'!$A$1:$O$103,15,0)),0,VLOOKUP($U$130,'TAR FIN'!$A$1:$O$103,15,0))*(1-0.06)</f>
        <v>368.04759999999999</v>
      </c>
      <c r="Y130" s="52">
        <f ca="1">('TUSD BE'!$AM$17+'TUSD BF_350'!$AM$17+'TUSD CVA'!$AM$17)*1*(1-0.03)</f>
        <v>49.5082702248163</v>
      </c>
      <c r="Z130" s="52">
        <f ca="1">('TUSD BE'!$AM$19+'TUSD BF_350'!$AM$19+'TUSD CVA'!$AM$19)*1*(1-0.03)</f>
        <v>141.35070271825751</v>
      </c>
      <c r="AA130" s="52">
        <f ca="1">('TE BE'!$AB$8+'TE BF_350'!$AB$8+'TE CVA'!$AB$8)*1*(1-0.03)</f>
        <v>351.09406763094154</v>
      </c>
      <c r="AB130" s="6">
        <f>$K$130*$V$130</f>
        <v>21278.168999999998</v>
      </c>
      <c r="AC130" s="6">
        <f>$M$130*$W$130</f>
        <v>2102.9602637999997</v>
      </c>
      <c r="AD130" s="6">
        <f>$O$130*$X$130</f>
        <v>9688.1169747999993</v>
      </c>
      <c r="AE130" s="6">
        <f ca="1">$K$130*$Y$130</f>
        <v>24506.593761284068</v>
      </c>
      <c r="AF130" s="6">
        <f ca="1">$M$130*$Z$130</f>
        <v>3720.7745476526925</v>
      </c>
      <c r="AG130" s="6">
        <f ca="1">$O$130*$AA$130</f>
        <v>9241.8491422492734</v>
      </c>
    </row>
    <row r="131" spans="1:33" ht="11.25" customHeight="1" x14ac:dyDescent="0.3">
      <c r="A131" s="4" t="s">
        <v>57</v>
      </c>
      <c r="B131" s="4" t="s">
        <v>39</v>
      </c>
      <c r="C131" s="4" t="s">
        <v>42</v>
      </c>
      <c r="D131" s="4" t="s">
        <v>50</v>
      </c>
      <c r="E131" s="4" t="s">
        <v>51</v>
      </c>
      <c r="F131" s="4" t="s">
        <v>25</v>
      </c>
      <c r="G131" s="4" t="s">
        <v>25</v>
      </c>
      <c r="H131" s="4" t="s">
        <v>34</v>
      </c>
      <c r="I131" s="5">
        <v>44835</v>
      </c>
      <c r="J131" s="6">
        <v>495</v>
      </c>
      <c r="K131" s="53">
        <v>495</v>
      </c>
      <c r="L131" s="6">
        <v>26.323</v>
      </c>
      <c r="M131" s="52">
        <v>26.323</v>
      </c>
      <c r="N131" s="6">
        <v>26.323</v>
      </c>
      <c r="O131" s="52">
        <v>26.323</v>
      </c>
      <c r="P131" s="6">
        <v>0</v>
      </c>
      <c r="Q131" s="4" t="s">
        <v>26</v>
      </c>
      <c r="R131" s="4">
        <v>0</v>
      </c>
      <c r="S131" s="6">
        <v>4</v>
      </c>
      <c r="T131" s="6">
        <v>8</v>
      </c>
      <c r="U131" s="6">
        <v>65</v>
      </c>
      <c r="V131" s="52">
        <f>IF(ISERROR(VLOOKUP($S$131,'TAR FIN'!$A$1:$O$103,15,0)),0,VLOOKUP($S$131,'TAR FIN'!$A$1:$O$103,15,0))*(1-0.06)</f>
        <v>42.986199999999997</v>
      </c>
      <c r="W131" s="52">
        <f>IF(ISERROR(VLOOKUP($T$131,'TAR FIN'!$A$1:$O$103,15,0)),0,VLOOKUP($T$131,'TAR FIN'!$A$1:$O$103,15,0))*(1-0.06)</f>
        <v>79.890599999999992</v>
      </c>
      <c r="X131" s="52">
        <f>IF(ISERROR(VLOOKUP($U$131,'TAR FIN'!$A$1:$O$103,15,0)),0,VLOOKUP($U$131,'TAR FIN'!$A$1:$O$103,15,0))*(1-0.06)</f>
        <v>368.04759999999999</v>
      </c>
      <c r="Y131" s="52">
        <f ca="1">('TUSD BE'!$AM$17+'TUSD BF_350'!$AM$17+'TUSD CVA'!$AM$17)*1*(1-0.03)</f>
        <v>49.5082702248163</v>
      </c>
      <c r="Z131" s="52">
        <f ca="1">('TUSD BE'!$AM$19+'TUSD BF_350'!$AM$19+'TUSD CVA'!$AM$19)*1*(1-0.03)</f>
        <v>141.35070271825751</v>
      </c>
      <c r="AA131" s="52">
        <f ca="1">('TE BE'!$AB$8+'TE BF_350'!$AB$8+'TE CVA'!$AB$8)*1*(1-0.03)</f>
        <v>351.09406763094154</v>
      </c>
      <c r="AB131" s="6">
        <f>$K$131*$V$131</f>
        <v>21278.168999999998</v>
      </c>
      <c r="AC131" s="6">
        <f>$M$131*$W$131</f>
        <v>2102.9602637999997</v>
      </c>
      <c r="AD131" s="6">
        <f>$O$131*$X$131</f>
        <v>9688.1169747999993</v>
      </c>
      <c r="AE131" s="6">
        <f ca="1">$K$131*$Y$131</f>
        <v>24506.593761284068</v>
      </c>
      <c r="AF131" s="6">
        <f ca="1">$M$131*$Z$131</f>
        <v>3720.7745476526925</v>
      </c>
      <c r="AG131" s="6">
        <f ca="1">$O$131*$AA$131</f>
        <v>9241.8491422492734</v>
      </c>
    </row>
    <row r="132" spans="1:33" ht="11.25" customHeight="1" x14ac:dyDescent="0.3">
      <c r="A132" s="4" t="s">
        <v>21</v>
      </c>
      <c r="B132" s="4" t="s">
        <v>39</v>
      </c>
      <c r="C132" s="4" t="s">
        <v>40</v>
      </c>
      <c r="D132" s="4" t="s">
        <v>41</v>
      </c>
      <c r="E132" s="4" t="s">
        <v>25</v>
      </c>
      <c r="F132" s="4" t="s">
        <v>25</v>
      </c>
      <c r="G132" s="4" t="s">
        <v>25</v>
      </c>
      <c r="H132" s="4" t="s">
        <v>35</v>
      </c>
      <c r="I132" s="5">
        <v>44501</v>
      </c>
      <c r="J132" s="6">
        <v>0</v>
      </c>
      <c r="K132" s="6">
        <v>0</v>
      </c>
      <c r="L132" s="6">
        <v>250.30500000000001</v>
      </c>
      <c r="M132" s="6">
        <v>250.30500000000001</v>
      </c>
      <c r="N132" s="6">
        <v>250.30500000000001</v>
      </c>
      <c r="O132" s="6">
        <v>250.30500000000001</v>
      </c>
      <c r="P132" s="6">
        <v>0</v>
      </c>
      <c r="Q132" s="4" t="s">
        <v>26</v>
      </c>
      <c r="R132" s="4">
        <v>0</v>
      </c>
      <c r="S132" s="6">
        <v>0</v>
      </c>
      <c r="T132" s="6">
        <v>17</v>
      </c>
      <c r="U132" s="6">
        <v>66</v>
      </c>
      <c r="V132" s="6">
        <f>IF(ISERROR(VLOOKUP($S$132,'TAR FIN'!$A$1:$O$103,15,0)),0,VLOOKUP($S$132,'TAR FIN'!$A$1:$O$103,15,0))</f>
        <v>0</v>
      </c>
      <c r="W132" s="6">
        <f>IF(ISERROR(VLOOKUP($T$132,'TAR FIN'!$A$1:$O$103,15,0)),0,VLOOKUP($T$132,'TAR FIN'!$A$1:$O$103,15,0))</f>
        <v>84.99</v>
      </c>
      <c r="X132" s="6">
        <f>IF(ISERROR(VLOOKUP($U$132,'TAR FIN'!$A$1:$O$103,15,0)),0,VLOOKUP($U$132,'TAR FIN'!$A$1:$O$103,15,0))</f>
        <v>242.77</v>
      </c>
      <c r="Y132" s="6"/>
      <c r="Z132" s="6">
        <f ca="1">('TUSD BE'!$AM$24+'TUSD BF_350'!$AM$24+'TUSD CVA'!$AM$24)*1</f>
        <v>145.72237393634796</v>
      </c>
      <c r="AA132" s="6">
        <f ca="1">('TE BE'!$AB$9+'TE BF_350'!$AB$9+'TE CVA'!$AB$9)*1</f>
        <v>222.39386487986414</v>
      </c>
      <c r="AB132" s="6">
        <f>$K$132*$V$132</f>
        <v>0</v>
      </c>
      <c r="AC132" s="6">
        <f>$M$132*$W$132</f>
        <v>21273.42195</v>
      </c>
      <c r="AD132" s="6">
        <f>$O$132*$X$132</f>
        <v>60766.544850000006</v>
      </c>
      <c r="AE132" s="6">
        <f>$K$132*$Y$132</f>
        <v>0</v>
      </c>
      <c r="AF132" s="6">
        <f ca="1">$M$132*$Z$132</f>
        <v>36475.038808137579</v>
      </c>
      <c r="AG132" s="6">
        <f ca="1">$O$132*$AA$132</f>
        <v>55666.296348754397</v>
      </c>
    </row>
    <row r="133" spans="1:33" ht="11.25" customHeight="1" x14ac:dyDescent="0.3">
      <c r="A133" s="4" t="s">
        <v>28</v>
      </c>
      <c r="B133" s="4" t="s">
        <v>39</v>
      </c>
      <c r="C133" s="4" t="s">
        <v>40</v>
      </c>
      <c r="D133" s="4" t="s">
        <v>41</v>
      </c>
      <c r="E133" s="4" t="s">
        <v>25</v>
      </c>
      <c r="F133" s="4" t="s">
        <v>25</v>
      </c>
      <c r="G133" s="4" t="s">
        <v>25</v>
      </c>
      <c r="H133" s="4" t="s">
        <v>35</v>
      </c>
      <c r="I133" s="5">
        <v>44501</v>
      </c>
      <c r="J133" s="6">
        <v>0</v>
      </c>
      <c r="K133" s="6">
        <v>0</v>
      </c>
      <c r="L133" s="6">
        <v>36.600999999999999</v>
      </c>
      <c r="M133" s="6">
        <v>36.600999999999999</v>
      </c>
      <c r="N133" s="6">
        <v>36.600999999999999</v>
      </c>
      <c r="O133" s="6">
        <v>36.600999999999999</v>
      </c>
      <c r="P133" s="6">
        <v>0</v>
      </c>
      <c r="Q133" s="4" t="s">
        <v>26</v>
      </c>
      <c r="R133" s="4">
        <v>0</v>
      </c>
      <c r="S133" s="6">
        <v>0</v>
      </c>
      <c r="T133" s="6">
        <v>17</v>
      </c>
      <c r="U133" s="6">
        <v>66</v>
      </c>
      <c r="V133" s="6">
        <f>IF(ISERROR(VLOOKUP($S$133,'TAR FIN'!$A$1:$O$103,15,0)),0,VLOOKUP($S$133,'TAR FIN'!$A$1:$O$103,15,0))</f>
        <v>0</v>
      </c>
      <c r="W133" s="6">
        <f>IF(ISERROR(VLOOKUP($T$133,'TAR FIN'!$A$1:$O$103,15,0)),0,VLOOKUP($T$133,'TAR FIN'!$A$1:$O$103,15,0))</f>
        <v>84.99</v>
      </c>
      <c r="X133" s="6">
        <f>IF(ISERROR(VLOOKUP($U$133,'TAR FIN'!$A$1:$O$103,15,0)),0,VLOOKUP($U$133,'TAR FIN'!$A$1:$O$103,15,0))</f>
        <v>242.77</v>
      </c>
      <c r="Y133" s="6"/>
      <c r="Z133" s="6">
        <f ca="1">('TUSD BE'!$AM$24+'TUSD BF_350'!$AM$24+'TUSD CVA'!$AM$24)*1</f>
        <v>145.72237393634796</v>
      </c>
      <c r="AA133" s="6">
        <f ca="1">('TE BE'!$AB$9+'TE BF_350'!$AB$9+'TE CVA'!$AB$9)*1</f>
        <v>222.39386487986414</v>
      </c>
      <c r="AB133" s="6">
        <f>$K$133*$V$133</f>
        <v>0</v>
      </c>
      <c r="AC133" s="6">
        <f>$M$133*$W$133</f>
        <v>3110.7189899999998</v>
      </c>
      <c r="AD133" s="6">
        <f>$O$133*$X$133</f>
        <v>8885.6247700000004</v>
      </c>
      <c r="AE133" s="6">
        <f>$K$133*$Y$133</f>
        <v>0</v>
      </c>
      <c r="AF133" s="6">
        <f ca="1">$M$133*$Z$133</f>
        <v>5333.5846084442719</v>
      </c>
      <c r="AG133" s="6">
        <f ca="1">$O$133*$AA$133</f>
        <v>8139.837848467907</v>
      </c>
    </row>
    <row r="134" spans="1:33" ht="11.25" customHeight="1" x14ac:dyDescent="0.3">
      <c r="A134" s="4" t="s">
        <v>21</v>
      </c>
      <c r="B134" s="4" t="s">
        <v>39</v>
      </c>
      <c r="C134" s="4" t="s">
        <v>40</v>
      </c>
      <c r="D134" s="4" t="s">
        <v>41</v>
      </c>
      <c r="E134" s="4" t="s">
        <v>25</v>
      </c>
      <c r="F134" s="4" t="s">
        <v>25</v>
      </c>
      <c r="G134" s="4" t="s">
        <v>25</v>
      </c>
      <c r="H134" s="4" t="s">
        <v>35</v>
      </c>
      <c r="I134" s="5">
        <v>44531</v>
      </c>
      <c r="J134" s="6">
        <v>0</v>
      </c>
      <c r="K134" s="6">
        <v>0</v>
      </c>
      <c r="L134" s="6">
        <v>248.839</v>
      </c>
      <c r="M134" s="6">
        <v>248.839</v>
      </c>
      <c r="N134" s="6">
        <v>248.839</v>
      </c>
      <c r="O134" s="6">
        <v>248.839</v>
      </c>
      <c r="P134" s="6">
        <v>0</v>
      </c>
      <c r="Q134" s="4" t="s">
        <v>26</v>
      </c>
      <c r="R134" s="4">
        <v>0</v>
      </c>
      <c r="S134" s="6">
        <v>0</v>
      </c>
      <c r="T134" s="6">
        <v>17</v>
      </c>
      <c r="U134" s="6">
        <v>66</v>
      </c>
      <c r="V134" s="6">
        <f>IF(ISERROR(VLOOKUP($S$134,'TAR FIN'!$A$1:$O$103,15,0)),0,VLOOKUP($S$134,'TAR FIN'!$A$1:$O$103,15,0))</f>
        <v>0</v>
      </c>
      <c r="W134" s="6">
        <f>IF(ISERROR(VLOOKUP($T$134,'TAR FIN'!$A$1:$O$103,15,0)),0,VLOOKUP($T$134,'TAR FIN'!$A$1:$O$103,15,0))</f>
        <v>84.99</v>
      </c>
      <c r="X134" s="6">
        <f>IF(ISERROR(VLOOKUP($U$134,'TAR FIN'!$A$1:$O$103,15,0)),0,VLOOKUP($U$134,'TAR FIN'!$A$1:$O$103,15,0))</f>
        <v>242.77</v>
      </c>
      <c r="Y134" s="6"/>
      <c r="Z134" s="6">
        <f ca="1">('TUSD BE'!$AM$24+'TUSD BF_350'!$AM$24+'TUSD CVA'!$AM$24)*1</f>
        <v>145.72237393634796</v>
      </c>
      <c r="AA134" s="6">
        <f ca="1">('TE BE'!$AB$9+'TE BF_350'!$AB$9+'TE CVA'!$AB$9)*1</f>
        <v>222.39386487986414</v>
      </c>
      <c r="AB134" s="6">
        <f>$K$134*$V$134</f>
        <v>0</v>
      </c>
      <c r="AC134" s="6">
        <f>$M$134*$W$134</f>
        <v>21148.82661</v>
      </c>
      <c r="AD134" s="6">
        <f>$O$134*$X$134</f>
        <v>60410.644030000003</v>
      </c>
      <c r="AE134" s="6">
        <f>$K$134*$Y$134</f>
        <v>0</v>
      </c>
      <c r="AF134" s="6">
        <f ca="1">$M$134*$Z$134</f>
        <v>36261.409807946889</v>
      </c>
      <c r="AG134" s="6">
        <f ca="1">$O$134*$AA$134</f>
        <v>55340.266942840513</v>
      </c>
    </row>
    <row r="135" spans="1:33" ht="11.25" customHeight="1" x14ac:dyDescent="0.3">
      <c r="A135" s="4" t="s">
        <v>28</v>
      </c>
      <c r="B135" s="4" t="s">
        <v>39</v>
      </c>
      <c r="C135" s="4" t="s">
        <v>40</v>
      </c>
      <c r="D135" s="4" t="s">
        <v>41</v>
      </c>
      <c r="E135" s="4" t="s">
        <v>25</v>
      </c>
      <c r="F135" s="4" t="s">
        <v>25</v>
      </c>
      <c r="G135" s="4" t="s">
        <v>25</v>
      </c>
      <c r="H135" s="4" t="s">
        <v>35</v>
      </c>
      <c r="I135" s="5">
        <v>44531</v>
      </c>
      <c r="J135" s="6">
        <v>0</v>
      </c>
      <c r="K135" s="6">
        <v>0</v>
      </c>
      <c r="L135" s="6">
        <v>42.082000000000001</v>
      </c>
      <c r="M135" s="6">
        <v>42.082000000000001</v>
      </c>
      <c r="N135" s="6">
        <v>42.082000000000001</v>
      </c>
      <c r="O135" s="6">
        <v>42.082000000000001</v>
      </c>
      <c r="P135" s="6">
        <v>0</v>
      </c>
      <c r="Q135" s="4" t="s">
        <v>26</v>
      </c>
      <c r="R135" s="4">
        <v>0</v>
      </c>
      <c r="S135" s="6">
        <v>0</v>
      </c>
      <c r="T135" s="6">
        <v>17</v>
      </c>
      <c r="U135" s="6">
        <v>66</v>
      </c>
      <c r="V135" s="6">
        <f>IF(ISERROR(VLOOKUP($S$135,'TAR FIN'!$A$1:$O$103,15,0)),0,VLOOKUP($S$135,'TAR FIN'!$A$1:$O$103,15,0))</f>
        <v>0</v>
      </c>
      <c r="W135" s="6">
        <f>IF(ISERROR(VLOOKUP($T$135,'TAR FIN'!$A$1:$O$103,15,0)),0,VLOOKUP($T$135,'TAR FIN'!$A$1:$O$103,15,0))</f>
        <v>84.99</v>
      </c>
      <c r="X135" s="6">
        <f>IF(ISERROR(VLOOKUP($U$135,'TAR FIN'!$A$1:$O$103,15,0)),0,VLOOKUP($U$135,'TAR FIN'!$A$1:$O$103,15,0))</f>
        <v>242.77</v>
      </c>
      <c r="Y135" s="6"/>
      <c r="Z135" s="6">
        <f ca="1">('TUSD BE'!$AM$24+'TUSD BF_350'!$AM$24+'TUSD CVA'!$AM$24)*1</f>
        <v>145.72237393634796</v>
      </c>
      <c r="AA135" s="6">
        <f ca="1">('TE BE'!$AB$9+'TE BF_350'!$AB$9+'TE CVA'!$AB$9)*1</f>
        <v>222.39386487986414</v>
      </c>
      <c r="AB135" s="6">
        <f>$K$135*$V$135</f>
        <v>0</v>
      </c>
      <c r="AC135" s="6">
        <f>$M$135*$W$135</f>
        <v>3576.54918</v>
      </c>
      <c r="AD135" s="6">
        <f>$O$135*$X$135</f>
        <v>10216.247140000001</v>
      </c>
      <c r="AE135" s="6">
        <f>$K$135*$Y$135</f>
        <v>0</v>
      </c>
      <c r="AF135" s="6">
        <f ca="1">$M$135*$Z$135</f>
        <v>6132.2889399893947</v>
      </c>
      <c r="AG135" s="6">
        <f ca="1">$O$135*$AA$135</f>
        <v>9358.7786218744423</v>
      </c>
    </row>
    <row r="136" spans="1:33" ht="11.25" customHeight="1" x14ac:dyDescent="0.3">
      <c r="A136" s="4" t="s">
        <v>21</v>
      </c>
      <c r="B136" s="4" t="s">
        <v>39</v>
      </c>
      <c r="C136" s="4" t="s">
        <v>40</v>
      </c>
      <c r="D136" s="4" t="s">
        <v>41</v>
      </c>
      <c r="E136" s="4" t="s">
        <v>25</v>
      </c>
      <c r="F136" s="4" t="s">
        <v>25</v>
      </c>
      <c r="G136" s="4" t="s">
        <v>25</v>
      </c>
      <c r="H136" s="4" t="s">
        <v>35</v>
      </c>
      <c r="I136" s="5">
        <v>44562</v>
      </c>
      <c r="J136" s="6">
        <v>0</v>
      </c>
      <c r="K136" s="6">
        <v>0</v>
      </c>
      <c r="L136" s="6">
        <v>260.56799999999998</v>
      </c>
      <c r="M136" s="6">
        <v>260.56799999999998</v>
      </c>
      <c r="N136" s="6">
        <v>260.56799999999998</v>
      </c>
      <c r="O136" s="6">
        <v>260.56799999999998</v>
      </c>
      <c r="P136" s="6">
        <v>0</v>
      </c>
      <c r="Q136" s="4" t="s">
        <v>26</v>
      </c>
      <c r="R136" s="4">
        <v>0</v>
      </c>
      <c r="S136" s="6">
        <v>0</v>
      </c>
      <c r="T136" s="6">
        <v>17</v>
      </c>
      <c r="U136" s="6">
        <v>66</v>
      </c>
      <c r="V136" s="6">
        <f>IF(ISERROR(VLOOKUP($S$136,'TAR FIN'!$A$1:$O$103,15,0)),0,VLOOKUP($S$136,'TAR FIN'!$A$1:$O$103,15,0))</f>
        <v>0</v>
      </c>
      <c r="W136" s="6">
        <f>IF(ISERROR(VLOOKUP($T$136,'TAR FIN'!$A$1:$O$103,15,0)),0,VLOOKUP($T$136,'TAR FIN'!$A$1:$O$103,15,0))</f>
        <v>84.99</v>
      </c>
      <c r="X136" s="6">
        <f>IF(ISERROR(VLOOKUP($U$136,'TAR FIN'!$A$1:$O$103,15,0)),0,VLOOKUP($U$136,'TAR FIN'!$A$1:$O$103,15,0))</f>
        <v>242.77</v>
      </c>
      <c r="Y136" s="6"/>
      <c r="Z136" s="6">
        <f ca="1">('TUSD BE'!$AM$24+'TUSD BF_350'!$AM$24+'TUSD CVA'!$AM$24)*1</f>
        <v>145.72237393634796</v>
      </c>
      <c r="AA136" s="6">
        <f ca="1">('TE BE'!$AB$9+'TE BF_350'!$AB$9+'TE CVA'!$AB$9)*1</f>
        <v>222.39386487986414</v>
      </c>
      <c r="AB136" s="6">
        <f>$K$136*$V$136</f>
        <v>0</v>
      </c>
      <c r="AC136" s="6">
        <f>$M$136*$W$136</f>
        <v>22145.674319999998</v>
      </c>
      <c r="AD136" s="6">
        <f>$O$136*$X$136</f>
        <v>63258.093359999999</v>
      </c>
      <c r="AE136" s="6">
        <f>$K$136*$Y$136</f>
        <v>0</v>
      </c>
      <c r="AF136" s="6">
        <f ca="1">$M$136*$Z$136</f>
        <v>37970.587531846315</v>
      </c>
      <c r="AG136" s="6">
        <f ca="1">$O$136*$AA$136</f>
        <v>57948.724584016432</v>
      </c>
    </row>
    <row r="137" spans="1:33" ht="11.25" customHeight="1" x14ac:dyDescent="0.3">
      <c r="A137" s="4" t="s">
        <v>28</v>
      </c>
      <c r="B137" s="4" t="s">
        <v>39</v>
      </c>
      <c r="C137" s="4" t="s">
        <v>40</v>
      </c>
      <c r="D137" s="4" t="s">
        <v>41</v>
      </c>
      <c r="E137" s="4" t="s">
        <v>25</v>
      </c>
      <c r="F137" s="4" t="s">
        <v>25</v>
      </c>
      <c r="G137" s="4" t="s">
        <v>25</v>
      </c>
      <c r="H137" s="4" t="s">
        <v>35</v>
      </c>
      <c r="I137" s="5">
        <v>44562</v>
      </c>
      <c r="J137" s="6">
        <v>0</v>
      </c>
      <c r="K137" s="6">
        <v>0</v>
      </c>
      <c r="L137" s="6">
        <v>37.851999999999997</v>
      </c>
      <c r="M137" s="6">
        <v>37.851999999999997</v>
      </c>
      <c r="N137" s="6">
        <v>37.851999999999997</v>
      </c>
      <c r="O137" s="6">
        <v>37.851999999999997</v>
      </c>
      <c r="P137" s="6">
        <v>0</v>
      </c>
      <c r="Q137" s="4" t="s">
        <v>26</v>
      </c>
      <c r="R137" s="4">
        <v>0</v>
      </c>
      <c r="S137" s="6">
        <v>0</v>
      </c>
      <c r="T137" s="6">
        <v>17</v>
      </c>
      <c r="U137" s="6">
        <v>66</v>
      </c>
      <c r="V137" s="6">
        <f>IF(ISERROR(VLOOKUP($S$137,'TAR FIN'!$A$1:$O$103,15,0)),0,VLOOKUP($S$137,'TAR FIN'!$A$1:$O$103,15,0))</f>
        <v>0</v>
      </c>
      <c r="W137" s="6">
        <f>IF(ISERROR(VLOOKUP($T$137,'TAR FIN'!$A$1:$O$103,15,0)),0,VLOOKUP($T$137,'TAR FIN'!$A$1:$O$103,15,0))</f>
        <v>84.99</v>
      </c>
      <c r="X137" s="6">
        <f>IF(ISERROR(VLOOKUP($U$137,'TAR FIN'!$A$1:$O$103,15,0)),0,VLOOKUP($U$137,'TAR FIN'!$A$1:$O$103,15,0))</f>
        <v>242.77</v>
      </c>
      <c r="Y137" s="6"/>
      <c r="Z137" s="6">
        <f ca="1">('TUSD BE'!$AM$24+'TUSD BF_350'!$AM$24+'TUSD CVA'!$AM$24)*1</f>
        <v>145.72237393634796</v>
      </c>
      <c r="AA137" s="6">
        <f ca="1">('TE BE'!$AB$9+'TE BF_350'!$AB$9+'TE CVA'!$AB$9)*1</f>
        <v>222.39386487986414</v>
      </c>
      <c r="AB137" s="6">
        <f>$K$137*$V$137</f>
        <v>0</v>
      </c>
      <c r="AC137" s="6">
        <f>$M$137*$W$137</f>
        <v>3217.0414799999994</v>
      </c>
      <c r="AD137" s="6">
        <f>$O$137*$X$137</f>
        <v>9189.3300399999989</v>
      </c>
      <c r="AE137" s="6">
        <f>$K$137*$Y$137</f>
        <v>0</v>
      </c>
      <c r="AF137" s="6">
        <f ca="1">$M$137*$Z$137</f>
        <v>5515.883298238643</v>
      </c>
      <c r="AG137" s="6">
        <f ca="1">$O$137*$AA$137</f>
        <v>8418.0525734326166</v>
      </c>
    </row>
    <row r="138" spans="1:33" ht="11.25" customHeight="1" x14ac:dyDescent="0.3">
      <c r="A138" s="4" t="s">
        <v>21</v>
      </c>
      <c r="B138" s="4" t="s">
        <v>39</v>
      </c>
      <c r="C138" s="4" t="s">
        <v>40</v>
      </c>
      <c r="D138" s="4" t="s">
        <v>41</v>
      </c>
      <c r="E138" s="4" t="s">
        <v>25</v>
      </c>
      <c r="F138" s="4" t="s">
        <v>25</v>
      </c>
      <c r="G138" s="4" t="s">
        <v>25</v>
      </c>
      <c r="H138" s="4" t="s">
        <v>35</v>
      </c>
      <c r="I138" s="5">
        <v>44593</v>
      </c>
      <c r="J138" s="6">
        <v>0</v>
      </c>
      <c r="K138" s="6">
        <v>0</v>
      </c>
      <c r="L138" s="6">
        <v>248.054</v>
      </c>
      <c r="M138" s="6">
        <v>248.054</v>
      </c>
      <c r="N138" s="6">
        <v>248.054</v>
      </c>
      <c r="O138" s="6">
        <v>248.054</v>
      </c>
      <c r="P138" s="6">
        <v>0</v>
      </c>
      <c r="Q138" s="4" t="s">
        <v>26</v>
      </c>
      <c r="R138" s="4">
        <v>0</v>
      </c>
      <c r="S138" s="6">
        <v>0</v>
      </c>
      <c r="T138" s="6">
        <v>17</v>
      </c>
      <c r="U138" s="6">
        <v>66</v>
      </c>
      <c r="V138" s="6">
        <f>IF(ISERROR(VLOOKUP($S$138,'TAR FIN'!$A$1:$O$103,15,0)),0,VLOOKUP($S$138,'TAR FIN'!$A$1:$O$103,15,0))</f>
        <v>0</v>
      </c>
      <c r="W138" s="6">
        <f>IF(ISERROR(VLOOKUP($T$138,'TAR FIN'!$A$1:$O$103,15,0)),0,VLOOKUP($T$138,'TAR FIN'!$A$1:$O$103,15,0))</f>
        <v>84.99</v>
      </c>
      <c r="X138" s="6">
        <f>IF(ISERROR(VLOOKUP($U$138,'TAR FIN'!$A$1:$O$103,15,0)),0,VLOOKUP($U$138,'TAR FIN'!$A$1:$O$103,15,0))</f>
        <v>242.77</v>
      </c>
      <c r="Y138" s="6"/>
      <c r="Z138" s="6">
        <f ca="1">('TUSD BE'!$AM$24+'TUSD BF_350'!$AM$24+'TUSD CVA'!$AM$24)*1</f>
        <v>145.72237393634796</v>
      </c>
      <c r="AA138" s="6">
        <f ca="1">('TE BE'!$AB$9+'TE BF_350'!$AB$9+'TE CVA'!$AB$9)*1</f>
        <v>222.39386487986414</v>
      </c>
      <c r="AB138" s="6">
        <f>$K$138*$V$138</f>
        <v>0</v>
      </c>
      <c r="AC138" s="6">
        <f>$M$138*$W$138</f>
        <v>21082.10946</v>
      </c>
      <c r="AD138" s="6">
        <f>$O$138*$X$138</f>
        <v>60220.069580000003</v>
      </c>
      <c r="AE138" s="6">
        <f>$K$138*$Y$138</f>
        <v>0</v>
      </c>
      <c r="AF138" s="6">
        <f ca="1">$M$138*$Z$138</f>
        <v>36147.017744406861</v>
      </c>
      <c r="AG138" s="6">
        <f ca="1">$O$138*$AA$138</f>
        <v>55165.687758909822</v>
      </c>
    </row>
    <row r="139" spans="1:33" ht="11.25" customHeight="1" x14ac:dyDescent="0.3">
      <c r="A139" s="4" t="s">
        <v>28</v>
      </c>
      <c r="B139" s="4" t="s">
        <v>39</v>
      </c>
      <c r="C139" s="4" t="s">
        <v>40</v>
      </c>
      <c r="D139" s="4" t="s">
        <v>41</v>
      </c>
      <c r="E139" s="4" t="s">
        <v>25</v>
      </c>
      <c r="F139" s="4" t="s">
        <v>25</v>
      </c>
      <c r="G139" s="4" t="s">
        <v>25</v>
      </c>
      <c r="H139" s="4" t="s">
        <v>35</v>
      </c>
      <c r="I139" s="5">
        <v>44593</v>
      </c>
      <c r="J139" s="6">
        <v>0</v>
      </c>
      <c r="K139" s="6">
        <v>0</v>
      </c>
      <c r="L139" s="6">
        <v>29.741</v>
      </c>
      <c r="M139" s="6">
        <v>29.741</v>
      </c>
      <c r="N139" s="6">
        <v>29.741</v>
      </c>
      <c r="O139" s="6">
        <v>29.741</v>
      </c>
      <c r="P139" s="6">
        <v>0</v>
      </c>
      <c r="Q139" s="4" t="s">
        <v>26</v>
      </c>
      <c r="R139" s="4">
        <v>0</v>
      </c>
      <c r="S139" s="6">
        <v>0</v>
      </c>
      <c r="T139" s="6">
        <v>17</v>
      </c>
      <c r="U139" s="6">
        <v>66</v>
      </c>
      <c r="V139" s="6">
        <f>IF(ISERROR(VLOOKUP($S$139,'TAR FIN'!$A$1:$O$103,15,0)),0,VLOOKUP($S$139,'TAR FIN'!$A$1:$O$103,15,0))</f>
        <v>0</v>
      </c>
      <c r="W139" s="6">
        <f>IF(ISERROR(VLOOKUP($T$139,'TAR FIN'!$A$1:$O$103,15,0)),0,VLOOKUP($T$139,'TAR FIN'!$A$1:$O$103,15,0))</f>
        <v>84.99</v>
      </c>
      <c r="X139" s="6">
        <f>IF(ISERROR(VLOOKUP($U$139,'TAR FIN'!$A$1:$O$103,15,0)),0,VLOOKUP($U$139,'TAR FIN'!$A$1:$O$103,15,0))</f>
        <v>242.77</v>
      </c>
      <c r="Y139" s="6"/>
      <c r="Z139" s="6">
        <f ca="1">('TUSD BE'!$AM$24+'TUSD BF_350'!$AM$24+'TUSD CVA'!$AM$24)*1</f>
        <v>145.72237393634796</v>
      </c>
      <c r="AA139" s="6">
        <f ca="1">('TE BE'!$AB$9+'TE BF_350'!$AB$9+'TE CVA'!$AB$9)*1</f>
        <v>222.39386487986414</v>
      </c>
      <c r="AB139" s="6">
        <f>$K$139*$V$139</f>
        <v>0</v>
      </c>
      <c r="AC139" s="6">
        <f>$M$139*$W$139</f>
        <v>2527.68759</v>
      </c>
      <c r="AD139" s="6">
        <f>$O$139*$X$139</f>
        <v>7220.2225699999999</v>
      </c>
      <c r="AE139" s="6">
        <f>$K$139*$Y$139</f>
        <v>0</v>
      </c>
      <c r="AF139" s="6">
        <f ca="1">$M$139*$Z$139</f>
        <v>4333.929123240925</v>
      </c>
      <c r="AG139" s="6">
        <f ca="1">$O$139*$AA$139</f>
        <v>6614.2159353920397</v>
      </c>
    </row>
    <row r="140" spans="1:33" ht="11.25" customHeight="1" x14ac:dyDescent="0.3">
      <c r="A140" s="4" t="s">
        <v>21</v>
      </c>
      <c r="B140" s="4" t="s">
        <v>39</v>
      </c>
      <c r="C140" s="4" t="s">
        <v>40</v>
      </c>
      <c r="D140" s="4" t="s">
        <v>41</v>
      </c>
      <c r="E140" s="4" t="s">
        <v>25</v>
      </c>
      <c r="F140" s="4" t="s">
        <v>25</v>
      </c>
      <c r="G140" s="4" t="s">
        <v>25</v>
      </c>
      <c r="H140" s="4" t="s">
        <v>35</v>
      </c>
      <c r="I140" s="5">
        <v>44621</v>
      </c>
      <c r="J140" s="6">
        <v>0</v>
      </c>
      <c r="K140" s="6">
        <v>0</v>
      </c>
      <c r="L140" s="6">
        <v>300.5</v>
      </c>
      <c r="M140" s="6">
        <v>300.5</v>
      </c>
      <c r="N140" s="6">
        <v>300.5</v>
      </c>
      <c r="O140" s="6">
        <v>300.5</v>
      </c>
      <c r="P140" s="6">
        <v>0</v>
      </c>
      <c r="Q140" s="4" t="s">
        <v>26</v>
      </c>
      <c r="R140" s="4">
        <v>0</v>
      </c>
      <c r="S140" s="6">
        <v>0</v>
      </c>
      <c r="T140" s="6">
        <v>17</v>
      </c>
      <c r="U140" s="6">
        <v>66</v>
      </c>
      <c r="V140" s="6">
        <f>IF(ISERROR(VLOOKUP($S$140,'TAR FIN'!$A$1:$O$103,15,0)),0,VLOOKUP($S$140,'TAR FIN'!$A$1:$O$103,15,0))</f>
        <v>0</v>
      </c>
      <c r="W140" s="6">
        <f>IF(ISERROR(VLOOKUP($T$140,'TAR FIN'!$A$1:$O$103,15,0)),0,VLOOKUP($T$140,'TAR FIN'!$A$1:$O$103,15,0))</f>
        <v>84.99</v>
      </c>
      <c r="X140" s="6">
        <f>IF(ISERROR(VLOOKUP($U$140,'TAR FIN'!$A$1:$O$103,15,0)),0,VLOOKUP($U$140,'TAR FIN'!$A$1:$O$103,15,0))</f>
        <v>242.77</v>
      </c>
      <c r="Y140" s="6"/>
      <c r="Z140" s="6">
        <f ca="1">('TUSD BE'!$AM$24+'TUSD BF_350'!$AM$24+'TUSD CVA'!$AM$24)*1</f>
        <v>145.72237393634796</v>
      </c>
      <c r="AA140" s="6">
        <f ca="1">('TE BE'!$AB$9+'TE BF_350'!$AB$9+'TE CVA'!$AB$9)*1</f>
        <v>222.39386487986414</v>
      </c>
      <c r="AB140" s="6">
        <f>$K$140*$V$140</f>
        <v>0</v>
      </c>
      <c r="AC140" s="6">
        <f>$M$140*$W$140</f>
        <v>25539.494999999999</v>
      </c>
      <c r="AD140" s="6">
        <f>$O$140*$X$140</f>
        <v>72952.385000000009</v>
      </c>
      <c r="AE140" s="6">
        <f>$K$140*$Y$140</f>
        <v>0</v>
      </c>
      <c r="AF140" s="6">
        <f ca="1">$M$140*$Z$140</f>
        <v>43789.573367872566</v>
      </c>
      <c r="AG140" s="6">
        <f ca="1">$O$140*$AA$140</f>
        <v>66829.356396399176</v>
      </c>
    </row>
    <row r="141" spans="1:33" ht="11.25" customHeight="1" x14ac:dyDescent="0.3">
      <c r="A141" s="4" t="s">
        <v>28</v>
      </c>
      <c r="B141" s="4" t="s">
        <v>39</v>
      </c>
      <c r="C141" s="4" t="s">
        <v>40</v>
      </c>
      <c r="D141" s="4" t="s">
        <v>41</v>
      </c>
      <c r="E141" s="4" t="s">
        <v>25</v>
      </c>
      <c r="F141" s="4" t="s">
        <v>25</v>
      </c>
      <c r="G141" s="4" t="s">
        <v>25</v>
      </c>
      <c r="H141" s="4" t="s">
        <v>35</v>
      </c>
      <c r="I141" s="5">
        <v>44621</v>
      </c>
      <c r="J141" s="6">
        <v>0</v>
      </c>
      <c r="K141" s="6">
        <v>0</v>
      </c>
      <c r="L141" s="6">
        <v>40.207000000000001</v>
      </c>
      <c r="M141" s="6">
        <v>40.207000000000001</v>
      </c>
      <c r="N141" s="6">
        <v>40.207000000000001</v>
      </c>
      <c r="O141" s="6">
        <v>40.207000000000001</v>
      </c>
      <c r="P141" s="6">
        <v>0</v>
      </c>
      <c r="Q141" s="4" t="s">
        <v>26</v>
      </c>
      <c r="R141" s="4">
        <v>0</v>
      </c>
      <c r="S141" s="6">
        <v>0</v>
      </c>
      <c r="T141" s="6">
        <v>17</v>
      </c>
      <c r="U141" s="6">
        <v>66</v>
      </c>
      <c r="V141" s="6">
        <f>IF(ISERROR(VLOOKUP($S$141,'TAR FIN'!$A$1:$O$103,15,0)),0,VLOOKUP($S$141,'TAR FIN'!$A$1:$O$103,15,0))</f>
        <v>0</v>
      </c>
      <c r="W141" s="6">
        <f>IF(ISERROR(VLOOKUP($T$141,'TAR FIN'!$A$1:$O$103,15,0)),0,VLOOKUP($T$141,'TAR FIN'!$A$1:$O$103,15,0))</f>
        <v>84.99</v>
      </c>
      <c r="X141" s="6">
        <f>IF(ISERROR(VLOOKUP($U$141,'TAR FIN'!$A$1:$O$103,15,0)),0,VLOOKUP($U$141,'TAR FIN'!$A$1:$O$103,15,0))</f>
        <v>242.77</v>
      </c>
      <c r="Y141" s="6"/>
      <c r="Z141" s="6">
        <f ca="1">('TUSD BE'!$AM$24+'TUSD BF_350'!$AM$24+'TUSD CVA'!$AM$24)*1</f>
        <v>145.72237393634796</v>
      </c>
      <c r="AA141" s="6">
        <f ca="1">('TE BE'!$AB$9+'TE BF_350'!$AB$9+'TE CVA'!$AB$9)*1</f>
        <v>222.39386487986414</v>
      </c>
      <c r="AB141" s="6">
        <f>$K$141*$V$141</f>
        <v>0</v>
      </c>
      <c r="AC141" s="6">
        <f>$M$141*$W$141</f>
        <v>3417.1929299999997</v>
      </c>
      <c r="AD141" s="6">
        <f>$O$141*$X$141</f>
        <v>9761.0533900000009</v>
      </c>
      <c r="AE141" s="6">
        <f>$K$141*$Y$141</f>
        <v>0</v>
      </c>
      <c r="AF141" s="6">
        <f ca="1">$M$141*$Z$141</f>
        <v>5859.059488858743</v>
      </c>
      <c r="AG141" s="6">
        <f ca="1">$O$141*$AA$141</f>
        <v>8941.7901252246975</v>
      </c>
    </row>
    <row r="142" spans="1:33" ht="11.25" customHeight="1" x14ac:dyDescent="0.3">
      <c r="A142" s="4" t="s">
        <v>21</v>
      </c>
      <c r="B142" s="4" t="s">
        <v>39</v>
      </c>
      <c r="C142" s="4" t="s">
        <v>40</v>
      </c>
      <c r="D142" s="4" t="s">
        <v>41</v>
      </c>
      <c r="E142" s="4" t="s">
        <v>25</v>
      </c>
      <c r="F142" s="4" t="s">
        <v>25</v>
      </c>
      <c r="G142" s="4" t="s">
        <v>25</v>
      </c>
      <c r="H142" s="4" t="s">
        <v>35</v>
      </c>
      <c r="I142" s="5">
        <v>44652</v>
      </c>
      <c r="J142" s="6">
        <v>0</v>
      </c>
      <c r="K142" s="6">
        <v>0</v>
      </c>
      <c r="L142" s="6">
        <v>288.178</v>
      </c>
      <c r="M142" s="6">
        <v>288.178</v>
      </c>
      <c r="N142" s="6">
        <v>288.178</v>
      </c>
      <c r="O142" s="6">
        <v>288.178</v>
      </c>
      <c r="P142" s="6">
        <v>0</v>
      </c>
      <c r="Q142" s="4" t="s">
        <v>26</v>
      </c>
      <c r="R142" s="4">
        <v>0</v>
      </c>
      <c r="S142" s="6">
        <v>0</v>
      </c>
      <c r="T142" s="6">
        <v>17</v>
      </c>
      <c r="U142" s="6">
        <v>66</v>
      </c>
      <c r="V142" s="6">
        <f>IF(ISERROR(VLOOKUP($S$142,'TAR FIN'!$A$1:$O$103,15,0)),0,VLOOKUP($S$142,'TAR FIN'!$A$1:$O$103,15,0))</f>
        <v>0</v>
      </c>
      <c r="W142" s="6">
        <f>IF(ISERROR(VLOOKUP($T$142,'TAR FIN'!$A$1:$O$103,15,0)),0,VLOOKUP($T$142,'TAR FIN'!$A$1:$O$103,15,0))</f>
        <v>84.99</v>
      </c>
      <c r="X142" s="6">
        <f>IF(ISERROR(VLOOKUP($U$142,'TAR FIN'!$A$1:$O$103,15,0)),0,VLOOKUP($U$142,'TAR FIN'!$A$1:$O$103,15,0))</f>
        <v>242.77</v>
      </c>
      <c r="Y142" s="6"/>
      <c r="Z142" s="6">
        <f ca="1">('TUSD BE'!$AM$24+'TUSD BF_350'!$AM$24+'TUSD CVA'!$AM$24)*1</f>
        <v>145.72237393634796</v>
      </c>
      <c r="AA142" s="6">
        <f ca="1">('TE BE'!$AB$9+'TE BF_350'!$AB$9+'TE CVA'!$AB$9)*1</f>
        <v>222.39386487986414</v>
      </c>
      <c r="AB142" s="6">
        <f>$K$142*$V$142</f>
        <v>0</v>
      </c>
      <c r="AC142" s="6">
        <f>$M$142*$W$142</f>
        <v>24492.248219999998</v>
      </c>
      <c r="AD142" s="6">
        <f>$O$142*$X$142</f>
        <v>69960.973060000004</v>
      </c>
      <c r="AE142" s="6">
        <f>$K$142*$Y$142</f>
        <v>0</v>
      </c>
      <c r="AF142" s="6">
        <f ca="1">$M$142*$Z$142</f>
        <v>41993.982276228882</v>
      </c>
      <c r="AG142" s="6">
        <f ca="1">$O$142*$AA$142</f>
        <v>64089.019193349486</v>
      </c>
    </row>
    <row r="143" spans="1:33" ht="11.25" customHeight="1" x14ac:dyDescent="0.3">
      <c r="A143" s="4" t="s">
        <v>28</v>
      </c>
      <c r="B143" s="4" t="s">
        <v>39</v>
      </c>
      <c r="C143" s="4" t="s">
        <v>40</v>
      </c>
      <c r="D143" s="4" t="s">
        <v>41</v>
      </c>
      <c r="E143" s="4" t="s">
        <v>25</v>
      </c>
      <c r="F143" s="4" t="s">
        <v>25</v>
      </c>
      <c r="G143" s="4" t="s">
        <v>25</v>
      </c>
      <c r="H143" s="4" t="s">
        <v>35</v>
      </c>
      <c r="I143" s="5">
        <v>44652</v>
      </c>
      <c r="J143" s="6">
        <v>0</v>
      </c>
      <c r="K143" s="6">
        <v>0</v>
      </c>
      <c r="L143" s="6">
        <v>32.713000000000001</v>
      </c>
      <c r="M143" s="6">
        <v>32.713000000000001</v>
      </c>
      <c r="N143" s="6">
        <v>32.713000000000001</v>
      </c>
      <c r="O143" s="6">
        <v>32.713000000000001</v>
      </c>
      <c r="P143" s="6">
        <v>0</v>
      </c>
      <c r="Q143" s="4" t="s">
        <v>26</v>
      </c>
      <c r="R143" s="4">
        <v>0</v>
      </c>
      <c r="S143" s="6">
        <v>0</v>
      </c>
      <c r="T143" s="6">
        <v>17</v>
      </c>
      <c r="U143" s="6">
        <v>66</v>
      </c>
      <c r="V143" s="6">
        <f>IF(ISERROR(VLOOKUP($S$143,'TAR FIN'!$A$1:$O$103,15,0)),0,VLOOKUP($S$143,'TAR FIN'!$A$1:$O$103,15,0))</f>
        <v>0</v>
      </c>
      <c r="W143" s="6">
        <f>IF(ISERROR(VLOOKUP($T$143,'TAR FIN'!$A$1:$O$103,15,0)),0,VLOOKUP($T$143,'TAR FIN'!$A$1:$O$103,15,0))</f>
        <v>84.99</v>
      </c>
      <c r="X143" s="6">
        <f>IF(ISERROR(VLOOKUP($U$143,'TAR FIN'!$A$1:$O$103,15,0)),0,VLOOKUP($U$143,'TAR FIN'!$A$1:$O$103,15,0))</f>
        <v>242.77</v>
      </c>
      <c r="Y143" s="6"/>
      <c r="Z143" s="6">
        <f ca="1">('TUSD BE'!$AM$24+'TUSD BF_350'!$AM$24+'TUSD CVA'!$AM$24)*1</f>
        <v>145.72237393634796</v>
      </c>
      <c r="AA143" s="6">
        <f ca="1">('TE BE'!$AB$9+'TE BF_350'!$AB$9+'TE CVA'!$AB$9)*1</f>
        <v>222.39386487986414</v>
      </c>
      <c r="AB143" s="6">
        <f>$K$143*$V$143</f>
        <v>0</v>
      </c>
      <c r="AC143" s="6">
        <f>$M$143*$W$143</f>
        <v>2780.2778699999999</v>
      </c>
      <c r="AD143" s="6">
        <f>$O$143*$X$143</f>
        <v>7941.7350100000003</v>
      </c>
      <c r="AE143" s="6">
        <f>$K$143*$Y$143</f>
        <v>0</v>
      </c>
      <c r="AF143" s="6">
        <f ca="1">$M$143*$Z$143</f>
        <v>4767.0160185797513</v>
      </c>
      <c r="AG143" s="6">
        <f ca="1">$O$143*$AA$143</f>
        <v>7275.170501814996</v>
      </c>
    </row>
    <row r="144" spans="1:33" ht="11.25" customHeight="1" x14ac:dyDescent="0.3">
      <c r="A144" s="4" t="s">
        <v>21</v>
      </c>
      <c r="B144" s="4" t="s">
        <v>39</v>
      </c>
      <c r="C144" s="4" t="s">
        <v>40</v>
      </c>
      <c r="D144" s="4" t="s">
        <v>41</v>
      </c>
      <c r="E144" s="4" t="s">
        <v>25</v>
      </c>
      <c r="F144" s="4" t="s">
        <v>25</v>
      </c>
      <c r="G144" s="4" t="s">
        <v>25</v>
      </c>
      <c r="H144" s="4" t="s">
        <v>35</v>
      </c>
      <c r="I144" s="5">
        <v>44682</v>
      </c>
      <c r="J144" s="6">
        <v>0</v>
      </c>
      <c r="K144" s="6">
        <v>0</v>
      </c>
      <c r="L144" s="6">
        <v>258.25200000000001</v>
      </c>
      <c r="M144" s="6">
        <v>258.25200000000001</v>
      </c>
      <c r="N144" s="6">
        <v>258.25200000000001</v>
      </c>
      <c r="O144" s="6">
        <v>258.25200000000001</v>
      </c>
      <c r="P144" s="6">
        <v>0</v>
      </c>
      <c r="Q144" s="4" t="s">
        <v>26</v>
      </c>
      <c r="R144" s="4">
        <v>0</v>
      </c>
      <c r="S144" s="6">
        <v>0</v>
      </c>
      <c r="T144" s="6">
        <v>17</v>
      </c>
      <c r="U144" s="6">
        <v>66</v>
      </c>
      <c r="V144" s="6">
        <f>IF(ISERROR(VLOOKUP($S$144,'TAR FIN'!$A$1:$O$103,15,0)),0,VLOOKUP($S$144,'TAR FIN'!$A$1:$O$103,15,0))</f>
        <v>0</v>
      </c>
      <c r="W144" s="6">
        <f>IF(ISERROR(VLOOKUP($T$144,'TAR FIN'!$A$1:$O$103,15,0)),0,VLOOKUP($T$144,'TAR FIN'!$A$1:$O$103,15,0))</f>
        <v>84.99</v>
      </c>
      <c r="X144" s="6">
        <f>IF(ISERROR(VLOOKUP($U$144,'TAR FIN'!$A$1:$O$103,15,0)),0,VLOOKUP($U$144,'TAR FIN'!$A$1:$O$103,15,0))</f>
        <v>242.77</v>
      </c>
      <c r="Y144" s="6"/>
      <c r="Z144" s="6">
        <f ca="1">('TUSD BE'!$AM$24+'TUSD BF_350'!$AM$24+'TUSD CVA'!$AM$24)*1</f>
        <v>145.72237393634796</v>
      </c>
      <c r="AA144" s="6">
        <f ca="1">('TE BE'!$AB$9+'TE BF_350'!$AB$9+'TE CVA'!$AB$9)*1</f>
        <v>222.39386487986414</v>
      </c>
      <c r="AB144" s="6">
        <f>$K$144*$V$144</f>
        <v>0</v>
      </c>
      <c r="AC144" s="6">
        <f>$M$144*$W$144</f>
        <v>21948.837479999998</v>
      </c>
      <c r="AD144" s="6">
        <f>$O$144*$X$144</f>
        <v>62695.838040000002</v>
      </c>
      <c r="AE144" s="6">
        <f>$K$144*$Y$144</f>
        <v>0</v>
      </c>
      <c r="AF144" s="6">
        <f ca="1">$M$144*$Z$144</f>
        <v>37633.094513809738</v>
      </c>
      <c r="AG144" s="6">
        <f ca="1">$O$144*$AA$144</f>
        <v>57433.660392954676</v>
      </c>
    </row>
    <row r="145" spans="1:33" ht="11.25" customHeight="1" x14ac:dyDescent="0.3">
      <c r="A145" s="4" t="s">
        <v>28</v>
      </c>
      <c r="B145" s="4" t="s">
        <v>39</v>
      </c>
      <c r="C145" s="4" t="s">
        <v>40</v>
      </c>
      <c r="D145" s="4" t="s">
        <v>41</v>
      </c>
      <c r="E145" s="4" t="s">
        <v>25</v>
      </c>
      <c r="F145" s="4" t="s">
        <v>25</v>
      </c>
      <c r="G145" s="4" t="s">
        <v>25</v>
      </c>
      <c r="H145" s="4" t="s">
        <v>35</v>
      </c>
      <c r="I145" s="5">
        <v>44682</v>
      </c>
      <c r="J145" s="6">
        <v>0</v>
      </c>
      <c r="K145" s="6">
        <v>0</v>
      </c>
      <c r="L145" s="6">
        <v>33.741</v>
      </c>
      <c r="M145" s="6">
        <v>33.741</v>
      </c>
      <c r="N145" s="6">
        <v>33.741</v>
      </c>
      <c r="O145" s="6">
        <v>33.741</v>
      </c>
      <c r="P145" s="6">
        <v>0</v>
      </c>
      <c r="Q145" s="4" t="s">
        <v>26</v>
      </c>
      <c r="R145" s="4">
        <v>0</v>
      </c>
      <c r="S145" s="6">
        <v>0</v>
      </c>
      <c r="T145" s="6">
        <v>17</v>
      </c>
      <c r="U145" s="6">
        <v>66</v>
      </c>
      <c r="V145" s="6">
        <f>IF(ISERROR(VLOOKUP($S$145,'TAR FIN'!$A$1:$O$103,15,0)),0,VLOOKUP($S$145,'TAR FIN'!$A$1:$O$103,15,0))</f>
        <v>0</v>
      </c>
      <c r="W145" s="6">
        <f>IF(ISERROR(VLOOKUP($T$145,'TAR FIN'!$A$1:$O$103,15,0)),0,VLOOKUP($T$145,'TAR FIN'!$A$1:$O$103,15,0))</f>
        <v>84.99</v>
      </c>
      <c r="X145" s="6">
        <f>IF(ISERROR(VLOOKUP($U$145,'TAR FIN'!$A$1:$O$103,15,0)),0,VLOOKUP($U$145,'TAR FIN'!$A$1:$O$103,15,0))</f>
        <v>242.77</v>
      </c>
      <c r="Y145" s="6"/>
      <c r="Z145" s="6">
        <f ca="1">('TUSD BE'!$AM$24+'TUSD BF_350'!$AM$24+'TUSD CVA'!$AM$24)*1</f>
        <v>145.72237393634796</v>
      </c>
      <c r="AA145" s="6">
        <f ca="1">('TE BE'!$AB$9+'TE BF_350'!$AB$9+'TE CVA'!$AB$9)*1</f>
        <v>222.39386487986414</v>
      </c>
      <c r="AB145" s="6">
        <f>$K$145*$V$145</f>
        <v>0</v>
      </c>
      <c r="AC145" s="6">
        <f>$M$145*$W$145</f>
        <v>2867.6475899999996</v>
      </c>
      <c r="AD145" s="6">
        <f>$O$145*$X$145</f>
        <v>8191.3025699999998</v>
      </c>
      <c r="AE145" s="6">
        <f>$K$145*$Y$145</f>
        <v>0</v>
      </c>
      <c r="AF145" s="6">
        <f ca="1">$M$145*$Z$145</f>
        <v>4916.8186189863163</v>
      </c>
      <c r="AG145" s="6">
        <f ca="1">$O$145*$AA$145</f>
        <v>7503.7913949114954</v>
      </c>
    </row>
    <row r="146" spans="1:33" ht="11.25" customHeight="1" x14ac:dyDescent="0.3">
      <c r="A146" s="4" t="s">
        <v>21</v>
      </c>
      <c r="B146" s="4" t="s">
        <v>39</v>
      </c>
      <c r="C146" s="4" t="s">
        <v>40</v>
      </c>
      <c r="D146" s="4" t="s">
        <v>41</v>
      </c>
      <c r="E146" s="4" t="s">
        <v>25</v>
      </c>
      <c r="F146" s="4" t="s">
        <v>25</v>
      </c>
      <c r="G146" s="4" t="s">
        <v>25</v>
      </c>
      <c r="H146" s="4" t="s">
        <v>35</v>
      </c>
      <c r="I146" s="5">
        <v>44713</v>
      </c>
      <c r="J146" s="6">
        <v>0</v>
      </c>
      <c r="K146" s="6">
        <v>0</v>
      </c>
      <c r="L146" s="6">
        <v>240.71</v>
      </c>
      <c r="M146" s="6">
        <v>240.71</v>
      </c>
      <c r="N146" s="6">
        <v>240.71</v>
      </c>
      <c r="O146" s="6">
        <v>240.71</v>
      </c>
      <c r="P146" s="6">
        <v>0</v>
      </c>
      <c r="Q146" s="4" t="s">
        <v>26</v>
      </c>
      <c r="R146" s="4">
        <v>0</v>
      </c>
      <c r="S146" s="6">
        <v>0</v>
      </c>
      <c r="T146" s="6">
        <v>17</v>
      </c>
      <c r="U146" s="6">
        <v>66</v>
      </c>
      <c r="V146" s="6">
        <f>IF(ISERROR(VLOOKUP($S$146,'TAR FIN'!$A$1:$O$103,15,0)),0,VLOOKUP($S$146,'TAR FIN'!$A$1:$O$103,15,0))</f>
        <v>0</v>
      </c>
      <c r="W146" s="6">
        <f>IF(ISERROR(VLOOKUP($T$146,'TAR FIN'!$A$1:$O$103,15,0)),0,VLOOKUP($T$146,'TAR FIN'!$A$1:$O$103,15,0))</f>
        <v>84.99</v>
      </c>
      <c r="X146" s="6">
        <f>IF(ISERROR(VLOOKUP($U$146,'TAR FIN'!$A$1:$O$103,15,0)),0,VLOOKUP($U$146,'TAR FIN'!$A$1:$O$103,15,0))</f>
        <v>242.77</v>
      </c>
      <c r="Y146" s="6"/>
      <c r="Z146" s="6">
        <f ca="1">('TUSD BE'!$AM$24+'TUSD BF_350'!$AM$24+'TUSD CVA'!$AM$24)*1</f>
        <v>145.72237393634796</v>
      </c>
      <c r="AA146" s="6">
        <f ca="1">('TE BE'!$AB$9+'TE BF_350'!$AB$9+'TE CVA'!$AB$9)*1</f>
        <v>222.39386487986414</v>
      </c>
      <c r="AB146" s="6">
        <f>$K$146*$V$146</f>
        <v>0</v>
      </c>
      <c r="AC146" s="6">
        <f>$M$146*$W$146</f>
        <v>20457.942899999998</v>
      </c>
      <c r="AD146" s="6">
        <f>$O$146*$X$146</f>
        <v>58437.166700000002</v>
      </c>
      <c r="AE146" s="6">
        <f>$K$146*$Y$146</f>
        <v>0</v>
      </c>
      <c r="AF146" s="6">
        <f ca="1">$M$146*$Z$146</f>
        <v>35076.83263021832</v>
      </c>
      <c r="AG146" s="6">
        <f ca="1">$O$146*$AA$146</f>
        <v>53532.427215232099</v>
      </c>
    </row>
    <row r="147" spans="1:33" ht="11.25" customHeight="1" x14ac:dyDescent="0.3">
      <c r="A147" s="4" t="s">
        <v>28</v>
      </c>
      <c r="B147" s="4" t="s">
        <v>39</v>
      </c>
      <c r="C147" s="4" t="s">
        <v>40</v>
      </c>
      <c r="D147" s="4" t="s">
        <v>41</v>
      </c>
      <c r="E147" s="4" t="s">
        <v>25</v>
      </c>
      <c r="F147" s="4" t="s">
        <v>25</v>
      </c>
      <c r="G147" s="4" t="s">
        <v>25</v>
      </c>
      <c r="H147" s="4" t="s">
        <v>35</v>
      </c>
      <c r="I147" s="5">
        <v>44713</v>
      </c>
      <c r="J147" s="6">
        <v>0</v>
      </c>
      <c r="K147" s="6">
        <v>0</v>
      </c>
      <c r="L147" s="6">
        <v>34.392000000000003</v>
      </c>
      <c r="M147" s="6">
        <v>34.392000000000003</v>
      </c>
      <c r="N147" s="6">
        <v>34.392000000000003</v>
      </c>
      <c r="O147" s="6">
        <v>34.392000000000003</v>
      </c>
      <c r="P147" s="6">
        <v>0</v>
      </c>
      <c r="Q147" s="4" t="s">
        <v>26</v>
      </c>
      <c r="R147" s="4">
        <v>0</v>
      </c>
      <c r="S147" s="6">
        <v>0</v>
      </c>
      <c r="T147" s="6">
        <v>17</v>
      </c>
      <c r="U147" s="6">
        <v>66</v>
      </c>
      <c r="V147" s="6">
        <f>IF(ISERROR(VLOOKUP($S$147,'TAR FIN'!$A$1:$O$103,15,0)),0,VLOOKUP($S$147,'TAR FIN'!$A$1:$O$103,15,0))</f>
        <v>0</v>
      </c>
      <c r="W147" s="6">
        <f>IF(ISERROR(VLOOKUP($T$147,'TAR FIN'!$A$1:$O$103,15,0)),0,VLOOKUP($T$147,'TAR FIN'!$A$1:$O$103,15,0))</f>
        <v>84.99</v>
      </c>
      <c r="X147" s="6">
        <f>IF(ISERROR(VLOOKUP($U$147,'TAR FIN'!$A$1:$O$103,15,0)),0,VLOOKUP($U$147,'TAR FIN'!$A$1:$O$103,15,0))</f>
        <v>242.77</v>
      </c>
      <c r="Y147" s="6"/>
      <c r="Z147" s="6">
        <f ca="1">('TUSD BE'!$AM$24+'TUSD BF_350'!$AM$24+'TUSD CVA'!$AM$24)*1</f>
        <v>145.72237393634796</v>
      </c>
      <c r="AA147" s="6">
        <f ca="1">('TE BE'!$AB$9+'TE BF_350'!$AB$9+'TE CVA'!$AB$9)*1</f>
        <v>222.39386487986414</v>
      </c>
      <c r="AB147" s="6">
        <f>$K$147*$V$147</f>
        <v>0</v>
      </c>
      <c r="AC147" s="6">
        <f>$M$147*$W$147</f>
        <v>2922.9760799999999</v>
      </c>
      <c r="AD147" s="6">
        <f>$O$147*$X$147</f>
        <v>8349.3458400000018</v>
      </c>
      <c r="AE147" s="6">
        <f>$K$147*$Y$147</f>
        <v>0</v>
      </c>
      <c r="AF147" s="6">
        <f ca="1">$M$147*$Z$147</f>
        <v>5011.6838844188796</v>
      </c>
      <c r="AG147" s="6">
        <f ca="1">$O$147*$AA$147</f>
        <v>7648.5698009482885</v>
      </c>
    </row>
    <row r="148" spans="1:33" ht="11.25" customHeight="1" x14ac:dyDescent="0.3">
      <c r="A148" s="4" t="s">
        <v>21</v>
      </c>
      <c r="B148" s="4" t="s">
        <v>39</v>
      </c>
      <c r="C148" s="4" t="s">
        <v>40</v>
      </c>
      <c r="D148" s="4" t="s">
        <v>41</v>
      </c>
      <c r="E148" s="4" t="s">
        <v>25</v>
      </c>
      <c r="F148" s="4" t="s">
        <v>25</v>
      </c>
      <c r="G148" s="4" t="s">
        <v>25</v>
      </c>
      <c r="H148" s="4" t="s">
        <v>35</v>
      </c>
      <c r="I148" s="5">
        <v>44743</v>
      </c>
      <c r="J148" s="6">
        <v>0</v>
      </c>
      <c r="K148" s="6">
        <v>0</v>
      </c>
      <c r="L148" s="6">
        <v>200.34700000000001</v>
      </c>
      <c r="M148" s="6">
        <v>200.34700000000001</v>
      </c>
      <c r="N148" s="6">
        <v>200.34700000000001</v>
      </c>
      <c r="O148" s="6">
        <v>200.34700000000001</v>
      </c>
      <c r="P148" s="6">
        <v>0</v>
      </c>
      <c r="Q148" s="4" t="s">
        <v>26</v>
      </c>
      <c r="R148" s="4">
        <v>0</v>
      </c>
      <c r="S148" s="6">
        <v>0</v>
      </c>
      <c r="T148" s="6">
        <v>17</v>
      </c>
      <c r="U148" s="6">
        <v>66</v>
      </c>
      <c r="V148" s="6">
        <f>IF(ISERROR(VLOOKUP($S$148,'TAR FIN'!$A$1:$O$103,15,0)),0,VLOOKUP($S$148,'TAR FIN'!$A$1:$O$103,15,0))</f>
        <v>0</v>
      </c>
      <c r="W148" s="6">
        <f>IF(ISERROR(VLOOKUP($T$148,'TAR FIN'!$A$1:$O$103,15,0)),0,VLOOKUP($T$148,'TAR FIN'!$A$1:$O$103,15,0))</f>
        <v>84.99</v>
      </c>
      <c r="X148" s="6">
        <f>IF(ISERROR(VLOOKUP($U$148,'TAR FIN'!$A$1:$O$103,15,0)),0,VLOOKUP($U$148,'TAR FIN'!$A$1:$O$103,15,0))</f>
        <v>242.77</v>
      </c>
      <c r="Y148" s="6"/>
      <c r="Z148" s="6">
        <f ca="1">('TUSD BE'!$AM$24+'TUSD BF_350'!$AM$24+'TUSD CVA'!$AM$24)*1</f>
        <v>145.72237393634796</v>
      </c>
      <c r="AA148" s="6">
        <f ca="1">('TE BE'!$AB$9+'TE BF_350'!$AB$9+'TE CVA'!$AB$9)*1</f>
        <v>222.39386487986414</v>
      </c>
      <c r="AB148" s="6">
        <f>$K$148*$V$148</f>
        <v>0</v>
      </c>
      <c r="AC148" s="6">
        <f>$M$148*$W$148</f>
        <v>17027.491529999999</v>
      </c>
      <c r="AD148" s="6">
        <f>$O$148*$X$148</f>
        <v>48638.241190000001</v>
      </c>
      <c r="AE148" s="6">
        <f>$K$148*$Y$148</f>
        <v>0</v>
      </c>
      <c r="AF148" s="6">
        <f ca="1">$M$148*$Z$148</f>
        <v>29195.040451025507</v>
      </c>
      <c r="AG148" s="6">
        <f ca="1">$O$148*$AA$148</f>
        <v>44555.94364708614</v>
      </c>
    </row>
    <row r="149" spans="1:33" ht="11.25" customHeight="1" x14ac:dyDescent="0.3">
      <c r="A149" s="4" t="s">
        <v>28</v>
      </c>
      <c r="B149" s="4" t="s">
        <v>39</v>
      </c>
      <c r="C149" s="4" t="s">
        <v>40</v>
      </c>
      <c r="D149" s="4" t="s">
        <v>41</v>
      </c>
      <c r="E149" s="4" t="s">
        <v>25</v>
      </c>
      <c r="F149" s="4" t="s">
        <v>25</v>
      </c>
      <c r="G149" s="4" t="s">
        <v>25</v>
      </c>
      <c r="H149" s="4" t="s">
        <v>35</v>
      </c>
      <c r="I149" s="5">
        <v>44743</v>
      </c>
      <c r="J149" s="6">
        <v>0</v>
      </c>
      <c r="K149" s="6">
        <v>0</v>
      </c>
      <c r="L149" s="6">
        <v>33.978999999999999</v>
      </c>
      <c r="M149" s="6">
        <v>33.978999999999999</v>
      </c>
      <c r="N149" s="6">
        <v>33.978999999999999</v>
      </c>
      <c r="O149" s="6">
        <v>33.978999999999999</v>
      </c>
      <c r="P149" s="6">
        <v>0</v>
      </c>
      <c r="Q149" s="4" t="s">
        <v>26</v>
      </c>
      <c r="R149" s="4">
        <v>0</v>
      </c>
      <c r="S149" s="6">
        <v>0</v>
      </c>
      <c r="T149" s="6">
        <v>17</v>
      </c>
      <c r="U149" s="6">
        <v>66</v>
      </c>
      <c r="V149" s="6">
        <f>IF(ISERROR(VLOOKUP($S$149,'TAR FIN'!$A$1:$O$103,15,0)),0,VLOOKUP($S$149,'TAR FIN'!$A$1:$O$103,15,0))</f>
        <v>0</v>
      </c>
      <c r="W149" s="6">
        <f>IF(ISERROR(VLOOKUP($T$149,'TAR FIN'!$A$1:$O$103,15,0)),0,VLOOKUP($T$149,'TAR FIN'!$A$1:$O$103,15,0))</f>
        <v>84.99</v>
      </c>
      <c r="X149" s="6">
        <f>IF(ISERROR(VLOOKUP($U$149,'TAR FIN'!$A$1:$O$103,15,0)),0,VLOOKUP($U$149,'TAR FIN'!$A$1:$O$103,15,0))</f>
        <v>242.77</v>
      </c>
      <c r="Y149" s="6"/>
      <c r="Z149" s="6">
        <f ca="1">('TUSD BE'!$AM$24+'TUSD BF_350'!$AM$24+'TUSD CVA'!$AM$24)*1</f>
        <v>145.72237393634796</v>
      </c>
      <c r="AA149" s="6">
        <f ca="1">('TE BE'!$AB$9+'TE BF_350'!$AB$9+'TE CVA'!$AB$9)*1</f>
        <v>222.39386487986414</v>
      </c>
      <c r="AB149" s="6">
        <f>$K$149*$V$149</f>
        <v>0</v>
      </c>
      <c r="AC149" s="6">
        <f>$M$149*$W$149</f>
        <v>2887.8752099999997</v>
      </c>
      <c r="AD149" s="6">
        <f>$O$149*$X$149</f>
        <v>8249.081830000001</v>
      </c>
      <c r="AE149" s="6">
        <f>$K$149*$Y$149</f>
        <v>0</v>
      </c>
      <c r="AF149" s="6">
        <f ca="1">$M$149*$Z$149</f>
        <v>4951.5005439831675</v>
      </c>
      <c r="AG149" s="6">
        <f ca="1">$O$149*$AA$149</f>
        <v>7556.7211347529037</v>
      </c>
    </row>
    <row r="150" spans="1:33" ht="11.25" customHeight="1" x14ac:dyDescent="0.3">
      <c r="A150" s="4" t="s">
        <v>21</v>
      </c>
      <c r="B150" s="4" t="s">
        <v>39</v>
      </c>
      <c r="C150" s="4" t="s">
        <v>40</v>
      </c>
      <c r="D150" s="4" t="s">
        <v>41</v>
      </c>
      <c r="E150" s="4" t="s">
        <v>25</v>
      </c>
      <c r="F150" s="4" t="s">
        <v>25</v>
      </c>
      <c r="G150" s="4" t="s">
        <v>25</v>
      </c>
      <c r="H150" s="4" t="s">
        <v>35</v>
      </c>
      <c r="I150" s="5">
        <v>44774</v>
      </c>
      <c r="J150" s="6">
        <v>0</v>
      </c>
      <c r="K150" s="6">
        <v>0</v>
      </c>
      <c r="L150" s="6">
        <v>238.97200000000001</v>
      </c>
      <c r="M150" s="6">
        <v>238.97200000000001</v>
      </c>
      <c r="N150" s="6">
        <v>238.97200000000001</v>
      </c>
      <c r="O150" s="6">
        <v>238.97200000000001</v>
      </c>
      <c r="P150" s="6">
        <v>0</v>
      </c>
      <c r="Q150" s="4" t="s">
        <v>26</v>
      </c>
      <c r="R150" s="4">
        <v>0</v>
      </c>
      <c r="S150" s="6">
        <v>0</v>
      </c>
      <c r="T150" s="6">
        <v>17</v>
      </c>
      <c r="U150" s="6">
        <v>66</v>
      </c>
      <c r="V150" s="6">
        <f>IF(ISERROR(VLOOKUP($S$150,'TAR FIN'!$A$1:$O$103,15,0)),0,VLOOKUP($S$150,'TAR FIN'!$A$1:$O$103,15,0))</f>
        <v>0</v>
      </c>
      <c r="W150" s="6">
        <f>IF(ISERROR(VLOOKUP($T$150,'TAR FIN'!$A$1:$O$103,15,0)),0,VLOOKUP($T$150,'TAR FIN'!$A$1:$O$103,15,0))</f>
        <v>84.99</v>
      </c>
      <c r="X150" s="6">
        <f>IF(ISERROR(VLOOKUP($U$150,'TAR FIN'!$A$1:$O$103,15,0)),0,VLOOKUP($U$150,'TAR FIN'!$A$1:$O$103,15,0))</f>
        <v>242.77</v>
      </c>
      <c r="Y150" s="6"/>
      <c r="Z150" s="6">
        <f ca="1">('TUSD BE'!$AM$24+'TUSD BF_350'!$AM$24+'TUSD CVA'!$AM$24)*1</f>
        <v>145.72237393634796</v>
      </c>
      <c r="AA150" s="6">
        <f ca="1">('TE BE'!$AB$9+'TE BF_350'!$AB$9+'TE CVA'!$AB$9)*1</f>
        <v>222.39386487986414</v>
      </c>
      <c r="AB150" s="6">
        <f>$K$150*$V$150</f>
        <v>0</v>
      </c>
      <c r="AC150" s="6">
        <f>$M$150*$W$150</f>
        <v>20310.23028</v>
      </c>
      <c r="AD150" s="6">
        <f>$O$150*$X$150</f>
        <v>58015.232440000007</v>
      </c>
      <c r="AE150" s="6">
        <f>$K$150*$Y$150</f>
        <v>0</v>
      </c>
      <c r="AF150" s="6">
        <f ca="1">$M$150*$Z$150</f>
        <v>34823.567144316949</v>
      </c>
      <c r="AG150" s="6">
        <f ca="1">$O$150*$AA$150</f>
        <v>53145.906678070896</v>
      </c>
    </row>
    <row r="151" spans="1:33" ht="11.25" customHeight="1" x14ac:dyDescent="0.3">
      <c r="A151" s="4" t="s">
        <v>28</v>
      </c>
      <c r="B151" s="4" t="s">
        <v>39</v>
      </c>
      <c r="C151" s="4" t="s">
        <v>40</v>
      </c>
      <c r="D151" s="4" t="s">
        <v>41</v>
      </c>
      <c r="E151" s="4" t="s">
        <v>25</v>
      </c>
      <c r="F151" s="4" t="s">
        <v>25</v>
      </c>
      <c r="G151" s="4" t="s">
        <v>25</v>
      </c>
      <c r="H151" s="4" t="s">
        <v>35</v>
      </c>
      <c r="I151" s="5">
        <v>44774</v>
      </c>
      <c r="J151" s="6">
        <v>0</v>
      </c>
      <c r="K151" s="6">
        <v>0</v>
      </c>
      <c r="L151" s="6">
        <v>29.895</v>
      </c>
      <c r="M151" s="6">
        <v>29.895</v>
      </c>
      <c r="N151" s="6">
        <v>29.895</v>
      </c>
      <c r="O151" s="6">
        <v>29.895</v>
      </c>
      <c r="P151" s="6">
        <v>0</v>
      </c>
      <c r="Q151" s="4" t="s">
        <v>26</v>
      </c>
      <c r="R151" s="4">
        <v>0</v>
      </c>
      <c r="S151" s="6">
        <v>0</v>
      </c>
      <c r="T151" s="6">
        <v>17</v>
      </c>
      <c r="U151" s="6">
        <v>66</v>
      </c>
      <c r="V151" s="6">
        <f>IF(ISERROR(VLOOKUP($S$151,'TAR FIN'!$A$1:$O$103,15,0)),0,VLOOKUP($S$151,'TAR FIN'!$A$1:$O$103,15,0))</f>
        <v>0</v>
      </c>
      <c r="W151" s="6">
        <f>IF(ISERROR(VLOOKUP($T$151,'TAR FIN'!$A$1:$O$103,15,0)),0,VLOOKUP($T$151,'TAR FIN'!$A$1:$O$103,15,0))</f>
        <v>84.99</v>
      </c>
      <c r="X151" s="6">
        <f>IF(ISERROR(VLOOKUP($U$151,'TAR FIN'!$A$1:$O$103,15,0)),0,VLOOKUP($U$151,'TAR FIN'!$A$1:$O$103,15,0))</f>
        <v>242.77</v>
      </c>
      <c r="Y151" s="6"/>
      <c r="Z151" s="6">
        <f ca="1">('TUSD BE'!$AM$24+'TUSD BF_350'!$AM$24+'TUSD CVA'!$AM$24)*1</f>
        <v>145.72237393634796</v>
      </c>
      <c r="AA151" s="6">
        <f ca="1">('TE BE'!$AB$9+'TE BF_350'!$AB$9+'TE CVA'!$AB$9)*1</f>
        <v>222.39386487986414</v>
      </c>
      <c r="AB151" s="6">
        <f>$K$151*$V$151</f>
        <v>0</v>
      </c>
      <c r="AC151" s="6">
        <f>$M$151*$W$151</f>
        <v>2540.7760499999999</v>
      </c>
      <c r="AD151" s="6">
        <f>$O$151*$X$151</f>
        <v>7257.6091500000002</v>
      </c>
      <c r="AE151" s="6">
        <f>$K$151*$Y$151</f>
        <v>0</v>
      </c>
      <c r="AF151" s="6">
        <f ca="1">$M$151*$Z$151</f>
        <v>4356.3703688271225</v>
      </c>
      <c r="AG151" s="6">
        <f ca="1">$O$151*$AA$151</f>
        <v>6648.4645905835387</v>
      </c>
    </row>
    <row r="152" spans="1:33" ht="11.25" customHeight="1" x14ac:dyDescent="0.3">
      <c r="A152" s="4" t="s">
        <v>21</v>
      </c>
      <c r="B152" s="4" t="s">
        <v>39</v>
      </c>
      <c r="C152" s="4" t="s">
        <v>40</v>
      </c>
      <c r="D152" s="4" t="s">
        <v>41</v>
      </c>
      <c r="E152" s="4" t="s">
        <v>25</v>
      </c>
      <c r="F152" s="4" t="s">
        <v>25</v>
      </c>
      <c r="G152" s="4" t="s">
        <v>25</v>
      </c>
      <c r="H152" s="4" t="s">
        <v>35</v>
      </c>
      <c r="I152" s="5">
        <v>44805</v>
      </c>
      <c r="J152" s="6">
        <v>0</v>
      </c>
      <c r="K152" s="6">
        <v>0</v>
      </c>
      <c r="L152" s="6">
        <v>266.291</v>
      </c>
      <c r="M152" s="6">
        <v>266.291</v>
      </c>
      <c r="N152" s="6">
        <v>266.291</v>
      </c>
      <c r="O152" s="6">
        <v>266.291</v>
      </c>
      <c r="P152" s="6">
        <v>0</v>
      </c>
      <c r="Q152" s="4" t="s">
        <v>26</v>
      </c>
      <c r="R152" s="4">
        <v>0</v>
      </c>
      <c r="S152" s="6">
        <v>0</v>
      </c>
      <c r="T152" s="6">
        <v>17</v>
      </c>
      <c r="U152" s="6">
        <v>66</v>
      </c>
      <c r="V152" s="6">
        <f>IF(ISERROR(VLOOKUP($S$152,'TAR FIN'!$A$1:$O$103,15,0)),0,VLOOKUP($S$152,'TAR FIN'!$A$1:$O$103,15,0))</f>
        <v>0</v>
      </c>
      <c r="W152" s="6">
        <f>IF(ISERROR(VLOOKUP($T$152,'TAR FIN'!$A$1:$O$103,15,0)),0,VLOOKUP($T$152,'TAR FIN'!$A$1:$O$103,15,0))</f>
        <v>84.99</v>
      </c>
      <c r="X152" s="6">
        <f>IF(ISERROR(VLOOKUP($U$152,'TAR FIN'!$A$1:$O$103,15,0)),0,VLOOKUP($U$152,'TAR FIN'!$A$1:$O$103,15,0))</f>
        <v>242.77</v>
      </c>
      <c r="Y152" s="6"/>
      <c r="Z152" s="6">
        <f ca="1">('TUSD BE'!$AM$24+'TUSD BF_350'!$AM$24+'TUSD CVA'!$AM$24)*1</f>
        <v>145.72237393634796</v>
      </c>
      <c r="AA152" s="6">
        <f ca="1">('TE BE'!$AB$9+'TE BF_350'!$AB$9+'TE CVA'!$AB$9)*1</f>
        <v>222.39386487986414</v>
      </c>
      <c r="AB152" s="6">
        <f>$K$152*$V$152</f>
        <v>0</v>
      </c>
      <c r="AC152" s="6">
        <f>$M$152*$W$152</f>
        <v>22632.072089999998</v>
      </c>
      <c r="AD152" s="6">
        <f>$O$152*$X$152</f>
        <v>64647.466070000002</v>
      </c>
      <c r="AE152" s="6">
        <f>$K$152*$Y$152</f>
        <v>0</v>
      </c>
      <c r="AF152" s="6">
        <f ca="1">$M$152*$Z$152</f>
        <v>38804.556677884037</v>
      </c>
      <c r="AG152" s="6">
        <f ca="1">$O$152*$AA$152</f>
        <v>59221.484672723898</v>
      </c>
    </row>
    <row r="153" spans="1:33" ht="11.25" customHeight="1" x14ac:dyDescent="0.3">
      <c r="A153" s="4" t="s">
        <v>28</v>
      </c>
      <c r="B153" s="4" t="s">
        <v>39</v>
      </c>
      <c r="C153" s="4" t="s">
        <v>40</v>
      </c>
      <c r="D153" s="4" t="s">
        <v>41</v>
      </c>
      <c r="E153" s="4" t="s">
        <v>25</v>
      </c>
      <c r="F153" s="4" t="s">
        <v>25</v>
      </c>
      <c r="G153" s="4" t="s">
        <v>25</v>
      </c>
      <c r="H153" s="4" t="s">
        <v>35</v>
      </c>
      <c r="I153" s="5">
        <v>44805</v>
      </c>
      <c r="J153" s="6">
        <v>0</v>
      </c>
      <c r="K153" s="6">
        <v>0</v>
      </c>
      <c r="L153" s="6">
        <v>35.994999999999997</v>
      </c>
      <c r="M153" s="6">
        <v>35.994999999999997</v>
      </c>
      <c r="N153" s="6">
        <v>35.994999999999997</v>
      </c>
      <c r="O153" s="6">
        <v>35.994999999999997</v>
      </c>
      <c r="P153" s="6">
        <v>0</v>
      </c>
      <c r="Q153" s="4" t="s">
        <v>26</v>
      </c>
      <c r="R153" s="4">
        <v>0</v>
      </c>
      <c r="S153" s="6">
        <v>0</v>
      </c>
      <c r="T153" s="6">
        <v>17</v>
      </c>
      <c r="U153" s="6">
        <v>66</v>
      </c>
      <c r="V153" s="6">
        <f>IF(ISERROR(VLOOKUP($S$153,'TAR FIN'!$A$1:$O$103,15,0)),0,VLOOKUP($S$153,'TAR FIN'!$A$1:$O$103,15,0))</f>
        <v>0</v>
      </c>
      <c r="W153" s="6">
        <f>IF(ISERROR(VLOOKUP($T$153,'TAR FIN'!$A$1:$O$103,15,0)),0,VLOOKUP($T$153,'TAR FIN'!$A$1:$O$103,15,0))</f>
        <v>84.99</v>
      </c>
      <c r="X153" s="6">
        <f>IF(ISERROR(VLOOKUP($U$153,'TAR FIN'!$A$1:$O$103,15,0)),0,VLOOKUP($U$153,'TAR FIN'!$A$1:$O$103,15,0))</f>
        <v>242.77</v>
      </c>
      <c r="Y153" s="6"/>
      <c r="Z153" s="6">
        <f ca="1">('TUSD BE'!$AM$24+'TUSD BF_350'!$AM$24+'TUSD CVA'!$AM$24)*1</f>
        <v>145.72237393634796</v>
      </c>
      <c r="AA153" s="6">
        <f ca="1">('TE BE'!$AB$9+'TE BF_350'!$AB$9+'TE CVA'!$AB$9)*1</f>
        <v>222.39386487986414</v>
      </c>
      <c r="AB153" s="6">
        <f>$K$153*$V$153</f>
        <v>0</v>
      </c>
      <c r="AC153" s="6">
        <f>$M$153*$W$153</f>
        <v>3059.2150499999998</v>
      </c>
      <c r="AD153" s="6">
        <f>$O$153*$X$153</f>
        <v>8738.5061499999993</v>
      </c>
      <c r="AE153" s="6">
        <f>$K$153*$Y$153</f>
        <v>0</v>
      </c>
      <c r="AF153" s="6">
        <f ca="1">$M$153*$Z$153</f>
        <v>5245.276849838845</v>
      </c>
      <c r="AG153" s="6">
        <f ca="1">$O$153*$AA$153</f>
        <v>8005.0671663507092</v>
      </c>
    </row>
    <row r="154" spans="1:33" ht="11.25" customHeight="1" x14ac:dyDescent="0.3">
      <c r="A154" s="4" t="s">
        <v>57</v>
      </c>
      <c r="B154" s="4" t="s">
        <v>39</v>
      </c>
      <c r="C154" s="4" t="s">
        <v>40</v>
      </c>
      <c r="D154" s="4" t="s">
        <v>41</v>
      </c>
      <c r="E154" s="4" t="s">
        <v>25</v>
      </c>
      <c r="F154" s="4" t="s">
        <v>25</v>
      </c>
      <c r="G154" s="4" t="s">
        <v>25</v>
      </c>
      <c r="H154" s="4" t="s">
        <v>35</v>
      </c>
      <c r="I154" s="5">
        <v>44835</v>
      </c>
      <c r="J154" s="6">
        <v>0</v>
      </c>
      <c r="K154" s="6">
        <v>0</v>
      </c>
      <c r="L154" s="6">
        <v>266.291</v>
      </c>
      <c r="M154" s="6">
        <v>266.291</v>
      </c>
      <c r="N154" s="6">
        <v>266.291</v>
      </c>
      <c r="O154" s="6">
        <v>266.291</v>
      </c>
      <c r="P154" s="6">
        <v>0</v>
      </c>
      <c r="Q154" s="4" t="s">
        <v>26</v>
      </c>
      <c r="R154" s="4">
        <v>0</v>
      </c>
      <c r="S154" s="6">
        <v>0</v>
      </c>
      <c r="T154" s="6">
        <v>17</v>
      </c>
      <c r="U154" s="6">
        <v>66</v>
      </c>
      <c r="V154" s="6">
        <f>IF(ISERROR(VLOOKUP($S$154,'TAR FIN'!$A$1:$O$103,15,0)),0,VLOOKUP($S$154,'TAR FIN'!$A$1:$O$103,15,0))</f>
        <v>0</v>
      </c>
      <c r="W154" s="6">
        <f>IF(ISERROR(VLOOKUP($T$154,'TAR FIN'!$A$1:$O$103,15,0)),0,VLOOKUP($T$154,'TAR FIN'!$A$1:$O$103,15,0))</f>
        <v>84.99</v>
      </c>
      <c r="X154" s="6">
        <f>IF(ISERROR(VLOOKUP($U$154,'TAR FIN'!$A$1:$O$103,15,0)),0,VLOOKUP($U$154,'TAR FIN'!$A$1:$O$103,15,0))</f>
        <v>242.77</v>
      </c>
      <c r="Y154" s="6"/>
      <c r="Z154" s="6">
        <f ca="1">('TUSD BE'!$AM$24+'TUSD BF_350'!$AM$24+'TUSD CVA'!$AM$24)*1</f>
        <v>145.72237393634796</v>
      </c>
      <c r="AA154" s="6">
        <f ca="1">('TE BE'!$AB$9+'TE BF_350'!$AB$9+'TE CVA'!$AB$9)*1</f>
        <v>222.39386487986414</v>
      </c>
      <c r="AB154" s="6">
        <f>$K$154*$V$154</f>
        <v>0</v>
      </c>
      <c r="AC154" s="6">
        <f>$M$154*$W$154</f>
        <v>22632.072089999998</v>
      </c>
      <c r="AD154" s="6">
        <f>$O$154*$X$154</f>
        <v>64647.466070000002</v>
      </c>
      <c r="AE154" s="6">
        <f>$K$154*$Y$154</f>
        <v>0</v>
      </c>
      <c r="AF154" s="6">
        <f ca="1">$M$154*$Z$154</f>
        <v>38804.556677884037</v>
      </c>
      <c r="AG154" s="6">
        <f ca="1">$O$154*$AA$154</f>
        <v>59221.484672723898</v>
      </c>
    </row>
    <row r="155" spans="1:33" ht="11.25" customHeight="1" x14ac:dyDescent="0.3">
      <c r="A155" s="4" t="s">
        <v>57</v>
      </c>
      <c r="B155" s="4" t="s">
        <v>39</v>
      </c>
      <c r="C155" s="4" t="s">
        <v>40</v>
      </c>
      <c r="D155" s="4" t="s">
        <v>41</v>
      </c>
      <c r="E155" s="4" t="s">
        <v>25</v>
      </c>
      <c r="F155" s="4" t="s">
        <v>25</v>
      </c>
      <c r="G155" s="4" t="s">
        <v>25</v>
      </c>
      <c r="H155" s="4" t="s">
        <v>35</v>
      </c>
      <c r="I155" s="5">
        <v>44835</v>
      </c>
      <c r="J155" s="6">
        <v>0</v>
      </c>
      <c r="K155" s="6">
        <v>0</v>
      </c>
      <c r="L155" s="6">
        <v>35.994999999999997</v>
      </c>
      <c r="M155" s="6">
        <v>35.994999999999997</v>
      </c>
      <c r="N155" s="6">
        <v>35.994999999999997</v>
      </c>
      <c r="O155" s="6">
        <v>35.994999999999997</v>
      </c>
      <c r="P155" s="6">
        <v>0</v>
      </c>
      <c r="Q155" s="4" t="s">
        <v>26</v>
      </c>
      <c r="R155" s="4">
        <v>0</v>
      </c>
      <c r="S155" s="6">
        <v>0</v>
      </c>
      <c r="T155" s="6">
        <v>17</v>
      </c>
      <c r="U155" s="6">
        <v>66</v>
      </c>
      <c r="V155" s="6">
        <f>IF(ISERROR(VLOOKUP($S$155,'TAR FIN'!$A$1:$O$103,15,0)),0,VLOOKUP($S$155,'TAR FIN'!$A$1:$O$103,15,0))</f>
        <v>0</v>
      </c>
      <c r="W155" s="6">
        <f>IF(ISERROR(VLOOKUP($T$155,'TAR FIN'!$A$1:$O$103,15,0)),0,VLOOKUP($T$155,'TAR FIN'!$A$1:$O$103,15,0))</f>
        <v>84.99</v>
      </c>
      <c r="X155" s="6">
        <f>IF(ISERROR(VLOOKUP($U$155,'TAR FIN'!$A$1:$O$103,15,0)),0,VLOOKUP($U$155,'TAR FIN'!$A$1:$O$103,15,0))</f>
        <v>242.77</v>
      </c>
      <c r="Y155" s="6"/>
      <c r="Z155" s="6">
        <f ca="1">('TUSD BE'!$AM$24+'TUSD BF_350'!$AM$24+'TUSD CVA'!$AM$24)*1</f>
        <v>145.72237393634796</v>
      </c>
      <c r="AA155" s="6">
        <f ca="1">('TE BE'!$AB$9+'TE BF_350'!$AB$9+'TE CVA'!$AB$9)*1</f>
        <v>222.39386487986414</v>
      </c>
      <c r="AB155" s="6">
        <f>$K$155*$V$155</f>
        <v>0</v>
      </c>
      <c r="AC155" s="6">
        <f>$M$155*$W$155</f>
        <v>3059.2150499999998</v>
      </c>
      <c r="AD155" s="6">
        <f>$O$155*$X$155</f>
        <v>8738.5061499999993</v>
      </c>
      <c r="AE155" s="6">
        <f>$K$155*$Y$155</f>
        <v>0</v>
      </c>
      <c r="AF155" s="6">
        <f ca="1">$M$155*$Z$155</f>
        <v>5245.276849838845</v>
      </c>
      <c r="AG155" s="6">
        <f ca="1">$O$155*$AA$155</f>
        <v>8005.0671663507092</v>
      </c>
    </row>
    <row r="156" spans="1:33" ht="11.25" customHeight="1" x14ac:dyDescent="0.3">
      <c r="A156" s="4" t="s">
        <v>21</v>
      </c>
      <c r="B156" s="4" t="s">
        <v>39</v>
      </c>
      <c r="C156" s="4" t="s">
        <v>40</v>
      </c>
      <c r="D156" s="4" t="s">
        <v>41</v>
      </c>
      <c r="E156" s="4" t="s">
        <v>25</v>
      </c>
      <c r="F156" s="4" t="s">
        <v>25</v>
      </c>
      <c r="G156" s="4" t="s">
        <v>25</v>
      </c>
      <c r="H156" s="4" t="s">
        <v>25</v>
      </c>
      <c r="I156" s="5">
        <v>44501</v>
      </c>
      <c r="J156" s="6">
        <v>1522</v>
      </c>
      <c r="K156" s="6">
        <v>1522</v>
      </c>
      <c r="L156" s="6">
        <v>0</v>
      </c>
      <c r="M156" s="6">
        <v>0</v>
      </c>
      <c r="N156" s="6">
        <v>0</v>
      </c>
      <c r="O156" s="6">
        <v>0</v>
      </c>
      <c r="P156" s="6">
        <v>20</v>
      </c>
      <c r="Q156" s="4" t="s">
        <v>26</v>
      </c>
      <c r="R156" s="4">
        <v>0</v>
      </c>
      <c r="S156" s="6">
        <v>13</v>
      </c>
      <c r="T156" s="6">
        <v>0</v>
      </c>
      <c r="U156" s="6">
        <v>0</v>
      </c>
      <c r="V156" s="6">
        <f>IF(ISERROR(VLOOKUP($S$156,'TAR FIN'!$A$1:$O$103,15,0)),0,VLOOKUP($S$156,'TAR FIN'!$A$1:$O$103,15,0))</f>
        <v>18.920000000000002</v>
      </c>
      <c r="W156" s="6">
        <f>IF(ISERROR(VLOOKUP($T$156,'TAR FIN'!$A$1:$O$103,15,0)),0,VLOOKUP($T$156,'TAR FIN'!$A$1:$O$103,15,0))</f>
        <v>0</v>
      </c>
      <c r="X156" s="6">
        <f>IF(ISERROR(VLOOKUP($U$156,'TAR FIN'!$A$1:$O$103,15,0)),0,VLOOKUP($U$156,'TAR FIN'!$A$1:$O$103,15,0))</f>
        <v>0</v>
      </c>
      <c r="Y156" s="6">
        <f ca="1">('TUSD BE'!$AM$22+'TUSD BF_350'!$AM$22+'TUSD CVA'!$AM$22)*1</f>
        <v>21.369338625624472</v>
      </c>
      <c r="Z156" s="6"/>
      <c r="AA156" s="6"/>
      <c r="AB156" s="6">
        <f>$K$156*$V$156</f>
        <v>28796.240000000002</v>
      </c>
      <c r="AC156" s="6">
        <f>$M$156*$W$156</f>
        <v>0</v>
      </c>
      <c r="AD156" s="6">
        <f>$O$156*$X$156</f>
        <v>0</v>
      </c>
      <c r="AE156" s="6">
        <f ca="1">$K$156*$Y$156</f>
        <v>32524.133388200447</v>
      </c>
      <c r="AF156" s="6">
        <f>$M$156*$Z$156</f>
        <v>0</v>
      </c>
      <c r="AG156" s="6">
        <f>$O$156*$AA$156</f>
        <v>0</v>
      </c>
    </row>
    <row r="157" spans="1:33" ht="11.25" customHeight="1" x14ac:dyDescent="0.3">
      <c r="A157" s="4" t="s">
        <v>28</v>
      </c>
      <c r="B157" s="4" t="s">
        <v>39</v>
      </c>
      <c r="C157" s="4" t="s">
        <v>40</v>
      </c>
      <c r="D157" s="4" t="s">
        <v>41</v>
      </c>
      <c r="E157" s="4" t="s">
        <v>25</v>
      </c>
      <c r="F157" s="4" t="s">
        <v>25</v>
      </c>
      <c r="G157" s="4" t="s">
        <v>25</v>
      </c>
      <c r="H157" s="4" t="s">
        <v>25</v>
      </c>
      <c r="I157" s="5">
        <v>44501</v>
      </c>
      <c r="J157" s="6">
        <v>507</v>
      </c>
      <c r="K157" s="6">
        <v>507</v>
      </c>
      <c r="L157" s="6">
        <v>0</v>
      </c>
      <c r="M157" s="6">
        <v>0</v>
      </c>
      <c r="N157" s="6">
        <v>0</v>
      </c>
      <c r="O157" s="6">
        <v>0</v>
      </c>
      <c r="P157" s="6">
        <v>4</v>
      </c>
      <c r="Q157" s="4" t="s">
        <v>26</v>
      </c>
      <c r="R157" s="4">
        <v>0</v>
      </c>
      <c r="S157" s="6">
        <v>13</v>
      </c>
      <c r="T157" s="6">
        <v>0</v>
      </c>
      <c r="U157" s="6">
        <v>0</v>
      </c>
      <c r="V157" s="6">
        <f>IF(ISERROR(VLOOKUP($S$157,'TAR FIN'!$A$1:$O$103,15,0)),0,VLOOKUP($S$157,'TAR FIN'!$A$1:$O$103,15,0))</f>
        <v>18.920000000000002</v>
      </c>
      <c r="W157" s="6">
        <f>IF(ISERROR(VLOOKUP($T$157,'TAR FIN'!$A$1:$O$103,15,0)),0,VLOOKUP($T$157,'TAR FIN'!$A$1:$O$103,15,0))</f>
        <v>0</v>
      </c>
      <c r="X157" s="6">
        <f>IF(ISERROR(VLOOKUP($U$157,'TAR FIN'!$A$1:$O$103,15,0)),0,VLOOKUP($U$157,'TAR FIN'!$A$1:$O$103,15,0))</f>
        <v>0</v>
      </c>
      <c r="Y157" s="6">
        <f ca="1">('TUSD BE'!$AM$22+'TUSD BF_350'!$AM$22+'TUSD CVA'!$AM$22)*1</f>
        <v>21.369338625624472</v>
      </c>
      <c r="Z157" s="6"/>
      <c r="AA157" s="6"/>
      <c r="AB157" s="6">
        <f>$K$157*$V$157</f>
        <v>9592.44</v>
      </c>
      <c r="AC157" s="6">
        <f>$M$157*$W$157</f>
        <v>0</v>
      </c>
      <c r="AD157" s="6">
        <f>$O$157*$X$157</f>
        <v>0</v>
      </c>
      <c r="AE157" s="6">
        <f ca="1">$K$157*$Y$157</f>
        <v>10834.254683191608</v>
      </c>
      <c r="AF157" s="6">
        <f>$M$157*$Z$157</f>
        <v>0</v>
      </c>
      <c r="AG157" s="6">
        <f>$O$157*$AA$157</f>
        <v>0</v>
      </c>
    </row>
    <row r="158" spans="1:33" ht="11.25" customHeight="1" x14ac:dyDescent="0.3">
      <c r="A158" s="4" t="s">
        <v>21</v>
      </c>
      <c r="B158" s="4" t="s">
        <v>39</v>
      </c>
      <c r="C158" s="4" t="s">
        <v>40</v>
      </c>
      <c r="D158" s="4" t="s">
        <v>41</v>
      </c>
      <c r="E158" s="4" t="s">
        <v>25</v>
      </c>
      <c r="F158" s="4" t="s">
        <v>25</v>
      </c>
      <c r="G158" s="4" t="s">
        <v>25</v>
      </c>
      <c r="H158" s="4" t="s">
        <v>25</v>
      </c>
      <c r="I158" s="5">
        <v>44531</v>
      </c>
      <c r="J158" s="6">
        <v>1520</v>
      </c>
      <c r="K158" s="6">
        <v>1520</v>
      </c>
      <c r="L158" s="6">
        <v>0</v>
      </c>
      <c r="M158" s="6">
        <v>0</v>
      </c>
      <c r="N158" s="6">
        <v>0</v>
      </c>
      <c r="O158" s="6">
        <v>0</v>
      </c>
      <c r="P158" s="6">
        <v>20</v>
      </c>
      <c r="Q158" s="4" t="s">
        <v>26</v>
      </c>
      <c r="R158" s="4">
        <v>0</v>
      </c>
      <c r="S158" s="6">
        <v>13</v>
      </c>
      <c r="T158" s="6">
        <v>0</v>
      </c>
      <c r="U158" s="6">
        <v>0</v>
      </c>
      <c r="V158" s="6">
        <f>IF(ISERROR(VLOOKUP($S$158,'TAR FIN'!$A$1:$O$103,15,0)),0,VLOOKUP($S$158,'TAR FIN'!$A$1:$O$103,15,0))</f>
        <v>18.920000000000002</v>
      </c>
      <c r="W158" s="6">
        <f>IF(ISERROR(VLOOKUP($T$158,'TAR FIN'!$A$1:$O$103,15,0)),0,VLOOKUP($T$158,'TAR FIN'!$A$1:$O$103,15,0))</f>
        <v>0</v>
      </c>
      <c r="X158" s="6">
        <f>IF(ISERROR(VLOOKUP($U$158,'TAR FIN'!$A$1:$O$103,15,0)),0,VLOOKUP($U$158,'TAR FIN'!$A$1:$O$103,15,0))</f>
        <v>0</v>
      </c>
      <c r="Y158" s="6">
        <f ca="1">('TUSD BE'!$AM$22+'TUSD BF_350'!$AM$22+'TUSD CVA'!$AM$22)*1</f>
        <v>21.369338625624472</v>
      </c>
      <c r="Z158" s="6"/>
      <c r="AA158" s="6"/>
      <c r="AB158" s="6">
        <f>$K$158*$V$158</f>
        <v>28758.400000000001</v>
      </c>
      <c r="AC158" s="6">
        <f>$M$158*$W$158</f>
        <v>0</v>
      </c>
      <c r="AD158" s="6">
        <f>$O$158*$X$158</f>
        <v>0</v>
      </c>
      <c r="AE158" s="6">
        <f ca="1">$K$158*$Y$158</f>
        <v>32481.394710949196</v>
      </c>
      <c r="AF158" s="6">
        <f>$M$158*$Z$158</f>
        <v>0</v>
      </c>
      <c r="AG158" s="6">
        <f>$O$158*$AA$158</f>
        <v>0</v>
      </c>
    </row>
    <row r="159" spans="1:33" ht="11.25" customHeight="1" x14ac:dyDescent="0.3">
      <c r="A159" s="4" t="s">
        <v>28</v>
      </c>
      <c r="B159" s="4" t="s">
        <v>39</v>
      </c>
      <c r="C159" s="4" t="s">
        <v>40</v>
      </c>
      <c r="D159" s="4" t="s">
        <v>41</v>
      </c>
      <c r="E159" s="4" t="s">
        <v>25</v>
      </c>
      <c r="F159" s="4" t="s">
        <v>25</v>
      </c>
      <c r="G159" s="4" t="s">
        <v>25</v>
      </c>
      <c r="H159" s="4" t="s">
        <v>25</v>
      </c>
      <c r="I159" s="5">
        <v>44531</v>
      </c>
      <c r="J159" s="6">
        <v>507</v>
      </c>
      <c r="K159" s="6">
        <v>507</v>
      </c>
      <c r="L159" s="6">
        <v>0</v>
      </c>
      <c r="M159" s="6">
        <v>0</v>
      </c>
      <c r="N159" s="6">
        <v>0</v>
      </c>
      <c r="O159" s="6">
        <v>0</v>
      </c>
      <c r="P159" s="6">
        <v>4</v>
      </c>
      <c r="Q159" s="4" t="s">
        <v>26</v>
      </c>
      <c r="R159" s="4">
        <v>0</v>
      </c>
      <c r="S159" s="6">
        <v>13</v>
      </c>
      <c r="T159" s="6">
        <v>0</v>
      </c>
      <c r="U159" s="6">
        <v>0</v>
      </c>
      <c r="V159" s="6">
        <f>IF(ISERROR(VLOOKUP($S$159,'TAR FIN'!$A$1:$O$103,15,0)),0,VLOOKUP($S$159,'TAR FIN'!$A$1:$O$103,15,0))</f>
        <v>18.920000000000002</v>
      </c>
      <c r="W159" s="6">
        <f>IF(ISERROR(VLOOKUP($T$159,'TAR FIN'!$A$1:$O$103,15,0)),0,VLOOKUP($T$159,'TAR FIN'!$A$1:$O$103,15,0))</f>
        <v>0</v>
      </c>
      <c r="X159" s="6">
        <f>IF(ISERROR(VLOOKUP($U$159,'TAR FIN'!$A$1:$O$103,15,0)),0,VLOOKUP($U$159,'TAR FIN'!$A$1:$O$103,15,0))</f>
        <v>0</v>
      </c>
      <c r="Y159" s="6">
        <f ca="1">('TUSD BE'!$AM$22+'TUSD BF_350'!$AM$22+'TUSD CVA'!$AM$22)*1</f>
        <v>21.369338625624472</v>
      </c>
      <c r="Z159" s="6"/>
      <c r="AA159" s="6"/>
      <c r="AB159" s="6">
        <f>$K$159*$V$159</f>
        <v>9592.44</v>
      </c>
      <c r="AC159" s="6">
        <f>$M$159*$W$159</f>
        <v>0</v>
      </c>
      <c r="AD159" s="6">
        <f>$O$159*$X$159</f>
        <v>0</v>
      </c>
      <c r="AE159" s="6">
        <f ca="1">$K$159*$Y$159</f>
        <v>10834.254683191608</v>
      </c>
      <c r="AF159" s="6">
        <f>$M$159*$Z$159</f>
        <v>0</v>
      </c>
      <c r="AG159" s="6">
        <f>$O$159*$AA$159</f>
        <v>0</v>
      </c>
    </row>
    <row r="160" spans="1:33" ht="11.25" customHeight="1" x14ac:dyDescent="0.3">
      <c r="A160" s="4" t="s">
        <v>21</v>
      </c>
      <c r="B160" s="4" t="s">
        <v>39</v>
      </c>
      <c r="C160" s="4" t="s">
        <v>40</v>
      </c>
      <c r="D160" s="4" t="s">
        <v>41</v>
      </c>
      <c r="E160" s="4" t="s">
        <v>25</v>
      </c>
      <c r="F160" s="4" t="s">
        <v>25</v>
      </c>
      <c r="G160" s="4" t="s">
        <v>25</v>
      </c>
      <c r="H160" s="4" t="s">
        <v>25</v>
      </c>
      <c r="I160" s="5">
        <v>44562</v>
      </c>
      <c r="J160" s="6">
        <v>1983</v>
      </c>
      <c r="K160" s="6">
        <v>1983</v>
      </c>
      <c r="L160" s="6">
        <v>0</v>
      </c>
      <c r="M160" s="6">
        <v>0</v>
      </c>
      <c r="N160" s="6">
        <v>0</v>
      </c>
      <c r="O160" s="6">
        <v>0</v>
      </c>
      <c r="P160" s="6">
        <v>27</v>
      </c>
      <c r="Q160" s="4" t="s">
        <v>26</v>
      </c>
      <c r="R160" s="4">
        <v>0</v>
      </c>
      <c r="S160" s="6">
        <v>13</v>
      </c>
      <c r="T160" s="6">
        <v>0</v>
      </c>
      <c r="U160" s="6">
        <v>0</v>
      </c>
      <c r="V160" s="6">
        <f>IF(ISERROR(VLOOKUP($S$160,'TAR FIN'!$A$1:$O$103,15,0)),0,VLOOKUP($S$160,'TAR FIN'!$A$1:$O$103,15,0))</f>
        <v>18.920000000000002</v>
      </c>
      <c r="W160" s="6">
        <f>IF(ISERROR(VLOOKUP($T$160,'TAR FIN'!$A$1:$O$103,15,0)),0,VLOOKUP($T$160,'TAR FIN'!$A$1:$O$103,15,0))</f>
        <v>0</v>
      </c>
      <c r="X160" s="6">
        <f>IF(ISERROR(VLOOKUP($U$160,'TAR FIN'!$A$1:$O$103,15,0)),0,VLOOKUP($U$160,'TAR FIN'!$A$1:$O$103,15,0))</f>
        <v>0</v>
      </c>
      <c r="Y160" s="6">
        <f ca="1">('TUSD BE'!$AM$22+'TUSD BF_350'!$AM$22+'TUSD CVA'!$AM$22)*1</f>
        <v>21.369338625624472</v>
      </c>
      <c r="Z160" s="6"/>
      <c r="AA160" s="6"/>
      <c r="AB160" s="6">
        <f>$K$160*$V$160</f>
        <v>37518.36</v>
      </c>
      <c r="AC160" s="6">
        <f>$M$160*$W$160</f>
        <v>0</v>
      </c>
      <c r="AD160" s="6">
        <f>$O$160*$X$160</f>
        <v>0</v>
      </c>
      <c r="AE160" s="6">
        <f ca="1">$K$160*$Y$160</f>
        <v>42375.398494613328</v>
      </c>
      <c r="AF160" s="6">
        <f>$M$160*$Z$160</f>
        <v>0</v>
      </c>
      <c r="AG160" s="6">
        <f>$O$160*$AA$160</f>
        <v>0</v>
      </c>
    </row>
    <row r="161" spans="1:33" ht="11.25" customHeight="1" x14ac:dyDescent="0.3">
      <c r="A161" s="4" t="s">
        <v>28</v>
      </c>
      <c r="B161" s="4" t="s">
        <v>39</v>
      </c>
      <c r="C161" s="4" t="s">
        <v>40</v>
      </c>
      <c r="D161" s="4" t="s">
        <v>41</v>
      </c>
      <c r="E161" s="4" t="s">
        <v>25</v>
      </c>
      <c r="F161" s="4" t="s">
        <v>25</v>
      </c>
      <c r="G161" s="4" t="s">
        <v>25</v>
      </c>
      <c r="H161" s="4" t="s">
        <v>25</v>
      </c>
      <c r="I161" s="5">
        <v>44562</v>
      </c>
      <c r="J161" s="6">
        <v>507</v>
      </c>
      <c r="K161" s="6">
        <v>507</v>
      </c>
      <c r="L161" s="6">
        <v>0</v>
      </c>
      <c r="M161" s="6">
        <v>0</v>
      </c>
      <c r="N161" s="6">
        <v>0</v>
      </c>
      <c r="O161" s="6">
        <v>0</v>
      </c>
      <c r="P161" s="6">
        <v>4</v>
      </c>
      <c r="Q161" s="4" t="s">
        <v>26</v>
      </c>
      <c r="R161" s="4">
        <v>0</v>
      </c>
      <c r="S161" s="6">
        <v>13</v>
      </c>
      <c r="T161" s="6">
        <v>0</v>
      </c>
      <c r="U161" s="6">
        <v>0</v>
      </c>
      <c r="V161" s="6">
        <f>IF(ISERROR(VLOOKUP($S$161,'TAR FIN'!$A$1:$O$103,15,0)),0,VLOOKUP($S$161,'TAR FIN'!$A$1:$O$103,15,0))</f>
        <v>18.920000000000002</v>
      </c>
      <c r="W161" s="6">
        <f>IF(ISERROR(VLOOKUP($T$161,'TAR FIN'!$A$1:$O$103,15,0)),0,VLOOKUP($T$161,'TAR FIN'!$A$1:$O$103,15,0))</f>
        <v>0</v>
      </c>
      <c r="X161" s="6">
        <f>IF(ISERROR(VLOOKUP($U$161,'TAR FIN'!$A$1:$O$103,15,0)),0,VLOOKUP($U$161,'TAR FIN'!$A$1:$O$103,15,0))</f>
        <v>0</v>
      </c>
      <c r="Y161" s="6">
        <f ca="1">('TUSD BE'!$AM$22+'TUSD BF_350'!$AM$22+'TUSD CVA'!$AM$22)*1</f>
        <v>21.369338625624472</v>
      </c>
      <c r="Z161" s="6"/>
      <c r="AA161" s="6"/>
      <c r="AB161" s="6">
        <f>$K$161*$V$161</f>
        <v>9592.44</v>
      </c>
      <c r="AC161" s="6">
        <f>$M$161*$W$161</f>
        <v>0</v>
      </c>
      <c r="AD161" s="6">
        <f>$O$161*$X$161</f>
        <v>0</v>
      </c>
      <c r="AE161" s="6">
        <f ca="1">$K$161*$Y$161</f>
        <v>10834.254683191608</v>
      </c>
      <c r="AF161" s="6">
        <f>$M$161*$Z$161</f>
        <v>0</v>
      </c>
      <c r="AG161" s="6">
        <f>$O$161*$AA$161</f>
        <v>0</v>
      </c>
    </row>
    <row r="162" spans="1:33" ht="11.25" customHeight="1" x14ac:dyDescent="0.3">
      <c r="A162" s="4" t="s">
        <v>21</v>
      </c>
      <c r="B162" s="4" t="s">
        <v>39</v>
      </c>
      <c r="C162" s="4" t="s">
        <v>40</v>
      </c>
      <c r="D162" s="4" t="s">
        <v>41</v>
      </c>
      <c r="E162" s="4" t="s">
        <v>25</v>
      </c>
      <c r="F162" s="4" t="s">
        <v>25</v>
      </c>
      <c r="G162" s="4" t="s">
        <v>25</v>
      </c>
      <c r="H162" s="4" t="s">
        <v>25</v>
      </c>
      <c r="I162" s="5">
        <v>44593</v>
      </c>
      <c r="J162" s="6">
        <v>1701</v>
      </c>
      <c r="K162" s="6">
        <v>1701</v>
      </c>
      <c r="L162" s="6">
        <v>0</v>
      </c>
      <c r="M162" s="6">
        <v>0</v>
      </c>
      <c r="N162" s="6">
        <v>0</v>
      </c>
      <c r="O162" s="6">
        <v>0</v>
      </c>
      <c r="P162" s="6">
        <v>23</v>
      </c>
      <c r="Q162" s="4" t="s">
        <v>26</v>
      </c>
      <c r="R162" s="4">
        <v>0</v>
      </c>
      <c r="S162" s="6">
        <v>13</v>
      </c>
      <c r="T162" s="6">
        <v>0</v>
      </c>
      <c r="U162" s="6">
        <v>0</v>
      </c>
      <c r="V162" s="6">
        <f>IF(ISERROR(VLOOKUP($S$162,'TAR FIN'!$A$1:$O$103,15,0)),0,VLOOKUP($S$162,'TAR FIN'!$A$1:$O$103,15,0))</f>
        <v>18.920000000000002</v>
      </c>
      <c r="W162" s="6">
        <f>IF(ISERROR(VLOOKUP($T$162,'TAR FIN'!$A$1:$O$103,15,0)),0,VLOOKUP($T$162,'TAR FIN'!$A$1:$O$103,15,0))</f>
        <v>0</v>
      </c>
      <c r="X162" s="6">
        <f>IF(ISERROR(VLOOKUP($U$162,'TAR FIN'!$A$1:$O$103,15,0)),0,VLOOKUP($U$162,'TAR FIN'!$A$1:$O$103,15,0))</f>
        <v>0</v>
      </c>
      <c r="Y162" s="6">
        <f ca="1">('TUSD BE'!$AM$22+'TUSD BF_350'!$AM$22+'TUSD CVA'!$AM$22)*1</f>
        <v>21.369338625624472</v>
      </c>
      <c r="Z162" s="6"/>
      <c r="AA162" s="6"/>
      <c r="AB162" s="6">
        <f>$K$162*$V$162</f>
        <v>32182.920000000002</v>
      </c>
      <c r="AC162" s="6">
        <f>$M$162*$W$162</f>
        <v>0</v>
      </c>
      <c r="AD162" s="6">
        <f>$O$162*$X$162</f>
        <v>0</v>
      </c>
      <c r="AE162" s="6">
        <f ca="1">$K$162*$Y$162</f>
        <v>36349.245002187228</v>
      </c>
      <c r="AF162" s="6">
        <f>$M$162*$Z$162</f>
        <v>0</v>
      </c>
      <c r="AG162" s="6">
        <f>$O$162*$AA$162</f>
        <v>0</v>
      </c>
    </row>
    <row r="163" spans="1:33" ht="11.25" customHeight="1" x14ac:dyDescent="0.3">
      <c r="A163" s="4" t="s">
        <v>28</v>
      </c>
      <c r="B163" s="4" t="s">
        <v>39</v>
      </c>
      <c r="C163" s="4" t="s">
        <v>40</v>
      </c>
      <c r="D163" s="4" t="s">
        <v>41</v>
      </c>
      <c r="E163" s="4" t="s">
        <v>25</v>
      </c>
      <c r="F163" s="4" t="s">
        <v>25</v>
      </c>
      <c r="G163" s="4" t="s">
        <v>25</v>
      </c>
      <c r="H163" s="4" t="s">
        <v>25</v>
      </c>
      <c r="I163" s="5">
        <v>44593</v>
      </c>
      <c r="J163" s="6">
        <v>507</v>
      </c>
      <c r="K163" s="6">
        <v>507</v>
      </c>
      <c r="L163" s="6">
        <v>0</v>
      </c>
      <c r="M163" s="6">
        <v>0</v>
      </c>
      <c r="N163" s="6">
        <v>0</v>
      </c>
      <c r="O163" s="6">
        <v>0</v>
      </c>
      <c r="P163" s="6">
        <v>4</v>
      </c>
      <c r="Q163" s="4" t="s">
        <v>26</v>
      </c>
      <c r="R163" s="4">
        <v>0</v>
      </c>
      <c r="S163" s="6">
        <v>13</v>
      </c>
      <c r="T163" s="6">
        <v>0</v>
      </c>
      <c r="U163" s="6">
        <v>0</v>
      </c>
      <c r="V163" s="6">
        <f>IF(ISERROR(VLOOKUP($S$163,'TAR FIN'!$A$1:$O$103,15,0)),0,VLOOKUP($S$163,'TAR FIN'!$A$1:$O$103,15,0))</f>
        <v>18.920000000000002</v>
      </c>
      <c r="W163" s="6">
        <f>IF(ISERROR(VLOOKUP($T$163,'TAR FIN'!$A$1:$O$103,15,0)),0,VLOOKUP($T$163,'TAR FIN'!$A$1:$O$103,15,0))</f>
        <v>0</v>
      </c>
      <c r="X163" s="6">
        <f>IF(ISERROR(VLOOKUP($U$163,'TAR FIN'!$A$1:$O$103,15,0)),0,VLOOKUP($U$163,'TAR FIN'!$A$1:$O$103,15,0))</f>
        <v>0</v>
      </c>
      <c r="Y163" s="6">
        <f ca="1">('TUSD BE'!$AM$22+'TUSD BF_350'!$AM$22+'TUSD CVA'!$AM$22)*1</f>
        <v>21.369338625624472</v>
      </c>
      <c r="Z163" s="6"/>
      <c r="AA163" s="6"/>
      <c r="AB163" s="6">
        <f>$K$163*$V$163</f>
        <v>9592.44</v>
      </c>
      <c r="AC163" s="6">
        <f>$M$163*$W$163</f>
        <v>0</v>
      </c>
      <c r="AD163" s="6">
        <f>$O$163*$X$163</f>
        <v>0</v>
      </c>
      <c r="AE163" s="6">
        <f ca="1">$K$163*$Y$163</f>
        <v>10834.254683191608</v>
      </c>
      <c r="AF163" s="6">
        <f>$M$163*$Z$163</f>
        <v>0</v>
      </c>
      <c r="AG163" s="6">
        <f>$O$163*$AA$163</f>
        <v>0</v>
      </c>
    </row>
    <row r="164" spans="1:33" ht="11.25" customHeight="1" x14ac:dyDescent="0.3">
      <c r="A164" s="4" t="s">
        <v>21</v>
      </c>
      <c r="B164" s="4" t="s">
        <v>39</v>
      </c>
      <c r="C164" s="4" t="s">
        <v>40</v>
      </c>
      <c r="D164" s="4" t="s">
        <v>41</v>
      </c>
      <c r="E164" s="4" t="s">
        <v>25</v>
      </c>
      <c r="F164" s="4" t="s">
        <v>25</v>
      </c>
      <c r="G164" s="4" t="s">
        <v>25</v>
      </c>
      <c r="H164" s="4" t="s">
        <v>25</v>
      </c>
      <c r="I164" s="5">
        <v>44621</v>
      </c>
      <c r="J164" s="6">
        <v>1705</v>
      </c>
      <c r="K164" s="6">
        <v>1705</v>
      </c>
      <c r="L164" s="6">
        <v>0</v>
      </c>
      <c r="M164" s="6">
        <v>0</v>
      </c>
      <c r="N164" s="6">
        <v>0</v>
      </c>
      <c r="O164" s="6">
        <v>0</v>
      </c>
      <c r="P164" s="6">
        <v>23</v>
      </c>
      <c r="Q164" s="4" t="s">
        <v>26</v>
      </c>
      <c r="R164" s="4">
        <v>0</v>
      </c>
      <c r="S164" s="6">
        <v>13</v>
      </c>
      <c r="T164" s="6">
        <v>0</v>
      </c>
      <c r="U164" s="6">
        <v>0</v>
      </c>
      <c r="V164" s="6">
        <f>IF(ISERROR(VLOOKUP($S$164,'TAR FIN'!$A$1:$O$103,15,0)),0,VLOOKUP($S$164,'TAR FIN'!$A$1:$O$103,15,0))</f>
        <v>18.920000000000002</v>
      </c>
      <c r="W164" s="6">
        <f>IF(ISERROR(VLOOKUP($T$164,'TAR FIN'!$A$1:$O$103,15,0)),0,VLOOKUP($T$164,'TAR FIN'!$A$1:$O$103,15,0))</f>
        <v>0</v>
      </c>
      <c r="X164" s="6">
        <f>IF(ISERROR(VLOOKUP($U$164,'TAR FIN'!$A$1:$O$103,15,0)),0,VLOOKUP($U$164,'TAR FIN'!$A$1:$O$103,15,0))</f>
        <v>0</v>
      </c>
      <c r="Y164" s="6">
        <f ca="1">('TUSD BE'!$AM$22+'TUSD BF_350'!$AM$22+'TUSD CVA'!$AM$22)*1</f>
        <v>21.369338625624472</v>
      </c>
      <c r="Z164" s="6"/>
      <c r="AA164" s="6"/>
      <c r="AB164" s="6">
        <f>$K$164*$V$164</f>
        <v>32258.600000000002</v>
      </c>
      <c r="AC164" s="6">
        <f>$M$164*$W$164</f>
        <v>0</v>
      </c>
      <c r="AD164" s="6">
        <f>$O$164*$X$164</f>
        <v>0</v>
      </c>
      <c r="AE164" s="6">
        <f ca="1">$K$164*$Y$164</f>
        <v>36434.722356689723</v>
      </c>
      <c r="AF164" s="6">
        <f>$M$164*$Z$164</f>
        <v>0</v>
      </c>
      <c r="AG164" s="6">
        <f>$O$164*$AA$164</f>
        <v>0</v>
      </c>
    </row>
    <row r="165" spans="1:33" ht="11.25" customHeight="1" x14ac:dyDescent="0.3">
      <c r="A165" s="4" t="s">
        <v>28</v>
      </c>
      <c r="B165" s="4" t="s">
        <v>39</v>
      </c>
      <c r="C165" s="4" t="s">
        <v>40</v>
      </c>
      <c r="D165" s="4" t="s">
        <v>41</v>
      </c>
      <c r="E165" s="4" t="s">
        <v>25</v>
      </c>
      <c r="F165" s="4" t="s">
        <v>25</v>
      </c>
      <c r="G165" s="4" t="s">
        <v>25</v>
      </c>
      <c r="H165" s="4" t="s">
        <v>25</v>
      </c>
      <c r="I165" s="5">
        <v>44621</v>
      </c>
      <c r="J165" s="6">
        <v>507</v>
      </c>
      <c r="K165" s="6">
        <v>507</v>
      </c>
      <c r="L165" s="6">
        <v>0</v>
      </c>
      <c r="M165" s="6">
        <v>0</v>
      </c>
      <c r="N165" s="6">
        <v>0</v>
      </c>
      <c r="O165" s="6">
        <v>0</v>
      </c>
      <c r="P165" s="6">
        <v>4</v>
      </c>
      <c r="Q165" s="4" t="s">
        <v>26</v>
      </c>
      <c r="R165" s="4">
        <v>0</v>
      </c>
      <c r="S165" s="6">
        <v>13</v>
      </c>
      <c r="T165" s="6">
        <v>0</v>
      </c>
      <c r="U165" s="6">
        <v>0</v>
      </c>
      <c r="V165" s="6">
        <f>IF(ISERROR(VLOOKUP($S$165,'TAR FIN'!$A$1:$O$103,15,0)),0,VLOOKUP($S$165,'TAR FIN'!$A$1:$O$103,15,0))</f>
        <v>18.920000000000002</v>
      </c>
      <c r="W165" s="6">
        <f>IF(ISERROR(VLOOKUP($T$165,'TAR FIN'!$A$1:$O$103,15,0)),0,VLOOKUP($T$165,'TAR FIN'!$A$1:$O$103,15,0))</f>
        <v>0</v>
      </c>
      <c r="X165" s="6">
        <f>IF(ISERROR(VLOOKUP($U$165,'TAR FIN'!$A$1:$O$103,15,0)),0,VLOOKUP($U$165,'TAR FIN'!$A$1:$O$103,15,0))</f>
        <v>0</v>
      </c>
      <c r="Y165" s="6">
        <f ca="1">('TUSD BE'!$AM$22+'TUSD BF_350'!$AM$22+'TUSD CVA'!$AM$22)*1</f>
        <v>21.369338625624472</v>
      </c>
      <c r="Z165" s="6"/>
      <c r="AA165" s="6"/>
      <c r="AB165" s="6">
        <f>$K$165*$V$165</f>
        <v>9592.44</v>
      </c>
      <c r="AC165" s="6">
        <f>$M$165*$W$165</f>
        <v>0</v>
      </c>
      <c r="AD165" s="6">
        <f>$O$165*$X$165</f>
        <v>0</v>
      </c>
      <c r="AE165" s="6">
        <f ca="1">$K$165*$Y$165</f>
        <v>10834.254683191608</v>
      </c>
      <c r="AF165" s="6">
        <f>$M$165*$Z$165</f>
        <v>0</v>
      </c>
      <c r="AG165" s="6">
        <f>$O$165*$AA$165</f>
        <v>0</v>
      </c>
    </row>
    <row r="166" spans="1:33" ht="11.25" customHeight="1" x14ac:dyDescent="0.3">
      <c r="A166" s="4" t="s">
        <v>21</v>
      </c>
      <c r="B166" s="4" t="s">
        <v>39</v>
      </c>
      <c r="C166" s="4" t="s">
        <v>40</v>
      </c>
      <c r="D166" s="4" t="s">
        <v>41</v>
      </c>
      <c r="E166" s="4" t="s">
        <v>25</v>
      </c>
      <c r="F166" s="4" t="s">
        <v>25</v>
      </c>
      <c r="G166" s="4" t="s">
        <v>25</v>
      </c>
      <c r="H166" s="4" t="s">
        <v>25</v>
      </c>
      <c r="I166" s="5">
        <v>44652</v>
      </c>
      <c r="J166" s="6">
        <v>1750</v>
      </c>
      <c r="K166" s="6">
        <v>1750</v>
      </c>
      <c r="L166" s="6">
        <v>0</v>
      </c>
      <c r="M166" s="6">
        <v>0</v>
      </c>
      <c r="N166" s="6">
        <v>0</v>
      </c>
      <c r="O166" s="6">
        <v>0</v>
      </c>
      <c r="P166" s="6">
        <v>23</v>
      </c>
      <c r="Q166" s="4" t="s">
        <v>26</v>
      </c>
      <c r="R166" s="4">
        <v>0</v>
      </c>
      <c r="S166" s="6">
        <v>13</v>
      </c>
      <c r="T166" s="6">
        <v>0</v>
      </c>
      <c r="U166" s="6">
        <v>0</v>
      </c>
      <c r="V166" s="6">
        <f>IF(ISERROR(VLOOKUP($S$166,'TAR FIN'!$A$1:$O$103,15,0)),0,VLOOKUP($S$166,'TAR FIN'!$A$1:$O$103,15,0))</f>
        <v>18.920000000000002</v>
      </c>
      <c r="W166" s="6">
        <f>IF(ISERROR(VLOOKUP($T$166,'TAR FIN'!$A$1:$O$103,15,0)),0,VLOOKUP($T$166,'TAR FIN'!$A$1:$O$103,15,0))</f>
        <v>0</v>
      </c>
      <c r="X166" s="6">
        <f>IF(ISERROR(VLOOKUP($U$166,'TAR FIN'!$A$1:$O$103,15,0)),0,VLOOKUP($U$166,'TAR FIN'!$A$1:$O$103,15,0))</f>
        <v>0</v>
      </c>
      <c r="Y166" s="6">
        <f ca="1">('TUSD BE'!$AM$22+'TUSD BF_350'!$AM$22+'TUSD CVA'!$AM$22)*1</f>
        <v>21.369338625624472</v>
      </c>
      <c r="Z166" s="6"/>
      <c r="AA166" s="6"/>
      <c r="AB166" s="6">
        <f>$K$166*$V$166</f>
        <v>33110</v>
      </c>
      <c r="AC166" s="6">
        <f>$M$166*$W$166</f>
        <v>0</v>
      </c>
      <c r="AD166" s="6">
        <f>$O$166*$X$166</f>
        <v>0</v>
      </c>
      <c r="AE166" s="6">
        <f ca="1">$K$166*$Y$166</f>
        <v>37396.342594842827</v>
      </c>
      <c r="AF166" s="6">
        <f>$M$166*$Z$166</f>
        <v>0</v>
      </c>
      <c r="AG166" s="6">
        <f>$O$166*$AA$166</f>
        <v>0</v>
      </c>
    </row>
    <row r="167" spans="1:33" ht="11.25" customHeight="1" x14ac:dyDescent="0.3">
      <c r="A167" s="4" t="s">
        <v>28</v>
      </c>
      <c r="B167" s="4" t="s">
        <v>39</v>
      </c>
      <c r="C167" s="4" t="s">
        <v>40</v>
      </c>
      <c r="D167" s="4" t="s">
        <v>41</v>
      </c>
      <c r="E167" s="4" t="s">
        <v>25</v>
      </c>
      <c r="F167" s="4" t="s">
        <v>25</v>
      </c>
      <c r="G167" s="4" t="s">
        <v>25</v>
      </c>
      <c r="H167" s="4" t="s">
        <v>25</v>
      </c>
      <c r="I167" s="5">
        <v>44652</v>
      </c>
      <c r="J167" s="6">
        <v>522</v>
      </c>
      <c r="K167" s="6">
        <v>522</v>
      </c>
      <c r="L167" s="6">
        <v>0</v>
      </c>
      <c r="M167" s="6">
        <v>0</v>
      </c>
      <c r="N167" s="6">
        <v>0</v>
      </c>
      <c r="O167" s="6">
        <v>0</v>
      </c>
      <c r="P167" s="6">
        <v>4</v>
      </c>
      <c r="Q167" s="4" t="s">
        <v>26</v>
      </c>
      <c r="R167" s="4">
        <v>0</v>
      </c>
      <c r="S167" s="6">
        <v>13</v>
      </c>
      <c r="T167" s="6">
        <v>0</v>
      </c>
      <c r="U167" s="6">
        <v>0</v>
      </c>
      <c r="V167" s="6">
        <f>IF(ISERROR(VLOOKUP($S$167,'TAR FIN'!$A$1:$O$103,15,0)),0,VLOOKUP($S$167,'TAR FIN'!$A$1:$O$103,15,0))</f>
        <v>18.920000000000002</v>
      </c>
      <c r="W167" s="6">
        <f>IF(ISERROR(VLOOKUP($T$167,'TAR FIN'!$A$1:$O$103,15,0)),0,VLOOKUP($T$167,'TAR FIN'!$A$1:$O$103,15,0))</f>
        <v>0</v>
      </c>
      <c r="X167" s="6">
        <f>IF(ISERROR(VLOOKUP($U$167,'TAR FIN'!$A$1:$O$103,15,0)),0,VLOOKUP($U$167,'TAR FIN'!$A$1:$O$103,15,0))</f>
        <v>0</v>
      </c>
      <c r="Y167" s="6">
        <f ca="1">('TUSD BE'!$AM$22+'TUSD BF_350'!$AM$22+'TUSD CVA'!$AM$22)*1</f>
        <v>21.369338625624472</v>
      </c>
      <c r="Z167" s="6"/>
      <c r="AA167" s="6"/>
      <c r="AB167" s="6">
        <f>$K$167*$V$167</f>
        <v>9876.2400000000016</v>
      </c>
      <c r="AC167" s="6">
        <f>$M$167*$W$167</f>
        <v>0</v>
      </c>
      <c r="AD167" s="6">
        <f>$O$167*$X$167</f>
        <v>0</v>
      </c>
      <c r="AE167" s="6">
        <f ca="1">$K$167*$Y$167</f>
        <v>11154.794762575975</v>
      </c>
      <c r="AF167" s="6">
        <f>$M$167*$Z$167</f>
        <v>0</v>
      </c>
      <c r="AG167" s="6">
        <f>$O$167*$AA$167</f>
        <v>0</v>
      </c>
    </row>
    <row r="168" spans="1:33" ht="11.25" customHeight="1" x14ac:dyDescent="0.3">
      <c r="A168" s="4" t="s">
        <v>21</v>
      </c>
      <c r="B168" s="4" t="s">
        <v>39</v>
      </c>
      <c r="C168" s="4" t="s">
        <v>40</v>
      </c>
      <c r="D168" s="4" t="s">
        <v>41</v>
      </c>
      <c r="E168" s="4" t="s">
        <v>25</v>
      </c>
      <c r="F168" s="4" t="s">
        <v>25</v>
      </c>
      <c r="G168" s="4" t="s">
        <v>25</v>
      </c>
      <c r="H168" s="4" t="s">
        <v>25</v>
      </c>
      <c r="I168" s="5">
        <v>44682</v>
      </c>
      <c r="J168" s="6">
        <v>1819</v>
      </c>
      <c r="K168" s="6">
        <v>1819</v>
      </c>
      <c r="L168" s="6">
        <v>0</v>
      </c>
      <c r="M168" s="6">
        <v>0</v>
      </c>
      <c r="N168" s="6">
        <v>0</v>
      </c>
      <c r="O168" s="6">
        <v>0</v>
      </c>
      <c r="P168" s="6">
        <v>23</v>
      </c>
      <c r="Q168" s="4" t="s">
        <v>26</v>
      </c>
      <c r="R168" s="4">
        <v>0</v>
      </c>
      <c r="S168" s="6">
        <v>13</v>
      </c>
      <c r="T168" s="6">
        <v>0</v>
      </c>
      <c r="U168" s="6">
        <v>0</v>
      </c>
      <c r="V168" s="6">
        <f>IF(ISERROR(VLOOKUP($S$168,'TAR FIN'!$A$1:$O$103,15,0)),0,VLOOKUP($S$168,'TAR FIN'!$A$1:$O$103,15,0))</f>
        <v>18.920000000000002</v>
      </c>
      <c r="W168" s="6">
        <f>IF(ISERROR(VLOOKUP($T$168,'TAR FIN'!$A$1:$O$103,15,0)),0,VLOOKUP($T$168,'TAR FIN'!$A$1:$O$103,15,0))</f>
        <v>0</v>
      </c>
      <c r="X168" s="6">
        <f>IF(ISERROR(VLOOKUP($U$168,'TAR FIN'!$A$1:$O$103,15,0)),0,VLOOKUP($U$168,'TAR FIN'!$A$1:$O$103,15,0))</f>
        <v>0</v>
      </c>
      <c r="Y168" s="6">
        <f ca="1">('TUSD BE'!$AM$22+'TUSD BF_350'!$AM$22+'TUSD CVA'!$AM$22)*1</f>
        <v>21.369338625624472</v>
      </c>
      <c r="Z168" s="6"/>
      <c r="AA168" s="6"/>
      <c r="AB168" s="6">
        <f>$K$168*$V$168</f>
        <v>34415.480000000003</v>
      </c>
      <c r="AC168" s="6">
        <f>$M$168*$W$168</f>
        <v>0</v>
      </c>
      <c r="AD168" s="6">
        <f>$O$168*$X$168</f>
        <v>0</v>
      </c>
      <c r="AE168" s="6">
        <f ca="1">$K$168*$Y$168</f>
        <v>38870.826960010912</v>
      </c>
      <c r="AF168" s="6">
        <f>$M$168*$Z$168</f>
        <v>0</v>
      </c>
      <c r="AG168" s="6">
        <f>$O$168*$AA$168</f>
        <v>0</v>
      </c>
    </row>
    <row r="169" spans="1:33" ht="11.25" customHeight="1" x14ac:dyDescent="0.3">
      <c r="A169" s="4" t="s">
        <v>28</v>
      </c>
      <c r="B169" s="4" t="s">
        <v>39</v>
      </c>
      <c r="C169" s="4" t="s">
        <v>40</v>
      </c>
      <c r="D169" s="4" t="s">
        <v>41</v>
      </c>
      <c r="E169" s="4" t="s">
        <v>25</v>
      </c>
      <c r="F169" s="4" t="s">
        <v>25</v>
      </c>
      <c r="G169" s="4" t="s">
        <v>25</v>
      </c>
      <c r="H169" s="4" t="s">
        <v>25</v>
      </c>
      <c r="I169" s="5">
        <v>44682</v>
      </c>
      <c r="J169" s="6">
        <v>507</v>
      </c>
      <c r="K169" s="6">
        <v>507</v>
      </c>
      <c r="L169" s="6">
        <v>0</v>
      </c>
      <c r="M169" s="6">
        <v>0</v>
      </c>
      <c r="N169" s="6">
        <v>0</v>
      </c>
      <c r="O169" s="6">
        <v>0</v>
      </c>
      <c r="P169" s="6">
        <v>4</v>
      </c>
      <c r="Q169" s="4" t="s">
        <v>26</v>
      </c>
      <c r="R169" s="4">
        <v>0</v>
      </c>
      <c r="S169" s="6">
        <v>13</v>
      </c>
      <c r="T169" s="6">
        <v>0</v>
      </c>
      <c r="U169" s="6">
        <v>0</v>
      </c>
      <c r="V169" s="6">
        <f>IF(ISERROR(VLOOKUP($S$169,'TAR FIN'!$A$1:$O$103,15,0)),0,VLOOKUP($S$169,'TAR FIN'!$A$1:$O$103,15,0))</f>
        <v>18.920000000000002</v>
      </c>
      <c r="W169" s="6">
        <f>IF(ISERROR(VLOOKUP($T$169,'TAR FIN'!$A$1:$O$103,15,0)),0,VLOOKUP($T$169,'TAR FIN'!$A$1:$O$103,15,0))</f>
        <v>0</v>
      </c>
      <c r="X169" s="6">
        <f>IF(ISERROR(VLOOKUP($U$169,'TAR FIN'!$A$1:$O$103,15,0)),0,VLOOKUP($U$169,'TAR FIN'!$A$1:$O$103,15,0))</f>
        <v>0</v>
      </c>
      <c r="Y169" s="6">
        <f ca="1">('TUSD BE'!$AM$22+'TUSD BF_350'!$AM$22+'TUSD CVA'!$AM$22)*1</f>
        <v>21.369338625624472</v>
      </c>
      <c r="Z169" s="6"/>
      <c r="AA169" s="6"/>
      <c r="AB169" s="6">
        <f>$K$169*$V$169</f>
        <v>9592.44</v>
      </c>
      <c r="AC169" s="6">
        <f>$M$169*$W$169</f>
        <v>0</v>
      </c>
      <c r="AD169" s="6">
        <f>$O$169*$X$169</f>
        <v>0</v>
      </c>
      <c r="AE169" s="6">
        <f ca="1">$K$169*$Y$169</f>
        <v>10834.254683191608</v>
      </c>
      <c r="AF169" s="6">
        <f>$M$169*$Z$169</f>
        <v>0</v>
      </c>
      <c r="AG169" s="6">
        <f>$O$169*$AA$169</f>
        <v>0</v>
      </c>
    </row>
    <row r="170" spans="1:33" ht="11.25" customHeight="1" x14ac:dyDescent="0.3">
      <c r="A170" s="4" t="s">
        <v>21</v>
      </c>
      <c r="B170" s="4" t="s">
        <v>39</v>
      </c>
      <c r="C170" s="4" t="s">
        <v>40</v>
      </c>
      <c r="D170" s="4" t="s">
        <v>41</v>
      </c>
      <c r="E170" s="4" t="s">
        <v>25</v>
      </c>
      <c r="F170" s="4" t="s">
        <v>25</v>
      </c>
      <c r="G170" s="4" t="s">
        <v>25</v>
      </c>
      <c r="H170" s="4" t="s">
        <v>25</v>
      </c>
      <c r="I170" s="5">
        <v>44713</v>
      </c>
      <c r="J170" s="6">
        <v>1811</v>
      </c>
      <c r="K170" s="6">
        <v>1811</v>
      </c>
      <c r="L170" s="6">
        <v>0</v>
      </c>
      <c r="M170" s="6">
        <v>0</v>
      </c>
      <c r="N170" s="6">
        <v>0</v>
      </c>
      <c r="O170" s="6">
        <v>0</v>
      </c>
      <c r="P170" s="6">
        <v>23</v>
      </c>
      <c r="Q170" s="4" t="s">
        <v>26</v>
      </c>
      <c r="R170" s="4">
        <v>0</v>
      </c>
      <c r="S170" s="6">
        <v>13</v>
      </c>
      <c r="T170" s="6">
        <v>0</v>
      </c>
      <c r="U170" s="6">
        <v>0</v>
      </c>
      <c r="V170" s="6">
        <f>IF(ISERROR(VLOOKUP($S$170,'TAR FIN'!$A$1:$O$103,15,0)),0,VLOOKUP($S$170,'TAR FIN'!$A$1:$O$103,15,0))</f>
        <v>18.920000000000002</v>
      </c>
      <c r="W170" s="6">
        <f>IF(ISERROR(VLOOKUP($T$170,'TAR FIN'!$A$1:$O$103,15,0)),0,VLOOKUP($T$170,'TAR FIN'!$A$1:$O$103,15,0))</f>
        <v>0</v>
      </c>
      <c r="X170" s="6">
        <f>IF(ISERROR(VLOOKUP($U$170,'TAR FIN'!$A$1:$O$103,15,0)),0,VLOOKUP($U$170,'TAR FIN'!$A$1:$O$103,15,0))</f>
        <v>0</v>
      </c>
      <c r="Y170" s="6">
        <f ca="1">('TUSD BE'!$AM$22+'TUSD BF_350'!$AM$22+'TUSD CVA'!$AM$22)*1</f>
        <v>21.369338625624472</v>
      </c>
      <c r="Z170" s="6"/>
      <c r="AA170" s="6"/>
      <c r="AB170" s="6">
        <f>$K$170*$V$170</f>
        <v>34264.120000000003</v>
      </c>
      <c r="AC170" s="6">
        <f>$M$170*$W$170</f>
        <v>0</v>
      </c>
      <c r="AD170" s="6">
        <f>$O$170*$X$170</f>
        <v>0</v>
      </c>
      <c r="AE170" s="6">
        <f ca="1">$K$170*$Y$170</f>
        <v>38699.872251005916</v>
      </c>
      <c r="AF170" s="6">
        <f>$M$170*$Z$170</f>
        <v>0</v>
      </c>
      <c r="AG170" s="6">
        <f>$O$170*$AA$170</f>
        <v>0</v>
      </c>
    </row>
    <row r="171" spans="1:33" ht="11.25" customHeight="1" x14ac:dyDescent="0.3">
      <c r="A171" s="4" t="s">
        <v>28</v>
      </c>
      <c r="B171" s="4" t="s">
        <v>39</v>
      </c>
      <c r="C171" s="4" t="s">
        <v>40</v>
      </c>
      <c r="D171" s="4" t="s">
        <v>41</v>
      </c>
      <c r="E171" s="4" t="s">
        <v>25</v>
      </c>
      <c r="F171" s="4" t="s">
        <v>25</v>
      </c>
      <c r="G171" s="4" t="s">
        <v>25</v>
      </c>
      <c r="H171" s="4" t="s">
        <v>25</v>
      </c>
      <c r="I171" s="5">
        <v>44713</v>
      </c>
      <c r="J171" s="6">
        <v>507</v>
      </c>
      <c r="K171" s="6">
        <v>507</v>
      </c>
      <c r="L171" s="6">
        <v>0</v>
      </c>
      <c r="M171" s="6">
        <v>0</v>
      </c>
      <c r="N171" s="6">
        <v>0</v>
      </c>
      <c r="O171" s="6">
        <v>0</v>
      </c>
      <c r="P171" s="6">
        <v>4</v>
      </c>
      <c r="Q171" s="4" t="s">
        <v>26</v>
      </c>
      <c r="R171" s="4">
        <v>0</v>
      </c>
      <c r="S171" s="6">
        <v>13</v>
      </c>
      <c r="T171" s="6">
        <v>0</v>
      </c>
      <c r="U171" s="6">
        <v>0</v>
      </c>
      <c r="V171" s="6">
        <f>IF(ISERROR(VLOOKUP($S$171,'TAR FIN'!$A$1:$O$103,15,0)),0,VLOOKUP($S$171,'TAR FIN'!$A$1:$O$103,15,0))</f>
        <v>18.920000000000002</v>
      </c>
      <c r="W171" s="6">
        <f>IF(ISERROR(VLOOKUP($T$171,'TAR FIN'!$A$1:$O$103,15,0)),0,VLOOKUP($T$171,'TAR FIN'!$A$1:$O$103,15,0))</f>
        <v>0</v>
      </c>
      <c r="X171" s="6">
        <f>IF(ISERROR(VLOOKUP($U$171,'TAR FIN'!$A$1:$O$103,15,0)),0,VLOOKUP($U$171,'TAR FIN'!$A$1:$O$103,15,0))</f>
        <v>0</v>
      </c>
      <c r="Y171" s="6">
        <f ca="1">('TUSD BE'!$AM$22+'TUSD BF_350'!$AM$22+'TUSD CVA'!$AM$22)*1</f>
        <v>21.369338625624472</v>
      </c>
      <c r="Z171" s="6"/>
      <c r="AA171" s="6"/>
      <c r="AB171" s="6">
        <f>$K$171*$V$171</f>
        <v>9592.44</v>
      </c>
      <c r="AC171" s="6">
        <f>$M$171*$W$171</f>
        <v>0</v>
      </c>
      <c r="AD171" s="6">
        <f>$O$171*$X$171</f>
        <v>0</v>
      </c>
      <c r="AE171" s="6">
        <f ca="1">$K$171*$Y$171</f>
        <v>10834.254683191608</v>
      </c>
      <c r="AF171" s="6">
        <f>$M$171*$Z$171</f>
        <v>0</v>
      </c>
      <c r="AG171" s="6">
        <f>$O$171*$AA$171</f>
        <v>0</v>
      </c>
    </row>
    <row r="172" spans="1:33" ht="11.25" customHeight="1" x14ac:dyDescent="0.3">
      <c r="A172" s="4" t="s">
        <v>21</v>
      </c>
      <c r="B172" s="4" t="s">
        <v>39</v>
      </c>
      <c r="C172" s="4" t="s">
        <v>40</v>
      </c>
      <c r="D172" s="4" t="s">
        <v>41</v>
      </c>
      <c r="E172" s="4" t="s">
        <v>25</v>
      </c>
      <c r="F172" s="4" t="s">
        <v>25</v>
      </c>
      <c r="G172" s="4" t="s">
        <v>25</v>
      </c>
      <c r="H172" s="4" t="s">
        <v>25</v>
      </c>
      <c r="I172" s="5">
        <v>44743</v>
      </c>
      <c r="J172" s="6">
        <v>1647</v>
      </c>
      <c r="K172" s="6">
        <v>1647</v>
      </c>
      <c r="L172" s="6">
        <v>0</v>
      </c>
      <c r="M172" s="6">
        <v>0</v>
      </c>
      <c r="N172" s="6">
        <v>0</v>
      </c>
      <c r="O172" s="6">
        <v>0</v>
      </c>
      <c r="P172" s="6">
        <v>22</v>
      </c>
      <c r="Q172" s="4" t="s">
        <v>26</v>
      </c>
      <c r="R172" s="4">
        <v>0</v>
      </c>
      <c r="S172" s="6">
        <v>13</v>
      </c>
      <c r="T172" s="6">
        <v>0</v>
      </c>
      <c r="U172" s="6">
        <v>0</v>
      </c>
      <c r="V172" s="6">
        <f>IF(ISERROR(VLOOKUP($S$172,'TAR FIN'!$A$1:$O$103,15,0)),0,VLOOKUP($S$172,'TAR FIN'!$A$1:$O$103,15,0))</f>
        <v>18.920000000000002</v>
      </c>
      <c r="W172" s="6">
        <f>IF(ISERROR(VLOOKUP($T$172,'TAR FIN'!$A$1:$O$103,15,0)),0,VLOOKUP($T$172,'TAR FIN'!$A$1:$O$103,15,0))</f>
        <v>0</v>
      </c>
      <c r="X172" s="6">
        <f>IF(ISERROR(VLOOKUP($U$172,'TAR FIN'!$A$1:$O$103,15,0)),0,VLOOKUP($U$172,'TAR FIN'!$A$1:$O$103,15,0))</f>
        <v>0</v>
      </c>
      <c r="Y172" s="6">
        <f ca="1">('TUSD BE'!$AM$22+'TUSD BF_350'!$AM$22+'TUSD CVA'!$AM$22)*1</f>
        <v>21.369338625624472</v>
      </c>
      <c r="Z172" s="6"/>
      <c r="AA172" s="6"/>
      <c r="AB172" s="6">
        <f>$K$172*$V$172</f>
        <v>31161.24</v>
      </c>
      <c r="AC172" s="6">
        <f>$M$172*$W$172</f>
        <v>0</v>
      </c>
      <c r="AD172" s="6">
        <f>$O$172*$X$172</f>
        <v>0</v>
      </c>
      <c r="AE172" s="6">
        <f ca="1">$K$172*$Y$172</f>
        <v>35195.300716403508</v>
      </c>
      <c r="AF172" s="6">
        <f>$M$172*$Z$172</f>
        <v>0</v>
      </c>
      <c r="AG172" s="6">
        <f>$O$172*$AA$172</f>
        <v>0</v>
      </c>
    </row>
    <row r="173" spans="1:33" ht="11.25" customHeight="1" x14ac:dyDescent="0.3">
      <c r="A173" s="4" t="s">
        <v>28</v>
      </c>
      <c r="B173" s="4" t="s">
        <v>39</v>
      </c>
      <c r="C173" s="4" t="s">
        <v>40</v>
      </c>
      <c r="D173" s="4" t="s">
        <v>41</v>
      </c>
      <c r="E173" s="4" t="s">
        <v>25</v>
      </c>
      <c r="F173" s="4" t="s">
        <v>25</v>
      </c>
      <c r="G173" s="4" t="s">
        <v>25</v>
      </c>
      <c r="H173" s="4" t="s">
        <v>25</v>
      </c>
      <c r="I173" s="5">
        <v>44743</v>
      </c>
      <c r="J173" s="6">
        <v>507</v>
      </c>
      <c r="K173" s="6">
        <v>507</v>
      </c>
      <c r="L173" s="6">
        <v>0</v>
      </c>
      <c r="M173" s="6">
        <v>0</v>
      </c>
      <c r="N173" s="6">
        <v>0</v>
      </c>
      <c r="O173" s="6">
        <v>0</v>
      </c>
      <c r="P173" s="6">
        <v>4</v>
      </c>
      <c r="Q173" s="4" t="s">
        <v>26</v>
      </c>
      <c r="R173" s="4">
        <v>0</v>
      </c>
      <c r="S173" s="6">
        <v>13</v>
      </c>
      <c r="T173" s="6">
        <v>0</v>
      </c>
      <c r="U173" s="6">
        <v>0</v>
      </c>
      <c r="V173" s="6">
        <f>IF(ISERROR(VLOOKUP($S$173,'TAR FIN'!$A$1:$O$103,15,0)),0,VLOOKUP($S$173,'TAR FIN'!$A$1:$O$103,15,0))</f>
        <v>18.920000000000002</v>
      </c>
      <c r="W173" s="6">
        <f>IF(ISERROR(VLOOKUP($T$173,'TAR FIN'!$A$1:$O$103,15,0)),0,VLOOKUP($T$173,'TAR FIN'!$A$1:$O$103,15,0))</f>
        <v>0</v>
      </c>
      <c r="X173" s="6">
        <f>IF(ISERROR(VLOOKUP($U$173,'TAR FIN'!$A$1:$O$103,15,0)),0,VLOOKUP($U$173,'TAR FIN'!$A$1:$O$103,15,0))</f>
        <v>0</v>
      </c>
      <c r="Y173" s="6">
        <f ca="1">('TUSD BE'!$AM$22+'TUSD BF_350'!$AM$22+'TUSD CVA'!$AM$22)*1</f>
        <v>21.369338625624472</v>
      </c>
      <c r="Z173" s="6"/>
      <c r="AA173" s="6"/>
      <c r="AB173" s="6">
        <f>$K$173*$V$173</f>
        <v>9592.44</v>
      </c>
      <c r="AC173" s="6">
        <f>$M$173*$W$173</f>
        <v>0</v>
      </c>
      <c r="AD173" s="6">
        <f>$O$173*$X$173</f>
        <v>0</v>
      </c>
      <c r="AE173" s="6">
        <f ca="1">$K$173*$Y$173</f>
        <v>10834.254683191608</v>
      </c>
      <c r="AF173" s="6">
        <f>$M$173*$Z$173</f>
        <v>0</v>
      </c>
      <c r="AG173" s="6">
        <f>$O$173*$AA$173</f>
        <v>0</v>
      </c>
    </row>
    <row r="174" spans="1:33" ht="11.25" customHeight="1" x14ac:dyDescent="0.3">
      <c r="A174" s="4" t="s">
        <v>21</v>
      </c>
      <c r="B174" s="4" t="s">
        <v>39</v>
      </c>
      <c r="C174" s="4" t="s">
        <v>40</v>
      </c>
      <c r="D174" s="4" t="s">
        <v>41</v>
      </c>
      <c r="E174" s="4" t="s">
        <v>25</v>
      </c>
      <c r="F174" s="4" t="s">
        <v>25</v>
      </c>
      <c r="G174" s="4" t="s">
        <v>25</v>
      </c>
      <c r="H174" s="4" t="s">
        <v>25</v>
      </c>
      <c r="I174" s="5">
        <v>44774</v>
      </c>
      <c r="J174" s="6">
        <v>1665</v>
      </c>
      <c r="K174" s="6">
        <v>1665</v>
      </c>
      <c r="L174" s="6">
        <v>0</v>
      </c>
      <c r="M174" s="6">
        <v>0</v>
      </c>
      <c r="N174" s="6">
        <v>0</v>
      </c>
      <c r="O174" s="6">
        <v>0</v>
      </c>
      <c r="P174" s="6">
        <v>22</v>
      </c>
      <c r="Q174" s="4" t="s">
        <v>26</v>
      </c>
      <c r="R174" s="4">
        <v>0</v>
      </c>
      <c r="S174" s="6">
        <v>13</v>
      </c>
      <c r="T174" s="6">
        <v>0</v>
      </c>
      <c r="U174" s="6">
        <v>0</v>
      </c>
      <c r="V174" s="6">
        <f>IF(ISERROR(VLOOKUP($S$174,'TAR FIN'!$A$1:$O$103,15,0)),0,VLOOKUP($S$174,'TAR FIN'!$A$1:$O$103,15,0))</f>
        <v>18.920000000000002</v>
      </c>
      <c r="W174" s="6">
        <f>IF(ISERROR(VLOOKUP($T$174,'TAR FIN'!$A$1:$O$103,15,0)),0,VLOOKUP($T$174,'TAR FIN'!$A$1:$O$103,15,0))</f>
        <v>0</v>
      </c>
      <c r="X174" s="6">
        <f>IF(ISERROR(VLOOKUP($U$174,'TAR FIN'!$A$1:$O$103,15,0)),0,VLOOKUP($U$174,'TAR FIN'!$A$1:$O$103,15,0))</f>
        <v>0</v>
      </c>
      <c r="Y174" s="6">
        <f ca="1">('TUSD BE'!$AM$22+'TUSD BF_350'!$AM$22+'TUSD CVA'!$AM$22)*1</f>
        <v>21.369338625624472</v>
      </c>
      <c r="Z174" s="6"/>
      <c r="AA174" s="6"/>
      <c r="AB174" s="6">
        <f>$K$174*$V$174</f>
        <v>31501.800000000003</v>
      </c>
      <c r="AC174" s="6">
        <f>$M$174*$W$174</f>
        <v>0</v>
      </c>
      <c r="AD174" s="6">
        <f>$O$174*$X$174</f>
        <v>0</v>
      </c>
      <c r="AE174" s="6">
        <f ca="1">$K$174*$Y$174</f>
        <v>35579.948811664748</v>
      </c>
      <c r="AF174" s="6">
        <f>$M$174*$Z$174</f>
        <v>0</v>
      </c>
      <c r="AG174" s="6">
        <f>$O$174*$AA$174</f>
        <v>0</v>
      </c>
    </row>
    <row r="175" spans="1:33" ht="11.25" customHeight="1" x14ac:dyDescent="0.3">
      <c r="A175" s="4" t="s">
        <v>28</v>
      </c>
      <c r="B175" s="4" t="s">
        <v>39</v>
      </c>
      <c r="C175" s="4" t="s">
        <v>40</v>
      </c>
      <c r="D175" s="4" t="s">
        <v>41</v>
      </c>
      <c r="E175" s="4" t="s">
        <v>25</v>
      </c>
      <c r="F175" s="4" t="s">
        <v>25</v>
      </c>
      <c r="G175" s="4" t="s">
        <v>25</v>
      </c>
      <c r="H175" s="4" t="s">
        <v>25</v>
      </c>
      <c r="I175" s="5">
        <v>44774</v>
      </c>
      <c r="J175" s="6">
        <v>507</v>
      </c>
      <c r="K175" s="6">
        <v>507</v>
      </c>
      <c r="L175" s="6">
        <v>0</v>
      </c>
      <c r="M175" s="6">
        <v>0</v>
      </c>
      <c r="N175" s="6">
        <v>0</v>
      </c>
      <c r="O175" s="6">
        <v>0</v>
      </c>
      <c r="P175" s="6">
        <v>4</v>
      </c>
      <c r="Q175" s="4" t="s">
        <v>26</v>
      </c>
      <c r="R175" s="4">
        <v>0</v>
      </c>
      <c r="S175" s="6">
        <v>13</v>
      </c>
      <c r="T175" s="6">
        <v>0</v>
      </c>
      <c r="U175" s="6">
        <v>0</v>
      </c>
      <c r="V175" s="6">
        <f>IF(ISERROR(VLOOKUP($S$175,'TAR FIN'!$A$1:$O$103,15,0)),0,VLOOKUP($S$175,'TAR FIN'!$A$1:$O$103,15,0))</f>
        <v>18.920000000000002</v>
      </c>
      <c r="W175" s="6">
        <f>IF(ISERROR(VLOOKUP($T$175,'TAR FIN'!$A$1:$O$103,15,0)),0,VLOOKUP($T$175,'TAR FIN'!$A$1:$O$103,15,0))</f>
        <v>0</v>
      </c>
      <c r="X175" s="6">
        <f>IF(ISERROR(VLOOKUP($U$175,'TAR FIN'!$A$1:$O$103,15,0)),0,VLOOKUP($U$175,'TAR FIN'!$A$1:$O$103,15,0))</f>
        <v>0</v>
      </c>
      <c r="Y175" s="6">
        <f ca="1">('TUSD BE'!$AM$22+'TUSD BF_350'!$AM$22+'TUSD CVA'!$AM$22)*1</f>
        <v>21.369338625624472</v>
      </c>
      <c r="Z175" s="6"/>
      <c r="AA175" s="6"/>
      <c r="AB175" s="6">
        <f>$K$175*$V$175</f>
        <v>9592.44</v>
      </c>
      <c r="AC175" s="6">
        <f>$M$175*$W$175</f>
        <v>0</v>
      </c>
      <c r="AD175" s="6">
        <f>$O$175*$X$175</f>
        <v>0</v>
      </c>
      <c r="AE175" s="6">
        <f ca="1">$K$175*$Y$175</f>
        <v>10834.254683191608</v>
      </c>
      <c r="AF175" s="6">
        <f>$M$175*$Z$175</f>
        <v>0</v>
      </c>
      <c r="AG175" s="6">
        <f>$O$175*$AA$175</f>
        <v>0</v>
      </c>
    </row>
    <row r="176" spans="1:33" ht="11.25" customHeight="1" x14ac:dyDescent="0.3">
      <c r="A176" s="4" t="s">
        <v>21</v>
      </c>
      <c r="B176" s="4" t="s">
        <v>39</v>
      </c>
      <c r="C176" s="4" t="s">
        <v>40</v>
      </c>
      <c r="D176" s="4" t="s">
        <v>41</v>
      </c>
      <c r="E176" s="4" t="s">
        <v>25</v>
      </c>
      <c r="F176" s="4" t="s">
        <v>25</v>
      </c>
      <c r="G176" s="4" t="s">
        <v>25</v>
      </c>
      <c r="H176" s="4" t="s">
        <v>25</v>
      </c>
      <c r="I176" s="5">
        <v>44805</v>
      </c>
      <c r="J176" s="6">
        <v>1708</v>
      </c>
      <c r="K176" s="6">
        <v>1708</v>
      </c>
      <c r="L176" s="6">
        <v>0</v>
      </c>
      <c r="M176" s="6">
        <v>0</v>
      </c>
      <c r="N176" s="6">
        <v>0</v>
      </c>
      <c r="O176" s="6">
        <v>0</v>
      </c>
      <c r="P176" s="6">
        <v>22</v>
      </c>
      <c r="Q176" s="4" t="s">
        <v>26</v>
      </c>
      <c r="R176" s="4">
        <v>0</v>
      </c>
      <c r="S176" s="6">
        <v>13</v>
      </c>
      <c r="T176" s="6">
        <v>0</v>
      </c>
      <c r="U176" s="6">
        <v>0</v>
      </c>
      <c r="V176" s="6">
        <f>IF(ISERROR(VLOOKUP($S$176,'TAR FIN'!$A$1:$O$103,15,0)),0,VLOOKUP($S$176,'TAR FIN'!$A$1:$O$103,15,0))</f>
        <v>18.920000000000002</v>
      </c>
      <c r="W176" s="6">
        <f>IF(ISERROR(VLOOKUP($T$176,'TAR FIN'!$A$1:$O$103,15,0)),0,VLOOKUP($T$176,'TAR FIN'!$A$1:$O$103,15,0))</f>
        <v>0</v>
      </c>
      <c r="X176" s="6">
        <f>IF(ISERROR(VLOOKUP($U$176,'TAR FIN'!$A$1:$O$103,15,0)),0,VLOOKUP($U$176,'TAR FIN'!$A$1:$O$103,15,0))</f>
        <v>0</v>
      </c>
      <c r="Y176" s="6">
        <f ca="1">('TUSD BE'!$AM$22+'TUSD BF_350'!$AM$22+'TUSD CVA'!$AM$22)*1</f>
        <v>21.369338625624472</v>
      </c>
      <c r="Z176" s="6"/>
      <c r="AA176" s="6"/>
      <c r="AB176" s="6">
        <f>$K$176*$V$176</f>
        <v>32315.360000000004</v>
      </c>
      <c r="AC176" s="6">
        <f>$M$176*$W$176</f>
        <v>0</v>
      </c>
      <c r="AD176" s="6">
        <f>$O$176*$X$176</f>
        <v>0</v>
      </c>
      <c r="AE176" s="6">
        <f ca="1">$K$176*$Y$176</f>
        <v>36498.830372566597</v>
      </c>
      <c r="AF176" s="6">
        <f>$M$176*$Z$176</f>
        <v>0</v>
      </c>
      <c r="AG176" s="6">
        <f>$O$176*$AA$176</f>
        <v>0</v>
      </c>
    </row>
    <row r="177" spans="1:33" ht="11.25" customHeight="1" x14ac:dyDescent="0.3">
      <c r="A177" s="4" t="s">
        <v>28</v>
      </c>
      <c r="B177" s="4" t="s">
        <v>39</v>
      </c>
      <c r="C177" s="4" t="s">
        <v>40</v>
      </c>
      <c r="D177" s="4" t="s">
        <v>41</v>
      </c>
      <c r="E177" s="4" t="s">
        <v>25</v>
      </c>
      <c r="F177" s="4" t="s">
        <v>25</v>
      </c>
      <c r="G177" s="4" t="s">
        <v>25</v>
      </c>
      <c r="H177" s="4" t="s">
        <v>25</v>
      </c>
      <c r="I177" s="5">
        <v>44805</v>
      </c>
      <c r="J177" s="6">
        <v>507</v>
      </c>
      <c r="K177" s="6">
        <v>507</v>
      </c>
      <c r="L177" s="6">
        <v>0</v>
      </c>
      <c r="M177" s="6">
        <v>0</v>
      </c>
      <c r="N177" s="6">
        <v>0</v>
      </c>
      <c r="O177" s="6">
        <v>0</v>
      </c>
      <c r="P177" s="6">
        <v>4</v>
      </c>
      <c r="Q177" s="4" t="s">
        <v>26</v>
      </c>
      <c r="R177" s="4">
        <v>0</v>
      </c>
      <c r="S177" s="6">
        <v>13</v>
      </c>
      <c r="T177" s="6">
        <v>0</v>
      </c>
      <c r="U177" s="6">
        <v>0</v>
      </c>
      <c r="V177" s="6">
        <f>IF(ISERROR(VLOOKUP($S$177,'TAR FIN'!$A$1:$O$103,15,0)),0,VLOOKUP($S$177,'TAR FIN'!$A$1:$O$103,15,0))</f>
        <v>18.920000000000002</v>
      </c>
      <c r="W177" s="6">
        <f>IF(ISERROR(VLOOKUP($T$177,'TAR FIN'!$A$1:$O$103,15,0)),0,VLOOKUP($T$177,'TAR FIN'!$A$1:$O$103,15,0))</f>
        <v>0</v>
      </c>
      <c r="X177" s="6">
        <f>IF(ISERROR(VLOOKUP($U$177,'TAR FIN'!$A$1:$O$103,15,0)),0,VLOOKUP($U$177,'TAR FIN'!$A$1:$O$103,15,0))</f>
        <v>0</v>
      </c>
      <c r="Y177" s="6">
        <f ca="1">('TUSD BE'!$AM$22+'TUSD BF_350'!$AM$22+'TUSD CVA'!$AM$22)*1</f>
        <v>21.369338625624472</v>
      </c>
      <c r="Z177" s="6"/>
      <c r="AA177" s="6"/>
      <c r="AB177" s="6">
        <f>$K$177*$V$177</f>
        <v>9592.44</v>
      </c>
      <c r="AC177" s="6">
        <f>$M$177*$W$177</f>
        <v>0</v>
      </c>
      <c r="AD177" s="6">
        <f>$O$177*$X$177</f>
        <v>0</v>
      </c>
      <c r="AE177" s="6">
        <f ca="1">$K$177*$Y$177</f>
        <v>10834.254683191608</v>
      </c>
      <c r="AF177" s="6">
        <f>$M$177*$Z$177</f>
        <v>0</v>
      </c>
      <c r="AG177" s="6">
        <f>$O$177*$AA$177</f>
        <v>0</v>
      </c>
    </row>
    <row r="178" spans="1:33" ht="11.25" customHeight="1" x14ac:dyDescent="0.3">
      <c r="A178" s="4" t="s">
        <v>57</v>
      </c>
      <c r="B178" s="4" t="s">
        <v>39</v>
      </c>
      <c r="C178" s="4" t="s">
        <v>40</v>
      </c>
      <c r="D178" s="4" t="s">
        <v>41</v>
      </c>
      <c r="E178" s="4" t="s">
        <v>25</v>
      </c>
      <c r="F178" s="4" t="s">
        <v>25</v>
      </c>
      <c r="G178" s="4" t="s">
        <v>25</v>
      </c>
      <c r="H178" s="4" t="s">
        <v>25</v>
      </c>
      <c r="I178" s="5">
        <v>44835</v>
      </c>
      <c r="J178" s="6">
        <v>1708</v>
      </c>
      <c r="K178" s="6">
        <v>1708</v>
      </c>
      <c r="L178" s="6">
        <v>0</v>
      </c>
      <c r="M178" s="6">
        <v>0</v>
      </c>
      <c r="N178" s="6">
        <v>0</v>
      </c>
      <c r="O178" s="6">
        <v>0</v>
      </c>
      <c r="P178" s="6">
        <v>22</v>
      </c>
      <c r="Q178" s="4" t="s">
        <v>26</v>
      </c>
      <c r="R178" s="4">
        <v>0</v>
      </c>
      <c r="S178" s="6">
        <v>13</v>
      </c>
      <c r="T178" s="6">
        <v>0</v>
      </c>
      <c r="U178" s="6">
        <v>0</v>
      </c>
      <c r="V178" s="6">
        <f>IF(ISERROR(VLOOKUP($S$178,'TAR FIN'!$A$1:$O$103,15,0)),0,VLOOKUP($S$178,'TAR FIN'!$A$1:$O$103,15,0))</f>
        <v>18.920000000000002</v>
      </c>
      <c r="W178" s="6">
        <f>IF(ISERROR(VLOOKUP($T$178,'TAR FIN'!$A$1:$O$103,15,0)),0,VLOOKUP($T$178,'TAR FIN'!$A$1:$O$103,15,0))</f>
        <v>0</v>
      </c>
      <c r="X178" s="6">
        <f>IF(ISERROR(VLOOKUP($U$178,'TAR FIN'!$A$1:$O$103,15,0)),0,VLOOKUP($U$178,'TAR FIN'!$A$1:$O$103,15,0))</f>
        <v>0</v>
      </c>
      <c r="Y178" s="6">
        <f ca="1">('TUSD BE'!$AM$22+'TUSD BF_350'!$AM$22+'TUSD CVA'!$AM$22)*1</f>
        <v>21.369338625624472</v>
      </c>
      <c r="Z178" s="6"/>
      <c r="AA178" s="6"/>
      <c r="AB178" s="6">
        <f>$K$178*$V$178</f>
        <v>32315.360000000004</v>
      </c>
      <c r="AC178" s="6">
        <f>$M$178*$W$178</f>
        <v>0</v>
      </c>
      <c r="AD178" s="6">
        <f>$O$178*$X$178</f>
        <v>0</v>
      </c>
      <c r="AE178" s="6">
        <f ca="1">$K$178*$Y$178</f>
        <v>36498.830372566597</v>
      </c>
      <c r="AF178" s="6">
        <f>$M$178*$Z$178</f>
        <v>0</v>
      </c>
      <c r="AG178" s="6">
        <f>$O$178*$AA$178</f>
        <v>0</v>
      </c>
    </row>
    <row r="179" spans="1:33" ht="11.25" customHeight="1" x14ac:dyDescent="0.3">
      <c r="A179" s="4" t="s">
        <v>57</v>
      </c>
      <c r="B179" s="4" t="s">
        <v>39</v>
      </c>
      <c r="C179" s="4" t="s">
        <v>40</v>
      </c>
      <c r="D179" s="4" t="s">
        <v>41</v>
      </c>
      <c r="E179" s="4" t="s">
        <v>25</v>
      </c>
      <c r="F179" s="4" t="s">
        <v>25</v>
      </c>
      <c r="G179" s="4" t="s">
        <v>25</v>
      </c>
      <c r="H179" s="4" t="s">
        <v>25</v>
      </c>
      <c r="I179" s="5">
        <v>44835</v>
      </c>
      <c r="J179" s="6">
        <v>507</v>
      </c>
      <c r="K179" s="6">
        <v>507</v>
      </c>
      <c r="L179" s="6">
        <v>0</v>
      </c>
      <c r="M179" s="6">
        <v>0</v>
      </c>
      <c r="N179" s="6">
        <v>0</v>
      </c>
      <c r="O179" s="6">
        <v>0</v>
      </c>
      <c r="P179" s="6">
        <v>4</v>
      </c>
      <c r="Q179" s="4" t="s">
        <v>26</v>
      </c>
      <c r="R179" s="4">
        <v>0</v>
      </c>
      <c r="S179" s="6">
        <v>13</v>
      </c>
      <c r="T179" s="6">
        <v>0</v>
      </c>
      <c r="U179" s="6">
        <v>0</v>
      </c>
      <c r="V179" s="6">
        <f>IF(ISERROR(VLOOKUP($S$179,'TAR FIN'!$A$1:$O$103,15,0)),0,VLOOKUP($S$179,'TAR FIN'!$A$1:$O$103,15,0))</f>
        <v>18.920000000000002</v>
      </c>
      <c r="W179" s="6">
        <f>IF(ISERROR(VLOOKUP($T$179,'TAR FIN'!$A$1:$O$103,15,0)),0,VLOOKUP($T$179,'TAR FIN'!$A$1:$O$103,15,0))</f>
        <v>0</v>
      </c>
      <c r="X179" s="6">
        <f>IF(ISERROR(VLOOKUP($U$179,'TAR FIN'!$A$1:$O$103,15,0)),0,VLOOKUP($U$179,'TAR FIN'!$A$1:$O$103,15,0))</f>
        <v>0</v>
      </c>
      <c r="Y179" s="6">
        <f ca="1">('TUSD BE'!$AM$22+'TUSD BF_350'!$AM$22+'TUSD CVA'!$AM$22)*1</f>
        <v>21.369338625624472</v>
      </c>
      <c r="Z179" s="6"/>
      <c r="AA179" s="6"/>
      <c r="AB179" s="6">
        <f>$K$179*$V$179</f>
        <v>9592.44</v>
      </c>
      <c r="AC179" s="6">
        <f>$M$179*$W$179</f>
        <v>0</v>
      </c>
      <c r="AD179" s="6">
        <f>$O$179*$X$179</f>
        <v>0</v>
      </c>
      <c r="AE179" s="6">
        <f ca="1">$K$179*$Y$179</f>
        <v>10834.254683191608</v>
      </c>
      <c r="AF179" s="6">
        <f>$M$179*$Z$179</f>
        <v>0</v>
      </c>
      <c r="AG179" s="6">
        <f>$O$179*$AA$179</f>
        <v>0</v>
      </c>
    </row>
    <row r="180" spans="1:33" ht="11.25" customHeight="1" x14ac:dyDescent="0.3">
      <c r="A180" s="4" t="s">
        <v>21</v>
      </c>
      <c r="B180" s="4" t="s">
        <v>39</v>
      </c>
      <c r="C180" s="4" t="s">
        <v>40</v>
      </c>
      <c r="D180" s="4" t="s">
        <v>41</v>
      </c>
      <c r="E180" s="4" t="s">
        <v>25</v>
      </c>
      <c r="F180" s="4" t="s">
        <v>25</v>
      </c>
      <c r="G180" s="4" t="s">
        <v>25</v>
      </c>
      <c r="H180" s="4" t="s">
        <v>34</v>
      </c>
      <c r="I180" s="5">
        <v>44501</v>
      </c>
      <c r="J180" s="6">
        <v>0</v>
      </c>
      <c r="K180" s="6">
        <v>0</v>
      </c>
      <c r="L180" s="6">
        <v>26.192</v>
      </c>
      <c r="M180" s="6">
        <v>26.192</v>
      </c>
      <c r="N180" s="6">
        <v>26.192</v>
      </c>
      <c r="O180" s="6">
        <v>26.192</v>
      </c>
      <c r="P180" s="6">
        <v>0</v>
      </c>
      <c r="Q180" s="4" t="s">
        <v>26</v>
      </c>
      <c r="R180" s="4">
        <v>0</v>
      </c>
      <c r="S180" s="6">
        <v>0</v>
      </c>
      <c r="T180" s="6">
        <v>15</v>
      </c>
      <c r="U180" s="6">
        <v>65</v>
      </c>
      <c r="V180" s="6">
        <f>IF(ISERROR(VLOOKUP($S$180,'TAR FIN'!$A$1:$O$103,15,0)),0,VLOOKUP($S$180,'TAR FIN'!$A$1:$O$103,15,0))</f>
        <v>0</v>
      </c>
      <c r="W180" s="6">
        <f>IF(ISERROR(VLOOKUP($T$180,'TAR FIN'!$A$1:$O$103,15,0)),0,VLOOKUP($T$180,'TAR FIN'!$A$1:$O$103,15,0))</f>
        <v>1195.82</v>
      </c>
      <c r="X180" s="6">
        <f>IF(ISERROR(VLOOKUP($U$180,'TAR FIN'!$A$1:$O$103,15,0)),0,VLOOKUP($U$180,'TAR FIN'!$A$1:$O$103,15,0))</f>
        <v>391.54</v>
      </c>
      <c r="Y180" s="6"/>
      <c r="Z180" s="6">
        <f ca="1">('TUSD BE'!$AM$23+'TUSD BF_350'!$AM$23+'TUSD CVA'!$AM$23)*1</f>
        <v>1385.4977743340116</v>
      </c>
      <c r="AA180" s="6">
        <f ca="1">('TE BE'!$AB$8+'TE BF_350'!$AB$8+'TE CVA'!$AB$8)*1</f>
        <v>361.95264704220779</v>
      </c>
      <c r="AB180" s="6">
        <f>$K$180*$V$180</f>
        <v>0</v>
      </c>
      <c r="AC180" s="6">
        <f>$M$180*$W$180</f>
        <v>31320.917439999997</v>
      </c>
      <c r="AD180" s="6">
        <f>$O$180*$X$180</f>
        <v>10255.215680000001</v>
      </c>
      <c r="AE180" s="6">
        <f>$K$180*$Y$180</f>
        <v>0</v>
      </c>
      <c r="AF180" s="6">
        <f ca="1">$M$180*$Z$180</f>
        <v>36288.957705356435</v>
      </c>
      <c r="AG180" s="6">
        <f ca="1">$O$180*$AA$180</f>
        <v>9480.2637313295072</v>
      </c>
    </row>
    <row r="181" spans="1:33" ht="11.25" customHeight="1" x14ac:dyDescent="0.3">
      <c r="A181" s="4" t="s">
        <v>28</v>
      </c>
      <c r="B181" s="4" t="s">
        <v>39</v>
      </c>
      <c r="C181" s="4" t="s">
        <v>40</v>
      </c>
      <c r="D181" s="4" t="s">
        <v>41</v>
      </c>
      <c r="E181" s="4" t="s">
        <v>25</v>
      </c>
      <c r="F181" s="4" t="s">
        <v>25</v>
      </c>
      <c r="G181" s="4" t="s">
        <v>25</v>
      </c>
      <c r="H181" s="4" t="s">
        <v>34</v>
      </c>
      <c r="I181" s="5">
        <v>44501</v>
      </c>
      <c r="J181" s="6">
        <v>0</v>
      </c>
      <c r="K181" s="6">
        <v>0</v>
      </c>
      <c r="L181" s="6">
        <v>7.835</v>
      </c>
      <c r="M181" s="6">
        <v>7.835</v>
      </c>
      <c r="N181" s="6">
        <v>7.835</v>
      </c>
      <c r="O181" s="6">
        <v>7.835</v>
      </c>
      <c r="P181" s="6">
        <v>0</v>
      </c>
      <c r="Q181" s="4" t="s">
        <v>26</v>
      </c>
      <c r="R181" s="4">
        <v>0</v>
      </c>
      <c r="S181" s="6">
        <v>0</v>
      </c>
      <c r="T181" s="6">
        <v>15</v>
      </c>
      <c r="U181" s="6">
        <v>65</v>
      </c>
      <c r="V181" s="6">
        <f>IF(ISERROR(VLOOKUP($S$181,'TAR FIN'!$A$1:$O$103,15,0)),0,VLOOKUP($S$181,'TAR FIN'!$A$1:$O$103,15,0))</f>
        <v>0</v>
      </c>
      <c r="W181" s="6">
        <f>IF(ISERROR(VLOOKUP($T$181,'TAR FIN'!$A$1:$O$103,15,0)),0,VLOOKUP($T$181,'TAR FIN'!$A$1:$O$103,15,0))</f>
        <v>1195.82</v>
      </c>
      <c r="X181" s="6">
        <f>IF(ISERROR(VLOOKUP($U$181,'TAR FIN'!$A$1:$O$103,15,0)),0,VLOOKUP($U$181,'TAR FIN'!$A$1:$O$103,15,0))</f>
        <v>391.54</v>
      </c>
      <c r="Y181" s="6"/>
      <c r="Z181" s="6">
        <f ca="1">('TUSD BE'!$AM$23+'TUSD BF_350'!$AM$23+'TUSD CVA'!$AM$23)*1</f>
        <v>1385.4977743340116</v>
      </c>
      <c r="AA181" s="6">
        <f ca="1">('TE BE'!$AB$8+'TE BF_350'!$AB$8+'TE CVA'!$AB$8)*1</f>
        <v>361.95264704220779</v>
      </c>
      <c r="AB181" s="6">
        <f>$K$181*$V$181</f>
        <v>0</v>
      </c>
      <c r="AC181" s="6">
        <f>$M$181*$W$181</f>
        <v>9369.2497000000003</v>
      </c>
      <c r="AD181" s="6">
        <f>$O$181*$X$181</f>
        <v>3067.7159000000001</v>
      </c>
      <c r="AE181" s="6">
        <f>$K$181*$Y$181</f>
        <v>0</v>
      </c>
      <c r="AF181" s="6">
        <f ca="1">$M$181*$Z$181</f>
        <v>10855.375061906982</v>
      </c>
      <c r="AG181" s="6">
        <f ca="1">$O$181*$AA$181</f>
        <v>2835.8989895756981</v>
      </c>
    </row>
    <row r="182" spans="1:33" ht="11.25" customHeight="1" x14ac:dyDescent="0.3">
      <c r="A182" s="4" t="s">
        <v>21</v>
      </c>
      <c r="B182" s="4" t="s">
        <v>39</v>
      </c>
      <c r="C182" s="4" t="s">
        <v>40</v>
      </c>
      <c r="D182" s="4" t="s">
        <v>41</v>
      </c>
      <c r="E182" s="4" t="s">
        <v>25</v>
      </c>
      <c r="F182" s="4" t="s">
        <v>25</v>
      </c>
      <c r="G182" s="4" t="s">
        <v>25</v>
      </c>
      <c r="H182" s="4" t="s">
        <v>34</v>
      </c>
      <c r="I182" s="5">
        <v>44531</v>
      </c>
      <c r="J182" s="6">
        <v>0</v>
      </c>
      <c r="K182" s="6">
        <v>0</v>
      </c>
      <c r="L182" s="6">
        <v>25.745999999999999</v>
      </c>
      <c r="M182" s="6">
        <v>25.745999999999999</v>
      </c>
      <c r="N182" s="6">
        <v>25.745999999999999</v>
      </c>
      <c r="O182" s="6">
        <v>25.745999999999999</v>
      </c>
      <c r="P182" s="6">
        <v>0</v>
      </c>
      <c r="Q182" s="4" t="s">
        <v>26</v>
      </c>
      <c r="R182" s="4">
        <v>0</v>
      </c>
      <c r="S182" s="6">
        <v>0</v>
      </c>
      <c r="T182" s="6">
        <v>15</v>
      </c>
      <c r="U182" s="6">
        <v>65</v>
      </c>
      <c r="V182" s="6">
        <f>IF(ISERROR(VLOOKUP($S$182,'TAR FIN'!$A$1:$O$103,15,0)),0,VLOOKUP($S$182,'TAR FIN'!$A$1:$O$103,15,0))</f>
        <v>0</v>
      </c>
      <c r="W182" s="6">
        <f>IF(ISERROR(VLOOKUP($T$182,'TAR FIN'!$A$1:$O$103,15,0)),0,VLOOKUP($T$182,'TAR FIN'!$A$1:$O$103,15,0))</f>
        <v>1195.82</v>
      </c>
      <c r="X182" s="6">
        <f>IF(ISERROR(VLOOKUP($U$182,'TAR FIN'!$A$1:$O$103,15,0)),0,VLOOKUP($U$182,'TAR FIN'!$A$1:$O$103,15,0))</f>
        <v>391.54</v>
      </c>
      <c r="Y182" s="6"/>
      <c r="Z182" s="6">
        <f ca="1">('TUSD BE'!$AM$23+'TUSD BF_350'!$AM$23+'TUSD CVA'!$AM$23)*1</f>
        <v>1385.4977743340116</v>
      </c>
      <c r="AA182" s="6">
        <f ca="1">('TE BE'!$AB$8+'TE BF_350'!$AB$8+'TE CVA'!$AB$8)*1</f>
        <v>361.95264704220779</v>
      </c>
      <c r="AB182" s="6">
        <f>$K$182*$V$182</f>
        <v>0</v>
      </c>
      <c r="AC182" s="6">
        <f>$M$182*$W$182</f>
        <v>30787.581719999998</v>
      </c>
      <c r="AD182" s="6">
        <f>$O$182*$X$182</f>
        <v>10080.58884</v>
      </c>
      <c r="AE182" s="6">
        <f>$K$182*$Y$182</f>
        <v>0</v>
      </c>
      <c r="AF182" s="6">
        <f ca="1">$M$182*$Z$182</f>
        <v>35671.025698003461</v>
      </c>
      <c r="AG182" s="6">
        <f ca="1">$O$182*$AA$182</f>
        <v>9318.8328507486804</v>
      </c>
    </row>
    <row r="183" spans="1:33" ht="11.25" customHeight="1" x14ac:dyDescent="0.3">
      <c r="A183" s="4" t="s">
        <v>28</v>
      </c>
      <c r="B183" s="4" t="s">
        <v>39</v>
      </c>
      <c r="C183" s="4" t="s">
        <v>40</v>
      </c>
      <c r="D183" s="4" t="s">
        <v>41</v>
      </c>
      <c r="E183" s="4" t="s">
        <v>25</v>
      </c>
      <c r="F183" s="4" t="s">
        <v>25</v>
      </c>
      <c r="G183" s="4" t="s">
        <v>25</v>
      </c>
      <c r="H183" s="4" t="s">
        <v>34</v>
      </c>
      <c r="I183" s="5">
        <v>44531</v>
      </c>
      <c r="J183" s="6">
        <v>0</v>
      </c>
      <c r="K183" s="6">
        <v>0</v>
      </c>
      <c r="L183" s="6">
        <v>7.01</v>
      </c>
      <c r="M183" s="6">
        <v>7.01</v>
      </c>
      <c r="N183" s="6">
        <v>7.01</v>
      </c>
      <c r="O183" s="6">
        <v>7.01</v>
      </c>
      <c r="P183" s="6">
        <v>0</v>
      </c>
      <c r="Q183" s="4" t="s">
        <v>26</v>
      </c>
      <c r="R183" s="4">
        <v>0</v>
      </c>
      <c r="S183" s="6">
        <v>0</v>
      </c>
      <c r="T183" s="6">
        <v>15</v>
      </c>
      <c r="U183" s="6">
        <v>65</v>
      </c>
      <c r="V183" s="6">
        <f>IF(ISERROR(VLOOKUP($S$183,'TAR FIN'!$A$1:$O$103,15,0)),0,VLOOKUP($S$183,'TAR FIN'!$A$1:$O$103,15,0))</f>
        <v>0</v>
      </c>
      <c r="W183" s="6">
        <f>IF(ISERROR(VLOOKUP($T$183,'TAR FIN'!$A$1:$O$103,15,0)),0,VLOOKUP($T$183,'TAR FIN'!$A$1:$O$103,15,0))</f>
        <v>1195.82</v>
      </c>
      <c r="X183" s="6">
        <f>IF(ISERROR(VLOOKUP($U$183,'TAR FIN'!$A$1:$O$103,15,0)),0,VLOOKUP($U$183,'TAR FIN'!$A$1:$O$103,15,0))</f>
        <v>391.54</v>
      </c>
      <c r="Y183" s="6"/>
      <c r="Z183" s="6">
        <f ca="1">('TUSD BE'!$AM$23+'TUSD BF_350'!$AM$23+'TUSD CVA'!$AM$23)*1</f>
        <v>1385.4977743340116</v>
      </c>
      <c r="AA183" s="6">
        <f ca="1">('TE BE'!$AB$8+'TE BF_350'!$AB$8+'TE CVA'!$AB$8)*1</f>
        <v>361.95264704220779</v>
      </c>
      <c r="AB183" s="6">
        <f>$K$183*$V$183</f>
        <v>0</v>
      </c>
      <c r="AC183" s="6">
        <f>$M$183*$W$183</f>
        <v>8382.6981999999989</v>
      </c>
      <c r="AD183" s="6">
        <f>$O$183*$X$183</f>
        <v>2744.6954000000001</v>
      </c>
      <c r="AE183" s="6">
        <f>$K$183*$Y$183</f>
        <v>0</v>
      </c>
      <c r="AF183" s="6">
        <f ca="1">$M$183*$Z$183</f>
        <v>9712.3393980814217</v>
      </c>
      <c r="AG183" s="6">
        <f ca="1">$O$183*$AA$183</f>
        <v>2537.2880557658764</v>
      </c>
    </row>
    <row r="184" spans="1:33" ht="11.25" customHeight="1" x14ac:dyDescent="0.3">
      <c r="A184" s="4" t="s">
        <v>21</v>
      </c>
      <c r="B184" s="4" t="s">
        <v>39</v>
      </c>
      <c r="C184" s="4" t="s">
        <v>40</v>
      </c>
      <c r="D184" s="4" t="s">
        <v>41</v>
      </c>
      <c r="E184" s="4" t="s">
        <v>25</v>
      </c>
      <c r="F184" s="4" t="s">
        <v>25</v>
      </c>
      <c r="G184" s="4" t="s">
        <v>25</v>
      </c>
      <c r="H184" s="4" t="s">
        <v>34</v>
      </c>
      <c r="I184" s="5">
        <v>44562</v>
      </c>
      <c r="J184" s="6">
        <v>0</v>
      </c>
      <c r="K184" s="6">
        <v>0</v>
      </c>
      <c r="L184" s="6">
        <v>21.728000000000002</v>
      </c>
      <c r="M184" s="6">
        <v>21.728000000000002</v>
      </c>
      <c r="N184" s="6">
        <v>21.728000000000002</v>
      </c>
      <c r="O184" s="6">
        <v>21.728000000000002</v>
      </c>
      <c r="P184" s="6">
        <v>0</v>
      </c>
      <c r="Q184" s="4" t="s">
        <v>26</v>
      </c>
      <c r="R184" s="4">
        <v>0</v>
      </c>
      <c r="S184" s="6">
        <v>0</v>
      </c>
      <c r="T184" s="6">
        <v>15</v>
      </c>
      <c r="U184" s="6">
        <v>65</v>
      </c>
      <c r="V184" s="6">
        <f>IF(ISERROR(VLOOKUP($S$184,'TAR FIN'!$A$1:$O$103,15,0)),0,VLOOKUP($S$184,'TAR FIN'!$A$1:$O$103,15,0))</f>
        <v>0</v>
      </c>
      <c r="W184" s="6">
        <f>IF(ISERROR(VLOOKUP($T$184,'TAR FIN'!$A$1:$O$103,15,0)),0,VLOOKUP($T$184,'TAR FIN'!$A$1:$O$103,15,0))</f>
        <v>1195.82</v>
      </c>
      <c r="X184" s="6">
        <f>IF(ISERROR(VLOOKUP($U$184,'TAR FIN'!$A$1:$O$103,15,0)),0,VLOOKUP($U$184,'TAR FIN'!$A$1:$O$103,15,0))</f>
        <v>391.54</v>
      </c>
      <c r="Y184" s="6"/>
      <c r="Z184" s="6">
        <f ca="1">('TUSD BE'!$AM$23+'TUSD BF_350'!$AM$23+'TUSD CVA'!$AM$23)*1</f>
        <v>1385.4977743340116</v>
      </c>
      <c r="AA184" s="6">
        <f ca="1">('TE BE'!$AB$8+'TE BF_350'!$AB$8+'TE CVA'!$AB$8)*1</f>
        <v>361.95264704220779</v>
      </c>
      <c r="AB184" s="6">
        <f>$K$184*$V$184</f>
        <v>0</v>
      </c>
      <c r="AC184" s="6">
        <f>$M$184*$W$184</f>
        <v>25982.776959999999</v>
      </c>
      <c r="AD184" s="6">
        <f>$O$184*$X$184</f>
        <v>8507.3811200000018</v>
      </c>
      <c r="AE184" s="6">
        <f>$K$184*$Y$184</f>
        <v>0</v>
      </c>
      <c r="AF184" s="6">
        <f ca="1">$M$184*$Z$184</f>
        <v>30104.095640729407</v>
      </c>
      <c r="AG184" s="6">
        <f ca="1">$O$184*$AA$184</f>
        <v>7864.5071149330915</v>
      </c>
    </row>
    <row r="185" spans="1:33" ht="11.25" customHeight="1" x14ac:dyDescent="0.3">
      <c r="A185" s="4" t="s">
        <v>28</v>
      </c>
      <c r="B185" s="4" t="s">
        <v>39</v>
      </c>
      <c r="C185" s="4" t="s">
        <v>40</v>
      </c>
      <c r="D185" s="4" t="s">
        <v>41</v>
      </c>
      <c r="E185" s="4" t="s">
        <v>25</v>
      </c>
      <c r="F185" s="4" t="s">
        <v>25</v>
      </c>
      <c r="G185" s="4" t="s">
        <v>25</v>
      </c>
      <c r="H185" s="4" t="s">
        <v>34</v>
      </c>
      <c r="I185" s="5">
        <v>44562</v>
      </c>
      <c r="J185" s="6">
        <v>0</v>
      </c>
      <c r="K185" s="6">
        <v>0</v>
      </c>
      <c r="L185" s="6">
        <v>7.5380000000000003</v>
      </c>
      <c r="M185" s="6">
        <v>7.5380000000000003</v>
      </c>
      <c r="N185" s="6">
        <v>7.5380000000000003</v>
      </c>
      <c r="O185" s="6">
        <v>7.5380000000000003</v>
      </c>
      <c r="P185" s="6">
        <v>0</v>
      </c>
      <c r="Q185" s="4" t="s">
        <v>26</v>
      </c>
      <c r="R185" s="4">
        <v>0</v>
      </c>
      <c r="S185" s="6">
        <v>0</v>
      </c>
      <c r="T185" s="6">
        <v>15</v>
      </c>
      <c r="U185" s="6">
        <v>65</v>
      </c>
      <c r="V185" s="6">
        <f>IF(ISERROR(VLOOKUP($S$185,'TAR FIN'!$A$1:$O$103,15,0)),0,VLOOKUP($S$185,'TAR FIN'!$A$1:$O$103,15,0))</f>
        <v>0</v>
      </c>
      <c r="W185" s="6">
        <f>IF(ISERROR(VLOOKUP($T$185,'TAR FIN'!$A$1:$O$103,15,0)),0,VLOOKUP($T$185,'TAR FIN'!$A$1:$O$103,15,0))</f>
        <v>1195.82</v>
      </c>
      <c r="X185" s="6">
        <f>IF(ISERROR(VLOOKUP($U$185,'TAR FIN'!$A$1:$O$103,15,0)),0,VLOOKUP($U$185,'TAR FIN'!$A$1:$O$103,15,0))</f>
        <v>391.54</v>
      </c>
      <c r="Y185" s="6"/>
      <c r="Z185" s="6">
        <f ca="1">('TUSD BE'!$AM$23+'TUSD BF_350'!$AM$23+'TUSD CVA'!$AM$23)*1</f>
        <v>1385.4977743340116</v>
      </c>
      <c r="AA185" s="6">
        <f ca="1">('TE BE'!$AB$8+'TE BF_350'!$AB$8+'TE CVA'!$AB$8)*1</f>
        <v>361.95264704220779</v>
      </c>
      <c r="AB185" s="6">
        <f>$K$185*$V$185</f>
        <v>0</v>
      </c>
      <c r="AC185" s="6">
        <f>$M$185*$W$185</f>
        <v>9014.0911599999999</v>
      </c>
      <c r="AD185" s="6">
        <f>$O$185*$X$185</f>
        <v>2951.4285200000004</v>
      </c>
      <c r="AE185" s="6">
        <f>$K$185*$Y$185</f>
        <v>0</v>
      </c>
      <c r="AF185" s="6">
        <f ca="1">$M$185*$Z$185</f>
        <v>10443.88222292978</v>
      </c>
      <c r="AG185" s="6">
        <f ca="1">$O$185*$AA$185</f>
        <v>2728.3990534041623</v>
      </c>
    </row>
    <row r="186" spans="1:33" ht="11.25" customHeight="1" x14ac:dyDescent="0.3">
      <c r="A186" s="4" t="s">
        <v>21</v>
      </c>
      <c r="B186" s="4" t="s">
        <v>39</v>
      </c>
      <c r="C186" s="4" t="s">
        <v>40</v>
      </c>
      <c r="D186" s="4" t="s">
        <v>41</v>
      </c>
      <c r="E186" s="4" t="s">
        <v>25</v>
      </c>
      <c r="F186" s="4" t="s">
        <v>25</v>
      </c>
      <c r="G186" s="4" t="s">
        <v>25</v>
      </c>
      <c r="H186" s="4" t="s">
        <v>34</v>
      </c>
      <c r="I186" s="5">
        <v>44593</v>
      </c>
      <c r="J186" s="6">
        <v>0</v>
      </c>
      <c r="K186" s="6">
        <v>0</v>
      </c>
      <c r="L186" s="6">
        <v>26.103999999999999</v>
      </c>
      <c r="M186" s="6">
        <v>26.103999999999999</v>
      </c>
      <c r="N186" s="6">
        <v>26.103999999999999</v>
      </c>
      <c r="O186" s="6">
        <v>26.103999999999999</v>
      </c>
      <c r="P186" s="6">
        <v>0</v>
      </c>
      <c r="Q186" s="4" t="s">
        <v>26</v>
      </c>
      <c r="R186" s="4">
        <v>0</v>
      </c>
      <c r="S186" s="6">
        <v>0</v>
      </c>
      <c r="T186" s="6">
        <v>15</v>
      </c>
      <c r="U186" s="6">
        <v>65</v>
      </c>
      <c r="V186" s="6">
        <f>IF(ISERROR(VLOOKUP($S$186,'TAR FIN'!$A$1:$O$103,15,0)),0,VLOOKUP($S$186,'TAR FIN'!$A$1:$O$103,15,0))</f>
        <v>0</v>
      </c>
      <c r="W186" s="6">
        <f>IF(ISERROR(VLOOKUP($T$186,'TAR FIN'!$A$1:$O$103,15,0)),0,VLOOKUP($T$186,'TAR FIN'!$A$1:$O$103,15,0))</f>
        <v>1195.82</v>
      </c>
      <c r="X186" s="6">
        <f>IF(ISERROR(VLOOKUP($U$186,'TAR FIN'!$A$1:$O$103,15,0)),0,VLOOKUP($U$186,'TAR FIN'!$A$1:$O$103,15,0))</f>
        <v>391.54</v>
      </c>
      <c r="Y186" s="6"/>
      <c r="Z186" s="6">
        <f ca="1">('TUSD BE'!$AM$23+'TUSD BF_350'!$AM$23+'TUSD CVA'!$AM$23)*1</f>
        <v>1385.4977743340116</v>
      </c>
      <c r="AA186" s="6">
        <f ca="1">('TE BE'!$AB$8+'TE BF_350'!$AB$8+'TE CVA'!$AB$8)*1</f>
        <v>361.95264704220779</v>
      </c>
      <c r="AB186" s="6">
        <f>$K$186*$V$186</f>
        <v>0</v>
      </c>
      <c r="AC186" s="6">
        <f>$M$186*$W$186</f>
        <v>31215.685279999998</v>
      </c>
      <c r="AD186" s="6">
        <f>$O$186*$X$186</f>
        <v>10220.76016</v>
      </c>
      <c r="AE186" s="6">
        <f>$K$186*$Y$186</f>
        <v>0</v>
      </c>
      <c r="AF186" s="6">
        <f ca="1">$M$186*$Z$186</f>
        <v>36167.033901215036</v>
      </c>
      <c r="AG186" s="6">
        <f ca="1">$O$186*$AA$186</f>
        <v>9448.4118983897915</v>
      </c>
    </row>
    <row r="187" spans="1:33" ht="11.25" customHeight="1" x14ac:dyDescent="0.3">
      <c r="A187" s="4" t="s">
        <v>28</v>
      </c>
      <c r="B187" s="4" t="s">
        <v>39</v>
      </c>
      <c r="C187" s="4" t="s">
        <v>40</v>
      </c>
      <c r="D187" s="4" t="s">
        <v>41</v>
      </c>
      <c r="E187" s="4" t="s">
        <v>25</v>
      </c>
      <c r="F187" s="4" t="s">
        <v>25</v>
      </c>
      <c r="G187" s="4" t="s">
        <v>25</v>
      </c>
      <c r="H187" s="4" t="s">
        <v>34</v>
      </c>
      <c r="I187" s="5">
        <v>44593</v>
      </c>
      <c r="J187" s="6">
        <v>0</v>
      </c>
      <c r="K187" s="6">
        <v>0</v>
      </c>
      <c r="L187" s="6">
        <v>6.7990000000000004</v>
      </c>
      <c r="M187" s="6">
        <v>6.7990000000000004</v>
      </c>
      <c r="N187" s="6">
        <v>6.7990000000000004</v>
      </c>
      <c r="O187" s="6">
        <v>6.7990000000000004</v>
      </c>
      <c r="P187" s="6">
        <v>0</v>
      </c>
      <c r="Q187" s="4" t="s">
        <v>26</v>
      </c>
      <c r="R187" s="4">
        <v>0</v>
      </c>
      <c r="S187" s="6">
        <v>0</v>
      </c>
      <c r="T187" s="6">
        <v>15</v>
      </c>
      <c r="U187" s="6">
        <v>65</v>
      </c>
      <c r="V187" s="6">
        <f>IF(ISERROR(VLOOKUP($S$187,'TAR FIN'!$A$1:$O$103,15,0)),0,VLOOKUP($S$187,'TAR FIN'!$A$1:$O$103,15,0))</f>
        <v>0</v>
      </c>
      <c r="W187" s="6">
        <f>IF(ISERROR(VLOOKUP($T$187,'TAR FIN'!$A$1:$O$103,15,0)),0,VLOOKUP($T$187,'TAR FIN'!$A$1:$O$103,15,0))</f>
        <v>1195.82</v>
      </c>
      <c r="X187" s="6">
        <f>IF(ISERROR(VLOOKUP($U$187,'TAR FIN'!$A$1:$O$103,15,0)),0,VLOOKUP($U$187,'TAR FIN'!$A$1:$O$103,15,0))</f>
        <v>391.54</v>
      </c>
      <c r="Y187" s="6"/>
      <c r="Z187" s="6">
        <f ca="1">('TUSD BE'!$AM$23+'TUSD BF_350'!$AM$23+'TUSD CVA'!$AM$23)*1</f>
        <v>1385.4977743340116</v>
      </c>
      <c r="AA187" s="6">
        <f ca="1">('TE BE'!$AB$8+'TE BF_350'!$AB$8+'TE CVA'!$AB$8)*1</f>
        <v>361.95264704220779</v>
      </c>
      <c r="AB187" s="6">
        <f>$K$187*$V$187</f>
        <v>0</v>
      </c>
      <c r="AC187" s="6">
        <f>$M$187*$W$187</f>
        <v>8130.3801800000001</v>
      </c>
      <c r="AD187" s="6">
        <f>$O$187*$X$187</f>
        <v>2662.0804600000001</v>
      </c>
      <c r="AE187" s="6">
        <f>$K$187*$Y$187</f>
        <v>0</v>
      </c>
      <c r="AF187" s="6">
        <f ca="1">$M$187*$Z$187</f>
        <v>9419.9993676969461</v>
      </c>
      <c r="AG187" s="6">
        <f ca="1">$O$187*$AA$187</f>
        <v>2460.9160472399708</v>
      </c>
    </row>
    <row r="188" spans="1:33" ht="11.25" customHeight="1" x14ac:dyDescent="0.3">
      <c r="A188" s="4" t="s">
        <v>21</v>
      </c>
      <c r="B188" s="4" t="s">
        <v>39</v>
      </c>
      <c r="C188" s="4" t="s">
        <v>40</v>
      </c>
      <c r="D188" s="4" t="s">
        <v>41</v>
      </c>
      <c r="E188" s="4" t="s">
        <v>25</v>
      </c>
      <c r="F188" s="4" t="s">
        <v>25</v>
      </c>
      <c r="G188" s="4" t="s">
        <v>25</v>
      </c>
      <c r="H188" s="4" t="s">
        <v>34</v>
      </c>
      <c r="I188" s="5">
        <v>44621</v>
      </c>
      <c r="J188" s="6">
        <v>0</v>
      </c>
      <c r="K188" s="6">
        <v>0</v>
      </c>
      <c r="L188" s="6">
        <v>35.015000000000001</v>
      </c>
      <c r="M188" s="6">
        <v>35.015000000000001</v>
      </c>
      <c r="N188" s="6">
        <v>35.015000000000001</v>
      </c>
      <c r="O188" s="6">
        <v>35.015000000000001</v>
      </c>
      <c r="P188" s="6">
        <v>0</v>
      </c>
      <c r="Q188" s="4" t="s">
        <v>26</v>
      </c>
      <c r="R188" s="4">
        <v>0</v>
      </c>
      <c r="S188" s="6">
        <v>0</v>
      </c>
      <c r="T188" s="6">
        <v>15</v>
      </c>
      <c r="U188" s="6">
        <v>65</v>
      </c>
      <c r="V188" s="6">
        <f>IF(ISERROR(VLOOKUP($S$188,'TAR FIN'!$A$1:$O$103,15,0)),0,VLOOKUP($S$188,'TAR FIN'!$A$1:$O$103,15,0))</f>
        <v>0</v>
      </c>
      <c r="W188" s="6">
        <f>IF(ISERROR(VLOOKUP($T$188,'TAR FIN'!$A$1:$O$103,15,0)),0,VLOOKUP($T$188,'TAR FIN'!$A$1:$O$103,15,0))</f>
        <v>1195.82</v>
      </c>
      <c r="X188" s="6">
        <f>IF(ISERROR(VLOOKUP($U$188,'TAR FIN'!$A$1:$O$103,15,0)),0,VLOOKUP($U$188,'TAR FIN'!$A$1:$O$103,15,0))</f>
        <v>391.54</v>
      </c>
      <c r="Y188" s="6"/>
      <c r="Z188" s="6">
        <f ca="1">('TUSD BE'!$AM$23+'TUSD BF_350'!$AM$23+'TUSD CVA'!$AM$23)*1</f>
        <v>1385.4977743340116</v>
      </c>
      <c r="AA188" s="6">
        <f ca="1">('TE BE'!$AB$8+'TE BF_350'!$AB$8+'TE CVA'!$AB$8)*1</f>
        <v>361.95264704220779</v>
      </c>
      <c r="AB188" s="6">
        <f>$K$188*$V$188</f>
        <v>0</v>
      </c>
      <c r="AC188" s="6">
        <f>$M$188*$W$188</f>
        <v>41871.637299999995</v>
      </c>
      <c r="AD188" s="6">
        <f>$O$188*$X$188</f>
        <v>13709.7731</v>
      </c>
      <c r="AE188" s="6">
        <f>$K$188*$Y$188</f>
        <v>0</v>
      </c>
      <c r="AF188" s="6">
        <f ca="1">$M$188*$Z$188</f>
        <v>48513.204568305417</v>
      </c>
      <c r="AG188" s="6">
        <f ca="1">$O$188*$AA$188</f>
        <v>12673.771936182906</v>
      </c>
    </row>
    <row r="189" spans="1:33" ht="11.25" customHeight="1" x14ac:dyDescent="0.3">
      <c r="A189" s="4" t="s">
        <v>28</v>
      </c>
      <c r="B189" s="4" t="s">
        <v>39</v>
      </c>
      <c r="C189" s="4" t="s">
        <v>40</v>
      </c>
      <c r="D189" s="4" t="s">
        <v>41</v>
      </c>
      <c r="E189" s="4" t="s">
        <v>25</v>
      </c>
      <c r="F189" s="4" t="s">
        <v>25</v>
      </c>
      <c r="G189" s="4" t="s">
        <v>25</v>
      </c>
      <c r="H189" s="4" t="s">
        <v>34</v>
      </c>
      <c r="I189" s="5">
        <v>44621</v>
      </c>
      <c r="J189" s="6">
        <v>0</v>
      </c>
      <c r="K189" s="6">
        <v>0</v>
      </c>
      <c r="L189" s="6">
        <v>10.304</v>
      </c>
      <c r="M189" s="6">
        <v>10.304</v>
      </c>
      <c r="N189" s="6">
        <v>10.304</v>
      </c>
      <c r="O189" s="6">
        <v>10.304</v>
      </c>
      <c r="P189" s="6">
        <v>0</v>
      </c>
      <c r="Q189" s="4" t="s">
        <v>26</v>
      </c>
      <c r="R189" s="4">
        <v>0</v>
      </c>
      <c r="S189" s="6">
        <v>0</v>
      </c>
      <c r="T189" s="6">
        <v>15</v>
      </c>
      <c r="U189" s="6">
        <v>65</v>
      </c>
      <c r="V189" s="6">
        <f>IF(ISERROR(VLOOKUP($S$189,'TAR FIN'!$A$1:$O$103,15,0)),0,VLOOKUP($S$189,'TAR FIN'!$A$1:$O$103,15,0))</f>
        <v>0</v>
      </c>
      <c r="W189" s="6">
        <f>IF(ISERROR(VLOOKUP($T$189,'TAR FIN'!$A$1:$O$103,15,0)),0,VLOOKUP($T$189,'TAR FIN'!$A$1:$O$103,15,0))</f>
        <v>1195.82</v>
      </c>
      <c r="X189" s="6">
        <f>IF(ISERROR(VLOOKUP($U$189,'TAR FIN'!$A$1:$O$103,15,0)),0,VLOOKUP($U$189,'TAR FIN'!$A$1:$O$103,15,0))</f>
        <v>391.54</v>
      </c>
      <c r="Y189" s="6"/>
      <c r="Z189" s="6">
        <f ca="1">('TUSD BE'!$AM$23+'TUSD BF_350'!$AM$23+'TUSD CVA'!$AM$23)*1</f>
        <v>1385.4977743340116</v>
      </c>
      <c r="AA189" s="6">
        <f ca="1">('TE BE'!$AB$8+'TE BF_350'!$AB$8+'TE CVA'!$AB$8)*1</f>
        <v>361.95264704220779</v>
      </c>
      <c r="AB189" s="6">
        <f>$K$189*$V$189</f>
        <v>0</v>
      </c>
      <c r="AC189" s="6">
        <f>$M$189*$W$189</f>
        <v>12321.72928</v>
      </c>
      <c r="AD189" s="6">
        <f>$O$189*$X$189</f>
        <v>4034.4281600000004</v>
      </c>
      <c r="AE189" s="6">
        <f>$K$189*$Y$189</f>
        <v>0</v>
      </c>
      <c r="AF189" s="6">
        <f ca="1">$M$189*$Z$189</f>
        <v>14276.169066737657</v>
      </c>
      <c r="AG189" s="6">
        <f ca="1">$O$189*$AA$189</f>
        <v>3729.560075122909</v>
      </c>
    </row>
    <row r="190" spans="1:33" ht="11.25" customHeight="1" x14ac:dyDescent="0.3">
      <c r="A190" s="4" t="s">
        <v>21</v>
      </c>
      <c r="B190" s="4" t="s">
        <v>39</v>
      </c>
      <c r="C190" s="4" t="s">
        <v>40</v>
      </c>
      <c r="D190" s="4" t="s">
        <v>41</v>
      </c>
      <c r="E190" s="4" t="s">
        <v>25</v>
      </c>
      <c r="F190" s="4" t="s">
        <v>25</v>
      </c>
      <c r="G190" s="4" t="s">
        <v>25</v>
      </c>
      <c r="H190" s="4" t="s">
        <v>34</v>
      </c>
      <c r="I190" s="5">
        <v>44652</v>
      </c>
      <c r="J190" s="6">
        <v>0</v>
      </c>
      <c r="K190" s="6">
        <v>0</v>
      </c>
      <c r="L190" s="6">
        <v>30.991</v>
      </c>
      <c r="M190" s="6">
        <v>30.991</v>
      </c>
      <c r="N190" s="6">
        <v>30.991</v>
      </c>
      <c r="O190" s="6">
        <v>30.991</v>
      </c>
      <c r="P190" s="6">
        <v>0</v>
      </c>
      <c r="Q190" s="4" t="s">
        <v>26</v>
      </c>
      <c r="R190" s="4">
        <v>0</v>
      </c>
      <c r="S190" s="6">
        <v>0</v>
      </c>
      <c r="T190" s="6">
        <v>15</v>
      </c>
      <c r="U190" s="6">
        <v>65</v>
      </c>
      <c r="V190" s="6">
        <f>IF(ISERROR(VLOOKUP($S$190,'TAR FIN'!$A$1:$O$103,15,0)),0,VLOOKUP($S$190,'TAR FIN'!$A$1:$O$103,15,0))</f>
        <v>0</v>
      </c>
      <c r="W190" s="6">
        <f>IF(ISERROR(VLOOKUP($T$190,'TAR FIN'!$A$1:$O$103,15,0)),0,VLOOKUP($T$190,'TAR FIN'!$A$1:$O$103,15,0))</f>
        <v>1195.82</v>
      </c>
      <c r="X190" s="6">
        <f>IF(ISERROR(VLOOKUP($U$190,'TAR FIN'!$A$1:$O$103,15,0)),0,VLOOKUP($U$190,'TAR FIN'!$A$1:$O$103,15,0))</f>
        <v>391.54</v>
      </c>
      <c r="Y190" s="6"/>
      <c r="Z190" s="6">
        <f ca="1">('TUSD BE'!$AM$23+'TUSD BF_350'!$AM$23+'TUSD CVA'!$AM$23)*1</f>
        <v>1385.4977743340116</v>
      </c>
      <c r="AA190" s="6">
        <f ca="1">('TE BE'!$AB$8+'TE BF_350'!$AB$8+'TE CVA'!$AB$8)*1</f>
        <v>361.95264704220779</v>
      </c>
      <c r="AB190" s="6">
        <f>$K$190*$V$190</f>
        <v>0</v>
      </c>
      <c r="AC190" s="6">
        <f>$M$190*$W$190</f>
        <v>37059.657619999998</v>
      </c>
      <c r="AD190" s="6">
        <f>$O$190*$X$190</f>
        <v>12134.21614</v>
      </c>
      <c r="AE190" s="6">
        <f>$K$190*$Y$190</f>
        <v>0</v>
      </c>
      <c r="AF190" s="6">
        <f ca="1">$M$190*$Z$190</f>
        <v>42937.961524385355</v>
      </c>
      <c r="AG190" s="6">
        <f ca="1">$O$190*$AA$190</f>
        <v>11217.274484485062</v>
      </c>
    </row>
    <row r="191" spans="1:33" ht="11.25" customHeight="1" x14ac:dyDescent="0.3">
      <c r="A191" s="4" t="s">
        <v>28</v>
      </c>
      <c r="B191" s="4" t="s">
        <v>39</v>
      </c>
      <c r="C191" s="4" t="s">
        <v>40</v>
      </c>
      <c r="D191" s="4" t="s">
        <v>41</v>
      </c>
      <c r="E191" s="4" t="s">
        <v>25</v>
      </c>
      <c r="F191" s="4" t="s">
        <v>25</v>
      </c>
      <c r="G191" s="4" t="s">
        <v>25</v>
      </c>
      <c r="H191" s="4" t="s">
        <v>34</v>
      </c>
      <c r="I191" s="5">
        <v>44652</v>
      </c>
      <c r="J191" s="6">
        <v>0</v>
      </c>
      <c r="K191" s="6">
        <v>0</v>
      </c>
      <c r="L191" s="6">
        <v>8.5730000000000004</v>
      </c>
      <c r="M191" s="6">
        <v>8.5730000000000004</v>
      </c>
      <c r="N191" s="6">
        <v>8.5730000000000004</v>
      </c>
      <c r="O191" s="6">
        <v>8.5730000000000004</v>
      </c>
      <c r="P191" s="6">
        <v>0</v>
      </c>
      <c r="Q191" s="4" t="s">
        <v>26</v>
      </c>
      <c r="R191" s="4">
        <v>0</v>
      </c>
      <c r="S191" s="6">
        <v>0</v>
      </c>
      <c r="T191" s="6">
        <v>15</v>
      </c>
      <c r="U191" s="6">
        <v>65</v>
      </c>
      <c r="V191" s="6">
        <f>IF(ISERROR(VLOOKUP($S$191,'TAR FIN'!$A$1:$O$103,15,0)),0,VLOOKUP($S$191,'TAR FIN'!$A$1:$O$103,15,0))</f>
        <v>0</v>
      </c>
      <c r="W191" s="6">
        <f>IF(ISERROR(VLOOKUP($T$191,'TAR FIN'!$A$1:$O$103,15,0)),0,VLOOKUP($T$191,'TAR FIN'!$A$1:$O$103,15,0))</f>
        <v>1195.82</v>
      </c>
      <c r="X191" s="6">
        <f>IF(ISERROR(VLOOKUP($U$191,'TAR FIN'!$A$1:$O$103,15,0)),0,VLOOKUP($U$191,'TAR FIN'!$A$1:$O$103,15,0))</f>
        <v>391.54</v>
      </c>
      <c r="Y191" s="6"/>
      <c r="Z191" s="6">
        <f ca="1">('TUSD BE'!$AM$23+'TUSD BF_350'!$AM$23+'TUSD CVA'!$AM$23)*1</f>
        <v>1385.4977743340116</v>
      </c>
      <c r="AA191" s="6">
        <f ca="1">('TE BE'!$AB$8+'TE BF_350'!$AB$8+'TE CVA'!$AB$8)*1</f>
        <v>361.95264704220779</v>
      </c>
      <c r="AB191" s="6">
        <f>$K$191*$V$191</f>
        <v>0</v>
      </c>
      <c r="AC191" s="6">
        <f>$M$191*$W$191</f>
        <v>10251.764859999999</v>
      </c>
      <c r="AD191" s="6">
        <f>$O$191*$X$191</f>
        <v>3356.6724200000003</v>
      </c>
      <c r="AE191" s="6">
        <f>$K$191*$Y$191</f>
        <v>0</v>
      </c>
      <c r="AF191" s="6">
        <f ca="1">$M$191*$Z$191</f>
        <v>11877.872419365482</v>
      </c>
      <c r="AG191" s="6">
        <f ca="1">$O$191*$AA$191</f>
        <v>3103.0200430928476</v>
      </c>
    </row>
    <row r="192" spans="1:33" ht="11.25" customHeight="1" x14ac:dyDescent="0.3">
      <c r="A192" s="4" t="s">
        <v>21</v>
      </c>
      <c r="B192" s="4" t="s">
        <v>39</v>
      </c>
      <c r="C192" s="4" t="s">
        <v>40</v>
      </c>
      <c r="D192" s="4" t="s">
        <v>41</v>
      </c>
      <c r="E192" s="4" t="s">
        <v>25</v>
      </c>
      <c r="F192" s="4" t="s">
        <v>25</v>
      </c>
      <c r="G192" s="4" t="s">
        <v>25</v>
      </c>
      <c r="H192" s="4" t="s">
        <v>34</v>
      </c>
      <c r="I192" s="5">
        <v>44682</v>
      </c>
      <c r="J192" s="6">
        <v>0</v>
      </c>
      <c r="K192" s="6">
        <v>0</v>
      </c>
      <c r="L192" s="6">
        <v>28.847999999999999</v>
      </c>
      <c r="M192" s="6">
        <v>28.847999999999999</v>
      </c>
      <c r="N192" s="6">
        <v>28.847999999999999</v>
      </c>
      <c r="O192" s="6">
        <v>28.847999999999999</v>
      </c>
      <c r="P192" s="6">
        <v>0</v>
      </c>
      <c r="Q192" s="4" t="s">
        <v>26</v>
      </c>
      <c r="R192" s="4">
        <v>0</v>
      </c>
      <c r="S192" s="6">
        <v>0</v>
      </c>
      <c r="T192" s="6">
        <v>15</v>
      </c>
      <c r="U192" s="6">
        <v>65</v>
      </c>
      <c r="V192" s="6">
        <f>IF(ISERROR(VLOOKUP($S$192,'TAR FIN'!$A$1:$O$103,15,0)),0,VLOOKUP($S$192,'TAR FIN'!$A$1:$O$103,15,0))</f>
        <v>0</v>
      </c>
      <c r="W192" s="6">
        <f>IF(ISERROR(VLOOKUP($T$192,'TAR FIN'!$A$1:$O$103,15,0)),0,VLOOKUP($T$192,'TAR FIN'!$A$1:$O$103,15,0))</f>
        <v>1195.82</v>
      </c>
      <c r="X192" s="6">
        <f>IF(ISERROR(VLOOKUP($U$192,'TAR FIN'!$A$1:$O$103,15,0)),0,VLOOKUP($U$192,'TAR FIN'!$A$1:$O$103,15,0))</f>
        <v>391.54</v>
      </c>
      <c r="Y192" s="6"/>
      <c r="Z192" s="6">
        <f ca="1">('TUSD BE'!$AM$23+'TUSD BF_350'!$AM$23+'TUSD CVA'!$AM$23)*1</f>
        <v>1385.4977743340116</v>
      </c>
      <c r="AA192" s="6">
        <f ca="1">('TE BE'!$AB$8+'TE BF_350'!$AB$8+'TE CVA'!$AB$8)*1</f>
        <v>361.95264704220779</v>
      </c>
      <c r="AB192" s="6">
        <f>$K$192*$V$192</f>
        <v>0</v>
      </c>
      <c r="AC192" s="6">
        <f>$M$192*$W$192</f>
        <v>34497.015359999998</v>
      </c>
      <c r="AD192" s="6">
        <f>$O$192*$X$192</f>
        <v>11295.145920000001</v>
      </c>
      <c r="AE192" s="6">
        <f>$K$192*$Y$192</f>
        <v>0</v>
      </c>
      <c r="AF192" s="6">
        <f ca="1">$M$192*$Z$192</f>
        <v>39968.839793987565</v>
      </c>
      <c r="AG192" s="6">
        <f ca="1">$O$192*$AA$192</f>
        <v>10441.60996187361</v>
      </c>
    </row>
    <row r="193" spans="1:33" ht="11.25" customHeight="1" x14ac:dyDescent="0.3">
      <c r="A193" s="4" t="s">
        <v>28</v>
      </c>
      <c r="B193" s="4" t="s">
        <v>39</v>
      </c>
      <c r="C193" s="4" t="s">
        <v>40</v>
      </c>
      <c r="D193" s="4" t="s">
        <v>41</v>
      </c>
      <c r="E193" s="4" t="s">
        <v>25</v>
      </c>
      <c r="F193" s="4" t="s">
        <v>25</v>
      </c>
      <c r="G193" s="4" t="s">
        <v>25</v>
      </c>
      <c r="H193" s="4" t="s">
        <v>34</v>
      </c>
      <c r="I193" s="5">
        <v>44682</v>
      </c>
      <c r="J193" s="6">
        <v>0</v>
      </c>
      <c r="K193" s="6">
        <v>0</v>
      </c>
      <c r="L193" s="6">
        <v>9.3439999999999994</v>
      </c>
      <c r="M193" s="6">
        <v>9.3439999999999994</v>
      </c>
      <c r="N193" s="6">
        <v>9.3439999999999994</v>
      </c>
      <c r="O193" s="6">
        <v>9.3439999999999994</v>
      </c>
      <c r="P193" s="6">
        <v>0</v>
      </c>
      <c r="Q193" s="4" t="s">
        <v>26</v>
      </c>
      <c r="R193" s="4">
        <v>0</v>
      </c>
      <c r="S193" s="6">
        <v>0</v>
      </c>
      <c r="T193" s="6">
        <v>15</v>
      </c>
      <c r="U193" s="6">
        <v>65</v>
      </c>
      <c r="V193" s="6">
        <f>IF(ISERROR(VLOOKUP($S$193,'TAR FIN'!$A$1:$O$103,15,0)),0,VLOOKUP($S$193,'TAR FIN'!$A$1:$O$103,15,0))</f>
        <v>0</v>
      </c>
      <c r="W193" s="6">
        <f>IF(ISERROR(VLOOKUP($T$193,'TAR FIN'!$A$1:$O$103,15,0)),0,VLOOKUP($T$193,'TAR FIN'!$A$1:$O$103,15,0))</f>
        <v>1195.82</v>
      </c>
      <c r="X193" s="6">
        <f>IF(ISERROR(VLOOKUP($U$193,'TAR FIN'!$A$1:$O$103,15,0)),0,VLOOKUP($U$193,'TAR FIN'!$A$1:$O$103,15,0))</f>
        <v>391.54</v>
      </c>
      <c r="Y193" s="6"/>
      <c r="Z193" s="6">
        <f ca="1">('TUSD BE'!$AM$23+'TUSD BF_350'!$AM$23+'TUSD CVA'!$AM$23)*1</f>
        <v>1385.4977743340116</v>
      </c>
      <c r="AA193" s="6">
        <f ca="1">('TE BE'!$AB$8+'TE BF_350'!$AB$8+'TE CVA'!$AB$8)*1</f>
        <v>361.95264704220779</v>
      </c>
      <c r="AB193" s="6">
        <f>$K$193*$V$193</f>
        <v>0</v>
      </c>
      <c r="AC193" s="6">
        <f>$M$193*$W$193</f>
        <v>11173.742079999998</v>
      </c>
      <c r="AD193" s="6">
        <f>$O$193*$X$193</f>
        <v>3658.5497599999999</v>
      </c>
      <c r="AE193" s="6">
        <f>$K$193*$Y$193</f>
        <v>0</v>
      </c>
      <c r="AF193" s="6">
        <f ca="1">$M$193*$Z$193</f>
        <v>12946.091203377004</v>
      </c>
      <c r="AG193" s="6">
        <f ca="1">$O$193*$AA$193</f>
        <v>3382.0855339623895</v>
      </c>
    </row>
    <row r="194" spans="1:33" ht="11.25" customHeight="1" x14ac:dyDescent="0.3">
      <c r="A194" s="4" t="s">
        <v>21</v>
      </c>
      <c r="B194" s="4" t="s">
        <v>39</v>
      </c>
      <c r="C194" s="4" t="s">
        <v>40</v>
      </c>
      <c r="D194" s="4" t="s">
        <v>41</v>
      </c>
      <c r="E194" s="4" t="s">
        <v>25</v>
      </c>
      <c r="F194" s="4" t="s">
        <v>25</v>
      </c>
      <c r="G194" s="4" t="s">
        <v>25</v>
      </c>
      <c r="H194" s="4" t="s">
        <v>34</v>
      </c>
      <c r="I194" s="5">
        <v>44713</v>
      </c>
      <c r="J194" s="6">
        <v>0</v>
      </c>
      <c r="K194" s="6">
        <v>0</v>
      </c>
      <c r="L194" s="6">
        <v>26.05</v>
      </c>
      <c r="M194" s="6">
        <v>26.05</v>
      </c>
      <c r="N194" s="6">
        <v>26.05</v>
      </c>
      <c r="O194" s="6">
        <v>26.05</v>
      </c>
      <c r="P194" s="6">
        <v>0</v>
      </c>
      <c r="Q194" s="4" t="s">
        <v>26</v>
      </c>
      <c r="R194" s="4">
        <v>0</v>
      </c>
      <c r="S194" s="6">
        <v>0</v>
      </c>
      <c r="T194" s="6">
        <v>15</v>
      </c>
      <c r="U194" s="6">
        <v>65</v>
      </c>
      <c r="V194" s="6">
        <f>IF(ISERROR(VLOOKUP($S$194,'TAR FIN'!$A$1:$O$103,15,0)),0,VLOOKUP($S$194,'TAR FIN'!$A$1:$O$103,15,0))</f>
        <v>0</v>
      </c>
      <c r="W194" s="6">
        <f>IF(ISERROR(VLOOKUP($T$194,'TAR FIN'!$A$1:$O$103,15,0)),0,VLOOKUP($T$194,'TAR FIN'!$A$1:$O$103,15,0))</f>
        <v>1195.82</v>
      </c>
      <c r="X194" s="6">
        <f>IF(ISERROR(VLOOKUP($U$194,'TAR FIN'!$A$1:$O$103,15,0)),0,VLOOKUP($U$194,'TAR FIN'!$A$1:$O$103,15,0))</f>
        <v>391.54</v>
      </c>
      <c r="Y194" s="6"/>
      <c r="Z194" s="6">
        <f ca="1">('TUSD BE'!$AM$23+'TUSD BF_350'!$AM$23+'TUSD CVA'!$AM$23)*1</f>
        <v>1385.4977743340116</v>
      </c>
      <c r="AA194" s="6">
        <f ca="1">('TE BE'!$AB$8+'TE BF_350'!$AB$8+'TE CVA'!$AB$8)*1</f>
        <v>361.95264704220779</v>
      </c>
      <c r="AB194" s="6">
        <f>$K$194*$V$194</f>
        <v>0</v>
      </c>
      <c r="AC194" s="6">
        <f>$M$194*$W$194</f>
        <v>31151.111000000001</v>
      </c>
      <c r="AD194" s="6">
        <f>$O$194*$X$194</f>
        <v>10199.617</v>
      </c>
      <c r="AE194" s="6">
        <f>$K$194*$Y$194</f>
        <v>0</v>
      </c>
      <c r="AF194" s="6">
        <f ca="1">$M$194*$Z$194</f>
        <v>36092.217021401004</v>
      </c>
      <c r="AG194" s="6">
        <f ca="1">$O$194*$AA$194</f>
        <v>9428.8664554495135</v>
      </c>
    </row>
    <row r="195" spans="1:33" ht="11.25" customHeight="1" x14ac:dyDescent="0.3">
      <c r="A195" s="4" t="s">
        <v>28</v>
      </c>
      <c r="B195" s="4" t="s">
        <v>39</v>
      </c>
      <c r="C195" s="4" t="s">
        <v>40</v>
      </c>
      <c r="D195" s="4" t="s">
        <v>41</v>
      </c>
      <c r="E195" s="4" t="s">
        <v>25</v>
      </c>
      <c r="F195" s="4" t="s">
        <v>25</v>
      </c>
      <c r="G195" s="4" t="s">
        <v>25</v>
      </c>
      <c r="H195" s="4" t="s">
        <v>34</v>
      </c>
      <c r="I195" s="5">
        <v>44713</v>
      </c>
      <c r="J195" s="6">
        <v>0</v>
      </c>
      <c r="K195" s="6">
        <v>0</v>
      </c>
      <c r="L195" s="6">
        <v>12.593999999999999</v>
      </c>
      <c r="M195" s="6">
        <v>12.593999999999999</v>
      </c>
      <c r="N195" s="6">
        <v>12.593999999999999</v>
      </c>
      <c r="O195" s="6">
        <v>12.593999999999999</v>
      </c>
      <c r="P195" s="6">
        <v>0</v>
      </c>
      <c r="Q195" s="4" t="s">
        <v>26</v>
      </c>
      <c r="R195" s="4">
        <v>0</v>
      </c>
      <c r="S195" s="6">
        <v>0</v>
      </c>
      <c r="T195" s="6">
        <v>15</v>
      </c>
      <c r="U195" s="6">
        <v>65</v>
      </c>
      <c r="V195" s="6">
        <f>IF(ISERROR(VLOOKUP($S$195,'TAR FIN'!$A$1:$O$103,15,0)),0,VLOOKUP($S$195,'TAR FIN'!$A$1:$O$103,15,0))</f>
        <v>0</v>
      </c>
      <c r="W195" s="6">
        <f>IF(ISERROR(VLOOKUP($T$195,'TAR FIN'!$A$1:$O$103,15,0)),0,VLOOKUP($T$195,'TAR FIN'!$A$1:$O$103,15,0))</f>
        <v>1195.82</v>
      </c>
      <c r="X195" s="6">
        <f>IF(ISERROR(VLOOKUP($U$195,'TAR FIN'!$A$1:$O$103,15,0)),0,VLOOKUP($U$195,'TAR FIN'!$A$1:$O$103,15,0))</f>
        <v>391.54</v>
      </c>
      <c r="Y195" s="6"/>
      <c r="Z195" s="6">
        <f ca="1">('TUSD BE'!$AM$23+'TUSD BF_350'!$AM$23+'TUSD CVA'!$AM$23)*1</f>
        <v>1385.4977743340116</v>
      </c>
      <c r="AA195" s="6">
        <f ca="1">('TE BE'!$AB$8+'TE BF_350'!$AB$8+'TE CVA'!$AB$8)*1</f>
        <v>361.95264704220779</v>
      </c>
      <c r="AB195" s="6">
        <f>$K$195*$V$195</f>
        <v>0</v>
      </c>
      <c r="AC195" s="6">
        <f>$M$195*$W$195</f>
        <v>15060.157079999999</v>
      </c>
      <c r="AD195" s="6">
        <f>$O$195*$X$195</f>
        <v>4931.05476</v>
      </c>
      <c r="AE195" s="6">
        <f>$K$195*$Y$195</f>
        <v>0</v>
      </c>
      <c r="AF195" s="6">
        <f ca="1">$M$195*$Z$195</f>
        <v>17448.958969962543</v>
      </c>
      <c r="AG195" s="6">
        <f ca="1">$O$195*$AA$195</f>
        <v>4558.4316368495647</v>
      </c>
    </row>
    <row r="196" spans="1:33" ht="11.25" customHeight="1" x14ac:dyDescent="0.3">
      <c r="A196" s="4" t="s">
        <v>21</v>
      </c>
      <c r="B196" s="4" t="s">
        <v>39</v>
      </c>
      <c r="C196" s="4" t="s">
        <v>40</v>
      </c>
      <c r="D196" s="4" t="s">
        <v>41</v>
      </c>
      <c r="E196" s="4" t="s">
        <v>25</v>
      </c>
      <c r="F196" s="4" t="s">
        <v>25</v>
      </c>
      <c r="G196" s="4" t="s">
        <v>25</v>
      </c>
      <c r="H196" s="4" t="s">
        <v>34</v>
      </c>
      <c r="I196" s="5">
        <v>44743</v>
      </c>
      <c r="J196" s="6">
        <v>0</v>
      </c>
      <c r="K196" s="6">
        <v>0</v>
      </c>
      <c r="L196" s="6">
        <v>16.786000000000001</v>
      </c>
      <c r="M196" s="6">
        <v>16.786000000000001</v>
      </c>
      <c r="N196" s="6">
        <v>16.786000000000001</v>
      </c>
      <c r="O196" s="6">
        <v>16.786000000000001</v>
      </c>
      <c r="P196" s="6">
        <v>0</v>
      </c>
      <c r="Q196" s="4" t="s">
        <v>26</v>
      </c>
      <c r="R196" s="4">
        <v>0</v>
      </c>
      <c r="S196" s="6">
        <v>0</v>
      </c>
      <c r="T196" s="6">
        <v>15</v>
      </c>
      <c r="U196" s="6">
        <v>65</v>
      </c>
      <c r="V196" s="6">
        <f>IF(ISERROR(VLOOKUP($S$196,'TAR FIN'!$A$1:$O$103,15,0)),0,VLOOKUP($S$196,'TAR FIN'!$A$1:$O$103,15,0))</f>
        <v>0</v>
      </c>
      <c r="W196" s="6">
        <f>IF(ISERROR(VLOOKUP($T$196,'TAR FIN'!$A$1:$O$103,15,0)),0,VLOOKUP($T$196,'TAR FIN'!$A$1:$O$103,15,0))</f>
        <v>1195.82</v>
      </c>
      <c r="X196" s="6">
        <f>IF(ISERROR(VLOOKUP($U$196,'TAR FIN'!$A$1:$O$103,15,0)),0,VLOOKUP($U$196,'TAR FIN'!$A$1:$O$103,15,0))</f>
        <v>391.54</v>
      </c>
      <c r="Y196" s="6"/>
      <c r="Z196" s="6">
        <f ca="1">('TUSD BE'!$AM$23+'TUSD BF_350'!$AM$23+'TUSD CVA'!$AM$23)*1</f>
        <v>1385.4977743340116</v>
      </c>
      <c r="AA196" s="6">
        <f ca="1">('TE BE'!$AB$8+'TE BF_350'!$AB$8+'TE CVA'!$AB$8)*1</f>
        <v>361.95264704220779</v>
      </c>
      <c r="AB196" s="6">
        <f>$K$196*$V$196</f>
        <v>0</v>
      </c>
      <c r="AC196" s="6">
        <f>$M$196*$W$196</f>
        <v>20073.034520000001</v>
      </c>
      <c r="AD196" s="6">
        <f>$O$196*$X$196</f>
        <v>6572.390440000001</v>
      </c>
      <c r="AE196" s="6">
        <f>$K$196*$Y$196</f>
        <v>0</v>
      </c>
      <c r="AF196" s="6">
        <f ca="1">$M$196*$Z$196</f>
        <v>23256.96563997072</v>
      </c>
      <c r="AG196" s="6">
        <f ca="1">$O$196*$AA$196</f>
        <v>6075.7371332505008</v>
      </c>
    </row>
    <row r="197" spans="1:33" ht="11.25" customHeight="1" x14ac:dyDescent="0.3">
      <c r="A197" s="4" t="s">
        <v>28</v>
      </c>
      <c r="B197" s="4" t="s">
        <v>39</v>
      </c>
      <c r="C197" s="4" t="s">
        <v>40</v>
      </c>
      <c r="D197" s="4" t="s">
        <v>41</v>
      </c>
      <c r="E197" s="4" t="s">
        <v>25</v>
      </c>
      <c r="F197" s="4" t="s">
        <v>25</v>
      </c>
      <c r="G197" s="4" t="s">
        <v>25</v>
      </c>
      <c r="H197" s="4" t="s">
        <v>34</v>
      </c>
      <c r="I197" s="5">
        <v>44743</v>
      </c>
      <c r="J197" s="6">
        <v>0</v>
      </c>
      <c r="K197" s="6">
        <v>0</v>
      </c>
      <c r="L197" s="6">
        <v>11.019</v>
      </c>
      <c r="M197" s="6">
        <v>11.019</v>
      </c>
      <c r="N197" s="6">
        <v>11.019</v>
      </c>
      <c r="O197" s="6">
        <v>11.019</v>
      </c>
      <c r="P197" s="6">
        <v>0</v>
      </c>
      <c r="Q197" s="4" t="s">
        <v>26</v>
      </c>
      <c r="R197" s="4">
        <v>0</v>
      </c>
      <c r="S197" s="6">
        <v>0</v>
      </c>
      <c r="T197" s="6">
        <v>15</v>
      </c>
      <c r="U197" s="6">
        <v>65</v>
      </c>
      <c r="V197" s="6">
        <f>IF(ISERROR(VLOOKUP($S$197,'TAR FIN'!$A$1:$O$103,15,0)),0,VLOOKUP($S$197,'TAR FIN'!$A$1:$O$103,15,0))</f>
        <v>0</v>
      </c>
      <c r="W197" s="6">
        <f>IF(ISERROR(VLOOKUP($T$197,'TAR FIN'!$A$1:$O$103,15,0)),0,VLOOKUP($T$197,'TAR FIN'!$A$1:$O$103,15,0))</f>
        <v>1195.82</v>
      </c>
      <c r="X197" s="6">
        <f>IF(ISERROR(VLOOKUP($U$197,'TAR FIN'!$A$1:$O$103,15,0)),0,VLOOKUP($U$197,'TAR FIN'!$A$1:$O$103,15,0))</f>
        <v>391.54</v>
      </c>
      <c r="Y197" s="6"/>
      <c r="Z197" s="6">
        <f ca="1">('TUSD BE'!$AM$23+'TUSD BF_350'!$AM$23+'TUSD CVA'!$AM$23)*1</f>
        <v>1385.4977743340116</v>
      </c>
      <c r="AA197" s="6">
        <f ca="1">('TE BE'!$AB$8+'TE BF_350'!$AB$8+'TE CVA'!$AB$8)*1</f>
        <v>361.95264704220779</v>
      </c>
      <c r="AB197" s="6">
        <f>$K$197*$V$197</f>
        <v>0</v>
      </c>
      <c r="AC197" s="6">
        <f>$M$197*$W$197</f>
        <v>13176.74058</v>
      </c>
      <c r="AD197" s="6">
        <f>$O$197*$X$197</f>
        <v>4314.3792600000006</v>
      </c>
      <c r="AE197" s="6">
        <f>$K$197*$Y$197</f>
        <v>0</v>
      </c>
      <c r="AF197" s="6">
        <f ca="1">$M$197*$Z$197</f>
        <v>15266.799975386475</v>
      </c>
      <c r="AG197" s="6">
        <f ca="1">$O$197*$AA$197</f>
        <v>3988.3562177580875</v>
      </c>
    </row>
    <row r="198" spans="1:33" ht="11.25" customHeight="1" x14ac:dyDescent="0.3">
      <c r="A198" s="4" t="s">
        <v>21</v>
      </c>
      <c r="B198" s="4" t="s">
        <v>39</v>
      </c>
      <c r="C198" s="4" t="s">
        <v>40</v>
      </c>
      <c r="D198" s="4" t="s">
        <v>41</v>
      </c>
      <c r="E198" s="4" t="s">
        <v>25</v>
      </c>
      <c r="F198" s="4" t="s">
        <v>25</v>
      </c>
      <c r="G198" s="4" t="s">
        <v>25</v>
      </c>
      <c r="H198" s="4" t="s">
        <v>34</v>
      </c>
      <c r="I198" s="5">
        <v>44774</v>
      </c>
      <c r="J198" s="6">
        <v>0</v>
      </c>
      <c r="K198" s="6">
        <v>0</v>
      </c>
      <c r="L198" s="6">
        <v>25.280999999999999</v>
      </c>
      <c r="M198" s="6">
        <v>25.280999999999999</v>
      </c>
      <c r="N198" s="6">
        <v>25.280999999999999</v>
      </c>
      <c r="O198" s="6">
        <v>25.280999999999999</v>
      </c>
      <c r="P198" s="6">
        <v>0</v>
      </c>
      <c r="Q198" s="4" t="s">
        <v>26</v>
      </c>
      <c r="R198" s="4">
        <v>0</v>
      </c>
      <c r="S198" s="6">
        <v>0</v>
      </c>
      <c r="T198" s="6">
        <v>15</v>
      </c>
      <c r="U198" s="6">
        <v>65</v>
      </c>
      <c r="V198" s="6">
        <f>IF(ISERROR(VLOOKUP($S$198,'TAR FIN'!$A$1:$O$103,15,0)),0,VLOOKUP($S$198,'TAR FIN'!$A$1:$O$103,15,0))</f>
        <v>0</v>
      </c>
      <c r="W198" s="6">
        <f>IF(ISERROR(VLOOKUP($T$198,'TAR FIN'!$A$1:$O$103,15,0)),0,VLOOKUP($T$198,'TAR FIN'!$A$1:$O$103,15,0))</f>
        <v>1195.82</v>
      </c>
      <c r="X198" s="6">
        <f>IF(ISERROR(VLOOKUP($U$198,'TAR FIN'!$A$1:$O$103,15,0)),0,VLOOKUP($U$198,'TAR FIN'!$A$1:$O$103,15,0))</f>
        <v>391.54</v>
      </c>
      <c r="Y198" s="6"/>
      <c r="Z198" s="6">
        <f ca="1">('TUSD BE'!$AM$23+'TUSD BF_350'!$AM$23+'TUSD CVA'!$AM$23)*1</f>
        <v>1385.4977743340116</v>
      </c>
      <c r="AA198" s="6">
        <f ca="1">('TE BE'!$AB$8+'TE BF_350'!$AB$8+'TE CVA'!$AB$8)*1</f>
        <v>361.95264704220779</v>
      </c>
      <c r="AB198" s="6">
        <f>$K$198*$V$198</f>
        <v>0</v>
      </c>
      <c r="AC198" s="6">
        <f>$M$198*$W$198</f>
        <v>30231.525419999998</v>
      </c>
      <c r="AD198" s="6">
        <f>$O$198*$X$198</f>
        <v>9898.5227400000003</v>
      </c>
      <c r="AE198" s="6">
        <f>$K$198*$Y$198</f>
        <v>0</v>
      </c>
      <c r="AF198" s="6">
        <f ca="1">$M$198*$Z$198</f>
        <v>35026.769232938146</v>
      </c>
      <c r="AG198" s="6">
        <f ca="1">$O$198*$AA$198</f>
        <v>9150.5248698740543</v>
      </c>
    </row>
    <row r="199" spans="1:33" ht="11.25" customHeight="1" x14ac:dyDescent="0.3">
      <c r="A199" s="4" t="s">
        <v>28</v>
      </c>
      <c r="B199" s="4" t="s">
        <v>39</v>
      </c>
      <c r="C199" s="4" t="s">
        <v>40</v>
      </c>
      <c r="D199" s="4" t="s">
        <v>41</v>
      </c>
      <c r="E199" s="4" t="s">
        <v>25</v>
      </c>
      <c r="F199" s="4" t="s">
        <v>25</v>
      </c>
      <c r="G199" s="4" t="s">
        <v>25</v>
      </c>
      <c r="H199" s="4" t="s">
        <v>34</v>
      </c>
      <c r="I199" s="5">
        <v>44774</v>
      </c>
      <c r="J199" s="6">
        <v>0</v>
      </c>
      <c r="K199" s="6">
        <v>0</v>
      </c>
      <c r="L199" s="6">
        <v>11.702</v>
      </c>
      <c r="M199" s="6">
        <v>11.702</v>
      </c>
      <c r="N199" s="6">
        <v>11.702</v>
      </c>
      <c r="O199" s="6">
        <v>11.702</v>
      </c>
      <c r="P199" s="6">
        <v>0</v>
      </c>
      <c r="Q199" s="4" t="s">
        <v>26</v>
      </c>
      <c r="R199" s="4">
        <v>0</v>
      </c>
      <c r="S199" s="6">
        <v>0</v>
      </c>
      <c r="T199" s="6">
        <v>15</v>
      </c>
      <c r="U199" s="6">
        <v>65</v>
      </c>
      <c r="V199" s="6">
        <f>IF(ISERROR(VLOOKUP($S$199,'TAR FIN'!$A$1:$O$103,15,0)),0,VLOOKUP($S$199,'TAR FIN'!$A$1:$O$103,15,0))</f>
        <v>0</v>
      </c>
      <c r="W199" s="6">
        <f>IF(ISERROR(VLOOKUP($T$199,'TAR FIN'!$A$1:$O$103,15,0)),0,VLOOKUP($T$199,'TAR FIN'!$A$1:$O$103,15,0))</f>
        <v>1195.82</v>
      </c>
      <c r="X199" s="6">
        <f>IF(ISERROR(VLOOKUP($U$199,'TAR FIN'!$A$1:$O$103,15,0)),0,VLOOKUP($U$199,'TAR FIN'!$A$1:$O$103,15,0))</f>
        <v>391.54</v>
      </c>
      <c r="Y199" s="6"/>
      <c r="Z199" s="6">
        <f ca="1">('TUSD BE'!$AM$23+'TUSD BF_350'!$AM$23+'TUSD CVA'!$AM$23)*1</f>
        <v>1385.4977743340116</v>
      </c>
      <c r="AA199" s="6">
        <f ca="1">('TE BE'!$AB$8+'TE BF_350'!$AB$8+'TE CVA'!$AB$8)*1</f>
        <v>361.95264704220779</v>
      </c>
      <c r="AB199" s="6">
        <f>$K$199*$V$199</f>
        <v>0</v>
      </c>
      <c r="AC199" s="6">
        <f>$M$199*$W$199</f>
        <v>13993.485639999999</v>
      </c>
      <c r="AD199" s="6">
        <f>$O$199*$X$199</f>
        <v>4581.8010800000002</v>
      </c>
      <c r="AE199" s="6">
        <f>$K$199*$Y$199</f>
        <v>0</v>
      </c>
      <c r="AF199" s="6">
        <f ca="1">$M$199*$Z$199</f>
        <v>16213.094955256603</v>
      </c>
      <c r="AG199" s="6">
        <f ca="1">$O$199*$AA$199</f>
        <v>4235.5698756879156</v>
      </c>
    </row>
    <row r="200" spans="1:33" ht="11.25" customHeight="1" x14ac:dyDescent="0.3">
      <c r="A200" s="4" t="s">
        <v>21</v>
      </c>
      <c r="B200" s="4" t="s">
        <v>39</v>
      </c>
      <c r="C200" s="4" t="s">
        <v>40</v>
      </c>
      <c r="D200" s="4" t="s">
        <v>41</v>
      </c>
      <c r="E200" s="4" t="s">
        <v>25</v>
      </c>
      <c r="F200" s="4" t="s">
        <v>25</v>
      </c>
      <c r="G200" s="4" t="s">
        <v>25</v>
      </c>
      <c r="H200" s="4" t="s">
        <v>34</v>
      </c>
      <c r="I200" s="5">
        <v>44805</v>
      </c>
      <c r="J200" s="6">
        <v>0</v>
      </c>
      <c r="K200" s="6">
        <v>0</v>
      </c>
      <c r="L200" s="6">
        <v>29.542000000000002</v>
      </c>
      <c r="M200" s="6">
        <v>29.542000000000002</v>
      </c>
      <c r="N200" s="6">
        <v>29.542000000000002</v>
      </c>
      <c r="O200" s="6">
        <v>29.542000000000002</v>
      </c>
      <c r="P200" s="6">
        <v>0</v>
      </c>
      <c r="Q200" s="4" t="s">
        <v>26</v>
      </c>
      <c r="R200" s="4">
        <v>0</v>
      </c>
      <c r="S200" s="6">
        <v>0</v>
      </c>
      <c r="T200" s="6">
        <v>15</v>
      </c>
      <c r="U200" s="6">
        <v>65</v>
      </c>
      <c r="V200" s="6">
        <f>IF(ISERROR(VLOOKUP($S$200,'TAR FIN'!$A$1:$O$103,15,0)),0,VLOOKUP($S$200,'TAR FIN'!$A$1:$O$103,15,0))</f>
        <v>0</v>
      </c>
      <c r="W200" s="6">
        <f>IF(ISERROR(VLOOKUP($T$200,'TAR FIN'!$A$1:$O$103,15,0)),0,VLOOKUP($T$200,'TAR FIN'!$A$1:$O$103,15,0))</f>
        <v>1195.82</v>
      </c>
      <c r="X200" s="6">
        <f>IF(ISERROR(VLOOKUP($U$200,'TAR FIN'!$A$1:$O$103,15,0)),0,VLOOKUP($U$200,'TAR FIN'!$A$1:$O$103,15,0))</f>
        <v>391.54</v>
      </c>
      <c r="Y200" s="6"/>
      <c r="Z200" s="6">
        <f ca="1">('TUSD BE'!$AM$23+'TUSD BF_350'!$AM$23+'TUSD CVA'!$AM$23)*1</f>
        <v>1385.4977743340116</v>
      </c>
      <c r="AA200" s="6">
        <f ca="1">('TE BE'!$AB$8+'TE BF_350'!$AB$8+'TE CVA'!$AB$8)*1</f>
        <v>361.95264704220779</v>
      </c>
      <c r="AB200" s="6">
        <f>$K$200*$V$200</f>
        <v>0</v>
      </c>
      <c r="AC200" s="6">
        <f>$M$200*$W$200</f>
        <v>35326.91444</v>
      </c>
      <c r="AD200" s="6">
        <f>$O$200*$X$200</f>
        <v>11566.874680000001</v>
      </c>
      <c r="AE200" s="6">
        <f>$K$200*$Y$200</f>
        <v>0</v>
      </c>
      <c r="AF200" s="6">
        <f ca="1">$M$200*$Z$200</f>
        <v>40930.375249375371</v>
      </c>
      <c r="AG200" s="6">
        <f ca="1">$O$200*$AA$200</f>
        <v>10692.805098920902</v>
      </c>
    </row>
    <row r="201" spans="1:33" ht="11.25" customHeight="1" x14ac:dyDescent="0.3">
      <c r="A201" s="4" t="s">
        <v>28</v>
      </c>
      <c r="B201" s="4" t="s">
        <v>39</v>
      </c>
      <c r="C201" s="4" t="s">
        <v>40</v>
      </c>
      <c r="D201" s="4" t="s">
        <v>41</v>
      </c>
      <c r="E201" s="4" t="s">
        <v>25</v>
      </c>
      <c r="F201" s="4" t="s">
        <v>25</v>
      </c>
      <c r="G201" s="4" t="s">
        <v>25</v>
      </c>
      <c r="H201" s="4" t="s">
        <v>34</v>
      </c>
      <c r="I201" s="5">
        <v>44805</v>
      </c>
      <c r="J201" s="6">
        <v>0</v>
      </c>
      <c r="K201" s="6">
        <v>0</v>
      </c>
      <c r="L201" s="6">
        <v>8.1170000000000009</v>
      </c>
      <c r="M201" s="6">
        <v>8.1170000000000009</v>
      </c>
      <c r="N201" s="6">
        <v>8.1170000000000009</v>
      </c>
      <c r="O201" s="6">
        <v>8.1170000000000009</v>
      </c>
      <c r="P201" s="6">
        <v>0</v>
      </c>
      <c r="Q201" s="4" t="s">
        <v>26</v>
      </c>
      <c r="R201" s="4">
        <v>0</v>
      </c>
      <c r="S201" s="6">
        <v>0</v>
      </c>
      <c r="T201" s="6">
        <v>15</v>
      </c>
      <c r="U201" s="6">
        <v>65</v>
      </c>
      <c r="V201" s="6">
        <f>IF(ISERROR(VLOOKUP($S$201,'TAR FIN'!$A$1:$O$103,15,0)),0,VLOOKUP($S$201,'TAR FIN'!$A$1:$O$103,15,0))</f>
        <v>0</v>
      </c>
      <c r="W201" s="6">
        <f>IF(ISERROR(VLOOKUP($T$201,'TAR FIN'!$A$1:$O$103,15,0)),0,VLOOKUP($T$201,'TAR FIN'!$A$1:$O$103,15,0))</f>
        <v>1195.82</v>
      </c>
      <c r="X201" s="6">
        <f>IF(ISERROR(VLOOKUP($U$201,'TAR FIN'!$A$1:$O$103,15,0)),0,VLOOKUP($U$201,'TAR FIN'!$A$1:$O$103,15,0))</f>
        <v>391.54</v>
      </c>
      <c r="Y201" s="6"/>
      <c r="Z201" s="6">
        <f ca="1">('TUSD BE'!$AM$23+'TUSD BF_350'!$AM$23+'TUSD CVA'!$AM$23)*1</f>
        <v>1385.4977743340116</v>
      </c>
      <c r="AA201" s="6">
        <f ca="1">('TE BE'!$AB$8+'TE BF_350'!$AB$8+'TE CVA'!$AB$8)*1</f>
        <v>361.95264704220779</v>
      </c>
      <c r="AB201" s="6">
        <f>$K$201*$V$201</f>
        <v>0</v>
      </c>
      <c r="AC201" s="6">
        <f>$M$201*$W$201</f>
        <v>9706.4709400000011</v>
      </c>
      <c r="AD201" s="6">
        <f>$O$201*$X$201</f>
        <v>3178.1301800000006</v>
      </c>
      <c r="AE201" s="6">
        <f>$K$201*$Y$201</f>
        <v>0</v>
      </c>
      <c r="AF201" s="6">
        <f ca="1">$M$201*$Z$201</f>
        <v>11246.085434269175</v>
      </c>
      <c r="AG201" s="6">
        <f ca="1">$O$201*$AA$201</f>
        <v>2937.969636041601</v>
      </c>
    </row>
    <row r="202" spans="1:33" ht="11.25" customHeight="1" x14ac:dyDescent="0.3">
      <c r="A202" s="4" t="s">
        <v>57</v>
      </c>
      <c r="B202" s="4" t="s">
        <v>39</v>
      </c>
      <c r="C202" s="4" t="s">
        <v>40</v>
      </c>
      <c r="D202" s="4" t="s">
        <v>41</v>
      </c>
      <c r="E202" s="4" t="s">
        <v>25</v>
      </c>
      <c r="F202" s="4" t="s">
        <v>25</v>
      </c>
      <c r="G202" s="4" t="s">
        <v>25</v>
      </c>
      <c r="H202" s="4" t="s">
        <v>34</v>
      </c>
      <c r="I202" s="5">
        <v>44835</v>
      </c>
      <c r="J202" s="6">
        <v>0</v>
      </c>
      <c r="K202" s="6">
        <v>0</v>
      </c>
      <c r="L202" s="6">
        <v>29.542000000000002</v>
      </c>
      <c r="M202" s="6">
        <v>29.542000000000002</v>
      </c>
      <c r="N202" s="6">
        <v>29.542000000000002</v>
      </c>
      <c r="O202" s="6">
        <v>29.542000000000002</v>
      </c>
      <c r="P202" s="6">
        <v>0</v>
      </c>
      <c r="Q202" s="4" t="s">
        <v>26</v>
      </c>
      <c r="R202" s="4">
        <v>0</v>
      </c>
      <c r="S202" s="6">
        <v>0</v>
      </c>
      <c r="T202" s="6">
        <v>15</v>
      </c>
      <c r="U202" s="6">
        <v>65</v>
      </c>
      <c r="V202" s="6">
        <f>IF(ISERROR(VLOOKUP($S$202,'TAR FIN'!$A$1:$O$103,15,0)),0,VLOOKUP($S$202,'TAR FIN'!$A$1:$O$103,15,0))</f>
        <v>0</v>
      </c>
      <c r="W202" s="6">
        <f>IF(ISERROR(VLOOKUP($T$202,'TAR FIN'!$A$1:$O$103,15,0)),0,VLOOKUP($T$202,'TAR FIN'!$A$1:$O$103,15,0))</f>
        <v>1195.82</v>
      </c>
      <c r="X202" s="6">
        <f>IF(ISERROR(VLOOKUP($U$202,'TAR FIN'!$A$1:$O$103,15,0)),0,VLOOKUP($U$202,'TAR FIN'!$A$1:$O$103,15,0))</f>
        <v>391.54</v>
      </c>
      <c r="Y202" s="6"/>
      <c r="Z202" s="6">
        <f ca="1">('TUSD BE'!$AM$23+'TUSD BF_350'!$AM$23+'TUSD CVA'!$AM$23)*1</f>
        <v>1385.4977743340116</v>
      </c>
      <c r="AA202" s="6">
        <f ca="1">('TE BE'!$AB$8+'TE BF_350'!$AB$8+'TE CVA'!$AB$8)*1</f>
        <v>361.95264704220779</v>
      </c>
      <c r="AB202" s="6">
        <f>$K$202*$V$202</f>
        <v>0</v>
      </c>
      <c r="AC202" s="6">
        <f>$M$202*$W$202</f>
        <v>35326.91444</v>
      </c>
      <c r="AD202" s="6">
        <f>$O$202*$X$202</f>
        <v>11566.874680000001</v>
      </c>
      <c r="AE202" s="6">
        <f>$K$202*$Y$202</f>
        <v>0</v>
      </c>
      <c r="AF202" s="6">
        <f ca="1">$M$202*$Z$202</f>
        <v>40930.375249375371</v>
      </c>
      <c r="AG202" s="6">
        <f ca="1">$O$202*$AA$202</f>
        <v>10692.805098920902</v>
      </c>
    </row>
    <row r="203" spans="1:33" ht="11.25" customHeight="1" x14ac:dyDescent="0.3">
      <c r="A203" s="4" t="s">
        <v>57</v>
      </c>
      <c r="B203" s="4" t="s">
        <v>39</v>
      </c>
      <c r="C203" s="4" t="s">
        <v>40</v>
      </c>
      <c r="D203" s="4" t="s">
        <v>41</v>
      </c>
      <c r="E203" s="4" t="s">
        <v>25</v>
      </c>
      <c r="F203" s="4" t="s">
        <v>25</v>
      </c>
      <c r="G203" s="4" t="s">
        <v>25</v>
      </c>
      <c r="H203" s="4" t="s">
        <v>34</v>
      </c>
      <c r="I203" s="5">
        <v>44835</v>
      </c>
      <c r="J203" s="6">
        <v>0</v>
      </c>
      <c r="K203" s="6">
        <v>0</v>
      </c>
      <c r="L203" s="6">
        <v>8.1170000000000009</v>
      </c>
      <c r="M203" s="6">
        <v>8.1170000000000009</v>
      </c>
      <c r="N203" s="6">
        <v>8.1170000000000009</v>
      </c>
      <c r="O203" s="6">
        <v>8.1170000000000009</v>
      </c>
      <c r="P203" s="6">
        <v>0</v>
      </c>
      <c r="Q203" s="4" t="s">
        <v>26</v>
      </c>
      <c r="R203" s="4">
        <v>0</v>
      </c>
      <c r="S203" s="6">
        <v>0</v>
      </c>
      <c r="T203" s="6">
        <v>15</v>
      </c>
      <c r="U203" s="6">
        <v>65</v>
      </c>
      <c r="V203" s="6">
        <f>IF(ISERROR(VLOOKUP($S$203,'TAR FIN'!$A$1:$O$103,15,0)),0,VLOOKUP($S$203,'TAR FIN'!$A$1:$O$103,15,0))</f>
        <v>0</v>
      </c>
      <c r="W203" s="6">
        <f>IF(ISERROR(VLOOKUP($T$203,'TAR FIN'!$A$1:$O$103,15,0)),0,VLOOKUP($T$203,'TAR FIN'!$A$1:$O$103,15,0))</f>
        <v>1195.82</v>
      </c>
      <c r="X203" s="6">
        <f>IF(ISERROR(VLOOKUP($U$203,'TAR FIN'!$A$1:$O$103,15,0)),0,VLOOKUP($U$203,'TAR FIN'!$A$1:$O$103,15,0))</f>
        <v>391.54</v>
      </c>
      <c r="Y203" s="6"/>
      <c r="Z203" s="6">
        <f ca="1">('TUSD BE'!$AM$23+'TUSD BF_350'!$AM$23+'TUSD CVA'!$AM$23)*1</f>
        <v>1385.4977743340116</v>
      </c>
      <c r="AA203" s="6">
        <f ca="1">('TE BE'!$AB$8+'TE BF_350'!$AB$8+'TE CVA'!$AB$8)*1</f>
        <v>361.95264704220779</v>
      </c>
      <c r="AB203" s="6">
        <f>$K$203*$V$203</f>
        <v>0</v>
      </c>
      <c r="AC203" s="6">
        <f>$M$203*$W$203</f>
        <v>9706.4709400000011</v>
      </c>
      <c r="AD203" s="6">
        <f>$O$203*$X$203</f>
        <v>3178.1301800000006</v>
      </c>
      <c r="AE203" s="6">
        <f>$K$203*$Y$203</f>
        <v>0</v>
      </c>
      <c r="AF203" s="6">
        <f ca="1">$M$203*$Z$203</f>
        <v>11246.085434269175</v>
      </c>
      <c r="AG203" s="6">
        <f ca="1">$O$203*$AA$203</f>
        <v>2937.969636041601</v>
      </c>
    </row>
    <row r="204" spans="1:33" ht="11.25" customHeight="1" x14ac:dyDescent="0.3">
      <c r="A204" s="4" t="s">
        <v>21</v>
      </c>
      <c r="B204" s="4" t="s">
        <v>39</v>
      </c>
      <c r="C204" s="4" t="s">
        <v>40</v>
      </c>
      <c r="D204" s="4" t="s">
        <v>38</v>
      </c>
      <c r="E204" s="4" t="s">
        <v>25</v>
      </c>
      <c r="F204" s="4" t="s">
        <v>58</v>
      </c>
      <c r="G204" s="4" t="s">
        <v>25</v>
      </c>
      <c r="H204" s="4" t="s">
        <v>35</v>
      </c>
      <c r="I204" s="5">
        <v>44501</v>
      </c>
      <c r="J204" s="6">
        <v>0</v>
      </c>
      <c r="K204" s="6">
        <v>0</v>
      </c>
      <c r="L204" s="6">
        <v>575.26099999999997</v>
      </c>
      <c r="M204" s="6">
        <v>575.26099999999997</v>
      </c>
      <c r="N204" s="6">
        <v>0</v>
      </c>
      <c r="O204" s="6">
        <v>0</v>
      </c>
      <c r="P204" s="6">
        <v>0</v>
      </c>
      <c r="Q204" s="4" t="s">
        <v>59</v>
      </c>
      <c r="R204" s="4">
        <v>0</v>
      </c>
      <c r="S204" s="6">
        <v>0</v>
      </c>
      <c r="T204" s="6">
        <v>17</v>
      </c>
      <c r="U204" s="6">
        <v>0</v>
      </c>
      <c r="V204" s="6">
        <f>IF(ISERROR(VLOOKUP($S$204,'TAR FIN'!$A$1:$O$103,15,0)),0,VLOOKUP($S$204,'TAR FIN'!$A$1:$O$103,15,0))</f>
        <v>0</v>
      </c>
      <c r="W204" s="6">
        <f>IF(ISERROR(VLOOKUP($T$204,'TAR FIN'!$A$1:$O$103,15,0)),0,VLOOKUP($T$204,'TAR FIN'!$A$1:$O$103,15,0))</f>
        <v>84.99</v>
      </c>
      <c r="X204" s="6">
        <f>IF(ISERROR(VLOOKUP($U$204,'TAR FIN'!$A$1:$O$103,15,0)),0,VLOOKUP($U$204,'TAR FIN'!$A$1:$O$103,15,0))</f>
        <v>0</v>
      </c>
      <c r="Y204" s="6"/>
      <c r="Z204" s="6">
        <f ca="1">('TUSD BE'!$AM$24+'TUSD BF_350'!$AM$24+'TUSD CVA'!$AM$24)*1</f>
        <v>145.72237393634796</v>
      </c>
      <c r="AA204" s="6"/>
      <c r="AB204" s="6">
        <f>$K$204*$V$204</f>
        <v>0</v>
      </c>
      <c r="AC204" s="6">
        <f>$M$204*$W$204</f>
        <v>48891.432389999994</v>
      </c>
      <c r="AD204" s="6">
        <f>$O$204*$X$204</f>
        <v>0</v>
      </c>
      <c r="AE204" s="6">
        <f>$K$204*$Y$204</f>
        <v>0</v>
      </c>
      <c r="AF204" s="6">
        <f ca="1">$M$204*$Z$204</f>
        <v>83828.39855299746</v>
      </c>
      <c r="AG204" s="6">
        <f>$O$204*$AA$204</f>
        <v>0</v>
      </c>
    </row>
    <row r="205" spans="1:33" ht="11.25" customHeight="1" x14ac:dyDescent="0.3">
      <c r="A205" s="4" t="s">
        <v>21</v>
      </c>
      <c r="B205" s="4" t="s">
        <v>39</v>
      </c>
      <c r="C205" s="4" t="s">
        <v>40</v>
      </c>
      <c r="D205" s="4" t="s">
        <v>38</v>
      </c>
      <c r="E205" s="4" t="s">
        <v>25</v>
      </c>
      <c r="F205" s="4" t="s">
        <v>58</v>
      </c>
      <c r="G205" s="4" t="s">
        <v>25</v>
      </c>
      <c r="H205" s="4" t="s">
        <v>35</v>
      </c>
      <c r="I205" s="5">
        <v>44531</v>
      </c>
      <c r="J205" s="6">
        <v>0</v>
      </c>
      <c r="K205" s="6">
        <v>0</v>
      </c>
      <c r="L205" s="6">
        <v>596.47500000000002</v>
      </c>
      <c r="M205" s="6">
        <v>596.47500000000002</v>
      </c>
      <c r="N205" s="6">
        <v>0</v>
      </c>
      <c r="O205" s="6">
        <v>0</v>
      </c>
      <c r="P205" s="6">
        <v>0</v>
      </c>
      <c r="Q205" s="4" t="s">
        <v>59</v>
      </c>
      <c r="R205" s="4">
        <v>0</v>
      </c>
      <c r="S205" s="6">
        <v>0</v>
      </c>
      <c r="T205" s="6">
        <v>17</v>
      </c>
      <c r="U205" s="6">
        <v>0</v>
      </c>
      <c r="V205" s="6">
        <f>IF(ISERROR(VLOOKUP($S$205,'TAR FIN'!$A$1:$O$103,15,0)),0,VLOOKUP($S$205,'TAR FIN'!$A$1:$O$103,15,0))</f>
        <v>0</v>
      </c>
      <c r="W205" s="6">
        <f>IF(ISERROR(VLOOKUP($T$205,'TAR FIN'!$A$1:$O$103,15,0)),0,VLOOKUP($T$205,'TAR FIN'!$A$1:$O$103,15,0))</f>
        <v>84.99</v>
      </c>
      <c r="X205" s="6">
        <f>IF(ISERROR(VLOOKUP($U$205,'TAR FIN'!$A$1:$O$103,15,0)),0,VLOOKUP($U$205,'TAR FIN'!$A$1:$O$103,15,0))</f>
        <v>0</v>
      </c>
      <c r="Y205" s="6"/>
      <c r="Z205" s="6">
        <f ca="1">('TUSD BE'!$AM$24+'TUSD BF_350'!$AM$24+'TUSD CVA'!$AM$24)*1</f>
        <v>145.72237393634796</v>
      </c>
      <c r="AA205" s="6"/>
      <c r="AB205" s="6">
        <f>$K$205*$V$205</f>
        <v>0</v>
      </c>
      <c r="AC205" s="6">
        <f>$M$205*$W$205</f>
        <v>50694.410250000001</v>
      </c>
      <c r="AD205" s="6">
        <f>$O$205*$X$205</f>
        <v>0</v>
      </c>
      <c r="AE205" s="6">
        <f>$K$205*$Y$205</f>
        <v>0</v>
      </c>
      <c r="AF205" s="6">
        <f ca="1">$M$205*$Z$205</f>
        <v>86919.752993683156</v>
      </c>
      <c r="AG205" s="6">
        <f>$O$205*$AA$205</f>
        <v>0</v>
      </c>
    </row>
    <row r="206" spans="1:33" ht="11.25" customHeight="1" x14ac:dyDescent="0.3">
      <c r="A206" s="4" t="s">
        <v>21</v>
      </c>
      <c r="B206" s="4" t="s">
        <v>39</v>
      </c>
      <c r="C206" s="4" t="s">
        <v>40</v>
      </c>
      <c r="D206" s="4" t="s">
        <v>38</v>
      </c>
      <c r="E206" s="4" t="s">
        <v>25</v>
      </c>
      <c r="F206" s="4" t="s">
        <v>58</v>
      </c>
      <c r="G206" s="4" t="s">
        <v>25</v>
      </c>
      <c r="H206" s="4" t="s">
        <v>35</v>
      </c>
      <c r="I206" s="5">
        <v>44562</v>
      </c>
      <c r="J206" s="6">
        <v>0</v>
      </c>
      <c r="K206" s="6">
        <v>0</v>
      </c>
      <c r="L206" s="6">
        <v>604.79100000000005</v>
      </c>
      <c r="M206" s="6">
        <v>604.79100000000005</v>
      </c>
      <c r="N206" s="6">
        <v>0</v>
      </c>
      <c r="O206" s="6">
        <v>0</v>
      </c>
      <c r="P206" s="6">
        <v>0</v>
      </c>
      <c r="Q206" s="4" t="s">
        <v>59</v>
      </c>
      <c r="R206" s="4">
        <v>0</v>
      </c>
      <c r="S206" s="6">
        <v>0</v>
      </c>
      <c r="T206" s="6">
        <v>17</v>
      </c>
      <c r="U206" s="6">
        <v>0</v>
      </c>
      <c r="V206" s="6">
        <f>IF(ISERROR(VLOOKUP($S$206,'TAR FIN'!$A$1:$O$103,15,0)),0,VLOOKUP($S$206,'TAR FIN'!$A$1:$O$103,15,0))</f>
        <v>0</v>
      </c>
      <c r="W206" s="6">
        <f>IF(ISERROR(VLOOKUP($T$206,'TAR FIN'!$A$1:$O$103,15,0)),0,VLOOKUP($T$206,'TAR FIN'!$A$1:$O$103,15,0))</f>
        <v>84.99</v>
      </c>
      <c r="X206" s="6">
        <f>IF(ISERROR(VLOOKUP($U$206,'TAR FIN'!$A$1:$O$103,15,0)),0,VLOOKUP($U$206,'TAR FIN'!$A$1:$O$103,15,0))</f>
        <v>0</v>
      </c>
      <c r="Y206" s="6"/>
      <c r="Z206" s="6">
        <f ca="1">('TUSD BE'!$AM$24+'TUSD BF_350'!$AM$24+'TUSD CVA'!$AM$24)*1</f>
        <v>145.72237393634796</v>
      </c>
      <c r="AA206" s="6"/>
      <c r="AB206" s="6">
        <f>$K$206*$V$206</f>
        <v>0</v>
      </c>
      <c r="AC206" s="6">
        <f>$M$206*$W$206</f>
        <v>51401.187089999999</v>
      </c>
      <c r="AD206" s="6">
        <f>$O$206*$X$206</f>
        <v>0</v>
      </c>
      <c r="AE206" s="6">
        <f>$K$206*$Y$206</f>
        <v>0</v>
      </c>
      <c r="AF206" s="6">
        <f ca="1">$M$206*$Z$206</f>
        <v>88131.580255337831</v>
      </c>
      <c r="AG206" s="6">
        <f>$O$206*$AA$206</f>
        <v>0</v>
      </c>
    </row>
    <row r="207" spans="1:33" ht="11.25" customHeight="1" x14ac:dyDescent="0.3">
      <c r="A207" s="4" t="s">
        <v>21</v>
      </c>
      <c r="B207" s="4" t="s">
        <v>39</v>
      </c>
      <c r="C207" s="4" t="s">
        <v>40</v>
      </c>
      <c r="D207" s="4" t="s">
        <v>38</v>
      </c>
      <c r="E207" s="4" t="s">
        <v>25</v>
      </c>
      <c r="F207" s="4" t="s">
        <v>58</v>
      </c>
      <c r="G207" s="4" t="s">
        <v>25</v>
      </c>
      <c r="H207" s="4" t="s">
        <v>35</v>
      </c>
      <c r="I207" s="5">
        <v>44593</v>
      </c>
      <c r="J207" s="6">
        <v>0</v>
      </c>
      <c r="K207" s="6">
        <v>0</v>
      </c>
      <c r="L207" s="6">
        <v>605.59</v>
      </c>
      <c r="M207" s="6">
        <v>605.59</v>
      </c>
      <c r="N207" s="6">
        <v>0</v>
      </c>
      <c r="O207" s="6">
        <v>0</v>
      </c>
      <c r="P207" s="6">
        <v>0</v>
      </c>
      <c r="Q207" s="4" t="s">
        <v>59</v>
      </c>
      <c r="R207" s="4">
        <v>0</v>
      </c>
      <c r="S207" s="6">
        <v>0</v>
      </c>
      <c r="T207" s="6">
        <v>17</v>
      </c>
      <c r="U207" s="6">
        <v>0</v>
      </c>
      <c r="V207" s="6">
        <f>IF(ISERROR(VLOOKUP($S$207,'TAR FIN'!$A$1:$O$103,15,0)),0,VLOOKUP($S$207,'TAR FIN'!$A$1:$O$103,15,0))</f>
        <v>0</v>
      </c>
      <c r="W207" s="6">
        <f>IF(ISERROR(VLOOKUP($T$207,'TAR FIN'!$A$1:$O$103,15,0)),0,VLOOKUP($T$207,'TAR FIN'!$A$1:$O$103,15,0))</f>
        <v>84.99</v>
      </c>
      <c r="X207" s="6">
        <f>IF(ISERROR(VLOOKUP($U$207,'TAR FIN'!$A$1:$O$103,15,0)),0,VLOOKUP($U$207,'TAR FIN'!$A$1:$O$103,15,0))</f>
        <v>0</v>
      </c>
      <c r="Y207" s="6"/>
      <c r="Z207" s="6">
        <f ca="1">('TUSD BE'!$AM$24+'TUSD BF_350'!$AM$24+'TUSD CVA'!$AM$24)*1</f>
        <v>145.72237393634796</v>
      </c>
      <c r="AA207" s="6"/>
      <c r="AB207" s="6">
        <f>$K$207*$V$207</f>
        <v>0</v>
      </c>
      <c r="AC207" s="6">
        <f>$M$207*$W$207</f>
        <v>51469.094100000002</v>
      </c>
      <c r="AD207" s="6">
        <f>$O$207*$X$207</f>
        <v>0</v>
      </c>
      <c r="AE207" s="6">
        <f>$K$207*$Y$207</f>
        <v>0</v>
      </c>
      <c r="AF207" s="6">
        <f ca="1">$M$207*$Z$207</f>
        <v>88248.01243211297</v>
      </c>
      <c r="AG207" s="6">
        <f>$O$207*$AA$207</f>
        <v>0</v>
      </c>
    </row>
    <row r="208" spans="1:33" ht="11.25" customHeight="1" x14ac:dyDescent="0.3">
      <c r="A208" s="4" t="s">
        <v>21</v>
      </c>
      <c r="B208" s="4" t="s">
        <v>39</v>
      </c>
      <c r="C208" s="4" t="s">
        <v>40</v>
      </c>
      <c r="D208" s="4" t="s">
        <v>38</v>
      </c>
      <c r="E208" s="4" t="s">
        <v>25</v>
      </c>
      <c r="F208" s="4" t="s">
        <v>58</v>
      </c>
      <c r="G208" s="4" t="s">
        <v>25</v>
      </c>
      <c r="H208" s="4" t="s">
        <v>35</v>
      </c>
      <c r="I208" s="5">
        <v>44621</v>
      </c>
      <c r="J208" s="6">
        <v>0</v>
      </c>
      <c r="K208" s="6">
        <v>0</v>
      </c>
      <c r="L208" s="6">
        <v>636.11300000000006</v>
      </c>
      <c r="M208" s="6">
        <v>636.11300000000006</v>
      </c>
      <c r="N208" s="6">
        <v>0</v>
      </c>
      <c r="O208" s="6">
        <v>0</v>
      </c>
      <c r="P208" s="6">
        <v>0</v>
      </c>
      <c r="Q208" s="4" t="s">
        <v>59</v>
      </c>
      <c r="R208" s="4">
        <v>0</v>
      </c>
      <c r="S208" s="6">
        <v>0</v>
      </c>
      <c r="T208" s="6">
        <v>17</v>
      </c>
      <c r="U208" s="6">
        <v>0</v>
      </c>
      <c r="V208" s="6">
        <f>IF(ISERROR(VLOOKUP($S$208,'TAR FIN'!$A$1:$O$103,15,0)),0,VLOOKUP($S$208,'TAR FIN'!$A$1:$O$103,15,0))</f>
        <v>0</v>
      </c>
      <c r="W208" s="6">
        <f>IF(ISERROR(VLOOKUP($T$208,'TAR FIN'!$A$1:$O$103,15,0)),0,VLOOKUP($T$208,'TAR FIN'!$A$1:$O$103,15,0))</f>
        <v>84.99</v>
      </c>
      <c r="X208" s="6">
        <f>IF(ISERROR(VLOOKUP($U$208,'TAR FIN'!$A$1:$O$103,15,0)),0,VLOOKUP($U$208,'TAR FIN'!$A$1:$O$103,15,0))</f>
        <v>0</v>
      </c>
      <c r="Y208" s="6"/>
      <c r="Z208" s="6">
        <f ca="1">('TUSD BE'!$AM$24+'TUSD BF_350'!$AM$24+'TUSD CVA'!$AM$24)*1</f>
        <v>145.72237393634796</v>
      </c>
      <c r="AA208" s="6"/>
      <c r="AB208" s="6">
        <f>$K$208*$V$208</f>
        <v>0</v>
      </c>
      <c r="AC208" s="6">
        <f>$M$208*$W$208</f>
        <v>54063.243869999998</v>
      </c>
      <c r="AD208" s="6">
        <f>$O$208*$X$208</f>
        <v>0</v>
      </c>
      <c r="AE208" s="6">
        <f>$K$208*$Y$208</f>
        <v>0</v>
      </c>
      <c r="AF208" s="6">
        <f ca="1">$M$208*$Z$208</f>
        <v>92695.896451772118</v>
      </c>
      <c r="AG208" s="6">
        <f>$O$208*$AA$208</f>
        <v>0</v>
      </c>
    </row>
    <row r="209" spans="1:33" ht="11.25" customHeight="1" x14ac:dyDescent="0.3">
      <c r="A209" s="4" t="s">
        <v>21</v>
      </c>
      <c r="B209" s="4" t="s">
        <v>39</v>
      </c>
      <c r="C209" s="4" t="s">
        <v>40</v>
      </c>
      <c r="D209" s="4" t="s">
        <v>38</v>
      </c>
      <c r="E209" s="4" t="s">
        <v>25</v>
      </c>
      <c r="F209" s="4" t="s">
        <v>58</v>
      </c>
      <c r="G209" s="4" t="s">
        <v>25</v>
      </c>
      <c r="H209" s="4" t="s">
        <v>35</v>
      </c>
      <c r="I209" s="5">
        <v>44652</v>
      </c>
      <c r="J209" s="6">
        <v>0</v>
      </c>
      <c r="K209" s="6">
        <v>0</v>
      </c>
      <c r="L209" s="6">
        <v>652.21600000000001</v>
      </c>
      <c r="M209" s="6">
        <v>652.21600000000001</v>
      </c>
      <c r="N209" s="6">
        <v>0</v>
      </c>
      <c r="O209" s="6">
        <v>0</v>
      </c>
      <c r="P209" s="6">
        <v>0</v>
      </c>
      <c r="Q209" s="4" t="s">
        <v>59</v>
      </c>
      <c r="R209" s="4">
        <v>0</v>
      </c>
      <c r="S209" s="6">
        <v>0</v>
      </c>
      <c r="T209" s="6">
        <v>17</v>
      </c>
      <c r="U209" s="6">
        <v>0</v>
      </c>
      <c r="V209" s="6">
        <f>IF(ISERROR(VLOOKUP($S$209,'TAR FIN'!$A$1:$O$103,15,0)),0,VLOOKUP($S$209,'TAR FIN'!$A$1:$O$103,15,0))</f>
        <v>0</v>
      </c>
      <c r="W209" s="6">
        <f>IF(ISERROR(VLOOKUP($T$209,'TAR FIN'!$A$1:$O$103,15,0)),0,VLOOKUP($T$209,'TAR FIN'!$A$1:$O$103,15,0))</f>
        <v>84.99</v>
      </c>
      <c r="X209" s="6">
        <f>IF(ISERROR(VLOOKUP($U$209,'TAR FIN'!$A$1:$O$103,15,0)),0,VLOOKUP($U$209,'TAR FIN'!$A$1:$O$103,15,0))</f>
        <v>0</v>
      </c>
      <c r="Y209" s="6"/>
      <c r="Z209" s="6">
        <f ca="1">('TUSD BE'!$AM$24+'TUSD BF_350'!$AM$24+'TUSD CVA'!$AM$24)*1</f>
        <v>145.72237393634796</v>
      </c>
      <c r="AA209" s="6"/>
      <c r="AB209" s="6">
        <f>$K$209*$V$209</f>
        <v>0</v>
      </c>
      <c r="AC209" s="6">
        <f>$M$209*$W$209</f>
        <v>55431.83784</v>
      </c>
      <c r="AD209" s="6">
        <f>$O$209*$X$209</f>
        <v>0</v>
      </c>
      <c r="AE209" s="6">
        <f>$K$209*$Y$209</f>
        <v>0</v>
      </c>
      <c r="AF209" s="6">
        <f ca="1">$M$209*$Z$209</f>
        <v>95042.463839269127</v>
      </c>
      <c r="AG209" s="6">
        <f>$O$209*$AA$209</f>
        <v>0</v>
      </c>
    </row>
    <row r="210" spans="1:33" ht="11.25" customHeight="1" x14ac:dyDescent="0.3">
      <c r="A210" s="4" t="s">
        <v>21</v>
      </c>
      <c r="B210" s="4" t="s">
        <v>39</v>
      </c>
      <c r="C210" s="4" t="s">
        <v>40</v>
      </c>
      <c r="D210" s="4" t="s">
        <v>38</v>
      </c>
      <c r="E210" s="4" t="s">
        <v>25</v>
      </c>
      <c r="F210" s="4" t="s">
        <v>58</v>
      </c>
      <c r="G210" s="4" t="s">
        <v>25</v>
      </c>
      <c r="H210" s="4" t="s">
        <v>35</v>
      </c>
      <c r="I210" s="5">
        <v>44682</v>
      </c>
      <c r="J210" s="6">
        <v>0</v>
      </c>
      <c r="K210" s="6">
        <v>0</v>
      </c>
      <c r="L210" s="6">
        <v>649.923</v>
      </c>
      <c r="M210" s="6">
        <v>649.923</v>
      </c>
      <c r="N210" s="6">
        <v>0</v>
      </c>
      <c r="O210" s="6">
        <v>0</v>
      </c>
      <c r="P210" s="6">
        <v>0</v>
      </c>
      <c r="Q210" s="4" t="s">
        <v>59</v>
      </c>
      <c r="R210" s="4">
        <v>0</v>
      </c>
      <c r="S210" s="6">
        <v>0</v>
      </c>
      <c r="T210" s="6">
        <v>17</v>
      </c>
      <c r="U210" s="6">
        <v>0</v>
      </c>
      <c r="V210" s="6">
        <f>IF(ISERROR(VLOOKUP($S$210,'TAR FIN'!$A$1:$O$103,15,0)),0,VLOOKUP($S$210,'TAR FIN'!$A$1:$O$103,15,0))</f>
        <v>0</v>
      </c>
      <c r="W210" s="6">
        <f>IF(ISERROR(VLOOKUP($T$210,'TAR FIN'!$A$1:$O$103,15,0)),0,VLOOKUP($T$210,'TAR FIN'!$A$1:$O$103,15,0))</f>
        <v>84.99</v>
      </c>
      <c r="X210" s="6">
        <f>IF(ISERROR(VLOOKUP($U$210,'TAR FIN'!$A$1:$O$103,15,0)),0,VLOOKUP($U$210,'TAR FIN'!$A$1:$O$103,15,0))</f>
        <v>0</v>
      </c>
      <c r="Y210" s="6"/>
      <c r="Z210" s="6">
        <f ca="1">('TUSD BE'!$AM$24+'TUSD BF_350'!$AM$24+'TUSD CVA'!$AM$24)*1</f>
        <v>145.72237393634796</v>
      </c>
      <c r="AA210" s="6"/>
      <c r="AB210" s="6">
        <f>$K$210*$V$210</f>
        <v>0</v>
      </c>
      <c r="AC210" s="6">
        <f>$M$210*$W$210</f>
        <v>55236.955769999993</v>
      </c>
      <c r="AD210" s="6">
        <f>$O$210*$X$210</f>
        <v>0</v>
      </c>
      <c r="AE210" s="6">
        <f>$K$210*$Y$210</f>
        <v>0</v>
      </c>
      <c r="AF210" s="6">
        <f ca="1">$M$210*$Z$210</f>
        <v>94708.322435833077</v>
      </c>
      <c r="AG210" s="6">
        <f>$O$210*$AA$210</f>
        <v>0</v>
      </c>
    </row>
    <row r="211" spans="1:33" ht="11.25" customHeight="1" x14ac:dyDescent="0.3">
      <c r="A211" s="4" t="s">
        <v>21</v>
      </c>
      <c r="B211" s="4" t="s">
        <v>39</v>
      </c>
      <c r="C211" s="4" t="s">
        <v>40</v>
      </c>
      <c r="D211" s="4" t="s">
        <v>38</v>
      </c>
      <c r="E211" s="4" t="s">
        <v>25</v>
      </c>
      <c r="F211" s="4" t="s">
        <v>58</v>
      </c>
      <c r="G211" s="4" t="s">
        <v>25</v>
      </c>
      <c r="H211" s="4" t="s">
        <v>35</v>
      </c>
      <c r="I211" s="5">
        <v>44713</v>
      </c>
      <c r="J211" s="6">
        <v>0</v>
      </c>
      <c r="K211" s="6">
        <v>0</v>
      </c>
      <c r="L211" s="6">
        <v>575.21400000000006</v>
      </c>
      <c r="M211" s="6">
        <v>575.21400000000006</v>
      </c>
      <c r="N211" s="6">
        <v>0</v>
      </c>
      <c r="O211" s="6">
        <v>0</v>
      </c>
      <c r="P211" s="6">
        <v>0</v>
      </c>
      <c r="Q211" s="4" t="s">
        <v>59</v>
      </c>
      <c r="R211" s="4">
        <v>0</v>
      </c>
      <c r="S211" s="6">
        <v>0</v>
      </c>
      <c r="T211" s="6">
        <v>17</v>
      </c>
      <c r="U211" s="6">
        <v>0</v>
      </c>
      <c r="V211" s="6">
        <f>IF(ISERROR(VLOOKUP($S$211,'TAR FIN'!$A$1:$O$103,15,0)),0,VLOOKUP($S$211,'TAR FIN'!$A$1:$O$103,15,0))</f>
        <v>0</v>
      </c>
      <c r="W211" s="6">
        <f>IF(ISERROR(VLOOKUP($T$211,'TAR FIN'!$A$1:$O$103,15,0)),0,VLOOKUP($T$211,'TAR FIN'!$A$1:$O$103,15,0))</f>
        <v>84.99</v>
      </c>
      <c r="X211" s="6">
        <f>IF(ISERROR(VLOOKUP($U$211,'TAR FIN'!$A$1:$O$103,15,0)),0,VLOOKUP($U$211,'TAR FIN'!$A$1:$O$103,15,0))</f>
        <v>0</v>
      </c>
      <c r="Y211" s="6"/>
      <c r="Z211" s="6">
        <f ca="1">('TUSD BE'!$AM$24+'TUSD BF_350'!$AM$24+'TUSD CVA'!$AM$24)*1</f>
        <v>145.72237393634796</v>
      </c>
      <c r="AA211" s="6"/>
      <c r="AB211" s="6">
        <f>$K$211*$V$211</f>
        <v>0</v>
      </c>
      <c r="AC211" s="6">
        <f>$M$211*$W$211</f>
        <v>48887.437859999998</v>
      </c>
      <c r="AD211" s="6">
        <f>$O$211*$X$211</f>
        <v>0</v>
      </c>
      <c r="AE211" s="6">
        <f>$K$211*$Y$211</f>
        <v>0</v>
      </c>
      <c r="AF211" s="6">
        <f ca="1">$M$211*$Z$211</f>
        <v>83821.549601422463</v>
      </c>
      <c r="AG211" s="6">
        <f>$O$211*$AA$211</f>
        <v>0</v>
      </c>
    </row>
    <row r="212" spans="1:33" ht="11.25" customHeight="1" x14ac:dyDescent="0.3">
      <c r="A212" s="4" t="s">
        <v>21</v>
      </c>
      <c r="B212" s="4" t="s">
        <v>39</v>
      </c>
      <c r="C212" s="4" t="s">
        <v>40</v>
      </c>
      <c r="D212" s="4" t="s">
        <v>38</v>
      </c>
      <c r="E212" s="4" t="s">
        <v>25</v>
      </c>
      <c r="F212" s="4" t="s">
        <v>58</v>
      </c>
      <c r="G212" s="4" t="s">
        <v>25</v>
      </c>
      <c r="H212" s="4" t="s">
        <v>35</v>
      </c>
      <c r="I212" s="5">
        <v>44743</v>
      </c>
      <c r="J212" s="6">
        <v>0</v>
      </c>
      <c r="K212" s="6">
        <v>0</v>
      </c>
      <c r="L212" s="6">
        <v>748.23299999999995</v>
      </c>
      <c r="M212" s="6">
        <v>748.23299999999995</v>
      </c>
      <c r="N212" s="6">
        <v>0</v>
      </c>
      <c r="O212" s="6">
        <v>0</v>
      </c>
      <c r="P212" s="6">
        <v>0</v>
      </c>
      <c r="Q212" s="4" t="s">
        <v>59</v>
      </c>
      <c r="R212" s="4">
        <v>0</v>
      </c>
      <c r="S212" s="6">
        <v>0</v>
      </c>
      <c r="T212" s="6">
        <v>17</v>
      </c>
      <c r="U212" s="6">
        <v>0</v>
      </c>
      <c r="V212" s="6">
        <f>IF(ISERROR(VLOOKUP($S$212,'TAR FIN'!$A$1:$O$103,15,0)),0,VLOOKUP($S$212,'TAR FIN'!$A$1:$O$103,15,0))</f>
        <v>0</v>
      </c>
      <c r="W212" s="6">
        <f>IF(ISERROR(VLOOKUP($T$212,'TAR FIN'!$A$1:$O$103,15,0)),0,VLOOKUP($T$212,'TAR FIN'!$A$1:$O$103,15,0))</f>
        <v>84.99</v>
      </c>
      <c r="X212" s="6">
        <f>IF(ISERROR(VLOOKUP($U$212,'TAR FIN'!$A$1:$O$103,15,0)),0,VLOOKUP($U$212,'TAR FIN'!$A$1:$O$103,15,0))</f>
        <v>0</v>
      </c>
      <c r="Y212" s="6"/>
      <c r="Z212" s="6">
        <f ca="1">('TUSD BE'!$AM$24+'TUSD BF_350'!$AM$24+'TUSD CVA'!$AM$24)*1</f>
        <v>145.72237393634796</v>
      </c>
      <c r="AA212" s="6"/>
      <c r="AB212" s="6">
        <f>$K$212*$V$212</f>
        <v>0</v>
      </c>
      <c r="AC212" s="6">
        <f>$M$212*$W$212</f>
        <v>63592.322669999994</v>
      </c>
      <c r="AD212" s="6">
        <f>$O$212*$X$212</f>
        <v>0</v>
      </c>
      <c r="AE212" s="6">
        <f>$K$212*$Y$212</f>
        <v>0</v>
      </c>
      <c r="AF212" s="6">
        <f ca="1">$M$212*$Z$212</f>
        <v>109034.28901751543</v>
      </c>
      <c r="AG212" s="6">
        <f>$O$212*$AA$212</f>
        <v>0</v>
      </c>
    </row>
    <row r="213" spans="1:33" ht="11.25" customHeight="1" x14ac:dyDescent="0.3">
      <c r="A213" s="4" t="s">
        <v>21</v>
      </c>
      <c r="B213" s="4" t="s">
        <v>39</v>
      </c>
      <c r="C213" s="4" t="s">
        <v>40</v>
      </c>
      <c r="D213" s="4" t="s">
        <v>38</v>
      </c>
      <c r="E213" s="4" t="s">
        <v>25</v>
      </c>
      <c r="F213" s="4" t="s">
        <v>58</v>
      </c>
      <c r="G213" s="4" t="s">
        <v>25</v>
      </c>
      <c r="H213" s="4" t="s">
        <v>35</v>
      </c>
      <c r="I213" s="5">
        <v>44774</v>
      </c>
      <c r="J213" s="6">
        <v>0</v>
      </c>
      <c r="K213" s="6">
        <v>0</v>
      </c>
      <c r="L213" s="6">
        <v>706.13199999999995</v>
      </c>
      <c r="M213" s="6">
        <v>706.13199999999995</v>
      </c>
      <c r="N213" s="6">
        <v>0</v>
      </c>
      <c r="O213" s="6">
        <v>0</v>
      </c>
      <c r="P213" s="6">
        <v>0</v>
      </c>
      <c r="Q213" s="4" t="s">
        <v>59</v>
      </c>
      <c r="R213" s="4">
        <v>0</v>
      </c>
      <c r="S213" s="6">
        <v>0</v>
      </c>
      <c r="T213" s="6">
        <v>17</v>
      </c>
      <c r="U213" s="6">
        <v>0</v>
      </c>
      <c r="V213" s="6">
        <f>IF(ISERROR(VLOOKUP($S$213,'TAR FIN'!$A$1:$O$103,15,0)),0,VLOOKUP($S$213,'TAR FIN'!$A$1:$O$103,15,0))</f>
        <v>0</v>
      </c>
      <c r="W213" s="6">
        <f>IF(ISERROR(VLOOKUP($T$213,'TAR FIN'!$A$1:$O$103,15,0)),0,VLOOKUP($T$213,'TAR FIN'!$A$1:$O$103,15,0))</f>
        <v>84.99</v>
      </c>
      <c r="X213" s="6">
        <f>IF(ISERROR(VLOOKUP($U$213,'TAR FIN'!$A$1:$O$103,15,0)),0,VLOOKUP($U$213,'TAR FIN'!$A$1:$O$103,15,0))</f>
        <v>0</v>
      </c>
      <c r="Y213" s="6"/>
      <c r="Z213" s="6">
        <f ca="1">('TUSD BE'!$AM$24+'TUSD BF_350'!$AM$24+'TUSD CVA'!$AM$24)*1</f>
        <v>145.72237393634796</v>
      </c>
      <c r="AA213" s="6"/>
      <c r="AB213" s="6">
        <f>$K$213*$V$213</f>
        <v>0</v>
      </c>
      <c r="AC213" s="6">
        <f>$M$213*$W$213</f>
        <v>60014.158679999993</v>
      </c>
      <c r="AD213" s="6">
        <f>$O$213*$X$213</f>
        <v>0</v>
      </c>
      <c r="AE213" s="6">
        <f>$K$213*$Y$213</f>
        <v>0</v>
      </c>
      <c r="AF213" s="6">
        <f ca="1">$M$213*$Z$213</f>
        <v>102899.23135242125</v>
      </c>
      <c r="AG213" s="6">
        <f>$O$213*$AA$213</f>
        <v>0</v>
      </c>
    </row>
    <row r="214" spans="1:33" ht="11.25" customHeight="1" x14ac:dyDescent="0.3">
      <c r="A214" s="4" t="s">
        <v>21</v>
      </c>
      <c r="B214" s="4" t="s">
        <v>39</v>
      </c>
      <c r="C214" s="4" t="s">
        <v>40</v>
      </c>
      <c r="D214" s="4" t="s">
        <v>38</v>
      </c>
      <c r="E214" s="4" t="s">
        <v>25</v>
      </c>
      <c r="F214" s="4" t="s">
        <v>58</v>
      </c>
      <c r="G214" s="4" t="s">
        <v>25</v>
      </c>
      <c r="H214" s="4" t="s">
        <v>35</v>
      </c>
      <c r="I214" s="5">
        <v>44805</v>
      </c>
      <c r="J214" s="6">
        <v>0</v>
      </c>
      <c r="K214" s="6">
        <v>0</v>
      </c>
      <c r="L214" s="6">
        <v>641.66600000000005</v>
      </c>
      <c r="M214" s="6">
        <v>641.66600000000005</v>
      </c>
      <c r="N214" s="6">
        <v>0</v>
      </c>
      <c r="O214" s="6">
        <v>0</v>
      </c>
      <c r="P214" s="6">
        <v>0</v>
      </c>
      <c r="Q214" s="4" t="s">
        <v>59</v>
      </c>
      <c r="R214" s="4">
        <v>0</v>
      </c>
      <c r="S214" s="6">
        <v>0</v>
      </c>
      <c r="T214" s="6">
        <v>17</v>
      </c>
      <c r="U214" s="6">
        <v>0</v>
      </c>
      <c r="V214" s="6">
        <f>IF(ISERROR(VLOOKUP($S$214,'TAR FIN'!$A$1:$O$103,15,0)),0,VLOOKUP($S$214,'TAR FIN'!$A$1:$O$103,15,0))</f>
        <v>0</v>
      </c>
      <c r="W214" s="6">
        <f>IF(ISERROR(VLOOKUP($T$214,'TAR FIN'!$A$1:$O$103,15,0)),0,VLOOKUP($T$214,'TAR FIN'!$A$1:$O$103,15,0))</f>
        <v>84.99</v>
      </c>
      <c r="X214" s="6">
        <f>IF(ISERROR(VLOOKUP($U$214,'TAR FIN'!$A$1:$O$103,15,0)),0,VLOOKUP($U$214,'TAR FIN'!$A$1:$O$103,15,0))</f>
        <v>0</v>
      </c>
      <c r="Y214" s="6"/>
      <c r="Z214" s="6">
        <f ca="1">('TUSD BE'!$AM$24+'TUSD BF_350'!$AM$24+'TUSD CVA'!$AM$24)*1</f>
        <v>145.72237393634796</v>
      </c>
      <c r="AA214" s="6"/>
      <c r="AB214" s="6">
        <f>$K$214*$V$214</f>
        <v>0</v>
      </c>
      <c r="AC214" s="6">
        <f>$M$214*$W$214</f>
        <v>54535.193339999998</v>
      </c>
      <c r="AD214" s="6">
        <f>$O$214*$X$214</f>
        <v>0</v>
      </c>
      <c r="AE214" s="6">
        <f>$K$214*$Y$214</f>
        <v>0</v>
      </c>
      <c r="AF214" s="6">
        <f ca="1">$M$214*$Z$214</f>
        <v>93505.092794240656</v>
      </c>
      <c r="AG214" s="6">
        <f>$O$214*$AA$214</f>
        <v>0</v>
      </c>
    </row>
    <row r="215" spans="1:33" ht="11.25" customHeight="1" x14ac:dyDescent="0.3">
      <c r="A215" s="4" t="s">
        <v>57</v>
      </c>
      <c r="B215" s="4" t="s">
        <v>39</v>
      </c>
      <c r="C215" s="4" t="s">
        <v>40</v>
      </c>
      <c r="D215" s="4" t="s">
        <v>38</v>
      </c>
      <c r="E215" s="4" t="s">
        <v>25</v>
      </c>
      <c r="F215" s="4" t="s">
        <v>58</v>
      </c>
      <c r="G215" s="4" t="s">
        <v>25</v>
      </c>
      <c r="H215" s="4" t="s">
        <v>35</v>
      </c>
      <c r="I215" s="5">
        <v>44835</v>
      </c>
      <c r="J215" s="6">
        <v>0</v>
      </c>
      <c r="K215" s="6">
        <v>0</v>
      </c>
      <c r="L215" s="6">
        <v>641.66600000000005</v>
      </c>
      <c r="M215" s="6">
        <v>641.66600000000005</v>
      </c>
      <c r="N215" s="6">
        <v>0</v>
      </c>
      <c r="O215" s="6">
        <v>0</v>
      </c>
      <c r="P215" s="6">
        <v>0</v>
      </c>
      <c r="Q215" s="4" t="s">
        <v>59</v>
      </c>
      <c r="R215" s="4">
        <v>0</v>
      </c>
      <c r="S215" s="6">
        <v>0</v>
      </c>
      <c r="T215" s="6">
        <v>17</v>
      </c>
      <c r="U215" s="6">
        <v>0</v>
      </c>
      <c r="V215" s="6">
        <f>IF(ISERROR(VLOOKUP($S$215,'TAR FIN'!$A$1:$O$103,15,0)),0,VLOOKUP($S$215,'TAR FIN'!$A$1:$O$103,15,0))</f>
        <v>0</v>
      </c>
      <c r="W215" s="6">
        <f>IF(ISERROR(VLOOKUP($T$215,'TAR FIN'!$A$1:$O$103,15,0)),0,VLOOKUP($T$215,'TAR FIN'!$A$1:$O$103,15,0))</f>
        <v>84.99</v>
      </c>
      <c r="X215" s="6">
        <f>IF(ISERROR(VLOOKUP($U$215,'TAR FIN'!$A$1:$O$103,15,0)),0,VLOOKUP($U$215,'TAR FIN'!$A$1:$O$103,15,0))</f>
        <v>0</v>
      </c>
      <c r="Y215" s="6"/>
      <c r="Z215" s="6">
        <f ca="1">('TUSD BE'!$AM$24+'TUSD BF_350'!$AM$24+'TUSD CVA'!$AM$24)*1</f>
        <v>145.72237393634796</v>
      </c>
      <c r="AA215" s="6"/>
      <c r="AB215" s="6">
        <f>$K$215*$V$215</f>
        <v>0</v>
      </c>
      <c r="AC215" s="6">
        <f>$M$215*$W$215</f>
        <v>54535.193339999998</v>
      </c>
      <c r="AD215" s="6">
        <f>$O$215*$X$215</f>
        <v>0</v>
      </c>
      <c r="AE215" s="6">
        <f>$K$215*$Y$215</f>
        <v>0</v>
      </c>
      <c r="AF215" s="6">
        <f ca="1">$M$215*$Z$215</f>
        <v>93505.092794240656</v>
      </c>
      <c r="AG215" s="6">
        <f>$O$215*$AA$215</f>
        <v>0</v>
      </c>
    </row>
    <row r="216" spans="1:33" ht="11.25" customHeight="1" x14ac:dyDescent="0.3">
      <c r="A216" s="4" t="s">
        <v>21</v>
      </c>
      <c r="B216" s="4" t="s">
        <v>39</v>
      </c>
      <c r="C216" s="4" t="s">
        <v>40</v>
      </c>
      <c r="D216" s="4" t="s">
        <v>38</v>
      </c>
      <c r="E216" s="4" t="s">
        <v>25</v>
      </c>
      <c r="F216" s="4" t="s">
        <v>58</v>
      </c>
      <c r="G216" s="4" t="s">
        <v>25</v>
      </c>
      <c r="H216" s="4" t="s">
        <v>25</v>
      </c>
      <c r="I216" s="5">
        <v>44501</v>
      </c>
      <c r="J216" s="6">
        <v>2100</v>
      </c>
      <c r="K216" s="6">
        <v>1050</v>
      </c>
      <c r="L216" s="6">
        <v>0</v>
      </c>
      <c r="M216" s="6">
        <v>0</v>
      </c>
      <c r="N216" s="6">
        <v>0</v>
      </c>
      <c r="O216" s="6">
        <v>0</v>
      </c>
      <c r="P216" s="6">
        <v>1</v>
      </c>
      <c r="Q216" s="4" t="s">
        <v>59</v>
      </c>
      <c r="R216" s="4">
        <v>0</v>
      </c>
      <c r="S216" s="6">
        <v>13</v>
      </c>
      <c r="T216" s="6">
        <v>0</v>
      </c>
      <c r="U216" s="6">
        <v>0</v>
      </c>
      <c r="V216" s="6">
        <f>IF(ISERROR(VLOOKUP($S$216,'TAR FIN'!$A$1:$O$103,15,0)),0,VLOOKUP($S$216,'TAR FIN'!$A$1:$O$103,15,0))</f>
        <v>18.920000000000002</v>
      </c>
      <c r="W216" s="6">
        <f>IF(ISERROR(VLOOKUP($T$216,'TAR FIN'!$A$1:$O$103,15,0)),0,VLOOKUP($T$216,'TAR FIN'!$A$1:$O$103,15,0))</f>
        <v>0</v>
      </c>
      <c r="X216" s="6">
        <f>IF(ISERROR(VLOOKUP($U$216,'TAR FIN'!$A$1:$O$103,15,0)),0,VLOOKUP($U$216,'TAR FIN'!$A$1:$O$103,15,0))</f>
        <v>0</v>
      </c>
      <c r="Y216" s="6">
        <f ca="1">('TUSD BE'!$AM$22+'TUSD BF_350'!$AM$22+'TUSD CVA'!$AM$22)*1</f>
        <v>21.369338625624472</v>
      </c>
      <c r="Z216" s="6"/>
      <c r="AA216" s="6"/>
      <c r="AB216" s="6">
        <f>$K$216*$V$216</f>
        <v>19866</v>
      </c>
      <c r="AC216" s="6">
        <f>$M$216*$W$216</f>
        <v>0</v>
      </c>
      <c r="AD216" s="6">
        <f>$O$216*$X$216</f>
        <v>0</v>
      </c>
      <c r="AE216" s="6">
        <f ca="1">$K$216*$Y$216</f>
        <v>22437.805556905696</v>
      </c>
      <c r="AF216" s="6">
        <f>$M$216*$Z$216</f>
        <v>0</v>
      </c>
      <c r="AG216" s="6">
        <f>$O$216*$AA$216</f>
        <v>0</v>
      </c>
    </row>
    <row r="217" spans="1:33" ht="11.25" customHeight="1" x14ac:dyDescent="0.3">
      <c r="A217" s="4" t="s">
        <v>21</v>
      </c>
      <c r="B217" s="4" t="s">
        <v>39</v>
      </c>
      <c r="C217" s="4" t="s">
        <v>40</v>
      </c>
      <c r="D217" s="4" t="s">
        <v>38</v>
      </c>
      <c r="E217" s="4" t="s">
        <v>25</v>
      </c>
      <c r="F217" s="4" t="s">
        <v>58</v>
      </c>
      <c r="G217" s="4" t="s">
        <v>25</v>
      </c>
      <c r="H217" s="4" t="s">
        <v>25</v>
      </c>
      <c r="I217" s="5">
        <v>44531</v>
      </c>
      <c r="J217" s="6">
        <v>2100</v>
      </c>
      <c r="K217" s="6">
        <v>1050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4" t="s">
        <v>59</v>
      </c>
      <c r="R217" s="4">
        <v>0</v>
      </c>
      <c r="S217" s="6">
        <v>13</v>
      </c>
      <c r="T217" s="6">
        <v>0</v>
      </c>
      <c r="U217" s="6">
        <v>0</v>
      </c>
      <c r="V217" s="6">
        <f>IF(ISERROR(VLOOKUP($S$217,'TAR FIN'!$A$1:$O$103,15,0)),0,VLOOKUP($S$217,'TAR FIN'!$A$1:$O$103,15,0))</f>
        <v>18.920000000000002</v>
      </c>
      <c r="W217" s="6">
        <f>IF(ISERROR(VLOOKUP($T$217,'TAR FIN'!$A$1:$O$103,15,0)),0,VLOOKUP($T$217,'TAR FIN'!$A$1:$O$103,15,0))</f>
        <v>0</v>
      </c>
      <c r="X217" s="6">
        <f>IF(ISERROR(VLOOKUP($U$217,'TAR FIN'!$A$1:$O$103,15,0)),0,VLOOKUP($U$217,'TAR FIN'!$A$1:$O$103,15,0))</f>
        <v>0</v>
      </c>
      <c r="Y217" s="6">
        <f ca="1">('TUSD BE'!$AM$22+'TUSD BF_350'!$AM$22+'TUSD CVA'!$AM$22)*1</f>
        <v>21.369338625624472</v>
      </c>
      <c r="Z217" s="6"/>
      <c r="AA217" s="6"/>
      <c r="AB217" s="6">
        <f>$K$217*$V$217</f>
        <v>19866</v>
      </c>
      <c r="AC217" s="6">
        <f>$M$217*$W$217</f>
        <v>0</v>
      </c>
      <c r="AD217" s="6">
        <f>$O$217*$X$217</f>
        <v>0</v>
      </c>
      <c r="AE217" s="6">
        <f ca="1">$K$217*$Y$217</f>
        <v>22437.805556905696</v>
      </c>
      <c r="AF217" s="6">
        <f>$M$217*$Z$217</f>
        <v>0</v>
      </c>
      <c r="AG217" s="6">
        <f>$O$217*$AA$217</f>
        <v>0</v>
      </c>
    </row>
    <row r="218" spans="1:33" ht="11.25" customHeight="1" x14ac:dyDescent="0.3">
      <c r="A218" s="4" t="s">
        <v>21</v>
      </c>
      <c r="B218" s="4" t="s">
        <v>39</v>
      </c>
      <c r="C218" s="4" t="s">
        <v>40</v>
      </c>
      <c r="D218" s="4" t="s">
        <v>38</v>
      </c>
      <c r="E218" s="4" t="s">
        <v>25</v>
      </c>
      <c r="F218" s="4" t="s">
        <v>58</v>
      </c>
      <c r="G218" s="4" t="s">
        <v>25</v>
      </c>
      <c r="H218" s="4" t="s">
        <v>25</v>
      </c>
      <c r="I218" s="5">
        <v>44562</v>
      </c>
      <c r="J218" s="6">
        <v>2100</v>
      </c>
      <c r="K218" s="6">
        <v>1050</v>
      </c>
      <c r="L218" s="6">
        <v>0</v>
      </c>
      <c r="M218" s="6">
        <v>0</v>
      </c>
      <c r="N218" s="6">
        <v>0</v>
      </c>
      <c r="O218" s="6">
        <v>0</v>
      </c>
      <c r="P218" s="6">
        <v>1</v>
      </c>
      <c r="Q218" s="4" t="s">
        <v>59</v>
      </c>
      <c r="R218" s="4">
        <v>0</v>
      </c>
      <c r="S218" s="6">
        <v>13</v>
      </c>
      <c r="T218" s="6">
        <v>0</v>
      </c>
      <c r="U218" s="6">
        <v>0</v>
      </c>
      <c r="V218" s="6">
        <f>IF(ISERROR(VLOOKUP($S$218,'TAR FIN'!$A$1:$O$103,15,0)),0,VLOOKUP($S$218,'TAR FIN'!$A$1:$O$103,15,0))</f>
        <v>18.920000000000002</v>
      </c>
      <c r="W218" s="6">
        <f>IF(ISERROR(VLOOKUP($T$218,'TAR FIN'!$A$1:$O$103,15,0)),0,VLOOKUP($T$218,'TAR FIN'!$A$1:$O$103,15,0))</f>
        <v>0</v>
      </c>
      <c r="X218" s="6">
        <f>IF(ISERROR(VLOOKUP($U$218,'TAR FIN'!$A$1:$O$103,15,0)),0,VLOOKUP($U$218,'TAR FIN'!$A$1:$O$103,15,0))</f>
        <v>0</v>
      </c>
      <c r="Y218" s="6">
        <f ca="1">('TUSD BE'!$AM$22+'TUSD BF_350'!$AM$22+'TUSD CVA'!$AM$22)*1</f>
        <v>21.369338625624472</v>
      </c>
      <c r="Z218" s="6"/>
      <c r="AA218" s="6"/>
      <c r="AB218" s="6">
        <f>$K$218*$V$218</f>
        <v>19866</v>
      </c>
      <c r="AC218" s="6">
        <f>$M$218*$W$218</f>
        <v>0</v>
      </c>
      <c r="AD218" s="6">
        <f>$O$218*$X$218</f>
        <v>0</v>
      </c>
      <c r="AE218" s="6">
        <f ca="1">$K$218*$Y$218</f>
        <v>22437.805556905696</v>
      </c>
      <c r="AF218" s="6">
        <f>$M$218*$Z$218</f>
        <v>0</v>
      </c>
      <c r="AG218" s="6">
        <f>$O$218*$AA$218</f>
        <v>0</v>
      </c>
    </row>
    <row r="219" spans="1:33" ht="11.25" customHeight="1" x14ac:dyDescent="0.3">
      <c r="A219" s="4" t="s">
        <v>21</v>
      </c>
      <c r="B219" s="4" t="s">
        <v>39</v>
      </c>
      <c r="C219" s="4" t="s">
        <v>40</v>
      </c>
      <c r="D219" s="4" t="s">
        <v>38</v>
      </c>
      <c r="E219" s="4" t="s">
        <v>25</v>
      </c>
      <c r="F219" s="4" t="s">
        <v>58</v>
      </c>
      <c r="G219" s="4" t="s">
        <v>25</v>
      </c>
      <c r="H219" s="4" t="s">
        <v>25</v>
      </c>
      <c r="I219" s="5">
        <v>44593</v>
      </c>
      <c r="J219" s="6">
        <v>2100</v>
      </c>
      <c r="K219" s="6">
        <v>1050</v>
      </c>
      <c r="L219" s="6">
        <v>0</v>
      </c>
      <c r="M219" s="6">
        <v>0</v>
      </c>
      <c r="N219" s="6">
        <v>0</v>
      </c>
      <c r="O219" s="6">
        <v>0</v>
      </c>
      <c r="P219" s="6">
        <v>1</v>
      </c>
      <c r="Q219" s="4" t="s">
        <v>59</v>
      </c>
      <c r="R219" s="4">
        <v>0</v>
      </c>
      <c r="S219" s="6">
        <v>13</v>
      </c>
      <c r="T219" s="6">
        <v>0</v>
      </c>
      <c r="U219" s="6">
        <v>0</v>
      </c>
      <c r="V219" s="6">
        <f>IF(ISERROR(VLOOKUP($S$219,'TAR FIN'!$A$1:$O$103,15,0)),0,VLOOKUP($S$219,'TAR FIN'!$A$1:$O$103,15,0))</f>
        <v>18.920000000000002</v>
      </c>
      <c r="W219" s="6">
        <f>IF(ISERROR(VLOOKUP($T$219,'TAR FIN'!$A$1:$O$103,15,0)),0,VLOOKUP($T$219,'TAR FIN'!$A$1:$O$103,15,0))</f>
        <v>0</v>
      </c>
      <c r="X219" s="6">
        <f>IF(ISERROR(VLOOKUP($U$219,'TAR FIN'!$A$1:$O$103,15,0)),0,VLOOKUP($U$219,'TAR FIN'!$A$1:$O$103,15,0))</f>
        <v>0</v>
      </c>
      <c r="Y219" s="6">
        <f ca="1">('TUSD BE'!$AM$22+'TUSD BF_350'!$AM$22+'TUSD CVA'!$AM$22)*1</f>
        <v>21.369338625624472</v>
      </c>
      <c r="Z219" s="6"/>
      <c r="AA219" s="6"/>
      <c r="AB219" s="6">
        <f>$K$219*$V$219</f>
        <v>19866</v>
      </c>
      <c r="AC219" s="6">
        <f>$M$219*$W$219</f>
        <v>0</v>
      </c>
      <c r="AD219" s="6">
        <f>$O$219*$X$219</f>
        <v>0</v>
      </c>
      <c r="AE219" s="6">
        <f ca="1">$K$219*$Y$219</f>
        <v>22437.805556905696</v>
      </c>
      <c r="AF219" s="6">
        <f>$M$219*$Z$219</f>
        <v>0</v>
      </c>
      <c r="AG219" s="6">
        <f>$O$219*$AA$219</f>
        <v>0</v>
      </c>
    </row>
    <row r="220" spans="1:33" ht="11.25" customHeight="1" x14ac:dyDescent="0.3">
      <c r="A220" s="4" t="s">
        <v>21</v>
      </c>
      <c r="B220" s="4" t="s">
        <v>39</v>
      </c>
      <c r="C220" s="4" t="s">
        <v>40</v>
      </c>
      <c r="D220" s="4" t="s">
        <v>38</v>
      </c>
      <c r="E220" s="4" t="s">
        <v>25</v>
      </c>
      <c r="F220" s="4" t="s">
        <v>58</v>
      </c>
      <c r="G220" s="4" t="s">
        <v>25</v>
      </c>
      <c r="H220" s="4" t="s">
        <v>25</v>
      </c>
      <c r="I220" s="5">
        <v>44621</v>
      </c>
      <c r="J220" s="6">
        <v>2100</v>
      </c>
      <c r="K220" s="6">
        <v>1050</v>
      </c>
      <c r="L220" s="6">
        <v>0</v>
      </c>
      <c r="M220" s="6">
        <v>0</v>
      </c>
      <c r="N220" s="6">
        <v>0</v>
      </c>
      <c r="O220" s="6">
        <v>0</v>
      </c>
      <c r="P220" s="6">
        <v>1</v>
      </c>
      <c r="Q220" s="4" t="s">
        <v>59</v>
      </c>
      <c r="R220" s="4">
        <v>0</v>
      </c>
      <c r="S220" s="6">
        <v>13</v>
      </c>
      <c r="T220" s="6">
        <v>0</v>
      </c>
      <c r="U220" s="6">
        <v>0</v>
      </c>
      <c r="V220" s="6">
        <f>IF(ISERROR(VLOOKUP($S$220,'TAR FIN'!$A$1:$O$103,15,0)),0,VLOOKUP($S$220,'TAR FIN'!$A$1:$O$103,15,0))</f>
        <v>18.920000000000002</v>
      </c>
      <c r="W220" s="6">
        <f>IF(ISERROR(VLOOKUP($T$220,'TAR FIN'!$A$1:$O$103,15,0)),0,VLOOKUP($T$220,'TAR FIN'!$A$1:$O$103,15,0))</f>
        <v>0</v>
      </c>
      <c r="X220" s="6">
        <f>IF(ISERROR(VLOOKUP($U$220,'TAR FIN'!$A$1:$O$103,15,0)),0,VLOOKUP($U$220,'TAR FIN'!$A$1:$O$103,15,0))</f>
        <v>0</v>
      </c>
      <c r="Y220" s="6">
        <f ca="1">('TUSD BE'!$AM$22+'TUSD BF_350'!$AM$22+'TUSD CVA'!$AM$22)*1</f>
        <v>21.369338625624472</v>
      </c>
      <c r="Z220" s="6"/>
      <c r="AA220" s="6"/>
      <c r="AB220" s="6">
        <f>$K$220*$V$220</f>
        <v>19866</v>
      </c>
      <c r="AC220" s="6">
        <f>$M$220*$W$220</f>
        <v>0</v>
      </c>
      <c r="AD220" s="6">
        <f>$O$220*$X$220</f>
        <v>0</v>
      </c>
      <c r="AE220" s="6">
        <f ca="1">$K$220*$Y$220</f>
        <v>22437.805556905696</v>
      </c>
      <c r="AF220" s="6">
        <f>$M$220*$Z$220</f>
        <v>0</v>
      </c>
      <c r="AG220" s="6">
        <f>$O$220*$AA$220</f>
        <v>0</v>
      </c>
    </row>
    <row r="221" spans="1:33" ht="11.25" customHeight="1" x14ac:dyDescent="0.3">
      <c r="A221" s="4" t="s">
        <v>21</v>
      </c>
      <c r="B221" s="4" t="s">
        <v>39</v>
      </c>
      <c r="C221" s="4" t="s">
        <v>40</v>
      </c>
      <c r="D221" s="4" t="s">
        <v>38</v>
      </c>
      <c r="E221" s="4" t="s">
        <v>25</v>
      </c>
      <c r="F221" s="4" t="s">
        <v>58</v>
      </c>
      <c r="G221" s="4" t="s">
        <v>25</v>
      </c>
      <c r="H221" s="4" t="s">
        <v>25</v>
      </c>
      <c r="I221" s="5">
        <v>44652</v>
      </c>
      <c r="J221" s="6">
        <v>2100</v>
      </c>
      <c r="K221" s="6">
        <v>1050</v>
      </c>
      <c r="L221" s="6">
        <v>0</v>
      </c>
      <c r="M221" s="6">
        <v>0</v>
      </c>
      <c r="N221" s="6">
        <v>0</v>
      </c>
      <c r="O221" s="6">
        <v>0</v>
      </c>
      <c r="P221" s="6">
        <v>1</v>
      </c>
      <c r="Q221" s="4" t="s">
        <v>59</v>
      </c>
      <c r="R221" s="4">
        <v>0</v>
      </c>
      <c r="S221" s="6">
        <v>13</v>
      </c>
      <c r="T221" s="6">
        <v>0</v>
      </c>
      <c r="U221" s="6">
        <v>0</v>
      </c>
      <c r="V221" s="6">
        <f>IF(ISERROR(VLOOKUP($S$221,'TAR FIN'!$A$1:$O$103,15,0)),0,VLOOKUP($S$221,'TAR FIN'!$A$1:$O$103,15,0))</f>
        <v>18.920000000000002</v>
      </c>
      <c r="W221" s="6">
        <f>IF(ISERROR(VLOOKUP($T$221,'TAR FIN'!$A$1:$O$103,15,0)),0,VLOOKUP($T$221,'TAR FIN'!$A$1:$O$103,15,0))</f>
        <v>0</v>
      </c>
      <c r="X221" s="6">
        <f>IF(ISERROR(VLOOKUP($U$221,'TAR FIN'!$A$1:$O$103,15,0)),0,VLOOKUP($U$221,'TAR FIN'!$A$1:$O$103,15,0))</f>
        <v>0</v>
      </c>
      <c r="Y221" s="6">
        <f ca="1">('TUSD BE'!$AM$22+'TUSD BF_350'!$AM$22+'TUSD CVA'!$AM$22)*1</f>
        <v>21.369338625624472</v>
      </c>
      <c r="Z221" s="6"/>
      <c r="AA221" s="6"/>
      <c r="AB221" s="6">
        <f>$K$221*$V$221</f>
        <v>19866</v>
      </c>
      <c r="AC221" s="6">
        <f>$M$221*$W$221</f>
        <v>0</v>
      </c>
      <c r="AD221" s="6">
        <f>$O$221*$X$221</f>
        <v>0</v>
      </c>
      <c r="AE221" s="6">
        <f ca="1">$K$221*$Y$221</f>
        <v>22437.805556905696</v>
      </c>
      <c r="AF221" s="6">
        <f>$M$221*$Z$221</f>
        <v>0</v>
      </c>
      <c r="AG221" s="6">
        <f>$O$221*$AA$221</f>
        <v>0</v>
      </c>
    </row>
    <row r="222" spans="1:33" ht="11.25" customHeight="1" x14ac:dyDescent="0.3">
      <c r="A222" s="4" t="s">
        <v>21</v>
      </c>
      <c r="B222" s="4" t="s">
        <v>39</v>
      </c>
      <c r="C222" s="4" t="s">
        <v>40</v>
      </c>
      <c r="D222" s="4" t="s">
        <v>38</v>
      </c>
      <c r="E222" s="4" t="s">
        <v>25</v>
      </c>
      <c r="F222" s="4" t="s">
        <v>58</v>
      </c>
      <c r="G222" s="4" t="s">
        <v>25</v>
      </c>
      <c r="H222" s="4" t="s">
        <v>25</v>
      </c>
      <c r="I222" s="5">
        <v>44682</v>
      </c>
      <c r="J222" s="6">
        <v>2100</v>
      </c>
      <c r="K222" s="6">
        <v>1050</v>
      </c>
      <c r="L222" s="6">
        <v>0</v>
      </c>
      <c r="M222" s="6">
        <v>0</v>
      </c>
      <c r="N222" s="6">
        <v>0</v>
      </c>
      <c r="O222" s="6">
        <v>0</v>
      </c>
      <c r="P222" s="6">
        <v>1</v>
      </c>
      <c r="Q222" s="4" t="s">
        <v>59</v>
      </c>
      <c r="R222" s="4">
        <v>0</v>
      </c>
      <c r="S222" s="6">
        <v>13</v>
      </c>
      <c r="T222" s="6">
        <v>0</v>
      </c>
      <c r="U222" s="6">
        <v>0</v>
      </c>
      <c r="V222" s="6">
        <f>IF(ISERROR(VLOOKUP($S$222,'TAR FIN'!$A$1:$O$103,15,0)),0,VLOOKUP($S$222,'TAR FIN'!$A$1:$O$103,15,0))</f>
        <v>18.920000000000002</v>
      </c>
      <c r="W222" s="6">
        <f>IF(ISERROR(VLOOKUP($T$222,'TAR FIN'!$A$1:$O$103,15,0)),0,VLOOKUP($T$222,'TAR FIN'!$A$1:$O$103,15,0))</f>
        <v>0</v>
      </c>
      <c r="X222" s="6">
        <f>IF(ISERROR(VLOOKUP($U$222,'TAR FIN'!$A$1:$O$103,15,0)),0,VLOOKUP($U$222,'TAR FIN'!$A$1:$O$103,15,0))</f>
        <v>0</v>
      </c>
      <c r="Y222" s="6">
        <f ca="1">('TUSD BE'!$AM$22+'TUSD BF_350'!$AM$22+'TUSD CVA'!$AM$22)*1</f>
        <v>21.369338625624472</v>
      </c>
      <c r="Z222" s="6"/>
      <c r="AA222" s="6"/>
      <c r="AB222" s="6">
        <f>$K$222*$V$222</f>
        <v>19866</v>
      </c>
      <c r="AC222" s="6">
        <f>$M$222*$W$222</f>
        <v>0</v>
      </c>
      <c r="AD222" s="6">
        <f>$O$222*$X$222</f>
        <v>0</v>
      </c>
      <c r="AE222" s="6">
        <f ca="1">$K$222*$Y$222</f>
        <v>22437.805556905696</v>
      </c>
      <c r="AF222" s="6">
        <f>$M$222*$Z$222</f>
        <v>0</v>
      </c>
      <c r="AG222" s="6">
        <f>$O$222*$AA$222</f>
        <v>0</v>
      </c>
    </row>
    <row r="223" spans="1:33" ht="11.25" customHeight="1" x14ac:dyDescent="0.3">
      <c r="A223" s="4" t="s">
        <v>21</v>
      </c>
      <c r="B223" s="4" t="s">
        <v>39</v>
      </c>
      <c r="C223" s="4" t="s">
        <v>40</v>
      </c>
      <c r="D223" s="4" t="s">
        <v>38</v>
      </c>
      <c r="E223" s="4" t="s">
        <v>25</v>
      </c>
      <c r="F223" s="4" t="s">
        <v>58</v>
      </c>
      <c r="G223" s="4" t="s">
        <v>25</v>
      </c>
      <c r="H223" s="4" t="s">
        <v>25</v>
      </c>
      <c r="I223" s="5">
        <v>44713</v>
      </c>
      <c r="J223" s="6">
        <v>2100</v>
      </c>
      <c r="K223" s="6">
        <v>1050</v>
      </c>
      <c r="L223" s="6">
        <v>0</v>
      </c>
      <c r="M223" s="6">
        <v>0</v>
      </c>
      <c r="N223" s="6">
        <v>0</v>
      </c>
      <c r="O223" s="6">
        <v>0</v>
      </c>
      <c r="P223" s="6">
        <v>1</v>
      </c>
      <c r="Q223" s="4" t="s">
        <v>59</v>
      </c>
      <c r="R223" s="4">
        <v>0</v>
      </c>
      <c r="S223" s="6">
        <v>13</v>
      </c>
      <c r="T223" s="6">
        <v>0</v>
      </c>
      <c r="U223" s="6">
        <v>0</v>
      </c>
      <c r="V223" s="6">
        <f>IF(ISERROR(VLOOKUP($S$223,'TAR FIN'!$A$1:$O$103,15,0)),0,VLOOKUP($S$223,'TAR FIN'!$A$1:$O$103,15,0))</f>
        <v>18.920000000000002</v>
      </c>
      <c r="W223" s="6">
        <f>IF(ISERROR(VLOOKUP($T$223,'TAR FIN'!$A$1:$O$103,15,0)),0,VLOOKUP($T$223,'TAR FIN'!$A$1:$O$103,15,0))</f>
        <v>0</v>
      </c>
      <c r="X223" s="6">
        <f>IF(ISERROR(VLOOKUP($U$223,'TAR FIN'!$A$1:$O$103,15,0)),0,VLOOKUP($U$223,'TAR FIN'!$A$1:$O$103,15,0))</f>
        <v>0</v>
      </c>
      <c r="Y223" s="6">
        <f ca="1">('TUSD BE'!$AM$22+'TUSD BF_350'!$AM$22+'TUSD CVA'!$AM$22)*1</f>
        <v>21.369338625624472</v>
      </c>
      <c r="Z223" s="6"/>
      <c r="AA223" s="6"/>
      <c r="AB223" s="6">
        <f>$K$223*$V$223</f>
        <v>19866</v>
      </c>
      <c r="AC223" s="6">
        <f>$M$223*$W$223</f>
        <v>0</v>
      </c>
      <c r="AD223" s="6">
        <f>$O$223*$X$223</f>
        <v>0</v>
      </c>
      <c r="AE223" s="6">
        <f ca="1">$K$223*$Y$223</f>
        <v>22437.805556905696</v>
      </c>
      <c r="AF223" s="6">
        <f>$M$223*$Z$223</f>
        <v>0</v>
      </c>
      <c r="AG223" s="6">
        <f>$O$223*$AA$223</f>
        <v>0</v>
      </c>
    </row>
    <row r="224" spans="1:33" ht="11.25" customHeight="1" x14ac:dyDescent="0.3">
      <c r="A224" s="4" t="s">
        <v>21</v>
      </c>
      <c r="B224" s="4" t="s">
        <v>39</v>
      </c>
      <c r="C224" s="4" t="s">
        <v>40</v>
      </c>
      <c r="D224" s="4" t="s">
        <v>38</v>
      </c>
      <c r="E224" s="4" t="s">
        <v>25</v>
      </c>
      <c r="F224" s="4" t="s">
        <v>58</v>
      </c>
      <c r="G224" s="4" t="s">
        <v>25</v>
      </c>
      <c r="H224" s="4" t="s">
        <v>25</v>
      </c>
      <c r="I224" s="5">
        <v>44743</v>
      </c>
      <c r="J224" s="6">
        <v>2100</v>
      </c>
      <c r="K224" s="6">
        <v>1050</v>
      </c>
      <c r="L224" s="6">
        <v>0</v>
      </c>
      <c r="M224" s="6">
        <v>0</v>
      </c>
      <c r="N224" s="6">
        <v>0</v>
      </c>
      <c r="O224" s="6">
        <v>0</v>
      </c>
      <c r="P224" s="6">
        <v>1</v>
      </c>
      <c r="Q224" s="4" t="s">
        <v>59</v>
      </c>
      <c r="R224" s="4">
        <v>0</v>
      </c>
      <c r="S224" s="6">
        <v>13</v>
      </c>
      <c r="T224" s="6">
        <v>0</v>
      </c>
      <c r="U224" s="6">
        <v>0</v>
      </c>
      <c r="V224" s="6">
        <f>IF(ISERROR(VLOOKUP($S$224,'TAR FIN'!$A$1:$O$103,15,0)),0,VLOOKUP($S$224,'TAR FIN'!$A$1:$O$103,15,0))</f>
        <v>18.920000000000002</v>
      </c>
      <c r="W224" s="6">
        <f>IF(ISERROR(VLOOKUP($T$224,'TAR FIN'!$A$1:$O$103,15,0)),0,VLOOKUP($T$224,'TAR FIN'!$A$1:$O$103,15,0))</f>
        <v>0</v>
      </c>
      <c r="X224" s="6">
        <f>IF(ISERROR(VLOOKUP($U$224,'TAR FIN'!$A$1:$O$103,15,0)),0,VLOOKUP($U$224,'TAR FIN'!$A$1:$O$103,15,0))</f>
        <v>0</v>
      </c>
      <c r="Y224" s="6">
        <f ca="1">('TUSD BE'!$AM$22+'TUSD BF_350'!$AM$22+'TUSD CVA'!$AM$22)*1</f>
        <v>21.369338625624472</v>
      </c>
      <c r="Z224" s="6"/>
      <c r="AA224" s="6"/>
      <c r="AB224" s="6">
        <f>$K$224*$V$224</f>
        <v>19866</v>
      </c>
      <c r="AC224" s="6">
        <f>$M$224*$W$224</f>
        <v>0</v>
      </c>
      <c r="AD224" s="6">
        <f>$O$224*$X$224</f>
        <v>0</v>
      </c>
      <c r="AE224" s="6">
        <f ca="1">$K$224*$Y$224</f>
        <v>22437.805556905696</v>
      </c>
      <c r="AF224" s="6">
        <f>$M$224*$Z$224</f>
        <v>0</v>
      </c>
      <c r="AG224" s="6">
        <f>$O$224*$AA$224</f>
        <v>0</v>
      </c>
    </row>
    <row r="225" spans="1:33" ht="11.25" customHeight="1" x14ac:dyDescent="0.3">
      <c r="A225" s="4" t="s">
        <v>21</v>
      </c>
      <c r="B225" s="4" t="s">
        <v>39</v>
      </c>
      <c r="C225" s="4" t="s">
        <v>40</v>
      </c>
      <c r="D225" s="4" t="s">
        <v>38</v>
      </c>
      <c r="E225" s="4" t="s">
        <v>25</v>
      </c>
      <c r="F225" s="4" t="s">
        <v>58</v>
      </c>
      <c r="G225" s="4" t="s">
        <v>25</v>
      </c>
      <c r="H225" s="4" t="s">
        <v>25</v>
      </c>
      <c r="I225" s="5">
        <v>44774</v>
      </c>
      <c r="J225" s="6">
        <v>2100</v>
      </c>
      <c r="K225" s="6">
        <v>1050</v>
      </c>
      <c r="L225" s="6">
        <v>0</v>
      </c>
      <c r="M225" s="6">
        <v>0</v>
      </c>
      <c r="N225" s="6">
        <v>0</v>
      </c>
      <c r="O225" s="6">
        <v>0</v>
      </c>
      <c r="P225" s="6">
        <v>1</v>
      </c>
      <c r="Q225" s="4" t="s">
        <v>59</v>
      </c>
      <c r="R225" s="4">
        <v>0</v>
      </c>
      <c r="S225" s="6">
        <v>13</v>
      </c>
      <c r="T225" s="6">
        <v>0</v>
      </c>
      <c r="U225" s="6">
        <v>0</v>
      </c>
      <c r="V225" s="6">
        <f>IF(ISERROR(VLOOKUP($S$225,'TAR FIN'!$A$1:$O$103,15,0)),0,VLOOKUP($S$225,'TAR FIN'!$A$1:$O$103,15,0))</f>
        <v>18.920000000000002</v>
      </c>
      <c r="W225" s="6">
        <f>IF(ISERROR(VLOOKUP($T$225,'TAR FIN'!$A$1:$O$103,15,0)),0,VLOOKUP($T$225,'TAR FIN'!$A$1:$O$103,15,0))</f>
        <v>0</v>
      </c>
      <c r="X225" s="6">
        <f>IF(ISERROR(VLOOKUP($U$225,'TAR FIN'!$A$1:$O$103,15,0)),0,VLOOKUP($U$225,'TAR FIN'!$A$1:$O$103,15,0))</f>
        <v>0</v>
      </c>
      <c r="Y225" s="6">
        <f ca="1">('TUSD BE'!$AM$22+'TUSD BF_350'!$AM$22+'TUSD CVA'!$AM$22)*1</f>
        <v>21.369338625624472</v>
      </c>
      <c r="Z225" s="6"/>
      <c r="AA225" s="6"/>
      <c r="AB225" s="6">
        <f>$K$225*$V$225</f>
        <v>19866</v>
      </c>
      <c r="AC225" s="6">
        <f>$M$225*$W$225</f>
        <v>0</v>
      </c>
      <c r="AD225" s="6">
        <f>$O$225*$X$225</f>
        <v>0</v>
      </c>
      <c r="AE225" s="6">
        <f ca="1">$K$225*$Y$225</f>
        <v>22437.805556905696</v>
      </c>
      <c r="AF225" s="6">
        <f>$M$225*$Z$225</f>
        <v>0</v>
      </c>
      <c r="AG225" s="6">
        <f>$O$225*$AA$225</f>
        <v>0</v>
      </c>
    </row>
    <row r="226" spans="1:33" ht="11.25" customHeight="1" x14ac:dyDescent="0.3">
      <c r="A226" s="4" t="s">
        <v>21</v>
      </c>
      <c r="B226" s="4" t="s">
        <v>39</v>
      </c>
      <c r="C226" s="4" t="s">
        <v>40</v>
      </c>
      <c r="D226" s="4" t="s">
        <v>38</v>
      </c>
      <c r="E226" s="4" t="s">
        <v>25</v>
      </c>
      <c r="F226" s="4" t="s">
        <v>58</v>
      </c>
      <c r="G226" s="4" t="s">
        <v>25</v>
      </c>
      <c r="H226" s="4" t="s">
        <v>25</v>
      </c>
      <c r="I226" s="5">
        <v>44805</v>
      </c>
      <c r="J226" s="6">
        <v>2100</v>
      </c>
      <c r="K226" s="6">
        <v>1050</v>
      </c>
      <c r="L226" s="6">
        <v>0</v>
      </c>
      <c r="M226" s="6">
        <v>0</v>
      </c>
      <c r="N226" s="6">
        <v>0</v>
      </c>
      <c r="O226" s="6">
        <v>0</v>
      </c>
      <c r="P226" s="6">
        <v>1</v>
      </c>
      <c r="Q226" s="4" t="s">
        <v>59</v>
      </c>
      <c r="R226" s="4">
        <v>0</v>
      </c>
      <c r="S226" s="6">
        <v>13</v>
      </c>
      <c r="T226" s="6">
        <v>0</v>
      </c>
      <c r="U226" s="6">
        <v>0</v>
      </c>
      <c r="V226" s="6">
        <f>IF(ISERROR(VLOOKUP($S$226,'TAR FIN'!$A$1:$O$103,15,0)),0,VLOOKUP($S$226,'TAR FIN'!$A$1:$O$103,15,0))</f>
        <v>18.920000000000002</v>
      </c>
      <c r="W226" s="6">
        <f>IF(ISERROR(VLOOKUP($T$226,'TAR FIN'!$A$1:$O$103,15,0)),0,VLOOKUP($T$226,'TAR FIN'!$A$1:$O$103,15,0))</f>
        <v>0</v>
      </c>
      <c r="X226" s="6">
        <f>IF(ISERROR(VLOOKUP($U$226,'TAR FIN'!$A$1:$O$103,15,0)),0,VLOOKUP($U$226,'TAR FIN'!$A$1:$O$103,15,0))</f>
        <v>0</v>
      </c>
      <c r="Y226" s="6">
        <f ca="1">('TUSD BE'!$AM$22+'TUSD BF_350'!$AM$22+'TUSD CVA'!$AM$22)*1</f>
        <v>21.369338625624472</v>
      </c>
      <c r="Z226" s="6"/>
      <c r="AA226" s="6"/>
      <c r="AB226" s="6">
        <f>$K$226*$V$226</f>
        <v>19866</v>
      </c>
      <c r="AC226" s="6">
        <f>$M$226*$W$226</f>
        <v>0</v>
      </c>
      <c r="AD226" s="6">
        <f>$O$226*$X$226</f>
        <v>0</v>
      </c>
      <c r="AE226" s="6">
        <f ca="1">$K$226*$Y$226</f>
        <v>22437.805556905696</v>
      </c>
      <c r="AF226" s="6">
        <f>$M$226*$Z$226</f>
        <v>0</v>
      </c>
      <c r="AG226" s="6">
        <f>$O$226*$AA$226</f>
        <v>0</v>
      </c>
    </row>
    <row r="227" spans="1:33" ht="11.25" customHeight="1" x14ac:dyDescent="0.3">
      <c r="A227" s="4" t="s">
        <v>57</v>
      </c>
      <c r="B227" s="4" t="s">
        <v>39</v>
      </c>
      <c r="C227" s="4" t="s">
        <v>40</v>
      </c>
      <c r="D227" s="4" t="s">
        <v>38</v>
      </c>
      <c r="E227" s="4" t="s">
        <v>25</v>
      </c>
      <c r="F227" s="4" t="s">
        <v>58</v>
      </c>
      <c r="G227" s="4" t="s">
        <v>25</v>
      </c>
      <c r="H227" s="4" t="s">
        <v>25</v>
      </c>
      <c r="I227" s="5">
        <v>44835</v>
      </c>
      <c r="J227" s="6">
        <v>2100</v>
      </c>
      <c r="K227" s="6">
        <v>1050</v>
      </c>
      <c r="L227" s="6">
        <v>0</v>
      </c>
      <c r="M227" s="6">
        <v>0</v>
      </c>
      <c r="N227" s="6">
        <v>0</v>
      </c>
      <c r="O227" s="6">
        <v>0</v>
      </c>
      <c r="P227" s="6">
        <v>1</v>
      </c>
      <c r="Q227" s="4" t="s">
        <v>59</v>
      </c>
      <c r="R227" s="4">
        <v>0</v>
      </c>
      <c r="S227" s="6">
        <v>13</v>
      </c>
      <c r="T227" s="6">
        <v>0</v>
      </c>
      <c r="U227" s="6">
        <v>0</v>
      </c>
      <c r="V227" s="6">
        <f>IF(ISERROR(VLOOKUP($S$227,'TAR FIN'!$A$1:$O$103,15,0)),0,VLOOKUP($S$227,'TAR FIN'!$A$1:$O$103,15,0))</f>
        <v>18.920000000000002</v>
      </c>
      <c r="W227" s="6">
        <f>IF(ISERROR(VLOOKUP($T$227,'TAR FIN'!$A$1:$O$103,15,0)),0,VLOOKUP($T$227,'TAR FIN'!$A$1:$O$103,15,0))</f>
        <v>0</v>
      </c>
      <c r="X227" s="6">
        <f>IF(ISERROR(VLOOKUP($U$227,'TAR FIN'!$A$1:$O$103,15,0)),0,VLOOKUP($U$227,'TAR FIN'!$A$1:$O$103,15,0))</f>
        <v>0</v>
      </c>
      <c r="Y227" s="6">
        <f ca="1">('TUSD BE'!$AM$22+'TUSD BF_350'!$AM$22+'TUSD CVA'!$AM$22)*1</f>
        <v>21.369338625624472</v>
      </c>
      <c r="Z227" s="6"/>
      <c r="AA227" s="6"/>
      <c r="AB227" s="6">
        <f>$K$227*$V$227</f>
        <v>19866</v>
      </c>
      <c r="AC227" s="6">
        <f>$M$227*$W$227</f>
        <v>0</v>
      </c>
      <c r="AD227" s="6">
        <f>$O$227*$X$227</f>
        <v>0</v>
      </c>
      <c r="AE227" s="6">
        <f ca="1">$K$227*$Y$227</f>
        <v>22437.805556905696</v>
      </c>
      <c r="AF227" s="6">
        <f>$M$227*$Z$227</f>
        <v>0</v>
      </c>
      <c r="AG227" s="6">
        <f>$O$227*$AA$227</f>
        <v>0</v>
      </c>
    </row>
    <row r="228" spans="1:33" ht="11.25" customHeight="1" x14ac:dyDescent="0.3">
      <c r="A228" s="4" t="s">
        <v>21</v>
      </c>
      <c r="B228" s="4" t="s">
        <v>39</v>
      </c>
      <c r="C228" s="4" t="s">
        <v>40</v>
      </c>
      <c r="D228" s="4" t="s">
        <v>38</v>
      </c>
      <c r="E228" s="4" t="s">
        <v>25</v>
      </c>
      <c r="F228" s="4" t="s">
        <v>58</v>
      </c>
      <c r="G228" s="4" t="s">
        <v>25</v>
      </c>
      <c r="H228" s="4" t="s">
        <v>34</v>
      </c>
      <c r="I228" s="5">
        <v>44501</v>
      </c>
      <c r="J228" s="6">
        <v>0</v>
      </c>
      <c r="K228" s="6">
        <v>0</v>
      </c>
      <c r="L228" s="6">
        <v>20.846</v>
      </c>
      <c r="M228" s="6">
        <v>11.075382657640001</v>
      </c>
      <c r="N228" s="6">
        <v>0</v>
      </c>
      <c r="O228" s="6">
        <v>0</v>
      </c>
      <c r="P228" s="6">
        <v>0</v>
      </c>
      <c r="Q228" s="4" t="s">
        <v>59</v>
      </c>
      <c r="R228" s="4">
        <v>0</v>
      </c>
      <c r="S228" s="6">
        <v>0</v>
      </c>
      <c r="T228" s="6">
        <v>15</v>
      </c>
      <c r="U228" s="6">
        <v>0</v>
      </c>
      <c r="V228" s="6">
        <f>IF(ISERROR(VLOOKUP($S$228,'TAR FIN'!$A$1:$O$103,15,0)),0,VLOOKUP($S$228,'TAR FIN'!$A$1:$O$103,15,0))</f>
        <v>0</v>
      </c>
      <c r="W228" s="6">
        <f>IF(ISERROR(VLOOKUP($T$228,'TAR FIN'!$A$1:$O$103,15,0)),0,VLOOKUP($T$228,'TAR FIN'!$A$1:$O$103,15,0))</f>
        <v>1195.82</v>
      </c>
      <c r="X228" s="6">
        <f>IF(ISERROR(VLOOKUP($U$228,'TAR FIN'!$A$1:$O$103,15,0)),0,VLOOKUP($U$228,'TAR FIN'!$A$1:$O$103,15,0))</f>
        <v>0</v>
      </c>
      <c r="Y228" s="6"/>
      <c r="Z228" s="6">
        <f ca="1">('TUSD BE'!$AM$23+'TUSD BF_350'!$AM$23+'TUSD CVA'!$AM$23)*1</f>
        <v>1385.4977743340116</v>
      </c>
      <c r="AA228" s="6"/>
      <c r="AB228" s="6">
        <f>$K$228*$V$228</f>
        <v>0</v>
      </c>
      <c r="AC228" s="6">
        <f>$M$228*$W$228</f>
        <v>13244.164089659065</v>
      </c>
      <c r="AD228" s="6">
        <f>$O$228*$X$228</f>
        <v>0</v>
      </c>
      <c r="AE228" s="6">
        <f>$K$228*$Y$228</f>
        <v>0</v>
      </c>
      <c r="AF228" s="6">
        <f ca="1">$M$228*$Z$228</f>
        <v>15344.918022057731</v>
      </c>
      <c r="AG228" s="6">
        <f>$O$228*$AA$228</f>
        <v>0</v>
      </c>
    </row>
    <row r="229" spans="1:33" ht="11.25" customHeight="1" x14ac:dyDescent="0.3">
      <c r="A229" s="4" t="s">
        <v>21</v>
      </c>
      <c r="B229" s="4" t="s">
        <v>39</v>
      </c>
      <c r="C229" s="4" t="s">
        <v>40</v>
      </c>
      <c r="D229" s="4" t="s">
        <v>38</v>
      </c>
      <c r="E229" s="4" t="s">
        <v>25</v>
      </c>
      <c r="F229" s="4" t="s">
        <v>58</v>
      </c>
      <c r="G229" s="4" t="s">
        <v>25</v>
      </c>
      <c r="H229" s="4" t="s">
        <v>34</v>
      </c>
      <c r="I229" s="5">
        <v>44531</v>
      </c>
      <c r="J229" s="6">
        <v>0</v>
      </c>
      <c r="K229" s="6">
        <v>0</v>
      </c>
      <c r="L229" s="6">
        <v>24.186</v>
      </c>
      <c r="M229" s="6">
        <v>12.952480468079999</v>
      </c>
      <c r="N229" s="6">
        <v>0</v>
      </c>
      <c r="O229" s="6">
        <v>0</v>
      </c>
      <c r="P229" s="6">
        <v>0</v>
      </c>
      <c r="Q229" s="4" t="s">
        <v>59</v>
      </c>
      <c r="R229" s="4">
        <v>0</v>
      </c>
      <c r="S229" s="6">
        <v>0</v>
      </c>
      <c r="T229" s="6">
        <v>15</v>
      </c>
      <c r="U229" s="6">
        <v>0</v>
      </c>
      <c r="V229" s="6">
        <f>IF(ISERROR(VLOOKUP($S$229,'TAR FIN'!$A$1:$O$103,15,0)),0,VLOOKUP($S$229,'TAR FIN'!$A$1:$O$103,15,0))</f>
        <v>0</v>
      </c>
      <c r="W229" s="6">
        <f>IF(ISERROR(VLOOKUP($T$229,'TAR FIN'!$A$1:$O$103,15,0)),0,VLOOKUP($T$229,'TAR FIN'!$A$1:$O$103,15,0))</f>
        <v>1195.82</v>
      </c>
      <c r="X229" s="6">
        <f>IF(ISERROR(VLOOKUP($U$229,'TAR FIN'!$A$1:$O$103,15,0)),0,VLOOKUP($U$229,'TAR FIN'!$A$1:$O$103,15,0))</f>
        <v>0</v>
      </c>
      <c r="Y229" s="6"/>
      <c r="Z229" s="6">
        <f ca="1">('TUSD BE'!$AM$23+'TUSD BF_350'!$AM$23+'TUSD CVA'!$AM$23)*1</f>
        <v>1385.4977743340116</v>
      </c>
      <c r="AA229" s="6"/>
      <c r="AB229" s="6">
        <f>$K$229*$V$229</f>
        <v>0</v>
      </c>
      <c r="AC229" s="6">
        <f>$M$229*$W$229</f>
        <v>15488.835193339424</v>
      </c>
      <c r="AD229" s="6">
        <f>$O$229*$X$229</f>
        <v>0</v>
      </c>
      <c r="AE229" s="6">
        <f>$K$229*$Y$229</f>
        <v>0</v>
      </c>
      <c r="AF229" s="6">
        <f ca="1">$M$229*$Z$229</f>
        <v>17945.632860629597</v>
      </c>
      <c r="AG229" s="6">
        <f>$O$229*$AA$229</f>
        <v>0</v>
      </c>
    </row>
    <row r="230" spans="1:33" ht="11.25" customHeight="1" x14ac:dyDescent="0.3">
      <c r="A230" s="4" t="s">
        <v>21</v>
      </c>
      <c r="B230" s="4" t="s">
        <v>39</v>
      </c>
      <c r="C230" s="4" t="s">
        <v>40</v>
      </c>
      <c r="D230" s="4" t="s">
        <v>38</v>
      </c>
      <c r="E230" s="4" t="s">
        <v>25</v>
      </c>
      <c r="F230" s="4" t="s">
        <v>58</v>
      </c>
      <c r="G230" s="4" t="s">
        <v>25</v>
      </c>
      <c r="H230" s="4" t="s">
        <v>34</v>
      </c>
      <c r="I230" s="5">
        <v>44562</v>
      </c>
      <c r="J230" s="6">
        <v>0</v>
      </c>
      <c r="K230" s="6">
        <v>0</v>
      </c>
      <c r="L230" s="6">
        <v>26.704000000000001</v>
      </c>
      <c r="M230" s="6">
        <v>14.30096082112</v>
      </c>
      <c r="N230" s="6">
        <v>0</v>
      </c>
      <c r="O230" s="6">
        <v>0</v>
      </c>
      <c r="P230" s="6">
        <v>0</v>
      </c>
      <c r="Q230" s="4" t="s">
        <v>59</v>
      </c>
      <c r="R230" s="4">
        <v>0</v>
      </c>
      <c r="S230" s="6">
        <v>0</v>
      </c>
      <c r="T230" s="6">
        <v>15</v>
      </c>
      <c r="U230" s="6">
        <v>0</v>
      </c>
      <c r="V230" s="6">
        <f>IF(ISERROR(VLOOKUP($S$230,'TAR FIN'!$A$1:$O$103,15,0)),0,VLOOKUP($S$230,'TAR FIN'!$A$1:$O$103,15,0))</f>
        <v>0</v>
      </c>
      <c r="W230" s="6">
        <f>IF(ISERROR(VLOOKUP($T$230,'TAR FIN'!$A$1:$O$103,15,0)),0,VLOOKUP($T$230,'TAR FIN'!$A$1:$O$103,15,0))</f>
        <v>1195.82</v>
      </c>
      <c r="X230" s="6">
        <f>IF(ISERROR(VLOOKUP($U$230,'TAR FIN'!$A$1:$O$103,15,0)),0,VLOOKUP($U$230,'TAR FIN'!$A$1:$O$103,15,0))</f>
        <v>0</v>
      </c>
      <c r="Y230" s="6"/>
      <c r="Z230" s="6">
        <f ca="1">('TUSD BE'!$AM$23+'TUSD BF_350'!$AM$23+'TUSD CVA'!$AM$23)*1</f>
        <v>1385.4977743340116</v>
      </c>
      <c r="AA230" s="6"/>
      <c r="AB230" s="6">
        <f>$K$230*$V$230</f>
        <v>0</v>
      </c>
      <c r="AC230" s="6">
        <f>$M$230*$W$230</f>
        <v>17101.374969111719</v>
      </c>
      <c r="AD230" s="6">
        <f>$O$230*$X$230</f>
        <v>0</v>
      </c>
      <c r="AE230" s="6">
        <f>$K$230*$Y$230</f>
        <v>0</v>
      </c>
      <c r="AF230" s="6">
        <f ca="1">$M$230*$Z$230</f>
        <v>19813.949388499659</v>
      </c>
      <c r="AG230" s="6">
        <f>$O$230*$AA$230</f>
        <v>0</v>
      </c>
    </row>
    <row r="231" spans="1:33" ht="11.25" customHeight="1" x14ac:dyDescent="0.3">
      <c r="A231" s="4" t="s">
        <v>21</v>
      </c>
      <c r="B231" s="4" t="s">
        <v>39</v>
      </c>
      <c r="C231" s="4" t="s">
        <v>40</v>
      </c>
      <c r="D231" s="4" t="s">
        <v>38</v>
      </c>
      <c r="E231" s="4" t="s">
        <v>25</v>
      </c>
      <c r="F231" s="4" t="s">
        <v>58</v>
      </c>
      <c r="G231" s="4" t="s">
        <v>25</v>
      </c>
      <c r="H231" s="4" t="s">
        <v>34</v>
      </c>
      <c r="I231" s="5">
        <v>44593</v>
      </c>
      <c r="J231" s="6">
        <v>0</v>
      </c>
      <c r="K231" s="6">
        <v>0</v>
      </c>
      <c r="L231" s="6">
        <v>23.411000000000001</v>
      </c>
      <c r="M231" s="6">
        <v>12.53743985108</v>
      </c>
      <c r="N231" s="6">
        <v>0</v>
      </c>
      <c r="O231" s="6">
        <v>0</v>
      </c>
      <c r="P231" s="6">
        <v>0</v>
      </c>
      <c r="Q231" s="4" t="s">
        <v>59</v>
      </c>
      <c r="R231" s="4">
        <v>0</v>
      </c>
      <c r="S231" s="6">
        <v>0</v>
      </c>
      <c r="T231" s="6">
        <v>15</v>
      </c>
      <c r="U231" s="6">
        <v>0</v>
      </c>
      <c r="V231" s="6">
        <f>IF(ISERROR(VLOOKUP($S$231,'TAR FIN'!$A$1:$O$103,15,0)),0,VLOOKUP($S$231,'TAR FIN'!$A$1:$O$103,15,0))</f>
        <v>0</v>
      </c>
      <c r="W231" s="6">
        <f>IF(ISERROR(VLOOKUP($T$231,'TAR FIN'!$A$1:$O$103,15,0)),0,VLOOKUP($T$231,'TAR FIN'!$A$1:$O$103,15,0))</f>
        <v>1195.82</v>
      </c>
      <c r="X231" s="6">
        <f>IF(ISERROR(VLOOKUP($U$231,'TAR FIN'!$A$1:$O$103,15,0)),0,VLOOKUP($U$231,'TAR FIN'!$A$1:$O$103,15,0))</f>
        <v>0</v>
      </c>
      <c r="Y231" s="6"/>
      <c r="Z231" s="6">
        <f ca="1">('TUSD BE'!$AM$23+'TUSD BF_350'!$AM$23+'TUSD CVA'!$AM$23)*1</f>
        <v>1385.4977743340116</v>
      </c>
      <c r="AA231" s="6"/>
      <c r="AB231" s="6">
        <f>$K$231*$V$231</f>
        <v>0</v>
      </c>
      <c r="AC231" s="6">
        <f>$M$231*$W$231</f>
        <v>14992.521322718485</v>
      </c>
      <c r="AD231" s="6">
        <f>$O$231*$X$231</f>
        <v>0</v>
      </c>
      <c r="AE231" s="6">
        <f>$K$231*$Y$231</f>
        <v>0</v>
      </c>
      <c r="AF231" s="6">
        <f ca="1">$M$231*$Z$231</f>
        <v>17370.595009517881</v>
      </c>
      <c r="AG231" s="6">
        <f>$O$231*$AA$231</f>
        <v>0</v>
      </c>
    </row>
    <row r="232" spans="1:33" ht="11.25" customHeight="1" x14ac:dyDescent="0.3">
      <c r="A232" s="4" t="s">
        <v>21</v>
      </c>
      <c r="B232" s="4" t="s">
        <v>39</v>
      </c>
      <c r="C232" s="4" t="s">
        <v>40</v>
      </c>
      <c r="D232" s="4" t="s">
        <v>38</v>
      </c>
      <c r="E232" s="4" t="s">
        <v>25</v>
      </c>
      <c r="F232" s="4" t="s">
        <v>58</v>
      </c>
      <c r="G232" s="4" t="s">
        <v>25</v>
      </c>
      <c r="H232" s="4" t="s">
        <v>34</v>
      </c>
      <c r="I232" s="5">
        <v>44621</v>
      </c>
      <c r="J232" s="6">
        <v>0</v>
      </c>
      <c r="K232" s="6">
        <v>0</v>
      </c>
      <c r="L232" s="6">
        <v>22.696999999999999</v>
      </c>
      <c r="M232" s="6">
        <v>12.15506694716</v>
      </c>
      <c r="N232" s="6">
        <v>0</v>
      </c>
      <c r="O232" s="6">
        <v>0</v>
      </c>
      <c r="P232" s="6">
        <v>0</v>
      </c>
      <c r="Q232" s="4" t="s">
        <v>59</v>
      </c>
      <c r="R232" s="4">
        <v>0</v>
      </c>
      <c r="S232" s="6">
        <v>0</v>
      </c>
      <c r="T232" s="6">
        <v>15</v>
      </c>
      <c r="U232" s="6">
        <v>0</v>
      </c>
      <c r="V232" s="6">
        <f>IF(ISERROR(VLOOKUP($S$232,'TAR FIN'!$A$1:$O$103,15,0)),0,VLOOKUP($S$232,'TAR FIN'!$A$1:$O$103,15,0))</f>
        <v>0</v>
      </c>
      <c r="W232" s="6">
        <f>IF(ISERROR(VLOOKUP($T$232,'TAR FIN'!$A$1:$O$103,15,0)),0,VLOOKUP($T$232,'TAR FIN'!$A$1:$O$103,15,0))</f>
        <v>1195.82</v>
      </c>
      <c r="X232" s="6">
        <f>IF(ISERROR(VLOOKUP($U$232,'TAR FIN'!$A$1:$O$103,15,0)),0,VLOOKUP($U$232,'TAR FIN'!$A$1:$O$103,15,0))</f>
        <v>0</v>
      </c>
      <c r="Y232" s="6"/>
      <c r="Z232" s="6">
        <f ca="1">('TUSD BE'!$AM$23+'TUSD BF_350'!$AM$23+'TUSD CVA'!$AM$23)*1</f>
        <v>1385.4977743340116</v>
      </c>
      <c r="AA232" s="6"/>
      <c r="AB232" s="6">
        <f>$K$232*$V$232</f>
        <v>0</v>
      </c>
      <c r="AC232" s="6">
        <f>$M$232*$W$232</f>
        <v>14535.27215675287</v>
      </c>
      <c r="AD232" s="6">
        <f>$O$232*$X$232</f>
        <v>0</v>
      </c>
      <c r="AE232" s="6">
        <f>$K$232*$Y$232</f>
        <v>0</v>
      </c>
      <c r="AF232" s="6">
        <f ca="1">$M$232*$Z$232</f>
        <v>16840.818202171089</v>
      </c>
      <c r="AG232" s="6">
        <f>$O$232*$AA$232</f>
        <v>0</v>
      </c>
    </row>
    <row r="233" spans="1:33" ht="11.25" customHeight="1" x14ac:dyDescent="0.3">
      <c r="A233" s="4" t="s">
        <v>21</v>
      </c>
      <c r="B233" s="4" t="s">
        <v>39</v>
      </c>
      <c r="C233" s="4" t="s">
        <v>40</v>
      </c>
      <c r="D233" s="4" t="s">
        <v>38</v>
      </c>
      <c r="E233" s="4" t="s">
        <v>25</v>
      </c>
      <c r="F233" s="4" t="s">
        <v>58</v>
      </c>
      <c r="G233" s="4" t="s">
        <v>25</v>
      </c>
      <c r="H233" s="4" t="s">
        <v>34</v>
      </c>
      <c r="I233" s="5">
        <v>44652</v>
      </c>
      <c r="J233" s="6">
        <v>0</v>
      </c>
      <c r="K233" s="6">
        <v>0</v>
      </c>
      <c r="L233" s="6">
        <v>22.974</v>
      </c>
      <c r="M233" s="6">
        <v>12.30341049672</v>
      </c>
      <c r="N233" s="6">
        <v>0</v>
      </c>
      <c r="O233" s="6">
        <v>0</v>
      </c>
      <c r="P233" s="6">
        <v>0</v>
      </c>
      <c r="Q233" s="4" t="s">
        <v>59</v>
      </c>
      <c r="R233" s="4">
        <v>0</v>
      </c>
      <c r="S233" s="6">
        <v>0</v>
      </c>
      <c r="T233" s="6">
        <v>15</v>
      </c>
      <c r="U233" s="6">
        <v>0</v>
      </c>
      <c r="V233" s="6">
        <f>IF(ISERROR(VLOOKUP($S$233,'TAR FIN'!$A$1:$O$103,15,0)),0,VLOOKUP($S$233,'TAR FIN'!$A$1:$O$103,15,0))</f>
        <v>0</v>
      </c>
      <c r="W233" s="6">
        <f>IF(ISERROR(VLOOKUP($T$233,'TAR FIN'!$A$1:$O$103,15,0)),0,VLOOKUP($T$233,'TAR FIN'!$A$1:$O$103,15,0))</f>
        <v>1195.82</v>
      </c>
      <c r="X233" s="6">
        <f>IF(ISERROR(VLOOKUP($U$233,'TAR FIN'!$A$1:$O$103,15,0)),0,VLOOKUP($U$233,'TAR FIN'!$A$1:$O$103,15,0))</f>
        <v>0</v>
      </c>
      <c r="Y233" s="6"/>
      <c r="Z233" s="6">
        <f ca="1">('TUSD BE'!$AM$23+'TUSD BF_350'!$AM$23+'TUSD CVA'!$AM$23)*1</f>
        <v>1385.4977743340116</v>
      </c>
      <c r="AA233" s="6"/>
      <c r="AB233" s="6">
        <f>$K$233*$V$233</f>
        <v>0</v>
      </c>
      <c r="AC233" s="6">
        <f>$M$233*$W$233</f>
        <v>14712.66434018771</v>
      </c>
      <c r="AD233" s="6">
        <f>$O$233*$X$233</f>
        <v>0</v>
      </c>
      <c r="AE233" s="6">
        <f>$K$233*$Y$233</f>
        <v>0</v>
      </c>
      <c r="AF233" s="6">
        <f ca="1">$M$233*$Z$233</f>
        <v>17046.347859923277</v>
      </c>
      <c r="AG233" s="6">
        <f>$O$233*$AA$233</f>
        <v>0</v>
      </c>
    </row>
    <row r="234" spans="1:33" ht="11.25" customHeight="1" x14ac:dyDescent="0.3">
      <c r="A234" s="4" t="s">
        <v>21</v>
      </c>
      <c r="B234" s="4" t="s">
        <v>39</v>
      </c>
      <c r="C234" s="4" t="s">
        <v>40</v>
      </c>
      <c r="D234" s="4" t="s">
        <v>38</v>
      </c>
      <c r="E234" s="4" t="s">
        <v>25</v>
      </c>
      <c r="F234" s="4" t="s">
        <v>58</v>
      </c>
      <c r="G234" s="4" t="s">
        <v>25</v>
      </c>
      <c r="H234" s="4" t="s">
        <v>34</v>
      </c>
      <c r="I234" s="5">
        <v>44682</v>
      </c>
      <c r="J234" s="6">
        <v>0</v>
      </c>
      <c r="K234" s="6">
        <v>0</v>
      </c>
      <c r="L234" s="6">
        <v>22.655999999999999</v>
      </c>
      <c r="M234" s="6">
        <v>12.133109959680001</v>
      </c>
      <c r="N234" s="6">
        <v>0</v>
      </c>
      <c r="O234" s="6">
        <v>0</v>
      </c>
      <c r="P234" s="6">
        <v>0</v>
      </c>
      <c r="Q234" s="4" t="s">
        <v>59</v>
      </c>
      <c r="R234" s="4">
        <v>0</v>
      </c>
      <c r="S234" s="6">
        <v>0</v>
      </c>
      <c r="T234" s="6">
        <v>15</v>
      </c>
      <c r="U234" s="6">
        <v>0</v>
      </c>
      <c r="V234" s="6">
        <f>IF(ISERROR(VLOOKUP($S$234,'TAR FIN'!$A$1:$O$103,15,0)),0,VLOOKUP($S$234,'TAR FIN'!$A$1:$O$103,15,0))</f>
        <v>0</v>
      </c>
      <c r="W234" s="6">
        <f>IF(ISERROR(VLOOKUP($T$234,'TAR FIN'!$A$1:$O$103,15,0)),0,VLOOKUP($T$234,'TAR FIN'!$A$1:$O$103,15,0))</f>
        <v>1195.82</v>
      </c>
      <c r="X234" s="6">
        <f>IF(ISERROR(VLOOKUP($U$234,'TAR FIN'!$A$1:$O$103,15,0)),0,VLOOKUP($U$234,'TAR FIN'!$A$1:$O$103,15,0))</f>
        <v>0</v>
      </c>
      <c r="Y234" s="6"/>
      <c r="Z234" s="6">
        <f ca="1">('TUSD BE'!$AM$23+'TUSD BF_350'!$AM$23+'TUSD CVA'!$AM$23)*1</f>
        <v>1385.4977743340116</v>
      </c>
      <c r="AA234" s="6"/>
      <c r="AB234" s="6">
        <f>$K$234*$V$234</f>
        <v>0</v>
      </c>
      <c r="AC234" s="6">
        <f>$M$234*$W$234</f>
        <v>14509.015551984538</v>
      </c>
      <c r="AD234" s="6">
        <f>$O$234*$X$234</f>
        <v>0</v>
      </c>
      <c r="AE234" s="6">
        <f>$K$234*$Y$234</f>
        <v>0</v>
      </c>
      <c r="AF234" s="6">
        <f ca="1">$M$234*$Z$234</f>
        <v>16810.396844886469</v>
      </c>
      <c r="AG234" s="6">
        <f>$O$234*$AA$234</f>
        <v>0</v>
      </c>
    </row>
    <row r="235" spans="1:33" ht="11.25" customHeight="1" x14ac:dyDescent="0.3">
      <c r="A235" s="4" t="s">
        <v>21</v>
      </c>
      <c r="B235" s="4" t="s">
        <v>39</v>
      </c>
      <c r="C235" s="4" t="s">
        <v>40</v>
      </c>
      <c r="D235" s="4" t="s">
        <v>38</v>
      </c>
      <c r="E235" s="4" t="s">
        <v>25</v>
      </c>
      <c r="F235" s="4" t="s">
        <v>58</v>
      </c>
      <c r="G235" s="4" t="s">
        <v>25</v>
      </c>
      <c r="H235" s="4" t="s">
        <v>34</v>
      </c>
      <c r="I235" s="5">
        <v>44713</v>
      </c>
      <c r="J235" s="6">
        <v>0</v>
      </c>
      <c r="K235" s="6">
        <v>0</v>
      </c>
      <c r="L235" s="6">
        <v>19.187999999999999</v>
      </c>
      <c r="M235" s="6">
        <v>10.27587014064</v>
      </c>
      <c r="N235" s="6">
        <v>0</v>
      </c>
      <c r="O235" s="6">
        <v>0</v>
      </c>
      <c r="P235" s="6">
        <v>0</v>
      </c>
      <c r="Q235" s="4" t="s">
        <v>59</v>
      </c>
      <c r="R235" s="4">
        <v>0</v>
      </c>
      <c r="S235" s="6">
        <v>0</v>
      </c>
      <c r="T235" s="6">
        <v>15</v>
      </c>
      <c r="U235" s="6">
        <v>0</v>
      </c>
      <c r="V235" s="6">
        <f>IF(ISERROR(VLOOKUP($S$235,'TAR FIN'!$A$1:$O$103,15,0)),0,VLOOKUP($S$235,'TAR FIN'!$A$1:$O$103,15,0))</f>
        <v>0</v>
      </c>
      <c r="W235" s="6">
        <f>IF(ISERROR(VLOOKUP($T$235,'TAR FIN'!$A$1:$O$103,15,0)),0,VLOOKUP($T$235,'TAR FIN'!$A$1:$O$103,15,0))</f>
        <v>1195.82</v>
      </c>
      <c r="X235" s="6">
        <f>IF(ISERROR(VLOOKUP($U$235,'TAR FIN'!$A$1:$O$103,15,0)),0,VLOOKUP($U$235,'TAR FIN'!$A$1:$O$103,15,0))</f>
        <v>0</v>
      </c>
      <c r="Y235" s="6"/>
      <c r="Z235" s="6">
        <f ca="1">('TUSD BE'!$AM$23+'TUSD BF_350'!$AM$23+'TUSD CVA'!$AM$23)*1</f>
        <v>1385.4977743340116</v>
      </c>
      <c r="AA235" s="6"/>
      <c r="AB235" s="6">
        <f>$K$235*$V$235</f>
        <v>0</v>
      </c>
      <c r="AC235" s="6">
        <f>$M$235*$W$235</f>
        <v>12288.091031580125</v>
      </c>
      <c r="AD235" s="6">
        <f>$O$235*$X$235</f>
        <v>0</v>
      </c>
      <c r="AE235" s="6">
        <f>$K$235*$Y$235</f>
        <v>0</v>
      </c>
      <c r="AF235" s="6">
        <f ca="1">$M$235*$Z$235</f>
        <v>14237.195209202047</v>
      </c>
      <c r="AG235" s="6">
        <f>$O$235*$AA$235</f>
        <v>0</v>
      </c>
    </row>
    <row r="236" spans="1:33" ht="11.25" customHeight="1" x14ac:dyDescent="0.3">
      <c r="A236" s="4" t="s">
        <v>21</v>
      </c>
      <c r="B236" s="4" t="s">
        <v>39</v>
      </c>
      <c r="C236" s="4" t="s">
        <v>40</v>
      </c>
      <c r="D236" s="4" t="s">
        <v>38</v>
      </c>
      <c r="E236" s="4" t="s">
        <v>25</v>
      </c>
      <c r="F236" s="4" t="s">
        <v>58</v>
      </c>
      <c r="G236" s="4" t="s">
        <v>25</v>
      </c>
      <c r="H236" s="4" t="s">
        <v>34</v>
      </c>
      <c r="I236" s="5">
        <v>44743</v>
      </c>
      <c r="J236" s="6">
        <v>0</v>
      </c>
      <c r="K236" s="6">
        <v>0</v>
      </c>
      <c r="L236" s="6">
        <v>28.712</v>
      </c>
      <c r="M236" s="6">
        <v>15.376317671360001</v>
      </c>
      <c r="N236" s="6">
        <v>0</v>
      </c>
      <c r="O236" s="6">
        <v>0</v>
      </c>
      <c r="P236" s="6">
        <v>0</v>
      </c>
      <c r="Q236" s="4" t="s">
        <v>59</v>
      </c>
      <c r="R236" s="4">
        <v>0</v>
      </c>
      <c r="S236" s="6">
        <v>0</v>
      </c>
      <c r="T236" s="6">
        <v>15</v>
      </c>
      <c r="U236" s="6">
        <v>0</v>
      </c>
      <c r="V236" s="6">
        <f>IF(ISERROR(VLOOKUP($S$236,'TAR FIN'!$A$1:$O$103,15,0)),0,VLOOKUP($S$236,'TAR FIN'!$A$1:$O$103,15,0))</f>
        <v>0</v>
      </c>
      <c r="W236" s="6">
        <f>IF(ISERROR(VLOOKUP($T$236,'TAR FIN'!$A$1:$O$103,15,0)),0,VLOOKUP($T$236,'TAR FIN'!$A$1:$O$103,15,0))</f>
        <v>1195.82</v>
      </c>
      <c r="X236" s="6">
        <f>IF(ISERROR(VLOOKUP($U$236,'TAR FIN'!$A$1:$O$103,15,0)),0,VLOOKUP($U$236,'TAR FIN'!$A$1:$O$103,15,0))</f>
        <v>0</v>
      </c>
      <c r="Y236" s="6"/>
      <c r="Z236" s="6">
        <f ca="1">('TUSD BE'!$AM$23+'TUSD BF_350'!$AM$23+'TUSD CVA'!$AM$23)*1</f>
        <v>1385.4977743340116</v>
      </c>
      <c r="AA236" s="6"/>
      <c r="AB236" s="6">
        <f>$K$236*$V$236</f>
        <v>0</v>
      </c>
      <c r="AC236" s="6">
        <f>$M$236*$W$236</f>
        <v>18387.308197765717</v>
      </c>
      <c r="AD236" s="6">
        <f>$O$236*$X$236</f>
        <v>0</v>
      </c>
      <c r="AE236" s="6">
        <f>$K$236*$Y$236</f>
        <v>0</v>
      </c>
      <c r="AF236" s="6">
        <f ca="1">$M$236*$Z$236</f>
        <v>21303.853911122013</v>
      </c>
      <c r="AG236" s="6">
        <f>$O$236*$AA$236</f>
        <v>0</v>
      </c>
    </row>
    <row r="237" spans="1:33" ht="11.25" customHeight="1" x14ac:dyDescent="0.3">
      <c r="A237" s="4" t="s">
        <v>21</v>
      </c>
      <c r="B237" s="4" t="s">
        <v>39</v>
      </c>
      <c r="C237" s="4" t="s">
        <v>40</v>
      </c>
      <c r="D237" s="4" t="s">
        <v>38</v>
      </c>
      <c r="E237" s="4" t="s">
        <v>25</v>
      </c>
      <c r="F237" s="4" t="s">
        <v>58</v>
      </c>
      <c r="G237" s="4" t="s">
        <v>25</v>
      </c>
      <c r="H237" s="4" t="s">
        <v>34</v>
      </c>
      <c r="I237" s="5">
        <v>44774</v>
      </c>
      <c r="J237" s="6">
        <v>0</v>
      </c>
      <c r="K237" s="6">
        <v>0</v>
      </c>
      <c r="L237" s="6">
        <v>31.527999999999999</v>
      </c>
      <c r="M237" s="6">
        <v>16.884387835839998</v>
      </c>
      <c r="N237" s="6">
        <v>0</v>
      </c>
      <c r="O237" s="6">
        <v>0</v>
      </c>
      <c r="P237" s="6">
        <v>0</v>
      </c>
      <c r="Q237" s="4" t="s">
        <v>59</v>
      </c>
      <c r="R237" s="4">
        <v>0</v>
      </c>
      <c r="S237" s="6">
        <v>0</v>
      </c>
      <c r="T237" s="6">
        <v>15</v>
      </c>
      <c r="U237" s="6">
        <v>0</v>
      </c>
      <c r="V237" s="6">
        <f>IF(ISERROR(VLOOKUP($S$237,'TAR FIN'!$A$1:$O$103,15,0)),0,VLOOKUP($S$237,'TAR FIN'!$A$1:$O$103,15,0))</f>
        <v>0</v>
      </c>
      <c r="W237" s="6">
        <f>IF(ISERROR(VLOOKUP($T$237,'TAR FIN'!$A$1:$O$103,15,0)),0,VLOOKUP($T$237,'TAR FIN'!$A$1:$O$103,15,0))</f>
        <v>1195.82</v>
      </c>
      <c r="X237" s="6">
        <f>IF(ISERROR(VLOOKUP($U$237,'TAR FIN'!$A$1:$O$103,15,0)),0,VLOOKUP($U$237,'TAR FIN'!$A$1:$O$103,15,0))</f>
        <v>0</v>
      </c>
      <c r="Y237" s="6"/>
      <c r="Z237" s="6">
        <f ca="1">('TUSD BE'!$AM$23+'TUSD BF_350'!$AM$23+'TUSD CVA'!$AM$23)*1</f>
        <v>1385.4977743340116</v>
      </c>
      <c r="AA237" s="6"/>
      <c r="AB237" s="6">
        <f>$K$237*$V$237</f>
        <v>0</v>
      </c>
      <c r="AC237" s="6">
        <f>$M$237*$W$237</f>
        <v>20190.688661854187</v>
      </c>
      <c r="AD237" s="6">
        <f>$O$237*$X$237</f>
        <v>0</v>
      </c>
      <c r="AE237" s="6">
        <f>$K$237*$Y$237</f>
        <v>0</v>
      </c>
      <c r="AF237" s="6">
        <f ca="1">$M$237*$Z$237</f>
        <v>23393.281767548579</v>
      </c>
      <c r="AG237" s="6">
        <f>$O$237*$AA$237</f>
        <v>0</v>
      </c>
    </row>
    <row r="238" spans="1:33" ht="11.25" customHeight="1" x14ac:dyDescent="0.3">
      <c r="A238" s="4" t="s">
        <v>21</v>
      </c>
      <c r="B238" s="4" t="s">
        <v>39</v>
      </c>
      <c r="C238" s="4" t="s">
        <v>40</v>
      </c>
      <c r="D238" s="4" t="s">
        <v>38</v>
      </c>
      <c r="E238" s="4" t="s">
        <v>25</v>
      </c>
      <c r="F238" s="4" t="s">
        <v>58</v>
      </c>
      <c r="G238" s="4" t="s">
        <v>25</v>
      </c>
      <c r="H238" s="4" t="s">
        <v>34</v>
      </c>
      <c r="I238" s="5">
        <v>44805</v>
      </c>
      <c r="J238" s="6">
        <v>0</v>
      </c>
      <c r="K238" s="6">
        <v>0</v>
      </c>
      <c r="L238" s="6">
        <v>29.128</v>
      </c>
      <c r="M238" s="6">
        <v>15.599100763839999</v>
      </c>
      <c r="N238" s="6">
        <v>0</v>
      </c>
      <c r="O238" s="6">
        <v>0</v>
      </c>
      <c r="P238" s="6">
        <v>0</v>
      </c>
      <c r="Q238" s="4" t="s">
        <v>59</v>
      </c>
      <c r="R238" s="4">
        <v>0</v>
      </c>
      <c r="S238" s="6">
        <v>0</v>
      </c>
      <c r="T238" s="6">
        <v>15</v>
      </c>
      <c r="U238" s="6">
        <v>0</v>
      </c>
      <c r="V238" s="6">
        <f>IF(ISERROR(VLOOKUP($S$238,'TAR FIN'!$A$1:$O$103,15,0)),0,VLOOKUP($S$238,'TAR FIN'!$A$1:$O$103,15,0))</f>
        <v>0</v>
      </c>
      <c r="W238" s="6">
        <f>IF(ISERROR(VLOOKUP($T$238,'TAR FIN'!$A$1:$O$103,15,0)),0,VLOOKUP($T$238,'TAR FIN'!$A$1:$O$103,15,0))</f>
        <v>1195.82</v>
      </c>
      <c r="X238" s="6">
        <f>IF(ISERROR(VLOOKUP($U$238,'TAR FIN'!$A$1:$O$103,15,0)),0,VLOOKUP($U$238,'TAR FIN'!$A$1:$O$103,15,0))</f>
        <v>0</v>
      </c>
      <c r="Y238" s="6"/>
      <c r="Z238" s="6">
        <f ca="1">('TUSD BE'!$AM$23+'TUSD BF_350'!$AM$23+'TUSD CVA'!$AM$23)*1</f>
        <v>1385.4977743340116</v>
      </c>
      <c r="AA238" s="6"/>
      <c r="AB238" s="6">
        <f>$K$238*$V$238</f>
        <v>0</v>
      </c>
      <c r="AC238" s="6">
        <f>$M$238*$W$238</f>
        <v>18653.716675415148</v>
      </c>
      <c r="AD238" s="6">
        <f>$O$238*$X$238</f>
        <v>0</v>
      </c>
      <c r="AE238" s="6">
        <f>$K$238*$Y$238</f>
        <v>0</v>
      </c>
      <c r="AF238" s="6">
        <f ca="1">$M$238*$Z$238</f>
        <v>21612.519389912301</v>
      </c>
      <c r="AG238" s="6">
        <f>$O$238*$AA$238</f>
        <v>0</v>
      </c>
    </row>
    <row r="239" spans="1:33" ht="11.25" customHeight="1" x14ac:dyDescent="0.3">
      <c r="A239" s="4" t="s">
        <v>57</v>
      </c>
      <c r="B239" s="4" t="s">
        <v>39</v>
      </c>
      <c r="C239" s="4" t="s">
        <v>40</v>
      </c>
      <c r="D239" s="4" t="s">
        <v>38</v>
      </c>
      <c r="E239" s="4" t="s">
        <v>25</v>
      </c>
      <c r="F239" s="4" t="s">
        <v>58</v>
      </c>
      <c r="G239" s="4" t="s">
        <v>25</v>
      </c>
      <c r="H239" s="4" t="s">
        <v>34</v>
      </c>
      <c r="I239" s="5">
        <v>44835</v>
      </c>
      <c r="J239" s="6">
        <v>0</v>
      </c>
      <c r="K239" s="6">
        <v>0</v>
      </c>
      <c r="L239" s="6">
        <v>29.128</v>
      </c>
      <c r="M239" s="6">
        <v>15.599100763839999</v>
      </c>
      <c r="N239" s="6">
        <v>0</v>
      </c>
      <c r="O239" s="6">
        <v>0</v>
      </c>
      <c r="P239" s="6">
        <v>0</v>
      </c>
      <c r="Q239" s="4" t="s">
        <v>59</v>
      </c>
      <c r="R239" s="4">
        <v>0</v>
      </c>
      <c r="S239" s="6">
        <v>0</v>
      </c>
      <c r="T239" s="6">
        <v>15</v>
      </c>
      <c r="U239" s="6">
        <v>0</v>
      </c>
      <c r="V239" s="6">
        <f>IF(ISERROR(VLOOKUP($S$239,'TAR FIN'!$A$1:$O$103,15,0)),0,VLOOKUP($S$239,'TAR FIN'!$A$1:$O$103,15,0))</f>
        <v>0</v>
      </c>
      <c r="W239" s="6">
        <f>IF(ISERROR(VLOOKUP($T$239,'TAR FIN'!$A$1:$O$103,15,0)),0,VLOOKUP($T$239,'TAR FIN'!$A$1:$O$103,15,0))</f>
        <v>1195.82</v>
      </c>
      <c r="X239" s="6">
        <f>IF(ISERROR(VLOOKUP($U$239,'TAR FIN'!$A$1:$O$103,15,0)),0,VLOOKUP($U$239,'TAR FIN'!$A$1:$O$103,15,0))</f>
        <v>0</v>
      </c>
      <c r="Y239" s="6"/>
      <c r="Z239" s="6">
        <f ca="1">('TUSD BE'!$AM$23+'TUSD BF_350'!$AM$23+'TUSD CVA'!$AM$23)*1</f>
        <v>1385.4977743340116</v>
      </c>
      <c r="AA239" s="6"/>
      <c r="AB239" s="6">
        <f>$K$239*$V$239</f>
        <v>0</v>
      </c>
      <c r="AC239" s="6">
        <f>$M$239*$W$239</f>
        <v>18653.716675415148</v>
      </c>
      <c r="AD239" s="6">
        <f>$O$239*$X$239</f>
        <v>0</v>
      </c>
      <c r="AE239" s="6">
        <f>$K$239*$Y$239</f>
        <v>0</v>
      </c>
      <c r="AF239" s="6">
        <f ca="1">$M$239*$Z$239</f>
        <v>21612.519389912301</v>
      </c>
      <c r="AG239" s="6">
        <f>$O$239*$AA$239</f>
        <v>0</v>
      </c>
    </row>
    <row r="240" spans="1:33" ht="11.25" customHeight="1" x14ac:dyDescent="0.3">
      <c r="A240" s="4" t="s">
        <v>21</v>
      </c>
      <c r="B240" s="4" t="s">
        <v>39</v>
      </c>
      <c r="C240" s="4" t="s">
        <v>40</v>
      </c>
      <c r="D240" s="4" t="s">
        <v>38</v>
      </c>
      <c r="E240" s="4" t="s">
        <v>25</v>
      </c>
      <c r="F240" s="4" t="s">
        <v>25</v>
      </c>
      <c r="G240" s="4" t="s">
        <v>25</v>
      </c>
      <c r="H240" s="4" t="s">
        <v>35</v>
      </c>
      <c r="I240" s="5">
        <v>44501</v>
      </c>
      <c r="J240" s="6">
        <v>0</v>
      </c>
      <c r="K240" s="6">
        <v>0</v>
      </c>
      <c r="L240" s="6">
        <v>849.83</v>
      </c>
      <c r="M240" s="6">
        <v>849.83</v>
      </c>
      <c r="N240" s="6">
        <v>849.83</v>
      </c>
      <c r="O240" s="6">
        <v>849.83</v>
      </c>
      <c r="P240" s="6">
        <v>0</v>
      </c>
      <c r="Q240" s="4" t="s">
        <v>26</v>
      </c>
      <c r="R240" s="4">
        <v>0</v>
      </c>
      <c r="S240" s="6">
        <v>0</v>
      </c>
      <c r="T240" s="6">
        <v>17</v>
      </c>
      <c r="U240" s="6">
        <v>66</v>
      </c>
      <c r="V240" s="6">
        <f>IF(ISERROR(VLOOKUP($S$240,'TAR FIN'!$A$1:$O$103,15,0)),0,VLOOKUP($S$240,'TAR FIN'!$A$1:$O$103,15,0))</f>
        <v>0</v>
      </c>
      <c r="W240" s="6">
        <f>IF(ISERROR(VLOOKUP($T$240,'TAR FIN'!$A$1:$O$103,15,0)),0,VLOOKUP($T$240,'TAR FIN'!$A$1:$O$103,15,0))</f>
        <v>84.99</v>
      </c>
      <c r="X240" s="6">
        <f>IF(ISERROR(VLOOKUP($U$240,'TAR FIN'!$A$1:$O$103,15,0)),0,VLOOKUP($U$240,'TAR FIN'!$A$1:$O$103,15,0))</f>
        <v>242.77</v>
      </c>
      <c r="Y240" s="6"/>
      <c r="Z240" s="6">
        <f ca="1">('TUSD BE'!$AM$24+'TUSD BF_350'!$AM$24+'TUSD CVA'!$AM$24)*1</f>
        <v>145.72237393634796</v>
      </c>
      <c r="AA240" s="6">
        <f ca="1">('TE BE'!$AB$9+'TE BF_350'!$AB$9+'TE CVA'!$AB$9)*1</f>
        <v>222.39386487986414</v>
      </c>
      <c r="AB240" s="6">
        <f>$K$240*$V$240</f>
        <v>0</v>
      </c>
      <c r="AC240" s="6">
        <f>$M$240*$W$240</f>
        <v>72227.051699999996</v>
      </c>
      <c r="AD240" s="6">
        <f>$O$240*$X$240</f>
        <v>206313.22910000003</v>
      </c>
      <c r="AE240" s="6">
        <f>$K$240*$Y$240</f>
        <v>0</v>
      </c>
      <c r="AF240" s="6">
        <f ca="1">$M$240*$Z$240</f>
        <v>123839.2450423266</v>
      </c>
      <c r="AG240" s="6">
        <f ca="1">$O$240*$AA$240</f>
        <v>188996.97819085495</v>
      </c>
    </row>
    <row r="241" spans="1:33" ht="11.25" customHeight="1" x14ac:dyDescent="0.3">
      <c r="A241" s="4" t="s">
        <v>28</v>
      </c>
      <c r="B241" s="4" t="s">
        <v>39</v>
      </c>
      <c r="C241" s="4" t="s">
        <v>40</v>
      </c>
      <c r="D241" s="4" t="s">
        <v>38</v>
      </c>
      <c r="E241" s="4" t="s">
        <v>25</v>
      </c>
      <c r="F241" s="4" t="s">
        <v>25</v>
      </c>
      <c r="G241" s="4" t="s">
        <v>25</v>
      </c>
      <c r="H241" s="4" t="s">
        <v>35</v>
      </c>
      <c r="I241" s="5">
        <v>44501</v>
      </c>
      <c r="J241" s="6">
        <v>0</v>
      </c>
      <c r="K241" s="6">
        <v>0</v>
      </c>
      <c r="L241" s="6">
        <v>1</v>
      </c>
      <c r="M241" s="6">
        <v>1</v>
      </c>
      <c r="N241" s="6">
        <v>1</v>
      </c>
      <c r="O241" s="6">
        <v>1</v>
      </c>
      <c r="P241" s="6">
        <v>0</v>
      </c>
      <c r="Q241" s="4" t="s">
        <v>26</v>
      </c>
      <c r="R241" s="4">
        <v>0</v>
      </c>
      <c r="S241" s="6">
        <v>0</v>
      </c>
      <c r="T241" s="6">
        <v>17</v>
      </c>
      <c r="U241" s="6">
        <v>66</v>
      </c>
      <c r="V241" s="6">
        <f>IF(ISERROR(VLOOKUP($S$241,'TAR FIN'!$A$1:$O$103,15,0)),0,VLOOKUP($S$241,'TAR FIN'!$A$1:$O$103,15,0))</f>
        <v>0</v>
      </c>
      <c r="W241" s="6">
        <f>IF(ISERROR(VLOOKUP($T$241,'TAR FIN'!$A$1:$O$103,15,0)),0,VLOOKUP($T$241,'TAR FIN'!$A$1:$O$103,15,0))</f>
        <v>84.99</v>
      </c>
      <c r="X241" s="6">
        <f>IF(ISERROR(VLOOKUP($U$241,'TAR FIN'!$A$1:$O$103,15,0)),0,VLOOKUP($U$241,'TAR FIN'!$A$1:$O$103,15,0))</f>
        <v>242.77</v>
      </c>
      <c r="Y241" s="6"/>
      <c r="Z241" s="6">
        <f ca="1">('TUSD BE'!$AM$24+'TUSD BF_350'!$AM$24+'TUSD CVA'!$AM$24)*1</f>
        <v>145.72237393634796</v>
      </c>
      <c r="AA241" s="6">
        <f ca="1">('TE BE'!$AB$9+'TE BF_350'!$AB$9+'TE CVA'!$AB$9)*1</f>
        <v>222.39386487986414</v>
      </c>
      <c r="AB241" s="6">
        <f>$K$241*$V$241</f>
        <v>0</v>
      </c>
      <c r="AC241" s="6">
        <f>$M$241*$W$241</f>
        <v>84.99</v>
      </c>
      <c r="AD241" s="6">
        <f>$O$241*$X$241</f>
        <v>242.77</v>
      </c>
      <c r="AE241" s="6">
        <f>$K$241*$Y$241</f>
        <v>0</v>
      </c>
      <c r="AF241" s="6">
        <f ca="1">$M$241*$Z$241</f>
        <v>145.72237393634796</v>
      </c>
      <c r="AG241" s="6">
        <f ca="1">$O$241*$AA$241</f>
        <v>222.39386487986414</v>
      </c>
    </row>
    <row r="242" spans="1:33" ht="11.25" customHeight="1" x14ac:dyDescent="0.3">
      <c r="A242" s="4" t="s">
        <v>21</v>
      </c>
      <c r="B242" s="4" t="s">
        <v>39</v>
      </c>
      <c r="C242" s="4" t="s">
        <v>40</v>
      </c>
      <c r="D242" s="4" t="s">
        <v>38</v>
      </c>
      <c r="E242" s="4" t="s">
        <v>25</v>
      </c>
      <c r="F242" s="4" t="s">
        <v>25</v>
      </c>
      <c r="G242" s="4" t="s">
        <v>25</v>
      </c>
      <c r="H242" s="4" t="s">
        <v>35</v>
      </c>
      <c r="I242" s="5">
        <v>44531</v>
      </c>
      <c r="J242" s="6">
        <v>0</v>
      </c>
      <c r="K242" s="6">
        <v>0</v>
      </c>
      <c r="L242" s="6">
        <v>751.16800000000001</v>
      </c>
      <c r="M242" s="6">
        <v>751.16800000000001</v>
      </c>
      <c r="N242" s="6">
        <v>751.16800000000001</v>
      </c>
      <c r="O242" s="6">
        <v>751.16800000000001</v>
      </c>
      <c r="P242" s="6">
        <v>0</v>
      </c>
      <c r="Q242" s="4" t="s">
        <v>26</v>
      </c>
      <c r="R242" s="4">
        <v>0</v>
      </c>
      <c r="S242" s="6">
        <v>0</v>
      </c>
      <c r="T242" s="6">
        <v>17</v>
      </c>
      <c r="U242" s="6">
        <v>66</v>
      </c>
      <c r="V242" s="6">
        <f>IF(ISERROR(VLOOKUP($S$242,'TAR FIN'!$A$1:$O$103,15,0)),0,VLOOKUP($S$242,'TAR FIN'!$A$1:$O$103,15,0))</f>
        <v>0</v>
      </c>
      <c r="W242" s="6">
        <f>IF(ISERROR(VLOOKUP($T$242,'TAR FIN'!$A$1:$O$103,15,0)),0,VLOOKUP($T$242,'TAR FIN'!$A$1:$O$103,15,0))</f>
        <v>84.99</v>
      </c>
      <c r="X242" s="6">
        <f>IF(ISERROR(VLOOKUP($U$242,'TAR FIN'!$A$1:$O$103,15,0)),0,VLOOKUP($U$242,'TAR FIN'!$A$1:$O$103,15,0))</f>
        <v>242.77</v>
      </c>
      <c r="Y242" s="6"/>
      <c r="Z242" s="6">
        <f ca="1">('TUSD BE'!$AM$24+'TUSD BF_350'!$AM$24+'TUSD CVA'!$AM$24)*1</f>
        <v>145.72237393634796</v>
      </c>
      <c r="AA242" s="6">
        <f ca="1">('TE BE'!$AB$9+'TE BF_350'!$AB$9+'TE CVA'!$AB$9)*1</f>
        <v>222.39386487986414</v>
      </c>
      <c r="AB242" s="6">
        <f>$K$242*$V$242</f>
        <v>0</v>
      </c>
      <c r="AC242" s="6">
        <f>$M$242*$W$242</f>
        <v>63841.768319999996</v>
      </c>
      <c r="AD242" s="6">
        <f>$O$242*$X$242</f>
        <v>182361.05536</v>
      </c>
      <c r="AE242" s="6">
        <f>$K$242*$Y$242</f>
        <v>0</v>
      </c>
      <c r="AF242" s="6">
        <f ca="1">$M$242*$Z$242</f>
        <v>109461.98418501863</v>
      </c>
      <c r="AG242" s="6">
        <f ca="1">$O$242*$AA$242</f>
        <v>167055.15469407779</v>
      </c>
    </row>
    <row r="243" spans="1:33" ht="11.25" customHeight="1" x14ac:dyDescent="0.3">
      <c r="A243" s="4" t="s">
        <v>28</v>
      </c>
      <c r="B243" s="4" t="s">
        <v>39</v>
      </c>
      <c r="C243" s="4" t="s">
        <v>40</v>
      </c>
      <c r="D243" s="4" t="s">
        <v>38</v>
      </c>
      <c r="E243" s="4" t="s">
        <v>25</v>
      </c>
      <c r="F243" s="4" t="s">
        <v>25</v>
      </c>
      <c r="G243" s="4" t="s">
        <v>25</v>
      </c>
      <c r="H243" s="4" t="s">
        <v>35</v>
      </c>
      <c r="I243" s="5">
        <v>44531</v>
      </c>
      <c r="J243" s="6">
        <v>0</v>
      </c>
      <c r="K243" s="6">
        <v>0</v>
      </c>
      <c r="L243" s="6">
        <v>1.2030000000000001</v>
      </c>
      <c r="M243" s="6">
        <v>1.2030000000000001</v>
      </c>
      <c r="N243" s="6">
        <v>1.2030000000000001</v>
      </c>
      <c r="O243" s="6">
        <v>1.2030000000000001</v>
      </c>
      <c r="P243" s="6">
        <v>0</v>
      </c>
      <c r="Q243" s="4" t="s">
        <v>26</v>
      </c>
      <c r="R243" s="4">
        <v>0</v>
      </c>
      <c r="S243" s="6">
        <v>0</v>
      </c>
      <c r="T243" s="6">
        <v>17</v>
      </c>
      <c r="U243" s="6">
        <v>66</v>
      </c>
      <c r="V243" s="6">
        <f>IF(ISERROR(VLOOKUP($S$243,'TAR FIN'!$A$1:$O$103,15,0)),0,VLOOKUP($S$243,'TAR FIN'!$A$1:$O$103,15,0))</f>
        <v>0</v>
      </c>
      <c r="W243" s="6">
        <f>IF(ISERROR(VLOOKUP($T$243,'TAR FIN'!$A$1:$O$103,15,0)),0,VLOOKUP($T$243,'TAR FIN'!$A$1:$O$103,15,0))</f>
        <v>84.99</v>
      </c>
      <c r="X243" s="6">
        <f>IF(ISERROR(VLOOKUP($U$243,'TAR FIN'!$A$1:$O$103,15,0)),0,VLOOKUP($U$243,'TAR FIN'!$A$1:$O$103,15,0))</f>
        <v>242.77</v>
      </c>
      <c r="Y243" s="6"/>
      <c r="Z243" s="6">
        <f ca="1">('TUSD BE'!$AM$24+'TUSD BF_350'!$AM$24+'TUSD CVA'!$AM$24)*1</f>
        <v>145.72237393634796</v>
      </c>
      <c r="AA243" s="6">
        <f ca="1">('TE BE'!$AB$9+'TE BF_350'!$AB$9+'TE CVA'!$AB$9)*1</f>
        <v>222.39386487986414</v>
      </c>
      <c r="AB243" s="6">
        <f>$K$243*$V$243</f>
        <v>0</v>
      </c>
      <c r="AC243" s="6">
        <f>$M$243*$W$243</f>
        <v>102.24297</v>
      </c>
      <c r="AD243" s="6">
        <f>$O$243*$X$243</f>
        <v>292.05231000000003</v>
      </c>
      <c r="AE243" s="6">
        <f>$K$243*$Y$243</f>
        <v>0</v>
      </c>
      <c r="AF243" s="6">
        <f ca="1">$M$243*$Z$243</f>
        <v>175.30401584542662</v>
      </c>
      <c r="AG243" s="6">
        <f ca="1">$O$243*$AA$243</f>
        <v>267.53981945047656</v>
      </c>
    </row>
    <row r="244" spans="1:33" ht="11.25" customHeight="1" x14ac:dyDescent="0.3">
      <c r="A244" s="4" t="s">
        <v>21</v>
      </c>
      <c r="B244" s="4" t="s">
        <v>39</v>
      </c>
      <c r="C244" s="4" t="s">
        <v>40</v>
      </c>
      <c r="D244" s="4" t="s">
        <v>38</v>
      </c>
      <c r="E244" s="4" t="s">
        <v>25</v>
      </c>
      <c r="F244" s="4" t="s">
        <v>25</v>
      </c>
      <c r="G244" s="4" t="s">
        <v>25</v>
      </c>
      <c r="H244" s="4" t="s">
        <v>35</v>
      </c>
      <c r="I244" s="5">
        <v>44562</v>
      </c>
      <c r="J244" s="6">
        <v>0</v>
      </c>
      <c r="K244" s="6">
        <v>0</v>
      </c>
      <c r="L244" s="6">
        <v>729.11</v>
      </c>
      <c r="M244" s="6">
        <v>729.11</v>
      </c>
      <c r="N244" s="6">
        <v>729.11</v>
      </c>
      <c r="O244" s="6">
        <v>729.11</v>
      </c>
      <c r="P244" s="6">
        <v>0</v>
      </c>
      <c r="Q244" s="4" t="s">
        <v>26</v>
      </c>
      <c r="R244" s="4">
        <v>0</v>
      </c>
      <c r="S244" s="6">
        <v>0</v>
      </c>
      <c r="T244" s="6">
        <v>17</v>
      </c>
      <c r="U244" s="6">
        <v>66</v>
      </c>
      <c r="V244" s="6">
        <f>IF(ISERROR(VLOOKUP($S$244,'TAR FIN'!$A$1:$O$103,15,0)),0,VLOOKUP($S$244,'TAR FIN'!$A$1:$O$103,15,0))</f>
        <v>0</v>
      </c>
      <c r="W244" s="6">
        <f>IF(ISERROR(VLOOKUP($T$244,'TAR FIN'!$A$1:$O$103,15,0)),0,VLOOKUP($T$244,'TAR FIN'!$A$1:$O$103,15,0))</f>
        <v>84.99</v>
      </c>
      <c r="X244" s="6">
        <f>IF(ISERROR(VLOOKUP($U$244,'TAR FIN'!$A$1:$O$103,15,0)),0,VLOOKUP($U$244,'TAR FIN'!$A$1:$O$103,15,0))</f>
        <v>242.77</v>
      </c>
      <c r="Y244" s="6"/>
      <c r="Z244" s="6">
        <f ca="1">('TUSD BE'!$AM$24+'TUSD BF_350'!$AM$24+'TUSD CVA'!$AM$24)*1</f>
        <v>145.72237393634796</v>
      </c>
      <c r="AA244" s="6">
        <f ca="1">('TE BE'!$AB$9+'TE BF_350'!$AB$9+'TE CVA'!$AB$9)*1</f>
        <v>222.39386487986414</v>
      </c>
      <c r="AB244" s="6">
        <f>$K$244*$V$244</f>
        <v>0</v>
      </c>
      <c r="AC244" s="6">
        <f>$M$244*$W$244</f>
        <v>61967.058899999996</v>
      </c>
      <c r="AD244" s="6">
        <f>$O$244*$X$244</f>
        <v>177006.03470000002</v>
      </c>
      <c r="AE244" s="6">
        <f>$K$244*$Y$244</f>
        <v>0</v>
      </c>
      <c r="AF244" s="6">
        <f ca="1">$M$244*$Z$244</f>
        <v>106247.64006073067</v>
      </c>
      <c r="AG244" s="6">
        <f ca="1">$O$244*$AA$244</f>
        <v>162149.59082255774</v>
      </c>
    </row>
    <row r="245" spans="1:33" ht="11.25" customHeight="1" x14ac:dyDescent="0.3">
      <c r="A245" s="4" t="s">
        <v>28</v>
      </c>
      <c r="B245" s="4" t="s">
        <v>39</v>
      </c>
      <c r="C245" s="4" t="s">
        <v>40</v>
      </c>
      <c r="D245" s="4" t="s">
        <v>38</v>
      </c>
      <c r="E245" s="4" t="s">
        <v>25</v>
      </c>
      <c r="F245" s="4" t="s">
        <v>25</v>
      </c>
      <c r="G245" s="4" t="s">
        <v>25</v>
      </c>
      <c r="H245" s="4" t="s">
        <v>35</v>
      </c>
      <c r="I245" s="5">
        <v>44562</v>
      </c>
      <c r="J245" s="6">
        <v>0</v>
      </c>
      <c r="K245" s="6">
        <v>0</v>
      </c>
      <c r="L245" s="6">
        <v>1.08</v>
      </c>
      <c r="M245" s="6">
        <v>1.08</v>
      </c>
      <c r="N245" s="6">
        <v>1.08</v>
      </c>
      <c r="O245" s="6">
        <v>1.08</v>
      </c>
      <c r="P245" s="6">
        <v>0</v>
      </c>
      <c r="Q245" s="4" t="s">
        <v>26</v>
      </c>
      <c r="R245" s="4">
        <v>0</v>
      </c>
      <c r="S245" s="6">
        <v>0</v>
      </c>
      <c r="T245" s="6">
        <v>17</v>
      </c>
      <c r="U245" s="6">
        <v>66</v>
      </c>
      <c r="V245" s="6">
        <f>IF(ISERROR(VLOOKUP($S$245,'TAR FIN'!$A$1:$O$103,15,0)),0,VLOOKUP($S$245,'TAR FIN'!$A$1:$O$103,15,0))</f>
        <v>0</v>
      </c>
      <c r="W245" s="6">
        <f>IF(ISERROR(VLOOKUP($T$245,'TAR FIN'!$A$1:$O$103,15,0)),0,VLOOKUP($T$245,'TAR FIN'!$A$1:$O$103,15,0))</f>
        <v>84.99</v>
      </c>
      <c r="X245" s="6">
        <f>IF(ISERROR(VLOOKUP($U$245,'TAR FIN'!$A$1:$O$103,15,0)),0,VLOOKUP($U$245,'TAR FIN'!$A$1:$O$103,15,0))</f>
        <v>242.77</v>
      </c>
      <c r="Y245" s="6"/>
      <c r="Z245" s="6">
        <f ca="1">('TUSD BE'!$AM$24+'TUSD BF_350'!$AM$24+'TUSD CVA'!$AM$24)*1</f>
        <v>145.72237393634796</v>
      </c>
      <c r="AA245" s="6">
        <f ca="1">('TE BE'!$AB$9+'TE BF_350'!$AB$9+'TE CVA'!$AB$9)*1</f>
        <v>222.39386487986414</v>
      </c>
      <c r="AB245" s="6">
        <f>$K$245*$V$245</f>
        <v>0</v>
      </c>
      <c r="AC245" s="6">
        <f>$M$245*$W$245</f>
        <v>91.789199999999994</v>
      </c>
      <c r="AD245" s="6">
        <f>$O$245*$X$245</f>
        <v>262.19160000000005</v>
      </c>
      <c r="AE245" s="6">
        <f>$K$245*$Y$245</f>
        <v>0</v>
      </c>
      <c r="AF245" s="6">
        <f ca="1">$M$245*$Z$245</f>
        <v>157.38016385125582</v>
      </c>
      <c r="AG245" s="6">
        <f ca="1">$O$245*$AA$245</f>
        <v>240.18537407025329</v>
      </c>
    </row>
    <row r="246" spans="1:33" ht="11.25" customHeight="1" x14ac:dyDescent="0.3">
      <c r="A246" s="4" t="s">
        <v>21</v>
      </c>
      <c r="B246" s="4" t="s">
        <v>39</v>
      </c>
      <c r="C246" s="4" t="s">
        <v>40</v>
      </c>
      <c r="D246" s="4" t="s">
        <v>38</v>
      </c>
      <c r="E246" s="4" t="s">
        <v>25</v>
      </c>
      <c r="F246" s="4" t="s">
        <v>25</v>
      </c>
      <c r="G246" s="4" t="s">
        <v>25</v>
      </c>
      <c r="H246" s="4" t="s">
        <v>35</v>
      </c>
      <c r="I246" s="5">
        <v>44593</v>
      </c>
      <c r="J246" s="6">
        <v>0</v>
      </c>
      <c r="K246" s="6">
        <v>0</v>
      </c>
      <c r="L246" s="6">
        <v>748.76099999999997</v>
      </c>
      <c r="M246" s="6">
        <v>748.76099999999997</v>
      </c>
      <c r="N246" s="6">
        <v>748.76099999999997</v>
      </c>
      <c r="O246" s="6">
        <v>748.76099999999997</v>
      </c>
      <c r="P246" s="6">
        <v>0</v>
      </c>
      <c r="Q246" s="4" t="s">
        <v>26</v>
      </c>
      <c r="R246" s="4">
        <v>0</v>
      </c>
      <c r="S246" s="6">
        <v>0</v>
      </c>
      <c r="T246" s="6">
        <v>17</v>
      </c>
      <c r="U246" s="6">
        <v>66</v>
      </c>
      <c r="V246" s="6">
        <f>IF(ISERROR(VLOOKUP($S$246,'TAR FIN'!$A$1:$O$103,15,0)),0,VLOOKUP($S$246,'TAR FIN'!$A$1:$O$103,15,0))</f>
        <v>0</v>
      </c>
      <c r="W246" s="6">
        <f>IF(ISERROR(VLOOKUP($T$246,'TAR FIN'!$A$1:$O$103,15,0)),0,VLOOKUP($T$246,'TAR FIN'!$A$1:$O$103,15,0))</f>
        <v>84.99</v>
      </c>
      <c r="X246" s="6">
        <f>IF(ISERROR(VLOOKUP($U$246,'TAR FIN'!$A$1:$O$103,15,0)),0,VLOOKUP($U$246,'TAR FIN'!$A$1:$O$103,15,0))</f>
        <v>242.77</v>
      </c>
      <c r="Y246" s="6"/>
      <c r="Z246" s="6">
        <f ca="1">('TUSD BE'!$AM$24+'TUSD BF_350'!$AM$24+'TUSD CVA'!$AM$24)*1</f>
        <v>145.72237393634796</v>
      </c>
      <c r="AA246" s="6">
        <f ca="1">('TE BE'!$AB$9+'TE BF_350'!$AB$9+'TE CVA'!$AB$9)*1</f>
        <v>222.39386487986414</v>
      </c>
      <c r="AB246" s="6">
        <f>$K$246*$V$246</f>
        <v>0</v>
      </c>
      <c r="AC246" s="6">
        <f>$M$246*$W$246</f>
        <v>63637.197389999994</v>
      </c>
      <c r="AD246" s="6">
        <f>$O$246*$X$246</f>
        <v>181776.70796999999</v>
      </c>
      <c r="AE246" s="6">
        <f>$K$246*$Y$246</f>
        <v>0</v>
      </c>
      <c r="AF246" s="6">
        <f ca="1">$M$246*$Z$246</f>
        <v>109111.23043095383</v>
      </c>
      <c r="AG246" s="6">
        <f ca="1">$O$246*$AA$246</f>
        <v>166519.85266131195</v>
      </c>
    </row>
    <row r="247" spans="1:33" ht="11.25" customHeight="1" x14ac:dyDescent="0.3">
      <c r="A247" s="4" t="s">
        <v>28</v>
      </c>
      <c r="B247" s="4" t="s">
        <v>39</v>
      </c>
      <c r="C247" s="4" t="s">
        <v>40</v>
      </c>
      <c r="D247" s="4" t="s">
        <v>38</v>
      </c>
      <c r="E247" s="4" t="s">
        <v>25</v>
      </c>
      <c r="F247" s="4" t="s">
        <v>25</v>
      </c>
      <c r="G247" s="4" t="s">
        <v>25</v>
      </c>
      <c r="H247" s="4" t="s">
        <v>35</v>
      </c>
      <c r="I247" s="5">
        <v>44593</v>
      </c>
      <c r="J247" s="6">
        <v>0</v>
      </c>
      <c r="K247" s="6">
        <v>0</v>
      </c>
      <c r="L247" s="6">
        <v>1.585</v>
      </c>
      <c r="M247" s="6">
        <v>1.585</v>
      </c>
      <c r="N247" s="6">
        <v>1.585</v>
      </c>
      <c r="O247" s="6">
        <v>1.585</v>
      </c>
      <c r="P247" s="6">
        <v>0</v>
      </c>
      <c r="Q247" s="4" t="s">
        <v>26</v>
      </c>
      <c r="R247" s="4">
        <v>0</v>
      </c>
      <c r="S247" s="6">
        <v>0</v>
      </c>
      <c r="T247" s="6">
        <v>17</v>
      </c>
      <c r="U247" s="6">
        <v>66</v>
      </c>
      <c r="V247" s="6">
        <f>IF(ISERROR(VLOOKUP($S$247,'TAR FIN'!$A$1:$O$103,15,0)),0,VLOOKUP($S$247,'TAR FIN'!$A$1:$O$103,15,0))</f>
        <v>0</v>
      </c>
      <c r="W247" s="6">
        <f>IF(ISERROR(VLOOKUP($T$247,'TAR FIN'!$A$1:$O$103,15,0)),0,VLOOKUP($T$247,'TAR FIN'!$A$1:$O$103,15,0))</f>
        <v>84.99</v>
      </c>
      <c r="X247" s="6">
        <f>IF(ISERROR(VLOOKUP($U$247,'TAR FIN'!$A$1:$O$103,15,0)),0,VLOOKUP($U$247,'TAR FIN'!$A$1:$O$103,15,0))</f>
        <v>242.77</v>
      </c>
      <c r="Y247" s="6"/>
      <c r="Z247" s="6">
        <f ca="1">('TUSD BE'!$AM$24+'TUSD BF_350'!$AM$24+'TUSD CVA'!$AM$24)*1</f>
        <v>145.72237393634796</v>
      </c>
      <c r="AA247" s="6">
        <f ca="1">('TE BE'!$AB$9+'TE BF_350'!$AB$9+'TE CVA'!$AB$9)*1</f>
        <v>222.39386487986414</v>
      </c>
      <c r="AB247" s="6">
        <f>$K$247*$V$247</f>
        <v>0</v>
      </c>
      <c r="AC247" s="6">
        <f>$M$247*$W$247</f>
        <v>134.70914999999999</v>
      </c>
      <c r="AD247" s="6">
        <f>$O$247*$X$247</f>
        <v>384.79045000000002</v>
      </c>
      <c r="AE247" s="6">
        <f>$K$247*$Y$247</f>
        <v>0</v>
      </c>
      <c r="AF247" s="6">
        <f ca="1">$M$247*$Z$247</f>
        <v>230.96996268911153</v>
      </c>
      <c r="AG247" s="6">
        <f ca="1">$O$247*$AA$247</f>
        <v>352.49427583458464</v>
      </c>
    </row>
    <row r="248" spans="1:33" ht="11.25" customHeight="1" x14ac:dyDescent="0.3">
      <c r="A248" s="4" t="s">
        <v>21</v>
      </c>
      <c r="B248" s="4" t="s">
        <v>39</v>
      </c>
      <c r="C248" s="4" t="s">
        <v>40</v>
      </c>
      <c r="D248" s="4" t="s">
        <v>38</v>
      </c>
      <c r="E248" s="4" t="s">
        <v>25</v>
      </c>
      <c r="F248" s="4" t="s">
        <v>25</v>
      </c>
      <c r="G248" s="4" t="s">
        <v>25</v>
      </c>
      <c r="H248" s="4" t="s">
        <v>35</v>
      </c>
      <c r="I248" s="5">
        <v>44621</v>
      </c>
      <c r="J248" s="6">
        <v>0</v>
      </c>
      <c r="K248" s="6">
        <v>0</v>
      </c>
      <c r="L248" s="6">
        <v>879.36</v>
      </c>
      <c r="M248" s="6">
        <v>879.36</v>
      </c>
      <c r="N248" s="6">
        <v>879.36</v>
      </c>
      <c r="O248" s="6">
        <v>879.36</v>
      </c>
      <c r="P248" s="6">
        <v>0</v>
      </c>
      <c r="Q248" s="4" t="s">
        <v>26</v>
      </c>
      <c r="R248" s="4">
        <v>0</v>
      </c>
      <c r="S248" s="6">
        <v>0</v>
      </c>
      <c r="T248" s="6">
        <v>17</v>
      </c>
      <c r="U248" s="6">
        <v>66</v>
      </c>
      <c r="V248" s="6">
        <f>IF(ISERROR(VLOOKUP($S$248,'TAR FIN'!$A$1:$O$103,15,0)),0,VLOOKUP($S$248,'TAR FIN'!$A$1:$O$103,15,0))</f>
        <v>0</v>
      </c>
      <c r="W248" s="6">
        <f>IF(ISERROR(VLOOKUP($T$248,'TAR FIN'!$A$1:$O$103,15,0)),0,VLOOKUP($T$248,'TAR FIN'!$A$1:$O$103,15,0))</f>
        <v>84.99</v>
      </c>
      <c r="X248" s="6">
        <f>IF(ISERROR(VLOOKUP($U$248,'TAR FIN'!$A$1:$O$103,15,0)),0,VLOOKUP($U$248,'TAR FIN'!$A$1:$O$103,15,0))</f>
        <v>242.77</v>
      </c>
      <c r="Y248" s="6"/>
      <c r="Z248" s="6">
        <f ca="1">('TUSD BE'!$AM$24+'TUSD BF_350'!$AM$24+'TUSD CVA'!$AM$24)*1</f>
        <v>145.72237393634796</v>
      </c>
      <c r="AA248" s="6">
        <f ca="1">('TE BE'!$AB$9+'TE BF_350'!$AB$9+'TE CVA'!$AB$9)*1</f>
        <v>222.39386487986414</v>
      </c>
      <c r="AB248" s="6">
        <f>$K$248*$V$248</f>
        <v>0</v>
      </c>
      <c r="AC248" s="6">
        <f>$M$248*$W$248</f>
        <v>74736.806400000001</v>
      </c>
      <c r="AD248" s="6">
        <f>$O$248*$X$248</f>
        <v>213482.22720000002</v>
      </c>
      <c r="AE248" s="6">
        <f>$K$248*$Y$248</f>
        <v>0</v>
      </c>
      <c r="AF248" s="6">
        <f ca="1">$M$248*$Z$248</f>
        <v>128142.42674466695</v>
      </c>
      <c r="AG248" s="6">
        <f ca="1">$O$248*$AA$248</f>
        <v>195564.26902075735</v>
      </c>
    </row>
    <row r="249" spans="1:33" ht="11.25" customHeight="1" x14ac:dyDescent="0.3">
      <c r="A249" s="4" t="s">
        <v>28</v>
      </c>
      <c r="B249" s="4" t="s">
        <v>39</v>
      </c>
      <c r="C249" s="4" t="s">
        <v>40</v>
      </c>
      <c r="D249" s="4" t="s">
        <v>38</v>
      </c>
      <c r="E249" s="4" t="s">
        <v>25</v>
      </c>
      <c r="F249" s="4" t="s">
        <v>25</v>
      </c>
      <c r="G249" s="4" t="s">
        <v>25</v>
      </c>
      <c r="H249" s="4" t="s">
        <v>35</v>
      </c>
      <c r="I249" s="5">
        <v>44621</v>
      </c>
      <c r="J249" s="6">
        <v>0</v>
      </c>
      <c r="K249" s="6">
        <v>0</v>
      </c>
      <c r="L249" s="6">
        <v>1.5589999999999999</v>
      </c>
      <c r="M249" s="6">
        <v>1.5589999999999999</v>
      </c>
      <c r="N249" s="6">
        <v>1.5589999999999999</v>
      </c>
      <c r="O249" s="6">
        <v>1.5589999999999999</v>
      </c>
      <c r="P249" s="6">
        <v>0</v>
      </c>
      <c r="Q249" s="4" t="s">
        <v>26</v>
      </c>
      <c r="R249" s="4">
        <v>0</v>
      </c>
      <c r="S249" s="6">
        <v>0</v>
      </c>
      <c r="T249" s="6">
        <v>17</v>
      </c>
      <c r="U249" s="6">
        <v>66</v>
      </c>
      <c r="V249" s="6">
        <f>IF(ISERROR(VLOOKUP($S$249,'TAR FIN'!$A$1:$O$103,15,0)),0,VLOOKUP($S$249,'TAR FIN'!$A$1:$O$103,15,0))</f>
        <v>0</v>
      </c>
      <c r="W249" s="6">
        <f>IF(ISERROR(VLOOKUP($T$249,'TAR FIN'!$A$1:$O$103,15,0)),0,VLOOKUP($T$249,'TAR FIN'!$A$1:$O$103,15,0))</f>
        <v>84.99</v>
      </c>
      <c r="X249" s="6">
        <f>IF(ISERROR(VLOOKUP($U$249,'TAR FIN'!$A$1:$O$103,15,0)),0,VLOOKUP($U$249,'TAR FIN'!$A$1:$O$103,15,0))</f>
        <v>242.77</v>
      </c>
      <c r="Y249" s="6"/>
      <c r="Z249" s="6">
        <f ca="1">('TUSD BE'!$AM$24+'TUSD BF_350'!$AM$24+'TUSD CVA'!$AM$24)*1</f>
        <v>145.72237393634796</v>
      </c>
      <c r="AA249" s="6">
        <f ca="1">('TE BE'!$AB$9+'TE BF_350'!$AB$9+'TE CVA'!$AB$9)*1</f>
        <v>222.39386487986414</v>
      </c>
      <c r="AB249" s="6">
        <f>$K$249*$V$249</f>
        <v>0</v>
      </c>
      <c r="AC249" s="6">
        <f>$M$249*$W$249</f>
        <v>132.49940999999998</v>
      </c>
      <c r="AD249" s="6">
        <f>$O$249*$X$249</f>
        <v>378.47843</v>
      </c>
      <c r="AE249" s="6">
        <f>$K$249*$Y$249</f>
        <v>0</v>
      </c>
      <c r="AF249" s="6">
        <f ca="1">$M$249*$Z$249</f>
        <v>227.18118096676648</v>
      </c>
      <c r="AG249" s="6">
        <f ca="1">$O$249*$AA$249</f>
        <v>346.71203534770819</v>
      </c>
    </row>
    <row r="250" spans="1:33" ht="11.25" customHeight="1" x14ac:dyDescent="0.3">
      <c r="A250" s="4" t="s">
        <v>21</v>
      </c>
      <c r="B250" s="4" t="s">
        <v>39</v>
      </c>
      <c r="C250" s="4" t="s">
        <v>40</v>
      </c>
      <c r="D250" s="4" t="s">
        <v>38</v>
      </c>
      <c r="E250" s="4" t="s">
        <v>25</v>
      </c>
      <c r="F250" s="4" t="s">
        <v>25</v>
      </c>
      <c r="G250" s="4" t="s">
        <v>25</v>
      </c>
      <c r="H250" s="4" t="s">
        <v>35</v>
      </c>
      <c r="I250" s="5">
        <v>44652</v>
      </c>
      <c r="J250" s="6">
        <v>0</v>
      </c>
      <c r="K250" s="6">
        <v>0</v>
      </c>
      <c r="L250" s="6">
        <v>776.197</v>
      </c>
      <c r="M250" s="6">
        <v>776.197</v>
      </c>
      <c r="N250" s="6">
        <v>776.197</v>
      </c>
      <c r="O250" s="6">
        <v>776.197</v>
      </c>
      <c r="P250" s="6">
        <v>0</v>
      </c>
      <c r="Q250" s="4" t="s">
        <v>26</v>
      </c>
      <c r="R250" s="4">
        <v>0</v>
      </c>
      <c r="S250" s="6">
        <v>0</v>
      </c>
      <c r="T250" s="6">
        <v>17</v>
      </c>
      <c r="U250" s="6">
        <v>66</v>
      </c>
      <c r="V250" s="6">
        <f>IF(ISERROR(VLOOKUP($S$250,'TAR FIN'!$A$1:$O$103,15,0)),0,VLOOKUP($S$250,'TAR FIN'!$A$1:$O$103,15,0))</f>
        <v>0</v>
      </c>
      <c r="W250" s="6">
        <f>IF(ISERROR(VLOOKUP($T$250,'TAR FIN'!$A$1:$O$103,15,0)),0,VLOOKUP($T$250,'TAR FIN'!$A$1:$O$103,15,0))</f>
        <v>84.99</v>
      </c>
      <c r="X250" s="6">
        <f>IF(ISERROR(VLOOKUP($U$250,'TAR FIN'!$A$1:$O$103,15,0)),0,VLOOKUP($U$250,'TAR FIN'!$A$1:$O$103,15,0))</f>
        <v>242.77</v>
      </c>
      <c r="Y250" s="6"/>
      <c r="Z250" s="6">
        <f ca="1">('TUSD BE'!$AM$24+'TUSD BF_350'!$AM$24+'TUSD CVA'!$AM$24)*1</f>
        <v>145.72237393634796</v>
      </c>
      <c r="AA250" s="6">
        <f ca="1">('TE BE'!$AB$9+'TE BF_350'!$AB$9+'TE CVA'!$AB$9)*1</f>
        <v>222.39386487986414</v>
      </c>
      <c r="AB250" s="6">
        <f>$K$250*$V$250</f>
        <v>0</v>
      </c>
      <c r="AC250" s="6">
        <f>$M$250*$W$250</f>
        <v>65968.983030000003</v>
      </c>
      <c r="AD250" s="6">
        <f>$O$250*$X$250</f>
        <v>188437.34569000002</v>
      </c>
      <c r="AE250" s="6">
        <f>$K$250*$Y$250</f>
        <v>0</v>
      </c>
      <c r="AF250" s="6">
        <f ca="1">$M$250*$Z$250</f>
        <v>113109.26948227148</v>
      </c>
      <c r="AG250" s="6">
        <f ca="1">$O$250*$AA$250</f>
        <v>172621.45073815589</v>
      </c>
    </row>
    <row r="251" spans="1:33" ht="11.25" customHeight="1" x14ac:dyDescent="0.3">
      <c r="A251" s="4" t="s">
        <v>28</v>
      </c>
      <c r="B251" s="4" t="s">
        <v>39</v>
      </c>
      <c r="C251" s="4" t="s">
        <v>40</v>
      </c>
      <c r="D251" s="4" t="s">
        <v>38</v>
      </c>
      <c r="E251" s="4" t="s">
        <v>25</v>
      </c>
      <c r="F251" s="4" t="s">
        <v>25</v>
      </c>
      <c r="G251" s="4" t="s">
        <v>25</v>
      </c>
      <c r="H251" s="4" t="s">
        <v>35</v>
      </c>
      <c r="I251" s="5">
        <v>44652</v>
      </c>
      <c r="J251" s="6">
        <v>0</v>
      </c>
      <c r="K251" s="6">
        <v>0</v>
      </c>
      <c r="L251" s="6">
        <v>1.232</v>
      </c>
      <c r="M251" s="6">
        <v>1.232</v>
      </c>
      <c r="N251" s="6">
        <v>1.232</v>
      </c>
      <c r="O251" s="6">
        <v>1.232</v>
      </c>
      <c r="P251" s="6">
        <v>0</v>
      </c>
      <c r="Q251" s="4" t="s">
        <v>26</v>
      </c>
      <c r="R251" s="4">
        <v>0</v>
      </c>
      <c r="S251" s="6">
        <v>0</v>
      </c>
      <c r="T251" s="6">
        <v>17</v>
      </c>
      <c r="U251" s="6">
        <v>66</v>
      </c>
      <c r="V251" s="6">
        <f>IF(ISERROR(VLOOKUP($S$251,'TAR FIN'!$A$1:$O$103,15,0)),0,VLOOKUP($S$251,'TAR FIN'!$A$1:$O$103,15,0))</f>
        <v>0</v>
      </c>
      <c r="W251" s="6">
        <f>IF(ISERROR(VLOOKUP($T$251,'TAR FIN'!$A$1:$O$103,15,0)),0,VLOOKUP($T$251,'TAR FIN'!$A$1:$O$103,15,0))</f>
        <v>84.99</v>
      </c>
      <c r="X251" s="6">
        <f>IF(ISERROR(VLOOKUP($U$251,'TAR FIN'!$A$1:$O$103,15,0)),0,VLOOKUP($U$251,'TAR FIN'!$A$1:$O$103,15,0))</f>
        <v>242.77</v>
      </c>
      <c r="Y251" s="6"/>
      <c r="Z251" s="6">
        <f ca="1">('TUSD BE'!$AM$24+'TUSD BF_350'!$AM$24+'TUSD CVA'!$AM$24)*1</f>
        <v>145.72237393634796</v>
      </c>
      <c r="AA251" s="6">
        <f ca="1">('TE BE'!$AB$9+'TE BF_350'!$AB$9+'TE CVA'!$AB$9)*1</f>
        <v>222.39386487986414</v>
      </c>
      <c r="AB251" s="6">
        <f>$K$251*$V$251</f>
        <v>0</v>
      </c>
      <c r="AC251" s="6">
        <f>$M$251*$W$251</f>
        <v>104.70768</v>
      </c>
      <c r="AD251" s="6">
        <f>$O$251*$X$251</f>
        <v>299.09264000000002</v>
      </c>
      <c r="AE251" s="6">
        <f>$K$251*$Y$251</f>
        <v>0</v>
      </c>
      <c r="AF251" s="6">
        <f ca="1">$M$251*$Z$251</f>
        <v>179.52996468958068</v>
      </c>
      <c r="AG251" s="6">
        <f ca="1">$O$251*$AA$251</f>
        <v>273.9892415319926</v>
      </c>
    </row>
    <row r="252" spans="1:33" ht="11.25" customHeight="1" x14ac:dyDescent="0.3">
      <c r="A252" s="4" t="s">
        <v>21</v>
      </c>
      <c r="B252" s="4" t="s">
        <v>39</v>
      </c>
      <c r="C252" s="4" t="s">
        <v>40</v>
      </c>
      <c r="D252" s="4" t="s">
        <v>38</v>
      </c>
      <c r="E252" s="4" t="s">
        <v>25</v>
      </c>
      <c r="F252" s="4" t="s">
        <v>25</v>
      </c>
      <c r="G252" s="4" t="s">
        <v>25</v>
      </c>
      <c r="H252" s="4" t="s">
        <v>35</v>
      </c>
      <c r="I252" s="5">
        <v>44682</v>
      </c>
      <c r="J252" s="6">
        <v>0</v>
      </c>
      <c r="K252" s="6">
        <v>0</v>
      </c>
      <c r="L252" s="6">
        <v>673.07399999999996</v>
      </c>
      <c r="M252" s="6">
        <v>673.07399999999996</v>
      </c>
      <c r="N252" s="6">
        <v>673.07399999999996</v>
      </c>
      <c r="O252" s="6">
        <v>673.07399999999996</v>
      </c>
      <c r="P252" s="6">
        <v>0</v>
      </c>
      <c r="Q252" s="4" t="s">
        <v>26</v>
      </c>
      <c r="R252" s="4">
        <v>0</v>
      </c>
      <c r="S252" s="6">
        <v>0</v>
      </c>
      <c r="T252" s="6">
        <v>17</v>
      </c>
      <c r="U252" s="6">
        <v>66</v>
      </c>
      <c r="V252" s="6">
        <f>IF(ISERROR(VLOOKUP($S$252,'TAR FIN'!$A$1:$O$103,15,0)),0,VLOOKUP($S$252,'TAR FIN'!$A$1:$O$103,15,0))</f>
        <v>0</v>
      </c>
      <c r="W252" s="6">
        <f>IF(ISERROR(VLOOKUP($T$252,'TAR FIN'!$A$1:$O$103,15,0)),0,VLOOKUP($T$252,'TAR FIN'!$A$1:$O$103,15,0))</f>
        <v>84.99</v>
      </c>
      <c r="X252" s="6">
        <f>IF(ISERROR(VLOOKUP($U$252,'TAR FIN'!$A$1:$O$103,15,0)),0,VLOOKUP($U$252,'TAR FIN'!$A$1:$O$103,15,0))</f>
        <v>242.77</v>
      </c>
      <c r="Y252" s="6"/>
      <c r="Z252" s="6">
        <f ca="1">('TUSD BE'!$AM$24+'TUSD BF_350'!$AM$24+'TUSD CVA'!$AM$24)*1</f>
        <v>145.72237393634796</v>
      </c>
      <c r="AA252" s="6">
        <f ca="1">('TE BE'!$AB$9+'TE BF_350'!$AB$9+'TE CVA'!$AB$9)*1</f>
        <v>222.39386487986414</v>
      </c>
      <c r="AB252" s="6">
        <f>$K$252*$V$252</f>
        <v>0</v>
      </c>
      <c r="AC252" s="6">
        <f>$M$252*$W$252</f>
        <v>57204.559259999995</v>
      </c>
      <c r="AD252" s="6">
        <f>$O$252*$X$252</f>
        <v>163402.17497999998</v>
      </c>
      <c r="AE252" s="6">
        <f>$K$252*$Y$252</f>
        <v>0</v>
      </c>
      <c r="AF252" s="6">
        <f ca="1">$M$252*$Z$252</f>
        <v>98081.941114833462</v>
      </c>
      <c r="AG252" s="6">
        <f ca="1">$O$252*$AA$252</f>
        <v>149687.52821014967</v>
      </c>
    </row>
    <row r="253" spans="1:33" ht="11.25" customHeight="1" x14ac:dyDescent="0.3">
      <c r="A253" s="4" t="s">
        <v>28</v>
      </c>
      <c r="B253" s="4" t="s">
        <v>39</v>
      </c>
      <c r="C253" s="4" t="s">
        <v>40</v>
      </c>
      <c r="D253" s="4" t="s">
        <v>38</v>
      </c>
      <c r="E253" s="4" t="s">
        <v>25</v>
      </c>
      <c r="F253" s="4" t="s">
        <v>25</v>
      </c>
      <c r="G253" s="4" t="s">
        <v>25</v>
      </c>
      <c r="H253" s="4" t="s">
        <v>35</v>
      </c>
      <c r="I253" s="5">
        <v>44682</v>
      </c>
      <c r="J253" s="6">
        <v>0</v>
      </c>
      <c r="K253" s="6">
        <v>0</v>
      </c>
      <c r="L253" s="6">
        <v>1.0860000000000001</v>
      </c>
      <c r="M253" s="6">
        <v>1.0860000000000001</v>
      </c>
      <c r="N253" s="6">
        <v>1.0860000000000001</v>
      </c>
      <c r="O253" s="6">
        <v>1.0860000000000001</v>
      </c>
      <c r="P253" s="6">
        <v>0</v>
      </c>
      <c r="Q253" s="4" t="s">
        <v>26</v>
      </c>
      <c r="R253" s="4">
        <v>0</v>
      </c>
      <c r="S253" s="6">
        <v>0</v>
      </c>
      <c r="T253" s="6">
        <v>17</v>
      </c>
      <c r="U253" s="6">
        <v>66</v>
      </c>
      <c r="V253" s="6">
        <f>IF(ISERROR(VLOOKUP($S$253,'TAR FIN'!$A$1:$O$103,15,0)),0,VLOOKUP($S$253,'TAR FIN'!$A$1:$O$103,15,0))</f>
        <v>0</v>
      </c>
      <c r="W253" s="6">
        <f>IF(ISERROR(VLOOKUP($T$253,'TAR FIN'!$A$1:$O$103,15,0)),0,VLOOKUP($T$253,'TAR FIN'!$A$1:$O$103,15,0))</f>
        <v>84.99</v>
      </c>
      <c r="X253" s="6">
        <f>IF(ISERROR(VLOOKUP($U$253,'TAR FIN'!$A$1:$O$103,15,0)),0,VLOOKUP($U$253,'TAR FIN'!$A$1:$O$103,15,0))</f>
        <v>242.77</v>
      </c>
      <c r="Y253" s="6"/>
      <c r="Z253" s="6">
        <f ca="1">('TUSD BE'!$AM$24+'TUSD BF_350'!$AM$24+'TUSD CVA'!$AM$24)*1</f>
        <v>145.72237393634796</v>
      </c>
      <c r="AA253" s="6">
        <f ca="1">('TE BE'!$AB$9+'TE BF_350'!$AB$9+'TE CVA'!$AB$9)*1</f>
        <v>222.39386487986414</v>
      </c>
      <c r="AB253" s="6">
        <f>$K$253*$V$253</f>
        <v>0</v>
      </c>
      <c r="AC253" s="6">
        <f>$M$253*$W$253</f>
        <v>92.299139999999994</v>
      </c>
      <c r="AD253" s="6">
        <f>$O$253*$X$253</f>
        <v>263.64822000000004</v>
      </c>
      <c r="AE253" s="6">
        <f>$K$253*$Y$253</f>
        <v>0</v>
      </c>
      <c r="AF253" s="6">
        <f ca="1">$M$253*$Z$253</f>
        <v>158.2544980948739</v>
      </c>
      <c r="AG253" s="6">
        <f ca="1">$O$253*$AA$253</f>
        <v>241.51973725953246</v>
      </c>
    </row>
    <row r="254" spans="1:33" ht="11.25" customHeight="1" x14ac:dyDescent="0.3">
      <c r="A254" s="4" t="s">
        <v>21</v>
      </c>
      <c r="B254" s="4" t="s">
        <v>39</v>
      </c>
      <c r="C254" s="4" t="s">
        <v>40</v>
      </c>
      <c r="D254" s="4" t="s">
        <v>38</v>
      </c>
      <c r="E254" s="4" t="s">
        <v>25</v>
      </c>
      <c r="F254" s="4" t="s">
        <v>25</v>
      </c>
      <c r="G254" s="4" t="s">
        <v>25</v>
      </c>
      <c r="H254" s="4" t="s">
        <v>35</v>
      </c>
      <c r="I254" s="5">
        <v>44713</v>
      </c>
      <c r="J254" s="6">
        <v>0</v>
      </c>
      <c r="K254" s="6">
        <v>0</v>
      </c>
      <c r="L254" s="6">
        <v>639.99800000000005</v>
      </c>
      <c r="M254" s="6">
        <v>639.99800000000005</v>
      </c>
      <c r="N254" s="6">
        <v>639.99800000000005</v>
      </c>
      <c r="O254" s="6">
        <v>639.99800000000005</v>
      </c>
      <c r="P254" s="6">
        <v>0</v>
      </c>
      <c r="Q254" s="4" t="s">
        <v>26</v>
      </c>
      <c r="R254" s="4">
        <v>0</v>
      </c>
      <c r="S254" s="6">
        <v>0</v>
      </c>
      <c r="T254" s="6">
        <v>17</v>
      </c>
      <c r="U254" s="6">
        <v>66</v>
      </c>
      <c r="V254" s="6">
        <f>IF(ISERROR(VLOOKUP($S$254,'TAR FIN'!$A$1:$O$103,15,0)),0,VLOOKUP($S$254,'TAR FIN'!$A$1:$O$103,15,0))</f>
        <v>0</v>
      </c>
      <c r="W254" s="6">
        <f>IF(ISERROR(VLOOKUP($T$254,'TAR FIN'!$A$1:$O$103,15,0)),0,VLOOKUP($T$254,'TAR FIN'!$A$1:$O$103,15,0))</f>
        <v>84.99</v>
      </c>
      <c r="X254" s="6">
        <f>IF(ISERROR(VLOOKUP($U$254,'TAR FIN'!$A$1:$O$103,15,0)),0,VLOOKUP($U$254,'TAR FIN'!$A$1:$O$103,15,0))</f>
        <v>242.77</v>
      </c>
      <c r="Y254" s="6"/>
      <c r="Z254" s="6">
        <f ca="1">('TUSD BE'!$AM$24+'TUSD BF_350'!$AM$24+'TUSD CVA'!$AM$24)*1</f>
        <v>145.72237393634796</v>
      </c>
      <c r="AA254" s="6">
        <f ca="1">('TE BE'!$AB$9+'TE BF_350'!$AB$9+'TE CVA'!$AB$9)*1</f>
        <v>222.39386487986414</v>
      </c>
      <c r="AB254" s="6">
        <f>$K$254*$V$254</f>
        <v>0</v>
      </c>
      <c r="AC254" s="6">
        <f>$M$254*$W$254</f>
        <v>54393.43002</v>
      </c>
      <c r="AD254" s="6">
        <f>$O$254*$X$254</f>
        <v>155372.31446000002</v>
      </c>
      <c r="AE254" s="6">
        <f>$K$254*$Y$254</f>
        <v>0</v>
      </c>
      <c r="AF254" s="6">
        <f ca="1">$M$254*$Z$254</f>
        <v>93262.027874514824</v>
      </c>
      <c r="AG254" s="6">
        <f ca="1">$O$254*$AA$254</f>
        <v>142331.6287353833</v>
      </c>
    </row>
    <row r="255" spans="1:33" ht="11.25" customHeight="1" x14ac:dyDescent="0.3">
      <c r="A255" s="4" t="s">
        <v>28</v>
      </c>
      <c r="B255" s="4" t="s">
        <v>39</v>
      </c>
      <c r="C255" s="4" t="s">
        <v>40</v>
      </c>
      <c r="D255" s="4" t="s">
        <v>38</v>
      </c>
      <c r="E255" s="4" t="s">
        <v>25</v>
      </c>
      <c r="F255" s="4" t="s">
        <v>25</v>
      </c>
      <c r="G255" s="4" t="s">
        <v>25</v>
      </c>
      <c r="H255" s="4" t="s">
        <v>35</v>
      </c>
      <c r="I255" s="5">
        <v>44713</v>
      </c>
      <c r="J255" s="6">
        <v>0</v>
      </c>
      <c r="K255" s="6">
        <v>0</v>
      </c>
      <c r="L255" s="6">
        <v>1.1859999999999999</v>
      </c>
      <c r="M255" s="6">
        <v>1.1859999999999999</v>
      </c>
      <c r="N255" s="6">
        <v>1.1859999999999999</v>
      </c>
      <c r="O255" s="6">
        <v>1.1859999999999999</v>
      </c>
      <c r="P255" s="6">
        <v>0</v>
      </c>
      <c r="Q255" s="4" t="s">
        <v>26</v>
      </c>
      <c r="R255" s="4">
        <v>0</v>
      </c>
      <c r="S255" s="6">
        <v>0</v>
      </c>
      <c r="T255" s="6">
        <v>17</v>
      </c>
      <c r="U255" s="6">
        <v>66</v>
      </c>
      <c r="V255" s="6">
        <f>IF(ISERROR(VLOOKUP($S$255,'TAR FIN'!$A$1:$O$103,15,0)),0,VLOOKUP($S$255,'TAR FIN'!$A$1:$O$103,15,0))</f>
        <v>0</v>
      </c>
      <c r="W255" s="6">
        <f>IF(ISERROR(VLOOKUP($T$255,'TAR FIN'!$A$1:$O$103,15,0)),0,VLOOKUP($T$255,'TAR FIN'!$A$1:$O$103,15,0))</f>
        <v>84.99</v>
      </c>
      <c r="X255" s="6">
        <f>IF(ISERROR(VLOOKUP($U$255,'TAR FIN'!$A$1:$O$103,15,0)),0,VLOOKUP($U$255,'TAR FIN'!$A$1:$O$103,15,0))</f>
        <v>242.77</v>
      </c>
      <c r="Y255" s="6"/>
      <c r="Z255" s="6">
        <f ca="1">('TUSD BE'!$AM$24+'TUSD BF_350'!$AM$24+'TUSD CVA'!$AM$24)*1</f>
        <v>145.72237393634796</v>
      </c>
      <c r="AA255" s="6">
        <f ca="1">('TE BE'!$AB$9+'TE BF_350'!$AB$9+'TE CVA'!$AB$9)*1</f>
        <v>222.39386487986414</v>
      </c>
      <c r="AB255" s="6">
        <f>$K$255*$V$255</f>
        <v>0</v>
      </c>
      <c r="AC255" s="6">
        <f>$M$255*$W$255</f>
        <v>100.79813999999999</v>
      </c>
      <c r="AD255" s="6">
        <f>$O$255*$X$255</f>
        <v>287.92522000000002</v>
      </c>
      <c r="AE255" s="6">
        <f>$K$255*$Y$255</f>
        <v>0</v>
      </c>
      <c r="AF255" s="6">
        <f ca="1">$M$255*$Z$255</f>
        <v>172.82673548850869</v>
      </c>
      <c r="AG255" s="6">
        <f ca="1">$O$255*$AA$255</f>
        <v>263.75912374751886</v>
      </c>
    </row>
    <row r="256" spans="1:33" ht="11.25" customHeight="1" x14ac:dyDescent="0.3">
      <c r="A256" s="4" t="s">
        <v>21</v>
      </c>
      <c r="B256" s="4" t="s">
        <v>39</v>
      </c>
      <c r="C256" s="4" t="s">
        <v>40</v>
      </c>
      <c r="D256" s="4" t="s">
        <v>38</v>
      </c>
      <c r="E256" s="4" t="s">
        <v>25</v>
      </c>
      <c r="F256" s="4" t="s">
        <v>25</v>
      </c>
      <c r="G256" s="4" t="s">
        <v>25</v>
      </c>
      <c r="H256" s="4" t="s">
        <v>35</v>
      </c>
      <c r="I256" s="5">
        <v>44743</v>
      </c>
      <c r="J256" s="6">
        <v>0</v>
      </c>
      <c r="K256" s="6">
        <v>0</v>
      </c>
      <c r="L256" s="6">
        <v>635.27200000000005</v>
      </c>
      <c r="M256" s="6">
        <v>635.27200000000005</v>
      </c>
      <c r="N256" s="6">
        <v>635.27200000000005</v>
      </c>
      <c r="O256" s="6">
        <v>635.27200000000005</v>
      </c>
      <c r="P256" s="6">
        <v>0</v>
      </c>
      <c r="Q256" s="4" t="s">
        <v>26</v>
      </c>
      <c r="R256" s="4">
        <v>0</v>
      </c>
      <c r="S256" s="6">
        <v>0</v>
      </c>
      <c r="T256" s="6">
        <v>17</v>
      </c>
      <c r="U256" s="6">
        <v>66</v>
      </c>
      <c r="V256" s="6">
        <f>IF(ISERROR(VLOOKUP($S$256,'TAR FIN'!$A$1:$O$103,15,0)),0,VLOOKUP($S$256,'TAR FIN'!$A$1:$O$103,15,0))</f>
        <v>0</v>
      </c>
      <c r="W256" s="6">
        <f>IF(ISERROR(VLOOKUP($T$256,'TAR FIN'!$A$1:$O$103,15,0)),0,VLOOKUP($T$256,'TAR FIN'!$A$1:$O$103,15,0))</f>
        <v>84.99</v>
      </c>
      <c r="X256" s="6">
        <f>IF(ISERROR(VLOOKUP($U$256,'TAR FIN'!$A$1:$O$103,15,0)),0,VLOOKUP($U$256,'TAR FIN'!$A$1:$O$103,15,0))</f>
        <v>242.77</v>
      </c>
      <c r="Y256" s="6"/>
      <c r="Z256" s="6">
        <f ca="1">('TUSD BE'!$AM$24+'TUSD BF_350'!$AM$24+'TUSD CVA'!$AM$24)*1</f>
        <v>145.72237393634796</v>
      </c>
      <c r="AA256" s="6">
        <f ca="1">('TE BE'!$AB$9+'TE BF_350'!$AB$9+'TE CVA'!$AB$9)*1</f>
        <v>222.39386487986414</v>
      </c>
      <c r="AB256" s="6">
        <f>$K$256*$V$256</f>
        <v>0</v>
      </c>
      <c r="AC256" s="6">
        <f>$M$256*$W$256</f>
        <v>53991.76728</v>
      </c>
      <c r="AD256" s="6">
        <f>$O$256*$X$256</f>
        <v>154224.98344000001</v>
      </c>
      <c r="AE256" s="6">
        <f>$K$256*$Y$256</f>
        <v>0</v>
      </c>
      <c r="AF256" s="6">
        <f ca="1">$M$256*$Z$256</f>
        <v>92573.343935291647</v>
      </c>
      <c r="AG256" s="6">
        <f ca="1">$O$256*$AA$256</f>
        <v>141280.59532996107</v>
      </c>
    </row>
    <row r="257" spans="1:33" ht="11.25" customHeight="1" x14ac:dyDescent="0.3">
      <c r="A257" s="4" t="s">
        <v>28</v>
      </c>
      <c r="B257" s="4" t="s">
        <v>39</v>
      </c>
      <c r="C257" s="4" t="s">
        <v>40</v>
      </c>
      <c r="D257" s="4" t="s">
        <v>38</v>
      </c>
      <c r="E257" s="4" t="s">
        <v>25</v>
      </c>
      <c r="F257" s="4" t="s">
        <v>25</v>
      </c>
      <c r="G257" s="4" t="s">
        <v>25</v>
      </c>
      <c r="H257" s="4" t="s">
        <v>35</v>
      </c>
      <c r="I257" s="5">
        <v>44743</v>
      </c>
      <c r="J257" s="6">
        <v>0</v>
      </c>
      <c r="K257" s="6">
        <v>0</v>
      </c>
      <c r="L257" s="6">
        <v>0.89600000000000002</v>
      </c>
      <c r="M257" s="6">
        <v>0.89600000000000002</v>
      </c>
      <c r="N257" s="6">
        <v>0.89600000000000002</v>
      </c>
      <c r="O257" s="6">
        <v>0.89600000000000002</v>
      </c>
      <c r="P257" s="6">
        <v>0</v>
      </c>
      <c r="Q257" s="4" t="s">
        <v>26</v>
      </c>
      <c r="R257" s="4">
        <v>0</v>
      </c>
      <c r="S257" s="6">
        <v>0</v>
      </c>
      <c r="T257" s="6">
        <v>17</v>
      </c>
      <c r="U257" s="6">
        <v>66</v>
      </c>
      <c r="V257" s="6">
        <f>IF(ISERROR(VLOOKUP($S$257,'TAR FIN'!$A$1:$O$103,15,0)),0,VLOOKUP($S$257,'TAR FIN'!$A$1:$O$103,15,0))</f>
        <v>0</v>
      </c>
      <c r="W257" s="6">
        <f>IF(ISERROR(VLOOKUP($T$257,'TAR FIN'!$A$1:$O$103,15,0)),0,VLOOKUP($T$257,'TAR FIN'!$A$1:$O$103,15,0))</f>
        <v>84.99</v>
      </c>
      <c r="X257" s="6">
        <f>IF(ISERROR(VLOOKUP($U$257,'TAR FIN'!$A$1:$O$103,15,0)),0,VLOOKUP($U$257,'TAR FIN'!$A$1:$O$103,15,0))</f>
        <v>242.77</v>
      </c>
      <c r="Y257" s="6"/>
      <c r="Z257" s="6">
        <f ca="1">('TUSD BE'!$AM$24+'TUSD BF_350'!$AM$24+'TUSD CVA'!$AM$24)*1</f>
        <v>145.72237393634796</v>
      </c>
      <c r="AA257" s="6">
        <f ca="1">('TE BE'!$AB$9+'TE BF_350'!$AB$9+'TE CVA'!$AB$9)*1</f>
        <v>222.39386487986414</v>
      </c>
      <c r="AB257" s="6">
        <f>$K$257*$V$257</f>
        <v>0</v>
      </c>
      <c r="AC257" s="6">
        <f>$M$257*$W$257</f>
        <v>76.151039999999995</v>
      </c>
      <c r="AD257" s="6">
        <f>$O$257*$X$257</f>
        <v>217.52192000000002</v>
      </c>
      <c r="AE257" s="6">
        <f>$K$257*$Y$257</f>
        <v>0</v>
      </c>
      <c r="AF257" s="6">
        <f ca="1">$M$257*$Z$257</f>
        <v>130.56724704696776</v>
      </c>
      <c r="AG257" s="6">
        <f ca="1">$O$257*$AA$257</f>
        <v>199.26490293235827</v>
      </c>
    </row>
    <row r="258" spans="1:33" ht="11.25" customHeight="1" x14ac:dyDescent="0.3">
      <c r="A258" s="4" t="s">
        <v>21</v>
      </c>
      <c r="B258" s="4" t="s">
        <v>39</v>
      </c>
      <c r="C258" s="4" t="s">
        <v>40</v>
      </c>
      <c r="D258" s="4" t="s">
        <v>38</v>
      </c>
      <c r="E258" s="4" t="s">
        <v>25</v>
      </c>
      <c r="F258" s="4" t="s">
        <v>25</v>
      </c>
      <c r="G258" s="4" t="s">
        <v>25</v>
      </c>
      <c r="H258" s="4" t="s">
        <v>35</v>
      </c>
      <c r="I258" s="5">
        <v>44774</v>
      </c>
      <c r="J258" s="6">
        <v>0</v>
      </c>
      <c r="K258" s="6">
        <v>0</v>
      </c>
      <c r="L258" s="6">
        <v>749.01499999999999</v>
      </c>
      <c r="M258" s="6">
        <v>749.01499999999999</v>
      </c>
      <c r="N258" s="6">
        <v>749.01499999999999</v>
      </c>
      <c r="O258" s="6">
        <v>749.01499999999999</v>
      </c>
      <c r="P258" s="6">
        <v>0</v>
      </c>
      <c r="Q258" s="4" t="s">
        <v>26</v>
      </c>
      <c r="R258" s="4">
        <v>0</v>
      </c>
      <c r="S258" s="6">
        <v>0</v>
      </c>
      <c r="T258" s="6">
        <v>17</v>
      </c>
      <c r="U258" s="6">
        <v>66</v>
      </c>
      <c r="V258" s="6">
        <f>IF(ISERROR(VLOOKUP($S$258,'TAR FIN'!$A$1:$O$103,15,0)),0,VLOOKUP($S$258,'TAR FIN'!$A$1:$O$103,15,0))</f>
        <v>0</v>
      </c>
      <c r="W258" s="6">
        <f>IF(ISERROR(VLOOKUP($T$258,'TAR FIN'!$A$1:$O$103,15,0)),0,VLOOKUP($T$258,'TAR FIN'!$A$1:$O$103,15,0))</f>
        <v>84.99</v>
      </c>
      <c r="X258" s="6">
        <f>IF(ISERROR(VLOOKUP($U$258,'TAR FIN'!$A$1:$O$103,15,0)),0,VLOOKUP($U$258,'TAR FIN'!$A$1:$O$103,15,0))</f>
        <v>242.77</v>
      </c>
      <c r="Y258" s="6"/>
      <c r="Z258" s="6">
        <f ca="1">('TUSD BE'!$AM$24+'TUSD BF_350'!$AM$24+'TUSD CVA'!$AM$24)*1</f>
        <v>145.72237393634796</v>
      </c>
      <c r="AA258" s="6">
        <f ca="1">('TE BE'!$AB$9+'TE BF_350'!$AB$9+'TE CVA'!$AB$9)*1</f>
        <v>222.39386487986414</v>
      </c>
      <c r="AB258" s="6">
        <f>$K$258*$V$258</f>
        <v>0</v>
      </c>
      <c r="AC258" s="6">
        <f>$M$258*$W$258</f>
        <v>63658.784849999996</v>
      </c>
      <c r="AD258" s="6">
        <f>$O$258*$X$258</f>
        <v>181838.37155000001</v>
      </c>
      <c r="AE258" s="6">
        <f>$K$258*$Y$258</f>
        <v>0</v>
      </c>
      <c r="AF258" s="6">
        <f ca="1">$M$258*$Z$258</f>
        <v>109148.24391393366</v>
      </c>
      <c r="AG258" s="6">
        <f ca="1">$O$258*$AA$258</f>
        <v>166576.34070299144</v>
      </c>
    </row>
    <row r="259" spans="1:33" ht="11.25" customHeight="1" x14ac:dyDescent="0.3">
      <c r="A259" s="4" t="s">
        <v>28</v>
      </c>
      <c r="B259" s="4" t="s">
        <v>39</v>
      </c>
      <c r="C259" s="4" t="s">
        <v>40</v>
      </c>
      <c r="D259" s="4" t="s">
        <v>38</v>
      </c>
      <c r="E259" s="4" t="s">
        <v>25</v>
      </c>
      <c r="F259" s="4" t="s">
        <v>25</v>
      </c>
      <c r="G259" s="4" t="s">
        <v>25</v>
      </c>
      <c r="H259" s="4" t="s">
        <v>35</v>
      </c>
      <c r="I259" s="5">
        <v>44774</v>
      </c>
      <c r="J259" s="6">
        <v>0</v>
      </c>
      <c r="K259" s="6">
        <v>0</v>
      </c>
      <c r="L259" s="6">
        <v>1.2310000000000001</v>
      </c>
      <c r="M259" s="6">
        <v>1.2310000000000001</v>
      </c>
      <c r="N259" s="6">
        <v>1.2310000000000001</v>
      </c>
      <c r="O259" s="6">
        <v>1.2310000000000001</v>
      </c>
      <c r="P259" s="6">
        <v>0</v>
      </c>
      <c r="Q259" s="4" t="s">
        <v>26</v>
      </c>
      <c r="R259" s="4">
        <v>0</v>
      </c>
      <c r="S259" s="6">
        <v>0</v>
      </c>
      <c r="T259" s="6">
        <v>17</v>
      </c>
      <c r="U259" s="6">
        <v>66</v>
      </c>
      <c r="V259" s="6">
        <f>IF(ISERROR(VLOOKUP($S$259,'TAR FIN'!$A$1:$O$103,15,0)),0,VLOOKUP($S$259,'TAR FIN'!$A$1:$O$103,15,0))</f>
        <v>0</v>
      </c>
      <c r="W259" s="6">
        <f>IF(ISERROR(VLOOKUP($T$259,'TAR FIN'!$A$1:$O$103,15,0)),0,VLOOKUP($T$259,'TAR FIN'!$A$1:$O$103,15,0))</f>
        <v>84.99</v>
      </c>
      <c r="X259" s="6">
        <f>IF(ISERROR(VLOOKUP($U$259,'TAR FIN'!$A$1:$O$103,15,0)),0,VLOOKUP($U$259,'TAR FIN'!$A$1:$O$103,15,0))</f>
        <v>242.77</v>
      </c>
      <c r="Y259" s="6"/>
      <c r="Z259" s="6">
        <f ca="1">('TUSD BE'!$AM$24+'TUSD BF_350'!$AM$24+'TUSD CVA'!$AM$24)*1</f>
        <v>145.72237393634796</v>
      </c>
      <c r="AA259" s="6">
        <f ca="1">('TE BE'!$AB$9+'TE BF_350'!$AB$9+'TE CVA'!$AB$9)*1</f>
        <v>222.39386487986414</v>
      </c>
      <c r="AB259" s="6">
        <f>$K$259*$V$259</f>
        <v>0</v>
      </c>
      <c r="AC259" s="6">
        <f>$M$259*$W$259</f>
        <v>104.62269000000001</v>
      </c>
      <c r="AD259" s="6">
        <f>$O$259*$X$259</f>
        <v>298.84987000000001</v>
      </c>
      <c r="AE259" s="6">
        <f>$K$259*$Y$259</f>
        <v>0</v>
      </c>
      <c r="AF259" s="6">
        <f ca="1">$M$259*$Z$259</f>
        <v>179.38424231564434</v>
      </c>
      <c r="AG259" s="6">
        <f ca="1">$O$259*$AA$259</f>
        <v>273.76684766711276</v>
      </c>
    </row>
    <row r="260" spans="1:33" ht="11.25" customHeight="1" x14ac:dyDescent="0.3">
      <c r="A260" s="4" t="s">
        <v>21</v>
      </c>
      <c r="B260" s="4" t="s">
        <v>39</v>
      </c>
      <c r="C260" s="4" t="s">
        <v>40</v>
      </c>
      <c r="D260" s="4" t="s">
        <v>38</v>
      </c>
      <c r="E260" s="4" t="s">
        <v>25</v>
      </c>
      <c r="F260" s="4" t="s">
        <v>25</v>
      </c>
      <c r="G260" s="4" t="s">
        <v>25</v>
      </c>
      <c r="H260" s="4" t="s">
        <v>35</v>
      </c>
      <c r="I260" s="5">
        <v>44805</v>
      </c>
      <c r="J260" s="6">
        <v>0</v>
      </c>
      <c r="K260" s="6">
        <v>0</v>
      </c>
      <c r="L260" s="6">
        <v>731.51099999999997</v>
      </c>
      <c r="M260" s="6">
        <v>731.51099999999997</v>
      </c>
      <c r="N260" s="6">
        <v>731.51099999999997</v>
      </c>
      <c r="O260" s="6">
        <v>731.51099999999997</v>
      </c>
      <c r="P260" s="6">
        <v>0</v>
      </c>
      <c r="Q260" s="4" t="s">
        <v>26</v>
      </c>
      <c r="R260" s="4">
        <v>0</v>
      </c>
      <c r="S260" s="6">
        <v>0</v>
      </c>
      <c r="T260" s="6">
        <v>17</v>
      </c>
      <c r="U260" s="6">
        <v>66</v>
      </c>
      <c r="V260" s="6">
        <f>IF(ISERROR(VLOOKUP($S$260,'TAR FIN'!$A$1:$O$103,15,0)),0,VLOOKUP($S$260,'TAR FIN'!$A$1:$O$103,15,0))</f>
        <v>0</v>
      </c>
      <c r="W260" s="6">
        <f>IF(ISERROR(VLOOKUP($T$260,'TAR FIN'!$A$1:$O$103,15,0)),0,VLOOKUP($T$260,'TAR FIN'!$A$1:$O$103,15,0))</f>
        <v>84.99</v>
      </c>
      <c r="X260" s="6">
        <f>IF(ISERROR(VLOOKUP($U$260,'TAR FIN'!$A$1:$O$103,15,0)),0,VLOOKUP($U$260,'TAR FIN'!$A$1:$O$103,15,0))</f>
        <v>242.77</v>
      </c>
      <c r="Y260" s="6"/>
      <c r="Z260" s="6">
        <f ca="1">('TUSD BE'!$AM$24+'TUSD BF_350'!$AM$24+'TUSD CVA'!$AM$24)*1</f>
        <v>145.72237393634796</v>
      </c>
      <c r="AA260" s="6">
        <f ca="1">('TE BE'!$AB$9+'TE BF_350'!$AB$9+'TE CVA'!$AB$9)*1</f>
        <v>222.39386487986414</v>
      </c>
      <c r="AB260" s="6">
        <f>$K$260*$V$260</f>
        <v>0</v>
      </c>
      <c r="AC260" s="6">
        <f>$M$260*$W$260</f>
        <v>62171.119889999994</v>
      </c>
      <c r="AD260" s="6">
        <f>$O$260*$X$260</f>
        <v>177588.92546999999</v>
      </c>
      <c r="AE260" s="6">
        <f>$K$260*$Y$260</f>
        <v>0</v>
      </c>
      <c r="AF260" s="6">
        <f ca="1">$M$260*$Z$260</f>
        <v>106597.51948055183</v>
      </c>
      <c r="AG260" s="6">
        <f ca="1">$O$260*$AA$260</f>
        <v>162683.5584921343</v>
      </c>
    </row>
    <row r="261" spans="1:33" ht="11.25" customHeight="1" x14ac:dyDescent="0.3">
      <c r="A261" s="4" t="s">
        <v>28</v>
      </c>
      <c r="B261" s="4" t="s">
        <v>39</v>
      </c>
      <c r="C261" s="4" t="s">
        <v>40</v>
      </c>
      <c r="D261" s="4" t="s">
        <v>38</v>
      </c>
      <c r="E261" s="4" t="s">
        <v>25</v>
      </c>
      <c r="F261" s="4" t="s">
        <v>25</v>
      </c>
      <c r="G261" s="4" t="s">
        <v>25</v>
      </c>
      <c r="H261" s="4" t="s">
        <v>35</v>
      </c>
      <c r="I261" s="5">
        <v>44805</v>
      </c>
      <c r="J261" s="6">
        <v>0</v>
      </c>
      <c r="K261" s="6">
        <v>0</v>
      </c>
      <c r="L261" s="6">
        <v>1.2130000000000001</v>
      </c>
      <c r="M261" s="6">
        <v>1.2130000000000001</v>
      </c>
      <c r="N261" s="6">
        <v>1.2130000000000001</v>
      </c>
      <c r="O261" s="6">
        <v>1.2130000000000001</v>
      </c>
      <c r="P261" s="6">
        <v>0</v>
      </c>
      <c r="Q261" s="4" t="s">
        <v>26</v>
      </c>
      <c r="R261" s="4">
        <v>0</v>
      </c>
      <c r="S261" s="6">
        <v>0</v>
      </c>
      <c r="T261" s="6">
        <v>17</v>
      </c>
      <c r="U261" s="6">
        <v>66</v>
      </c>
      <c r="V261" s="6">
        <f>IF(ISERROR(VLOOKUP($S$261,'TAR FIN'!$A$1:$O$103,15,0)),0,VLOOKUP($S$261,'TAR FIN'!$A$1:$O$103,15,0))</f>
        <v>0</v>
      </c>
      <c r="W261" s="6">
        <f>IF(ISERROR(VLOOKUP($T$261,'TAR FIN'!$A$1:$O$103,15,0)),0,VLOOKUP($T$261,'TAR FIN'!$A$1:$O$103,15,0))</f>
        <v>84.99</v>
      </c>
      <c r="X261" s="6">
        <f>IF(ISERROR(VLOOKUP($U$261,'TAR FIN'!$A$1:$O$103,15,0)),0,VLOOKUP($U$261,'TAR FIN'!$A$1:$O$103,15,0))</f>
        <v>242.77</v>
      </c>
      <c r="Y261" s="6"/>
      <c r="Z261" s="6">
        <f ca="1">('TUSD BE'!$AM$24+'TUSD BF_350'!$AM$24+'TUSD CVA'!$AM$24)*1</f>
        <v>145.72237393634796</v>
      </c>
      <c r="AA261" s="6">
        <f ca="1">('TE BE'!$AB$9+'TE BF_350'!$AB$9+'TE CVA'!$AB$9)*1</f>
        <v>222.39386487986414</v>
      </c>
      <c r="AB261" s="6">
        <f>$K$261*$V$261</f>
        <v>0</v>
      </c>
      <c r="AC261" s="6">
        <f>$M$261*$W$261</f>
        <v>103.09287</v>
      </c>
      <c r="AD261" s="6">
        <f>$O$261*$X$261</f>
        <v>294.48001000000005</v>
      </c>
      <c r="AE261" s="6">
        <f>$K$261*$Y$261</f>
        <v>0</v>
      </c>
      <c r="AF261" s="6">
        <f ca="1">$M$261*$Z$261</f>
        <v>176.7612395847901</v>
      </c>
      <c r="AG261" s="6">
        <f ca="1">$O$261*$AA$261</f>
        <v>269.76375809927521</v>
      </c>
    </row>
    <row r="262" spans="1:33" ht="11.25" customHeight="1" x14ac:dyDescent="0.3">
      <c r="A262" s="4" t="s">
        <v>57</v>
      </c>
      <c r="B262" s="4" t="s">
        <v>39</v>
      </c>
      <c r="C262" s="4" t="s">
        <v>40</v>
      </c>
      <c r="D262" s="4" t="s">
        <v>38</v>
      </c>
      <c r="E262" s="4" t="s">
        <v>25</v>
      </c>
      <c r="F262" s="4" t="s">
        <v>25</v>
      </c>
      <c r="G262" s="4" t="s">
        <v>25</v>
      </c>
      <c r="H262" s="4" t="s">
        <v>35</v>
      </c>
      <c r="I262" s="5">
        <v>44835</v>
      </c>
      <c r="J262" s="6">
        <v>0</v>
      </c>
      <c r="K262" s="6">
        <v>0</v>
      </c>
      <c r="L262" s="6">
        <v>731.51099999999997</v>
      </c>
      <c r="M262" s="6">
        <v>731.51099999999997</v>
      </c>
      <c r="N262" s="6">
        <v>731.51099999999997</v>
      </c>
      <c r="O262" s="6">
        <v>731.51099999999997</v>
      </c>
      <c r="P262" s="6">
        <v>0</v>
      </c>
      <c r="Q262" s="4" t="s">
        <v>26</v>
      </c>
      <c r="R262" s="4">
        <v>0</v>
      </c>
      <c r="S262" s="6">
        <v>0</v>
      </c>
      <c r="T262" s="6">
        <v>17</v>
      </c>
      <c r="U262" s="6">
        <v>66</v>
      </c>
      <c r="V262" s="6">
        <f>IF(ISERROR(VLOOKUP($S$262,'TAR FIN'!$A$1:$O$103,15,0)),0,VLOOKUP($S$262,'TAR FIN'!$A$1:$O$103,15,0))</f>
        <v>0</v>
      </c>
      <c r="W262" s="6">
        <f>IF(ISERROR(VLOOKUP($T$262,'TAR FIN'!$A$1:$O$103,15,0)),0,VLOOKUP($T$262,'TAR FIN'!$A$1:$O$103,15,0))</f>
        <v>84.99</v>
      </c>
      <c r="X262" s="6">
        <f>IF(ISERROR(VLOOKUP($U$262,'TAR FIN'!$A$1:$O$103,15,0)),0,VLOOKUP($U$262,'TAR FIN'!$A$1:$O$103,15,0))</f>
        <v>242.77</v>
      </c>
      <c r="Y262" s="6"/>
      <c r="Z262" s="6">
        <f ca="1">('TUSD BE'!$AM$24+'TUSD BF_350'!$AM$24+'TUSD CVA'!$AM$24)*1</f>
        <v>145.72237393634796</v>
      </c>
      <c r="AA262" s="6">
        <f ca="1">('TE BE'!$AB$9+'TE BF_350'!$AB$9+'TE CVA'!$AB$9)*1</f>
        <v>222.39386487986414</v>
      </c>
      <c r="AB262" s="6">
        <f>$K$262*$V$262</f>
        <v>0</v>
      </c>
      <c r="AC262" s="6">
        <f>$M$262*$W$262</f>
        <v>62171.119889999994</v>
      </c>
      <c r="AD262" s="6">
        <f>$O$262*$X$262</f>
        <v>177588.92546999999</v>
      </c>
      <c r="AE262" s="6">
        <f>$K$262*$Y$262</f>
        <v>0</v>
      </c>
      <c r="AF262" s="6">
        <f ca="1">$M$262*$Z$262</f>
        <v>106597.51948055183</v>
      </c>
      <c r="AG262" s="6">
        <f ca="1">$O$262*$AA$262</f>
        <v>162683.5584921343</v>
      </c>
    </row>
    <row r="263" spans="1:33" ht="11.25" customHeight="1" x14ac:dyDescent="0.3">
      <c r="A263" s="4" t="s">
        <v>57</v>
      </c>
      <c r="B263" s="4" t="s">
        <v>39</v>
      </c>
      <c r="C263" s="4" t="s">
        <v>40</v>
      </c>
      <c r="D263" s="4" t="s">
        <v>38</v>
      </c>
      <c r="E263" s="4" t="s">
        <v>25</v>
      </c>
      <c r="F263" s="4" t="s">
        <v>25</v>
      </c>
      <c r="G263" s="4" t="s">
        <v>25</v>
      </c>
      <c r="H263" s="4" t="s">
        <v>35</v>
      </c>
      <c r="I263" s="5">
        <v>44835</v>
      </c>
      <c r="J263" s="6">
        <v>0</v>
      </c>
      <c r="K263" s="6">
        <v>0</v>
      </c>
      <c r="L263" s="6">
        <v>1.2130000000000001</v>
      </c>
      <c r="M263" s="6">
        <v>1.2130000000000001</v>
      </c>
      <c r="N263" s="6">
        <v>1.2130000000000001</v>
      </c>
      <c r="O263" s="6">
        <v>1.2130000000000001</v>
      </c>
      <c r="P263" s="6">
        <v>0</v>
      </c>
      <c r="Q263" s="4" t="s">
        <v>26</v>
      </c>
      <c r="R263" s="4">
        <v>0</v>
      </c>
      <c r="S263" s="6">
        <v>0</v>
      </c>
      <c r="T263" s="6">
        <v>17</v>
      </c>
      <c r="U263" s="6">
        <v>66</v>
      </c>
      <c r="V263" s="6">
        <f>IF(ISERROR(VLOOKUP($S$263,'TAR FIN'!$A$1:$O$103,15,0)),0,VLOOKUP($S$263,'TAR FIN'!$A$1:$O$103,15,0))</f>
        <v>0</v>
      </c>
      <c r="W263" s="6">
        <f>IF(ISERROR(VLOOKUP($T$263,'TAR FIN'!$A$1:$O$103,15,0)),0,VLOOKUP($T$263,'TAR FIN'!$A$1:$O$103,15,0))</f>
        <v>84.99</v>
      </c>
      <c r="X263" s="6">
        <f>IF(ISERROR(VLOOKUP($U$263,'TAR FIN'!$A$1:$O$103,15,0)),0,VLOOKUP($U$263,'TAR FIN'!$A$1:$O$103,15,0))</f>
        <v>242.77</v>
      </c>
      <c r="Y263" s="6"/>
      <c r="Z263" s="6">
        <f ca="1">('TUSD BE'!$AM$24+'TUSD BF_350'!$AM$24+'TUSD CVA'!$AM$24)*1</f>
        <v>145.72237393634796</v>
      </c>
      <c r="AA263" s="6">
        <f ca="1">('TE BE'!$AB$9+'TE BF_350'!$AB$9+'TE CVA'!$AB$9)*1</f>
        <v>222.39386487986414</v>
      </c>
      <c r="AB263" s="6">
        <f>$K$263*$V$263</f>
        <v>0</v>
      </c>
      <c r="AC263" s="6">
        <f>$M$263*$W$263</f>
        <v>103.09287</v>
      </c>
      <c r="AD263" s="6">
        <f>$O$263*$X$263</f>
        <v>294.48001000000005</v>
      </c>
      <c r="AE263" s="6">
        <f>$K$263*$Y$263</f>
        <v>0</v>
      </c>
      <c r="AF263" s="6">
        <f ca="1">$M$263*$Z$263</f>
        <v>176.7612395847901</v>
      </c>
      <c r="AG263" s="6">
        <f ca="1">$O$263*$AA$263</f>
        <v>269.76375809927521</v>
      </c>
    </row>
    <row r="264" spans="1:33" ht="11.25" customHeight="1" x14ac:dyDescent="0.3">
      <c r="A264" s="4" t="s">
        <v>21</v>
      </c>
      <c r="B264" s="4" t="s">
        <v>39</v>
      </c>
      <c r="C264" s="4" t="s">
        <v>40</v>
      </c>
      <c r="D264" s="4" t="s">
        <v>38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44501</v>
      </c>
      <c r="J264" s="6">
        <v>3988</v>
      </c>
      <c r="K264" s="6">
        <v>3988</v>
      </c>
      <c r="L264" s="6">
        <v>0</v>
      </c>
      <c r="M264" s="6">
        <v>0</v>
      </c>
      <c r="N264" s="6">
        <v>0</v>
      </c>
      <c r="O264" s="6">
        <v>0</v>
      </c>
      <c r="P264" s="6">
        <v>15</v>
      </c>
      <c r="Q264" s="4" t="s">
        <v>26</v>
      </c>
      <c r="R264" s="4">
        <v>0</v>
      </c>
      <c r="S264" s="6">
        <v>13</v>
      </c>
      <c r="T264" s="6">
        <v>0</v>
      </c>
      <c r="U264" s="6">
        <v>0</v>
      </c>
      <c r="V264" s="6">
        <f>IF(ISERROR(VLOOKUP($S$264,'TAR FIN'!$A$1:$O$103,15,0)),0,VLOOKUP($S$264,'TAR FIN'!$A$1:$O$103,15,0))</f>
        <v>18.920000000000002</v>
      </c>
      <c r="W264" s="6">
        <f>IF(ISERROR(VLOOKUP($T$264,'TAR FIN'!$A$1:$O$103,15,0)),0,VLOOKUP($T$264,'TAR FIN'!$A$1:$O$103,15,0))</f>
        <v>0</v>
      </c>
      <c r="X264" s="6">
        <f>IF(ISERROR(VLOOKUP($U$264,'TAR FIN'!$A$1:$O$103,15,0)),0,VLOOKUP($U$264,'TAR FIN'!$A$1:$O$103,15,0))</f>
        <v>0</v>
      </c>
      <c r="Y264" s="6">
        <f ca="1">('TUSD BE'!$AM$22+'TUSD BF_350'!$AM$22+'TUSD CVA'!$AM$22)*1</f>
        <v>21.369338625624472</v>
      </c>
      <c r="Z264" s="6"/>
      <c r="AA264" s="6"/>
      <c r="AB264" s="6">
        <f>$K$264*$V$264</f>
        <v>75452.960000000006</v>
      </c>
      <c r="AC264" s="6">
        <f>$M$264*$W$264</f>
        <v>0</v>
      </c>
      <c r="AD264" s="6">
        <f>$O$264*$X$264</f>
        <v>0</v>
      </c>
      <c r="AE264" s="6">
        <f ca="1">$K$264*$Y$264</f>
        <v>85220.922438990397</v>
      </c>
      <c r="AF264" s="6">
        <f>$M$264*$Z$264</f>
        <v>0</v>
      </c>
      <c r="AG264" s="6">
        <f>$O$264*$AA$264</f>
        <v>0</v>
      </c>
    </row>
    <row r="265" spans="1:33" ht="11.25" customHeight="1" x14ac:dyDescent="0.3">
      <c r="A265" s="4" t="s">
        <v>28</v>
      </c>
      <c r="B265" s="4" t="s">
        <v>39</v>
      </c>
      <c r="C265" s="4" t="s">
        <v>40</v>
      </c>
      <c r="D265" s="4" t="s">
        <v>38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44501</v>
      </c>
      <c r="J265" s="6">
        <v>209</v>
      </c>
      <c r="K265" s="6">
        <v>209</v>
      </c>
      <c r="L265" s="6">
        <v>0</v>
      </c>
      <c r="M265" s="6">
        <v>0</v>
      </c>
      <c r="N265" s="6">
        <v>0</v>
      </c>
      <c r="O265" s="6">
        <v>0</v>
      </c>
      <c r="P265" s="6">
        <v>2</v>
      </c>
      <c r="Q265" s="4" t="s">
        <v>26</v>
      </c>
      <c r="R265" s="4">
        <v>0</v>
      </c>
      <c r="S265" s="6">
        <v>13</v>
      </c>
      <c r="T265" s="6">
        <v>0</v>
      </c>
      <c r="U265" s="6">
        <v>0</v>
      </c>
      <c r="V265" s="6">
        <f>IF(ISERROR(VLOOKUP($S$265,'TAR FIN'!$A$1:$O$103,15,0)),0,VLOOKUP($S$265,'TAR FIN'!$A$1:$O$103,15,0))</f>
        <v>18.920000000000002</v>
      </c>
      <c r="W265" s="6">
        <f>IF(ISERROR(VLOOKUP($T$265,'TAR FIN'!$A$1:$O$103,15,0)),0,VLOOKUP($T$265,'TAR FIN'!$A$1:$O$103,15,0))</f>
        <v>0</v>
      </c>
      <c r="X265" s="6">
        <f>IF(ISERROR(VLOOKUP($U$265,'TAR FIN'!$A$1:$O$103,15,0)),0,VLOOKUP($U$265,'TAR FIN'!$A$1:$O$103,15,0))</f>
        <v>0</v>
      </c>
      <c r="Y265" s="6">
        <f ca="1">('TUSD BE'!$AM$22+'TUSD BF_350'!$AM$22+'TUSD CVA'!$AM$22)*1</f>
        <v>21.369338625624472</v>
      </c>
      <c r="Z265" s="6"/>
      <c r="AA265" s="6"/>
      <c r="AB265" s="6">
        <f>$K$265*$V$265</f>
        <v>3954.28</v>
      </c>
      <c r="AC265" s="6">
        <f>$M$265*$W$265</f>
        <v>0</v>
      </c>
      <c r="AD265" s="6">
        <f>$O$265*$X$265</f>
        <v>0</v>
      </c>
      <c r="AE265" s="6">
        <f ca="1">$K$265*$Y$265</f>
        <v>4466.1917727555146</v>
      </c>
      <c r="AF265" s="6">
        <f>$M$265*$Z$265</f>
        <v>0</v>
      </c>
      <c r="AG265" s="6">
        <f>$O$265*$AA$265</f>
        <v>0</v>
      </c>
    </row>
    <row r="266" spans="1:33" ht="11.25" customHeight="1" x14ac:dyDescent="0.3">
      <c r="A266" s="4" t="s">
        <v>21</v>
      </c>
      <c r="B266" s="4" t="s">
        <v>39</v>
      </c>
      <c r="C266" s="4" t="s">
        <v>40</v>
      </c>
      <c r="D266" s="4" t="s">
        <v>38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44531</v>
      </c>
      <c r="J266" s="6">
        <v>3660</v>
      </c>
      <c r="K266" s="6">
        <v>3660</v>
      </c>
      <c r="L266" s="6">
        <v>0</v>
      </c>
      <c r="M266" s="6">
        <v>0</v>
      </c>
      <c r="N266" s="6">
        <v>0</v>
      </c>
      <c r="O266" s="6">
        <v>0</v>
      </c>
      <c r="P266" s="6">
        <v>15</v>
      </c>
      <c r="Q266" s="4" t="s">
        <v>26</v>
      </c>
      <c r="R266" s="4">
        <v>0</v>
      </c>
      <c r="S266" s="6">
        <v>13</v>
      </c>
      <c r="T266" s="6">
        <v>0</v>
      </c>
      <c r="U266" s="6">
        <v>0</v>
      </c>
      <c r="V266" s="6">
        <f>IF(ISERROR(VLOOKUP($S$266,'TAR FIN'!$A$1:$O$103,15,0)),0,VLOOKUP($S$266,'TAR FIN'!$A$1:$O$103,15,0))</f>
        <v>18.920000000000002</v>
      </c>
      <c r="W266" s="6">
        <f>IF(ISERROR(VLOOKUP($T$266,'TAR FIN'!$A$1:$O$103,15,0)),0,VLOOKUP($T$266,'TAR FIN'!$A$1:$O$103,15,0))</f>
        <v>0</v>
      </c>
      <c r="X266" s="6">
        <f>IF(ISERROR(VLOOKUP($U$266,'TAR FIN'!$A$1:$O$103,15,0)),0,VLOOKUP($U$266,'TAR FIN'!$A$1:$O$103,15,0))</f>
        <v>0</v>
      </c>
      <c r="Y266" s="6">
        <f ca="1">('TUSD BE'!$AM$22+'TUSD BF_350'!$AM$22+'TUSD CVA'!$AM$22)*1</f>
        <v>21.369338625624472</v>
      </c>
      <c r="Z266" s="6"/>
      <c r="AA266" s="6"/>
      <c r="AB266" s="6">
        <f>$K$266*$V$266</f>
        <v>69247.200000000012</v>
      </c>
      <c r="AC266" s="6">
        <f>$M$266*$W$266</f>
        <v>0</v>
      </c>
      <c r="AD266" s="6">
        <f>$O$266*$X$266</f>
        <v>0</v>
      </c>
      <c r="AE266" s="6">
        <f ca="1">$K$266*$Y$266</f>
        <v>78211.779369785567</v>
      </c>
      <c r="AF266" s="6">
        <f>$M$266*$Z$266</f>
        <v>0</v>
      </c>
      <c r="AG266" s="6">
        <f>$O$266*$AA$266</f>
        <v>0</v>
      </c>
    </row>
    <row r="267" spans="1:33" ht="11.25" customHeight="1" x14ac:dyDescent="0.3">
      <c r="A267" s="4" t="s">
        <v>28</v>
      </c>
      <c r="B267" s="4" t="s">
        <v>39</v>
      </c>
      <c r="C267" s="4" t="s">
        <v>40</v>
      </c>
      <c r="D267" s="4" t="s">
        <v>38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44531</v>
      </c>
      <c r="J267" s="6">
        <v>209</v>
      </c>
      <c r="K267" s="6">
        <v>209</v>
      </c>
      <c r="L267" s="6">
        <v>0</v>
      </c>
      <c r="M267" s="6">
        <v>0</v>
      </c>
      <c r="N267" s="6">
        <v>0</v>
      </c>
      <c r="O267" s="6">
        <v>0</v>
      </c>
      <c r="P267" s="6">
        <v>2</v>
      </c>
      <c r="Q267" s="4" t="s">
        <v>26</v>
      </c>
      <c r="R267" s="4">
        <v>0</v>
      </c>
      <c r="S267" s="6">
        <v>13</v>
      </c>
      <c r="T267" s="6">
        <v>0</v>
      </c>
      <c r="U267" s="6">
        <v>0</v>
      </c>
      <c r="V267" s="6">
        <f>IF(ISERROR(VLOOKUP($S$267,'TAR FIN'!$A$1:$O$103,15,0)),0,VLOOKUP($S$267,'TAR FIN'!$A$1:$O$103,15,0))</f>
        <v>18.920000000000002</v>
      </c>
      <c r="W267" s="6">
        <f>IF(ISERROR(VLOOKUP($T$267,'TAR FIN'!$A$1:$O$103,15,0)),0,VLOOKUP($T$267,'TAR FIN'!$A$1:$O$103,15,0))</f>
        <v>0</v>
      </c>
      <c r="X267" s="6">
        <f>IF(ISERROR(VLOOKUP($U$267,'TAR FIN'!$A$1:$O$103,15,0)),0,VLOOKUP($U$267,'TAR FIN'!$A$1:$O$103,15,0))</f>
        <v>0</v>
      </c>
      <c r="Y267" s="6">
        <f ca="1">('TUSD BE'!$AM$22+'TUSD BF_350'!$AM$22+'TUSD CVA'!$AM$22)*1</f>
        <v>21.369338625624472</v>
      </c>
      <c r="Z267" s="6"/>
      <c r="AA267" s="6"/>
      <c r="AB267" s="6">
        <f>$K$267*$V$267</f>
        <v>3954.28</v>
      </c>
      <c r="AC267" s="6">
        <f>$M$267*$W$267</f>
        <v>0</v>
      </c>
      <c r="AD267" s="6">
        <f>$O$267*$X$267</f>
        <v>0</v>
      </c>
      <c r="AE267" s="6">
        <f ca="1">$K$267*$Y$267</f>
        <v>4466.1917727555146</v>
      </c>
      <c r="AF267" s="6">
        <f>$M$267*$Z$267</f>
        <v>0</v>
      </c>
      <c r="AG267" s="6">
        <f>$O$267*$AA$267</f>
        <v>0</v>
      </c>
    </row>
    <row r="268" spans="1:33" ht="11.25" customHeight="1" x14ac:dyDescent="0.3">
      <c r="A268" s="4" t="s">
        <v>21</v>
      </c>
      <c r="B268" s="4" t="s">
        <v>39</v>
      </c>
      <c r="C268" s="4" t="s">
        <v>40</v>
      </c>
      <c r="D268" s="4" t="s">
        <v>38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44562</v>
      </c>
      <c r="J268" s="6">
        <v>3514</v>
      </c>
      <c r="K268" s="6">
        <v>3514</v>
      </c>
      <c r="L268" s="6">
        <v>0</v>
      </c>
      <c r="M268" s="6">
        <v>0</v>
      </c>
      <c r="N268" s="6">
        <v>0</v>
      </c>
      <c r="O268" s="6">
        <v>0</v>
      </c>
      <c r="P268" s="6">
        <v>15</v>
      </c>
      <c r="Q268" s="4" t="s">
        <v>26</v>
      </c>
      <c r="R268" s="4">
        <v>0</v>
      </c>
      <c r="S268" s="6">
        <v>13</v>
      </c>
      <c r="T268" s="6">
        <v>0</v>
      </c>
      <c r="U268" s="6">
        <v>0</v>
      </c>
      <c r="V268" s="6">
        <f>IF(ISERROR(VLOOKUP($S$268,'TAR FIN'!$A$1:$O$103,15,0)),0,VLOOKUP($S$268,'TAR FIN'!$A$1:$O$103,15,0))</f>
        <v>18.920000000000002</v>
      </c>
      <c r="W268" s="6">
        <f>IF(ISERROR(VLOOKUP($T$268,'TAR FIN'!$A$1:$O$103,15,0)),0,VLOOKUP($T$268,'TAR FIN'!$A$1:$O$103,15,0))</f>
        <v>0</v>
      </c>
      <c r="X268" s="6">
        <f>IF(ISERROR(VLOOKUP($U$268,'TAR FIN'!$A$1:$O$103,15,0)),0,VLOOKUP($U$268,'TAR FIN'!$A$1:$O$103,15,0))</f>
        <v>0</v>
      </c>
      <c r="Y268" s="6">
        <f ca="1">('TUSD BE'!$AM$22+'TUSD BF_350'!$AM$22+'TUSD CVA'!$AM$22)*1</f>
        <v>21.369338625624472</v>
      </c>
      <c r="Z268" s="6"/>
      <c r="AA268" s="6"/>
      <c r="AB268" s="6">
        <f>$K$268*$V$268</f>
        <v>66484.88</v>
      </c>
      <c r="AC268" s="6">
        <f>$M$268*$W$268</f>
        <v>0</v>
      </c>
      <c r="AD268" s="6">
        <f>$O$268*$X$268</f>
        <v>0</v>
      </c>
      <c r="AE268" s="6">
        <f ca="1">$K$268*$Y$268</f>
        <v>75091.855930444392</v>
      </c>
      <c r="AF268" s="6">
        <f>$M$268*$Z$268</f>
        <v>0</v>
      </c>
      <c r="AG268" s="6">
        <f>$O$268*$AA$268</f>
        <v>0</v>
      </c>
    </row>
    <row r="269" spans="1:33" ht="11.25" customHeight="1" x14ac:dyDescent="0.3">
      <c r="A269" s="4" t="s">
        <v>28</v>
      </c>
      <c r="B269" s="4" t="s">
        <v>39</v>
      </c>
      <c r="C269" s="4" t="s">
        <v>40</v>
      </c>
      <c r="D269" s="4" t="s">
        <v>38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44562</v>
      </c>
      <c r="J269" s="6">
        <v>209</v>
      </c>
      <c r="K269" s="6">
        <v>209</v>
      </c>
      <c r="L269" s="6">
        <v>0</v>
      </c>
      <c r="M269" s="6">
        <v>0</v>
      </c>
      <c r="N269" s="6">
        <v>0</v>
      </c>
      <c r="O269" s="6">
        <v>0</v>
      </c>
      <c r="P269" s="6">
        <v>2</v>
      </c>
      <c r="Q269" s="4" t="s">
        <v>26</v>
      </c>
      <c r="R269" s="4">
        <v>0</v>
      </c>
      <c r="S269" s="6">
        <v>13</v>
      </c>
      <c r="T269" s="6">
        <v>0</v>
      </c>
      <c r="U269" s="6">
        <v>0</v>
      </c>
      <c r="V269" s="6">
        <f>IF(ISERROR(VLOOKUP($S$269,'TAR FIN'!$A$1:$O$103,15,0)),0,VLOOKUP($S$269,'TAR FIN'!$A$1:$O$103,15,0))</f>
        <v>18.920000000000002</v>
      </c>
      <c r="W269" s="6">
        <f>IF(ISERROR(VLOOKUP($T$269,'TAR FIN'!$A$1:$O$103,15,0)),0,VLOOKUP($T$269,'TAR FIN'!$A$1:$O$103,15,0))</f>
        <v>0</v>
      </c>
      <c r="X269" s="6">
        <f>IF(ISERROR(VLOOKUP($U$269,'TAR FIN'!$A$1:$O$103,15,0)),0,VLOOKUP($U$269,'TAR FIN'!$A$1:$O$103,15,0))</f>
        <v>0</v>
      </c>
      <c r="Y269" s="6">
        <f ca="1">('TUSD BE'!$AM$22+'TUSD BF_350'!$AM$22+'TUSD CVA'!$AM$22)*1</f>
        <v>21.369338625624472</v>
      </c>
      <c r="Z269" s="6"/>
      <c r="AA269" s="6"/>
      <c r="AB269" s="6">
        <f>$K$269*$V$269</f>
        <v>3954.28</v>
      </c>
      <c r="AC269" s="6">
        <f>$M$269*$W$269</f>
        <v>0</v>
      </c>
      <c r="AD269" s="6">
        <f>$O$269*$X$269</f>
        <v>0</v>
      </c>
      <c r="AE269" s="6">
        <f ca="1">$K$269*$Y$269</f>
        <v>4466.1917727555146</v>
      </c>
      <c r="AF269" s="6">
        <f>$M$269*$Z$269</f>
        <v>0</v>
      </c>
      <c r="AG269" s="6">
        <f>$O$269*$AA$269</f>
        <v>0</v>
      </c>
    </row>
    <row r="270" spans="1:33" ht="11.25" customHeight="1" x14ac:dyDescent="0.3">
      <c r="A270" s="4" t="s">
        <v>21</v>
      </c>
      <c r="B270" s="4" t="s">
        <v>39</v>
      </c>
      <c r="C270" s="4" t="s">
        <v>40</v>
      </c>
      <c r="D270" s="4" t="s">
        <v>38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44593</v>
      </c>
      <c r="J270" s="6">
        <v>3548</v>
      </c>
      <c r="K270" s="6">
        <v>3548</v>
      </c>
      <c r="L270" s="6">
        <v>0</v>
      </c>
      <c r="M270" s="6">
        <v>0</v>
      </c>
      <c r="N270" s="6">
        <v>0</v>
      </c>
      <c r="O270" s="6">
        <v>0</v>
      </c>
      <c r="P270" s="6">
        <v>15</v>
      </c>
      <c r="Q270" s="4" t="s">
        <v>26</v>
      </c>
      <c r="R270" s="4">
        <v>0</v>
      </c>
      <c r="S270" s="6">
        <v>13</v>
      </c>
      <c r="T270" s="6">
        <v>0</v>
      </c>
      <c r="U270" s="6">
        <v>0</v>
      </c>
      <c r="V270" s="6">
        <f>IF(ISERROR(VLOOKUP($S$270,'TAR FIN'!$A$1:$O$103,15,0)),0,VLOOKUP($S$270,'TAR FIN'!$A$1:$O$103,15,0))</f>
        <v>18.920000000000002</v>
      </c>
      <c r="W270" s="6">
        <f>IF(ISERROR(VLOOKUP($T$270,'TAR FIN'!$A$1:$O$103,15,0)),0,VLOOKUP($T$270,'TAR FIN'!$A$1:$O$103,15,0))</f>
        <v>0</v>
      </c>
      <c r="X270" s="6">
        <f>IF(ISERROR(VLOOKUP($U$270,'TAR FIN'!$A$1:$O$103,15,0)),0,VLOOKUP($U$270,'TAR FIN'!$A$1:$O$103,15,0))</f>
        <v>0</v>
      </c>
      <c r="Y270" s="6">
        <f ca="1">('TUSD BE'!$AM$22+'TUSD BF_350'!$AM$22+'TUSD CVA'!$AM$22)*1</f>
        <v>21.369338625624472</v>
      </c>
      <c r="Z270" s="6"/>
      <c r="AA270" s="6"/>
      <c r="AB270" s="6">
        <f>$K$270*$V$270</f>
        <v>67128.160000000003</v>
      </c>
      <c r="AC270" s="6">
        <f>$M$270*$W$270</f>
        <v>0</v>
      </c>
      <c r="AD270" s="6">
        <f>$O$270*$X$270</f>
        <v>0</v>
      </c>
      <c r="AE270" s="6">
        <f ca="1">$K$270*$Y$270</f>
        <v>75818.413443715632</v>
      </c>
      <c r="AF270" s="6">
        <f>$M$270*$Z$270</f>
        <v>0</v>
      </c>
      <c r="AG270" s="6">
        <f>$O$270*$AA$270</f>
        <v>0</v>
      </c>
    </row>
    <row r="271" spans="1:33" ht="11.25" customHeight="1" x14ac:dyDescent="0.3">
      <c r="A271" s="4" t="s">
        <v>28</v>
      </c>
      <c r="B271" s="4" t="s">
        <v>39</v>
      </c>
      <c r="C271" s="4" t="s">
        <v>40</v>
      </c>
      <c r="D271" s="4" t="s">
        <v>38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44593</v>
      </c>
      <c r="J271" s="6">
        <v>209</v>
      </c>
      <c r="K271" s="6">
        <v>209</v>
      </c>
      <c r="L271" s="6">
        <v>0</v>
      </c>
      <c r="M271" s="6">
        <v>0</v>
      </c>
      <c r="N271" s="6">
        <v>0</v>
      </c>
      <c r="O271" s="6">
        <v>0</v>
      </c>
      <c r="P271" s="6">
        <v>2</v>
      </c>
      <c r="Q271" s="4" t="s">
        <v>26</v>
      </c>
      <c r="R271" s="4">
        <v>0</v>
      </c>
      <c r="S271" s="6">
        <v>13</v>
      </c>
      <c r="T271" s="6">
        <v>0</v>
      </c>
      <c r="U271" s="6">
        <v>0</v>
      </c>
      <c r="V271" s="6">
        <f>IF(ISERROR(VLOOKUP($S$271,'TAR FIN'!$A$1:$O$103,15,0)),0,VLOOKUP($S$271,'TAR FIN'!$A$1:$O$103,15,0))</f>
        <v>18.920000000000002</v>
      </c>
      <c r="W271" s="6">
        <f>IF(ISERROR(VLOOKUP($T$271,'TAR FIN'!$A$1:$O$103,15,0)),0,VLOOKUP($T$271,'TAR FIN'!$A$1:$O$103,15,0))</f>
        <v>0</v>
      </c>
      <c r="X271" s="6">
        <f>IF(ISERROR(VLOOKUP($U$271,'TAR FIN'!$A$1:$O$103,15,0)),0,VLOOKUP($U$271,'TAR FIN'!$A$1:$O$103,15,0))</f>
        <v>0</v>
      </c>
      <c r="Y271" s="6">
        <f ca="1">('TUSD BE'!$AM$22+'TUSD BF_350'!$AM$22+'TUSD CVA'!$AM$22)*1</f>
        <v>21.369338625624472</v>
      </c>
      <c r="Z271" s="6"/>
      <c r="AA271" s="6"/>
      <c r="AB271" s="6">
        <f>$K$271*$V$271</f>
        <v>3954.28</v>
      </c>
      <c r="AC271" s="6">
        <f>$M$271*$W$271</f>
        <v>0</v>
      </c>
      <c r="AD271" s="6">
        <f>$O$271*$X$271</f>
        <v>0</v>
      </c>
      <c r="AE271" s="6">
        <f ca="1">$K$271*$Y$271</f>
        <v>4466.1917727555146</v>
      </c>
      <c r="AF271" s="6">
        <f>$M$271*$Z$271</f>
        <v>0</v>
      </c>
      <c r="AG271" s="6">
        <f>$O$271*$AA$271</f>
        <v>0</v>
      </c>
    </row>
    <row r="272" spans="1:33" ht="11.25" customHeight="1" x14ac:dyDescent="0.3">
      <c r="A272" s="4" t="s">
        <v>21</v>
      </c>
      <c r="B272" s="4" t="s">
        <v>39</v>
      </c>
      <c r="C272" s="4" t="s">
        <v>40</v>
      </c>
      <c r="D272" s="4" t="s">
        <v>38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44621</v>
      </c>
      <c r="J272" s="6">
        <v>3826</v>
      </c>
      <c r="K272" s="6">
        <v>3826</v>
      </c>
      <c r="L272" s="6">
        <v>0</v>
      </c>
      <c r="M272" s="6">
        <v>0</v>
      </c>
      <c r="N272" s="6">
        <v>0</v>
      </c>
      <c r="O272" s="6">
        <v>0</v>
      </c>
      <c r="P272" s="6">
        <v>15</v>
      </c>
      <c r="Q272" s="4" t="s">
        <v>26</v>
      </c>
      <c r="R272" s="4">
        <v>0</v>
      </c>
      <c r="S272" s="6">
        <v>13</v>
      </c>
      <c r="T272" s="6">
        <v>0</v>
      </c>
      <c r="U272" s="6">
        <v>0</v>
      </c>
      <c r="V272" s="6">
        <f>IF(ISERROR(VLOOKUP($S$272,'TAR FIN'!$A$1:$O$103,15,0)),0,VLOOKUP($S$272,'TAR FIN'!$A$1:$O$103,15,0))</f>
        <v>18.920000000000002</v>
      </c>
      <c r="W272" s="6">
        <f>IF(ISERROR(VLOOKUP($T$272,'TAR FIN'!$A$1:$O$103,15,0)),0,VLOOKUP($T$272,'TAR FIN'!$A$1:$O$103,15,0))</f>
        <v>0</v>
      </c>
      <c r="X272" s="6">
        <f>IF(ISERROR(VLOOKUP($U$272,'TAR FIN'!$A$1:$O$103,15,0)),0,VLOOKUP($U$272,'TAR FIN'!$A$1:$O$103,15,0))</f>
        <v>0</v>
      </c>
      <c r="Y272" s="6">
        <f ca="1">('TUSD BE'!$AM$22+'TUSD BF_350'!$AM$22+'TUSD CVA'!$AM$22)*1</f>
        <v>21.369338625624472</v>
      </c>
      <c r="Z272" s="6"/>
      <c r="AA272" s="6"/>
      <c r="AB272" s="6">
        <f>$K$272*$V$272</f>
        <v>72387.920000000013</v>
      </c>
      <c r="AC272" s="6">
        <f>$M$272*$W$272</f>
        <v>0</v>
      </c>
      <c r="AD272" s="6">
        <f>$O$272*$X$272</f>
        <v>0</v>
      </c>
      <c r="AE272" s="6">
        <f ca="1">$K$272*$Y$272</f>
        <v>81759.089581639229</v>
      </c>
      <c r="AF272" s="6">
        <f>$M$272*$Z$272</f>
        <v>0</v>
      </c>
      <c r="AG272" s="6">
        <f>$O$272*$AA$272</f>
        <v>0</v>
      </c>
    </row>
    <row r="273" spans="1:33" ht="11.25" customHeight="1" x14ac:dyDescent="0.3">
      <c r="A273" s="4" t="s">
        <v>28</v>
      </c>
      <c r="B273" s="4" t="s">
        <v>39</v>
      </c>
      <c r="C273" s="4" t="s">
        <v>40</v>
      </c>
      <c r="D273" s="4" t="s">
        <v>38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44621</v>
      </c>
      <c r="J273" s="6">
        <v>209</v>
      </c>
      <c r="K273" s="6">
        <v>209</v>
      </c>
      <c r="L273" s="6">
        <v>0</v>
      </c>
      <c r="M273" s="6">
        <v>0</v>
      </c>
      <c r="N273" s="6">
        <v>0</v>
      </c>
      <c r="O273" s="6">
        <v>0</v>
      </c>
      <c r="P273" s="6">
        <v>2</v>
      </c>
      <c r="Q273" s="4" t="s">
        <v>26</v>
      </c>
      <c r="R273" s="4">
        <v>0</v>
      </c>
      <c r="S273" s="6">
        <v>13</v>
      </c>
      <c r="T273" s="6">
        <v>0</v>
      </c>
      <c r="U273" s="6">
        <v>0</v>
      </c>
      <c r="V273" s="6">
        <f>IF(ISERROR(VLOOKUP($S$273,'TAR FIN'!$A$1:$O$103,15,0)),0,VLOOKUP($S$273,'TAR FIN'!$A$1:$O$103,15,0))</f>
        <v>18.920000000000002</v>
      </c>
      <c r="W273" s="6">
        <f>IF(ISERROR(VLOOKUP($T$273,'TAR FIN'!$A$1:$O$103,15,0)),0,VLOOKUP($T$273,'TAR FIN'!$A$1:$O$103,15,0))</f>
        <v>0</v>
      </c>
      <c r="X273" s="6">
        <f>IF(ISERROR(VLOOKUP($U$273,'TAR FIN'!$A$1:$O$103,15,0)),0,VLOOKUP($U$273,'TAR FIN'!$A$1:$O$103,15,0))</f>
        <v>0</v>
      </c>
      <c r="Y273" s="6">
        <f ca="1">('TUSD BE'!$AM$22+'TUSD BF_350'!$AM$22+'TUSD CVA'!$AM$22)*1</f>
        <v>21.369338625624472</v>
      </c>
      <c r="Z273" s="6"/>
      <c r="AA273" s="6"/>
      <c r="AB273" s="6">
        <f>$K$273*$V$273</f>
        <v>3954.28</v>
      </c>
      <c r="AC273" s="6">
        <f>$M$273*$W$273</f>
        <v>0</v>
      </c>
      <c r="AD273" s="6">
        <f>$O$273*$X$273</f>
        <v>0</v>
      </c>
      <c r="AE273" s="6">
        <f ca="1">$K$273*$Y$273</f>
        <v>4466.1917727555146</v>
      </c>
      <c r="AF273" s="6">
        <f>$M$273*$Z$273</f>
        <v>0</v>
      </c>
      <c r="AG273" s="6">
        <f>$O$273*$AA$273</f>
        <v>0</v>
      </c>
    </row>
    <row r="274" spans="1:33" ht="11.25" customHeight="1" x14ac:dyDescent="0.3">
      <c r="A274" s="4" t="s">
        <v>21</v>
      </c>
      <c r="B274" s="4" t="s">
        <v>39</v>
      </c>
      <c r="C274" s="4" t="s">
        <v>40</v>
      </c>
      <c r="D274" s="4" t="s">
        <v>38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44652</v>
      </c>
      <c r="J274" s="6">
        <v>4167</v>
      </c>
      <c r="K274" s="6">
        <v>4167</v>
      </c>
      <c r="L274" s="6">
        <v>0</v>
      </c>
      <c r="M274" s="6">
        <v>0</v>
      </c>
      <c r="N274" s="6">
        <v>0</v>
      </c>
      <c r="O274" s="6">
        <v>0</v>
      </c>
      <c r="P274" s="6">
        <v>16</v>
      </c>
      <c r="Q274" s="4" t="s">
        <v>26</v>
      </c>
      <c r="R274" s="4">
        <v>0</v>
      </c>
      <c r="S274" s="6">
        <v>13</v>
      </c>
      <c r="T274" s="6">
        <v>0</v>
      </c>
      <c r="U274" s="6">
        <v>0</v>
      </c>
      <c r="V274" s="6">
        <f>IF(ISERROR(VLOOKUP($S$274,'TAR FIN'!$A$1:$O$103,15,0)),0,VLOOKUP($S$274,'TAR FIN'!$A$1:$O$103,15,0))</f>
        <v>18.920000000000002</v>
      </c>
      <c r="W274" s="6">
        <f>IF(ISERROR(VLOOKUP($T$274,'TAR FIN'!$A$1:$O$103,15,0)),0,VLOOKUP($T$274,'TAR FIN'!$A$1:$O$103,15,0))</f>
        <v>0</v>
      </c>
      <c r="X274" s="6">
        <f>IF(ISERROR(VLOOKUP($U$274,'TAR FIN'!$A$1:$O$103,15,0)),0,VLOOKUP($U$274,'TAR FIN'!$A$1:$O$103,15,0))</f>
        <v>0</v>
      </c>
      <c r="Y274" s="6">
        <f ca="1">('TUSD BE'!$AM$22+'TUSD BF_350'!$AM$22+'TUSD CVA'!$AM$22)*1</f>
        <v>21.369338625624472</v>
      </c>
      <c r="Z274" s="6"/>
      <c r="AA274" s="6"/>
      <c r="AB274" s="6">
        <f>$K$274*$V$274</f>
        <v>78839.640000000014</v>
      </c>
      <c r="AC274" s="6">
        <f>$M$274*$W$274</f>
        <v>0</v>
      </c>
      <c r="AD274" s="6">
        <f>$O$274*$X$274</f>
        <v>0</v>
      </c>
      <c r="AE274" s="6">
        <f ca="1">$K$274*$Y$274</f>
        <v>89046.034052977178</v>
      </c>
      <c r="AF274" s="6">
        <f>$M$274*$Z$274</f>
        <v>0</v>
      </c>
      <c r="AG274" s="6">
        <f>$O$274*$AA$274</f>
        <v>0</v>
      </c>
    </row>
    <row r="275" spans="1:33" ht="11.25" customHeight="1" x14ac:dyDescent="0.3">
      <c r="A275" s="4" t="s">
        <v>28</v>
      </c>
      <c r="B275" s="4" t="s">
        <v>39</v>
      </c>
      <c r="C275" s="4" t="s">
        <v>40</v>
      </c>
      <c r="D275" s="4" t="s">
        <v>38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44652</v>
      </c>
      <c r="J275" s="6">
        <v>209</v>
      </c>
      <c r="K275" s="6">
        <v>209</v>
      </c>
      <c r="L275" s="6">
        <v>0</v>
      </c>
      <c r="M275" s="6">
        <v>0</v>
      </c>
      <c r="N275" s="6">
        <v>0</v>
      </c>
      <c r="O275" s="6">
        <v>0</v>
      </c>
      <c r="P275" s="6">
        <v>2</v>
      </c>
      <c r="Q275" s="4" t="s">
        <v>26</v>
      </c>
      <c r="R275" s="4">
        <v>0</v>
      </c>
      <c r="S275" s="6">
        <v>13</v>
      </c>
      <c r="T275" s="6">
        <v>0</v>
      </c>
      <c r="U275" s="6">
        <v>0</v>
      </c>
      <c r="V275" s="6">
        <f>IF(ISERROR(VLOOKUP($S$275,'TAR FIN'!$A$1:$O$103,15,0)),0,VLOOKUP($S$275,'TAR FIN'!$A$1:$O$103,15,0))</f>
        <v>18.920000000000002</v>
      </c>
      <c r="W275" s="6">
        <f>IF(ISERROR(VLOOKUP($T$275,'TAR FIN'!$A$1:$O$103,15,0)),0,VLOOKUP($T$275,'TAR FIN'!$A$1:$O$103,15,0))</f>
        <v>0</v>
      </c>
      <c r="X275" s="6">
        <f>IF(ISERROR(VLOOKUP($U$275,'TAR FIN'!$A$1:$O$103,15,0)),0,VLOOKUP($U$275,'TAR FIN'!$A$1:$O$103,15,0))</f>
        <v>0</v>
      </c>
      <c r="Y275" s="6">
        <f ca="1">('TUSD BE'!$AM$22+'TUSD BF_350'!$AM$22+'TUSD CVA'!$AM$22)*1</f>
        <v>21.369338625624472</v>
      </c>
      <c r="Z275" s="6"/>
      <c r="AA275" s="6"/>
      <c r="AB275" s="6">
        <f>$K$275*$V$275</f>
        <v>3954.28</v>
      </c>
      <c r="AC275" s="6">
        <f>$M$275*$W$275</f>
        <v>0</v>
      </c>
      <c r="AD275" s="6">
        <f>$O$275*$X$275</f>
        <v>0</v>
      </c>
      <c r="AE275" s="6">
        <f ca="1">$K$275*$Y$275</f>
        <v>4466.1917727555146</v>
      </c>
      <c r="AF275" s="6">
        <f>$M$275*$Z$275</f>
        <v>0</v>
      </c>
      <c r="AG275" s="6">
        <f>$O$275*$AA$275</f>
        <v>0</v>
      </c>
    </row>
    <row r="276" spans="1:33" ht="11.25" customHeight="1" x14ac:dyDescent="0.3">
      <c r="A276" s="4" t="s">
        <v>21</v>
      </c>
      <c r="B276" s="4" t="s">
        <v>39</v>
      </c>
      <c r="C276" s="4" t="s">
        <v>40</v>
      </c>
      <c r="D276" s="4" t="s">
        <v>38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44682</v>
      </c>
      <c r="J276" s="6">
        <v>4194</v>
      </c>
      <c r="K276" s="6">
        <v>4194</v>
      </c>
      <c r="L276" s="6">
        <v>0</v>
      </c>
      <c r="M276" s="6">
        <v>0</v>
      </c>
      <c r="N276" s="6">
        <v>0</v>
      </c>
      <c r="O276" s="6">
        <v>0</v>
      </c>
      <c r="P276" s="6">
        <v>15</v>
      </c>
      <c r="Q276" s="4" t="s">
        <v>26</v>
      </c>
      <c r="R276" s="4">
        <v>0</v>
      </c>
      <c r="S276" s="6">
        <v>13</v>
      </c>
      <c r="T276" s="6">
        <v>0</v>
      </c>
      <c r="U276" s="6">
        <v>0</v>
      </c>
      <c r="V276" s="6">
        <f>IF(ISERROR(VLOOKUP($S$276,'TAR FIN'!$A$1:$O$103,15,0)),0,VLOOKUP($S$276,'TAR FIN'!$A$1:$O$103,15,0))</f>
        <v>18.920000000000002</v>
      </c>
      <c r="W276" s="6">
        <f>IF(ISERROR(VLOOKUP($T$276,'TAR FIN'!$A$1:$O$103,15,0)),0,VLOOKUP($T$276,'TAR FIN'!$A$1:$O$103,15,0))</f>
        <v>0</v>
      </c>
      <c r="X276" s="6">
        <f>IF(ISERROR(VLOOKUP($U$276,'TAR FIN'!$A$1:$O$103,15,0)),0,VLOOKUP($U$276,'TAR FIN'!$A$1:$O$103,15,0))</f>
        <v>0</v>
      </c>
      <c r="Y276" s="6">
        <f ca="1">('TUSD BE'!$AM$22+'TUSD BF_350'!$AM$22+'TUSD CVA'!$AM$22)*1</f>
        <v>21.369338625624472</v>
      </c>
      <c r="Z276" s="6"/>
      <c r="AA276" s="6"/>
      <c r="AB276" s="6">
        <f>$K$276*$V$276</f>
        <v>79350.48000000001</v>
      </c>
      <c r="AC276" s="6">
        <f>$M$276*$W$276</f>
        <v>0</v>
      </c>
      <c r="AD276" s="6">
        <f>$O$276*$X$276</f>
        <v>0</v>
      </c>
      <c r="AE276" s="6">
        <f ca="1">$K$276*$Y$276</f>
        <v>89623.006195869035</v>
      </c>
      <c r="AF276" s="6">
        <f>$M$276*$Z$276</f>
        <v>0</v>
      </c>
      <c r="AG276" s="6">
        <f>$O$276*$AA$276</f>
        <v>0</v>
      </c>
    </row>
    <row r="277" spans="1:33" ht="11.25" customHeight="1" x14ac:dyDescent="0.3">
      <c r="A277" s="4" t="s">
        <v>28</v>
      </c>
      <c r="B277" s="4" t="s">
        <v>39</v>
      </c>
      <c r="C277" s="4" t="s">
        <v>40</v>
      </c>
      <c r="D277" s="4" t="s">
        <v>38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44682</v>
      </c>
      <c r="J277" s="6">
        <v>209</v>
      </c>
      <c r="K277" s="6">
        <v>209</v>
      </c>
      <c r="L277" s="6">
        <v>0</v>
      </c>
      <c r="M277" s="6">
        <v>0</v>
      </c>
      <c r="N277" s="6">
        <v>0</v>
      </c>
      <c r="O277" s="6">
        <v>0</v>
      </c>
      <c r="P277" s="6">
        <v>2</v>
      </c>
      <c r="Q277" s="4" t="s">
        <v>26</v>
      </c>
      <c r="R277" s="4">
        <v>0</v>
      </c>
      <c r="S277" s="6">
        <v>13</v>
      </c>
      <c r="T277" s="6">
        <v>0</v>
      </c>
      <c r="U277" s="6">
        <v>0</v>
      </c>
      <c r="V277" s="6">
        <f>IF(ISERROR(VLOOKUP($S$277,'TAR FIN'!$A$1:$O$103,15,0)),0,VLOOKUP($S$277,'TAR FIN'!$A$1:$O$103,15,0))</f>
        <v>18.920000000000002</v>
      </c>
      <c r="W277" s="6">
        <f>IF(ISERROR(VLOOKUP($T$277,'TAR FIN'!$A$1:$O$103,15,0)),0,VLOOKUP($T$277,'TAR FIN'!$A$1:$O$103,15,0))</f>
        <v>0</v>
      </c>
      <c r="X277" s="6">
        <f>IF(ISERROR(VLOOKUP($U$277,'TAR FIN'!$A$1:$O$103,15,0)),0,VLOOKUP($U$277,'TAR FIN'!$A$1:$O$103,15,0))</f>
        <v>0</v>
      </c>
      <c r="Y277" s="6">
        <f ca="1">('TUSD BE'!$AM$22+'TUSD BF_350'!$AM$22+'TUSD CVA'!$AM$22)*1</f>
        <v>21.369338625624472</v>
      </c>
      <c r="Z277" s="6"/>
      <c r="AA277" s="6"/>
      <c r="AB277" s="6">
        <f>$K$277*$V$277</f>
        <v>3954.28</v>
      </c>
      <c r="AC277" s="6">
        <f>$M$277*$W$277</f>
        <v>0</v>
      </c>
      <c r="AD277" s="6">
        <f>$O$277*$X$277</f>
        <v>0</v>
      </c>
      <c r="AE277" s="6">
        <f ca="1">$K$277*$Y$277</f>
        <v>4466.1917727555146</v>
      </c>
      <c r="AF277" s="6">
        <f>$M$277*$Z$277</f>
        <v>0</v>
      </c>
      <c r="AG277" s="6">
        <f>$O$277*$AA$277</f>
        <v>0</v>
      </c>
    </row>
    <row r="278" spans="1:33" ht="11.25" customHeight="1" x14ac:dyDescent="0.3">
      <c r="A278" s="4" t="s">
        <v>21</v>
      </c>
      <c r="B278" s="4" t="s">
        <v>39</v>
      </c>
      <c r="C278" s="4" t="s">
        <v>40</v>
      </c>
      <c r="D278" s="4" t="s">
        <v>38</v>
      </c>
      <c r="E278" s="4" t="s">
        <v>25</v>
      </c>
      <c r="F278" s="4" t="s">
        <v>25</v>
      </c>
      <c r="G278" s="4" t="s">
        <v>25</v>
      </c>
      <c r="H278" s="4" t="s">
        <v>25</v>
      </c>
      <c r="I278" s="5">
        <v>44713</v>
      </c>
      <c r="J278" s="6">
        <v>4304</v>
      </c>
      <c r="K278" s="6">
        <v>4304</v>
      </c>
      <c r="L278" s="6">
        <v>0</v>
      </c>
      <c r="M278" s="6">
        <v>0</v>
      </c>
      <c r="N278" s="6">
        <v>0</v>
      </c>
      <c r="O278" s="6">
        <v>0</v>
      </c>
      <c r="P278" s="6">
        <v>15</v>
      </c>
      <c r="Q278" s="4" t="s">
        <v>26</v>
      </c>
      <c r="R278" s="4">
        <v>0</v>
      </c>
      <c r="S278" s="6">
        <v>13</v>
      </c>
      <c r="T278" s="6">
        <v>0</v>
      </c>
      <c r="U278" s="6">
        <v>0</v>
      </c>
      <c r="V278" s="6">
        <f>IF(ISERROR(VLOOKUP($S$278,'TAR FIN'!$A$1:$O$103,15,0)),0,VLOOKUP($S$278,'TAR FIN'!$A$1:$O$103,15,0))</f>
        <v>18.920000000000002</v>
      </c>
      <c r="W278" s="6">
        <f>IF(ISERROR(VLOOKUP($T$278,'TAR FIN'!$A$1:$O$103,15,0)),0,VLOOKUP($T$278,'TAR FIN'!$A$1:$O$103,15,0))</f>
        <v>0</v>
      </c>
      <c r="X278" s="6">
        <f>IF(ISERROR(VLOOKUP($U$278,'TAR FIN'!$A$1:$O$103,15,0)),0,VLOOKUP($U$278,'TAR FIN'!$A$1:$O$103,15,0))</f>
        <v>0</v>
      </c>
      <c r="Y278" s="6">
        <f ca="1">('TUSD BE'!$AM$22+'TUSD BF_350'!$AM$22+'TUSD CVA'!$AM$22)*1</f>
        <v>21.369338625624472</v>
      </c>
      <c r="Z278" s="6"/>
      <c r="AA278" s="6"/>
      <c r="AB278" s="6">
        <f>$K$278*$V$278</f>
        <v>81431.680000000008</v>
      </c>
      <c r="AC278" s="6">
        <f>$M$278*$W$278</f>
        <v>0</v>
      </c>
      <c r="AD278" s="6">
        <f>$O$278*$X$278</f>
        <v>0</v>
      </c>
      <c r="AE278" s="6">
        <f ca="1">$K$278*$Y$278</f>
        <v>91973.63344468773</v>
      </c>
      <c r="AF278" s="6">
        <f>$M$278*$Z$278</f>
        <v>0</v>
      </c>
      <c r="AG278" s="6">
        <f>$O$278*$AA$278</f>
        <v>0</v>
      </c>
    </row>
    <row r="279" spans="1:33" ht="11.25" customHeight="1" x14ac:dyDescent="0.3">
      <c r="A279" s="4" t="s">
        <v>28</v>
      </c>
      <c r="B279" s="4" t="s">
        <v>39</v>
      </c>
      <c r="C279" s="4" t="s">
        <v>40</v>
      </c>
      <c r="D279" s="4" t="s">
        <v>38</v>
      </c>
      <c r="E279" s="4" t="s">
        <v>25</v>
      </c>
      <c r="F279" s="4" t="s">
        <v>25</v>
      </c>
      <c r="G279" s="4" t="s">
        <v>25</v>
      </c>
      <c r="H279" s="4" t="s">
        <v>25</v>
      </c>
      <c r="I279" s="5">
        <v>44713</v>
      </c>
      <c r="J279" s="6">
        <v>209</v>
      </c>
      <c r="K279" s="6">
        <v>209</v>
      </c>
      <c r="L279" s="6">
        <v>0</v>
      </c>
      <c r="M279" s="6">
        <v>0</v>
      </c>
      <c r="N279" s="6">
        <v>0</v>
      </c>
      <c r="O279" s="6">
        <v>0</v>
      </c>
      <c r="P279" s="6">
        <v>2</v>
      </c>
      <c r="Q279" s="4" t="s">
        <v>26</v>
      </c>
      <c r="R279" s="4">
        <v>0</v>
      </c>
      <c r="S279" s="6">
        <v>13</v>
      </c>
      <c r="T279" s="6">
        <v>0</v>
      </c>
      <c r="U279" s="6">
        <v>0</v>
      </c>
      <c r="V279" s="6">
        <f>IF(ISERROR(VLOOKUP($S$279,'TAR FIN'!$A$1:$O$103,15,0)),0,VLOOKUP($S$279,'TAR FIN'!$A$1:$O$103,15,0))</f>
        <v>18.920000000000002</v>
      </c>
      <c r="W279" s="6">
        <f>IF(ISERROR(VLOOKUP($T$279,'TAR FIN'!$A$1:$O$103,15,0)),0,VLOOKUP($T$279,'TAR FIN'!$A$1:$O$103,15,0))</f>
        <v>0</v>
      </c>
      <c r="X279" s="6">
        <f>IF(ISERROR(VLOOKUP($U$279,'TAR FIN'!$A$1:$O$103,15,0)),0,VLOOKUP($U$279,'TAR FIN'!$A$1:$O$103,15,0))</f>
        <v>0</v>
      </c>
      <c r="Y279" s="6">
        <f ca="1">('TUSD BE'!$AM$22+'TUSD BF_350'!$AM$22+'TUSD CVA'!$AM$22)*1</f>
        <v>21.369338625624472</v>
      </c>
      <c r="Z279" s="6"/>
      <c r="AA279" s="6"/>
      <c r="AB279" s="6">
        <f>$K$279*$V$279</f>
        <v>3954.28</v>
      </c>
      <c r="AC279" s="6">
        <f>$M$279*$W$279</f>
        <v>0</v>
      </c>
      <c r="AD279" s="6">
        <f>$O$279*$X$279</f>
        <v>0</v>
      </c>
      <c r="AE279" s="6">
        <f ca="1">$K$279*$Y$279</f>
        <v>4466.1917727555146</v>
      </c>
      <c r="AF279" s="6">
        <f>$M$279*$Z$279</f>
        <v>0</v>
      </c>
      <c r="AG279" s="6">
        <f>$O$279*$AA$279</f>
        <v>0</v>
      </c>
    </row>
    <row r="280" spans="1:33" ht="11.25" customHeight="1" x14ac:dyDescent="0.3">
      <c r="A280" s="4" t="s">
        <v>21</v>
      </c>
      <c r="B280" s="4" t="s">
        <v>39</v>
      </c>
      <c r="C280" s="4" t="s">
        <v>40</v>
      </c>
      <c r="D280" s="4" t="s">
        <v>38</v>
      </c>
      <c r="E280" s="4" t="s">
        <v>25</v>
      </c>
      <c r="F280" s="4" t="s">
        <v>25</v>
      </c>
      <c r="G280" s="4" t="s">
        <v>25</v>
      </c>
      <c r="H280" s="4" t="s">
        <v>25</v>
      </c>
      <c r="I280" s="5">
        <v>44743</v>
      </c>
      <c r="J280" s="6">
        <v>3071</v>
      </c>
      <c r="K280" s="6">
        <v>3071</v>
      </c>
      <c r="L280" s="6">
        <v>0</v>
      </c>
      <c r="M280" s="6">
        <v>0</v>
      </c>
      <c r="N280" s="6">
        <v>0</v>
      </c>
      <c r="O280" s="6">
        <v>0</v>
      </c>
      <c r="P280" s="6">
        <v>15</v>
      </c>
      <c r="Q280" s="4" t="s">
        <v>26</v>
      </c>
      <c r="R280" s="4">
        <v>0</v>
      </c>
      <c r="S280" s="6">
        <v>13</v>
      </c>
      <c r="T280" s="6">
        <v>0</v>
      </c>
      <c r="U280" s="6">
        <v>0</v>
      </c>
      <c r="V280" s="6">
        <f>IF(ISERROR(VLOOKUP($S$280,'TAR FIN'!$A$1:$O$103,15,0)),0,VLOOKUP($S$280,'TAR FIN'!$A$1:$O$103,15,0))</f>
        <v>18.920000000000002</v>
      </c>
      <c r="W280" s="6">
        <f>IF(ISERROR(VLOOKUP($T$280,'TAR FIN'!$A$1:$O$103,15,0)),0,VLOOKUP($T$280,'TAR FIN'!$A$1:$O$103,15,0))</f>
        <v>0</v>
      </c>
      <c r="X280" s="6">
        <f>IF(ISERROR(VLOOKUP($U$280,'TAR FIN'!$A$1:$O$103,15,0)),0,VLOOKUP($U$280,'TAR FIN'!$A$1:$O$103,15,0))</f>
        <v>0</v>
      </c>
      <c r="Y280" s="6">
        <f ca="1">('TUSD BE'!$AM$22+'TUSD BF_350'!$AM$22+'TUSD CVA'!$AM$22)*1</f>
        <v>21.369338625624472</v>
      </c>
      <c r="Z280" s="6"/>
      <c r="AA280" s="6"/>
      <c r="AB280" s="6">
        <f>$K$280*$V$280</f>
        <v>58103.320000000007</v>
      </c>
      <c r="AC280" s="6">
        <f>$M$280*$W$280</f>
        <v>0</v>
      </c>
      <c r="AD280" s="6">
        <f>$O$280*$X$280</f>
        <v>0</v>
      </c>
      <c r="AE280" s="6">
        <f ca="1">$K$280*$Y$280</f>
        <v>65625.238919292751</v>
      </c>
      <c r="AF280" s="6">
        <f>$M$280*$Z$280</f>
        <v>0</v>
      </c>
      <c r="AG280" s="6">
        <f>$O$280*$AA$280</f>
        <v>0</v>
      </c>
    </row>
    <row r="281" spans="1:33" ht="11.25" customHeight="1" x14ac:dyDescent="0.3">
      <c r="A281" s="4" t="s">
        <v>28</v>
      </c>
      <c r="B281" s="4" t="s">
        <v>39</v>
      </c>
      <c r="C281" s="4" t="s">
        <v>40</v>
      </c>
      <c r="D281" s="4" t="s">
        <v>38</v>
      </c>
      <c r="E281" s="4" t="s">
        <v>25</v>
      </c>
      <c r="F281" s="4" t="s">
        <v>25</v>
      </c>
      <c r="G281" s="4" t="s">
        <v>25</v>
      </c>
      <c r="H281" s="4" t="s">
        <v>25</v>
      </c>
      <c r="I281" s="5">
        <v>44743</v>
      </c>
      <c r="J281" s="6">
        <v>209</v>
      </c>
      <c r="K281" s="6">
        <v>209</v>
      </c>
      <c r="L281" s="6">
        <v>0</v>
      </c>
      <c r="M281" s="6">
        <v>0</v>
      </c>
      <c r="N281" s="6">
        <v>0</v>
      </c>
      <c r="O281" s="6">
        <v>0</v>
      </c>
      <c r="P281" s="6">
        <v>2</v>
      </c>
      <c r="Q281" s="4" t="s">
        <v>26</v>
      </c>
      <c r="R281" s="4">
        <v>0</v>
      </c>
      <c r="S281" s="6">
        <v>13</v>
      </c>
      <c r="T281" s="6">
        <v>0</v>
      </c>
      <c r="U281" s="6">
        <v>0</v>
      </c>
      <c r="V281" s="6">
        <f>IF(ISERROR(VLOOKUP($S$281,'TAR FIN'!$A$1:$O$103,15,0)),0,VLOOKUP($S$281,'TAR FIN'!$A$1:$O$103,15,0))</f>
        <v>18.920000000000002</v>
      </c>
      <c r="W281" s="6">
        <f>IF(ISERROR(VLOOKUP($T$281,'TAR FIN'!$A$1:$O$103,15,0)),0,VLOOKUP($T$281,'TAR FIN'!$A$1:$O$103,15,0))</f>
        <v>0</v>
      </c>
      <c r="X281" s="6">
        <f>IF(ISERROR(VLOOKUP($U$281,'TAR FIN'!$A$1:$O$103,15,0)),0,VLOOKUP($U$281,'TAR FIN'!$A$1:$O$103,15,0))</f>
        <v>0</v>
      </c>
      <c r="Y281" s="6">
        <f ca="1">('TUSD BE'!$AM$22+'TUSD BF_350'!$AM$22+'TUSD CVA'!$AM$22)*1</f>
        <v>21.369338625624472</v>
      </c>
      <c r="Z281" s="6"/>
      <c r="AA281" s="6"/>
      <c r="AB281" s="6">
        <f>$K$281*$V$281</f>
        <v>3954.28</v>
      </c>
      <c r="AC281" s="6">
        <f>$M$281*$W$281</f>
        <v>0</v>
      </c>
      <c r="AD281" s="6">
        <f>$O$281*$X$281</f>
        <v>0</v>
      </c>
      <c r="AE281" s="6">
        <f ca="1">$K$281*$Y$281</f>
        <v>4466.1917727555146</v>
      </c>
      <c r="AF281" s="6">
        <f>$M$281*$Z$281</f>
        <v>0</v>
      </c>
      <c r="AG281" s="6">
        <f>$O$281*$AA$281</f>
        <v>0</v>
      </c>
    </row>
    <row r="282" spans="1:33" ht="11.25" customHeight="1" x14ac:dyDescent="0.3">
      <c r="A282" s="4" t="s">
        <v>21</v>
      </c>
      <c r="B282" s="4" t="s">
        <v>39</v>
      </c>
      <c r="C282" s="4" t="s">
        <v>40</v>
      </c>
      <c r="D282" s="4" t="s">
        <v>38</v>
      </c>
      <c r="E282" s="4" t="s">
        <v>25</v>
      </c>
      <c r="F282" s="4" t="s">
        <v>25</v>
      </c>
      <c r="G282" s="4" t="s">
        <v>25</v>
      </c>
      <c r="H282" s="4" t="s">
        <v>25</v>
      </c>
      <c r="I282" s="5">
        <v>44774</v>
      </c>
      <c r="J282" s="6">
        <v>4328</v>
      </c>
      <c r="K282" s="6">
        <v>4328</v>
      </c>
      <c r="L282" s="6">
        <v>0</v>
      </c>
      <c r="M282" s="6">
        <v>0</v>
      </c>
      <c r="N282" s="6">
        <v>0</v>
      </c>
      <c r="O282" s="6">
        <v>0</v>
      </c>
      <c r="P282" s="6">
        <v>15</v>
      </c>
      <c r="Q282" s="4" t="s">
        <v>26</v>
      </c>
      <c r="R282" s="4">
        <v>0</v>
      </c>
      <c r="S282" s="6">
        <v>13</v>
      </c>
      <c r="T282" s="6">
        <v>0</v>
      </c>
      <c r="U282" s="6">
        <v>0</v>
      </c>
      <c r="V282" s="6">
        <f>IF(ISERROR(VLOOKUP($S$282,'TAR FIN'!$A$1:$O$103,15,0)),0,VLOOKUP($S$282,'TAR FIN'!$A$1:$O$103,15,0))</f>
        <v>18.920000000000002</v>
      </c>
      <c r="W282" s="6">
        <f>IF(ISERROR(VLOOKUP($T$282,'TAR FIN'!$A$1:$O$103,15,0)),0,VLOOKUP($T$282,'TAR FIN'!$A$1:$O$103,15,0))</f>
        <v>0</v>
      </c>
      <c r="X282" s="6">
        <f>IF(ISERROR(VLOOKUP($U$282,'TAR FIN'!$A$1:$O$103,15,0)),0,VLOOKUP($U$282,'TAR FIN'!$A$1:$O$103,15,0))</f>
        <v>0</v>
      </c>
      <c r="Y282" s="6">
        <f ca="1">('TUSD BE'!$AM$22+'TUSD BF_350'!$AM$22+'TUSD CVA'!$AM$22)*1</f>
        <v>21.369338625624472</v>
      </c>
      <c r="Z282" s="6"/>
      <c r="AA282" s="6"/>
      <c r="AB282" s="6">
        <f>$K$282*$V$282</f>
        <v>81885.760000000009</v>
      </c>
      <c r="AC282" s="6">
        <f>$M$282*$W$282</f>
        <v>0</v>
      </c>
      <c r="AD282" s="6">
        <f>$O$282*$X$282</f>
        <v>0</v>
      </c>
      <c r="AE282" s="6">
        <f ca="1">$K$282*$Y$282</f>
        <v>92486.497571702712</v>
      </c>
      <c r="AF282" s="6">
        <f>$M$282*$Z$282</f>
        <v>0</v>
      </c>
      <c r="AG282" s="6">
        <f>$O$282*$AA$282</f>
        <v>0</v>
      </c>
    </row>
    <row r="283" spans="1:33" ht="11.25" customHeight="1" x14ac:dyDescent="0.3">
      <c r="A283" s="4" t="s">
        <v>28</v>
      </c>
      <c r="B283" s="4" t="s">
        <v>39</v>
      </c>
      <c r="C283" s="4" t="s">
        <v>40</v>
      </c>
      <c r="D283" s="4" t="s">
        <v>38</v>
      </c>
      <c r="E283" s="4" t="s">
        <v>25</v>
      </c>
      <c r="F283" s="4" t="s">
        <v>25</v>
      </c>
      <c r="G283" s="4" t="s">
        <v>25</v>
      </c>
      <c r="H283" s="4" t="s">
        <v>25</v>
      </c>
      <c r="I283" s="5">
        <v>44774</v>
      </c>
      <c r="J283" s="6">
        <v>209</v>
      </c>
      <c r="K283" s="6">
        <v>209</v>
      </c>
      <c r="L283" s="6">
        <v>0</v>
      </c>
      <c r="M283" s="6">
        <v>0</v>
      </c>
      <c r="N283" s="6">
        <v>0</v>
      </c>
      <c r="O283" s="6">
        <v>0</v>
      </c>
      <c r="P283" s="6">
        <v>2</v>
      </c>
      <c r="Q283" s="4" t="s">
        <v>26</v>
      </c>
      <c r="R283" s="4">
        <v>0</v>
      </c>
      <c r="S283" s="6">
        <v>13</v>
      </c>
      <c r="T283" s="6">
        <v>0</v>
      </c>
      <c r="U283" s="6">
        <v>0</v>
      </c>
      <c r="V283" s="6">
        <f>IF(ISERROR(VLOOKUP($S$283,'TAR FIN'!$A$1:$O$103,15,0)),0,VLOOKUP($S$283,'TAR FIN'!$A$1:$O$103,15,0))</f>
        <v>18.920000000000002</v>
      </c>
      <c r="W283" s="6">
        <f>IF(ISERROR(VLOOKUP($T$283,'TAR FIN'!$A$1:$O$103,15,0)),0,VLOOKUP($T$283,'TAR FIN'!$A$1:$O$103,15,0))</f>
        <v>0</v>
      </c>
      <c r="X283" s="6">
        <f>IF(ISERROR(VLOOKUP($U$283,'TAR FIN'!$A$1:$O$103,15,0)),0,VLOOKUP($U$283,'TAR FIN'!$A$1:$O$103,15,0))</f>
        <v>0</v>
      </c>
      <c r="Y283" s="6">
        <f ca="1">('TUSD BE'!$AM$22+'TUSD BF_350'!$AM$22+'TUSD CVA'!$AM$22)*1</f>
        <v>21.369338625624472</v>
      </c>
      <c r="Z283" s="6"/>
      <c r="AA283" s="6"/>
      <c r="AB283" s="6">
        <f>$K$283*$V$283</f>
        <v>3954.28</v>
      </c>
      <c r="AC283" s="6">
        <f>$M$283*$W$283</f>
        <v>0</v>
      </c>
      <c r="AD283" s="6">
        <f>$O$283*$X$283</f>
        <v>0</v>
      </c>
      <c r="AE283" s="6">
        <f ca="1">$K$283*$Y$283</f>
        <v>4466.1917727555146</v>
      </c>
      <c r="AF283" s="6">
        <f>$M$283*$Z$283</f>
        <v>0</v>
      </c>
      <c r="AG283" s="6">
        <f>$O$283*$AA$283</f>
        <v>0</v>
      </c>
    </row>
    <row r="284" spans="1:33" ht="11.25" customHeight="1" x14ac:dyDescent="0.3">
      <c r="A284" s="4" t="s">
        <v>21</v>
      </c>
      <c r="B284" s="4" t="s">
        <v>39</v>
      </c>
      <c r="C284" s="4" t="s">
        <v>40</v>
      </c>
      <c r="D284" s="4" t="s">
        <v>38</v>
      </c>
      <c r="E284" s="4" t="s">
        <v>25</v>
      </c>
      <c r="F284" s="4" t="s">
        <v>25</v>
      </c>
      <c r="G284" s="4" t="s">
        <v>25</v>
      </c>
      <c r="H284" s="4" t="s">
        <v>25</v>
      </c>
      <c r="I284" s="5">
        <v>44805</v>
      </c>
      <c r="J284" s="6">
        <v>4550</v>
      </c>
      <c r="K284" s="6">
        <v>4550</v>
      </c>
      <c r="L284" s="6">
        <v>0</v>
      </c>
      <c r="M284" s="6">
        <v>0</v>
      </c>
      <c r="N284" s="6">
        <v>0</v>
      </c>
      <c r="O284" s="6">
        <v>0</v>
      </c>
      <c r="P284" s="6">
        <v>16</v>
      </c>
      <c r="Q284" s="4" t="s">
        <v>26</v>
      </c>
      <c r="R284" s="4">
        <v>0</v>
      </c>
      <c r="S284" s="6">
        <v>13</v>
      </c>
      <c r="T284" s="6">
        <v>0</v>
      </c>
      <c r="U284" s="6">
        <v>0</v>
      </c>
      <c r="V284" s="6">
        <f>IF(ISERROR(VLOOKUP($S$284,'TAR FIN'!$A$1:$O$103,15,0)),0,VLOOKUP($S$284,'TAR FIN'!$A$1:$O$103,15,0))</f>
        <v>18.920000000000002</v>
      </c>
      <c r="W284" s="6">
        <f>IF(ISERROR(VLOOKUP($T$284,'TAR FIN'!$A$1:$O$103,15,0)),0,VLOOKUP($T$284,'TAR FIN'!$A$1:$O$103,15,0))</f>
        <v>0</v>
      </c>
      <c r="X284" s="6">
        <f>IF(ISERROR(VLOOKUP($U$284,'TAR FIN'!$A$1:$O$103,15,0)),0,VLOOKUP($U$284,'TAR FIN'!$A$1:$O$103,15,0))</f>
        <v>0</v>
      </c>
      <c r="Y284" s="6">
        <f ca="1">('TUSD BE'!$AM$22+'TUSD BF_350'!$AM$22+'TUSD CVA'!$AM$22)*1</f>
        <v>21.369338625624472</v>
      </c>
      <c r="Z284" s="6"/>
      <c r="AA284" s="6"/>
      <c r="AB284" s="6">
        <f>$K$284*$V$284</f>
        <v>86086.000000000015</v>
      </c>
      <c r="AC284" s="6">
        <f>$M$284*$W$284</f>
        <v>0</v>
      </c>
      <c r="AD284" s="6">
        <f>$O$284*$X$284</f>
        <v>0</v>
      </c>
      <c r="AE284" s="6">
        <f ca="1">$K$284*$Y$284</f>
        <v>97230.490746591342</v>
      </c>
      <c r="AF284" s="6">
        <f>$M$284*$Z$284</f>
        <v>0</v>
      </c>
      <c r="AG284" s="6">
        <f>$O$284*$AA$284</f>
        <v>0</v>
      </c>
    </row>
    <row r="285" spans="1:33" ht="11.25" customHeight="1" x14ac:dyDescent="0.3">
      <c r="A285" s="4" t="s">
        <v>28</v>
      </c>
      <c r="B285" s="4" t="s">
        <v>39</v>
      </c>
      <c r="C285" s="4" t="s">
        <v>40</v>
      </c>
      <c r="D285" s="4" t="s">
        <v>38</v>
      </c>
      <c r="E285" s="4" t="s">
        <v>25</v>
      </c>
      <c r="F285" s="4" t="s">
        <v>25</v>
      </c>
      <c r="G285" s="4" t="s">
        <v>25</v>
      </c>
      <c r="H285" s="4" t="s">
        <v>25</v>
      </c>
      <c r="I285" s="5">
        <v>44805</v>
      </c>
      <c r="J285" s="6">
        <v>209</v>
      </c>
      <c r="K285" s="6">
        <v>209</v>
      </c>
      <c r="L285" s="6">
        <v>0</v>
      </c>
      <c r="M285" s="6">
        <v>0</v>
      </c>
      <c r="N285" s="6">
        <v>0</v>
      </c>
      <c r="O285" s="6">
        <v>0</v>
      </c>
      <c r="P285" s="6">
        <v>2</v>
      </c>
      <c r="Q285" s="4" t="s">
        <v>26</v>
      </c>
      <c r="R285" s="4">
        <v>0</v>
      </c>
      <c r="S285" s="6">
        <v>13</v>
      </c>
      <c r="T285" s="6">
        <v>0</v>
      </c>
      <c r="U285" s="6">
        <v>0</v>
      </c>
      <c r="V285" s="6">
        <f>IF(ISERROR(VLOOKUP($S$285,'TAR FIN'!$A$1:$O$103,15,0)),0,VLOOKUP($S$285,'TAR FIN'!$A$1:$O$103,15,0))</f>
        <v>18.920000000000002</v>
      </c>
      <c r="W285" s="6">
        <f>IF(ISERROR(VLOOKUP($T$285,'TAR FIN'!$A$1:$O$103,15,0)),0,VLOOKUP($T$285,'TAR FIN'!$A$1:$O$103,15,0))</f>
        <v>0</v>
      </c>
      <c r="X285" s="6">
        <f>IF(ISERROR(VLOOKUP($U$285,'TAR FIN'!$A$1:$O$103,15,0)),0,VLOOKUP($U$285,'TAR FIN'!$A$1:$O$103,15,0))</f>
        <v>0</v>
      </c>
      <c r="Y285" s="6">
        <f ca="1">('TUSD BE'!$AM$22+'TUSD BF_350'!$AM$22+'TUSD CVA'!$AM$22)*1</f>
        <v>21.369338625624472</v>
      </c>
      <c r="Z285" s="6"/>
      <c r="AA285" s="6"/>
      <c r="AB285" s="6">
        <f>$K$285*$V$285</f>
        <v>3954.28</v>
      </c>
      <c r="AC285" s="6">
        <f>$M$285*$W$285</f>
        <v>0</v>
      </c>
      <c r="AD285" s="6">
        <f>$O$285*$X$285</f>
        <v>0</v>
      </c>
      <c r="AE285" s="6">
        <f ca="1">$K$285*$Y$285</f>
        <v>4466.1917727555146</v>
      </c>
      <c r="AF285" s="6">
        <f>$M$285*$Z$285</f>
        <v>0</v>
      </c>
      <c r="AG285" s="6">
        <f>$O$285*$AA$285</f>
        <v>0</v>
      </c>
    </row>
    <row r="286" spans="1:33" ht="11.25" customHeight="1" x14ac:dyDescent="0.3">
      <c r="A286" s="4" t="s">
        <v>57</v>
      </c>
      <c r="B286" s="4" t="s">
        <v>39</v>
      </c>
      <c r="C286" s="4" t="s">
        <v>40</v>
      </c>
      <c r="D286" s="4" t="s">
        <v>38</v>
      </c>
      <c r="E286" s="4" t="s">
        <v>25</v>
      </c>
      <c r="F286" s="4" t="s">
        <v>25</v>
      </c>
      <c r="G286" s="4" t="s">
        <v>25</v>
      </c>
      <c r="H286" s="4" t="s">
        <v>25</v>
      </c>
      <c r="I286" s="5">
        <v>44835</v>
      </c>
      <c r="J286" s="6">
        <v>4550</v>
      </c>
      <c r="K286" s="6">
        <v>4550</v>
      </c>
      <c r="L286" s="6">
        <v>0</v>
      </c>
      <c r="M286" s="6">
        <v>0</v>
      </c>
      <c r="N286" s="6">
        <v>0</v>
      </c>
      <c r="O286" s="6">
        <v>0</v>
      </c>
      <c r="P286" s="6">
        <v>16</v>
      </c>
      <c r="Q286" s="4" t="s">
        <v>26</v>
      </c>
      <c r="R286" s="4">
        <v>0</v>
      </c>
      <c r="S286" s="6">
        <v>13</v>
      </c>
      <c r="T286" s="6">
        <v>0</v>
      </c>
      <c r="U286" s="6">
        <v>0</v>
      </c>
      <c r="V286" s="6">
        <f>IF(ISERROR(VLOOKUP($S$286,'TAR FIN'!$A$1:$O$103,15,0)),0,VLOOKUP($S$286,'TAR FIN'!$A$1:$O$103,15,0))</f>
        <v>18.920000000000002</v>
      </c>
      <c r="W286" s="6">
        <f>IF(ISERROR(VLOOKUP($T$286,'TAR FIN'!$A$1:$O$103,15,0)),0,VLOOKUP($T$286,'TAR FIN'!$A$1:$O$103,15,0))</f>
        <v>0</v>
      </c>
      <c r="X286" s="6">
        <f>IF(ISERROR(VLOOKUP($U$286,'TAR FIN'!$A$1:$O$103,15,0)),0,VLOOKUP($U$286,'TAR FIN'!$A$1:$O$103,15,0))</f>
        <v>0</v>
      </c>
      <c r="Y286" s="6">
        <f ca="1">('TUSD BE'!$AM$22+'TUSD BF_350'!$AM$22+'TUSD CVA'!$AM$22)*1</f>
        <v>21.369338625624472</v>
      </c>
      <c r="Z286" s="6"/>
      <c r="AA286" s="6"/>
      <c r="AB286" s="6">
        <f>$K$286*$V$286</f>
        <v>86086.000000000015</v>
      </c>
      <c r="AC286" s="6">
        <f>$M$286*$W$286</f>
        <v>0</v>
      </c>
      <c r="AD286" s="6">
        <f>$O$286*$X$286</f>
        <v>0</v>
      </c>
      <c r="AE286" s="6">
        <f ca="1">$K$286*$Y$286</f>
        <v>97230.490746591342</v>
      </c>
      <c r="AF286" s="6">
        <f>$M$286*$Z$286</f>
        <v>0</v>
      </c>
      <c r="AG286" s="6">
        <f>$O$286*$AA$286</f>
        <v>0</v>
      </c>
    </row>
    <row r="287" spans="1:33" ht="11.25" customHeight="1" x14ac:dyDescent="0.3">
      <c r="A287" s="4" t="s">
        <v>57</v>
      </c>
      <c r="B287" s="4" t="s">
        <v>39</v>
      </c>
      <c r="C287" s="4" t="s">
        <v>40</v>
      </c>
      <c r="D287" s="4" t="s">
        <v>38</v>
      </c>
      <c r="E287" s="4" t="s">
        <v>25</v>
      </c>
      <c r="F287" s="4" t="s">
        <v>25</v>
      </c>
      <c r="G287" s="4" t="s">
        <v>25</v>
      </c>
      <c r="H287" s="4" t="s">
        <v>25</v>
      </c>
      <c r="I287" s="5">
        <v>44835</v>
      </c>
      <c r="J287" s="6">
        <v>209</v>
      </c>
      <c r="K287" s="6">
        <v>209</v>
      </c>
      <c r="L287" s="6">
        <v>0</v>
      </c>
      <c r="M287" s="6">
        <v>0</v>
      </c>
      <c r="N287" s="6">
        <v>0</v>
      </c>
      <c r="O287" s="6">
        <v>0</v>
      </c>
      <c r="P287" s="6">
        <v>2</v>
      </c>
      <c r="Q287" s="4" t="s">
        <v>26</v>
      </c>
      <c r="R287" s="4">
        <v>0</v>
      </c>
      <c r="S287" s="6">
        <v>13</v>
      </c>
      <c r="T287" s="6">
        <v>0</v>
      </c>
      <c r="U287" s="6">
        <v>0</v>
      </c>
      <c r="V287" s="6">
        <f>IF(ISERROR(VLOOKUP($S$287,'TAR FIN'!$A$1:$O$103,15,0)),0,VLOOKUP($S$287,'TAR FIN'!$A$1:$O$103,15,0))</f>
        <v>18.920000000000002</v>
      </c>
      <c r="W287" s="6">
        <f>IF(ISERROR(VLOOKUP($T$287,'TAR FIN'!$A$1:$O$103,15,0)),0,VLOOKUP($T$287,'TAR FIN'!$A$1:$O$103,15,0))</f>
        <v>0</v>
      </c>
      <c r="X287" s="6">
        <f>IF(ISERROR(VLOOKUP($U$287,'TAR FIN'!$A$1:$O$103,15,0)),0,VLOOKUP($U$287,'TAR FIN'!$A$1:$O$103,15,0))</f>
        <v>0</v>
      </c>
      <c r="Y287" s="6">
        <f ca="1">('TUSD BE'!$AM$22+'TUSD BF_350'!$AM$22+'TUSD CVA'!$AM$22)*1</f>
        <v>21.369338625624472</v>
      </c>
      <c r="Z287" s="6"/>
      <c r="AA287" s="6"/>
      <c r="AB287" s="6">
        <f>$K$287*$V$287</f>
        <v>3954.28</v>
      </c>
      <c r="AC287" s="6">
        <f>$M$287*$W$287</f>
        <v>0</v>
      </c>
      <c r="AD287" s="6">
        <f>$O$287*$X$287</f>
        <v>0</v>
      </c>
      <c r="AE287" s="6">
        <f ca="1">$K$287*$Y$287</f>
        <v>4466.1917727555146</v>
      </c>
      <c r="AF287" s="6">
        <f>$M$287*$Z$287</f>
        <v>0</v>
      </c>
      <c r="AG287" s="6">
        <f>$O$287*$AA$287</f>
        <v>0</v>
      </c>
    </row>
    <row r="288" spans="1:33" ht="11.25" customHeight="1" x14ac:dyDescent="0.3">
      <c r="A288" s="4" t="s">
        <v>21</v>
      </c>
      <c r="B288" s="4" t="s">
        <v>39</v>
      </c>
      <c r="C288" s="4" t="s">
        <v>40</v>
      </c>
      <c r="D288" s="4" t="s">
        <v>38</v>
      </c>
      <c r="E288" s="4" t="s">
        <v>25</v>
      </c>
      <c r="F288" s="4" t="s">
        <v>25</v>
      </c>
      <c r="G288" s="4" t="s">
        <v>25</v>
      </c>
      <c r="H288" s="4" t="s">
        <v>34</v>
      </c>
      <c r="I288" s="5">
        <v>44501</v>
      </c>
      <c r="J288" s="6">
        <v>0</v>
      </c>
      <c r="K288" s="6">
        <v>0</v>
      </c>
      <c r="L288" s="6">
        <v>32.292999999999999</v>
      </c>
      <c r="M288" s="6">
        <v>32.292999999999999</v>
      </c>
      <c r="N288" s="6">
        <v>32.292999999999999</v>
      </c>
      <c r="O288" s="6">
        <v>32.292999999999999</v>
      </c>
      <c r="P288" s="6">
        <v>0</v>
      </c>
      <c r="Q288" s="4" t="s">
        <v>26</v>
      </c>
      <c r="R288" s="4">
        <v>0</v>
      </c>
      <c r="S288" s="6">
        <v>0</v>
      </c>
      <c r="T288" s="6">
        <v>15</v>
      </c>
      <c r="U288" s="6">
        <v>65</v>
      </c>
      <c r="V288" s="6">
        <f>IF(ISERROR(VLOOKUP($S$288,'TAR FIN'!$A$1:$O$103,15,0)),0,VLOOKUP($S$288,'TAR FIN'!$A$1:$O$103,15,0))</f>
        <v>0</v>
      </c>
      <c r="W288" s="6">
        <f>IF(ISERROR(VLOOKUP($T$288,'TAR FIN'!$A$1:$O$103,15,0)),0,VLOOKUP($T$288,'TAR FIN'!$A$1:$O$103,15,0))</f>
        <v>1195.82</v>
      </c>
      <c r="X288" s="6">
        <f>IF(ISERROR(VLOOKUP($U$288,'TAR FIN'!$A$1:$O$103,15,0)),0,VLOOKUP($U$288,'TAR FIN'!$A$1:$O$103,15,0))</f>
        <v>391.54</v>
      </c>
      <c r="Y288" s="6"/>
      <c r="Z288" s="6">
        <f ca="1">('TUSD BE'!$AM$23+'TUSD BF_350'!$AM$23+'TUSD CVA'!$AM$23)*1</f>
        <v>1385.4977743340116</v>
      </c>
      <c r="AA288" s="6">
        <f ca="1">('TE BE'!$AB$8+'TE BF_350'!$AB$8+'TE CVA'!$AB$8)*1</f>
        <v>361.95264704220779</v>
      </c>
      <c r="AB288" s="6">
        <f>$K$288*$V$288</f>
        <v>0</v>
      </c>
      <c r="AC288" s="6">
        <f>$M$288*$W$288</f>
        <v>38616.615259999999</v>
      </c>
      <c r="AD288" s="6">
        <f>$O$288*$X$288</f>
        <v>12644.00122</v>
      </c>
      <c r="AE288" s="6">
        <f>$K$288*$Y$288</f>
        <v>0</v>
      </c>
      <c r="AF288" s="6">
        <f ca="1">$M$288*$Z$288</f>
        <v>44741.879626568239</v>
      </c>
      <c r="AG288" s="6">
        <f ca="1">$O$288*$AA$288</f>
        <v>11688.536830934016</v>
      </c>
    </row>
    <row r="289" spans="1:33" ht="11.25" customHeight="1" x14ac:dyDescent="0.3">
      <c r="A289" s="4" t="s">
        <v>28</v>
      </c>
      <c r="B289" s="4" t="s">
        <v>39</v>
      </c>
      <c r="C289" s="4" t="s">
        <v>40</v>
      </c>
      <c r="D289" s="4" t="s">
        <v>38</v>
      </c>
      <c r="E289" s="4" t="s">
        <v>25</v>
      </c>
      <c r="F289" s="4" t="s">
        <v>25</v>
      </c>
      <c r="G289" s="4" t="s">
        <v>25</v>
      </c>
      <c r="H289" s="4" t="s">
        <v>34</v>
      </c>
      <c r="I289" s="5">
        <v>44501</v>
      </c>
      <c r="J289" s="6">
        <v>0</v>
      </c>
      <c r="K289" s="6">
        <v>0</v>
      </c>
      <c r="L289" s="6">
        <v>2.3E-2</v>
      </c>
      <c r="M289" s="6">
        <v>2.3E-2</v>
      </c>
      <c r="N289" s="6">
        <v>2.3E-2</v>
      </c>
      <c r="O289" s="6">
        <v>2.3E-2</v>
      </c>
      <c r="P289" s="6">
        <v>0</v>
      </c>
      <c r="Q289" s="4" t="s">
        <v>26</v>
      </c>
      <c r="R289" s="4">
        <v>0</v>
      </c>
      <c r="S289" s="6">
        <v>0</v>
      </c>
      <c r="T289" s="6">
        <v>15</v>
      </c>
      <c r="U289" s="6">
        <v>65</v>
      </c>
      <c r="V289" s="6">
        <f>IF(ISERROR(VLOOKUP($S$289,'TAR FIN'!$A$1:$O$103,15,0)),0,VLOOKUP($S$289,'TAR FIN'!$A$1:$O$103,15,0))</f>
        <v>0</v>
      </c>
      <c r="W289" s="6">
        <f>IF(ISERROR(VLOOKUP($T$289,'TAR FIN'!$A$1:$O$103,15,0)),0,VLOOKUP($T$289,'TAR FIN'!$A$1:$O$103,15,0))</f>
        <v>1195.82</v>
      </c>
      <c r="X289" s="6">
        <f>IF(ISERROR(VLOOKUP($U$289,'TAR FIN'!$A$1:$O$103,15,0)),0,VLOOKUP($U$289,'TAR FIN'!$A$1:$O$103,15,0))</f>
        <v>391.54</v>
      </c>
      <c r="Y289" s="6"/>
      <c r="Z289" s="6">
        <f ca="1">('TUSD BE'!$AM$23+'TUSD BF_350'!$AM$23+'TUSD CVA'!$AM$23)*1</f>
        <v>1385.4977743340116</v>
      </c>
      <c r="AA289" s="6">
        <f ca="1">('TE BE'!$AB$8+'TE BF_350'!$AB$8+'TE CVA'!$AB$8)*1</f>
        <v>361.95264704220779</v>
      </c>
      <c r="AB289" s="6">
        <f>$K$289*$V$289</f>
        <v>0</v>
      </c>
      <c r="AC289" s="6">
        <f>$M$289*$W$289</f>
        <v>27.50386</v>
      </c>
      <c r="AD289" s="6">
        <f>$O$289*$X$289</f>
        <v>9.0054200000000009</v>
      </c>
      <c r="AE289" s="6">
        <f>$K$289*$Y$289</f>
        <v>0</v>
      </c>
      <c r="AF289" s="6">
        <f ca="1">$M$289*$Z$289</f>
        <v>31.866448809682268</v>
      </c>
      <c r="AG289" s="6">
        <f ca="1">$O$289*$AA$289</f>
        <v>8.3249108819707782</v>
      </c>
    </row>
    <row r="290" spans="1:33" ht="11.25" customHeight="1" x14ac:dyDescent="0.3">
      <c r="A290" s="4" t="s">
        <v>21</v>
      </c>
      <c r="B290" s="4" t="s">
        <v>39</v>
      </c>
      <c r="C290" s="4" t="s">
        <v>40</v>
      </c>
      <c r="D290" s="4" t="s">
        <v>38</v>
      </c>
      <c r="E290" s="4" t="s">
        <v>25</v>
      </c>
      <c r="F290" s="4" t="s">
        <v>25</v>
      </c>
      <c r="G290" s="4" t="s">
        <v>25</v>
      </c>
      <c r="H290" s="4" t="s">
        <v>34</v>
      </c>
      <c r="I290" s="5">
        <v>44531</v>
      </c>
      <c r="J290" s="6">
        <v>0</v>
      </c>
      <c r="K290" s="6">
        <v>0</v>
      </c>
      <c r="L290" s="6">
        <v>28.228000000000002</v>
      </c>
      <c r="M290" s="6">
        <v>28.228000000000002</v>
      </c>
      <c r="N290" s="6">
        <v>28.228000000000002</v>
      </c>
      <c r="O290" s="6">
        <v>28.228000000000002</v>
      </c>
      <c r="P290" s="6">
        <v>0</v>
      </c>
      <c r="Q290" s="4" t="s">
        <v>26</v>
      </c>
      <c r="R290" s="4">
        <v>0</v>
      </c>
      <c r="S290" s="6">
        <v>0</v>
      </c>
      <c r="T290" s="6">
        <v>15</v>
      </c>
      <c r="U290" s="6">
        <v>65</v>
      </c>
      <c r="V290" s="6">
        <f>IF(ISERROR(VLOOKUP($S$290,'TAR FIN'!$A$1:$O$103,15,0)),0,VLOOKUP($S$290,'TAR FIN'!$A$1:$O$103,15,0))</f>
        <v>0</v>
      </c>
      <c r="W290" s="6">
        <f>IF(ISERROR(VLOOKUP($T$290,'TAR FIN'!$A$1:$O$103,15,0)),0,VLOOKUP($T$290,'TAR FIN'!$A$1:$O$103,15,0))</f>
        <v>1195.82</v>
      </c>
      <c r="X290" s="6">
        <f>IF(ISERROR(VLOOKUP($U$290,'TAR FIN'!$A$1:$O$103,15,0)),0,VLOOKUP($U$290,'TAR FIN'!$A$1:$O$103,15,0))</f>
        <v>391.54</v>
      </c>
      <c r="Y290" s="6"/>
      <c r="Z290" s="6">
        <f ca="1">('TUSD BE'!$AM$23+'TUSD BF_350'!$AM$23+'TUSD CVA'!$AM$23)*1</f>
        <v>1385.4977743340116</v>
      </c>
      <c r="AA290" s="6">
        <f ca="1">('TE BE'!$AB$8+'TE BF_350'!$AB$8+'TE CVA'!$AB$8)*1</f>
        <v>361.95264704220779</v>
      </c>
      <c r="AB290" s="6">
        <f>$K$290*$V$290</f>
        <v>0</v>
      </c>
      <c r="AC290" s="6">
        <f>$M$290*$W$290</f>
        <v>33755.606959999997</v>
      </c>
      <c r="AD290" s="6">
        <f>$O$290*$X$290</f>
        <v>11052.391120000002</v>
      </c>
      <c r="AE290" s="6">
        <f>$K$290*$Y$290</f>
        <v>0</v>
      </c>
      <c r="AF290" s="6">
        <f ca="1">$M$290*$Z$290</f>
        <v>39109.831173900486</v>
      </c>
      <c r="AG290" s="6">
        <f ca="1">$O$290*$AA$290</f>
        <v>10217.199320707441</v>
      </c>
    </row>
    <row r="291" spans="1:33" ht="11.25" customHeight="1" x14ac:dyDescent="0.3">
      <c r="A291" s="4" t="s">
        <v>28</v>
      </c>
      <c r="B291" s="4" t="s">
        <v>39</v>
      </c>
      <c r="C291" s="4" t="s">
        <v>40</v>
      </c>
      <c r="D291" s="4" t="s">
        <v>38</v>
      </c>
      <c r="E291" s="4" t="s">
        <v>25</v>
      </c>
      <c r="F291" s="4" t="s">
        <v>25</v>
      </c>
      <c r="G291" s="4" t="s">
        <v>25</v>
      </c>
      <c r="H291" s="4" t="s">
        <v>34</v>
      </c>
      <c r="I291" s="5">
        <v>44531</v>
      </c>
      <c r="J291" s="6">
        <v>0</v>
      </c>
      <c r="K291" s="6">
        <v>0</v>
      </c>
      <c r="L291" s="6">
        <v>2.5000000000000001E-2</v>
      </c>
      <c r="M291" s="6">
        <v>2.5000000000000001E-2</v>
      </c>
      <c r="N291" s="6">
        <v>2.5000000000000001E-2</v>
      </c>
      <c r="O291" s="6">
        <v>2.5000000000000001E-2</v>
      </c>
      <c r="P291" s="6">
        <v>0</v>
      </c>
      <c r="Q291" s="4" t="s">
        <v>26</v>
      </c>
      <c r="R291" s="4">
        <v>0</v>
      </c>
      <c r="S291" s="6">
        <v>0</v>
      </c>
      <c r="T291" s="6">
        <v>15</v>
      </c>
      <c r="U291" s="6">
        <v>65</v>
      </c>
      <c r="V291" s="6">
        <f>IF(ISERROR(VLOOKUP($S$291,'TAR FIN'!$A$1:$O$103,15,0)),0,VLOOKUP($S$291,'TAR FIN'!$A$1:$O$103,15,0))</f>
        <v>0</v>
      </c>
      <c r="W291" s="6">
        <f>IF(ISERROR(VLOOKUP($T$291,'TAR FIN'!$A$1:$O$103,15,0)),0,VLOOKUP($T$291,'TAR FIN'!$A$1:$O$103,15,0))</f>
        <v>1195.82</v>
      </c>
      <c r="X291" s="6">
        <f>IF(ISERROR(VLOOKUP($U$291,'TAR FIN'!$A$1:$O$103,15,0)),0,VLOOKUP($U$291,'TAR FIN'!$A$1:$O$103,15,0))</f>
        <v>391.54</v>
      </c>
      <c r="Y291" s="6"/>
      <c r="Z291" s="6">
        <f ca="1">('TUSD BE'!$AM$23+'TUSD BF_350'!$AM$23+'TUSD CVA'!$AM$23)*1</f>
        <v>1385.4977743340116</v>
      </c>
      <c r="AA291" s="6">
        <f ca="1">('TE BE'!$AB$8+'TE BF_350'!$AB$8+'TE CVA'!$AB$8)*1</f>
        <v>361.95264704220779</v>
      </c>
      <c r="AB291" s="6">
        <f>$K$291*$V$291</f>
        <v>0</v>
      </c>
      <c r="AC291" s="6">
        <f>$M$291*$W$291</f>
        <v>29.895499999999998</v>
      </c>
      <c r="AD291" s="6">
        <f>$O$291*$X$291</f>
        <v>9.7885000000000009</v>
      </c>
      <c r="AE291" s="6">
        <f>$K$291*$Y$291</f>
        <v>0</v>
      </c>
      <c r="AF291" s="6">
        <f ca="1">$M$291*$Z$291</f>
        <v>34.637444358350294</v>
      </c>
      <c r="AG291" s="6">
        <f ca="1">$O$291*$AA$291</f>
        <v>9.0488161760551957</v>
      </c>
    </row>
    <row r="292" spans="1:33" ht="11.25" customHeight="1" x14ac:dyDescent="0.3">
      <c r="A292" s="4" t="s">
        <v>21</v>
      </c>
      <c r="B292" s="4" t="s">
        <v>39</v>
      </c>
      <c r="C292" s="4" t="s">
        <v>40</v>
      </c>
      <c r="D292" s="4" t="s">
        <v>38</v>
      </c>
      <c r="E292" s="4" t="s">
        <v>25</v>
      </c>
      <c r="F292" s="4" t="s">
        <v>25</v>
      </c>
      <c r="G292" s="4" t="s">
        <v>25</v>
      </c>
      <c r="H292" s="4" t="s">
        <v>34</v>
      </c>
      <c r="I292" s="5">
        <v>44562</v>
      </c>
      <c r="J292" s="6">
        <v>0</v>
      </c>
      <c r="K292" s="6">
        <v>0</v>
      </c>
      <c r="L292" s="6">
        <v>25.013999999999999</v>
      </c>
      <c r="M292" s="6">
        <v>25.013999999999999</v>
      </c>
      <c r="N292" s="6">
        <v>25.013999999999999</v>
      </c>
      <c r="O292" s="6">
        <v>25.013999999999999</v>
      </c>
      <c r="P292" s="6">
        <v>0</v>
      </c>
      <c r="Q292" s="4" t="s">
        <v>26</v>
      </c>
      <c r="R292" s="4">
        <v>0</v>
      </c>
      <c r="S292" s="6">
        <v>0</v>
      </c>
      <c r="T292" s="6">
        <v>15</v>
      </c>
      <c r="U292" s="6">
        <v>65</v>
      </c>
      <c r="V292" s="6">
        <f>IF(ISERROR(VLOOKUP($S$292,'TAR FIN'!$A$1:$O$103,15,0)),0,VLOOKUP($S$292,'TAR FIN'!$A$1:$O$103,15,0))</f>
        <v>0</v>
      </c>
      <c r="W292" s="6">
        <f>IF(ISERROR(VLOOKUP($T$292,'TAR FIN'!$A$1:$O$103,15,0)),0,VLOOKUP($T$292,'TAR FIN'!$A$1:$O$103,15,0))</f>
        <v>1195.82</v>
      </c>
      <c r="X292" s="6">
        <f>IF(ISERROR(VLOOKUP($U$292,'TAR FIN'!$A$1:$O$103,15,0)),0,VLOOKUP($U$292,'TAR FIN'!$A$1:$O$103,15,0))</f>
        <v>391.54</v>
      </c>
      <c r="Y292" s="6"/>
      <c r="Z292" s="6">
        <f ca="1">('TUSD BE'!$AM$23+'TUSD BF_350'!$AM$23+'TUSD CVA'!$AM$23)*1</f>
        <v>1385.4977743340116</v>
      </c>
      <c r="AA292" s="6">
        <f ca="1">('TE BE'!$AB$8+'TE BF_350'!$AB$8+'TE CVA'!$AB$8)*1</f>
        <v>361.95264704220779</v>
      </c>
      <c r="AB292" s="6">
        <f>$K$292*$V$292</f>
        <v>0</v>
      </c>
      <c r="AC292" s="6">
        <f>$M$292*$W$292</f>
        <v>29912.241479999997</v>
      </c>
      <c r="AD292" s="6">
        <f>$O$292*$X$292</f>
        <v>9793.9815600000002</v>
      </c>
      <c r="AE292" s="6">
        <f>$K$292*$Y$292</f>
        <v>0</v>
      </c>
      <c r="AF292" s="6">
        <f ca="1">$M$292*$Z$292</f>
        <v>34656.841327190967</v>
      </c>
      <c r="AG292" s="6">
        <f ca="1">$O$292*$AA$292</f>
        <v>9053.8835131137857</v>
      </c>
    </row>
    <row r="293" spans="1:33" ht="11.25" customHeight="1" x14ac:dyDescent="0.3">
      <c r="A293" s="4" t="s">
        <v>28</v>
      </c>
      <c r="B293" s="4" t="s">
        <v>39</v>
      </c>
      <c r="C293" s="4" t="s">
        <v>40</v>
      </c>
      <c r="D293" s="4" t="s">
        <v>38</v>
      </c>
      <c r="E293" s="4" t="s">
        <v>25</v>
      </c>
      <c r="F293" s="4" t="s">
        <v>25</v>
      </c>
      <c r="G293" s="4" t="s">
        <v>25</v>
      </c>
      <c r="H293" s="4" t="s">
        <v>34</v>
      </c>
      <c r="I293" s="5">
        <v>44562</v>
      </c>
      <c r="J293" s="6">
        <v>0</v>
      </c>
      <c r="K293" s="6">
        <v>0</v>
      </c>
      <c r="L293" s="6">
        <v>3.1E-2</v>
      </c>
      <c r="M293" s="6">
        <v>3.1E-2</v>
      </c>
      <c r="N293" s="6">
        <v>3.1E-2</v>
      </c>
      <c r="O293" s="6">
        <v>3.1E-2</v>
      </c>
      <c r="P293" s="6">
        <v>0</v>
      </c>
      <c r="Q293" s="4" t="s">
        <v>26</v>
      </c>
      <c r="R293" s="4">
        <v>0</v>
      </c>
      <c r="S293" s="6">
        <v>0</v>
      </c>
      <c r="T293" s="6">
        <v>15</v>
      </c>
      <c r="U293" s="6">
        <v>65</v>
      </c>
      <c r="V293" s="6">
        <f>IF(ISERROR(VLOOKUP($S$293,'TAR FIN'!$A$1:$O$103,15,0)),0,VLOOKUP($S$293,'TAR FIN'!$A$1:$O$103,15,0))</f>
        <v>0</v>
      </c>
      <c r="W293" s="6">
        <f>IF(ISERROR(VLOOKUP($T$293,'TAR FIN'!$A$1:$O$103,15,0)),0,VLOOKUP($T$293,'TAR FIN'!$A$1:$O$103,15,0))</f>
        <v>1195.82</v>
      </c>
      <c r="X293" s="6">
        <f>IF(ISERROR(VLOOKUP($U$293,'TAR FIN'!$A$1:$O$103,15,0)),0,VLOOKUP($U$293,'TAR FIN'!$A$1:$O$103,15,0))</f>
        <v>391.54</v>
      </c>
      <c r="Y293" s="6"/>
      <c r="Z293" s="6">
        <f ca="1">('TUSD BE'!$AM$23+'TUSD BF_350'!$AM$23+'TUSD CVA'!$AM$23)*1</f>
        <v>1385.4977743340116</v>
      </c>
      <c r="AA293" s="6">
        <f ca="1">('TE BE'!$AB$8+'TE BF_350'!$AB$8+'TE CVA'!$AB$8)*1</f>
        <v>361.95264704220779</v>
      </c>
      <c r="AB293" s="6">
        <f>$K$293*$V$293</f>
        <v>0</v>
      </c>
      <c r="AC293" s="6">
        <f>$M$293*$W$293</f>
        <v>37.070419999999999</v>
      </c>
      <c r="AD293" s="6">
        <f>$O$293*$X$293</f>
        <v>12.137740000000001</v>
      </c>
      <c r="AE293" s="6">
        <f>$K$293*$Y$293</f>
        <v>0</v>
      </c>
      <c r="AF293" s="6">
        <f ca="1">$M$293*$Z$293</f>
        <v>42.950431004354364</v>
      </c>
      <c r="AG293" s="6">
        <f ca="1">$O$293*$AA$293</f>
        <v>11.220532058308441</v>
      </c>
    </row>
    <row r="294" spans="1:33" ht="11.25" customHeight="1" x14ac:dyDescent="0.3">
      <c r="A294" s="4" t="s">
        <v>21</v>
      </c>
      <c r="B294" s="4" t="s">
        <v>39</v>
      </c>
      <c r="C294" s="4" t="s">
        <v>40</v>
      </c>
      <c r="D294" s="4" t="s">
        <v>38</v>
      </c>
      <c r="E294" s="4" t="s">
        <v>25</v>
      </c>
      <c r="F294" s="4" t="s">
        <v>25</v>
      </c>
      <c r="G294" s="4" t="s">
        <v>25</v>
      </c>
      <c r="H294" s="4" t="s">
        <v>34</v>
      </c>
      <c r="I294" s="5">
        <v>44593</v>
      </c>
      <c r="J294" s="6">
        <v>0</v>
      </c>
      <c r="K294" s="6">
        <v>0</v>
      </c>
      <c r="L294" s="6">
        <v>23.594999999999999</v>
      </c>
      <c r="M294" s="6">
        <v>23.594999999999999</v>
      </c>
      <c r="N294" s="6">
        <v>23.594999999999999</v>
      </c>
      <c r="O294" s="6">
        <v>23.594999999999999</v>
      </c>
      <c r="P294" s="6">
        <v>0</v>
      </c>
      <c r="Q294" s="4" t="s">
        <v>26</v>
      </c>
      <c r="R294" s="4">
        <v>0</v>
      </c>
      <c r="S294" s="6">
        <v>0</v>
      </c>
      <c r="T294" s="6">
        <v>15</v>
      </c>
      <c r="U294" s="6">
        <v>65</v>
      </c>
      <c r="V294" s="6">
        <f>IF(ISERROR(VLOOKUP($S$294,'TAR FIN'!$A$1:$O$103,15,0)),0,VLOOKUP($S$294,'TAR FIN'!$A$1:$O$103,15,0))</f>
        <v>0</v>
      </c>
      <c r="W294" s="6">
        <f>IF(ISERROR(VLOOKUP($T$294,'TAR FIN'!$A$1:$O$103,15,0)),0,VLOOKUP($T$294,'TAR FIN'!$A$1:$O$103,15,0))</f>
        <v>1195.82</v>
      </c>
      <c r="X294" s="6">
        <f>IF(ISERROR(VLOOKUP($U$294,'TAR FIN'!$A$1:$O$103,15,0)),0,VLOOKUP($U$294,'TAR FIN'!$A$1:$O$103,15,0))</f>
        <v>391.54</v>
      </c>
      <c r="Y294" s="6"/>
      <c r="Z294" s="6">
        <f ca="1">('TUSD BE'!$AM$23+'TUSD BF_350'!$AM$23+'TUSD CVA'!$AM$23)*1</f>
        <v>1385.4977743340116</v>
      </c>
      <c r="AA294" s="6">
        <f ca="1">('TE BE'!$AB$8+'TE BF_350'!$AB$8+'TE CVA'!$AB$8)*1</f>
        <v>361.95264704220779</v>
      </c>
      <c r="AB294" s="6">
        <f>$K$294*$V$294</f>
        <v>0</v>
      </c>
      <c r="AC294" s="6">
        <f>$M$294*$W$294</f>
        <v>28215.372899999998</v>
      </c>
      <c r="AD294" s="6">
        <f>$O$294*$X$294</f>
        <v>9238.3863000000001</v>
      </c>
      <c r="AE294" s="6">
        <f>$K$294*$Y$294</f>
        <v>0</v>
      </c>
      <c r="AF294" s="6">
        <f ca="1">$M$294*$Z$294</f>
        <v>32690.819985411003</v>
      </c>
      <c r="AG294" s="6">
        <f ca="1">$O$294*$AA$294</f>
        <v>8540.2727069608918</v>
      </c>
    </row>
    <row r="295" spans="1:33" ht="11.25" customHeight="1" x14ac:dyDescent="0.3">
      <c r="A295" s="4" t="s">
        <v>28</v>
      </c>
      <c r="B295" s="4" t="s">
        <v>39</v>
      </c>
      <c r="C295" s="4" t="s">
        <v>40</v>
      </c>
      <c r="D295" s="4" t="s">
        <v>38</v>
      </c>
      <c r="E295" s="4" t="s">
        <v>25</v>
      </c>
      <c r="F295" s="4" t="s">
        <v>25</v>
      </c>
      <c r="G295" s="4" t="s">
        <v>25</v>
      </c>
      <c r="H295" s="4" t="s">
        <v>34</v>
      </c>
      <c r="I295" s="5">
        <v>44593</v>
      </c>
      <c r="J295" s="6">
        <v>0</v>
      </c>
      <c r="K295" s="6">
        <v>0</v>
      </c>
      <c r="L295" s="6">
        <v>1.9E-2</v>
      </c>
      <c r="M295" s="6">
        <v>1.9E-2</v>
      </c>
      <c r="N295" s="6">
        <v>1.9E-2</v>
      </c>
      <c r="O295" s="6">
        <v>1.9E-2</v>
      </c>
      <c r="P295" s="6">
        <v>0</v>
      </c>
      <c r="Q295" s="4" t="s">
        <v>26</v>
      </c>
      <c r="R295" s="4">
        <v>0</v>
      </c>
      <c r="S295" s="6">
        <v>0</v>
      </c>
      <c r="T295" s="6">
        <v>15</v>
      </c>
      <c r="U295" s="6">
        <v>65</v>
      </c>
      <c r="V295" s="6">
        <f>IF(ISERROR(VLOOKUP($S$295,'TAR FIN'!$A$1:$O$103,15,0)),0,VLOOKUP($S$295,'TAR FIN'!$A$1:$O$103,15,0))</f>
        <v>0</v>
      </c>
      <c r="W295" s="6">
        <f>IF(ISERROR(VLOOKUP($T$295,'TAR FIN'!$A$1:$O$103,15,0)),0,VLOOKUP($T$295,'TAR FIN'!$A$1:$O$103,15,0))</f>
        <v>1195.82</v>
      </c>
      <c r="X295" s="6">
        <f>IF(ISERROR(VLOOKUP($U$295,'TAR FIN'!$A$1:$O$103,15,0)),0,VLOOKUP($U$295,'TAR FIN'!$A$1:$O$103,15,0))</f>
        <v>391.54</v>
      </c>
      <c r="Y295" s="6"/>
      <c r="Z295" s="6">
        <f ca="1">('TUSD BE'!$AM$23+'TUSD BF_350'!$AM$23+'TUSD CVA'!$AM$23)*1</f>
        <v>1385.4977743340116</v>
      </c>
      <c r="AA295" s="6">
        <f ca="1">('TE BE'!$AB$8+'TE BF_350'!$AB$8+'TE CVA'!$AB$8)*1</f>
        <v>361.95264704220779</v>
      </c>
      <c r="AB295" s="6">
        <f>$K$295*$V$295</f>
        <v>0</v>
      </c>
      <c r="AC295" s="6">
        <f>$M$295*$W$295</f>
        <v>22.720579999999998</v>
      </c>
      <c r="AD295" s="6">
        <f>$O$295*$X$295</f>
        <v>7.43926</v>
      </c>
      <c r="AE295" s="6">
        <f>$K$295*$Y$295</f>
        <v>0</v>
      </c>
      <c r="AF295" s="6">
        <f ca="1">$M$295*$Z$295</f>
        <v>26.32445771234622</v>
      </c>
      <c r="AG295" s="6">
        <f ca="1">$O$295*$AA$295</f>
        <v>6.8771002938019477</v>
      </c>
    </row>
    <row r="296" spans="1:33" ht="11.25" customHeight="1" x14ac:dyDescent="0.3">
      <c r="A296" s="4" t="s">
        <v>21</v>
      </c>
      <c r="B296" s="4" t="s">
        <v>39</v>
      </c>
      <c r="C296" s="4" t="s">
        <v>40</v>
      </c>
      <c r="D296" s="4" t="s">
        <v>38</v>
      </c>
      <c r="E296" s="4" t="s">
        <v>25</v>
      </c>
      <c r="F296" s="4" t="s">
        <v>25</v>
      </c>
      <c r="G296" s="4" t="s">
        <v>25</v>
      </c>
      <c r="H296" s="4" t="s">
        <v>34</v>
      </c>
      <c r="I296" s="5">
        <v>44621</v>
      </c>
      <c r="J296" s="6">
        <v>0</v>
      </c>
      <c r="K296" s="6">
        <v>0</v>
      </c>
      <c r="L296" s="6">
        <v>27.001999999999999</v>
      </c>
      <c r="M296" s="6">
        <v>27.001999999999999</v>
      </c>
      <c r="N296" s="6">
        <v>27.001999999999999</v>
      </c>
      <c r="O296" s="6">
        <v>27.001999999999999</v>
      </c>
      <c r="P296" s="6">
        <v>0</v>
      </c>
      <c r="Q296" s="4" t="s">
        <v>26</v>
      </c>
      <c r="R296" s="4">
        <v>0</v>
      </c>
      <c r="S296" s="6">
        <v>0</v>
      </c>
      <c r="T296" s="6">
        <v>15</v>
      </c>
      <c r="U296" s="6">
        <v>65</v>
      </c>
      <c r="V296" s="6">
        <f>IF(ISERROR(VLOOKUP($S$296,'TAR FIN'!$A$1:$O$103,15,0)),0,VLOOKUP($S$296,'TAR FIN'!$A$1:$O$103,15,0))</f>
        <v>0</v>
      </c>
      <c r="W296" s="6">
        <f>IF(ISERROR(VLOOKUP($T$296,'TAR FIN'!$A$1:$O$103,15,0)),0,VLOOKUP($T$296,'TAR FIN'!$A$1:$O$103,15,0))</f>
        <v>1195.82</v>
      </c>
      <c r="X296" s="6">
        <f>IF(ISERROR(VLOOKUP($U$296,'TAR FIN'!$A$1:$O$103,15,0)),0,VLOOKUP($U$296,'TAR FIN'!$A$1:$O$103,15,0))</f>
        <v>391.54</v>
      </c>
      <c r="Y296" s="6"/>
      <c r="Z296" s="6">
        <f ca="1">('TUSD BE'!$AM$23+'TUSD BF_350'!$AM$23+'TUSD CVA'!$AM$23)*1</f>
        <v>1385.4977743340116</v>
      </c>
      <c r="AA296" s="6">
        <f ca="1">('TE BE'!$AB$8+'TE BF_350'!$AB$8+'TE CVA'!$AB$8)*1</f>
        <v>361.95264704220779</v>
      </c>
      <c r="AB296" s="6">
        <f>$K$296*$V$296</f>
        <v>0</v>
      </c>
      <c r="AC296" s="6">
        <f>$M$296*$W$296</f>
        <v>32289.531639999997</v>
      </c>
      <c r="AD296" s="6">
        <f>$O$296*$X$296</f>
        <v>10572.363080000001</v>
      </c>
      <c r="AE296" s="6">
        <f>$K$296*$Y$296</f>
        <v>0</v>
      </c>
      <c r="AF296" s="6">
        <f ca="1">$M$296*$Z$296</f>
        <v>37411.210902566978</v>
      </c>
      <c r="AG296" s="6">
        <f ca="1">$O$296*$AA$296</f>
        <v>9773.4453754336937</v>
      </c>
    </row>
    <row r="297" spans="1:33" ht="11.25" customHeight="1" x14ac:dyDescent="0.3">
      <c r="A297" s="4" t="s">
        <v>28</v>
      </c>
      <c r="B297" s="4" t="s">
        <v>39</v>
      </c>
      <c r="C297" s="4" t="s">
        <v>40</v>
      </c>
      <c r="D297" s="4" t="s">
        <v>38</v>
      </c>
      <c r="E297" s="4" t="s">
        <v>25</v>
      </c>
      <c r="F297" s="4" t="s">
        <v>25</v>
      </c>
      <c r="G297" s="4" t="s">
        <v>25</v>
      </c>
      <c r="H297" s="4" t="s">
        <v>34</v>
      </c>
      <c r="I297" s="5">
        <v>44621</v>
      </c>
      <c r="J297" s="6">
        <v>0</v>
      </c>
      <c r="K297" s="6">
        <v>0</v>
      </c>
      <c r="L297" s="6">
        <v>2.3E-2</v>
      </c>
      <c r="M297" s="6">
        <v>2.3E-2</v>
      </c>
      <c r="N297" s="6">
        <v>2.3E-2</v>
      </c>
      <c r="O297" s="6">
        <v>2.3E-2</v>
      </c>
      <c r="P297" s="6">
        <v>0</v>
      </c>
      <c r="Q297" s="4" t="s">
        <v>26</v>
      </c>
      <c r="R297" s="4">
        <v>0</v>
      </c>
      <c r="S297" s="6">
        <v>0</v>
      </c>
      <c r="T297" s="6">
        <v>15</v>
      </c>
      <c r="U297" s="6">
        <v>65</v>
      </c>
      <c r="V297" s="6">
        <f>IF(ISERROR(VLOOKUP($S$297,'TAR FIN'!$A$1:$O$103,15,0)),0,VLOOKUP($S$297,'TAR FIN'!$A$1:$O$103,15,0))</f>
        <v>0</v>
      </c>
      <c r="W297" s="6">
        <f>IF(ISERROR(VLOOKUP($T$297,'TAR FIN'!$A$1:$O$103,15,0)),0,VLOOKUP($T$297,'TAR FIN'!$A$1:$O$103,15,0))</f>
        <v>1195.82</v>
      </c>
      <c r="X297" s="6">
        <f>IF(ISERROR(VLOOKUP($U$297,'TAR FIN'!$A$1:$O$103,15,0)),0,VLOOKUP($U$297,'TAR FIN'!$A$1:$O$103,15,0))</f>
        <v>391.54</v>
      </c>
      <c r="Y297" s="6"/>
      <c r="Z297" s="6">
        <f ca="1">('TUSD BE'!$AM$23+'TUSD BF_350'!$AM$23+'TUSD CVA'!$AM$23)*1</f>
        <v>1385.4977743340116</v>
      </c>
      <c r="AA297" s="6">
        <f ca="1">('TE BE'!$AB$8+'TE BF_350'!$AB$8+'TE CVA'!$AB$8)*1</f>
        <v>361.95264704220779</v>
      </c>
      <c r="AB297" s="6">
        <f>$K$297*$V$297</f>
        <v>0</v>
      </c>
      <c r="AC297" s="6">
        <f>$M$297*$W$297</f>
        <v>27.50386</v>
      </c>
      <c r="AD297" s="6">
        <f>$O$297*$X$297</f>
        <v>9.0054200000000009</v>
      </c>
      <c r="AE297" s="6">
        <f>$K$297*$Y$297</f>
        <v>0</v>
      </c>
      <c r="AF297" s="6">
        <f ca="1">$M$297*$Z$297</f>
        <v>31.866448809682268</v>
      </c>
      <c r="AG297" s="6">
        <f ca="1">$O$297*$AA$297</f>
        <v>8.3249108819707782</v>
      </c>
    </row>
    <row r="298" spans="1:33" ht="11.25" customHeight="1" x14ac:dyDescent="0.3">
      <c r="A298" s="4" t="s">
        <v>21</v>
      </c>
      <c r="B298" s="4" t="s">
        <v>39</v>
      </c>
      <c r="C298" s="4" t="s">
        <v>40</v>
      </c>
      <c r="D298" s="4" t="s">
        <v>38</v>
      </c>
      <c r="E298" s="4" t="s">
        <v>25</v>
      </c>
      <c r="F298" s="4" t="s">
        <v>25</v>
      </c>
      <c r="G298" s="4" t="s">
        <v>25</v>
      </c>
      <c r="H298" s="4" t="s">
        <v>34</v>
      </c>
      <c r="I298" s="5">
        <v>44652</v>
      </c>
      <c r="J298" s="6">
        <v>0</v>
      </c>
      <c r="K298" s="6">
        <v>0</v>
      </c>
      <c r="L298" s="6">
        <v>18.097000000000001</v>
      </c>
      <c r="M298" s="6">
        <v>18.097000000000001</v>
      </c>
      <c r="N298" s="6">
        <v>18.097000000000001</v>
      </c>
      <c r="O298" s="6">
        <v>18.097000000000001</v>
      </c>
      <c r="P298" s="6">
        <v>0</v>
      </c>
      <c r="Q298" s="4" t="s">
        <v>26</v>
      </c>
      <c r="R298" s="4">
        <v>0</v>
      </c>
      <c r="S298" s="6">
        <v>0</v>
      </c>
      <c r="T298" s="6">
        <v>15</v>
      </c>
      <c r="U298" s="6">
        <v>65</v>
      </c>
      <c r="V298" s="6">
        <f>IF(ISERROR(VLOOKUP($S$298,'TAR FIN'!$A$1:$O$103,15,0)),0,VLOOKUP($S$298,'TAR FIN'!$A$1:$O$103,15,0))</f>
        <v>0</v>
      </c>
      <c r="W298" s="6">
        <f>IF(ISERROR(VLOOKUP($T$298,'TAR FIN'!$A$1:$O$103,15,0)),0,VLOOKUP($T$298,'TAR FIN'!$A$1:$O$103,15,0))</f>
        <v>1195.82</v>
      </c>
      <c r="X298" s="6">
        <f>IF(ISERROR(VLOOKUP($U$298,'TAR FIN'!$A$1:$O$103,15,0)),0,VLOOKUP($U$298,'TAR FIN'!$A$1:$O$103,15,0))</f>
        <v>391.54</v>
      </c>
      <c r="Y298" s="6"/>
      <c r="Z298" s="6">
        <f ca="1">('TUSD BE'!$AM$23+'TUSD BF_350'!$AM$23+'TUSD CVA'!$AM$23)*1</f>
        <v>1385.4977743340116</v>
      </c>
      <c r="AA298" s="6">
        <f ca="1">('TE BE'!$AB$8+'TE BF_350'!$AB$8+'TE CVA'!$AB$8)*1</f>
        <v>361.95264704220779</v>
      </c>
      <c r="AB298" s="6">
        <f>$K$298*$V$298</f>
        <v>0</v>
      </c>
      <c r="AC298" s="6">
        <f>$M$298*$W$298</f>
        <v>21640.754540000002</v>
      </c>
      <c r="AD298" s="6">
        <f>$O$298*$X$298</f>
        <v>7085.6993800000009</v>
      </c>
      <c r="AE298" s="6">
        <f>$K$298*$Y$298</f>
        <v>0</v>
      </c>
      <c r="AF298" s="6">
        <f ca="1">$M$298*$Z$298</f>
        <v>25073.353222122609</v>
      </c>
      <c r="AG298" s="6">
        <f ca="1">$O$298*$AA$298</f>
        <v>6550.2570535228351</v>
      </c>
    </row>
    <row r="299" spans="1:33" ht="11.25" customHeight="1" x14ac:dyDescent="0.3">
      <c r="A299" s="4" t="s">
        <v>28</v>
      </c>
      <c r="B299" s="4" t="s">
        <v>39</v>
      </c>
      <c r="C299" s="4" t="s">
        <v>40</v>
      </c>
      <c r="D299" s="4" t="s">
        <v>38</v>
      </c>
      <c r="E299" s="4" t="s">
        <v>25</v>
      </c>
      <c r="F299" s="4" t="s">
        <v>25</v>
      </c>
      <c r="G299" s="4" t="s">
        <v>25</v>
      </c>
      <c r="H299" s="4" t="s">
        <v>34</v>
      </c>
      <c r="I299" s="5">
        <v>44652</v>
      </c>
      <c r="J299" s="6">
        <v>0</v>
      </c>
      <c r="K299" s="6">
        <v>0</v>
      </c>
      <c r="L299" s="6">
        <v>2.4E-2</v>
      </c>
      <c r="M299" s="6">
        <v>2.4E-2</v>
      </c>
      <c r="N299" s="6">
        <v>2.4E-2</v>
      </c>
      <c r="O299" s="6">
        <v>2.4E-2</v>
      </c>
      <c r="P299" s="6">
        <v>0</v>
      </c>
      <c r="Q299" s="4" t="s">
        <v>26</v>
      </c>
      <c r="R299" s="4">
        <v>0</v>
      </c>
      <c r="S299" s="6">
        <v>0</v>
      </c>
      <c r="T299" s="6">
        <v>15</v>
      </c>
      <c r="U299" s="6">
        <v>65</v>
      </c>
      <c r="V299" s="6">
        <f>IF(ISERROR(VLOOKUP($S$299,'TAR FIN'!$A$1:$O$103,15,0)),0,VLOOKUP($S$299,'TAR FIN'!$A$1:$O$103,15,0))</f>
        <v>0</v>
      </c>
      <c r="W299" s="6">
        <f>IF(ISERROR(VLOOKUP($T$299,'TAR FIN'!$A$1:$O$103,15,0)),0,VLOOKUP($T$299,'TAR FIN'!$A$1:$O$103,15,0))</f>
        <v>1195.82</v>
      </c>
      <c r="X299" s="6">
        <f>IF(ISERROR(VLOOKUP($U$299,'TAR FIN'!$A$1:$O$103,15,0)),0,VLOOKUP($U$299,'TAR FIN'!$A$1:$O$103,15,0))</f>
        <v>391.54</v>
      </c>
      <c r="Y299" s="6"/>
      <c r="Z299" s="6">
        <f ca="1">('TUSD BE'!$AM$23+'TUSD BF_350'!$AM$23+'TUSD CVA'!$AM$23)*1</f>
        <v>1385.4977743340116</v>
      </c>
      <c r="AA299" s="6">
        <f ca="1">('TE BE'!$AB$8+'TE BF_350'!$AB$8+'TE CVA'!$AB$8)*1</f>
        <v>361.95264704220779</v>
      </c>
      <c r="AB299" s="6">
        <f>$K$299*$V$299</f>
        <v>0</v>
      </c>
      <c r="AC299" s="6">
        <f>$M$299*$W$299</f>
        <v>28.699680000000001</v>
      </c>
      <c r="AD299" s="6">
        <f>$O$299*$X$299</f>
        <v>9.39696</v>
      </c>
      <c r="AE299" s="6">
        <f>$K$299*$Y$299</f>
        <v>0</v>
      </c>
      <c r="AF299" s="6">
        <f ca="1">$M$299*$Z$299</f>
        <v>33.251946584016281</v>
      </c>
      <c r="AG299" s="6">
        <f ca="1">$O$299*$AA$299</f>
        <v>8.686863529012987</v>
      </c>
    </row>
    <row r="300" spans="1:33" ht="11.25" customHeight="1" x14ac:dyDescent="0.3">
      <c r="A300" s="4" t="s">
        <v>21</v>
      </c>
      <c r="B300" s="4" t="s">
        <v>39</v>
      </c>
      <c r="C300" s="4" t="s">
        <v>40</v>
      </c>
      <c r="D300" s="4" t="s">
        <v>38</v>
      </c>
      <c r="E300" s="4" t="s">
        <v>25</v>
      </c>
      <c r="F300" s="4" t="s">
        <v>25</v>
      </c>
      <c r="G300" s="4" t="s">
        <v>25</v>
      </c>
      <c r="H300" s="4" t="s">
        <v>34</v>
      </c>
      <c r="I300" s="5">
        <v>44682</v>
      </c>
      <c r="J300" s="6">
        <v>0</v>
      </c>
      <c r="K300" s="6">
        <v>0</v>
      </c>
      <c r="L300" s="6">
        <v>14.175000000000001</v>
      </c>
      <c r="M300" s="6">
        <v>14.175000000000001</v>
      </c>
      <c r="N300" s="6">
        <v>14.175000000000001</v>
      </c>
      <c r="O300" s="6">
        <v>14.175000000000001</v>
      </c>
      <c r="P300" s="6">
        <v>0</v>
      </c>
      <c r="Q300" s="4" t="s">
        <v>26</v>
      </c>
      <c r="R300" s="4">
        <v>0</v>
      </c>
      <c r="S300" s="6">
        <v>0</v>
      </c>
      <c r="T300" s="6">
        <v>15</v>
      </c>
      <c r="U300" s="6">
        <v>65</v>
      </c>
      <c r="V300" s="6">
        <f>IF(ISERROR(VLOOKUP($S$300,'TAR FIN'!$A$1:$O$103,15,0)),0,VLOOKUP($S$300,'TAR FIN'!$A$1:$O$103,15,0))</f>
        <v>0</v>
      </c>
      <c r="W300" s="6">
        <f>IF(ISERROR(VLOOKUP($T$300,'TAR FIN'!$A$1:$O$103,15,0)),0,VLOOKUP($T$300,'TAR FIN'!$A$1:$O$103,15,0))</f>
        <v>1195.82</v>
      </c>
      <c r="X300" s="6">
        <f>IF(ISERROR(VLOOKUP($U$300,'TAR FIN'!$A$1:$O$103,15,0)),0,VLOOKUP($U$300,'TAR FIN'!$A$1:$O$103,15,0))</f>
        <v>391.54</v>
      </c>
      <c r="Y300" s="6"/>
      <c r="Z300" s="6">
        <f ca="1">('TUSD BE'!$AM$23+'TUSD BF_350'!$AM$23+'TUSD CVA'!$AM$23)*1</f>
        <v>1385.4977743340116</v>
      </c>
      <c r="AA300" s="6">
        <f ca="1">('TE BE'!$AB$8+'TE BF_350'!$AB$8+'TE CVA'!$AB$8)*1</f>
        <v>361.95264704220779</v>
      </c>
      <c r="AB300" s="6">
        <f>$K$300*$V$300</f>
        <v>0</v>
      </c>
      <c r="AC300" s="6">
        <f>$M$300*$W$300</f>
        <v>16950.748500000002</v>
      </c>
      <c r="AD300" s="6">
        <f>$O$300*$X$300</f>
        <v>5550.0795000000007</v>
      </c>
      <c r="AE300" s="6">
        <f>$K$300*$Y$300</f>
        <v>0</v>
      </c>
      <c r="AF300" s="6">
        <f ca="1">$M$300*$Z$300</f>
        <v>19639.430951184615</v>
      </c>
      <c r="AG300" s="6">
        <f ca="1">$O$300*$AA$300</f>
        <v>5130.6787718232954</v>
      </c>
    </row>
    <row r="301" spans="1:33" ht="11.25" customHeight="1" x14ac:dyDescent="0.3">
      <c r="A301" s="4" t="s">
        <v>28</v>
      </c>
      <c r="B301" s="4" t="s">
        <v>39</v>
      </c>
      <c r="C301" s="4" t="s">
        <v>40</v>
      </c>
      <c r="D301" s="4" t="s">
        <v>38</v>
      </c>
      <c r="E301" s="4" t="s">
        <v>25</v>
      </c>
      <c r="F301" s="4" t="s">
        <v>25</v>
      </c>
      <c r="G301" s="4" t="s">
        <v>25</v>
      </c>
      <c r="H301" s="4" t="s">
        <v>34</v>
      </c>
      <c r="I301" s="5">
        <v>44682</v>
      </c>
      <c r="J301" s="6">
        <v>0</v>
      </c>
      <c r="K301" s="6">
        <v>0</v>
      </c>
      <c r="L301" s="6">
        <v>2.9000000000000001E-2</v>
      </c>
      <c r="M301" s="6">
        <v>2.9000000000000001E-2</v>
      </c>
      <c r="N301" s="6">
        <v>2.9000000000000001E-2</v>
      </c>
      <c r="O301" s="6">
        <v>2.9000000000000001E-2</v>
      </c>
      <c r="P301" s="6">
        <v>0</v>
      </c>
      <c r="Q301" s="4" t="s">
        <v>26</v>
      </c>
      <c r="R301" s="4">
        <v>0</v>
      </c>
      <c r="S301" s="6">
        <v>0</v>
      </c>
      <c r="T301" s="6">
        <v>15</v>
      </c>
      <c r="U301" s="6">
        <v>65</v>
      </c>
      <c r="V301" s="6">
        <f>IF(ISERROR(VLOOKUP($S$301,'TAR FIN'!$A$1:$O$103,15,0)),0,VLOOKUP($S$301,'TAR FIN'!$A$1:$O$103,15,0))</f>
        <v>0</v>
      </c>
      <c r="W301" s="6">
        <f>IF(ISERROR(VLOOKUP($T$301,'TAR FIN'!$A$1:$O$103,15,0)),0,VLOOKUP($T$301,'TAR FIN'!$A$1:$O$103,15,0))</f>
        <v>1195.82</v>
      </c>
      <c r="X301" s="6">
        <f>IF(ISERROR(VLOOKUP($U$301,'TAR FIN'!$A$1:$O$103,15,0)),0,VLOOKUP($U$301,'TAR FIN'!$A$1:$O$103,15,0))</f>
        <v>391.54</v>
      </c>
      <c r="Y301" s="6"/>
      <c r="Z301" s="6">
        <f ca="1">('TUSD BE'!$AM$23+'TUSD BF_350'!$AM$23+'TUSD CVA'!$AM$23)*1</f>
        <v>1385.4977743340116</v>
      </c>
      <c r="AA301" s="6">
        <f ca="1">('TE BE'!$AB$8+'TE BF_350'!$AB$8+'TE CVA'!$AB$8)*1</f>
        <v>361.95264704220779</v>
      </c>
      <c r="AB301" s="6">
        <f>$K$301*$V$301</f>
        <v>0</v>
      </c>
      <c r="AC301" s="6">
        <f>$M$301*$W$301</f>
        <v>34.678780000000003</v>
      </c>
      <c r="AD301" s="6">
        <f>$O$301*$X$301</f>
        <v>11.354660000000001</v>
      </c>
      <c r="AE301" s="6">
        <f>$K$301*$Y$301</f>
        <v>0</v>
      </c>
      <c r="AF301" s="6">
        <f ca="1">$M$301*$Z$301</f>
        <v>40.179435455686338</v>
      </c>
      <c r="AG301" s="6">
        <f ca="1">$O$301*$AA$301</f>
        <v>10.496626764224027</v>
      </c>
    </row>
    <row r="302" spans="1:33" ht="11.25" customHeight="1" x14ac:dyDescent="0.3">
      <c r="A302" s="4" t="s">
        <v>21</v>
      </c>
      <c r="B302" s="4" t="s">
        <v>39</v>
      </c>
      <c r="C302" s="4" t="s">
        <v>40</v>
      </c>
      <c r="D302" s="4" t="s">
        <v>38</v>
      </c>
      <c r="E302" s="4" t="s">
        <v>25</v>
      </c>
      <c r="F302" s="4" t="s">
        <v>25</v>
      </c>
      <c r="G302" s="4" t="s">
        <v>25</v>
      </c>
      <c r="H302" s="4" t="s">
        <v>34</v>
      </c>
      <c r="I302" s="5">
        <v>44713</v>
      </c>
      <c r="J302" s="6">
        <v>0</v>
      </c>
      <c r="K302" s="6">
        <v>0</v>
      </c>
      <c r="L302" s="6">
        <v>10.794</v>
      </c>
      <c r="M302" s="6">
        <v>10.794</v>
      </c>
      <c r="N302" s="6">
        <v>10.794</v>
      </c>
      <c r="O302" s="6">
        <v>10.794</v>
      </c>
      <c r="P302" s="6">
        <v>0</v>
      </c>
      <c r="Q302" s="4" t="s">
        <v>26</v>
      </c>
      <c r="R302" s="4">
        <v>0</v>
      </c>
      <c r="S302" s="6">
        <v>0</v>
      </c>
      <c r="T302" s="6">
        <v>15</v>
      </c>
      <c r="U302" s="6">
        <v>65</v>
      </c>
      <c r="V302" s="6">
        <f>IF(ISERROR(VLOOKUP($S$302,'TAR FIN'!$A$1:$O$103,15,0)),0,VLOOKUP($S$302,'TAR FIN'!$A$1:$O$103,15,0))</f>
        <v>0</v>
      </c>
      <c r="W302" s="6">
        <f>IF(ISERROR(VLOOKUP($T$302,'TAR FIN'!$A$1:$O$103,15,0)),0,VLOOKUP($T$302,'TAR FIN'!$A$1:$O$103,15,0))</f>
        <v>1195.82</v>
      </c>
      <c r="X302" s="6">
        <f>IF(ISERROR(VLOOKUP($U$302,'TAR FIN'!$A$1:$O$103,15,0)),0,VLOOKUP($U$302,'TAR FIN'!$A$1:$O$103,15,0))</f>
        <v>391.54</v>
      </c>
      <c r="Y302" s="6"/>
      <c r="Z302" s="6">
        <f ca="1">('TUSD BE'!$AM$23+'TUSD BF_350'!$AM$23+'TUSD CVA'!$AM$23)*1</f>
        <v>1385.4977743340116</v>
      </c>
      <c r="AA302" s="6">
        <f ca="1">('TE BE'!$AB$8+'TE BF_350'!$AB$8+'TE CVA'!$AB$8)*1</f>
        <v>361.95264704220779</v>
      </c>
      <c r="AB302" s="6">
        <f>$K$302*$V$302</f>
        <v>0</v>
      </c>
      <c r="AC302" s="6">
        <f>$M$302*$W$302</f>
        <v>12907.68108</v>
      </c>
      <c r="AD302" s="6">
        <f>$O$302*$X$302</f>
        <v>4226.2827600000001</v>
      </c>
      <c r="AE302" s="6">
        <f>$K$302*$Y$302</f>
        <v>0</v>
      </c>
      <c r="AF302" s="6">
        <f ca="1">$M$302*$Z$302</f>
        <v>14955.062976161322</v>
      </c>
      <c r="AG302" s="6">
        <f ca="1">$O$302*$AA$302</f>
        <v>3906.9168721735909</v>
      </c>
    </row>
    <row r="303" spans="1:33" ht="11.25" customHeight="1" x14ac:dyDescent="0.3">
      <c r="A303" s="4" t="s">
        <v>28</v>
      </c>
      <c r="B303" s="4" t="s">
        <v>39</v>
      </c>
      <c r="C303" s="4" t="s">
        <v>40</v>
      </c>
      <c r="D303" s="4" t="s">
        <v>38</v>
      </c>
      <c r="E303" s="4" t="s">
        <v>25</v>
      </c>
      <c r="F303" s="4" t="s">
        <v>25</v>
      </c>
      <c r="G303" s="4" t="s">
        <v>25</v>
      </c>
      <c r="H303" s="4" t="s">
        <v>34</v>
      </c>
      <c r="I303" s="5">
        <v>44713</v>
      </c>
      <c r="J303" s="6">
        <v>0</v>
      </c>
      <c r="K303" s="6">
        <v>0</v>
      </c>
      <c r="L303" s="6">
        <v>2.8000000000000001E-2</v>
      </c>
      <c r="M303" s="6">
        <v>2.8000000000000001E-2</v>
      </c>
      <c r="N303" s="6">
        <v>2.8000000000000001E-2</v>
      </c>
      <c r="O303" s="6">
        <v>2.8000000000000001E-2</v>
      </c>
      <c r="P303" s="6">
        <v>0</v>
      </c>
      <c r="Q303" s="4" t="s">
        <v>26</v>
      </c>
      <c r="R303" s="4">
        <v>0</v>
      </c>
      <c r="S303" s="6">
        <v>0</v>
      </c>
      <c r="T303" s="6">
        <v>15</v>
      </c>
      <c r="U303" s="6">
        <v>65</v>
      </c>
      <c r="V303" s="6">
        <f>IF(ISERROR(VLOOKUP($S$303,'TAR FIN'!$A$1:$O$103,15,0)),0,VLOOKUP($S$303,'TAR FIN'!$A$1:$O$103,15,0))</f>
        <v>0</v>
      </c>
      <c r="W303" s="6">
        <f>IF(ISERROR(VLOOKUP($T$303,'TAR FIN'!$A$1:$O$103,15,0)),0,VLOOKUP($T$303,'TAR FIN'!$A$1:$O$103,15,0))</f>
        <v>1195.82</v>
      </c>
      <c r="X303" s="6">
        <f>IF(ISERROR(VLOOKUP($U$303,'TAR FIN'!$A$1:$O$103,15,0)),0,VLOOKUP($U$303,'TAR FIN'!$A$1:$O$103,15,0))</f>
        <v>391.54</v>
      </c>
      <c r="Y303" s="6"/>
      <c r="Z303" s="6">
        <f ca="1">('TUSD BE'!$AM$23+'TUSD BF_350'!$AM$23+'TUSD CVA'!$AM$23)*1</f>
        <v>1385.4977743340116</v>
      </c>
      <c r="AA303" s="6">
        <f ca="1">('TE BE'!$AB$8+'TE BF_350'!$AB$8+'TE CVA'!$AB$8)*1</f>
        <v>361.95264704220779</v>
      </c>
      <c r="AB303" s="6">
        <f>$K$303*$V$303</f>
        <v>0</v>
      </c>
      <c r="AC303" s="6">
        <f>$M$303*$W$303</f>
        <v>33.482959999999999</v>
      </c>
      <c r="AD303" s="6">
        <f>$O$303*$X$303</f>
        <v>10.96312</v>
      </c>
      <c r="AE303" s="6">
        <f>$K$303*$Y$303</f>
        <v>0</v>
      </c>
      <c r="AF303" s="6">
        <f ca="1">$M$303*$Z$303</f>
        <v>38.793937681352325</v>
      </c>
      <c r="AG303" s="6">
        <f ca="1">$O$303*$AA$303</f>
        <v>10.134674117181818</v>
      </c>
    </row>
    <row r="304" spans="1:33" ht="11.25" customHeight="1" x14ac:dyDescent="0.3">
      <c r="A304" s="4" t="s">
        <v>21</v>
      </c>
      <c r="B304" s="4" t="s">
        <v>39</v>
      </c>
      <c r="C304" s="4" t="s">
        <v>40</v>
      </c>
      <c r="D304" s="4" t="s">
        <v>38</v>
      </c>
      <c r="E304" s="4" t="s">
        <v>25</v>
      </c>
      <c r="F304" s="4" t="s">
        <v>25</v>
      </c>
      <c r="G304" s="4" t="s">
        <v>25</v>
      </c>
      <c r="H304" s="4" t="s">
        <v>34</v>
      </c>
      <c r="I304" s="5">
        <v>44743</v>
      </c>
      <c r="J304" s="6">
        <v>0</v>
      </c>
      <c r="K304" s="6">
        <v>0</v>
      </c>
      <c r="L304" s="6">
        <v>10.436999999999999</v>
      </c>
      <c r="M304" s="6">
        <v>10.436999999999999</v>
      </c>
      <c r="N304" s="6">
        <v>10.436999999999999</v>
      </c>
      <c r="O304" s="6">
        <v>10.436999999999999</v>
      </c>
      <c r="P304" s="6">
        <v>0</v>
      </c>
      <c r="Q304" s="4" t="s">
        <v>26</v>
      </c>
      <c r="R304" s="4">
        <v>0</v>
      </c>
      <c r="S304" s="6">
        <v>0</v>
      </c>
      <c r="T304" s="6">
        <v>15</v>
      </c>
      <c r="U304" s="6">
        <v>65</v>
      </c>
      <c r="V304" s="6">
        <f>IF(ISERROR(VLOOKUP($S$304,'TAR FIN'!$A$1:$O$103,15,0)),0,VLOOKUP($S$304,'TAR FIN'!$A$1:$O$103,15,0))</f>
        <v>0</v>
      </c>
      <c r="W304" s="6">
        <f>IF(ISERROR(VLOOKUP($T$304,'TAR FIN'!$A$1:$O$103,15,0)),0,VLOOKUP($T$304,'TAR FIN'!$A$1:$O$103,15,0))</f>
        <v>1195.82</v>
      </c>
      <c r="X304" s="6">
        <f>IF(ISERROR(VLOOKUP($U$304,'TAR FIN'!$A$1:$O$103,15,0)),0,VLOOKUP($U$304,'TAR FIN'!$A$1:$O$103,15,0))</f>
        <v>391.54</v>
      </c>
      <c r="Y304" s="6"/>
      <c r="Z304" s="6">
        <f ca="1">('TUSD BE'!$AM$23+'TUSD BF_350'!$AM$23+'TUSD CVA'!$AM$23)*1</f>
        <v>1385.4977743340116</v>
      </c>
      <c r="AA304" s="6">
        <f ca="1">('TE BE'!$AB$8+'TE BF_350'!$AB$8+'TE CVA'!$AB$8)*1</f>
        <v>361.95264704220779</v>
      </c>
      <c r="AB304" s="6">
        <f>$K$304*$V$304</f>
        <v>0</v>
      </c>
      <c r="AC304" s="6">
        <f>$M$304*$W$304</f>
        <v>12480.773339999998</v>
      </c>
      <c r="AD304" s="6">
        <f>$O$304*$X$304</f>
        <v>4086.5029799999998</v>
      </c>
      <c r="AE304" s="6">
        <f>$K$304*$Y$304</f>
        <v>0</v>
      </c>
      <c r="AF304" s="6">
        <f ca="1">$M$304*$Z$304</f>
        <v>14460.440270724079</v>
      </c>
      <c r="AG304" s="6">
        <f ca="1">$O$304*$AA$304</f>
        <v>3777.6997771795222</v>
      </c>
    </row>
    <row r="305" spans="1:33" ht="11.25" customHeight="1" x14ac:dyDescent="0.3">
      <c r="A305" s="4" t="s">
        <v>28</v>
      </c>
      <c r="B305" s="4" t="s">
        <v>39</v>
      </c>
      <c r="C305" s="4" t="s">
        <v>40</v>
      </c>
      <c r="D305" s="4" t="s">
        <v>38</v>
      </c>
      <c r="E305" s="4" t="s">
        <v>25</v>
      </c>
      <c r="F305" s="4" t="s">
        <v>25</v>
      </c>
      <c r="G305" s="4" t="s">
        <v>25</v>
      </c>
      <c r="H305" s="4" t="s">
        <v>34</v>
      </c>
      <c r="I305" s="5">
        <v>44743</v>
      </c>
      <c r="J305" s="6">
        <v>0</v>
      </c>
      <c r="K305" s="6">
        <v>0</v>
      </c>
      <c r="L305" s="6">
        <v>0.03</v>
      </c>
      <c r="M305" s="6">
        <v>0.03</v>
      </c>
      <c r="N305" s="6">
        <v>0.03</v>
      </c>
      <c r="O305" s="6">
        <v>0.03</v>
      </c>
      <c r="P305" s="6">
        <v>0</v>
      </c>
      <c r="Q305" s="4" t="s">
        <v>26</v>
      </c>
      <c r="R305" s="4">
        <v>0</v>
      </c>
      <c r="S305" s="6">
        <v>0</v>
      </c>
      <c r="T305" s="6">
        <v>15</v>
      </c>
      <c r="U305" s="6">
        <v>65</v>
      </c>
      <c r="V305" s="6">
        <f>IF(ISERROR(VLOOKUP($S$305,'TAR FIN'!$A$1:$O$103,15,0)),0,VLOOKUP($S$305,'TAR FIN'!$A$1:$O$103,15,0))</f>
        <v>0</v>
      </c>
      <c r="W305" s="6">
        <f>IF(ISERROR(VLOOKUP($T$305,'TAR FIN'!$A$1:$O$103,15,0)),0,VLOOKUP($T$305,'TAR FIN'!$A$1:$O$103,15,0))</f>
        <v>1195.82</v>
      </c>
      <c r="X305" s="6">
        <f>IF(ISERROR(VLOOKUP($U$305,'TAR FIN'!$A$1:$O$103,15,0)),0,VLOOKUP($U$305,'TAR FIN'!$A$1:$O$103,15,0))</f>
        <v>391.54</v>
      </c>
      <c r="Y305" s="6"/>
      <c r="Z305" s="6">
        <f ca="1">('TUSD BE'!$AM$23+'TUSD BF_350'!$AM$23+'TUSD CVA'!$AM$23)*1</f>
        <v>1385.4977743340116</v>
      </c>
      <c r="AA305" s="6">
        <f ca="1">('TE BE'!$AB$8+'TE BF_350'!$AB$8+'TE CVA'!$AB$8)*1</f>
        <v>361.95264704220779</v>
      </c>
      <c r="AB305" s="6">
        <f>$K$305*$V$305</f>
        <v>0</v>
      </c>
      <c r="AC305" s="6">
        <f>$M$305*$W$305</f>
        <v>35.874599999999994</v>
      </c>
      <c r="AD305" s="6">
        <f>$O$305*$X$305</f>
        <v>11.7462</v>
      </c>
      <c r="AE305" s="6">
        <f>$K$305*$Y$305</f>
        <v>0</v>
      </c>
      <c r="AF305" s="6">
        <f ca="1">$M$305*$Z$305</f>
        <v>41.564933230020351</v>
      </c>
      <c r="AG305" s="6">
        <f ca="1">$O$305*$AA$305</f>
        <v>10.858579411266232</v>
      </c>
    </row>
    <row r="306" spans="1:33" ht="11.25" customHeight="1" x14ac:dyDescent="0.3">
      <c r="A306" s="4" t="s">
        <v>21</v>
      </c>
      <c r="B306" s="4" t="s">
        <v>39</v>
      </c>
      <c r="C306" s="4" t="s">
        <v>40</v>
      </c>
      <c r="D306" s="4" t="s">
        <v>38</v>
      </c>
      <c r="E306" s="4" t="s">
        <v>25</v>
      </c>
      <c r="F306" s="4" t="s">
        <v>25</v>
      </c>
      <c r="G306" s="4" t="s">
        <v>25</v>
      </c>
      <c r="H306" s="4" t="s">
        <v>34</v>
      </c>
      <c r="I306" s="5">
        <v>44774</v>
      </c>
      <c r="J306" s="6">
        <v>0</v>
      </c>
      <c r="K306" s="6">
        <v>0</v>
      </c>
      <c r="L306" s="6">
        <v>15.644</v>
      </c>
      <c r="M306" s="6">
        <v>15.644</v>
      </c>
      <c r="N306" s="6">
        <v>15.644</v>
      </c>
      <c r="O306" s="6">
        <v>15.644</v>
      </c>
      <c r="P306" s="6">
        <v>0</v>
      </c>
      <c r="Q306" s="4" t="s">
        <v>26</v>
      </c>
      <c r="R306" s="4">
        <v>0</v>
      </c>
      <c r="S306" s="6">
        <v>0</v>
      </c>
      <c r="T306" s="6">
        <v>15</v>
      </c>
      <c r="U306" s="6">
        <v>65</v>
      </c>
      <c r="V306" s="6">
        <f>IF(ISERROR(VLOOKUP($S$306,'TAR FIN'!$A$1:$O$103,15,0)),0,VLOOKUP($S$306,'TAR FIN'!$A$1:$O$103,15,0))</f>
        <v>0</v>
      </c>
      <c r="W306" s="6">
        <f>IF(ISERROR(VLOOKUP($T$306,'TAR FIN'!$A$1:$O$103,15,0)),0,VLOOKUP($T$306,'TAR FIN'!$A$1:$O$103,15,0))</f>
        <v>1195.82</v>
      </c>
      <c r="X306" s="6">
        <f>IF(ISERROR(VLOOKUP($U$306,'TAR FIN'!$A$1:$O$103,15,0)),0,VLOOKUP($U$306,'TAR FIN'!$A$1:$O$103,15,0))</f>
        <v>391.54</v>
      </c>
      <c r="Y306" s="6"/>
      <c r="Z306" s="6">
        <f ca="1">('TUSD BE'!$AM$23+'TUSD BF_350'!$AM$23+'TUSD CVA'!$AM$23)*1</f>
        <v>1385.4977743340116</v>
      </c>
      <c r="AA306" s="6">
        <f ca="1">('TE BE'!$AB$8+'TE BF_350'!$AB$8+'TE CVA'!$AB$8)*1</f>
        <v>361.95264704220779</v>
      </c>
      <c r="AB306" s="6">
        <f>$K$306*$V$306</f>
        <v>0</v>
      </c>
      <c r="AC306" s="6">
        <f>$M$306*$W$306</f>
        <v>18707.408079999997</v>
      </c>
      <c r="AD306" s="6">
        <f>$O$306*$X$306</f>
        <v>6125.2517600000001</v>
      </c>
      <c r="AE306" s="6">
        <f>$K$306*$Y$306</f>
        <v>0</v>
      </c>
      <c r="AF306" s="6">
        <f ca="1">$M$306*$Z$306</f>
        <v>21674.727181681279</v>
      </c>
      <c r="AG306" s="6">
        <f ca="1">$O$306*$AA$306</f>
        <v>5662.3872103282984</v>
      </c>
    </row>
    <row r="307" spans="1:33" ht="11.25" customHeight="1" x14ac:dyDescent="0.3">
      <c r="A307" s="4" t="s">
        <v>28</v>
      </c>
      <c r="B307" s="4" t="s">
        <v>39</v>
      </c>
      <c r="C307" s="4" t="s">
        <v>40</v>
      </c>
      <c r="D307" s="4" t="s">
        <v>38</v>
      </c>
      <c r="E307" s="4" t="s">
        <v>25</v>
      </c>
      <c r="F307" s="4" t="s">
        <v>25</v>
      </c>
      <c r="G307" s="4" t="s">
        <v>25</v>
      </c>
      <c r="H307" s="4" t="s">
        <v>34</v>
      </c>
      <c r="I307" s="5">
        <v>44774</v>
      </c>
      <c r="J307" s="6">
        <v>0</v>
      </c>
      <c r="K307" s="6">
        <v>0</v>
      </c>
      <c r="L307" s="6">
        <v>3.5000000000000003E-2</v>
      </c>
      <c r="M307" s="6">
        <v>3.5000000000000003E-2</v>
      </c>
      <c r="N307" s="6">
        <v>3.5000000000000003E-2</v>
      </c>
      <c r="O307" s="6">
        <v>3.5000000000000003E-2</v>
      </c>
      <c r="P307" s="6">
        <v>0</v>
      </c>
      <c r="Q307" s="4" t="s">
        <v>26</v>
      </c>
      <c r="R307" s="4">
        <v>0</v>
      </c>
      <c r="S307" s="6">
        <v>0</v>
      </c>
      <c r="T307" s="6">
        <v>15</v>
      </c>
      <c r="U307" s="6">
        <v>65</v>
      </c>
      <c r="V307" s="6">
        <f>IF(ISERROR(VLOOKUP($S$307,'TAR FIN'!$A$1:$O$103,15,0)),0,VLOOKUP($S$307,'TAR FIN'!$A$1:$O$103,15,0))</f>
        <v>0</v>
      </c>
      <c r="W307" s="6">
        <f>IF(ISERROR(VLOOKUP($T$307,'TAR FIN'!$A$1:$O$103,15,0)),0,VLOOKUP($T$307,'TAR FIN'!$A$1:$O$103,15,0))</f>
        <v>1195.82</v>
      </c>
      <c r="X307" s="6">
        <f>IF(ISERROR(VLOOKUP($U$307,'TAR FIN'!$A$1:$O$103,15,0)),0,VLOOKUP($U$307,'TAR FIN'!$A$1:$O$103,15,0))</f>
        <v>391.54</v>
      </c>
      <c r="Y307" s="6"/>
      <c r="Z307" s="6">
        <f ca="1">('TUSD BE'!$AM$23+'TUSD BF_350'!$AM$23+'TUSD CVA'!$AM$23)*1</f>
        <v>1385.4977743340116</v>
      </c>
      <c r="AA307" s="6">
        <f ca="1">('TE BE'!$AB$8+'TE BF_350'!$AB$8+'TE CVA'!$AB$8)*1</f>
        <v>361.95264704220779</v>
      </c>
      <c r="AB307" s="6">
        <f>$K$307*$V$307</f>
        <v>0</v>
      </c>
      <c r="AC307" s="6">
        <f>$M$307*$W$307</f>
        <v>41.853700000000003</v>
      </c>
      <c r="AD307" s="6">
        <f>$O$307*$X$307</f>
        <v>13.703900000000003</v>
      </c>
      <c r="AE307" s="6">
        <f>$K$307*$Y$307</f>
        <v>0</v>
      </c>
      <c r="AF307" s="6">
        <f ca="1">$M$307*$Z$307</f>
        <v>48.492422101690408</v>
      </c>
      <c r="AG307" s="6">
        <f ca="1">$O$307*$AA$307</f>
        <v>12.668342646477274</v>
      </c>
    </row>
    <row r="308" spans="1:33" ht="11.25" customHeight="1" x14ac:dyDescent="0.3">
      <c r="A308" s="4" t="s">
        <v>21</v>
      </c>
      <c r="B308" s="4" t="s">
        <v>39</v>
      </c>
      <c r="C308" s="4" t="s">
        <v>40</v>
      </c>
      <c r="D308" s="4" t="s">
        <v>38</v>
      </c>
      <c r="E308" s="4" t="s">
        <v>25</v>
      </c>
      <c r="F308" s="4" t="s">
        <v>25</v>
      </c>
      <c r="G308" s="4" t="s">
        <v>25</v>
      </c>
      <c r="H308" s="4" t="s">
        <v>34</v>
      </c>
      <c r="I308" s="5">
        <v>44805</v>
      </c>
      <c r="J308" s="6">
        <v>0</v>
      </c>
      <c r="K308" s="6">
        <v>0</v>
      </c>
      <c r="L308" s="6">
        <v>15.657</v>
      </c>
      <c r="M308" s="6">
        <v>15.657</v>
      </c>
      <c r="N308" s="6">
        <v>15.657</v>
      </c>
      <c r="O308" s="6">
        <v>15.657</v>
      </c>
      <c r="P308" s="6">
        <v>0</v>
      </c>
      <c r="Q308" s="4" t="s">
        <v>26</v>
      </c>
      <c r="R308" s="4">
        <v>0</v>
      </c>
      <c r="S308" s="6">
        <v>0</v>
      </c>
      <c r="T308" s="6">
        <v>15</v>
      </c>
      <c r="U308" s="6">
        <v>65</v>
      </c>
      <c r="V308" s="6">
        <f>IF(ISERROR(VLOOKUP($S$308,'TAR FIN'!$A$1:$O$103,15,0)),0,VLOOKUP($S$308,'TAR FIN'!$A$1:$O$103,15,0))</f>
        <v>0</v>
      </c>
      <c r="W308" s="6">
        <f>IF(ISERROR(VLOOKUP($T$308,'TAR FIN'!$A$1:$O$103,15,0)),0,VLOOKUP($T$308,'TAR FIN'!$A$1:$O$103,15,0))</f>
        <v>1195.82</v>
      </c>
      <c r="X308" s="6">
        <f>IF(ISERROR(VLOOKUP($U$308,'TAR FIN'!$A$1:$O$103,15,0)),0,VLOOKUP($U$308,'TAR FIN'!$A$1:$O$103,15,0))</f>
        <v>391.54</v>
      </c>
      <c r="Y308" s="6"/>
      <c r="Z308" s="6">
        <f ca="1">('TUSD BE'!$AM$23+'TUSD BF_350'!$AM$23+'TUSD CVA'!$AM$23)*1</f>
        <v>1385.4977743340116</v>
      </c>
      <c r="AA308" s="6">
        <f ca="1">('TE BE'!$AB$8+'TE BF_350'!$AB$8+'TE CVA'!$AB$8)*1</f>
        <v>361.95264704220779</v>
      </c>
      <c r="AB308" s="6">
        <f>$K$308*$V$308</f>
        <v>0</v>
      </c>
      <c r="AC308" s="6">
        <f>$M$308*$W$308</f>
        <v>18722.953740000001</v>
      </c>
      <c r="AD308" s="6">
        <f>$O$308*$X$308</f>
        <v>6130.3417800000007</v>
      </c>
      <c r="AE308" s="6">
        <f>$K$308*$Y$308</f>
        <v>0</v>
      </c>
      <c r="AF308" s="6">
        <f ca="1">$M$308*$Z$308</f>
        <v>21692.738652747619</v>
      </c>
      <c r="AG308" s="6">
        <f ca="1">$O$308*$AA$308</f>
        <v>5667.0925947398473</v>
      </c>
    </row>
    <row r="309" spans="1:33" ht="11.25" customHeight="1" x14ac:dyDescent="0.3">
      <c r="A309" s="4" t="s">
        <v>28</v>
      </c>
      <c r="B309" s="4" t="s">
        <v>39</v>
      </c>
      <c r="C309" s="4" t="s">
        <v>40</v>
      </c>
      <c r="D309" s="4" t="s">
        <v>38</v>
      </c>
      <c r="E309" s="4" t="s">
        <v>25</v>
      </c>
      <c r="F309" s="4" t="s">
        <v>25</v>
      </c>
      <c r="G309" s="4" t="s">
        <v>25</v>
      </c>
      <c r="H309" s="4" t="s">
        <v>34</v>
      </c>
      <c r="I309" s="5">
        <v>44805</v>
      </c>
      <c r="J309" s="6">
        <v>0</v>
      </c>
      <c r="K309" s="6">
        <v>0</v>
      </c>
      <c r="L309" s="6">
        <v>3.5999999999999997E-2</v>
      </c>
      <c r="M309" s="6">
        <v>3.5999999999999997E-2</v>
      </c>
      <c r="N309" s="6">
        <v>3.5999999999999997E-2</v>
      </c>
      <c r="O309" s="6">
        <v>3.5999999999999997E-2</v>
      </c>
      <c r="P309" s="6">
        <v>0</v>
      </c>
      <c r="Q309" s="4" t="s">
        <v>26</v>
      </c>
      <c r="R309" s="4">
        <v>0</v>
      </c>
      <c r="S309" s="6">
        <v>0</v>
      </c>
      <c r="T309" s="6">
        <v>15</v>
      </c>
      <c r="U309" s="6">
        <v>65</v>
      </c>
      <c r="V309" s="6">
        <f>IF(ISERROR(VLOOKUP($S$309,'TAR FIN'!$A$1:$O$103,15,0)),0,VLOOKUP($S$309,'TAR FIN'!$A$1:$O$103,15,0))</f>
        <v>0</v>
      </c>
      <c r="W309" s="6">
        <f>IF(ISERROR(VLOOKUP($T$309,'TAR FIN'!$A$1:$O$103,15,0)),0,VLOOKUP($T$309,'TAR FIN'!$A$1:$O$103,15,0))</f>
        <v>1195.82</v>
      </c>
      <c r="X309" s="6">
        <f>IF(ISERROR(VLOOKUP($U$309,'TAR FIN'!$A$1:$O$103,15,0)),0,VLOOKUP($U$309,'TAR FIN'!$A$1:$O$103,15,0))</f>
        <v>391.54</v>
      </c>
      <c r="Y309" s="6"/>
      <c r="Z309" s="6">
        <f ca="1">('TUSD BE'!$AM$23+'TUSD BF_350'!$AM$23+'TUSD CVA'!$AM$23)*1</f>
        <v>1385.4977743340116</v>
      </c>
      <c r="AA309" s="6">
        <f ca="1">('TE BE'!$AB$8+'TE BF_350'!$AB$8+'TE CVA'!$AB$8)*1</f>
        <v>361.95264704220779</v>
      </c>
      <c r="AB309" s="6">
        <f>$K$309*$V$309</f>
        <v>0</v>
      </c>
      <c r="AC309" s="6">
        <f>$M$309*$W$309</f>
        <v>43.049519999999994</v>
      </c>
      <c r="AD309" s="6">
        <f>$O$309*$X$309</f>
        <v>14.09544</v>
      </c>
      <c r="AE309" s="6">
        <f>$K$309*$Y$309</f>
        <v>0</v>
      </c>
      <c r="AF309" s="6">
        <f ca="1">$M$309*$Z$309</f>
        <v>49.877919876024414</v>
      </c>
      <c r="AG309" s="6">
        <f ca="1">$O$309*$AA$309</f>
        <v>13.03029529351948</v>
      </c>
    </row>
    <row r="310" spans="1:33" ht="11.25" customHeight="1" x14ac:dyDescent="0.3">
      <c r="A310" s="4" t="s">
        <v>57</v>
      </c>
      <c r="B310" s="4" t="s">
        <v>39</v>
      </c>
      <c r="C310" s="4" t="s">
        <v>40</v>
      </c>
      <c r="D310" s="4" t="s">
        <v>38</v>
      </c>
      <c r="E310" s="4" t="s">
        <v>25</v>
      </c>
      <c r="F310" s="4" t="s">
        <v>25</v>
      </c>
      <c r="G310" s="4" t="s">
        <v>25</v>
      </c>
      <c r="H310" s="4" t="s">
        <v>34</v>
      </c>
      <c r="I310" s="5">
        <v>44835</v>
      </c>
      <c r="J310" s="6">
        <v>0</v>
      </c>
      <c r="K310" s="6">
        <v>0</v>
      </c>
      <c r="L310" s="6">
        <v>15.657</v>
      </c>
      <c r="M310" s="6">
        <v>15.657</v>
      </c>
      <c r="N310" s="6">
        <v>15.657</v>
      </c>
      <c r="O310" s="6">
        <v>15.657</v>
      </c>
      <c r="P310" s="6">
        <v>0</v>
      </c>
      <c r="Q310" s="4" t="s">
        <v>26</v>
      </c>
      <c r="R310" s="4">
        <v>0</v>
      </c>
      <c r="S310" s="6">
        <v>0</v>
      </c>
      <c r="T310" s="6">
        <v>15</v>
      </c>
      <c r="U310" s="6">
        <v>65</v>
      </c>
      <c r="V310" s="6">
        <f>IF(ISERROR(VLOOKUP($S$310,'TAR FIN'!$A$1:$O$103,15,0)),0,VLOOKUP($S$310,'TAR FIN'!$A$1:$O$103,15,0))</f>
        <v>0</v>
      </c>
      <c r="W310" s="6">
        <f>IF(ISERROR(VLOOKUP($T$310,'TAR FIN'!$A$1:$O$103,15,0)),0,VLOOKUP($T$310,'TAR FIN'!$A$1:$O$103,15,0))</f>
        <v>1195.82</v>
      </c>
      <c r="X310" s="6">
        <f>IF(ISERROR(VLOOKUP($U$310,'TAR FIN'!$A$1:$O$103,15,0)),0,VLOOKUP($U$310,'TAR FIN'!$A$1:$O$103,15,0))</f>
        <v>391.54</v>
      </c>
      <c r="Y310" s="6"/>
      <c r="Z310" s="6">
        <f ca="1">('TUSD BE'!$AM$23+'TUSD BF_350'!$AM$23+'TUSD CVA'!$AM$23)*1</f>
        <v>1385.4977743340116</v>
      </c>
      <c r="AA310" s="6">
        <f ca="1">('TE BE'!$AB$8+'TE BF_350'!$AB$8+'TE CVA'!$AB$8)*1</f>
        <v>361.95264704220779</v>
      </c>
      <c r="AB310" s="6">
        <f>$K$310*$V$310</f>
        <v>0</v>
      </c>
      <c r="AC310" s="6">
        <f>$M$310*$W$310</f>
        <v>18722.953740000001</v>
      </c>
      <c r="AD310" s="6">
        <f>$O$310*$X$310</f>
        <v>6130.3417800000007</v>
      </c>
      <c r="AE310" s="6">
        <f>$K$310*$Y$310</f>
        <v>0</v>
      </c>
      <c r="AF310" s="6">
        <f ca="1">$M$310*$Z$310</f>
        <v>21692.738652747619</v>
      </c>
      <c r="AG310" s="6">
        <f ca="1">$O$310*$AA$310</f>
        <v>5667.0925947398473</v>
      </c>
    </row>
    <row r="311" spans="1:33" ht="11.25" customHeight="1" x14ac:dyDescent="0.3">
      <c r="A311" s="4" t="s">
        <v>57</v>
      </c>
      <c r="B311" s="4" t="s">
        <v>39</v>
      </c>
      <c r="C311" s="4" t="s">
        <v>40</v>
      </c>
      <c r="D311" s="4" t="s">
        <v>38</v>
      </c>
      <c r="E311" s="4" t="s">
        <v>25</v>
      </c>
      <c r="F311" s="4" t="s">
        <v>25</v>
      </c>
      <c r="G311" s="4" t="s">
        <v>25</v>
      </c>
      <c r="H311" s="4" t="s">
        <v>34</v>
      </c>
      <c r="I311" s="5">
        <v>44835</v>
      </c>
      <c r="J311" s="6">
        <v>0</v>
      </c>
      <c r="K311" s="6">
        <v>0</v>
      </c>
      <c r="L311" s="6">
        <v>3.5999999999999997E-2</v>
      </c>
      <c r="M311" s="6">
        <v>3.5999999999999997E-2</v>
      </c>
      <c r="N311" s="6">
        <v>3.5999999999999997E-2</v>
      </c>
      <c r="O311" s="6">
        <v>3.5999999999999997E-2</v>
      </c>
      <c r="P311" s="6">
        <v>0</v>
      </c>
      <c r="Q311" s="4" t="s">
        <v>26</v>
      </c>
      <c r="R311" s="4">
        <v>0</v>
      </c>
      <c r="S311" s="6">
        <v>0</v>
      </c>
      <c r="T311" s="6">
        <v>15</v>
      </c>
      <c r="U311" s="6">
        <v>65</v>
      </c>
      <c r="V311" s="6">
        <f>IF(ISERROR(VLOOKUP($S$311,'TAR FIN'!$A$1:$O$103,15,0)),0,VLOOKUP($S$311,'TAR FIN'!$A$1:$O$103,15,0))</f>
        <v>0</v>
      </c>
      <c r="W311" s="6">
        <f>IF(ISERROR(VLOOKUP($T$311,'TAR FIN'!$A$1:$O$103,15,0)),0,VLOOKUP($T$311,'TAR FIN'!$A$1:$O$103,15,0))</f>
        <v>1195.82</v>
      </c>
      <c r="X311" s="6">
        <f>IF(ISERROR(VLOOKUP($U$311,'TAR FIN'!$A$1:$O$103,15,0)),0,VLOOKUP($U$311,'TAR FIN'!$A$1:$O$103,15,0))</f>
        <v>391.54</v>
      </c>
      <c r="Y311" s="6"/>
      <c r="Z311" s="6">
        <f ca="1">('TUSD BE'!$AM$23+'TUSD BF_350'!$AM$23+'TUSD CVA'!$AM$23)*1</f>
        <v>1385.4977743340116</v>
      </c>
      <c r="AA311" s="6">
        <f ca="1">('TE BE'!$AB$8+'TE BF_350'!$AB$8+'TE CVA'!$AB$8)*1</f>
        <v>361.95264704220779</v>
      </c>
      <c r="AB311" s="6">
        <f>$K$311*$V$311</f>
        <v>0</v>
      </c>
      <c r="AC311" s="6">
        <f>$M$311*$W$311</f>
        <v>43.049519999999994</v>
      </c>
      <c r="AD311" s="6">
        <f>$O$311*$X$311</f>
        <v>14.09544</v>
      </c>
      <c r="AE311" s="6">
        <f>$K$311*$Y$311</f>
        <v>0</v>
      </c>
      <c r="AF311" s="6">
        <f ca="1">$M$311*$Z$311</f>
        <v>49.877919876024414</v>
      </c>
      <c r="AG311" s="6">
        <f ca="1">$O$311*$AA$311</f>
        <v>13.03029529351948</v>
      </c>
    </row>
    <row r="312" spans="1:33" ht="11.25" customHeight="1" x14ac:dyDescent="0.3">
      <c r="A312" s="4" t="s">
        <v>21</v>
      </c>
      <c r="B312" s="4" t="s">
        <v>39</v>
      </c>
      <c r="C312" s="4" t="s">
        <v>40</v>
      </c>
      <c r="D312" s="4" t="s">
        <v>46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44501</v>
      </c>
      <c r="J312" s="6">
        <v>0</v>
      </c>
      <c r="K312" s="6">
        <v>0</v>
      </c>
      <c r="L312" s="6">
        <v>44.543999999999997</v>
      </c>
      <c r="M312" s="6">
        <v>44.543999999999997</v>
      </c>
      <c r="N312" s="6">
        <v>44.543999999999997</v>
      </c>
      <c r="O312" s="6">
        <v>44.543999999999997</v>
      </c>
      <c r="P312" s="6">
        <v>0</v>
      </c>
      <c r="Q312" s="4" t="s">
        <v>26</v>
      </c>
      <c r="R312" s="4">
        <v>0</v>
      </c>
      <c r="S312" s="6">
        <v>0</v>
      </c>
      <c r="T312" s="6">
        <v>17</v>
      </c>
      <c r="U312" s="6">
        <v>66</v>
      </c>
      <c r="V312" s="6">
        <f>IF(ISERROR(VLOOKUP($S$312,'TAR FIN'!$A$1:$O$103,15,0)),0,VLOOKUP($S$312,'TAR FIN'!$A$1:$O$103,15,0))</f>
        <v>0</v>
      </c>
      <c r="W312" s="6">
        <f>IF(ISERROR(VLOOKUP($T$312,'TAR FIN'!$A$1:$O$103,15,0)),0,VLOOKUP($T$312,'TAR FIN'!$A$1:$O$103,15,0))</f>
        <v>84.99</v>
      </c>
      <c r="X312" s="6">
        <f>IF(ISERROR(VLOOKUP($U$312,'TAR FIN'!$A$1:$O$103,15,0)),0,VLOOKUP($U$312,'TAR FIN'!$A$1:$O$103,15,0))</f>
        <v>242.77</v>
      </c>
      <c r="Y312" s="6"/>
      <c r="Z312" s="6">
        <f ca="1">('TUSD BE'!$AM$24+'TUSD BF_350'!$AM$24+'TUSD CVA'!$AM$24)*1</f>
        <v>145.72237393634796</v>
      </c>
      <c r="AA312" s="6">
        <f ca="1">('TE BE'!$AB$9+'TE BF_350'!$AB$9+'TE CVA'!$AB$9)*1</f>
        <v>222.39386487986414</v>
      </c>
      <c r="AB312" s="6">
        <f>$K$312*$V$312</f>
        <v>0</v>
      </c>
      <c r="AC312" s="6">
        <f>$M$312*$W$312</f>
        <v>3785.7945599999994</v>
      </c>
      <c r="AD312" s="6">
        <f>$O$312*$X$312</f>
        <v>10813.94688</v>
      </c>
      <c r="AE312" s="6">
        <f>$K$312*$Y$312</f>
        <v>0</v>
      </c>
      <c r="AF312" s="6">
        <f ca="1">$M$312*$Z$312</f>
        <v>6491.0574246206834</v>
      </c>
      <c r="AG312" s="6">
        <f ca="1">$O$312*$AA$312</f>
        <v>9906.3123172086671</v>
      </c>
    </row>
    <row r="313" spans="1:33" ht="11.25" customHeight="1" x14ac:dyDescent="0.3">
      <c r="A313" s="4" t="s">
        <v>28</v>
      </c>
      <c r="B313" s="4" t="s">
        <v>39</v>
      </c>
      <c r="C313" s="4" t="s">
        <v>40</v>
      </c>
      <c r="D313" s="4" t="s">
        <v>46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44501</v>
      </c>
      <c r="J313" s="6">
        <v>0</v>
      </c>
      <c r="K313" s="6">
        <v>0</v>
      </c>
      <c r="L313" s="6">
        <v>13.754</v>
      </c>
      <c r="M313" s="6">
        <v>13.754</v>
      </c>
      <c r="N313" s="6">
        <v>13.754</v>
      </c>
      <c r="O313" s="6">
        <v>13.754</v>
      </c>
      <c r="P313" s="6">
        <v>0</v>
      </c>
      <c r="Q313" s="4" t="s">
        <v>26</v>
      </c>
      <c r="R313" s="4">
        <v>0</v>
      </c>
      <c r="S313" s="6">
        <v>0</v>
      </c>
      <c r="T313" s="6">
        <v>17</v>
      </c>
      <c r="U313" s="6">
        <v>66</v>
      </c>
      <c r="V313" s="6">
        <f>IF(ISERROR(VLOOKUP($S$313,'TAR FIN'!$A$1:$O$103,15,0)),0,VLOOKUP($S$313,'TAR FIN'!$A$1:$O$103,15,0))</f>
        <v>0</v>
      </c>
      <c r="W313" s="6">
        <f>IF(ISERROR(VLOOKUP($T$313,'TAR FIN'!$A$1:$O$103,15,0)),0,VLOOKUP($T$313,'TAR FIN'!$A$1:$O$103,15,0))</f>
        <v>84.99</v>
      </c>
      <c r="X313" s="6">
        <f>IF(ISERROR(VLOOKUP($U$313,'TAR FIN'!$A$1:$O$103,15,0)),0,VLOOKUP($U$313,'TAR FIN'!$A$1:$O$103,15,0))</f>
        <v>242.77</v>
      </c>
      <c r="Y313" s="6"/>
      <c r="Z313" s="6">
        <f ca="1">('TUSD BE'!$AM$24+'TUSD BF_350'!$AM$24+'TUSD CVA'!$AM$24)*1</f>
        <v>145.72237393634796</v>
      </c>
      <c r="AA313" s="6">
        <f ca="1">('TE BE'!$AB$9+'TE BF_350'!$AB$9+'TE CVA'!$AB$9)*1</f>
        <v>222.39386487986414</v>
      </c>
      <c r="AB313" s="6">
        <f>$K$313*$V$313</f>
        <v>0</v>
      </c>
      <c r="AC313" s="6">
        <f>$M$313*$W$313</f>
        <v>1168.95246</v>
      </c>
      <c r="AD313" s="6">
        <f>$O$313*$X$313</f>
        <v>3339.0585799999999</v>
      </c>
      <c r="AE313" s="6">
        <f>$K$313*$Y$313</f>
        <v>0</v>
      </c>
      <c r="AF313" s="6">
        <f ca="1">$M$313*$Z$313</f>
        <v>2004.2655311205299</v>
      </c>
      <c r="AG313" s="6">
        <f ca="1">$O$313*$AA$313</f>
        <v>3058.8052175576513</v>
      </c>
    </row>
    <row r="314" spans="1:33" ht="11.25" customHeight="1" x14ac:dyDescent="0.3">
      <c r="A314" s="4" t="s">
        <v>21</v>
      </c>
      <c r="B314" s="4" t="s">
        <v>39</v>
      </c>
      <c r="C314" s="4" t="s">
        <v>40</v>
      </c>
      <c r="D314" s="4" t="s">
        <v>46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44531</v>
      </c>
      <c r="J314" s="6">
        <v>0</v>
      </c>
      <c r="K314" s="6">
        <v>0</v>
      </c>
      <c r="L314" s="6">
        <v>38.204999999999998</v>
      </c>
      <c r="M314" s="6">
        <v>38.204999999999998</v>
      </c>
      <c r="N314" s="6">
        <v>38.204999999999998</v>
      </c>
      <c r="O314" s="6">
        <v>38.204999999999998</v>
      </c>
      <c r="P314" s="6">
        <v>0</v>
      </c>
      <c r="Q314" s="4" t="s">
        <v>26</v>
      </c>
      <c r="R314" s="4">
        <v>0</v>
      </c>
      <c r="S314" s="6">
        <v>0</v>
      </c>
      <c r="T314" s="6">
        <v>17</v>
      </c>
      <c r="U314" s="6">
        <v>66</v>
      </c>
      <c r="V314" s="6">
        <f>IF(ISERROR(VLOOKUP($S$314,'TAR FIN'!$A$1:$O$103,15,0)),0,VLOOKUP($S$314,'TAR FIN'!$A$1:$O$103,15,0))</f>
        <v>0</v>
      </c>
      <c r="W314" s="6">
        <f>IF(ISERROR(VLOOKUP($T$314,'TAR FIN'!$A$1:$O$103,15,0)),0,VLOOKUP($T$314,'TAR FIN'!$A$1:$O$103,15,0))</f>
        <v>84.99</v>
      </c>
      <c r="X314" s="6">
        <f>IF(ISERROR(VLOOKUP($U$314,'TAR FIN'!$A$1:$O$103,15,0)),0,VLOOKUP($U$314,'TAR FIN'!$A$1:$O$103,15,0))</f>
        <v>242.77</v>
      </c>
      <c r="Y314" s="6"/>
      <c r="Z314" s="6">
        <f ca="1">('TUSD BE'!$AM$24+'TUSD BF_350'!$AM$24+'TUSD CVA'!$AM$24)*1</f>
        <v>145.72237393634796</v>
      </c>
      <c r="AA314" s="6">
        <f ca="1">('TE BE'!$AB$9+'TE BF_350'!$AB$9+'TE CVA'!$AB$9)*1</f>
        <v>222.39386487986414</v>
      </c>
      <c r="AB314" s="6">
        <f>$K$314*$V$314</f>
        <v>0</v>
      </c>
      <c r="AC314" s="6">
        <f>$M$314*$W$314</f>
        <v>3247.0429499999996</v>
      </c>
      <c r="AD314" s="6">
        <f>$O$314*$X$314</f>
        <v>9275.0278500000004</v>
      </c>
      <c r="AE314" s="6">
        <f>$K$314*$Y$314</f>
        <v>0</v>
      </c>
      <c r="AF314" s="6">
        <f ca="1">$M$314*$Z$314</f>
        <v>5567.3232962381735</v>
      </c>
      <c r="AG314" s="6">
        <f ca="1">$O$314*$AA$314</f>
        <v>8496.5576077352089</v>
      </c>
    </row>
    <row r="315" spans="1:33" ht="11.25" customHeight="1" x14ac:dyDescent="0.3">
      <c r="A315" s="4" t="s">
        <v>28</v>
      </c>
      <c r="B315" s="4" t="s">
        <v>39</v>
      </c>
      <c r="C315" s="4" t="s">
        <v>40</v>
      </c>
      <c r="D315" s="4" t="s">
        <v>46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44531</v>
      </c>
      <c r="J315" s="6">
        <v>0</v>
      </c>
      <c r="K315" s="6">
        <v>0</v>
      </c>
      <c r="L315" s="6">
        <v>11.188000000000001</v>
      </c>
      <c r="M315" s="6">
        <v>11.188000000000001</v>
      </c>
      <c r="N315" s="6">
        <v>11.188000000000001</v>
      </c>
      <c r="O315" s="6">
        <v>11.188000000000001</v>
      </c>
      <c r="P315" s="6">
        <v>0</v>
      </c>
      <c r="Q315" s="4" t="s">
        <v>26</v>
      </c>
      <c r="R315" s="4">
        <v>0</v>
      </c>
      <c r="S315" s="6">
        <v>0</v>
      </c>
      <c r="T315" s="6">
        <v>17</v>
      </c>
      <c r="U315" s="6">
        <v>66</v>
      </c>
      <c r="V315" s="6">
        <f>IF(ISERROR(VLOOKUP($S$315,'TAR FIN'!$A$1:$O$103,15,0)),0,VLOOKUP($S$315,'TAR FIN'!$A$1:$O$103,15,0))</f>
        <v>0</v>
      </c>
      <c r="W315" s="6">
        <f>IF(ISERROR(VLOOKUP($T$315,'TAR FIN'!$A$1:$O$103,15,0)),0,VLOOKUP($T$315,'TAR FIN'!$A$1:$O$103,15,0))</f>
        <v>84.99</v>
      </c>
      <c r="X315" s="6">
        <f>IF(ISERROR(VLOOKUP($U$315,'TAR FIN'!$A$1:$O$103,15,0)),0,VLOOKUP($U$315,'TAR FIN'!$A$1:$O$103,15,0))</f>
        <v>242.77</v>
      </c>
      <c r="Y315" s="6"/>
      <c r="Z315" s="6">
        <f ca="1">('TUSD BE'!$AM$24+'TUSD BF_350'!$AM$24+'TUSD CVA'!$AM$24)*1</f>
        <v>145.72237393634796</v>
      </c>
      <c r="AA315" s="6">
        <f ca="1">('TE BE'!$AB$9+'TE BF_350'!$AB$9+'TE CVA'!$AB$9)*1</f>
        <v>222.39386487986414</v>
      </c>
      <c r="AB315" s="6">
        <f>$K$315*$V$315</f>
        <v>0</v>
      </c>
      <c r="AC315" s="6">
        <f>$M$315*$W$315</f>
        <v>950.86811999999998</v>
      </c>
      <c r="AD315" s="6">
        <f>$O$315*$X$315</f>
        <v>2716.1107600000005</v>
      </c>
      <c r="AE315" s="6">
        <f>$K$315*$Y$315</f>
        <v>0</v>
      </c>
      <c r="AF315" s="6">
        <f ca="1">$M$315*$Z$315</f>
        <v>1630.3419195998611</v>
      </c>
      <c r="AG315" s="6">
        <f ca="1">$O$315*$AA$315</f>
        <v>2488.14256027592</v>
      </c>
    </row>
    <row r="316" spans="1:33" ht="11.25" customHeight="1" x14ac:dyDescent="0.3">
      <c r="A316" s="4" t="s">
        <v>21</v>
      </c>
      <c r="B316" s="4" t="s">
        <v>39</v>
      </c>
      <c r="C316" s="4" t="s">
        <v>40</v>
      </c>
      <c r="D316" s="4" t="s">
        <v>46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44562</v>
      </c>
      <c r="J316" s="6">
        <v>0</v>
      </c>
      <c r="K316" s="6">
        <v>0</v>
      </c>
      <c r="L316" s="6">
        <v>34.058</v>
      </c>
      <c r="M316" s="6">
        <v>34.058</v>
      </c>
      <c r="N316" s="6">
        <v>34.058</v>
      </c>
      <c r="O316" s="6">
        <v>34.058</v>
      </c>
      <c r="P316" s="6">
        <v>0</v>
      </c>
      <c r="Q316" s="4" t="s">
        <v>26</v>
      </c>
      <c r="R316" s="4">
        <v>0</v>
      </c>
      <c r="S316" s="6">
        <v>0</v>
      </c>
      <c r="T316" s="6">
        <v>17</v>
      </c>
      <c r="U316" s="6">
        <v>66</v>
      </c>
      <c r="V316" s="6">
        <f>IF(ISERROR(VLOOKUP($S$316,'TAR FIN'!$A$1:$O$103,15,0)),0,VLOOKUP($S$316,'TAR FIN'!$A$1:$O$103,15,0))</f>
        <v>0</v>
      </c>
      <c r="W316" s="6">
        <f>IF(ISERROR(VLOOKUP($T$316,'TAR FIN'!$A$1:$O$103,15,0)),0,VLOOKUP($T$316,'TAR FIN'!$A$1:$O$103,15,0))</f>
        <v>84.99</v>
      </c>
      <c r="X316" s="6">
        <f>IF(ISERROR(VLOOKUP($U$316,'TAR FIN'!$A$1:$O$103,15,0)),0,VLOOKUP($U$316,'TAR FIN'!$A$1:$O$103,15,0))</f>
        <v>242.77</v>
      </c>
      <c r="Y316" s="6"/>
      <c r="Z316" s="6">
        <f ca="1">('TUSD BE'!$AM$24+'TUSD BF_350'!$AM$24+'TUSD CVA'!$AM$24)*1</f>
        <v>145.72237393634796</v>
      </c>
      <c r="AA316" s="6">
        <f ca="1">('TE BE'!$AB$9+'TE BF_350'!$AB$9+'TE CVA'!$AB$9)*1</f>
        <v>222.39386487986414</v>
      </c>
      <c r="AB316" s="6">
        <f>$K$316*$V$316</f>
        <v>0</v>
      </c>
      <c r="AC316" s="6">
        <f>$M$316*$W$316</f>
        <v>2894.5894199999998</v>
      </c>
      <c r="AD316" s="6">
        <f>$O$316*$X$316</f>
        <v>8268.2606599999999</v>
      </c>
      <c r="AE316" s="6">
        <f>$K$316*$Y$316</f>
        <v>0</v>
      </c>
      <c r="AF316" s="6">
        <f ca="1">$M$316*$Z$316</f>
        <v>4963.0126115241392</v>
      </c>
      <c r="AG316" s="6">
        <f ca="1">$O$316*$AA$316</f>
        <v>7574.290250078413</v>
      </c>
    </row>
    <row r="317" spans="1:33" ht="11.25" customHeight="1" x14ac:dyDescent="0.3">
      <c r="A317" s="4" t="s">
        <v>28</v>
      </c>
      <c r="B317" s="4" t="s">
        <v>39</v>
      </c>
      <c r="C317" s="4" t="s">
        <v>40</v>
      </c>
      <c r="D317" s="4" t="s">
        <v>46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44562</v>
      </c>
      <c r="J317" s="6">
        <v>0</v>
      </c>
      <c r="K317" s="6">
        <v>0</v>
      </c>
      <c r="L317" s="6">
        <v>12.085000000000001</v>
      </c>
      <c r="M317" s="6">
        <v>12.085000000000001</v>
      </c>
      <c r="N317" s="6">
        <v>12.085000000000001</v>
      </c>
      <c r="O317" s="6">
        <v>12.085000000000001</v>
      </c>
      <c r="P317" s="6">
        <v>0</v>
      </c>
      <c r="Q317" s="4" t="s">
        <v>26</v>
      </c>
      <c r="R317" s="4">
        <v>0</v>
      </c>
      <c r="S317" s="6">
        <v>0</v>
      </c>
      <c r="T317" s="6">
        <v>17</v>
      </c>
      <c r="U317" s="6">
        <v>66</v>
      </c>
      <c r="V317" s="6">
        <f>IF(ISERROR(VLOOKUP($S$317,'TAR FIN'!$A$1:$O$103,15,0)),0,VLOOKUP($S$317,'TAR FIN'!$A$1:$O$103,15,0))</f>
        <v>0</v>
      </c>
      <c r="W317" s="6">
        <f>IF(ISERROR(VLOOKUP($T$317,'TAR FIN'!$A$1:$O$103,15,0)),0,VLOOKUP($T$317,'TAR FIN'!$A$1:$O$103,15,0))</f>
        <v>84.99</v>
      </c>
      <c r="X317" s="6">
        <f>IF(ISERROR(VLOOKUP($U$317,'TAR FIN'!$A$1:$O$103,15,0)),0,VLOOKUP($U$317,'TAR FIN'!$A$1:$O$103,15,0))</f>
        <v>242.77</v>
      </c>
      <c r="Y317" s="6"/>
      <c r="Z317" s="6">
        <f ca="1">('TUSD BE'!$AM$24+'TUSD BF_350'!$AM$24+'TUSD CVA'!$AM$24)*1</f>
        <v>145.72237393634796</v>
      </c>
      <c r="AA317" s="6">
        <f ca="1">('TE BE'!$AB$9+'TE BF_350'!$AB$9+'TE CVA'!$AB$9)*1</f>
        <v>222.39386487986414</v>
      </c>
      <c r="AB317" s="6">
        <f>$K$317*$V$317</f>
        <v>0</v>
      </c>
      <c r="AC317" s="6">
        <f>$M$317*$W$317</f>
        <v>1027.1041500000001</v>
      </c>
      <c r="AD317" s="6">
        <f>$O$317*$X$317</f>
        <v>2933.8754500000005</v>
      </c>
      <c r="AE317" s="6">
        <f>$K$317*$Y$317</f>
        <v>0</v>
      </c>
      <c r="AF317" s="6">
        <f ca="1">$M$317*$Z$317</f>
        <v>1761.0548890207654</v>
      </c>
      <c r="AG317" s="6">
        <f ca="1">$O$317*$AA$317</f>
        <v>2687.6298570731583</v>
      </c>
    </row>
    <row r="318" spans="1:33" ht="11.25" customHeight="1" x14ac:dyDescent="0.3">
      <c r="A318" s="4" t="s">
        <v>21</v>
      </c>
      <c r="B318" s="4" t="s">
        <v>39</v>
      </c>
      <c r="C318" s="4" t="s">
        <v>40</v>
      </c>
      <c r="D318" s="4" t="s">
        <v>46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44593</v>
      </c>
      <c r="J318" s="6">
        <v>0</v>
      </c>
      <c r="K318" s="6">
        <v>0</v>
      </c>
      <c r="L318" s="6">
        <v>38.064</v>
      </c>
      <c r="M318" s="6">
        <v>38.064</v>
      </c>
      <c r="N318" s="6">
        <v>38.064</v>
      </c>
      <c r="O318" s="6">
        <v>38.064</v>
      </c>
      <c r="P318" s="6">
        <v>0</v>
      </c>
      <c r="Q318" s="4" t="s">
        <v>26</v>
      </c>
      <c r="R318" s="4">
        <v>0</v>
      </c>
      <c r="S318" s="6">
        <v>0</v>
      </c>
      <c r="T318" s="6">
        <v>17</v>
      </c>
      <c r="U318" s="6">
        <v>66</v>
      </c>
      <c r="V318" s="6">
        <f>IF(ISERROR(VLOOKUP($S$318,'TAR FIN'!$A$1:$O$103,15,0)),0,VLOOKUP($S$318,'TAR FIN'!$A$1:$O$103,15,0))</f>
        <v>0</v>
      </c>
      <c r="W318" s="6">
        <f>IF(ISERROR(VLOOKUP($T$318,'TAR FIN'!$A$1:$O$103,15,0)),0,VLOOKUP($T$318,'TAR FIN'!$A$1:$O$103,15,0))</f>
        <v>84.99</v>
      </c>
      <c r="X318" s="6">
        <f>IF(ISERROR(VLOOKUP($U$318,'TAR FIN'!$A$1:$O$103,15,0)),0,VLOOKUP($U$318,'TAR FIN'!$A$1:$O$103,15,0))</f>
        <v>242.77</v>
      </c>
      <c r="Y318" s="6"/>
      <c r="Z318" s="6">
        <f ca="1">('TUSD BE'!$AM$24+'TUSD BF_350'!$AM$24+'TUSD CVA'!$AM$24)*1</f>
        <v>145.72237393634796</v>
      </c>
      <c r="AA318" s="6">
        <f ca="1">('TE BE'!$AB$9+'TE BF_350'!$AB$9+'TE CVA'!$AB$9)*1</f>
        <v>222.39386487986414</v>
      </c>
      <c r="AB318" s="6">
        <f>$K$318*$V$318</f>
        <v>0</v>
      </c>
      <c r="AC318" s="6">
        <f>$M$318*$W$318</f>
        <v>3235.0593599999997</v>
      </c>
      <c r="AD318" s="6">
        <f>$O$318*$X$318</f>
        <v>9240.7972800000007</v>
      </c>
      <c r="AE318" s="6">
        <f>$K$318*$Y$318</f>
        <v>0</v>
      </c>
      <c r="AF318" s="6">
        <f ca="1">$M$318*$Z$318</f>
        <v>5546.7764415131487</v>
      </c>
      <c r="AG318" s="6">
        <f ca="1">$O$318*$AA$318</f>
        <v>8465.2000727871491</v>
      </c>
    </row>
    <row r="319" spans="1:33" ht="11.25" customHeight="1" x14ac:dyDescent="0.3">
      <c r="A319" s="4" t="s">
        <v>28</v>
      </c>
      <c r="B319" s="4" t="s">
        <v>39</v>
      </c>
      <c r="C319" s="4" t="s">
        <v>40</v>
      </c>
      <c r="D319" s="4" t="s">
        <v>46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44593</v>
      </c>
      <c r="J319" s="6">
        <v>0</v>
      </c>
      <c r="K319" s="6">
        <v>0</v>
      </c>
      <c r="L319" s="6">
        <v>16.135999999999999</v>
      </c>
      <c r="M319" s="6">
        <v>16.135999999999999</v>
      </c>
      <c r="N319" s="6">
        <v>16.135999999999999</v>
      </c>
      <c r="O319" s="6">
        <v>16.135999999999999</v>
      </c>
      <c r="P319" s="6">
        <v>0</v>
      </c>
      <c r="Q319" s="4" t="s">
        <v>26</v>
      </c>
      <c r="R319" s="4">
        <v>0</v>
      </c>
      <c r="S319" s="6">
        <v>0</v>
      </c>
      <c r="T319" s="6">
        <v>17</v>
      </c>
      <c r="U319" s="6">
        <v>66</v>
      </c>
      <c r="V319" s="6">
        <f>IF(ISERROR(VLOOKUP($S$319,'TAR FIN'!$A$1:$O$103,15,0)),0,VLOOKUP($S$319,'TAR FIN'!$A$1:$O$103,15,0))</f>
        <v>0</v>
      </c>
      <c r="W319" s="6">
        <f>IF(ISERROR(VLOOKUP($T$319,'TAR FIN'!$A$1:$O$103,15,0)),0,VLOOKUP($T$319,'TAR FIN'!$A$1:$O$103,15,0))</f>
        <v>84.99</v>
      </c>
      <c r="X319" s="6">
        <f>IF(ISERROR(VLOOKUP($U$319,'TAR FIN'!$A$1:$O$103,15,0)),0,VLOOKUP($U$319,'TAR FIN'!$A$1:$O$103,15,0))</f>
        <v>242.77</v>
      </c>
      <c r="Y319" s="6"/>
      <c r="Z319" s="6">
        <f ca="1">('TUSD BE'!$AM$24+'TUSD BF_350'!$AM$24+'TUSD CVA'!$AM$24)*1</f>
        <v>145.72237393634796</v>
      </c>
      <c r="AA319" s="6">
        <f ca="1">('TE BE'!$AB$9+'TE BF_350'!$AB$9+'TE CVA'!$AB$9)*1</f>
        <v>222.39386487986414</v>
      </c>
      <c r="AB319" s="6">
        <f>$K$319*$V$319</f>
        <v>0</v>
      </c>
      <c r="AC319" s="6">
        <f>$M$319*$W$319</f>
        <v>1371.3986399999999</v>
      </c>
      <c r="AD319" s="6">
        <f>$O$319*$X$319</f>
        <v>3917.3367199999998</v>
      </c>
      <c r="AE319" s="6">
        <f>$K$319*$Y$319</f>
        <v>0</v>
      </c>
      <c r="AF319" s="6">
        <f ca="1">$M$319*$Z$319</f>
        <v>2351.3762258369106</v>
      </c>
      <c r="AG319" s="6">
        <f ca="1">$O$319*$AA$319</f>
        <v>3588.5474037014874</v>
      </c>
    </row>
    <row r="320" spans="1:33" ht="11.25" customHeight="1" x14ac:dyDescent="0.3">
      <c r="A320" s="4" t="s">
        <v>21</v>
      </c>
      <c r="B320" s="4" t="s">
        <v>39</v>
      </c>
      <c r="C320" s="4" t="s">
        <v>40</v>
      </c>
      <c r="D320" s="4" t="s">
        <v>46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44621</v>
      </c>
      <c r="J320" s="6">
        <v>0</v>
      </c>
      <c r="K320" s="6">
        <v>0</v>
      </c>
      <c r="L320" s="6">
        <v>49.121000000000002</v>
      </c>
      <c r="M320" s="6">
        <v>49.121000000000002</v>
      </c>
      <c r="N320" s="6">
        <v>49.121000000000002</v>
      </c>
      <c r="O320" s="6">
        <v>49.121000000000002</v>
      </c>
      <c r="P320" s="6">
        <v>0</v>
      </c>
      <c r="Q320" s="4" t="s">
        <v>26</v>
      </c>
      <c r="R320" s="4">
        <v>0</v>
      </c>
      <c r="S320" s="6">
        <v>0</v>
      </c>
      <c r="T320" s="6">
        <v>17</v>
      </c>
      <c r="U320" s="6">
        <v>66</v>
      </c>
      <c r="V320" s="6">
        <f>IF(ISERROR(VLOOKUP($S$320,'TAR FIN'!$A$1:$O$103,15,0)),0,VLOOKUP($S$320,'TAR FIN'!$A$1:$O$103,15,0))</f>
        <v>0</v>
      </c>
      <c r="W320" s="6">
        <f>IF(ISERROR(VLOOKUP($T$320,'TAR FIN'!$A$1:$O$103,15,0)),0,VLOOKUP($T$320,'TAR FIN'!$A$1:$O$103,15,0))</f>
        <v>84.99</v>
      </c>
      <c r="X320" s="6">
        <f>IF(ISERROR(VLOOKUP($U$320,'TAR FIN'!$A$1:$O$103,15,0)),0,VLOOKUP($U$320,'TAR FIN'!$A$1:$O$103,15,0))</f>
        <v>242.77</v>
      </c>
      <c r="Y320" s="6"/>
      <c r="Z320" s="6">
        <f ca="1">('TUSD BE'!$AM$24+'TUSD BF_350'!$AM$24+'TUSD CVA'!$AM$24)*1</f>
        <v>145.72237393634796</v>
      </c>
      <c r="AA320" s="6">
        <f ca="1">('TE BE'!$AB$9+'TE BF_350'!$AB$9+'TE CVA'!$AB$9)*1</f>
        <v>222.39386487986414</v>
      </c>
      <c r="AB320" s="6">
        <f>$K$320*$V$320</f>
        <v>0</v>
      </c>
      <c r="AC320" s="6">
        <f>$M$320*$W$320</f>
        <v>4174.7937899999997</v>
      </c>
      <c r="AD320" s="6">
        <f>$O$320*$X$320</f>
        <v>11925.105170000001</v>
      </c>
      <c r="AE320" s="6">
        <f>$K$320*$Y$320</f>
        <v>0</v>
      </c>
      <c r="AF320" s="6">
        <f ca="1">$M$320*$Z$320</f>
        <v>7158.0287301273484</v>
      </c>
      <c r="AG320" s="6">
        <f ca="1">$O$320*$AA$320</f>
        <v>10924.209036763807</v>
      </c>
    </row>
    <row r="321" spans="1:33" ht="11.25" customHeight="1" x14ac:dyDescent="0.3">
      <c r="A321" s="4" t="s">
        <v>28</v>
      </c>
      <c r="B321" s="4" t="s">
        <v>39</v>
      </c>
      <c r="C321" s="4" t="s">
        <v>40</v>
      </c>
      <c r="D321" s="4" t="s">
        <v>46</v>
      </c>
      <c r="E321" s="4" t="s">
        <v>25</v>
      </c>
      <c r="F321" s="4" t="s">
        <v>25</v>
      </c>
      <c r="G321" s="4" t="s">
        <v>25</v>
      </c>
      <c r="H321" s="4" t="s">
        <v>35</v>
      </c>
      <c r="I321" s="5">
        <v>44621</v>
      </c>
      <c r="J321" s="6">
        <v>0</v>
      </c>
      <c r="K321" s="6">
        <v>0</v>
      </c>
      <c r="L321" s="6">
        <v>37.816000000000003</v>
      </c>
      <c r="M321" s="6">
        <v>37.816000000000003</v>
      </c>
      <c r="N321" s="6">
        <v>37.816000000000003</v>
      </c>
      <c r="O321" s="6">
        <v>37.816000000000003</v>
      </c>
      <c r="P321" s="6">
        <v>0</v>
      </c>
      <c r="Q321" s="4" t="s">
        <v>26</v>
      </c>
      <c r="R321" s="4">
        <v>0</v>
      </c>
      <c r="S321" s="6">
        <v>0</v>
      </c>
      <c r="T321" s="6">
        <v>17</v>
      </c>
      <c r="U321" s="6">
        <v>66</v>
      </c>
      <c r="V321" s="6">
        <f>IF(ISERROR(VLOOKUP($S$321,'TAR FIN'!$A$1:$O$103,15,0)),0,VLOOKUP($S$321,'TAR FIN'!$A$1:$O$103,15,0))</f>
        <v>0</v>
      </c>
      <c r="W321" s="6">
        <f>IF(ISERROR(VLOOKUP($T$321,'TAR FIN'!$A$1:$O$103,15,0)),0,VLOOKUP($T$321,'TAR FIN'!$A$1:$O$103,15,0))</f>
        <v>84.99</v>
      </c>
      <c r="X321" s="6">
        <f>IF(ISERROR(VLOOKUP($U$321,'TAR FIN'!$A$1:$O$103,15,0)),0,VLOOKUP($U$321,'TAR FIN'!$A$1:$O$103,15,0))</f>
        <v>242.77</v>
      </c>
      <c r="Y321" s="6"/>
      <c r="Z321" s="6">
        <f ca="1">('TUSD BE'!$AM$24+'TUSD BF_350'!$AM$24+'TUSD CVA'!$AM$24)*1</f>
        <v>145.72237393634796</v>
      </c>
      <c r="AA321" s="6">
        <f ca="1">('TE BE'!$AB$9+'TE BF_350'!$AB$9+'TE CVA'!$AB$9)*1</f>
        <v>222.39386487986414</v>
      </c>
      <c r="AB321" s="6">
        <f>$K$321*$V$321</f>
        <v>0</v>
      </c>
      <c r="AC321" s="6">
        <f>$M$321*$W$321</f>
        <v>3213.9818399999999</v>
      </c>
      <c r="AD321" s="6">
        <f>$O$321*$X$321</f>
        <v>9180.5903200000012</v>
      </c>
      <c r="AE321" s="6">
        <f>$K$321*$Y$321</f>
        <v>0</v>
      </c>
      <c r="AF321" s="6">
        <f ca="1">$M$321*$Z$321</f>
        <v>5510.6372927769353</v>
      </c>
      <c r="AG321" s="6">
        <f ca="1">$O$321*$AA$321</f>
        <v>8410.0463942969436</v>
      </c>
    </row>
    <row r="322" spans="1:33" ht="11.25" customHeight="1" x14ac:dyDescent="0.3">
      <c r="A322" s="4" t="s">
        <v>21</v>
      </c>
      <c r="B322" s="4" t="s">
        <v>39</v>
      </c>
      <c r="C322" s="4" t="s">
        <v>40</v>
      </c>
      <c r="D322" s="4" t="s">
        <v>46</v>
      </c>
      <c r="E322" s="4" t="s">
        <v>25</v>
      </c>
      <c r="F322" s="4" t="s">
        <v>25</v>
      </c>
      <c r="G322" s="4" t="s">
        <v>25</v>
      </c>
      <c r="H322" s="4" t="s">
        <v>35</v>
      </c>
      <c r="I322" s="5">
        <v>44652</v>
      </c>
      <c r="J322" s="6">
        <v>0</v>
      </c>
      <c r="K322" s="6">
        <v>0</v>
      </c>
      <c r="L322" s="6">
        <v>49.987000000000002</v>
      </c>
      <c r="M322" s="6">
        <v>49.987000000000002</v>
      </c>
      <c r="N322" s="6">
        <v>49.987000000000002</v>
      </c>
      <c r="O322" s="6">
        <v>49.987000000000002</v>
      </c>
      <c r="P322" s="6">
        <v>0</v>
      </c>
      <c r="Q322" s="4" t="s">
        <v>26</v>
      </c>
      <c r="R322" s="4">
        <v>0</v>
      </c>
      <c r="S322" s="6">
        <v>0</v>
      </c>
      <c r="T322" s="6">
        <v>17</v>
      </c>
      <c r="U322" s="6">
        <v>66</v>
      </c>
      <c r="V322" s="6">
        <f>IF(ISERROR(VLOOKUP($S$322,'TAR FIN'!$A$1:$O$103,15,0)),0,VLOOKUP($S$322,'TAR FIN'!$A$1:$O$103,15,0))</f>
        <v>0</v>
      </c>
      <c r="W322" s="6">
        <f>IF(ISERROR(VLOOKUP($T$322,'TAR FIN'!$A$1:$O$103,15,0)),0,VLOOKUP($T$322,'TAR FIN'!$A$1:$O$103,15,0))</f>
        <v>84.99</v>
      </c>
      <c r="X322" s="6">
        <f>IF(ISERROR(VLOOKUP($U$322,'TAR FIN'!$A$1:$O$103,15,0)),0,VLOOKUP($U$322,'TAR FIN'!$A$1:$O$103,15,0))</f>
        <v>242.77</v>
      </c>
      <c r="Y322" s="6"/>
      <c r="Z322" s="6">
        <f ca="1">('TUSD BE'!$AM$24+'TUSD BF_350'!$AM$24+'TUSD CVA'!$AM$24)*1</f>
        <v>145.72237393634796</v>
      </c>
      <c r="AA322" s="6">
        <f ca="1">('TE BE'!$AB$9+'TE BF_350'!$AB$9+'TE CVA'!$AB$9)*1</f>
        <v>222.39386487986414</v>
      </c>
      <c r="AB322" s="6">
        <f>$K$322*$V$322</f>
        <v>0</v>
      </c>
      <c r="AC322" s="6">
        <f>$M$322*$W$322</f>
        <v>4248.3951299999999</v>
      </c>
      <c r="AD322" s="6">
        <f>$O$322*$X$322</f>
        <v>12135.343990000001</v>
      </c>
      <c r="AE322" s="6">
        <f>$K$322*$Y$322</f>
        <v>0</v>
      </c>
      <c r="AF322" s="6">
        <f ca="1">$M$322*$Z$322</f>
        <v>7284.2243059562261</v>
      </c>
      <c r="AG322" s="6">
        <f ca="1">$O$322*$AA$322</f>
        <v>11116.802123749769</v>
      </c>
    </row>
    <row r="323" spans="1:33" ht="11.25" customHeight="1" x14ac:dyDescent="0.3">
      <c r="A323" s="4" t="s">
        <v>28</v>
      </c>
      <c r="B323" s="4" t="s">
        <v>39</v>
      </c>
      <c r="C323" s="4" t="s">
        <v>40</v>
      </c>
      <c r="D323" s="4" t="s">
        <v>46</v>
      </c>
      <c r="E323" s="4" t="s">
        <v>25</v>
      </c>
      <c r="F323" s="4" t="s">
        <v>25</v>
      </c>
      <c r="G323" s="4" t="s">
        <v>25</v>
      </c>
      <c r="H323" s="4" t="s">
        <v>35</v>
      </c>
      <c r="I323" s="5">
        <v>44652</v>
      </c>
      <c r="J323" s="6">
        <v>0</v>
      </c>
      <c r="K323" s="6">
        <v>0</v>
      </c>
      <c r="L323" s="6">
        <v>40.042999999999999</v>
      </c>
      <c r="M323" s="6">
        <v>40.042999999999999</v>
      </c>
      <c r="N323" s="6">
        <v>40.042999999999999</v>
      </c>
      <c r="O323" s="6">
        <v>40.042999999999999</v>
      </c>
      <c r="P323" s="6">
        <v>0</v>
      </c>
      <c r="Q323" s="4" t="s">
        <v>26</v>
      </c>
      <c r="R323" s="4">
        <v>0</v>
      </c>
      <c r="S323" s="6">
        <v>0</v>
      </c>
      <c r="T323" s="6">
        <v>17</v>
      </c>
      <c r="U323" s="6">
        <v>66</v>
      </c>
      <c r="V323" s="6">
        <f>IF(ISERROR(VLOOKUP($S$323,'TAR FIN'!$A$1:$O$103,15,0)),0,VLOOKUP($S$323,'TAR FIN'!$A$1:$O$103,15,0))</f>
        <v>0</v>
      </c>
      <c r="W323" s="6">
        <f>IF(ISERROR(VLOOKUP($T$323,'TAR FIN'!$A$1:$O$103,15,0)),0,VLOOKUP($T$323,'TAR FIN'!$A$1:$O$103,15,0))</f>
        <v>84.99</v>
      </c>
      <c r="X323" s="6">
        <f>IF(ISERROR(VLOOKUP($U$323,'TAR FIN'!$A$1:$O$103,15,0)),0,VLOOKUP($U$323,'TAR FIN'!$A$1:$O$103,15,0))</f>
        <v>242.77</v>
      </c>
      <c r="Y323" s="6"/>
      <c r="Z323" s="6">
        <f ca="1">('TUSD BE'!$AM$24+'TUSD BF_350'!$AM$24+'TUSD CVA'!$AM$24)*1</f>
        <v>145.72237393634796</v>
      </c>
      <c r="AA323" s="6">
        <f ca="1">('TE BE'!$AB$9+'TE BF_350'!$AB$9+'TE CVA'!$AB$9)*1</f>
        <v>222.39386487986414</v>
      </c>
      <c r="AB323" s="6">
        <f>$K$323*$V$323</f>
        <v>0</v>
      </c>
      <c r="AC323" s="6">
        <f>$M$323*$W$323</f>
        <v>3403.2545699999996</v>
      </c>
      <c r="AD323" s="6">
        <f>$O$323*$X$323</f>
        <v>9721.2391100000004</v>
      </c>
      <c r="AE323" s="6">
        <f>$K$323*$Y$323</f>
        <v>0</v>
      </c>
      <c r="AF323" s="6">
        <f ca="1">$M$323*$Z$323</f>
        <v>5835.1610195331814</v>
      </c>
      <c r="AG323" s="6">
        <f ca="1">$O$323*$AA$323</f>
        <v>8905.3175313844004</v>
      </c>
    </row>
    <row r="324" spans="1:33" ht="11.25" customHeight="1" x14ac:dyDescent="0.3">
      <c r="A324" s="4" t="s">
        <v>21</v>
      </c>
      <c r="B324" s="4" t="s">
        <v>39</v>
      </c>
      <c r="C324" s="4" t="s">
        <v>40</v>
      </c>
      <c r="D324" s="4" t="s">
        <v>46</v>
      </c>
      <c r="E324" s="4" t="s">
        <v>25</v>
      </c>
      <c r="F324" s="4" t="s">
        <v>25</v>
      </c>
      <c r="G324" s="4" t="s">
        <v>25</v>
      </c>
      <c r="H324" s="4" t="s">
        <v>35</v>
      </c>
      <c r="I324" s="5">
        <v>44682</v>
      </c>
      <c r="J324" s="6">
        <v>0</v>
      </c>
      <c r="K324" s="6">
        <v>0</v>
      </c>
      <c r="L324" s="6">
        <v>47.21</v>
      </c>
      <c r="M324" s="6">
        <v>47.21</v>
      </c>
      <c r="N324" s="6">
        <v>47.21</v>
      </c>
      <c r="O324" s="6">
        <v>47.21</v>
      </c>
      <c r="P324" s="6">
        <v>0</v>
      </c>
      <c r="Q324" s="4" t="s">
        <v>26</v>
      </c>
      <c r="R324" s="4">
        <v>0</v>
      </c>
      <c r="S324" s="6">
        <v>0</v>
      </c>
      <c r="T324" s="6">
        <v>17</v>
      </c>
      <c r="U324" s="6">
        <v>66</v>
      </c>
      <c r="V324" s="6">
        <f>IF(ISERROR(VLOOKUP($S$324,'TAR FIN'!$A$1:$O$103,15,0)),0,VLOOKUP($S$324,'TAR FIN'!$A$1:$O$103,15,0))</f>
        <v>0</v>
      </c>
      <c r="W324" s="6">
        <f>IF(ISERROR(VLOOKUP($T$324,'TAR FIN'!$A$1:$O$103,15,0)),0,VLOOKUP($T$324,'TAR FIN'!$A$1:$O$103,15,0))</f>
        <v>84.99</v>
      </c>
      <c r="X324" s="6">
        <f>IF(ISERROR(VLOOKUP($U$324,'TAR FIN'!$A$1:$O$103,15,0)),0,VLOOKUP($U$324,'TAR FIN'!$A$1:$O$103,15,0))</f>
        <v>242.77</v>
      </c>
      <c r="Y324" s="6"/>
      <c r="Z324" s="6">
        <f ca="1">('TUSD BE'!$AM$24+'TUSD BF_350'!$AM$24+'TUSD CVA'!$AM$24)*1</f>
        <v>145.72237393634796</v>
      </c>
      <c r="AA324" s="6">
        <f ca="1">('TE BE'!$AB$9+'TE BF_350'!$AB$9+'TE CVA'!$AB$9)*1</f>
        <v>222.39386487986414</v>
      </c>
      <c r="AB324" s="6">
        <f>$K$324*$V$324</f>
        <v>0</v>
      </c>
      <c r="AC324" s="6">
        <f>$M$324*$W$324</f>
        <v>4012.3779</v>
      </c>
      <c r="AD324" s="6">
        <f>$O$324*$X$324</f>
        <v>11461.171700000001</v>
      </c>
      <c r="AE324" s="6">
        <f>$K$324*$Y$324</f>
        <v>0</v>
      </c>
      <c r="AF324" s="6">
        <f ca="1">$M$324*$Z$324</f>
        <v>6879.5532735349871</v>
      </c>
      <c r="AG324" s="6">
        <f ca="1">$O$324*$AA$324</f>
        <v>10499.214360978387</v>
      </c>
    </row>
    <row r="325" spans="1:33" ht="11.25" customHeight="1" x14ac:dyDescent="0.3">
      <c r="A325" s="4" t="s">
        <v>28</v>
      </c>
      <c r="B325" s="4" t="s">
        <v>39</v>
      </c>
      <c r="C325" s="4" t="s">
        <v>40</v>
      </c>
      <c r="D325" s="4" t="s">
        <v>46</v>
      </c>
      <c r="E325" s="4" t="s">
        <v>25</v>
      </c>
      <c r="F325" s="4" t="s">
        <v>25</v>
      </c>
      <c r="G325" s="4" t="s">
        <v>25</v>
      </c>
      <c r="H325" s="4" t="s">
        <v>35</v>
      </c>
      <c r="I325" s="5">
        <v>44682</v>
      </c>
      <c r="J325" s="6">
        <v>0</v>
      </c>
      <c r="K325" s="6">
        <v>0</v>
      </c>
      <c r="L325" s="6">
        <v>39.948999999999998</v>
      </c>
      <c r="M325" s="6">
        <v>39.948999999999998</v>
      </c>
      <c r="N325" s="6">
        <v>39.948999999999998</v>
      </c>
      <c r="O325" s="6">
        <v>39.948999999999998</v>
      </c>
      <c r="P325" s="6">
        <v>0</v>
      </c>
      <c r="Q325" s="4" t="s">
        <v>26</v>
      </c>
      <c r="R325" s="4">
        <v>0</v>
      </c>
      <c r="S325" s="6">
        <v>0</v>
      </c>
      <c r="T325" s="6">
        <v>17</v>
      </c>
      <c r="U325" s="6">
        <v>66</v>
      </c>
      <c r="V325" s="6">
        <f>IF(ISERROR(VLOOKUP($S$325,'TAR FIN'!$A$1:$O$103,15,0)),0,VLOOKUP($S$325,'TAR FIN'!$A$1:$O$103,15,0))</f>
        <v>0</v>
      </c>
      <c r="W325" s="6">
        <f>IF(ISERROR(VLOOKUP($T$325,'TAR FIN'!$A$1:$O$103,15,0)),0,VLOOKUP($T$325,'TAR FIN'!$A$1:$O$103,15,0))</f>
        <v>84.99</v>
      </c>
      <c r="X325" s="6">
        <f>IF(ISERROR(VLOOKUP($U$325,'TAR FIN'!$A$1:$O$103,15,0)),0,VLOOKUP($U$325,'TAR FIN'!$A$1:$O$103,15,0))</f>
        <v>242.77</v>
      </c>
      <c r="Y325" s="6"/>
      <c r="Z325" s="6">
        <f ca="1">('TUSD BE'!$AM$24+'TUSD BF_350'!$AM$24+'TUSD CVA'!$AM$24)*1</f>
        <v>145.72237393634796</v>
      </c>
      <c r="AA325" s="6">
        <f ca="1">('TE BE'!$AB$9+'TE BF_350'!$AB$9+'TE CVA'!$AB$9)*1</f>
        <v>222.39386487986414</v>
      </c>
      <c r="AB325" s="6">
        <f>$K$325*$V$325</f>
        <v>0</v>
      </c>
      <c r="AC325" s="6">
        <f>$M$325*$W$325</f>
        <v>3395.2655099999997</v>
      </c>
      <c r="AD325" s="6">
        <f>$O$325*$X$325</f>
        <v>9698.4187299999994</v>
      </c>
      <c r="AE325" s="6">
        <f>$K$325*$Y$325</f>
        <v>0</v>
      </c>
      <c r="AF325" s="6">
        <f ca="1">$M$325*$Z$325</f>
        <v>5821.4631163831646</v>
      </c>
      <c r="AG325" s="6">
        <f ca="1">$O$325*$AA$325</f>
        <v>8884.412508085692</v>
      </c>
    </row>
    <row r="326" spans="1:33" ht="11.25" customHeight="1" x14ac:dyDescent="0.3">
      <c r="A326" s="4" t="s">
        <v>21</v>
      </c>
      <c r="B326" s="4" t="s">
        <v>39</v>
      </c>
      <c r="C326" s="4" t="s">
        <v>40</v>
      </c>
      <c r="D326" s="4" t="s">
        <v>46</v>
      </c>
      <c r="E326" s="4" t="s">
        <v>25</v>
      </c>
      <c r="F326" s="4" t="s">
        <v>25</v>
      </c>
      <c r="G326" s="4" t="s">
        <v>25</v>
      </c>
      <c r="H326" s="4" t="s">
        <v>35</v>
      </c>
      <c r="I326" s="5">
        <v>44713</v>
      </c>
      <c r="J326" s="6">
        <v>0</v>
      </c>
      <c r="K326" s="6">
        <v>0</v>
      </c>
      <c r="L326" s="6">
        <v>40.213000000000001</v>
      </c>
      <c r="M326" s="6">
        <v>40.213000000000001</v>
      </c>
      <c r="N326" s="6">
        <v>40.213000000000001</v>
      </c>
      <c r="O326" s="6">
        <v>40.213000000000001</v>
      </c>
      <c r="P326" s="6">
        <v>0</v>
      </c>
      <c r="Q326" s="4" t="s">
        <v>26</v>
      </c>
      <c r="R326" s="4">
        <v>0</v>
      </c>
      <c r="S326" s="6">
        <v>0</v>
      </c>
      <c r="T326" s="6">
        <v>17</v>
      </c>
      <c r="U326" s="6">
        <v>66</v>
      </c>
      <c r="V326" s="6">
        <f>IF(ISERROR(VLOOKUP($S$326,'TAR FIN'!$A$1:$O$103,15,0)),0,VLOOKUP($S$326,'TAR FIN'!$A$1:$O$103,15,0))</f>
        <v>0</v>
      </c>
      <c r="W326" s="6">
        <f>IF(ISERROR(VLOOKUP($T$326,'TAR FIN'!$A$1:$O$103,15,0)),0,VLOOKUP($T$326,'TAR FIN'!$A$1:$O$103,15,0))</f>
        <v>84.99</v>
      </c>
      <c r="X326" s="6">
        <f>IF(ISERROR(VLOOKUP($U$326,'TAR FIN'!$A$1:$O$103,15,0)),0,VLOOKUP($U$326,'TAR FIN'!$A$1:$O$103,15,0))</f>
        <v>242.77</v>
      </c>
      <c r="Y326" s="6"/>
      <c r="Z326" s="6">
        <f ca="1">('TUSD BE'!$AM$24+'TUSD BF_350'!$AM$24+'TUSD CVA'!$AM$24)*1</f>
        <v>145.72237393634796</v>
      </c>
      <c r="AA326" s="6">
        <f ca="1">('TE BE'!$AB$9+'TE BF_350'!$AB$9+'TE CVA'!$AB$9)*1</f>
        <v>222.39386487986414</v>
      </c>
      <c r="AB326" s="6">
        <f>$K$326*$V$326</f>
        <v>0</v>
      </c>
      <c r="AC326" s="6">
        <f>$M$326*$W$326</f>
        <v>3417.7028700000001</v>
      </c>
      <c r="AD326" s="6">
        <f>$O$326*$X$326</f>
        <v>9762.51001</v>
      </c>
      <c r="AE326" s="6">
        <f>$K$326*$Y$326</f>
        <v>0</v>
      </c>
      <c r="AF326" s="6">
        <f ca="1">$M$326*$Z$326</f>
        <v>5859.9338231023612</v>
      </c>
      <c r="AG326" s="6">
        <f ca="1">$O$326*$AA$326</f>
        <v>8943.124488413976</v>
      </c>
    </row>
    <row r="327" spans="1:33" ht="11.25" customHeight="1" x14ac:dyDescent="0.3">
      <c r="A327" s="4" t="s">
        <v>28</v>
      </c>
      <c r="B327" s="4" t="s">
        <v>39</v>
      </c>
      <c r="C327" s="4" t="s">
        <v>40</v>
      </c>
      <c r="D327" s="4" t="s">
        <v>46</v>
      </c>
      <c r="E327" s="4" t="s">
        <v>25</v>
      </c>
      <c r="F327" s="4" t="s">
        <v>25</v>
      </c>
      <c r="G327" s="4" t="s">
        <v>25</v>
      </c>
      <c r="H327" s="4" t="s">
        <v>35</v>
      </c>
      <c r="I327" s="5">
        <v>44713</v>
      </c>
      <c r="J327" s="6">
        <v>0</v>
      </c>
      <c r="K327" s="6">
        <v>0</v>
      </c>
      <c r="L327" s="6">
        <v>33.003</v>
      </c>
      <c r="M327" s="6">
        <v>33.003</v>
      </c>
      <c r="N327" s="6">
        <v>33.003</v>
      </c>
      <c r="O327" s="6">
        <v>33.003</v>
      </c>
      <c r="P327" s="6">
        <v>0</v>
      </c>
      <c r="Q327" s="4" t="s">
        <v>26</v>
      </c>
      <c r="R327" s="4">
        <v>0</v>
      </c>
      <c r="S327" s="6">
        <v>0</v>
      </c>
      <c r="T327" s="6">
        <v>17</v>
      </c>
      <c r="U327" s="6">
        <v>66</v>
      </c>
      <c r="V327" s="6">
        <f>IF(ISERROR(VLOOKUP($S$327,'TAR FIN'!$A$1:$O$103,15,0)),0,VLOOKUP($S$327,'TAR FIN'!$A$1:$O$103,15,0))</f>
        <v>0</v>
      </c>
      <c r="W327" s="6">
        <f>IF(ISERROR(VLOOKUP($T$327,'TAR FIN'!$A$1:$O$103,15,0)),0,VLOOKUP($T$327,'TAR FIN'!$A$1:$O$103,15,0))</f>
        <v>84.99</v>
      </c>
      <c r="X327" s="6">
        <f>IF(ISERROR(VLOOKUP($U$327,'TAR FIN'!$A$1:$O$103,15,0)),0,VLOOKUP($U$327,'TAR FIN'!$A$1:$O$103,15,0))</f>
        <v>242.77</v>
      </c>
      <c r="Y327" s="6"/>
      <c r="Z327" s="6">
        <f ca="1">('TUSD BE'!$AM$24+'TUSD BF_350'!$AM$24+'TUSD CVA'!$AM$24)*1</f>
        <v>145.72237393634796</v>
      </c>
      <c r="AA327" s="6">
        <f ca="1">('TE BE'!$AB$9+'TE BF_350'!$AB$9+'TE CVA'!$AB$9)*1</f>
        <v>222.39386487986414</v>
      </c>
      <c r="AB327" s="6">
        <f>$K$327*$V$327</f>
        <v>0</v>
      </c>
      <c r="AC327" s="6">
        <f>$M$327*$W$327</f>
        <v>2804.92497</v>
      </c>
      <c r="AD327" s="6">
        <f>$O$327*$X$327</f>
        <v>8012.1383100000003</v>
      </c>
      <c r="AE327" s="6">
        <f>$K$327*$Y$327</f>
        <v>0</v>
      </c>
      <c r="AF327" s="6">
        <f ca="1">$M$327*$Z$327</f>
        <v>4809.2755070212916</v>
      </c>
      <c r="AG327" s="6">
        <f ca="1">$O$327*$AA$327</f>
        <v>7339.6647226301566</v>
      </c>
    </row>
    <row r="328" spans="1:33" ht="11.25" customHeight="1" x14ac:dyDescent="0.3">
      <c r="A328" s="4" t="s">
        <v>21</v>
      </c>
      <c r="B328" s="4" t="s">
        <v>39</v>
      </c>
      <c r="C328" s="4" t="s">
        <v>40</v>
      </c>
      <c r="D328" s="4" t="s">
        <v>46</v>
      </c>
      <c r="E328" s="4" t="s">
        <v>25</v>
      </c>
      <c r="F328" s="4" t="s">
        <v>25</v>
      </c>
      <c r="G328" s="4" t="s">
        <v>25</v>
      </c>
      <c r="H328" s="4" t="s">
        <v>35</v>
      </c>
      <c r="I328" s="5">
        <v>44743</v>
      </c>
      <c r="J328" s="6">
        <v>0</v>
      </c>
      <c r="K328" s="6">
        <v>0</v>
      </c>
      <c r="L328" s="6">
        <v>29.54</v>
      </c>
      <c r="M328" s="6">
        <v>29.54</v>
      </c>
      <c r="N328" s="6">
        <v>29.54</v>
      </c>
      <c r="O328" s="6">
        <v>29.54</v>
      </c>
      <c r="P328" s="6">
        <v>0</v>
      </c>
      <c r="Q328" s="4" t="s">
        <v>26</v>
      </c>
      <c r="R328" s="4">
        <v>0</v>
      </c>
      <c r="S328" s="6">
        <v>0</v>
      </c>
      <c r="T328" s="6">
        <v>17</v>
      </c>
      <c r="U328" s="6">
        <v>66</v>
      </c>
      <c r="V328" s="6">
        <f>IF(ISERROR(VLOOKUP($S$328,'TAR FIN'!$A$1:$O$103,15,0)),0,VLOOKUP($S$328,'TAR FIN'!$A$1:$O$103,15,0))</f>
        <v>0</v>
      </c>
      <c r="W328" s="6">
        <f>IF(ISERROR(VLOOKUP($T$328,'TAR FIN'!$A$1:$O$103,15,0)),0,VLOOKUP($T$328,'TAR FIN'!$A$1:$O$103,15,0))</f>
        <v>84.99</v>
      </c>
      <c r="X328" s="6">
        <f>IF(ISERROR(VLOOKUP($U$328,'TAR FIN'!$A$1:$O$103,15,0)),0,VLOOKUP($U$328,'TAR FIN'!$A$1:$O$103,15,0))</f>
        <v>242.77</v>
      </c>
      <c r="Y328" s="6"/>
      <c r="Z328" s="6">
        <f ca="1">('TUSD BE'!$AM$24+'TUSD BF_350'!$AM$24+'TUSD CVA'!$AM$24)*1</f>
        <v>145.72237393634796</v>
      </c>
      <c r="AA328" s="6">
        <f ca="1">('TE BE'!$AB$9+'TE BF_350'!$AB$9+'TE CVA'!$AB$9)*1</f>
        <v>222.39386487986414</v>
      </c>
      <c r="AB328" s="6">
        <f>$K$328*$V$328</f>
        <v>0</v>
      </c>
      <c r="AC328" s="6">
        <f>$M$328*$W$328</f>
        <v>2510.6045999999997</v>
      </c>
      <c r="AD328" s="6">
        <f>$O$328*$X$328</f>
        <v>7171.4258</v>
      </c>
      <c r="AE328" s="6">
        <f>$K$328*$Y$328</f>
        <v>0</v>
      </c>
      <c r="AF328" s="6">
        <f ca="1">$M$328*$Z$328</f>
        <v>4304.6389260797187</v>
      </c>
      <c r="AG328" s="6">
        <f ca="1">$O$328*$AA$328</f>
        <v>6569.5147685511865</v>
      </c>
    </row>
    <row r="329" spans="1:33" ht="11.25" customHeight="1" x14ac:dyDescent="0.3">
      <c r="A329" s="4" t="s">
        <v>28</v>
      </c>
      <c r="B329" s="4" t="s">
        <v>39</v>
      </c>
      <c r="C329" s="4" t="s">
        <v>40</v>
      </c>
      <c r="D329" s="4" t="s">
        <v>46</v>
      </c>
      <c r="E329" s="4" t="s">
        <v>25</v>
      </c>
      <c r="F329" s="4" t="s">
        <v>25</v>
      </c>
      <c r="G329" s="4" t="s">
        <v>25</v>
      </c>
      <c r="H329" s="4" t="s">
        <v>35</v>
      </c>
      <c r="I329" s="5">
        <v>44743</v>
      </c>
      <c r="J329" s="6">
        <v>0</v>
      </c>
      <c r="K329" s="6">
        <v>0</v>
      </c>
      <c r="L329" s="6">
        <v>21.186</v>
      </c>
      <c r="M329" s="6">
        <v>21.186</v>
      </c>
      <c r="N329" s="6">
        <v>21.186</v>
      </c>
      <c r="O329" s="6">
        <v>21.186</v>
      </c>
      <c r="P329" s="6">
        <v>0</v>
      </c>
      <c r="Q329" s="4" t="s">
        <v>26</v>
      </c>
      <c r="R329" s="4">
        <v>0</v>
      </c>
      <c r="S329" s="6">
        <v>0</v>
      </c>
      <c r="T329" s="6">
        <v>17</v>
      </c>
      <c r="U329" s="6">
        <v>66</v>
      </c>
      <c r="V329" s="6">
        <f>IF(ISERROR(VLOOKUP($S$329,'TAR FIN'!$A$1:$O$103,15,0)),0,VLOOKUP($S$329,'TAR FIN'!$A$1:$O$103,15,0))</f>
        <v>0</v>
      </c>
      <c r="W329" s="6">
        <f>IF(ISERROR(VLOOKUP($T$329,'TAR FIN'!$A$1:$O$103,15,0)),0,VLOOKUP($T$329,'TAR FIN'!$A$1:$O$103,15,0))</f>
        <v>84.99</v>
      </c>
      <c r="X329" s="6">
        <f>IF(ISERROR(VLOOKUP($U$329,'TAR FIN'!$A$1:$O$103,15,0)),0,VLOOKUP($U$329,'TAR FIN'!$A$1:$O$103,15,0))</f>
        <v>242.77</v>
      </c>
      <c r="Y329" s="6"/>
      <c r="Z329" s="6">
        <f ca="1">('TUSD BE'!$AM$24+'TUSD BF_350'!$AM$24+'TUSD CVA'!$AM$24)*1</f>
        <v>145.72237393634796</v>
      </c>
      <c r="AA329" s="6">
        <f ca="1">('TE BE'!$AB$9+'TE BF_350'!$AB$9+'TE CVA'!$AB$9)*1</f>
        <v>222.39386487986414</v>
      </c>
      <c r="AB329" s="6">
        <f>$K$329*$V$329</f>
        <v>0</v>
      </c>
      <c r="AC329" s="6">
        <f>$M$329*$W$329</f>
        <v>1800.5981399999998</v>
      </c>
      <c r="AD329" s="6">
        <f>$O$329*$X$329</f>
        <v>5143.3252200000006</v>
      </c>
      <c r="AE329" s="6">
        <f>$K$329*$Y$329</f>
        <v>0</v>
      </c>
      <c r="AF329" s="6">
        <f ca="1">$M$329*$Z$329</f>
        <v>3087.274214215468</v>
      </c>
      <c r="AG329" s="6">
        <f ca="1">$O$329*$AA$329</f>
        <v>4711.6364213448014</v>
      </c>
    </row>
    <row r="330" spans="1:33" ht="11.25" customHeight="1" x14ac:dyDescent="0.3">
      <c r="A330" s="4" t="s">
        <v>21</v>
      </c>
      <c r="B330" s="4" t="s">
        <v>39</v>
      </c>
      <c r="C330" s="4" t="s">
        <v>40</v>
      </c>
      <c r="D330" s="4" t="s">
        <v>46</v>
      </c>
      <c r="E330" s="4" t="s">
        <v>25</v>
      </c>
      <c r="F330" s="4" t="s">
        <v>25</v>
      </c>
      <c r="G330" s="4" t="s">
        <v>25</v>
      </c>
      <c r="H330" s="4" t="s">
        <v>35</v>
      </c>
      <c r="I330" s="5">
        <v>44774</v>
      </c>
      <c r="J330" s="6">
        <v>0</v>
      </c>
      <c r="K330" s="6">
        <v>0</v>
      </c>
      <c r="L330" s="6">
        <v>55.023000000000003</v>
      </c>
      <c r="M330" s="6">
        <v>55.023000000000003</v>
      </c>
      <c r="N330" s="6">
        <v>55.023000000000003</v>
      </c>
      <c r="O330" s="6">
        <v>55.023000000000003</v>
      </c>
      <c r="P330" s="6">
        <v>0</v>
      </c>
      <c r="Q330" s="4" t="s">
        <v>26</v>
      </c>
      <c r="R330" s="4">
        <v>0</v>
      </c>
      <c r="S330" s="6">
        <v>0</v>
      </c>
      <c r="T330" s="6">
        <v>17</v>
      </c>
      <c r="U330" s="6">
        <v>66</v>
      </c>
      <c r="V330" s="6">
        <f>IF(ISERROR(VLOOKUP($S$330,'TAR FIN'!$A$1:$O$103,15,0)),0,VLOOKUP($S$330,'TAR FIN'!$A$1:$O$103,15,0))</f>
        <v>0</v>
      </c>
      <c r="W330" s="6">
        <f>IF(ISERROR(VLOOKUP($T$330,'TAR FIN'!$A$1:$O$103,15,0)),0,VLOOKUP($T$330,'TAR FIN'!$A$1:$O$103,15,0))</f>
        <v>84.99</v>
      </c>
      <c r="X330" s="6">
        <f>IF(ISERROR(VLOOKUP($U$330,'TAR FIN'!$A$1:$O$103,15,0)),0,VLOOKUP($U$330,'TAR FIN'!$A$1:$O$103,15,0))</f>
        <v>242.77</v>
      </c>
      <c r="Y330" s="6"/>
      <c r="Z330" s="6">
        <f ca="1">('TUSD BE'!$AM$24+'TUSD BF_350'!$AM$24+'TUSD CVA'!$AM$24)*1</f>
        <v>145.72237393634796</v>
      </c>
      <c r="AA330" s="6">
        <f ca="1">('TE BE'!$AB$9+'TE BF_350'!$AB$9+'TE CVA'!$AB$9)*1</f>
        <v>222.39386487986414</v>
      </c>
      <c r="AB330" s="6">
        <f>$K$330*$V$330</f>
        <v>0</v>
      </c>
      <c r="AC330" s="6">
        <f>$M$330*$W$330</f>
        <v>4676.4047700000001</v>
      </c>
      <c r="AD330" s="6">
        <f>$O$330*$X$330</f>
        <v>13357.933710000001</v>
      </c>
      <c r="AE330" s="6">
        <f>$K$330*$Y$330</f>
        <v>0</v>
      </c>
      <c r="AF330" s="6">
        <f ca="1">$M$330*$Z$330</f>
        <v>8018.0821810996749</v>
      </c>
      <c r="AG330" s="6">
        <f ca="1">$O$330*$AA$330</f>
        <v>12236.777627284766</v>
      </c>
    </row>
    <row r="331" spans="1:33" ht="11.25" customHeight="1" x14ac:dyDescent="0.3">
      <c r="A331" s="4" t="s">
        <v>28</v>
      </c>
      <c r="B331" s="4" t="s">
        <v>39</v>
      </c>
      <c r="C331" s="4" t="s">
        <v>40</v>
      </c>
      <c r="D331" s="4" t="s">
        <v>46</v>
      </c>
      <c r="E331" s="4" t="s">
        <v>25</v>
      </c>
      <c r="F331" s="4" t="s">
        <v>25</v>
      </c>
      <c r="G331" s="4" t="s">
        <v>25</v>
      </c>
      <c r="H331" s="4" t="s">
        <v>35</v>
      </c>
      <c r="I331" s="5">
        <v>44774</v>
      </c>
      <c r="J331" s="6">
        <v>0</v>
      </c>
      <c r="K331" s="6">
        <v>0</v>
      </c>
      <c r="L331" s="6">
        <v>34.936999999999998</v>
      </c>
      <c r="M331" s="6">
        <v>34.936999999999998</v>
      </c>
      <c r="N331" s="6">
        <v>34.936999999999998</v>
      </c>
      <c r="O331" s="6">
        <v>34.936999999999998</v>
      </c>
      <c r="P331" s="6">
        <v>0</v>
      </c>
      <c r="Q331" s="4" t="s">
        <v>26</v>
      </c>
      <c r="R331" s="4">
        <v>0</v>
      </c>
      <c r="S331" s="6">
        <v>0</v>
      </c>
      <c r="T331" s="6">
        <v>17</v>
      </c>
      <c r="U331" s="6">
        <v>66</v>
      </c>
      <c r="V331" s="6">
        <f>IF(ISERROR(VLOOKUP($S$331,'TAR FIN'!$A$1:$O$103,15,0)),0,VLOOKUP($S$331,'TAR FIN'!$A$1:$O$103,15,0))</f>
        <v>0</v>
      </c>
      <c r="W331" s="6">
        <f>IF(ISERROR(VLOOKUP($T$331,'TAR FIN'!$A$1:$O$103,15,0)),0,VLOOKUP($T$331,'TAR FIN'!$A$1:$O$103,15,0))</f>
        <v>84.99</v>
      </c>
      <c r="X331" s="6">
        <f>IF(ISERROR(VLOOKUP($U$331,'TAR FIN'!$A$1:$O$103,15,0)),0,VLOOKUP($U$331,'TAR FIN'!$A$1:$O$103,15,0))</f>
        <v>242.77</v>
      </c>
      <c r="Y331" s="6"/>
      <c r="Z331" s="6">
        <f ca="1">('TUSD BE'!$AM$24+'TUSD BF_350'!$AM$24+'TUSD CVA'!$AM$24)*1</f>
        <v>145.72237393634796</v>
      </c>
      <c r="AA331" s="6">
        <f ca="1">('TE BE'!$AB$9+'TE BF_350'!$AB$9+'TE CVA'!$AB$9)*1</f>
        <v>222.39386487986414</v>
      </c>
      <c r="AB331" s="6">
        <f>$K$331*$V$331</f>
        <v>0</v>
      </c>
      <c r="AC331" s="6">
        <f>$M$331*$W$331</f>
        <v>2969.2956299999996</v>
      </c>
      <c r="AD331" s="6">
        <f>$O$331*$X$331</f>
        <v>8481.6554899999992</v>
      </c>
      <c r="AE331" s="6">
        <f>$K$331*$Y$331</f>
        <v>0</v>
      </c>
      <c r="AF331" s="6">
        <f ca="1">$M$331*$Z$331</f>
        <v>5091.1025782141887</v>
      </c>
      <c r="AG331" s="6">
        <f ca="1">$O$331*$AA$331</f>
        <v>7769.7744573078126</v>
      </c>
    </row>
    <row r="332" spans="1:33" ht="11.25" customHeight="1" x14ac:dyDescent="0.3">
      <c r="A332" s="4" t="s">
        <v>21</v>
      </c>
      <c r="B332" s="4" t="s">
        <v>39</v>
      </c>
      <c r="C332" s="4" t="s">
        <v>40</v>
      </c>
      <c r="D332" s="4" t="s">
        <v>46</v>
      </c>
      <c r="E332" s="4" t="s">
        <v>25</v>
      </c>
      <c r="F332" s="4" t="s">
        <v>25</v>
      </c>
      <c r="G332" s="4" t="s">
        <v>25</v>
      </c>
      <c r="H332" s="4" t="s">
        <v>35</v>
      </c>
      <c r="I332" s="5">
        <v>44805</v>
      </c>
      <c r="J332" s="6">
        <v>0</v>
      </c>
      <c r="K332" s="6">
        <v>0</v>
      </c>
      <c r="L332" s="6">
        <v>66.283000000000001</v>
      </c>
      <c r="M332" s="6">
        <v>66.283000000000001</v>
      </c>
      <c r="N332" s="6">
        <v>66.283000000000001</v>
      </c>
      <c r="O332" s="6">
        <v>66.283000000000001</v>
      </c>
      <c r="P332" s="6">
        <v>0</v>
      </c>
      <c r="Q332" s="4" t="s">
        <v>26</v>
      </c>
      <c r="R332" s="4">
        <v>0</v>
      </c>
      <c r="S332" s="6">
        <v>0</v>
      </c>
      <c r="T332" s="6">
        <v>17</v>
      </c>
      <c r="U332" s="6">
        <v>66</v>
      </c>
      <c r="V332" s="6">
        <f>IF(ISERROR(VLOOKUP($S$332,'TAR FIN'!$A$1:$O$103,15,0)),0,VLOOKUP($S$332,'TAR FIN'!$A$1:$O$103,15,0))</f>
        <v>0</v>
      </c>
      <c r="W332" s="6">
        <f>IF(ISERROR(VLOOKUP($T$332,'TAR FIN'!$A$1:$O$103,15,0)),0,VLOOKUP($T$332,'TAR FIN'!$A$1:$O$103,15,0))</f>
        <v>84.99</v>
      </c>
      <c r="X332" s="6">
        <f>IF(ISERROR(VLOOKUP($U$332,'TAR FIN'!$A$1:$O$103,15,0)),0,VLOOKUP($U$332,'TAR FIN'!$A$1:$O$103,15,0))</f>
        <v>242.77</v>
      </c>
      <c r="Y332" s="6"/>
      <c r="Z332" s="6">
        <f ca="1">('TUSD BE'!$AM$24+'TUSD BF_350'!$AM$24+'TUSD CVA'!$AM$24)*1</f>
        <v>145.72237393634796</v>
      </c>
      <c r="AA332" s="6">
        <f ca="1">('TE BE'!$AB$9+'TE BF_350'!$AB$9+'TE CVA'!$AB$9)*1</f>
        <v>222.39386487986414</v>
      </c>
      <c r="AB332" s="6">
        <f>$K$332*$V$332</f>
        <v>0</v>
      </c>
      <c r="AC332" s="6">
        <f>$M$332*$W$332</f>
        <v>5633.3921700000001</v>
      </c>
      <c r="AD332" s="6">
        <f>$O$332*$X$332</f>
        <v>16091.523910000002</v>
      </c>
      <c r="AE332" s="6">
        <f>$K$332*$Y$332</f>
        <v>0</v>
      </c>
      <c r="AF332" s="6">
        <f ca="1">$M$332*$Z$332</f>
        <v>9658.9161116229516</v>
      </c>
      <c r="AG332" s="6">
        <f ca="1">$O$332*$AA$332</f>
        <v>14740.932545832035</v>
      </c>
    </row>
    <row r="333" spans="1:33" ht="11.25" customHeight="1" x14ac:dyDescent="0.3">
      <c r="A333" s="4" t="s">
        <v>28</v>
      </c>
      <c r="B333" s="4" t="s">
        <v>39</v>
      </c>
      <c r="C333" s="4" t="s">
        <v>40</v>
      </c>
      <c r="D333" s="4" t="s">
        <v>46</v>
      </c>
      <c r="E333" s="4" t="s">
        <v>25</v>
      </c>
      <c r="F333" s="4" t="s">
        <v>25</v>
      </c>
      <c r="G333" s="4" t="s">
        <v>25</v>
      </c>
      <c r="H333" s="4" t="s">
        <v>35</v>
      </c>
      <c r="I333" s="5">
        <v>44805</v>
      </c>
      <c r="J333" s="6">
        <v>0</v>
      </c>
      <c r="K333" s="6">
        <v>0</v>
      </c>
      <c r="L333" s="6">
        <v>50.369</v>
      </c>
      <c r="M333" s="6">
        <v>50.369</v>
      </c>
      <c r="N333" s="6">
        <v>50.369</v>
      </c>
      <c r="O333" s="6">
        <v>50.369</v>
      </c>
      <c r="P333" s="6">
        <v>0</v>
      </c>
      <c r="Q333" s="4" t="s">
        <v>26</v>
      </c>
      <c r="R333" s="4">
        <v>0</v>
      </c>
      <c r="S333" s="6">
        <v>0</v>
      </c>
      <c r="T333" s="6">
        <v>17</v>
      </c>
      <c r="U333" s="6">
        <v>66</v>
      </c>
      <c r="V333" s="6">
        <f>IF(ISERROR(VLOOKUP($S$333,'TAR FIN'!$A$1:$O$103,15,0)),0,VLOOKUP($S$333,'TAR FIN'!$A$1:$O$103,15,0))</f>
        <v>0</v>
      </c>
      <c r="W333" s="6">
        <f>IF(ISERROR(VLOOKUP($T$333,'TAR FIN'!$A$1:$O$103,15,0)),0,VLOOKUP($T$333,'TAR FIN'!$A$1:$O$103,15,0))</f>
        <v>84.99</v>
      </c>
      <c r="X333" s="6">
        <f>IF(ISERROR(VLOOKUP($U$333,'TAR FIN'!$A$1:$O$103,15,0)),0,VLOOKUP($U$333,'TAR FIN'!$A$1:$O$103,15,0))</f>
        <v>242.77</v>
      </c>
      <c r="Y333" s="6"/>
      <c r="Z333" s="6">
        <f ca="1">('TUSD BE'!$AM$24+'TUSD BF_350'!$AM$24+'TUSD CVA'!$AM$24)*1</f>
        <v>145.72237393634796</v>
      </c>
      <c r="AA333" s="6">
        <f ca="1">('TE BE'!$AB$9+'TE BF_350'!$AB$9+'TE CVA'!$AB$9)*1</f>
        <v>222.39386487986414</v>
      </c>
      <c r="AB333" s="6">
        <f>$K$333*$V$333</f>
        <v>0</v>
      </c>
      <c r="AC333" s="6">
        <f>$M$333*$W$333</f>
        <v>4280.8613099999993</v>
      </c>
      <c r="AD333" s="6">
        <f>$O$333*$X$333</f>
        <v>12228.082130000001</v>
      </c>
      <c r="AE333" s="6">
        <f>$K$333*$Y$333</f>
        <v>0</v>
      </c>
      <c r="AF333" s="6">
        <f ca="1">$M$333*$Z$333</f>
        <v>7339.8902527999107</v>
      </c>
      <c r="AG333" s="6">
        <f ca="1">$O$333*$AA$333</f>
        <v>11201.756580133877</v>
      </c>
    </row>
    <row r="334" spans="1:33" ht="11.25" customHeight="1" x14ac:dyDescent="0.3">
      <c r="A334" s="4" t="s">
        <v>57</v>
      </c>
      <c r="B334" s="4" t="s">
        <v>39</v>
      </c>
      <c r="C334" s="4" t="s">
        <v>40</v>
      </c>
      <c r="D334" s="4" t="s">
        <v>46</v>
      </c>
      <c r="E334" s="4" t="s">
        <v>25</v>
      </c>
      <c r="F334" s="4" t="s">
        <v>25</v>
      </c>
      <c r="G334" s="4" t="s">
        <v>25</v>
      </c>
      <c r="H334" s="4" t="s">
        <v>35</v>
      </c>
      <c r="I334" s="5">
        <v>44835</v>
      </c>
      <c r="J334" s="6">
        <v>0</v>
      </c>
      <c r="K334" s="6">
        <v>0</v>
      </c>
      <c r="L334" s="6">
        <v>66.283000000000001</v>
      </c>
      <c r="M334" s="6">
        <v>66.283000000000001</v>
      </c>
      <c r="N334" s="6">
        <v>66.283000000000001</v>
      </c>
      <c r="O334" s="6">
        <v>66.283000000000001</v>
      </c>
      <c r="P334" s="6">
        <v>0</v>
      </c>
      <c r="Q334" s="4" t="s">
        <v>26</v>
      </c>
      <c r="R334" s="4">
        <v>0</v>
      </c>
      <c r="S334" s="6">
        <v>0</v>
      </c>
      <c r="T334" s="6">
        <v>17</v>
      </c>
      <c r="U334" s="6">
        <v>66</v>
      </c>
      <c r="V334" s="6">
        <f>IF(ISERROR(VLOOKUP($S$334,'TAR FIN'!$A$1:$O$103,15,0)),0,VLOOKUP($S$334,'TAR FIN'!$A$1:$O$103,15,0))</f>
        <v>0</v>
      </c>
      <c r="W334" s="6">
        <f>IF(ISERROR(VLOOKUP($T$334,'TAR FIN'!$A$1:$O$103,15,0)),0,VLOOKUP($T$334,'TAR FIN'!$A$1:$O$103,15,0))</f>
        <v>84.99</v>
      </c>
      <c r="X334" s="6">
        <f>IF(ISERROR(VLOOKUP($U$334,'TAR FIN'!$A$1:$O$103,15,0)),0,VLOOKUP($U$334,'TAR FIN'!$A$1:$O$103,15,0))</f>
        <v>242.77</v>
      </c>
      <c r="Y334" s="6"/>
      <c r="Z334" s="6">
        <f ca="1">('TUSD BE'!$AM$24+'TUSD BF_350'!$AM$24+'TUSD CVA'!$AM$24)*1</f>
        <v>145.72237393634796</v>
      </c>
      <c r="AA334" s="6">
        <f ca="1">('TE BE'!$AB$9+'TE BF_350'!$AB$9+'TE CVA'!$AB$9)*1</f>
        <v>222.39386487986414</v>
      </c>
      <c r="AB334" s="6">
        <f>$K$334*$V$334</f>
        <v>0</v>
      </c>
      <c r="AC334" s="6">
        <f>$M$334*$W$334</f>
        <v>5633.3921700000001</v>
      </c>
      <c r="AD334" s="6">
        <f>$O$334*$X$334</f>
        <v>16091.523910000002</v>
      </c>
      <c r="AE334" s="6">
        <f>$K$334*$Y$334</f>
        <v>0</v>
      </c>
      <c r="AF334" s="6">
        <f ca="1">$M$334*$Z$334</f>
        <v>9658.9161116229516</v>
      </c>
      <c r="AG334" s="6">
        <f ca="1">$O$334*$AA$334</f>
        <v>14740.932545832035</v>
      </c>
    </row>
    <row r="335" spans="1:33" ht="11.25" customHeight="1" x14ac:dyDescent="0.3">
      <c r="A335" s="4" t="s">
        <v>57</v>
      </c>
      <c r="B335" s="4" t="s">
        <v>39</v>
      </c>
      <c r="C335" s="4" t="s">
        <v>40</v>
      </c>
      <c r="D335" s="4" t="s">
        <v>46</v>
      </c>
      <c r="E335" s="4" t="s">
        <v>25</v>
      </c>
      <c r="F335" s="4" t="s">
        <v>25</v>
      </c>
      <c r="G335" s="4" t="s">
        <v>25</v>
      </c>
      <c r="H335" s="4" t="s">
        <v>35</v>
      </c>
      <c r="I335" s="5">
        <v>44835</v>
      </c>
      <c r="J335" s="6">
        <v>0</v>
      </c>
      <c r="K335" s="6">
        <v>0</v>
      </c>
      <c r="L335" s="6">
        <v>50.369</v>
      </c>
      <c r="M335" s="6">
        <v>50.369</v>
      </c>
      <c r="N335" s="6">
        <v>50.369</v>
      </c>
      <c r="O335" s="6">
        <v>50.369</v>
      </c>
      <c r="P335" s="6">
        <v>0</v>
      </c>
      <c r="Q335" s="4" t="s">
        <v>26</v>
      </c>
      <c r="R335" s="4">
        <v>0</v>
      </c>
      <c r="S335" s="6">
        <v>0</v>
      </c>
      <c r="T335" s="6">
        <v>17</v>
      </c>
      <c r="U335" s="6">
        <v>66</v>
      </c>
      <c r="V335" s="6">
        <f>IF(ISERROR(VLOOKUP($S$335,'TAR FIN'!$A$1:$O$103,15,0)),0,VLOOKUP($S$335,'TAR FIN'!$A$1:$O$103,15,0))</f>
        <v>0</v>
      </c>
      <c r="W335" s="6">
        <f>IF(ISERROR(VLOOKUP($T$335,'TAR FIN'!$A$1:$O$103,15,0)),0,VLOOKUP($T$335,'TAR FIN'!$A$1:$O$103,15,0))</f>
        <v>84.99</v>
      </c>
      <c r="X335" s="6">
        <f>IF(ISERROR(VLOOKUP($U$335,'TAR FIN'!$A$1:$O$103,15,0)),0,VLOOKUP($U$335,'TAR FIN'!$A$1:$O$103,15,0))</f>
        <v>242.77</v>
      </c>
      <c r="Y335" s="6"/>
      <c r="Z335" s="6">
        <f ca="1">('TUSD BE'!$AM$24+'TUSD BF_350'!$AM$24+'TUSD CVA'!$AM$24)*1</f>
        <v>145.72237393634796</v>
      </c>
      <c r="AA335" s="6">
        <f ca="1">('TE BE'!$AB$9+'TE BF_350'!$AB$9+'TE CVA'!$AB$9)*1</f>
        <v>222.39386487986414</v>
      </c>
      <c r="AB335" s="6">
        <f>$K$335*$V$335</f>
        <v>0</v>
      </c>
      <c r="AC335" s="6">
        <f>$M$335*$W$335</f>
        <v>4280.8613099999993</v>
      </c>
      <c r="AD335" s="6">
        <f>$O$335*$X$335</f>
        <v>12228.082130000001</v>
      </c>
      <c r="AE335" s="6">
        <f>$K$335*$Y$335</f>
        <v>0</v>
      </c>
      <c r="AF335" s="6">
        <f ca="1">$M$335*$Z$335</f>
        <v>7339.8902527999107</v>
      </c>
      <c r="AG335" s="6">
        <f ca="1">$O$335*$AA$335</f>
        <v>11201.756580133877</v>
      </c>
    </row>
    <row r="336" spans="1:33" ht="11.25" customHeight="1" x14ac:dyDescent="0.3">
      <c r="A336" s="4" t="s">
        <v>21</v>
      </c>
      <c r="B336" s="4" t="s">
        <v>39</v>
      </c>
      <c r="C336" s="4" t="s">
        <v>40</v>
      </c>
      <c r="D336" s="4" t="s">
        <v>46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44501</v>
      </c>
      <c r="J336" s="6">
        <v>395</v>
      </c>
      <c r="K336" s="6">
        <v>395</v>
      </c>
      <c r="L336" s="6">
        <v>0</v>
      </c>
      <c r="M336" s="6">
        <v>0</v>
      </c>
      <c r="N336" s="6">
        <v>0</v>
      </c>
      <c r="O336" s="6">
        <v>0</v>
      </c>
      <c r="P336" s="6">
        <v>7</v>
      </c>
      <c r="Q336" s="4" t="s">
        <v>26</v>
      </c>
      <c r="R336" s="4">
        <v>0</v>
      </c>
      <c r="S336" s="6">
        <v>13</v>
      </c>
      <c r="T336" s="6">
        <v>0</v>
      </c>
      <c r="U336" s="6">
        <v>0</v>
      </c>
      <c r="V336" s="6">
        <f>IF(ISERROR(VLOOKUP($S$336,'TAR FIN'!$A$1:$O$103,15,0)),0,VLOOKUP($S$336,'TAR FIN'!$A$1:$O$103,15,0))</f>
        <v>18.920000000000002</v>
      </c>
      <c r="W336" s="6">
        <f>IF(ISERROR(VLOOKUP($T$336,'TAR FIN'!$A$1:$O$103,15,0)),0,VLOOKUP($T$336,'TAR FIN'!$A$1:$O$103,15,0))</f>
        <v>0</v>
      </c>
      <c r="X336" s="6">
        <f>IF(ISERROR(VLOOKUP($U$336,'TAR FIN'!$A$1:$O$103,15,0)),0,VLOOKUP($U$336,'TAR FIN'!$A$1:$O$103,15,0))</f>
        <v>0</v>
      </c>
      <c r="Y336" s="6">
        <f ca="1">('TUSD BE'!$AM$22+'TUSD BF_350'!$AM$22+'TUSD CVA'!$AM$22)*1</f>
        <v>21.369338625624472</v>
      </c>
      <c r="Z336" s="6"/>
      <c r="AA336" s="6"/>
      <c r="AB336" s="6">
        <f>$K$336*$V$336</f>
        <v>7473.4000000000005</v>
      </c>
      <c r="AC336" s="6">
        <f>$M$336*$W$336</f>
        <v>0</v>
      </c>
      <c r="AD336" s="6">
        <f>$O$336*$X$336</f>
        <v>0</v>
      </c>
      <c r="AE336" s="6">
        <f ca="1">$K$336*$Y$336</f>
        <v>8440.8887571216674</v>
      </c>
      <c r="AF336" s="6">
        <f>$M$336*$Z$336</f>
        <v>0</v>
      </c>
      <c r="AG336" s="6">
        <f>$O$336*$AA$336</f>
        <v>0</v>
      </c>
    </row>
    <row r="337" spans="1:33" ht="11.25" customHeight="1" x14ac:dyDescent="0.3">
      <c r="A337" s="4" t="s">
        <v>28</v>
      </c>
      <c r="B337" s="4" t="s">
        <v>39</v>
      </c>
      <c r="C337" s="4" t="s">
        <v>40</v>
      </c>
      <c r="D337" s="4" t="s">
        <v>46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44501</v>
      </c>
      <c r="J337" s="6">
        <v>320</v>
      </c>
      <c r="K337" s="6">
        <v>320</v>
      </c>
      <c r="L337" s="6">
        <v>0</v>
      </c>
      <c r="M337" s="6">
        <v>0</v>
      </c>
      <c r="N337" s="6">
        <v>0</v>
      </c>
      <c r="O337" s="6">
        <v>0</v>
      </c>
      <c r="P337" s="6">
        <v>2</v>
      </c>
      <c r="Q337" s="4" t="s">
        <v>26</v>
      </c>
      <c r="R337" s="4">
        <v>0</v>
      </c>
      <c r="S337" s="6">
        <v>13</v>
      </c>
      <c r="T337" s="6">
        <v>0</v>
      </c>
      <c r="U337" s="6">
        <v>0</v>
      </c>
      <c r="V337" s="6">
        <f>IF(ISERROR(VLOOKUP($S$337,'TAR FIN'!$A$1:$O$103,15,0)),0,VLOOKUP($S$337,'TAR FIN'!$A$1:$O$103,15,0))</f>
        <v>18.920000000000002</v>
      </c>
      <c r="W337" s="6">
        <f>IF(ISERROR(VLOOKUP($T$337,'TAR FIN'!$A$1:$O$103,15,0)),0,VLOOKUP($T$337,'TAR FIN'!$A$1:$O$103,15,0))</f>
        <v>0</v>
      </c>
      <c r="X337" s="6">
        <f>IF(ISERROR(VLOOKUP($U$337,'TAR FIN'!$A$1:$O$103,15,0)),0,VLOOKUP($U$337,'TAR FIN'!$A$1:$O$103,15,0))</f>
        <v>0</v>
      </c>
      <c r="Y337" s="6">
        <f ca="1">('TUSD BE'!$AM$22+'TUSD BF_350'!$AM$22+'TUSD CVA'!$AM$22)*1</f>
        <v>21.369338625624472</v>
      </c>
      <c r="Z337" s="6"/>
      <c r="AA337" s="6"/>
      <c r="AB337" s="6">
        <f>$K$337*$V$337</f>
        <v>6054.4000000000005</v>
      </c>
      <c r="AC337" s="6">
        <f>$M$337*$W$337</f>
        <v>0</v>
      </c>
      <c r="AD337" s="6">
        <f>$O$337*$X$337</f>
        <v>0</v>
      </c>
      <c r="AE337" s="6">
        <f ca="1">$K$337*$Y$337</f>
        <v>6838.1883601998306</v>
      </c>
      <c r="AF337" s="6">
        <f>$M$337*$Z$337</f>
        <v>0</v>
      </c>
      <c r="AG337" s="6">
        <f>$O$337*$AA$337</f>
        <v>0</v>
      </c>
    </row>
    <row r="338" spans="1:33" ht="11.25" customHeight="1" x14ac:dyDescent="0.3">
      <c r="A338" s="4" t="s">
        <v>21</v>
      </c>
      <c r="B338" s="4" t="s">
        <v>39</v>
      </c>
      <c r="C338" s="4" t="s">
        <v>40</v>
      </c>
      <c r="D338" s="4" t="s">
        <v>46</v>
      </c>
      <c r="E338" s="4" t="s">
        <v>25</v>
      </c>
      <c r="F338" s="4" t="s">
        <v>25</v>
      </c>
      <c r="G338" s="4" t="s">
        <v>25</v>
      </c>
      <c r="H338" s="4" t="s">
        <v>25</v>
      </c>
      <c r="I338" s="5">
        <v>44531</v>
      </c>
      <c r="J338" s="6">
        <v>392</v>
      </c>
      <c r="K338" s="6">
        <v>392</v>
      </c>
      <c r="L338" s="6">
        <v>0</v>
      </c>
      <c r="M338" s="6">
        <v>0</v>
      </c>
      <c r="N338" s="6">
        <v>0</v>
      </c>
      <c r="O338" s="6">
        <v>0</v>
      </c>
      <c r="P338" s="6">
        <v>7</v>
      </c>
      <c r="Q338" s="4" t="s">
        <v>26</v>
      </c>
      <c r="R338" s="4">
        <v>0</v>
      </c>
      <c r="S338" s="6">
        <v>13</v>
      </c>
      <c r="T338" s="6">
        <v>0</v>
      </c>
      <c r="U338" s="6">
        <v>0</v>
      </c>
      <c r="V338" s="6">
        <f>IF(ISERROR(VLOOKUP($S$338,'TAR FIN'!$A$1:$O$103,15,0)),0,VLOOKUP($S$338,'TAR FIN'!$A$1:$O$103,15,0))</f>
        <v>18.920000000000002</v>
      </c>
      <c r="W338" s="6">
        <f>IF(ISERROR(VLOOKUP($T$338,'TAR FIN'!$A$1:$O$103,15,0)),0,VLOOKUP($T$338,'TAR FIN'!$A$1:$O$103,15,0))</f>
        <v>0</v>
      </c>
      <c r="X338" s="6">
        <f>IF(ISERROR(VLOOKUP($U$338,'TAR FIN'!$A$1:$O$103,15,0)),0,VLOOKUP($U$338,'TAR FIN'!$A$1:$O$103,15,0))</f>
        <v>0</v>
      </c>
      <c r="Y338" s="6">
        <f ca="1">('TUSD BE'!$AM$22+'TUSD BF_350'!$AM$22+'TUSD CVA'!$AM$22)*1</f>
        <v>21.369338625624472</v>
      </c>
      <c r="Z338" s="6"/>
      <c r="AA338" s="6"/>
      <c r="AB338" s="6">
        <f>$K$338*$V$338</f>
        <v>7416.64</v>
      </c>
      <c r="AC338" s="6">
        <f>$M$338*$W$338</f>
        <v>0</v>
      </c>
      <c r="AD338" s="6">
        <f>$O$338*$X$338</f>
        <v>0</v>
      </c>
      <c r="AE338" s="6">
        <f ca="1">$K$338*$Y$338</f>
        <v>8376.7807412447928</v>
      </c>
      <c r="AF338" s="6">
        <f>$M$338*$Z$338</f>
        <v>0</v>
      </c>
      <c r="AG338" s="6">
        <f>$O$338*$AA$338</f>
        <v>0</v>
      </c>
    </row>
    <row r="339" spans="1:33" ht="11.25" customHeight="1" x14ac:dyDescent="0.3">
      <c r="A339" s="4" t="s">
        <v>28</v>
      </c>
      <c r="B339" s="4" t="s">
        <v>39</v>
      </c>
      <c r="C339" s="4" t="s">
        <v>40</v>
      </c>
      <c r="D339" s="4" t="s">
        <v>46</v>
      </c>
      <c r="E339" s="4" t="s">
        <v>25</v>
      </c>
      <c r="F339" s="4" t="s">
        <v>25</v>
      </c>
      <c r="G339" s="4" t="s">
        <v>25</v>
      </c>
      <c r="H339" s="4" t="s">
        <v>25</v>
      </c>
      <c r="I339" s="5">
        <v>44531</v>
      </c>
      <c r="J339" s="6">
        <v>320</v>
      </c>
      <c r="K339" s="6">
        <v>320</v>
      </c>
      <c r="L339" s="6">
        <v>0</v>
      </c>
      <c r="M339" s="6">
        <v>0</v>
      </c>
      <c r="N339" s="6">
        <v>0</v>
      </c>
      <c r="O339" s="6">
        <v>0</v>
      </c>
      <c r="P339" s="6">
        <v>2</v>
      </c>
      <c r="Q339" s="4" t="s">
        <v>26</v>
      </c>
      <c r="R339" s="4">
        <v>0</v>
      </c>
      <c r="S339" s="6">
        <v>13</v>
      </c>
      <c r="T339" s="6">
        <v>0</v>
      </c>
      <c r="U339" s="6">
        <v>0</v>
      </c>
      <c r="V339" s="6">
        <f>IF(ISERROR(VLOOKUP($S$339,'TAR FIN'!$A$1:$O$103,15,0)),0,VLOOKUP($S$339,'TAR FIN'!$A$1:$O$103,15,0))</f>
        <v>18.920000000000002</v>
      </c>
      <c r="W339" s="6">
        <f>IF(ISERROR(VLOOKUP($T$339,'TAR FIN'!$A$1:$O$103,15,0)),0,VLOOKUP($T$339,'TAR FIN'!$A$1:$O$103,15,0))</f>
        <v>0</v>
      </c>
      <c r="X339" s="6">
        <f>IF(ISERROR(VLOOKUP($U$339,'TAR FIN'!$A$1:$O$103,15,0)),0,VLOOKUP($U$339,'TAR FIN'!$A$1:$O$103,15,0))</f>
        <v>0</v>
      </c>
      <c r="Y339" s="6">
        <f ca="1">('TUSD BE'!$AM$22+'TUSD BF_350'!$AM$22+'TUSD CVA'!$AM$22)*1</f>
        <v>21.369338625624472</v>
      </c>
      <c r="Z339" s="6"/>
      <c r="AA339" s="6"/>
      <c r="AB339" s="6">
        <f>$K$339*$V$339</f>
        <v>6054.4000000000005</v>
      </c>
      <c r="AC339" s="6">
        <f>$M$339*$W$339</f>
        <v>0</v>
      </c>
      <c r="AD339" s="6">
        <f>$O$339*$X$339</f>
        <v>0</v>
      </c>
      <c r="AE339" s="6">
        <f ca="1">$K$339*$Y$339</f>
        <v>6838.1883601998306</v>
      </c>
      <c r="AF339" s="6">
        <f>$M$339*$Z$339</f>
        <v>0</v>
      </c>
      <c r="AG339" s="6">
        <f>$O$339*$AA$339</f>
        <v>0</v>
      </c>
    </row>
    <row r="340" spans="1:33" ht="11.25" customHeight="1" x14ac:dyDescent="0.3">
      <c r="A340" s="4" t="s">
        <v>21</v>
      </c>
      <c r="B340" s="4" t="s">
        <v>39</v>
      </c>
      <c r="C340" s="4" t="s">
        <v>40</v>
      </c>
      <c r="D340" s="4" t="s">
        <v>46</v>
      </c>
      <c r="E340" s="4" t="s">
        <v>25</v>
      </c>
      <c r="F340" s="4" t="s">
        <v>25</v>
      </c>
      <c r="G340" s="4" t="s">
        <v>25</v>
      </c>
      <c r="H340" s="4" t="s">
        <v>25</v>
      </c>
      <c r="I340" s="5">
        <v>44562</v>
      </c>
      <c r="J340" s="6">
        <v>391</v>
      </c>
      <c r="K340" s="6">
        <v>391</v>
      </c>
      <c r="L340" s="6">
        <v>0</v>
      </c>
      <c r="M340" s="6">
        <v>0</v>
      </c>
      <c r="N340" s="6">
        <v>0</v>
      </c>
      <c r="O340" s="6">
        <v>0</v>
      </c>
      <c r="P340" s="6">
        <v>7</v>
      </c>
      <c r="Q340" s="4" t="s">
        <v>26</v>
      </c>
      <c r="R340" s="4">
        <v>0</v>
      </c>
      <c r="S340" s="6">
        <v>13</v>
      </c>
      <c r="T340" s="6">
        <v>0</v>
      </c>
      <c r="U340" s="6">
        <v>0</v>
      </c>
      <c r="V340" s="6">
        <f>IF(ISERROR(VLOOKUP($S$340,'TAR FIN'!$A$1:$O$103,15,0)),0,VLOOKUP($S$340,'TAR FIN'!$A$1:$O$103,15,0))</f>
        <v>18.920000000000002</v>
      </c>
      <c r="W340" s="6">
        <f>IF(ISERROR(VLOOKUP($T$340,'TAR FIN'!$A$1:$O$103,15,0)),0,VLOOKUP($T$340,'TAR FIN'!$A$1:$O$103,15,0))</f>
        <v>0</v>
      </c>
      <c r="X340" s="6">
        <f>IF(ISERROR(VLOOKUP($U$340,'TAR FIN'!$A$1:$O$103,15,0)),0,VLOOKUP($U$340,'TAR FIN'!$A$1:$O$103,15,0))</f>
        <v>0</v>
      </c>
      <c r="Y340" s="6">
        <f ca="1">('TUSD BE'!$AM$22+'TUSD BF_350'!$AM$22+'TUSD CVA'!$AM$22)*1</f>
        <v>21.369338625624472</v>
      </c>
      <c r="Z340" s="6"/>
      <c r="AA340" s="6"/>
      <c r="AB340" s="6">
        <f>$K$340*$V$340</f>
        <v>7397.72</v>
      </c>
      <c r="AC340" s="6">
        <f>$M$340*$W$340</f>
        <v>0</v>
      </c>
      <c r="AD340" s="6">
        <f>$O$340*$X$340</f>
        <v>0</v>
      </c>
      <c r="AE340" s="6">
        <f ca="1">$K$340*$Y$340</f>
        <v>8355.4114026191692</v>
      </c>
      <c r="AF340" s="6">
        <f>$M$340*$Z$340</f>
        <v>0</v>
      </c>
      <c r="AG340" s="6">
        <f>$O$340*$AA$340</f>
        <v>0</v>
      </c>
    </row>
    <row r="341" spans="1:33" ht="11.25" customHeight="1" x14ac:dyDescent="0.3">
      <c r="A341" s="4" t="s">
        <v>28</v>
      </c>
      <c r="B341" s="4" t="s">
        <v>39</v>
      </c>
      <c r="C341" s="4" t="s">
        <v>40</v>
      </c>
      <c r="D341" s="4" t="s">
        <v>46</v>
      </c>
      <c r="E341" s="4" t="s">
        <v>25</v>
      </c>
      <c r="F341" s="4" t="s">
        <v>25</v>
      </c>
      <c r="G341" s="4" t="s">
        <v>25</v>
      </c>
      <c r="H341" s="4" t="s">
        <v>25</v>
      </c>
      <c r="I341" s="5">
        <v>44562</v>
      </c>
      <c r="J341" s="6">
        <v>320</v>
      </c>
      <c r="K341" s="6">
        <v>320</v>
      </c>
      <c r="L341" s="6">
        <v>0</v>
      </c>
      <c r="M341" s="6">
        <v>0</v>
      </c>
      <c r="N341" s="6">
        <v>0</v>
      </c>
      <c r="O341" s="6">
        <v>0</v>
      </c>
      <c r="P341" s="6">
        <v>2</v>
      </c>
      <c r="Q341" s="4" t="s">
        <v>26</v>
      </c>
      <c r="R341" s="4">
        <v>0</v>
      </c>
      <c r="S341" s="6">
        <v>13</v>
      </c>
      <c r="T341" s="6">
        <v>0</v>
      </c>
      <c r="U341" s="6">
        <v>0</v>
      </c>
      <c r="V341" s="6">
        <f>IF(ISERROR(VLOOKUP($S$341,'TAR FIN'!$A$1:$O$103,15,0)),0,VLOOKUP($S$341,'TAR FIN'!$A$1:$O$103,15,0))</f>
        <v>18.920000000000002</v>
      </c>
      <c r="W341" s="6">
        <f>IF(ISERROR(VLOOKUP($T$341,'TAR FIN'!$A$1:$O$103,15,0)),0,VLOOKUP($T$341,'TAR FIN'!$A$1:$O$103,15,0))</f>
        <v>0</v>
      </c>
      <c r="X341" s="6">
        <f>IF(ISERROR(VLOOKUP($U$341,'TAR FIN'!$A$1:$O$103,15,0)),0,VLOOKUP($U$341,'TAR FIN'!$A$1:$O$103,15,0))</f>
        <v>0</v>
      </c>
      <c r="Y341" s="6">
        <f ca="1">('TUSD BE'!$AM$22+'TUSD BF_350'!$AM$22+'TUSD CVA'!$AM$22)*1</f>
        <v>21.369338625624472</v>
      </c>
      <c r="Z341" s="6"/>
      <c r="AA341" s="6"/>
      <c r="AB341" s="6">
        <f>$K$341*$V$341</f>
        <v>6054.4000000000005</v>
      </c>
      <c r="AC341" s="6">
        <f>$M$341*$W$341</f>
        <v>0</v>
      </c>
      <c r="AD341" s="6">
        <f>$O$341*$X$341</f>
        <v>0</v>
      </c>
      <c r="AE341" s="6">
        <f ca="1">$K$341*$Y$341</f>
        <v>6838.1883601998306</v>
      </c>
      <c r="AF341" s="6">
        <f>$M$341*$Z$341</f>
        <v>0</v>
      </c>
      <c r="AG341" s="6">
        <f>$O$341*$AA$341</f>
        <v>0</v>
      </c>
    </row>
    <row r="342" spans="1:33" ht="11.25" customHeight="1" x14ac:dyDescent="0.3">
      <c r="A342" s="4" t="s">
        <v>21</v>
      </c>
      <c r="B342" s="4" t="s">
        <v>39</v>
      </c>
      <c r="C342" s="4" t="s">
        <v>40</v>
      </c>
      <c r="D342" s="4" t="s">
        <v>46</v>
      </c>
      <c r="E342" s="4" t="s">
        <v>25</v>
      </c>
      <c r="F342" s="4" t="s">
        <v>25</v>
      </c>
      <c r="G342" s="4" t="s">
        <v>25</v>
      </c>
      <c r="H342" s="4" t="s">
        <v>25</v>
      </c>
      <c r="I342" s="5">
        <v>44593</v>
      </c>
      <c r="J342" s="6">
        <v>390</v>
      </c>
      <c r="K342" s="6">
        <v>390</v>
      </c>
      <c r="L342" s="6">
        <v>0</v>
      </c>
      <c r="M342" s="6">
        <v>0</v>
      </c>
      <c r="N342" s="6">
        <v>0</v>
      </c>
      <c r="O342" s="6">
        <v>0</v>
      </c>
      <c r="P342" s="6">
        <v>7</v>
      </c>
      <c r="Q342" s="4" t="s">
        <v>26</v>
      </c>
      <c r="R342" s="4">
        <v>0</v>
      </c>
      <c r="S342" s="6">
        <v>13</v>
      </c>
      <c r="T342" s="6">
        <v>0</v>
      </c>
      <c r="U342" s="6">
        <v>0</v>
      </c>
      <c r="V342" s="6">
        <f>IF(ISERROR(VLOOKUP($S$342,'TAR FIN'!$A$1:$O$103,15,0)),0,VLOOKUP($S$342,'TAR FIN'!$A$1:$O$103,15,0))</f>
        <v>18.920000000000002</v>
      </c>
      <c r="W342" s="6">
        <f>IF(ISERROR(VLOOKUP($T$342,'TAR FIN'!$A$1:$O$103,15,0)),0,VLOOKUP($T$342,'TAR FIN'!$A$1:$O$103,15,0))</f>
        <v>0</v>
      </c>
      <c r="X342" s="6">
        <f>IF(ISERROR(VLOOKUP($U$342,'TAR FIN'!$A$1:$O$103,15,0)),0,VLOOKUP($U$342,'TAR FIN'!$A$1:$O$103,15,0))</f>
        <v>0</v>
      </c>
      <c r="Y342" s="6">
        <f ca="1">('TUSD BE'!$AM$22+'TUSD BF_350'!$AM$22+'TUSD CVA'!$AM$22)*1</f>
        <v>21.369338625624472</v>
      </c>
      <c r="Z342" s="6"/>
      <c r="AA342" s="6"/>
      <c r="AB342" s="6">
        <f>$K$342*$V$342</f>
        <v>7378.8000000000011</v>
      </c>
      <c r="AC342" s="6">
        <f>$M$342*$W$342</f>
        <v>0</v>
      </c>
      <c r="AD342" s="6">
        <f>$O$342*$X$342</f>
        <v>0</v>
      </c>
      <c r="AE342" s="6">
        <f ca="1">$K$342*$Y$342</f>
        <v>8334.0420639935437</v>
      </c>
      <c r="AF342" s="6">
        <f>$M$342*$Z$342</f>
        <v>0</v>
      </c>
      <c r="AG342" s="6">
        <f>$O$342*$AA$342</f>
        <v>0</v>
      </c>
    </row>
    <row r="343" spans="1:33" ht="11.25" customHeight="1" x14ac:dyDescent="0.3">
      <c r="A343" s="4" t="s">
        <v>28</v>
      </c>
      <c r="B343" s="4" t="s">
        <v>39</v>
      </c>
      <c r="C343" s="4" t="s">
        <v>40</v>
      </c>
      <c r="D343" s="4" t="s">
        <v>46</v>
      </c>
      <c r="E343" s="4" t="s">
        <v>25</v>
      </c>
      <c r="F343" s="4" t="s">
        <v>25</v>
      </c>
      <c r="G343" s="4" t="s">
        <v>25</v>
      </c>
      <c r="H343" s="4" t="s">
        <v>25</v>
      </c>
      <c r="I343" s="5">
        <v>44593</v>
      </c>
      <c r="J343" s="6">
        <v>320</v>
      </c>
      <c r="K343" s="6">
        <v>320</v>
      </c>
      <c r="L343" s="6">
        <v>0</v>
      </c>
      <c r="M343" s="6">
        <v>0</v>
      </c>
      <c r="N343" s="6">
        <v>0</v>
      </c>
      <c r="O343" s="6">
        <v>0</v>
      </c>
      <c r="P343" s="6">
        <v>2</v>
      </c>
      <c r="Q343" s="4" t="s">
        <v>26</v>
      </c>
      <c r="R343" s="4">
        <v>0</v>
      </c>
      <c r="S343" s="6">
        <v>13</v>
      </c>
      <c r="T343" s="6">
        <v>0</v>
      </c>
      <c r="U343" s="6">
        <v>0</v>
      </c>
      <c r="V343" s="6">
        <f>IF(ISERROR(VLOOKUP($S$343,'TAR FIN'!$A$1:$O$103,15,0)),0,VLOOKUP($S$343,'TAR FIN'!$A$1:$O$103,15,0))</f>
        <v>18.920000000000002</v>
      </c>
      <c r="W343" s="6">
        <f>IF(ISERROR(VLOOKUP($T$343,'TAR FIN'!$A$1:$O$103,15,0)),0,VLOOKUP($T$343,'TAR FIN'!$A$1:$O$103,15,0))</f>
        <v>0</v>
      </c>
      <c r="X343" s="6">
        <f>IF(ISERROR(VLOOKUP($U$343,'TAR FIN'!$A$1:$O$103,15,0)),0,VLOOKUP($U$343,'TAR FIN'!$A$1:$O$103,15,0))</f>
        <v>0</v>
      </c>
      <c r="Y343" s="6">
        <f ca="1">('TUSD BE'!$AM$22+'TUSD BF_350'!$AM$22+'TUSD CVA'!$AM$22)*1</f>
        <v>21.369338625624472</v>
      </c>
      <c r="Z343" s="6"/>
      <c r="AA343" s="6"/>
      <c r="AB343" s="6">
        <f>$K$343*$V$343</f>
        <v>6054.4000000000005</v>
      </c>
      <c r="AC343" s="6">
        <f>$M$343*$W$343</f>
        <v>0</v>
      </c>
      <c r="AD343" s="6">
        <f>$O$343*$X$343</f>
        <v>0</v>
      </c>
      <c r="AE343" s="6">
        <f ca="1">$K$343*$Y$343</f>
        <v>6838.1883601998306</v>
      </c>
      <c r="AF343" s="6">
        <f>$M$343*$Z$343</f>
        <v>0</v>
      </c>
      <c r="AG343" s="6">
        <f>$O$343*$AA$343</f>
        <v>0</v>
      </c>
    </row>
    <row r="344" spans="1:33" ht="11.25" customHeight="1" x14ac:dyDescent="0.3">
      <c r="A344" s="4" t="s">
        <v>21</v>
      </c>
      <c r="B344" s="4" t="s">
        <v>39</v>
      </c>
      <c r="C344" s="4" t="s">
        <v>40</v>
      </c>
      <c r="D344" s="4" t="s">
        <v>46</v>
      </c>
      <c r="E344" s="4" t="s">
        <v>25</v>
      </c>
      <c r="F344" s="4" t="s">
        <v>25</v>
      </c>
      <c r="G344" s="4" t="s">
        <v>25</v>
      </c>
      <c r="H344" s="4" t="s">
        <v>25</v>
      </c>
      <c r="I344" s="5">
        <v>44621</v>
      </c>
      <c r="J344" s="6">
        <v>392</v>
      </c>
      <c r="K344" s="6">
        <v>392</v>
      </c>
      <c r="L344" s="6">
        <v>0</v>
      </c>
      <c r="M344" s="6">
        <v>0</v>
      </c>
      <c r="N344" s="6">
        <v>0</v>
      </c>
      <c r="O344" s="6">
        <v>0</v>
      </c>
      <c r="P344" s="6">
        <v>7</v>
      </c>
      <c r="Q344" s="4" t="s">
        <v>26</v>
      </c>
      <c r="R344" s="4">
        <v>0</v>
      </c>
      <c r="S344" s="6">
        <v>13</v>
      </c>
      <c r="T344" s="6">
        <v>0</v>
      </c>
      <c r="U344" s="6">
        <v>0</v>
      </c>
      <c r="V344" s="6">
        <f>IF(ISERROR(VLOOKUP($S$344,'TAR FIN'!$A$1:$O$103,15,0)),0,VLOOKUP($S$344,'TAR FIN'!$A$1:$O$103,15,0))</f>
        <v>18.920000000000002</v>
      </c>
      <c r="W344" s="6">
        <f>IF(ISERROR(VLOOKUP($T$344,'TAR FIN'!$A$1:$O$103,15,0)),0,VLOOKUP($T$344,'TAR FIN'!$A$1:$O$103,15,0))</f>
        <v>0</v>
      </c>
      <c r="X344" s="6">
        <f>IF(ISERROR(VLOOKUP($U$344,'TAR FIN'!$A$1:$O$103,15,0)),0,VLOOKUP($U$344,'TAR FIN'!$A$1:$O$103,15,0))</f>
        <v>0</v>
      </c>
      <c r="Y344" s="6">
        <f ca="1">('TUSD BE'!$AM$22+'TUSD BF_350'!$AM$22+'TUSD CVA'!$AM$22)*1</f>
        <v>21.369338625624472</v>
      </c>
      <c r="Z344" s="6"/>
      <c r="AA344" s="6"/>
      <c r="AB344" s="6">
        <f>$K$344*$V$344</f>
        <v>7416.64</v>
      </c>
      <c r="AC344" s="6">
        <f>$M$344*$W$344</f>
        <v>0</v>
      </c>
      <c r="AD344" s="6">
        <f>$O$344*$X$344</f>
        <v>0</v>
      </c>
      <c r="AE344" s="6">
        <f ca="1">$K$344*$Y$344</f>
        <v>8376.7807412447928</v>
      </c>
      <c r="AF344" s="6">
        <f>$M$344*$Z$344</f>
        <v>0</v>
      </c>
      <c r="AG344" s="6">
        <f>$O$344*$AA$344</f>
        <v>0</v>
      </c>
    </row>
    <row r="345" spans="1:33" ht="11.25" customHeight="1" x14ac:dyDescent="0.3">
      <c r="A345" s="4" t="s">
        <v>28</v>
      </c>
      <c r="B345" s="4" t="s">
        <v>39</v>
      </c>
      <c r="C345" s="4" t="s">
        <v>40</v>
      </c>
      <c r="D345" s="4" t="s">
        <v>46</v>
      </c>
      <c r="E345" s="4" t="s">
        <v>25</v>
      </c>
      <c r="F345" s="4" t="s">
        <v>25</v>
      </c>
      <c r="G345" s="4" t="s">
        <v>25</v>
      </c>
      <c r="H345" s="4" t="s">
        <v>25</v>
      </c>
      <c r="I345" s="5">
        <v>44621</v>
      </c>
      <c r="J345" s="6">
        <v>320</v>
      </c>
      <c r="K345" s="6">
        <v>320</v>
      </c>
      <c r="L345" s="6">
        <v>0</v>
      </c>
      <c r="M345" s="6">
        <v>0</v>
      </c>
      <c r="N345" s="6">
        <v>0</v>
      </c>
      <c r="O345" s="6">
        <v>0</v>
      </c>
      <c r="P345" s="6">
        <v>2</v>
      </c>
      <c r="Q345" s="4" t="s">
        <v>26</v>
      </c>
      <c r="R345" s="4">
        <v>0</v>
      </c>
      <c r="S345" s="6">
        <v>13</v>
      </c>
      <c r="T345" s="6">
        <v>0</v>
      </c>
      <c r="U345" s="6">
        <v>0</v>
      </c>
      <c r="V345" s="6">
        <f>IF(ISERROR(VLOOKUP($S$345,'TAR FIN'!$A$1:$O$103,15,0)),0,VLOOKUP($S$345,'TAR FIN'!$A$1:$O$103,15,0))</f>
        <v>18.920000000000002</v>
      </c>
      <c r="W345" s="6">
        <f>IF(ISERROR(VLOOKUP($T$345,'TAR FIN'!$A$1:$O$103,15,0)),0,VLOOKUP($T$345,'TAR FIN'!$A$1:$O$103,15,0))</f>
        <v>0</v>
      </c>
      <c r="X345" s="6">
        <f>IF(ISERROR(VLOOKUP($U$345,'TAR FIN'!$A$1:$O$103,15,0)),0,VLOOKUP($U$345,'TAR FIN'!$A$1:$O$103,15,0))</f>
        <v>0</v>
      </c>
      <c r="Y345" s="6">
        <f ca="1">('TUSD BE'!$AM$22+'TUSD BF_350'!$AM$22+'TUSD CVA'!$AM$22)*1</f>
        <v>21.369338625624472</v>
      </c>
      <c r="Z345" s="6"/>
      <c r="AA345" s="6"/>
      <c r="AB345" s="6">
        <f>$K$345*$V$345</f>
        <v>6054.4000000000005</v>
      </c>
      <c r="AC345" s="6">
        <f>$M$345*$W$345</f>
        <v>0</v>
      </c>
      <c r="AD345" s="6">
        <f>$O$345*$X$345</f>
        <v>0</v>
      </c>
      <c r="AE345" s="6">
        <f ca="1">$K$345*$Y$345</f>
        <v>6838.1883601998306</v>
      </c>
      <c r="AF345" s="6">
        <f>$M$345*$Z$345</f>
        <v>0</v>
      </c>
      <c r="AG345" s="6">
        <f>$O$345*$AA$345</f>
        <v>0</v>
      </c>
    </row>
    <row r="346" spans="1:33" ht="11.25" customHeight="1" x14ac:dyDescent="0.3">
      <c r="A346" s="4" t="s">
        <v>21</v>
      </c>
      <c r="B346" s="4" t="s">
        <v>39</v>
      </c>
      <c r="C346" s="4" t="s">
        <v>40</v>
      </c>
      <c r="D346" s="4" t="s">
        <v>46</v>
      </c>
      <c r="E346" s="4" t="s">
        <v>25</v>
      </c>
      <c r="F346" s="4" t="s">
        <v>25</v>
      </c>
      <c r="G346" s="4" t="s">
        <v>25</v>
      </c>
      <c r="H346" s="4" t="s">
        <v>25</v>
      </c>
      <c r="I346" s="5">
        <v>44652</v>
      </c>
      <c r="J346" s="6">
        <v>415</v>
      </c>
      <c r="K346" s="6">
        <v>415</v>
      </c>
      <c r="L346" s="6">
        <v>0</v>
      </c>
      <c r="M346" s="6">
        <v>0</v>
      </c>
      <c r="N346" s="6">
        <v>0</v>
      </c>
      <c r="O346" s="6">
        <v>0</v>
      </c>
      <c r="P346" s="6">
        <v>8</v>
      </c>
      <c r="Q346" s="4" t="s">
        <v>26</v>
      </c>
      <c r="R346" s="4">
        <v>0</v>
      </c>
      <c r="S346" s="6">
        <v>13</v>
      </c>
      <c r="T346" s="6">
        <v>0</v>
      </c>
      <c r="U346" s="6">
        <v>0</v>
      </c>
      <c r="V346" s="6">
        <f>IF(ISERROR(VLOOKUP($S$346,'TAR FIN'!$A$1:$O$103,15,0)),0,VLOOKUP($S$346,'TAR FIN'!$A$1:$O$103,15,0))</f>
        <v>18.920000000000002</v>
      </c>
      <c r="W346" s="6">
        <f>IF(ISERROR(VLOOKUP($T$346,'TAR FIN'!$A$1:$O$103,15,0)),0,VLOOKUP($T$346,'TAR FIN'!$A$1:$O$103,15,0))</f>
        <v>0</v>
      </c>
      <c r="X346" s="6">
        <f>IF(ISERROR(VLOOKUP($U$346,'TAR FIN'!$A$1:$O$103,15,0)),0,VLOOKUP($U$346,'TAR FIN'!$A$1:$O$103,15,0))</f>
        <v>0</v>
      </c>
      <c r="Y346" s="6">
        <f ca="1">('TUSD BE'!$AM$22+'TUSD BF_350'!$AM$22+'TUSD CVA'!$AM$22)*1</f>
        <v>21.369338625624472</v>
      </c>
      <c r="Z346" s="6"/>
      <c r="AA346" s="6"/>
      <c r="AB346" s="6">
        <f>$K$346*$V$346</f>
        <v>7851.8000000000011</v>
      </c>
      <c r="AC346" s="6">
        <f>$M$346*$W$346</f>
        <v>0</v>
      </c>
      <c r="AD346" s="6">
        <f>$O$346*$X$346</f>
        <v>0</v>
      </c>
      <c r="AE346" s="6">
        <f ca="1">$K$346*$Y$346</f>
        <v>8868.2755296341566</v>
      </c>
      <c r="AF346" s="6">
        <f>$M$346*$Z$346</f>
        <v>0</v>
      </c>
      <c r="AG346" s="6">
        <f>$O$346*$AA$346</f>
        <v>0</v>
      </c>
    </row>
    <row r="347" spans="1:33" ht="11.25" customHeight="1" x14ac:dyDescent="0.3">
      <c r="A347" s="4" t="s">
        <v>28</v>
      </c>
      <c r="B347" s="4" t="s">
        <v>39</v>
      </c>
      <c r="C347" s="4" t="s">
        <v>40</v>
      </c>
      <c r="D347" s="4" t="s">
        <v>46</v>
      </c>
      <c r="E347" s="4" t="s">
        <v>25</v>
      </c>
      <c r="F347" s="4" t="s">
        <v>25</v>
      </c>
      <c r="G347" s="4" t="s">
        <v>25</v>
      </c>
      <c r="H347" s="4" t="s">
        <v>25</v>
      </c>
      <c r="I347" s="5">
        <v>44652</v>
      </c>
      <c r="J347" s="6">
        <v>320</v>
      </c>
      <c r="K347" s="6">
        <v>320</v>
      </c>
      <c r="L347" s="6">
        <v>0</v>
      </c>
      <c r="M347" s="6">
        <v>0</v>
      </c>
      <c r="N347" s="6">
        <v>0</v>
      </c>
      <c r="O347" s="6">
        <v>0</v>
      </c>
      <c r="P347" s="6">
        <v>2</v>
      </c>
      <c r="Q347" s="4" t="s">
        <v>26</v>
      </c>
      <c r="R347" s="4">
        <v>0</v>
      </c>
      <c r="S347" s="6">
        <v>13</v>
      </c>
      <c r="T347" s="6">
        <v>0</v>
      </c>
      <c r="U347" s="6">
        <v>0</v>
      </c>
      <c r="V347" s="6">
        <f>IF(ISERROR(VLOOKUP($S$347,'TAR FIN'!$A$1:$O$103,15,0)),0,VLOOKUP($S$347,'TAR FIN'!$A$1:$O$103,15,0))</f>
        <v>18.920000000000002</v>
      </c>
      <c r="W347" s="6">
        <f>IF(ISERROR(VLOOKUP($T$347,'TAR FIN'!$A$1:$O$103,15,0)),0,VLOOKUP($T$347,'TAR FIN'!$A$1:$O$103,15,0))</f>
        <v>0</v>
      </c>
      <c r="X347" s="6">
        <f>IF(ISERROR(VLOOKUP($U$347,'TAR FIN'!$A$1:$O$103,15,0)),0,VLOOKUP($U$347,'TAR FIN'!$A$1:$O$103,15,0))</f>
        <v>0</v>
      </c>
      <c r="Y347" s="6">
        <f ca="1">('TUSD BE'!$AM$22+'TUSD BF_350'!$AM$22+'TUSD CVA'!$AM$22)*1</f>
        <v>21.369338625624472</v>
      </c>
      <c r="Z347" s="6"/>
      <c r="AA347" s="6"/>
      <c r="AB347" s="6">
        <f>$K$347*$V$347</f>
        <v>6054.4000000000005</v>
      </c>
      <c r="AC347" s="6">
        <f>$M$347*$W$347</f>
        <v>0</v>
      </c>
      <c r="AD347" s="6">
        <f>$O$347*$X$347</f>
        <v>0</v>
      </c>
      <c r="AE347" s="6">
        <f ca="1">$K$347*$Y$347</f>
        <v>6838.1883601998306</v>
      </c>
      <c r="AF347" s="6">
        <f>$M$347*$Z$347</f>
        <v>0</v>
      </c>
      <c r="AG347" s="6">
        <f>$O$347*$AA$347</f>
        <v>0</v>
      </c>
    </row>
    <row r="348" spans="1:33" ht="11.25" customHeight="1" x14ac:dyDescent="0.3">
      <c r="A348" s="4" t="s">
        <v>21</v>
      </c>
      <c r="B348" s="4" t="s">
        <v>39</v>
      </c>
      <c r="C348" s="4" t="s">
        <v>40</v>
      </c>
      <c r="D348" s="4" t="s">
        <v>46</v>
      </c>
      <c r="E348" s="4" t="s">
        <v>25</v>
      </c>
      <c r="F348" s="4" t="s">
        <v>25</v>
      </c>
      <c r="G348" s="4" t="s">
        <v>25</v>
      </c>
      <c r="H348" s="4" t="s">
        <v>25</v>
      </c>
      <c r="I348" s="5">
        <v>44682</v>
      </c>
      <c r="J348" s="6">
        <v>456</v>
      </c>
      <c r="K348" s="6">
        <v>456</v>
      </c>
      <c r="L348" s="6">
        <v>0</v>
      </c>
      <c r="M348" s="6">
        <v>0</v>
      </c>
      <c r="N348" s="6">
        <v>0</v>
      </c>
      <c r="O348" s="6">
        <v>0</v>
      </c>
      <c r="P348" s="6">
        <v>9</v>
      </c>
      <c r="Q348" s="4" t="s">
        <v>26</v>
      </c>
      <c r="R348" s="4">
        <v>0</v>
      </c>
      <c r="S348" s="6">
        <v>13</v>
      </c>
      <c r="T348" s="6">
        <v>0</v>
      </c>
      <c r="U348" s="6">
        <v>0</v>
      </c>
      <c r="V348" s="6">
        <f>IF(ISERROR(VLOOKUP($S$348,'TAR FIN'!$A$1:$O$103,15,0)),0,VLOOKUP($S$348,'TAR FIN'!$A$1:$O$103,15,0))</f>
        <v>18.920000000000002</v>
      </c>
      <c r="W348" s="6">
        <f>IF(ISERROR(VLOOKUP($T$348,'TAR FIN'!$A$1:$O$103,15,0)),0,VLOOKUP($T$348,'TAR FIN'!$A$1:$O$103,15,0))</f>
        <v>0</v>
      </c>
      <c r="X348" s="6">
        <f>IF(ISERROR(VLOOKUP($U$348,'TAR FIN'!$A$1:$O$103,15,0)),0,VLOOKUP($U$348,'TAR FIN'!$A$1:$O$103,15,0))</f>
        <v>0</v>
      </c>
      <c r="Y348" s="6">
        <f ca="1">('TUSD BE'!$AM$22+'TUSD BF_350'!$AM$22+'TUSD CVA'!$AM$22)*1</f>
        <v>21.369338625624472</v>
      </c>
      <c r="Z348" s="6"/>
      <c r="AA348" s="6"/>
      <c r="AB348" s="6">
        <f>$K$348*$V$348</f>
        <v>8627.52</v>
      </c>
      <c r="AC348" s="6">
        <f>$M$348*$W$348</f>
        <v>0</v>
      </c>
      <c r="AD348" s="6">
        <f>$O$348*$X$348</f>
        <v>0</v>
      </c>
      <c r="AE348" s="6">
        <f ca="1">$K$348*$Y$348</f>
        <v>9744.4184132847586</v>
      </c>
      <c r="AF348" s="6">
        <f>$M$348*$Z$348</f>
        <v>0</v>
      </c>
      <c r="AG348" s="6">
        <f>$O$348*$AA$348</f>
        <v>0</v>
      </c>
    </row>
    <row r="349" spans="1:33" ht="11.25" customHeight="1" x14ac:dyDescent="0.3">
      <c r="A349" s="4" t="s">
        <v>28</v>
      </c>
      <c r="B349" s="4" t="s">
        <v>39</v>
      </c>
      <c r="C349" s="4" t="s">
        <v>40</v>
      </c>
      <c r="D349" s="4" t="s">
        <v>46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44682</v>
      </c>
      <c r="J349" s="6">
        <v>320</v>
      </c>
      <c r="K349" s="6">
        <v>320</v>
      </c>
      <c r="L349" s="6">
        <v>0</v>
      </c>
      <c r="M349" s="6">
        <v>0</v>
      </c>
      <c r="N349" s="6">
        <v>0</v>
      </c>
      <c r="O349" s="6">
        <v>0</v>
      </c>
      <c r="P349" s="6">
        <v>2</v>
      </c>
      <c r="Q349" s="4" t="s">
        <v>26</v>
      </c>
      <c r="R349" s="4">
        <v>0</v>
      </c>
      <c r="S349" s="6">
        <v>13</v>
      </c>
      <c r="T349" s="6">
        <v>0</v>
      </c>
      <c r="U349" s="6">
        <v>0</v>
      </c>
      <c r="V349" s="6">
        <f>IF(ISERROR(VLOOKUP($S$349,'TAR FIN'!$A$1:$O$103,15,0)),0,VLOOKUP($S$349,'TAR FIN'!$A$1:$O$103,15,0))</f>
        <v>18.920000000000002</v>
      </c>
      <c r="W349" s="6">
        <f>IF(ISERROR(VLOOKUP($T$349,'TAR FIN'!$A$1:$O$103,15,0)),0,VLOOKUP($T$349,'TAR FIN'!$A$1:$O$103,15,0))</f>
        <v>0</v>
      </c>
      <c r="X349" s="6">
        <f>IF(ISERROR(VLOOKUP($U$349,'TAR FIN'!$A$1:$O$103,15,0)),0,VLOOKUP($U$349,'TAR FIN'!$A$1:$O$103,15,0))</f>
        <v>0</v>
      </c>
      <c r="Y349" s="6">
        <f ca="1">('TUSD BE'!$AM$22+'TUSD BF_350'!$AM$22+'TUSD CVA'!$AM$22)*1</f>
        <v>21.369338625624472</v>
      </c>
      <c r="Z349" s="6"/>
      <c r="AA349" s="6"/>
      <c r="AB349" s="6">
        <f>$K$349*$V$349</f>
        <v>6054.4000000000005</v>
      </c>
      <c r="AC349" s="6">
        <f>$M$349*$W$349</f>
        <v>0</v>
      </c>
      <c r="AD349" s="6">
        <f>$O$349*$X$349</f>
        <v>0</v>
      </c>
      <c r="AE349" s="6">
        <f ca="1">$K$349*$Y$349</f>
        <v>6838.1883601998306</v>
      </c>
      <c r="AF349" s="6">
        <f>$M$349*$Z$349</f>
        <v>0</v>
      </c>
      <c r="AG349" s="6">
        <f>$O$349*$AA$349</f>
        <v>0</v>
      </c>
    </row>
    <row r="350" spans="1:33" ht="11.25" customHeight="1" x14ac:dyDescent="0.3">
      <c r="A350" s="4" t="s">
        <v>21</v>
      </c>
      <c r="B350" s="4" t="s">
        <v>39</v>
      </c>
      <c r="C350" s="4" t="s">
        <v>40</v>
      </c>
      <c r="D350" s="4" t="s">
        <v>46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44713</v>
      </c>
      <c r="J350" s="6">
        <v>441</v>
      </c>
      <c r="K350" s="6">
        <v>441</v>
      </c>
      <c r="L350" s="6">
        <v>0</v>
      </c>
      <c r="M350" s="6">
        <v>0</v>
      </c>
      <c r="N350" s="6">
        <v>0</v>
      </c>
      <c r="O350" s="6">
        <v>0</v>
      </c>
      <c r="P350" s="6">
        <v>9</v>
      </c>
      <c r="Q350" s="4" t="s">
        <v>26</v>
      </c>
      <c r="R350" s="4">
        <v>0</v>
      </c>
      <c r="S350" s="6">
        <v>13</v>
      </c>
      <c r="T350" s="6">
        <v>0</v>
      </c>
      <c r="U350" s="6">
        <v>0</v>
      </c>
      <c r="V350" s="6">
        <f>IF(ISERROR(VLOOKUP($S$350,'TAR FIN'!$A$1:$O$103,15,0)),0,VLOOKUP($S$350,'TAR FIN'!$A$1:$O$103,15,0))</f>
        <v>18.920000000000002</v>
      </c>
      <c r="W350" s="6">
        <f>IF(ISERROR(VLOOKUP($T$350,'TAR FIN'!$A$1:$O$103,15,0)),0,VLOOKUP($T$350,'TAR FIN'!$A$1:$O$103,15,0))</f>
        <v>0</v>
      </c>
      <c r="X350" s="6">
        <f>IF(ISERROR(VLOOKUP($U$350,'TAR FIN'!$A$1:$O$103,15,0)),0,VLOOKUP($U$350,'TAR FIN'!$A$1:$O$103,15,0))</f>
        <v>0</v>
      </c>
      <c r="Y350" s="6">
        <f ca="1">('TUSD BE'!$AM$22+'TUSD BF_350'!$AM$22+'TUSD CVA'!$AM$22)*1</f>
        <v>21.369338625624472</v>
      </c>
      <c r="Z350" s="6"/>
      <c r="AA350" s="6"/>
      <c r="AB350" s="6">
        <f>$K$350*$V$350</f>
        <v>8343.7200000000012</v>
      </c>
      <c r="AC350" s="6">
        <f>$M$350*$W$350</f>
        <v>0</v>
      </c>
      <c r="AD350" s="6">
        <f>$O$350*$X$350</f>
        <v>0</v>
      </c>
      <c r="AE350" s="6">
        <f ca="1">$K$350*$Y$350</f>
        <v>9423.878333900393</v>
      </c>
      <c r="AF350" s="6">
        <f>$M$350*$Z$350</f>
        <v>0</v>
      </c>
      <c r="AG350" s="6">
        <f>$O$350*$AA$350</f>
        <v>0</v>
      </c>
    </row>
    <row r="351" spans="1:33" ht="11.25" customHeight="1" x14ac:dyDescent="0.3">
      <c r="A351" s="4" t="s">
        <v>28</v>
      </c>
      <c r="B351" s="4" t="s">
        <v>39</v>
      </c>
      <c r="C351" s="4" t="s">
        <v>40</v>
      </c>
      <c r="D351" s="4" t="s">
        <v>46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44713</v>
      </c>
      <c r="J351" s="6">
        <v>320</v>
      </c>
      <c r="K351" s="6">
        <v>320</v>
      </c>
      <c r="L351" s="6">
        <v>0</v>
      </c>
      <c r="M351" s="6">
        <v>0</v>
      </c>
      <c r="N351" s="6">
        <v>0</v>
      </c>
      <c r="O351" s="6">
        <v>0</v>
      </c>
      <c r="P351" s="6">
        <v>2</v>
      </c>
      <c r="Q351" s="4" t="s">
        <v>26</v>
      </c>
      <c r="R351" s="4">
        <v>0</v>
      </c>
      <c r="S351" s="6">
        <v>13</v>
      </c>
      <c r="T351" s="6">
        <v>0</v>
      </c>
      <c r="U351" s="6">
        <v>0</v>
      </c>
      <c r="V351" s="6">
        <f>IF(ISERROR(VLOOKUP($S$351,'TAR FIN'!$A$1:$O$103,15,0)),0,VLOOKUP($S$351,'TAR FIN'!$A$1:$O$103,15,0))</f>
        <v>18.920000000000002</v>
      </c>
      <c r="W351" s="6">
        <f>IF(ISERROR(VLOOKUP($T$351,'TAR FIN'!$A$1:$O$103,15,0)),0,VLOOKUP($T$351,'TAR FIN'!$A$1:$O$103,15,0))</f>
        <v>0</v>
      </c>
      <c r="X351" s="6">
        <f>IF(ISERROR(VLOOKUP($U$351,'TAR FIN'!$A$1:$O$103,15,0)),0,VLOOKUP($U$351,'TAR FIN'!$A$1:$O$103,15,0))</f>
        <v>0</v>
      </c>
      <c r="Y351" s="6">
        <f ca="1">('TUSD BE'!$AM$22+'TUSD BF_350'!$AM$22+'TUSD CVA'!$AM$22)*1</f>
        <v>21.369338625624472</v>
      </c>
      <c r="Z351" s="6"/>
      <c r="AA351" s="6"/>
      <c r="AB351" s="6">
        <f>$K$351*$V$351</f>
        <v>6054.4000000000005</v>
      </c>
      <c r="AC351" s="6">
        <f>$M$351*$W$351</f>
        <v>0</v>
      </c>
      <c r="AD351" s="6">
        <f>$O$351*$X$351</f>
        <v>0</v>
      </c>
      <c r="AE351" s="6">
        <f ca="1">$K$351*$Y$351</f>
        <v>6838.1883601998306</v>
      </c>
      <c r="AF351" s="6">
        <f>$M$351*$Z$351</f>
        <v>0</v>
      </c>
      <c r="AG351" s="6">
        <f>$O$351*$AA$351</f>
        <v>0</v>
      </c>
    </row>
    <row r="352" spans="1:33" ht="11.25" customHeight="1" x14ac:dyDescent="0.3">
      <c r="A352" s="4" t="s">
        <v>21</v>
      </c>
      <c r="B352" s="4" t="s">
        <v>39</v>
      </c>
      <c r="C352" s="4" t="s">
        <v>40</v>
      </c>
      <c r="D352" s="4" t="s">
        <v>46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44743</v>
      </c>
      <c r="J352" s="6">
        <v>552</v>
      </c>
      <c r="K352" s="6">
        <v>552</v>
      </c>
      <c r="L352" s="6">
        <v>0</v>
      </c>
      <c r="M352" s="6">
        <v>0</v>
      </c>
      <c r="N352" s="6">
        <v>0</v>
      </c>
      <c r="O352" s="6">
        <v>0</v>
      </c>
      <c r="P352" s="6">
        <v>9</v>
      </c>
      <c r="Q352" s="4" t="s">
        <v>26</v>
      </c>
      <c r="R352" s="4">
        <v>0</v>
      </c>
      <c r="S352" s="6">
        <v>13</v>
      </c>
      <c r="T352" s="6">
        <v>0</v>
      </c>
      <c r="U352" s="6">
        <v>0</v>
      </c>
      <c r="V352" s="6">
        <f>IF(ISERROR(VLOOKUP($S$352,'TAR FIN'!$A$1:$O$103,15,0)),0,VLOOKUP($S$352,'TAR FIN'!$A$1:$O$103,15,0))</f>
        <v>18.920000000000002</v>
      </c>
      <c r="W352" s="6">
        <f>IF(ISERROR(VLOOKUP($T$352,'TAR FIN'!$A$1:$O$103,15,0)),0,VLOOKUP($T$352,'TAR FIN'!$A$1:$O$103,15,0))</f>
        <v>0</v>
      </c>
      <c r="X352" s="6">
        <f>IF(ISERROR(VLOOKUP($U$352,'TAR FIN'!$A$1:$O$103,15,0)),0,VLOOKUP($U$352,'TAR FIN'!$A$1:$O$103,15,0))</f>
        <v>0</v>
      </c>
      <c r="Y352" s="6">
        <f ca="1">('TUSD BE'!$AM$22+'TUSD BF_350'!$AM$22+'TUSD CVA'!$AM$22)*1</f>
        <v>21.369338625624472</v>
      </c>
      <c r="Z352" s="6"/>
      <c r="AA352" s="6"/>
      <c r="AB352" s="6">
        <f>$K$352*$V$352</f>
        <v>10443.84</v>
      </c>
      <c r="AC352" s="6">
        <f>$M$352*$W$352</f>
        <v>0</v>
      </c>
      <c r="AD352" s="6">
        <f>$O$352*$X$352</f>
        <v>0</v>
      </c>
      <c r="AE352" s="6">
        <f ca="1">$K$352*$Y$352</f>
        <v>11795.874921344708</v>
      </c>
      <c r="AF352" s="6">
        <f>$M$352*$Z$352</f>
        <v>0</v>
      </c>
      <c r="AG352" s="6">
        <f>$O$352*$AA$352</f>
        <v>0</v>
      </c>
    </row>
    <row r="353" spans="1:33" ht="11.25" customHeight="1" x14ac:dyDescent="0.3">
      <c r="A353" s="4" t="s">
        <v>28</v>
      </c>
      <c r="B353" s="4" t="s">
        <v>39</v>
      </c>
      <c r="C353" s="4" t="s">
        <v>40</v>
      </c>
      <c r="D353" s="4" t="s">
        <v>46</v>
      </c>
      <c r="E353" s="4" t="s">
        <v>25</v>
      </c>
      <c r="F353" s="4" t="s">
        <v>25</v>
      </c>
      <c r="G353" s="4" t="s">
        <v>25</v>
      </c>
      <c r="H353" s="4" t="s">
        <v>25</v>
      </c>
      <c r="I353" s="5">
        <v>44743</v>
      </c>
      <c r="J353" s="6">
        <v>320</v>
      </c>
      <c r="K353" s="6">
        <v>320</v>
      </c>
      <c r="L353" s="6">
        <v>0</v>
      </c>
      <c r="M353" s="6">
        <v>0</v>
      </c>
      <c r="N353" s="6">
        <v>0</v>
      </c>
      <c r="O353" s="6">
        <v>0</v>
      </c>
      <c r="P353" s="6">
        <v>2</v>
      </c>
      <c r="Q353" s="4" t="s">
        <v>26</v>
      </c>
      <c r="R353" s="4">
        <v>0</v>
      </c>
      <c r="S353" s="6">
        <v>13</v>
      </c>
      <c r="T353" s="6">
        <v>0</v>
      </c>
      <c r="U353" s="6">
        <v>0</v>
      </c>
      <c r="V353" s="6">
        <f>IF(ISERROR(VLOOKUP($S$353,'TAR FIN'!$A$1:$O$103,15,0)),0,VLOOKUP($S$353,'TAR FIN'!$A$1:$O$103,15,0))</f>
        <v>18.920000000000002</v>
      </c>
      <c r="W353" s="6">
        <f>IF(ISERROR(VLOOKUP($T$353,'TAR FIN'!$A$1:$O$103,15,0)),0,VLOOKUP($T$353,'TAR FIN'!$A$1:$O$103,15,0))</f>
        <v>0</v>
      </c>
      <c r="X353" s="6">
        <f>IF(ISERROR(VLOOKUP($U$353,'TAR FIN'!$A$1:$O$103,15,0)),0,VLOOKUP($U$353,'TAR FIN'!$A$1:$O$103,15,0))</f>
        <v>0</v>
      </c>
      <c r="Y353" s="6">
        <f ca="1">('TUSD BE'!$AM$22+'TUSD BF_350'!$AM$22+'TUSD CVA'!$AM$22)*1</f>
        <v>21.369338625624472</v>
      </c>
      <c r="Z353" s="6"/>
      <c r="AA353" s="6"/>
      <c r="AB353" s="6">
        <f>$K$353*$V$353</f>
        <v>6054.4000000000005</v>
      </c>
      <c r="AC353" s="6">
        <f>$M$353*$W$353</f>
        <v>0</v>
      </c>
      <c r="AD353" s="6">
        <f>$O$353*$X$353</f>
        <v>0</v>
      </c>
      <c r="AE353" s="6">
        <f ca="1">$K$353*$Y$353</f>
        <v>6838.1883601998306</v>
      </c>
      <c r="AF353" s="6">
        <f>$M$353*$Z$353</f>
        <v>0</v>
      </c>
      <c r="AG353" s="6">
        <f>$O$353*$AA$353</f>
        <v>0</v>
      </c>
    </row>
    <row r="354" spans="1:33" ht="11.25" customHeight="1" x14ac:dyDescent="0.3">
      <c r="A354" s="4" t="s">
        <v>21</v>
      </c>
      <c r="B354" s="4" t="s">
        <v>39</v>
      </c>
      <c r="C354" s="4" t="s">
        <v>40</v>
      </c>
      <c r="D354" s="4" t="s">
        <v>46</v>
      </c>
      <c r="E354" s="4" t="s">
        <v>25</v>
      </c>
      <c r="F354" s="4" t="s">
        <v>25</v>
      </c>
      <c r="G354" s="4" t="s">
        <v>25</v>
      </c>
      <c r="H354" s="4" t="s">
        <v>25</v>
      </c>
      <c r="I354" s="5">
        <v>44774</v>
      </c>
      <c r="J354" s="6">
        <v>583</v>
      </c>
      <c r="K354" s="6">
        <v>583</v>
      </c>
      <c r="L354" s="6">
        <v>0</v>
      </c>
      <c r="M354" s="6">
        <v>0</v>
      </c>
      <c r="N354" s="6">
        <v>0</v>
      </c>
      <c r="O354" s="6">
        <v>0</v>
      </c>
      <c r="P354" s="6">
        <v>9</v>
      </c>
      <c r="Q354" s="4" t="s">
        <v>26</v>
      </c>
      <c r="R354" s="4">
        <v>0</v>
      </c>
      <c r="S354" s="6">
        <v>13</v>
      </c>
      <c r="T354" s="6">
        <v>0</v>
      </c>
      <c r="U354" s="6">
        <v>0</v>
      </c>
      <c r="V354" s="6">
        <f>IF(ISERROR(VLOOKUP($S$354,'TAR FIN'!$A$1:$O$103,15,0)),0,VLOOKUP($S$354,'TAR FIN'!$A$1:$O$103,15,0))</f>
        <v>18.920000000000002</v>
      </c>
      <c r="W354" s="6">
        <f>IF(ISERROR(VLOOKUP($T$354,'TAR FIN'!$A$1:$O$103,15,0)),0,VLOOKUP($T$354,'TAR FIN'!$A$1:$O$103,15,0))</f>
        <v>0</v>
      </c>
      <c r="X354" s="6">
        <f>IF(ISERROR(VLOOKUP($U$354,'TAR FIN'!$A$1:$O$103,15,0)),0,VLOOKUP($U$354,'TAR FIN'!$A$1:$O$103,15,0))</f>
        <v>0</v>
      </c>
      <c r="Y354" s="6">
        <f ca="1">('TUSD BE'!$AM$22+'TUSD BF_350'!$AM$22+'TUSD CVA'!$AM$22)*1</f>
        <v>21.369338625624472</v>
      </c>
      <c r="Z354" s="6"/>
      <c r="AA354" s="6"/>
      <c r="AB354" s="6">
        <f>$K$354*$V$354</f>
        <v>11030.36</v>
      </c>
      <c r="AC354" s="6">
        <f>$M$354*$W$354</f>
        <v>0</v>
      </c>
      <c r="AD354" s="6">
        <f>$O$354*$X$354</f>
        <v>0</v>
      </c>
      <c r="AE354" s="6">
        <f ca="1">$K$354*$Y$354</f>
        <v>12458.324418739066</v>
      </c>
      <c r="AF354" s="6">
        <f>$M$354*$Z$354</f>
        <v>0</v>
      </c>
      <c r="AG354" s="6">
        <f>$O$354*$AA$354</f>
        <v>0</v>
      </c>
    </row>
    <row r="355" spans="1:33" ht="11.25" customHeight="1" x14ac:dyDescent="0.3">
      <c r="A355" s="4" t="s">
        <v>28</v>
      </c>
      <c r="B355" s="4" t="s">
        <v>39</v>
      </c>
      <c r="C355" s="4" t="s">
        <v>40</v>
      </c>
      <c r="D355" s="4" t="s">
        <v>46</v>
      </c>
      <c r="E355" s="4" t="s">
        <v>25</v>
      </c>
      <c r="F355" s="4" t="s">
        <v>25</v>
      </c>
      <c r="G355" s="4" t="s">
        <v>25</v>
      </c>
      <c r="H355" s="4" t="s">
        <v>25</v>
      </c>
      <c r="I355" s="5">
        <v>44774</v>
      </c>
      <c r="J355" s="6">
        <v>320</v>
      </c>
      <c r="K355" s="6">
        <v>320</v>
      </c>
      <c r="L355" s="6">
        <v>0</v>
      </c>
      <c r="M355" s="6">
        <v>0</v>
      </c>
      <c r="N355" s="6">
        <v>0</v>
      </c>
      <c r="O355" s="6">
        <v>0</v>
      </c>
      <c r="P355" s="6">
        <v>2</v>
      </c>
      <c r="Q355" s="4" t="s">
        <v>26</v>
      </c>
      <c r="R355" s="4">
        <v>0</v>
      </c>
      <c r="S355" s="6">
        <v>13</v>
      </c>
      <c r="T355" s="6">
        <v>0</v>
      </c>
      <c r="U355" s="6">
        <v>0</v>
      </c>
      <c r="V355" s="6">
        <f>IF(ISERROR(VLOOKUP($S$355,'TAR FIN'!$A$1:$O$103,15,0)),0,VLOOKUP($S$355,'TAR FIN'!$A$1:$O$103,15,0))</f>
        <v>18.920000000000002</v>
      </c>
      <c r="W355" s="6">
        <f>IF(ISERROR(VLOOKUP($T$355,'TAR FIN'!$A$1:$O$103,15,0)),0,VLOOKUP($T$355,'TAR FIN'!$A$1:$O$103,15,0))</f>
        <v>0</v>
      </c>
      <c r="X355" s="6">
        <f>IF(ISERROR(VLOOKUP($U$355,'TAR FIN'!$A$1:$O$103,15,0)),0,VLOOKUP($U$355,'TAR FIN'!$A$1:$O$103,15,0))</f>
        <v>0</v>
      </c>
      <c r="Y355" s="6">
        <f ca="1">('TUSD BE'!$AM$22+'TUSD BF_350'!$AM$22+'TUSD CVA'!$AM$22)*1</f>
        <v>21.369338625624472</v>
      </c>
      <c r="Z355" s="6"/>
      <c r="AA355" s="6"/>
      <c r="AB355" s="6">
        <f>$K$355*$V$355</f>
        <v>6054.4000000000005</v>
      </c>
      <c r="AC355" s="6">
        <f>$M$355*$W$355</f>
        <v>0</v>
      </c>
      <c r="AD355" s="6">
        <f>$O$355*$X$355</f>
        <v>0</v>
      </c>
      <c r="AE355" s="6">
        <f ca="1">$K$355*$Y$355</f>
        <v>6838.1883601998306</v>
      </c>
      <c r="AF355" s="6">
        <f>$M$355*$Z$355</f>
        <v>0</v>
      </c>
      <c r="AG355" s="6">
        <f>$O$355*$AA$355</f>
        <v>0</v>
      </c>
    </row>
    <row r="356" spans="1:33" ht="11.25" customHeight="1" x14ac:dyDescent="0.3">
      <c r="A356" s="4" t="s">
        <v>21</v>
      </c>
      <c r="B356" s="4" t="s">
        <v>39</v>
      </c>
      <c r="C356" s="4" t="s">
        <v>40</v>
      </c>
      <c r="D356" s="4" t="s">
        <v>46</v>
      </c>
      <c r="E356" s="4" t="s">
        <v>25</v>
      </c>
      <c r="F356" s="4" t="s">
        <v>25</v>
      </c>
      <c r="G356" s="4" t="s">
        <v>25</v>
      </c>
      <c r="H356" s="4" t="s">
        <v>25</v>
      </c>
      <c r="I356" s="5">
        <v>44805</v>
      </c>
      <c r="J356" s="6">
        <v>613</v>
      </c>
      <c r="K356" s="6">
        <v>613</v>
      </c>
      <c r="L356" s="6">
        <v>0</v>
      </c>
      <c r="M356" s="6">
        <v>0</v>
      </c>
      <c r="N356" s="6">
        <v>0</v>
      </c>
      <c r="O356" s="6">
        <v>0</v>
      </c>
      <c r="P356" s="6">
        <v>9</v>
      </c>
      <c r="Q356" s="4" t="s">
        <v>26</v>
      </c>
      <c r="R356" s="4">
        <v>0</v>
      </c>
      <c r="S356" s="6">
        <v>13</v>
      </c>
      <c r="T356" s="6">
        <v>0</v>
      </c>
      <c r="U356" s="6">
        <v>0</v>
      </c>
      <c r="V356" s="6">
        <f>IF(ISERROR(VLOOKUP($S$356,'TAR FIN'!$A$1:$O$103,15,0)),0,VLOOKUP($S$356,'TAR FIN'!$A$1:$O$103,15,0))</f>
        <v>18.920000000000002</v>
      </c>
      <c r="W356" s="6">
        <f>IF(ISERROR(VLOOKUP($T$356,'TAR FIN'!$A$1:$O$103,15,0)),0,VLOOKUP($T$356,'TAR FIN'!$A$1:$O$103,15,0))</f>
        <v>0</v>
      </c>
      <c r="X356" s="6">
        <f>IF(ISERROR(VLOOKUP($U$356,'TAR FIN'!$A$1:$O$103,15,0)),0,VLOOKUP($U$356,'TAR FIN'!$A$1:$O$103,15,0))</f>
        <v>0</v>
      </c>
      <c r="Y356" s="6">
        <f ca="1">('TUSD BE'!$AM$22+'TUSD BF_350'!$AM$22+'TUSD CVA'!$AM$22)*1</f>
        <v>21.369338625624472</v>
      </c>
      <c r="Z356" s="6"/>
      <c r="AA356" s="6"/>
      <c r="AB356" s="6">
        <f>$K$356*$V$356</f>
        <v>11597.960000000001</v>
      </c>
      <c r="AC356" s="6">
        <f>$M$356*$W$356</f>
        <v>0</v>
      </c>
      <c r="AD356" s="6">
        <f>$O$356*$X$356</f>
        <v>0</v>
      </c>
      <c r="AE356" s="6">
        <f ca="1">$K$356*$Y$356</f>
        <v>13099.404577507801</v>
      </c>
      <c r="AF356" s="6">
        <f>$M$356*$Z$356</f>
        <v>0</v>
      </c>
      <c r="AG356" s="6">
        <f>$O$356*$AA$356</f>
        <v>0</v>
      </c>
    </row>
    <row r="357" spans="1:33" ht="11.25" customHeight="1" x14ac:dyDescent="0.3">
      <c r="A357" s="4" t="s">
        <v>28</v>
      </c>
      <c r="B357" s="4" t="s">
        <v>39</v>
      </c>
      <c r="C357" s="4" t="s">
        <v>40</v>
      </c>
      <c r="D357" s="4" t="s">
        <v>46</v>
      </c>
      <c r="E357" s="4" t="s">
        <v>25</v>
      </c>
      <c r="F357" s="4" t="s">
        <v>25</v>
      </c>
      <c r="G357" s="4" t="s">
        <v>25</v>
      </c>
      <c r="H357" s="4" t="s">
        <v>25</v>
      </c>
      <c r="I357" s="5">
        <v>44805</v>
      </c>
      <c r="J357" s="6">
        <v>320</v>
      </c>
      <c r="K357" s="6">
        <v>320</v>
      </c>
      <c r="L357" s="6">
        <v>0</v>
      </c>
      <c r="M357" s="6">
        <v>0</v>
      </c>
      <c r="N357" s="6">
        <v>0</v>
      </c>
      <c r="O357" s="6">
        <v>0</v>
      </c>
      <c r="P357" s="6">
        <v>2</v>
      </c>
      <c r="Q357" s="4" t="s">
        <v>26</v>
      </c>
      <c r="R357" s="4">
        <v>0</v>
      </c>
      <c r="S357" s="6">
        <v>13</v>
      </c>
      <c r="T357" s="6">
        <v>0</v>
      </c>
      <c r="U357" s="6">
        <v>0</v>
      </c>
      <c r="V357" s="6">
        <f>IF(ISERROR(VLOOKUP($S$357,'TAR FIN'!$A$1:$O$103,15,0)),0,VLOOKUP($S$357,'TAR FIN'!$A$1:$O$103,15,0))</f>
        <v>18.920000000000002</v>
      </c>
      <c r="W357" s="6">
        <f>IF(ISERROR(VLOOKUP($T$357,'TAR FIN'!$A$1:$O$103,15,0)),0,VLOOKUP($T$357,'TAR FIN'!$A$1:$O$103,15,0))</f>
        <v>0</v>
      </c>
      <c r="X357" s="6">
        <f>IF(ISERROR(VLOOKUP($U$357,'TAR FIN'!$A$1:$O$103,15,0)),0,VLOOKUP($U$357,'TAR FIN'!$A$1:$O$103,15,0))</f>
        <v>0</v>
      </c>
      <c r="Y357" s="6">
        <f ca="1">('TUSD BE'!$AM$22+'TUSD BF_350'!$AM$22+'TUSD CVA'!$AM$22)*1</f>
        <v>21.369338625624472</v>
      </c>
      <c r="Z357" s="6"/>
      <c r="AA357" s="6"/>
      <c r="AB357" s="6">
        <f>$K$357*$V$357</f>
        <v>6054.4000000000005</v>
      </c>
      <c r="AC357" s="6">
        <f>$M$357*$W$357</f>
        <v>0</v>
      </c>
      <c r="AD357" s="6">
        <f>$O$357*$X$357</f>
        <v>0</v>
      </c>
      <c r="AE357" s="6">
        <f ca="1">$K$357*$Y$357</f>
        <v>6838.1883601998306</v>
      </c>
      <c r="AF357" s="6">
        <f>$M$357*$Z$357</f>
        <v>0</v>
      </c>
      <c r="AG357" s="6">
        <f>$O$357*$AA$357</f>
        <v>0</v>
      </c>
    </row>
    <row r="358" spans="1:33" ht="11.25" customHeight="1" x14ac:dyDescent="0.3">
      <c r="A358" s="4" t="s">
        <v>57</v>
      </c>
      <c r="B358" s="4" t="s">
        <v>39</v>
      </c>
      <c r="C358" s="4" t="s">
        <v>40</v>
      </c>
      <c r="D358" s="4" t="s">
        <v>46</v>
      </c>
      <c r="E358" s="4" t="s">
        <v>25</v>
      </c>
      <c r="F358" s="4" t="s">
        <v>25</v>
      </c>
      <c r="G358" s="4" t="s">
        <v>25</v>
      </c>
      <c r="H358" s="4" t="s">
        <v>25</v>
      </c>
      <c r="I358" s="5">
        <v>44835</v>
      </c>
      <c r="J358" s="6">
        <v>613</v>
      </c>
      <c r="K358" s="6">
        <v>613</v>
      </c>
      <c r="L358" s="6">
        <v>0</v>
      </c>
      <c r="M358" s="6">
        <v>0</v>
      </c>
      <c r="N358" s="6">
        <v>0</v>
      </c>
      <c r="O358" s="6">
        <v>0</v>
      </c>
      <c r="P358" s="6">
        <v>9</v>
      </c>
      <c r="Q358" s="4" t="s">
        <v>26</v>
      </c>
      <c r="R358" s="4">
        <v>0</v>
      </c>
      <c r="S358" s="6">
        <v>13</v>
      </c>
      <c r="T358" s="6">
        <v>0</v>
      </c>
      <c r="U358" s="6">
        <v>0</v>
      </c>
      <c r="V358" s="6">
        <f>IF(ISERROR(VLOOKUP($S$358,'TAR FIN'!$A$1:$O$103,15,0)),0,VLOOKUP($S$358,'TAR FIN'!$A$1:$O$103,15,0))</f>
        <v>18.920000000000002</v>
      </c>
      <c r="W358" s="6">
        <f>IF(ISERROR(VLOOKUP($T$358,'TAR FIN'!$A$1:$O$103,15,0)),0,VLOOKUP($T$358,'TAR FIN'!$A$1:$O$103,15,0))</f>
        <v>0</v>
      </c>
      <c r="X358" s="6">
        <f>IF(ISERROR(VLOOKUP($U$358,'TAR FIN'!$A$1:$O$103,15,0)),0,VLOOKUP($U$358,'TAR FIN'!$A$1:$O$103,15,0))</f>
        <v>0</v>
      </c>
      <c r="Y358" s="6">
        <f ca="1">('TUSD BE'!$AM$22+'TUSD BF_350'!$AM$22+'TUSD CVA'!$AM$22)*1</f>
        <v>21.369338625624472</v>
      </c>
      <c r="Z358" s="6"/>
      <c r="AA358" s="6"/>
      <c r="AB358" s="6">
        <f>$K$358*$V$358</f>
        <v>11597.960000000001</v>
      </c>
      <c r="AC358" s="6">
        <f>$M$358*$W$358</f>
        <v>0</v>
      </c>
      <c r="AD358" s="6">
        <f>$O$358*$X$358</f>
        <v>0</v>
      </c>
      <c r="AE358" s="6">
        <f ca="1">$K$358*$Y$358</f>
        <v>13099.404577507801</v>
      </c>
      <c r="AF358" s="6">
        <f>$M$358*$Z$358</f>
        <v>0</v>
      </c>
      <c r="AG358" s="6">
        <f>$O$358*$AA$358</f>
        <v>0</v>
      </c>
    </row>
    <row r="359" spans="1:33" ht="11.25" customHeight="1" x14ac:dyDescent="0.3">
      <c r="A359" s="4" t="s">
        <v>57</v>
      </c>
      <c r="B359" s="4" t="s">
        <v>39</v>
      </c>
      <c r="C359" s="4" t="s">
        <v>40</v>
      </c>
      <c r="D359" s="4" t="s">
        <v>46</v>
      </c>
      <c r="E359" s="4" t="s">
        <v>25</v>
      </c>
      <c r="F359" s="4" t="s">
        <v>25</v>
      </c>
      <c r="G359" s="4" t="s">
        <v>25</v>
      </c>
      <c r="H359" s="4" t="s">
        <v>25</v>
      </c>
      <c r="I359" s="5">
        <v>44835</v>
      </c>
      <c r="J359" s="6">
        <v>320</v>
      </c>
      <c r="K359" s="6">
        <v>320</v>
      </c>
      <c r="L359" s="6">
        <v>0</v>
      </c>
      <c r="M359" s="6">
        <v>0</v>
      </c>
      <c r="N359" s="6">
        <v>0</v>
      </c>
      <c r="O359" s="6">
        <v>0</v>
      </c>
      <c r="P359" s="6">
        <v>2</v>
      </c>
      <c r="Q359" s="4" t="s">
        <v>26</v>
      </c>
      <c r="R359" s="4">
        <v>0</v>
      </c>
      <c r="S359" s="6">
        <v>13</v>
      </c>
      <c r="T359" s="6">
        <v>0</v>
      </c>
      <c r="U359" s="6">
        <v>0</v>
      </c>
      <c r="V359" s="6">
        <f>IF(ISERROR(VLOOKUP($S$359,'TAR FIN'!$A$1:$O$103,15,0)),0,VLOOKUP($S$359,'TAR FIN'!$A$1:$O$103,15,0))</f>
        <v>18.920000000000002</v>
      </c>
      <c r="W359" s="6">
        <f>IF(ISERROR(VLOOKUP($T$359,'TAR FIN'!$A$1:$O$103,15,0)),0,VLOOKUP($T$359,'TAR FIN'!$A$1:$O$103,15,0))</f>
        <v>0</v>
      </c>
      <c r="X359" s="6">
        <f>IF(ISERROR(VLOOKUP($U$359,'TAR FIN'!$A$1:$O$103,15,0)),0,VLOOKUP($U$359,'TAR FIN'!$A$1:$O$103,15,0))</f>
        <v>0</v>
      </c>
      <c r="Y359" s="6">
        <f ca="1">('TUSD BE'!$AM$22+'TUSD BF_350'!$AM$22+'TUSD CVA'!$AM$22)*1</f>
        <v>21.369338625624472</v>
      </c>
      <c r="Z359" s="6"/>
      <c r="AA359" s="6"/>
      <c r="AB359" s="6">
        <f>$K$359*$V$359</f>
        <v>6054.4000000000005</v>
      </c>
      <c r="AC359" s="6">
        <f>$M$359*$W$359</f>
        <v>0</v>
      </c>
      <c r="AD359" s="6">
        <f>$O$359*$X$359</f>
        <v>0</v>
      </c>
      <c r="AE359" s="6">
        <f ca="1">$K$359*$Y$359</f>
        <v>6838.1883601998306</v>
      </c>
      <c r="AF359" s="6">
        <f>$M$359*$Z$359</f>
        <v>0</v>
      </c>
      <c r="AG359" s="6">
        <f>$O$359*$AA$359</f>
        <v>0</v>
      </c>
    </row>
    <row r="360" spans="1:33" ht="11.25" customHeight="1" x14ac:dyDescent="0.3">
      <c r="A360" s="4" t="s">
        <v>21</v>
      </c>
      <c r="B360" s="4" t="s">
        <v>39</v>
      </c>
      <c r="C360" s="4" t="s">
        <v>40</v>
      </c>
      <c r="D360" s="4" t="s">
        <v>46</v>
      </c>
      <c r="E360" s="4" t="s">
        <v>25</v>
      </c>
      <c r="F360" s="4" t="s">
        <v>25</v>
      </c>
      <c r="G360" s="4" t="s">
        <v>25</v>
      </c>
      <c r="H360" s="4" t="s">
        <v>34</v>
      </c>
      <c r="I360" s="5">
        <v>44501</v>
      </c>
      <c r="J360" s="6">
        <v>0</v>
      </c>
      <c r="K360" s="6">
        <v>0</v>
      </c>
      <c r="L360" s="6">
        <v>3.5510000000000002</v>
      </c>
      <c r="M360" s="6">
        <v>3.5510000000000002</v>
      </c>
      <c r="N360" s="6">
        <v>3.5510000000000002</v>
      </c>
      <c r="O360" s="6">
        <v>3.5510000000000002</v>
      </c>
      <c r="P360" s="6">
        <v>0</v>
      </c>
      <c r="Q360" s="4" t="s">
        <v>26</v>
      </c>
      <c r="R360" s="4">
        <v>0</v>
      </c>
      <c r="S360" s="6">
        <v>0</v>
      </c>
      <c r="T360" s="6">
        <v>15</v>
      </c>
      <c r="U360" s="6">
        <v>65</v>
      </c>
      <c r="V360" s="6">
        <f>IF(ISERROR(VLOOKUP($S$360,'TAR FIN'!$A$1:$O$103,15,0)),0,VLOOKUP($S$360,'TAR FIN'!$A$1:$O$103,15,0))</f>
        <v>0</v>
      </c>
      <c r="W360" s="6">
        <f>IF(ISERROR(VLOOKUP($T$360,'TAR FIN'!$A$1:$O$103,15,0)),0,VLOOKUP($T$360,'TAR FIN'!$A$1:$O$103,15,0))</f>
        <v>1195.82</v>
      </c>
      <c r="X360" s="6">
        <f>IF(ISERROR(VLOOKUP($U$360,'TAR FIN'!$A$1:$O$103,15,0)),0,VLOOKUP($U$360,'TAR FIN'!$A$1:$O$103,15,0))</f>
        <v>391.54</v>
      </c>
      <c r="Y360" s="6"/>
      <c r="Z360" s="6">
        <f ca="1">('TUSD BE'!$AM$23+'TUSD BF_350'!$AM$23+'TUSD CVA'!$AM$23)*1</f>
        <v>1385.4977743340116</v>
      </c>
      <c r="AA360" s="6">
        <f ca="1">('TE BE'!$AB$8+'TE BF_350'!$AB$8+'TE CVA'!$AB$8)*1</f>
        <v>361.95264704220779</v>
      </c>
      <c r="AB360" s="6">
        <f>$K$360*$V$360</f>
        <v>0</v>
      </c>
      <c r="AC360" s="6">
        <f>$M$360*$W$360</f>
        <v>4246.35682</v>
      </c>
      <c r="AD360" s="6">
        <f>$O$360*$X$360</f>
        <v>1390.3585400000002</v>
      </c>
      <c r="AE360" s="6">
        <f>$K$360*$Y$360</f>
        <v>0</v>
      </c>
      <c r="AF360" s="6">
        <f ca="1">$M$360*$Z$360</f>
        <v>4919.9025966600757</v>
      </c>
      <c r="AG360" s="6">
        <f ca="1">$O$360*$AA$360</f>
        <v>1285.2938496468798</v>
      </c>
    </row>
    <row r="361" spans="1:33" ht="11.25" customHeight="1" x14ac:dyDescent="0.3">
      <c r="A361" s="4" t="s">
        <v>28</v>
      </c>
      <c r="B361" s="4" t="s">
        <v>39</v>
      </c>
      <c r="C361" s="4" t="s">
        <v>40</v>
      </c>
      <c r="D361" s="4" t="s">
        <v>46</v>
      </c>
      <c r="E361" s="4" t="s">
        <v>25</v>
      </c>
      <c r="F361" s="4" t="s">
        <v>25</v>
      </c>
      <c r="G361" s="4" t="s">
        <v>25</v>
      </c>
      <c r="H361" s="4" t="s">
        <v>34</v>
      </c>
      <c r="I361" s="5">
        <v>44501</v>
      </c>
      <c r="J361" s="6">
        <v>0</v>
      </c>
      <c r="K361" s="6">
        <v>0</v>
      </c>
      <c r="L361" s="6">
        <v>3.101</v>
      </c>
      <c r="M361" s="6">
        <v>3.101</v>
      </c>
      <c r="N361" s="6">
        <v>3.101</v>
      </c>
      <c r="O361" s="6">
        <v>3.101</v>
      </c>
      <c r="P361" s="6">
        <v>0</v>
      </c>
      <c r="Q361" s="4" t="s">
        <v>26</v>
      </c>
      <c r="R361" s="4">
        <v>0</v>
      </c>
      <c r="S361" s="6">
        <v>0</v>
      </c>
      <c r="T361" s="6">
        <v>15</v>
      </c>
      <c r="U361" s="6">
        <v>65</v>
      </c>
      <c r="V361" s="6">
        <f>IF(ISERROR(VLOOKUP($S$361,'TAR FIN'!$A$1:$O$103,15,0)),0,VLOOKUP($S$361,'TAR FIN'!$A$1:$O$103,15,0))</f>
        <v>0</v>
      </c>
      <c r="W361" s="6">
        <f>IF(ISERROR(VLOOKUP($T$361,'TAR FIN'!$A$1:$O$103,15,0)),0,VLOOKUP($T$361,'TAR FIN'!$A$1:$O$103,15,0))</f>
        <v>1195.82</v>
      </c>
      <c r="X361" s="6">
        <f>IF(ISERROR(VLOOKUP($U$361,'TAR FIN'!$A$1:$O$103,15,0)),0,VLOOKUP($U$361,'TAR FIN'!$A$1:$O$103,15,0))</f>
        <v>391.54</v>
      </c>
      <c r="Y361" s="6"/>
      <c r="Z361" s="6">
        <f ca="1">('TUSD BE'!$AM$23+'TUSD BF_350'!$AM$23+'TUSD CVA'!$AM$23)*1</f>
        <v>1385.4977743340116</v>
      </c>
      <c r="AA361" s="6">
        <f ca="1">('TE BE'!$AB$8+'TE BF_350'!$AB$8+'TE CVA'!$AB$8)*1</f>
        <v>361.95264704220779</v>
      </c>
      <c r="AB361" s="6">
        <f>$K$361*$V$361</f>
        <v>0</v>
      </c>
      <c r="AC361" s="6">
        <f>$M$361*$W$361</f>
        <v>3708.2378199999998</v>
      </c>
      <c r="AD361" s="6">
        <f>$O$361*$X$361</f>
        <v>1214.16554</v>
      </c>
      <c r="AE361" s="6">
        <f>$K$361*$Y$361</f>
        <v>0</v>
      </c>
      <c r="AF361" s="6">
        <f ca="1">$M$361*$Z$361</f>
        <v>4296.4285982097699</v>
      </c>
      <c r="AG361" s="6">
        <f ca="1">$O$361*$AA$361</f>
        <v>1122.4151584778863</v>
      </c>
    </row>
    <row r="362" spans="1:33" ht="11.25" customHeight="1" x14ac:dyDescent="0.3">
      <c r="A362" s="4" t="s">
        <v>21</v>
      </c>
      <c r="B362" s="4" t="s">
        <v>39</v>
      </c>
      <c r="C362" s="4" t="s">
        <v>40</v>
      </c>
      <c r="D362" s="4" t="s">
        <v>46</v>
      </c>
      <c r="E362" s="4" t="s">
        <v>25</v>
      </c>
      <c r="F362" s="4" t="s">
        <v>25</v>
      </c>
      <c r="G362" s="4" t="s">
        <v>25</v>
      </c>
      <c r="H362" s="4" t="s">
        <v>34</v>
      </c>
      <c r="I362" s="5">
        <v>44531</v>
      </c>
      <c r="J362" s="6">
        <v>0</v>
      </c>
      <c r="K362" s="6">
        <v>0</v>
      </c>
      <c r="L362" s="6">
        <v>4.2439999999999998</v>
      </c>
      <c r="M362" s="6">
        <v>4.2439999999999998</v>
      </c>
      <c r="N362" s="6">
        <v>4.2439999999999998</v>
      </c>
      <c r="O362" s="6">
        <v>4.2439999999999998</v>
      </c>
      <c r="P362" s="6">
        <v>0</v>
      </c>
      <c r="Q362" s="4" t="s">
        <v>26</v>
      </c>
      <c r="R362" s="4">
        <v>0</v>
      </c>
      <c r="S362" s="6">
        <v>0</v>
      </c>
      <c r="T362" s="6">
        <v>15</v>
      </c>
      <c r="U362" s="6">
        <v>65</v>
      </c>
      <c r="V362" s="6">
        <f>IF(ISERROR(VLOOKUP($S$362,'TAR FIN'!$A$1:$O$103,15,0)),0,VLOOKUP($S$362,'TAR FIN'!$A$1:$O$103,15,0))</f>
        <v>0</v>
      </c>
      <c r="W362" s="6">
        <f>IF(ISERROR(VLOOKUP($T$362,'TAR FIN'!$A$1:$O$103,15,0)),0,VLOOKUP($T$362,'TAR FIN'!$A$1:$O$103,15,0))</f>
        <v>1195.82</v>
      </c>
      <c r="X362" s="6">
        <f>IF(ISERROR(VLOOKUP($U$362,'TAR FIN'!$A$1:$O$103,15,0)),0,VLOOKUP($U$362,'TAR FIN'!$A$1:$O$103,15,0))</f>
        <v>391.54</v>
      </c>
      <c r="Y362" s="6"/>
      <c r="Z362" s="6">
        <f ca="1">('TUSD BE'!$AM$23+'TUSD BF_350'!$AM$23+'TUSD CVA'!$AM$23)*1</f>
        <v>1385.4977743340116</v>
      </c>
      <c r="AA362" s="6">
        <f ca="1">('TE BE'!$AB$8+'TE BF_350'!$AB$8+'TE CVA'!$AB$8)*1</f>
        <v>361.95264704220779</v>
      </c>
      <c r="AB362" s="6">
        <f>$K$362*$V$362</f>
        <v>0</v>
      </c>
      <c r="AC362" s="6">
        <f>$M$362*$W$362</f>
        <v>5075.0600799999993</v>
      </c>
      <c r="AD362" s="6">
        <f>$O$362*$X$362</f>
        <v>1661.6957600000001</v>
      </c>
      <c r="AE362" s="6">
        <f>$K$362*$Y$362</f>
        <v>0</v>
      </c>
      <c r="AF362" s="6">
        <f ca="1">$M$362*$Z$362</f>
        <v>5880.052554273545</v>
      </c>
      <c r="AG362" s="6">
        <f ca="1">$O$362*$AA$362</f>
        <v>1536.1270340471297</v>
      </c>
    </row>
    <row r="363" spans="1:33" ht="11.25" customHeight="1" x14ac:dyDescent="0.3">
      <c r="A363" s="4" t="s">
        <v>28</v>
      </c>
      <c r="B363" s="4" t="s">
        <v>39</v>
      </c>
      <c r="C363" s="4" t="s">
        <v>40</v>
      </c>
      <c r="D363" s="4" t="s">
        <v>46</v>
      </c>
      <c r="E363" s="4" t="s">
        <v>25</v>
      </c>
      <c r="F363" s="4" t="s">
        <v>25</v>
      </c>
      <c r="G363" s="4" t="s">
        <v>25</v>
      </c>
      <c r="H363" s="4" t="s">
        <v>34</v>
      </c>
      <c r="I363" s="5">
        <v>44531</v>
      </c>
      <c r="J363" s="6">
        <v>0</v>
      </c>
      <c r="K363" s="6">
        <v>0</v>
      </c>
      <c r="L363" s="6">
        <v>3.1509999999999998</v>
      </c>
      <c r="M363" s="6">
        <v>3.1509999999999998</v>
      </c>
      <c r="N363" s="6">
        <v>3.1509999999999998</v>
      </c>
      <c r="O363" s="6">
        <v>3.1509999999999998</v>
      </c>
      <c r="P363" s="6">
        <v>0</v>
      </c>
      <c r="Q363" s="4" t="s">
        <v>26</v>
      </c>
      <c r="R363" s="4">
        <v>0</v>
      </c>
      <c r="S363" s="6">
        <v>0</v>
      </c>
      <c r="T363" s="6">
        <v>15</v>
      </c>
      <c r="U363" s="6">
        <v>65</v>
      </c>
      <c r="V363" s="6">
        <f>IF(ISERROR(VLOOKUP($S$363,'TAR FIN'!$A$1:$O$103,15,0)),0,VLOOKUP($S$363,'TAR FIN'!$A$1:$O$103,15,0))</f>
        <v>0</v>
      </c>
      <c r="W363" s="6">
        <f>IF(ISERROR(VLOOKUP($T$363,'TAR FIN'!$A$1:$O$103,15,0)),0,VLOOKUP($T$363,'TAR FIN'!$A$1:$O$103,15,0))</f>
        <v>1195.82</v>
      </c>
      <c r="X363" s="6">
        <f>IF(ISERROR(VLOOKUP($U$363,'TAR FIN'!$A$1:$O$103,15,0)),0,VLOOKUP($U$363,'TAR FIN'!$A$1:$O$103,15,0))</f>
        <v>391.54</v>
      </c>
      <c r="Y363" s="6"/>
      <c r="Z363" s="6">
        <f ca="1">('TUSD BE'!$AM$23+'TUSD BF_350'!$AM$23+'TUSD CVA'!$AM$23)*1</f>
        <v>1385.4977743340116</v>
      </c>
      <c r="AA363" s="6">
        <f ca="1">('TE BE'!$AB$8+'TE BF_350'!$AB$8+'TE CVA'!$AB$8)*1</f>
        <v>361.95264704220779</v>
      </c>
      <c r="AB363" s="6">
        <f>$K$363*$V$363</f>
        <v>0</v>
      </c>
      <c r="AC363" s="6">
        <f>$M$363*$W$363</f>
        <v>3768.0288199999995</v>
      </c>
      <c r="AD363" s="6">
        <f>$O$363*$X$363</f>
        <v>1233.74254</v>
      </c>
      <c r="AE363" s="6">
        <f>$K$363*$Y$363</f>
        <v>0</v>
      </c>
      <c r="AF363" s="6">
        <f ca="1">$M$363*$Z$363</f>
        <v>4365.7034869264708</v>
      </c>
      <c r="AG363" s="6">
        <f ca="1">$O$363*$AA$363</f>
        <v>1140.5127908299967</v>
      </c>
    </row>
    <row r="364" spans="1:33" ht="11.25" customHeight="1" x14ac:dyDescent="0.3">
      <c r="A364" s="4" t="s">
        <v>21</v>
      </c>
      <c r="B364" s="4" t="s">
        <v>39</v>
      </c>
      <c r="C364" s="4" t="s">
        <v>40</v>
      </c>
      <c r="D364" s="4" t="s">
        <v>46</v>
      </c>
      <c r="E364" s="4" t="s">
        <v>25</v>
      </c>
      <c r="F364" s="4" t="s">
        <v>25</v>
      </c>
      <c r="G364" s="4" t="s">
        <v>25</v>
      </c>
      <c r="H364" s="4" t="s">
        <v>34</v>
      </c>
      <c r="I364" s="5">
        <v>44562</v>
      </c>
      <c r="J364" s="6">
        <v>0</v>
      </c>
      <c r="K364" s="6">
        <v>0</v>
      </c>
      <c r="L364" s="6">
        <v>2.9239999999999999</v>
      </c>
      <c r="M364" s="6">
        <v>2.9239999999999999</v>
      </c>
      <c r="N364" s="6">
        <v>2.9239999999999999</v>
      </c>
      <c r="O364" s="6">
        <v>2.9239999999999999</v>
      </c>
      <c r="P364" s="6">
        <v>0</v>
      </c>
      <c r="Q364" s="4" t="s">
        <v>26</v>
      </c>
      <c r="R364" s="4">
        <v>0</v>
      </c>
      <c r="S364" s="6">
        <v>0</v>
      </c>
      <c r="T364" s="6">
        <v>15</v>
      </c>
      <c r="U364" s="6">
        <v>65</v>
      </c>
      <c r="V364" s="6">
        <f>IF(ISERROR(VLOOKUP($S$364,'TAR FIN'!$A$1:$O$103,15,0)),0,VLOOKUP($S$364,'TAR FIN'!$A$1:$O$103,15,0))</f>
        <v>0</v>
      </c>
      <c r="W364" s="6">
        <f>IF(ISERROR(VLOOKUP($T$364,'TAR FIN'!$A$1:$O$103,15,0)),0,VLOOKUP($T$364,'TAR FIN'!$A$1:$O$103,15,0))</f>
        <v>1195.82</v>
      </c>
      <c r="X364" s="6">
        <f>IF(ISERROR(VLOOKUP($U$364,'TAR FIN'!$A$1:$O$103,15,0)),0,VLOOKUP($U$364,'TAR FIN'!$A$1:$O$103,15,0))</f>
        <v>391.54</v>
      </c>
      <c r="Y364" s="6"/>
      <c r="Z364" s="6">
        <f ca="1">('TUSD BE'!$AM$23+'TUSD BF_350'!$AM$23+'TUSD CVA'!$AM$23)*1</f>
        <v>1385.4977743340116</v>
      </c>
      <c r="AA364" s="6">
        <f ca="1">('TE BE'!$AB$8+'TE BF_350'!$AB$8+'TE CVA'!$AB$8)*1</f>
        <v>361.95264704220779</v>
      </c>
      <c r="AB364" s="6">
        <f>$K$364*$V$364</f>
        <v>0</v>
      </c>
      <c r="AC364" s="6">
        <f>$M$364*$W$364</f>
        <v>3496.5776799999999</v>
      </c>
      <c r="AD364" s="6">
        <f>$O$364*$X$364</f>
        <v>1144.8629599999999</v>
      </c>
      <c r="AE364" s="6">
        <f>$K$364*$Y$364</f>
        <v>0</v>
      </c>
      <c r="AF364" s="6">
        <f ca="1">$M$364*$Z$364</f>
        <v>4051.1954921526499</v>
      </c>
      <c r="AG364" s="6">
        <f ca="1">$O$364*$AA$364</f>
        <v>1058.3495399514156</v>
      </c>
    </row>
    <row r="365" spans="1:33" ht="11.25" customHeight="1" x14ac:dyDescent="0.3">
      <c r="A365" s="4" t="s">
        <v>28</v>
      </c>
      <c r="B365" s="4" t="s">
        <v>39</v>
      </c>
      <c r="C365" s="4" t="s">
        <v>40</v>
      </c>
      <c r="D365" s="4" t="s">
        <v>46</v>
      </c>
      <c r="E365" s="4" t="s">
        <v>25</v>
      </c>
      <c r="F365" s="4" t="s">
        <v>25</v>
      </c>
      <c r="G365" s="4" t="s">
        <v>25</v>
      </c>
      <c r="H365" s="4" t="s">
        <v>34</v>
      </c>
      <c r="I365" s="5">
        <v>44562</v>
      </c>
      <c r="J365" s="6">
        <v>0</v>
      </c>
      <c r="K365" s="6">
        <v>0</v>
      </c>
      <c r="L365" s="6">
        <v>2.6309999999999998</v>
      </c>
      <c r="M365" s="6">
        <v>2.6309999999999998</v>
      </c>
      <c r="N365" s="6">
        <v>2.6309999999999998</v>
      </c>
      <c r="O365" s="6">
        <v>2.6309999999999998</v>
      </c>
      <c r="P365" s="6">
        <v>0</v>
      </c>
      <c r="Q365" s="4" t="s">
        <v>26</v>
      </c>
      <c r="R365" s="4">
        <v>0</v>
      </c>
      <c r="S365" s="6">
        <v>0</v>
      </c>
      <c r="T365" s="6">
        <v>15</v>
      </c>
      <c r="U365" s="6">
        <v>65</v>
      </c>
      <c r="V365" s="6">
        <f>IF(ISERROR(VLOOKUP($S$365,'TAR FIN'!$A$1:$O$103,15,0)),0,VLOOKUP($S$365,'TAR FIN'!$A$1:$O$103,15,0))</f>
        <v>0</v>
      </c>
      <c r="W365" s="6">
        <f>IF(ISERROR(VLOOKUP($T$365,'TAR FIN'!$A$1:$O$103,15,0)),0,VLOOKUP($T$365,'TAR FIN'!$A$1:$O$103,15,0))</f>
        <v>1195.82</v>
      </c>
      <c r="X365" s="6">
        <f>IF(ISERROR(VLOOKUP($U$365,'TAR FIN'!$A$1:$O$103,15,0)),0,VLOOKUP($U$365,'TAR FIN'!$A$1:$O$103,15,0))</f>
        <v>391.54</v>
      </c>
      <c r="Y365" s="6"/>
      <c r="Z365" s="6">
        <f ca="1">('TUSD BE'!$AM$23+'TUSD BF_350'!$AM$23+'TUSD CVA'!$AM$23)*1</f>
        <v>1385.4977743340116</v>
      </c>
      <c r="AA365" s="6">
        <f ca="1">('TE BE'!$AB$8+'TE BF_350'!$AB$8+'TE CVA'!$AB$8)*1</f>
        <v>361.95264704220779</v>
      </c>
      <c r="AB365" s="6">
        <f>$K$365*$V$365</f>
        <v>0</v>
      </c>
      <c r="AC365" s="6">
        <f>$M$365*$W$365</f>
        <v>3146.2024199999996</v>
      </c>
      <c r="AD365" s="6">
        <f>$O$365*$X$365</f>
        <v>1030.14174</v>
      </c>
      <c r="AE365" s="6">
        <f>$K$365*$Y$365</f>
        <v>0</v>
      </c>
      <c r="AF365" s="6">
        <f ca="1">$M$365*$Z$365</f>
        <v>3645.2446442727842</v>
      </c>
      <c r="AG365" s="6">
        <f ca="1">$O$365*$AA$365</f>
        <v>952.29741436804863</v>
      </c>
    </row>
    <row r="366" spans="1:33" ht="11.25" customHeight="1" x14ac:dyDescent="0.3">
      <c r="A366" s="4" t="s">
        <v>21</v>
      </c>
      <c r="B366" s="4" t="s">
        <v>39</v>
      </c>
      <c r="C366" s="4" t="s">
        <v>40</v>
      </c>
      <c r="D366" s="4" t="s">
        <v>46</v>
      </c>
      <c r="E366" s="4" t="s">
        <v>25</v>
      </c>
      <c r="F366" s="4" t="s">
        <v>25</v>
      </c>
      <c r="G366" s="4" t="s">
        <v>25</v>
      </c>
      <c r="H366" s="4" t="s">
        <v>34</v>
      </c>
      <c r="I366" s="5">
        <v>44593</v>
      </c>
      <c r="J366" s="6">
        <v>0</v>
      </c>
      <c r="K366" s="6">
        <v>0</v>
      </c>
      <c r="L366" s="6">
        <v>3.3050000000000002</v>
      </c>
      <c r="M366" s="6">
        <v>3.3050000000000002</v>
      </c>
      <c r="N366" s="6">
        <v>3.3050000000000002</v>
      </c>
      <c r="O366" s="6">
        <v>3.3050000000000002</v>
      </c>
      <c r="P366" s="6">
        <v>0</v>
      </c>
      <c r="Q366" s="4" t="s">
        <v>26</v>
      </c>
      <c r="R366" s="4">
        <v>0</v>
      </c>
      <c r="S366" s="6">
        <v>0</v>
      </c>
      <c r="T366" s="6">
        <v>15</v>
      </c>
      <c r="U366" s="6">
        <v>65</v>
      </c>
      <c r="V366" s="6">
        <f>IF(ISERROR(VLOOKUP($S$366,'TAR FIN'!$A$1:$O$103,15,0)),0,VLOOKUP($S$366,'TAR FIN'!$A$1:$O$103,15,0))</f>
        <v>0</v>
      </c>
      <c r="W366" s="6">
        <f>IF(ISERROR(VLOOKUP($T$366,'TAR FIN'!$A$1:$O$103,15,0)),0,VLOOKUP($T$366,'TAR FIN'!$A$1:$O$103,15,0))</f>
        <v>1195.82</v>
      </c>
      <c r="X366" s="6">
        <f>IF(ISERROR(VLOOKUP($U$366,'TAR FIN'!$A$1:$O$103,15,0)),0,VLOOKUP($U$366,'TAR FIN'!$A$1:$O$103,15,0))</f>
        <v>391.54</v>
      </c>
      <c r="Y366" s="6"/>
      <c r="Z366" s="6">
        <f ca="1">('TUSD BE'!$AM$23+'TUSD BF_350'!$AM$23+'TUSD CVA'!$AM$23)*1</f>
        <v>1385.4977743340116</v>
      </c>
      <c r="AA366" s="6">
        <f ca="1">('TE BE'!$AB$8+'TE BF_350'!$AB$8+'TE CVA'!$AB$8)*1</f>
        <v>361.95264704220779</v>
      </c>
      <c r="AB366" s="6">
        <f>$K$366*$V$366</f>
        <v>0</v>
      </c>
      <c r="AC366" s="6">
        <f>$M$366*$W$366</f>
        <v>3952.1851000000001</v>
      </c>
      <c r="AD366" s="6">
        <f>$O$366*$X$366</f>
        <v>1294.0397</v>
      </c>
      <c r="AE366" s="6">
        <f>$K$366*$Y$366</f>
        <v>0</v>
      </c>
      <c r="AF366" s="6">
        <f ca="1">$M$366*$Z$366</f>
        <v>4579.0701441739084</v>
      </c>
      <c r="AG366" s="6">
        <f ca="1">$O$366*$AA$366</f>
        <v>1196.2534984744968</v>
      </c>
    </row>
    <row r="367" spans="1:33" ht="11.25" customHeight="1" x14ac:dyDescent="0.3">
      <c r="A367" s="4" t="s">
        <v>28</v>
      </c>
      <c r="B367" s="4" t="s">
        <v>39</v>
      </c>
      <c r="C367" s="4" t="s">
        <v>40</v>
      </c>
      <c r="D367" s="4" t="s">
        <v>46</v>
      </c>
      <c r="E367" s="4" t="s">
        <v>25</v>
      </c>
      <c r="F367" s="4" t="s">
        <v>25</v>
      </c>
      <c r="G367" s="4" t="s">
        <v>25</v>
      </c>
      <c r="H367" s="4" t="s">
        <v>34</v>
      </c>
      <c r="I367" s="5">
        <v>44593</v>
      </c>
      <c r="J367" s="6">
        <v>0</v>
      </c>
      <c r="K367" s="6">
        <v>0</v>
      </c>
      <c r="L367" s="6">
        <v>2.9140000000000001</v>
      </c>
      <c r="M367" s="6">
        <v>2.9140000000000001</v>
      </c>
      <c r="N367" s="6">
        <v>2.9140000000000001</v>
      </c>
      <c r="O367" s="6">
        <v>2.9140000000000001</v>
      </c>
      <c r="P367" s="6">
        <v>0</v>
      </c>
      <c r="Q367" s="4" t="s">
        <v>26</v>
      </c>
      <c r="R367" s="4">
        <v>0</v>
      </c>
      <c r="S367" s="6">
        <v>0</v>
      </c>
      <c r="T367" s="6">
        <v>15</v>
      </c>
      <c r="U367" s="6">
        <v>65</v>
      </c>
      <c r="V367" s="6">
        <f>IF(ISERROR(VLOOKUP($S$367,'TAR FIN'!$A$1:$O$103,15,0)),0,VLOOKUP($S$367,'TAR FIN'!$A$1:$O$103,15,0))</f>
        <v>0</v>
      </c>
      <c r="W367" s="6">
        <f>IF(ISERROR(VLOOKUP($T$367,'TAR FIN'!$A$1:$O$103,15,0)),0,VLOOKUP($T$367,'TAR FIN'!$A$1:$O$103,15,0))</f>
        <v>1195.82</v>
      </c>
      <c r="X367" s="6">
        <f>IF(ISERROR(VLOOKUP($U$367,'TAR FIN'!$A$1:$O$103,15,0)),0,VLOOKUP($U$367,'TAR FIN'!$A$1:$O$103,15,0))</f>
        <v>391.54</v>
      </c>
      <c r="Y367" s="6"/>
      <c r="Z367" s="6">
        <f ca="1">('TUSD BE'!$AM$23+'TUSD BF_350'!$AM$23+'TUSD CVA'!$AM$23)*1</f>
        <v>1385.4977743340116</v>
      </c>
      <c r="AA367" s="6">
        <f ca="1">('TE BE'!$AB$8+'TE BF_350'!$AB$8+'TE CVA'!$AB$8)*1</f>
        <v>361.95264704220779</v>
      </c>
      <c r="AB367" s="6">
        <f>$K$367*$V$367</f>
        <v>0</v>
      </c>
      <c r="AC367" s="6">
        <f>$M$367*$W$367</f>
        <v>3484.6194799999998</v>
      </c>
      <c r="AD367" s="6">
        <f>$O$367*$X$367</f>
        <v>1140.9475600000001</v>
      </c>
      <c r="AE367" s="6">
        <f>$K$367*$Y$367</f>
        <v>0</v>
      </c>
      <c r="AF367" s="6">
        <f ca="1">$M$367*$Z$367</f>
        <v>4037.3405144093099</v>
      </c>
      <c r="AG367" s="6">
        <f ca="1">$O$367*$AA$367</f>
        <v>1054.7300134809936</v>
      </c>
    </row>
    <row r="368" spans="1:33" ht="11.25" customHeight="1" x14ac:dyDescent="0.3">
      <c r="A368" s="4" t="s">
        <v>21</v>
      </c>
      <c r="B368" s="4" t="s">
        <v>39</v>
      </c>
      <c r="C368" s="4" t="s">
        <v>40</v>
      </c>
      <c r="D368" s="4" t="s">
        <v>46</v>
      </c>
      <c r="E368" s="4" t="s">
        <v>25</v>
      </c>
      <c r="F368" s="4" t="s">
        <v>25</v>
      </c>
      <c r="G368" s="4" t="s">
        <v>25</v>
      </c>
      <c r="H368" s="4" t="s">
        <v>34</v>
      </c>
      <c r="I368" s="5">
        <v>44621</v>
      </c>
      <c r="J368" s="6">
        <v>0</v>
      </c>
      <c r="K368" s="6">
        <v>0</v>
      </c>
      <c r="L368" s="6">
        <v>3.7040000000000002</v>
      </c>
      <c r="M368" s="6">
        <v>3.7040000000000002</v>
      </c>
      <c r="N368" s="6">
        <v>3.7040000000000002</v>
      </c>
      <c r="O368" s="6">
        <v>3.7040000000000002</v>
      </c>
      <c r="P368" s="6">
        <v>0</v>
      </c>
      <c r="Q368" s="4" t="s">
        <v>26</v>
      </c>
      <c r="R368" s="4">
        <v>0</v>
      </c>
      <c r="S368" s="6">
        <v>0</v>
      </c>
      <c r="T368" s="6">
        <v>15</v>
      </c>
      <c r="U368" s="6">
        <v>65</v>
      </c>
      <c r="V368" s="6">
        <f>IF(ISERROR(VLOOKUP($S$368,'TAR FIN'!$A$1:$O$103,15,0)),0,VLOOKUP($S$368,'TAR FIN'!$A$1:$O$103,15,0))</f>
        <v>0</v>
      </c>
      <c r="W368" s="6">
        <f>IF(ISERROR(VLOOKUP($T$368,'TAR FIN'!$A$1:$O$103,15,0)),0,VLOOKUP($T$368,'TAR FIN'!$A$1:$O$103,15,0))</f>
        <v>1195.82</v>
      </c>
      <c r="X368" s="6">
        <f>IF(ISERROR(VLOOKUP($U$368,'TAR FIN'!$A$1:$O$103,15,0)),0,VLOOKUP($U$368,'TAR FIN'!$A$1:$O$103,15,0))</f>
        <v>391.54</v>
      </c>
      <c r="Y368" s="6"/>
      <c r="Z368" s="6">
        <f ca="1">('TUSD BE'!$AM$23+'TUSD BF_350'!$AM$23+'TUSD CVA'!$AM$23)*1</f>
        <v>1385.4977743340116</v>
      </c>
      <c r="AA368" s="6">
        <f ca="1">('TE BE'!$AB$8+'TE BF_350'!$AB$8+'TE CVA'!$AB$8)*1</f>
        <v>361.95264704220779</v>
      </c>
      <c r="AB368" s="6">
        <f>$K$368*$V$368</f>
        <v>0</v>
      </c>
      <c r="AC368" s="6">
        <f>$M$368*$W$368</f>
        <v>4429.3172800000002</v>
      </c>
      <c r="AD368" s="6">
        <f>$O$368*$X$368</f>
        <v>1450.2641600000002</v>
      </c>
      <c r="AE368" s="6">
        <f>$K$368*$Y$368</f>
        <v>0</v>
      </c>
      <c r="AF368" s="6">
        <f ca="1">$M$368*$Z$368</f>
        <v>5131.8837561331793</v>
      </c>
      <c r="AG368" s="6">
        <f ca="1">$O$368*$AA$368</f>
        <v>1340.6726046443378</v>
      </c>
    </row>
    <row r="369" spans="1:33" ht="11.25" customHeight="1" x14ac:dyDescent="0.3">
      <c r="A369" s="4" t="s">
        <v>28</v>
      </c>
      <c r="B369" s="4" t="s">
        <v>39</v>
      </c>
      <c r="C369" s="4" t="s">
        <v>40</v>
      </c>
      <c r="D369" s="4" t="s">
        <v>46</v>
      </c>
      <c r="E369" s="4" t="s">
        <v>25</v>
      </c>
      <c r="F369" s="4" t="s">
        <v>25</v>
      </c>
      <c r="G369" s="4" t="s">
        <v>25</v>
      </c>
      <c r="H369" s="4" t="s">
        <v>34</v>
      </c>
      <c r="I369" s="5">
        <v>44621</v>
      </c>
      <c r="J369" s="6">
        <v>0</v>
      </c>
      <c r="K369" s="6">
        <v>0</v>
      </c>
      <c r="L369" s="6">
        <v>6.8840000000000003</v>
      </c>
      <c r="M369" s="6">
        <v>6.8840000000000003</v>
      </c>
      <c r="N369" s="6">
        <v>6.8840000000000003</v>
      </c>
      <c r="O369" s="6">
        <v>6.8840000000000003</v>
      </c>
      <c r="P369" s="6">
        <v>0</v>
      </c>
      <c r="Q369" s="4" t="s">
        <v>26</v>
      </c>
      <c r="R369" s="4">
        <v>0</v>
      </c>
      <c r="S369" s="6">
        <v>0</v>
      </c>
      <c r="T369" s="6">
        <v>15</v>
      </c>
      <c r="U369" s="6">
        <v>65</v>
      </c>
      <c r="V369" s="6">
        <f>IF(ISERROR(VLOOKUP($S$369,'TAR FIN'!$A$1:$O$103,15,0)),0,VLOOKUP($S$369,'TAR FIN'!$A$1:$O$103,15,0))</f>
        <v>0</v>
      </c>
      <c r="W369" s="6">
        <f>IF(ISERROR(VLOOKUP($T$369,'TAR FIN'!$A$1:$O$103,15,0)),0,VLOOKUP($T$369,'TAR FIN'!$A$1:$O$103,15,0))</f>
        <v>1195.82</v>
      </c>
      <c r="X369" s="6">
        <f>IF(ISERROR(VLOOKUP($U$369,'TAR FIN'!$A$1:$O$103,15,0)),0,VLOOKUP($U$369,'TAR FIN'!$A$1:$O$103,15,0))</f>
        <v>391.54</v>
      </c>
      <c r="Y369" s="6"/>
      <c r="Z369" s="6">
        <f ca="1">('TUSD BE'!$AM$23+'TUSD BF_350'!$AM$23+'TUSD CVA'!$AM$23)*1</f>
        <v>1385.4977743340116</v>
      </c>
      <c r="AA369" s="6">
        <f ca="1">('TE BE'!$AB$8+'TE BF_350'!$AB$8+'TE CVA'!$AB$8)*1</f>
        <v>361.95264704220779</v>
      </c>
      <c r="AB369" s="6">
        <f>$K$369*$V$369</f>
        <v>0</v>
      </c>
      <c r="AC369" s="6">
        <f>$M$369*$W$369</f>
        <v>8232.0248800000008</v>
      </c>
      <c r="AD369" s="6">
        <f>$O$369*$X$369</f>
        <v>2695.3613600000003</v>
      </c>
      <c r="AE369" s="6">
        <f>$K$369*$Y$369</f>
        <v>0</v>
      </c>
      <c r="AF369" s="6">
        <f ca="1">$M$369*$Z$369</f>
        <v>9537.766678515336</v>
      </c>
      <c r="AG369" s="6">
        <f ca="1">$O$369*$AA$369</f>
        <v>2491.6820222385586</v>
      </c>
    </row>
    <row r="370" spans="1:33" ht="11.25" customHeight="1" x14ac:dyDescent="0.3">
      <c r="A370" s="4" t="s">
        <v>21</v>
      </c>
      <c r="B370" s="4" t="s">
        <v>39</v>
      </c>
      <c r="C370" s="4" t="s">
        <v>40</v>
      </c>
      <c r="D370" s="4" t="s">
        <v>46</v>
      </c>
      <c r="E370" s="4" t="s">
        <v>25</v>
      </c>
      <c r="F370" s="4" t="s">
        <v>25</v>
      </c>
      <c r="G370" s="4" t="s">
        <v>25</v>
      </c>
      <c r="H370" s="4" t="s">
        <v>34</v>
      </c>
      <c r="I370" s="5">
        <v>44652</v>
      </c>
      <c r="J370" s="6">
        <v>0</v>
      </c>
      <c r="K370" s="6">
        <v>0</v>
      </c>
      <c r="L370" s="6">
        <v>3.448</v>
      </c>
      <c r="M370" s="6">
        <v>3.448</v>
      </c>
      <c r="N370" s="6">
        <v>3.448</v>
      </c>
      <c r="O370" s="6">
        <v>3.448</v>
      </c>
      <c r="P370" s="6">
        <v>0</v>
      </c>
      <c r="Q370" s="4" t="s">
        <v>26</v>
      </c>
      <c r="R370" s="4">
        <v>0</v>
      </c>
      <c r="S370" s="6">
        <v>0</v>
      </c>
      <c r="T370" s="6">
        <v>15</v>
      </c>
      <c r="U370" s="6">
        <v>65</v>
      </c>
      <c r="V370" s="6">
        <f>IF(ISERROR(VLOOKUP($S$370,'TAR FIN'!$A$1:$O$103,15,0)),0,VLOOKUP($S$370,'TAR FIN'!$A$1:$O$103,15,0))</f>
        <v>0</v>
      </c>
      <c r="W370" s="6">
        <f>IF(ISERROR(VLOOKUP($T$370,'TAR FIN'!$A$1:$O$103,15,0)),0,VLOOKUP($T$370,'TAR FIN'!$A$1:$O$103,15,0))</f>
        <v>1195.82</v>
      </c>
      <c r="X370" s="6">
        <f>IF(ISERROR(VLOOKUP($U$370,'TAR FIN'!$A$1:$O$103,15,0)),0,VLOOKUP($U$370,'TAR FIN'!$A$1:$O$103,15,0))</f>
        <v>391.54</v>
      </c>
      <c r="Y370" s="6"/>
      <c r="Z370" s="6">
        <f ca="1">('TUSD BE'!$AM$23+'TUSD BF_350'!$AM$23+'TUSD CVA'!$AM$23)*1</f>
        <v>1385.4977743340116</v>
      </c>
      <c r="AA370" s="6">
        <f ca="1">('TE BE'!$AB$8+'TE BF_350'!$AB$8+'TE CVA'!$AB$8)*1</f>
        <v>361.95264704220779</v>
      </c>
      <c r="AB370" s="6">
        <f>$K$370*$V$370</f>
        <v>0</v>
      </c>
      <c r="AC370" s="6">
        <f>$M$370*$W$370</f>
        <v>4123.1873599999999</v>
      </c>
      <c r="AD370" s="6">
        <f>$O$370*$X$370</f>
        <v>1350.0299199999999</v>
      </c>
      <c r="AE370" s="6">
        <f>$K$370*$Y$370</f>
        <v>0</v>
      </c>
      <c r="AF370" s="6">
        <f ca="1">$M$370*$Z$370</f>
        <v>4777.196325903672</v>
      </c>
      <c r="AG370" s="6">
        <f ca="1">$O$370*$AA$370</f>
        <v>1248.0127270015325</v>
      </c>
    </row>
    <row r="371" spans="1:33" ht="11.25" customHeight="1" x14ac:dyDescent="0.3">
      <c r="A371" s="4" t="s">
        <v>28</v>
      </c>
      <c r="B371" s="4" t="s">
        <v>39</v>
      </c>
      <c r="C371" s="4" t="s">
        <v>40</v>
      </c>
      <c r="D371" s="4" t="s">
        <v>46</v>
      </c>
      <c r="E371" s="4" t="s">
        <v>25</v>
      </c>
      <c r="F371" s="4" t="s">
        <v>25</v>
      </c>
      <c r="G371" s="4" t="s">
        <v>25</v>
      </c>
      <c r="H371" s="4" t="s">
        <v>34</v>
      </c>
      <c r="I371" s="5">
        <v>44652</v>
      </c>
      <c r="J371" s="6">
        <v>0</v>
      </c>
      <c r="K371" s="6">
        <v>0</v>
      </c>
      <c r="L371" s="6">
        <v>6.7949999999999999</v>
      </c>
      <c r="M371" s="6">
        <v>6.7949999999999999</v>
      </c>
      <c r="N371" s="6">
        <v>6.7949999999999999</v>
      </c>
      <c r="O371" s="6">
        <v>6.7949999999999999</v>
      </c>
      <c r="P371" s="6">
        <v>0</v>
      </c>
      <c r="Q371" s="4" t="s">
        <v>26</v>
      </c>
      <c r="R371" s="4">
        <v>0</v>
      </c>
      <c r="S371" s="6">
        <v>0</v>
      </c>
      <c r="T371" s="6">
        <v>15</v>
      </c>
      <c r="U371" s="6">
        <v>65</v>
      </c>
      <c r="V371" s="6">
        <f>IF(ISERROR(VLOOKUP($S$371,'TAR FIN'!$A$1:$O$103,15,0)),0,VLOOKUP($S$371,'TAR FIN'!$A$1:$O$103,15,0))</f>
        <v>0</v>
      </c>
      <c r="W371" s="6">
        <f>IF(ISERROR(VLOOKUP($T$371,'TAR FIN'!$A$1:$O$103,15,0)),0,VLOOKUP($T$371,'TAR FIN'!$A$1:$O$103,15,0))</f>
        <v>1195.82</v>
      </c>
      <c r="X371" s="6">
        <f>IF(ISERROR(VLOOKUP($U$371,'TAR FIN'!$A$1:$O$103,15,0)),0,VLOOKUP($U$371,'TAR FIN'!$A$1:$O$103,15,0))</f>
        <v>391.54</v>
      </c>
      <c r="Y371" s="6"/>
      <c r="Z371" s="6">
        <f ca="1">('TUSD BE'!$AM$23+'TUSD BF_350'!$AM$23+'TUSD CVA'!$AM$23)*1</f>
        <v>1385.4977743340116</v>
      </c>
      <c r="AA371" s="6">
        <f ca="1">('TE BE'!$AB$8+'TE BF_350'!$AB$8+'TE CVA'!$AB$8)*1</f>
        <v>361.95264704220779</v>
      </c>
      <c r="AB371" s="6">
        <f>$K$371*$V$371</f>
        <v>0</v>
      </c>
      <c r="AC371" s="6">
        <f>$M$371*$W$371</f>
        <v>8125.5968999999996</v>
      </c>
      <c r="AD371" s="6">
        <f>$O$371*$X$371</f>
        <v>2660.5143000000003</v>
      </c>
      <c r="AE371" s="6">
        <f>$K$371*$Y$371</f>
        <v>0</v>
      </c>
      <c r="AF371" s="6">
        <f ca="1">$M$371*$Z$371</f>
        <v>9414.4573765996083</v>
      </c>
      <c r="AG371" s="6">
        <f ca="1">$O$371*$AA$371</f>
        <v>2459.4682366518018</v>
      </c>
    </row>
    <row r="372" spans="1:33" ht="11.25" customHeight="1" x14ac:dyDescent="0.3">
      <c r="A372" s="4" t="s">
        <v>21</v>
      </c>
      <c r="B372" s="4" t="s">
        <v>39</v>
      </c>
      <c r="C372" s="4" t="s">
        <v>40</v>
      </c>
      <c r="D372" s="4" t="s">
        <v>46</v>
      </c>
      <c r="E372" s="4" t="s">
        <v>25</v>
      </c>
      <c r="F372" s="4" t="s">
        <v>25</v>
      </c>
      <c r="G372" s="4" t="s">
        <v>25</v>
      </c>
      <c r="H372" s="4" t="s">
        <v>34</v>
      </c>
      <c r="I372" s="5">
        <v>44682</v>
      </c>
      <c r="J372" s="6">
        <v>0</v>
      </c>
      <c r="K372" s="6">
        <v>0</v>
      </c>
      <c r="L372" s="6">
        <v>3.4220000000000002</v>
      </c>
      <c r="M372" s="6">
        <v>3.4220000000000002</v>
      </c>
      <c r="N372" s="6">
        <v>3.4220000000000002</v>
      </c>
      <c r="O372" s="6">
        <v>3.4220000000000002</v>
      </c>
      <c r="P372" s="6">
        <v>0</v>
      </c>
      <c r="Q372" s="4" t="s">
        <v>26</v>
      </c>
      <c r="R372" s="4">
        <v>0</v>
      </c>
      <c r="S372" s="6">
        <v>0</v>
      </c>
      <c r="T372" s="6">
        <v>15</v>
      </c>
      <c r="U372" s="6">
        <v>65</v>
      </c>
      <c r="V372" s="6">
        <f>IF(ISERROR(VLOOKUP($S$372,'TAR FIN'!$A$1:$O$103,15,0)),0,VLOOKUP($S$372,'TAR FIN'!$A$1:$O$103,15,0))</f>
        <v>0</v>
      </c>
      <c r="W372" s="6">
        <f>IF(ISERROR(VLOOKUP($T$372,'TAR FIN'!$A$1:$O$103,15,0)),0,VLOOKUP($T$372,'TAR FIN'!$A$1:$O$103,15,0))</f>
        <v>1195.82</v>
      </c>
      <c r="X372" s="6">
        <f>IF(ISERROR(VLOOKUP($U$372,'TAR FIN'!$A$1:$O$103,15,0)),0,VLOOKUP($U$372,'TAR FIN'!$A$1:$O$103,15,0))</f>
        <v>391.54</v>
      </c>
      <c r="Y372" s="6"/>
      <c r="Z372" s="6">
        <f ca="1">('TUSD BE'!$AM$23+'TUSD BF_350'!$AM$23+'TUSD CVA'!$AM$23)*1</f>
        <v>1385.4977743340116</v>
      </c>
      <c r="AA372" s="6">
        <f ca="1">('TE BE'!$AB$8+'TE BF_350'!$AB$8+'TE CVA'!$AB$8)*1</f>
        <v>361.95264704220779</v>
      </c>
      <c r="AB372" s="6">
        <f>$K$372*$V$372</f>
        <v>0</v>
      </c>
      <c r="AC372" s="6">
        <f>$M$372*$W$372</f>
        <v>4092.0960399999999</v>
      </c>
      <c r="AD372" s="6">
        <f>$O$372*$X$372</f>
        <v>1339.8498800000002</v>
      </c>
      <c r="AE372" s="6">
        <f>$K$372*$Y$372</f>
        <v>0</v>
      </c>
      <c r="AF372" s="6">
        <f ca="1">$M$372*$Z$372</f>
        <v>4741.173383770988</v>
      </c>
      <c r="AG372" s="6">
        <f ca="1">$O$372*$AA$372</f>
        <v>1238.6019581784351</v>
      </c>
    </row>
    <row r="373" spans="1:33" ht="11.25" customHeight="1" x14ac:dyDescent="0.3">
      <c r="A373" s="4" t="s">
        <v>28</v>
      </c>
      <c r="B373" s="4" t="s">
        <v>39</v>
      </c>
      <c r="C373" s="4" t="s">
        <v>40</v>
      </c>
      <c r="D373" s="4" t="s">
        <v>46</v>
      </c>
      <c r="E373" s="4" t="s">
        <v>25</v>
      </c>
      <c r="F373" s="4" t="s">
        <v>25</v>
      </c>
      <c r="G373" s="4" t="s">
        <v>25</v>
      </c>
      <c r="H373" s="4" t="s">
        <v>34</v>
      </c>
      <c r="I373" s="5">
        <v>44682</v>
      </c>
      <c r="J373" s="6">
        <v>0</v>
      </c>
      <c r="K373" s="6">
        <v>0</v>
      </c>
      <c r="L373" s="6">
        <v>7.2409999999999997</v>
      </c>
      <c r="M373" s="6">
        <v>7.2409999999999997</v>
      </c>
      <c r="N373" s="6">
        <v>7.2409999999999997</v>
      </c>
      <c r="O373" s="6">
        <v>7.2409999999999997</v>
      </c>
      <c r="P373" s="6">
        <v>0</v>
      </c>
      <c r="Q373" s="4" t="s">
        <v>26</v>
      </c>
      <c r="R373" s="4">
        <v>0</v>
      </c>
      <c r="S373" s="6">
        <v>0</v>
      </c>
      <c r="T373" s="6">
        <v>15</v>
      </c>
      <c r="U373" s="6">
        <v>65</v>
      </c>
      <c r="V373" s="6">
        <f>IF(ISERROR(VLOOKUP($S$373,'TAR FIN'!$A$1:$O$103,15,0)),0,VLOOKUP($S$373,'TAR FIN'!$A$1:$O$103,15,0))</f>
        <v>0</v>
      </c>
      <c r="W373" s="6">
        <f>IF(ISERROR(VLOOKUP($T$373,'TAR FIN'!$A$1:$O$103,15,0)),0,VLOOKUP($T$373,'TAR FIN'!$A$1:$O$103,15,0))</f>
        <v>1195.82</v>
      </c>
      <c r="X373" s="6">
        <f>IF(ISERROR(VLOOKUP($U$373,'TAR FIN'!$A$1:$O$103,15,0)),0,VLOOKUP($U$373,'TAR FIN'!$A$1:$O$103,15,0))</f>
        <v>391.54</v>
      </c>
      <c r="Y373" s="6"/>
      <c r="Z373" s="6">
        <f ca="1">('TUSD BE'!$AM$23+'TUSD BF_350'!$AM$23+'TUSD CVA'!$AM$23)*1</f>
        <v>1385.4977743340116</v>
      </c>
      <c r="AA373" s="6">
        <f ca="1">('TE BE'!$AB$8+'TE BF_350'!$AB$8+'TE CVA'!$AB$8)*1</f>
        <v>361.95264704220779</v>
      </c>
      <c r="AB373" s="6">
        <f>$K$373*$V$373</f>
        <v>0</v>
      </c>
      <c r="AC373" s="6">
        <f>$M$373*$W$373</f>
        <v>8658.9326199999996</v>
      </c>
      <c r="AD373" s="6">
        <f>$O$373*$X$373</f>
        <v>2835.1411400000002</v>
      </c>
      <c r="AE373" s="6">
        <f>$K$373*$Y$373</f>
        <v>0</v>
      </c>
      <c r="AF373" s="6">
        <f ca="1">$M$373*$Z$373</f>
        <v>10032.389383952577</v>
      </c>
      <c r="AG373" s="6">
        <f ca="1">$O$373*$AA$373</f>
        <v>2620.8991172326264</v>
      </c>
    </row>
    <row r="374" spans="1:33" ht="11.25" customHeight="1" x14ac:dyDescent="0.3">
      <c r="A374" s="4" t="s">
        <v>21</v>
      </c>
      <c r="B374" s="4" t="s">
        <v>39</v>
      </c>
      <c r="C374" s="4" t="s">
        <v>40</v>
      </c>
      <c r="D374" s="4" t="s">
        <v>46</v>
      </c>
      <c r="E374" s="4" t="s">
        <v>25</v>
      </c>
      <c r="F374" s="4" t="s">
        <v>25</v>
      </c>
      <c r="G374" s="4" t="s">
        <v>25</v>
      </c>
      <c r="H374" s="4" t="s">
        <v>34</v>
      </c>
      <c r="I374" s="5">
        <v>44713</v>
      </c>
      <c r="J374" s="6">
        <v>0</v>
      </c>
      <c r="K374" s="6">
        <v>0</v>
      </c>
      <c r="L374" s="6">
        <v>3.3050000000000002</v>
      </c>
      <c r="M374" s="6">
        <v>3.3050000000000002</v>
      </c>
      <c r="N374" s="6">
        <v>3.3050000000000002</v>
      </c>
      <c r="O374" s="6">
        <v>3.3050000000000002</v>
      </c>
      <c r="P374" s="6">
        <v>0</v>
      </c>
      <c r="Q374" s="4" t="s">
        <v>26</v>
      </c>
      <c r="R374" s="4">
        <v>0</v>
      </c>
      <c r="S374" s="6">
        <v>0</v>
      </c>
      <c r="T374" s="6">
        <v>15</v>
      </c>
      <c r="U374" s="6">
        <v>65</v>
      </c>
      <c r="V374" s="6">
        <f>IF(ISERROR(VLOOKUP($S$374,'TAR FIN'!$A$1:$O$103,15,0)),0,VLOOKUP($S$374,'TAR FIN'!$A$1:$O$103,15,0))</f>
        <v>0</v>
      </c>
      <c r="W374" s="6">
        <f>IF(ISERROR(VLOOKUP($T$374,'TAR FIN'!$A$1:$O$103,15,0)),0,VLOOKUP($T$374,'TAR FIN'!$A$1:$O$103,15,0))</f>
        <v>1195.82</v>
      </c>
      <c r="X374" s="6">
        <f>IF(ISERROR(VLOOKUP($U$374,'TAR FIN'!$A$1:$O$103,15,0)),0,VLOOKUP($U$374,'TAR FIN'!$A$1:$O$103,15,0))</f>
        <v>391.54</v>
      </c>
      <c r="Y374" s="6"/>
      <c r="Z374" s="6">
        <f ca="1">('TUSD BE'!$AM$23+'TUSD BF_350'!$AM$23+'TUSD CVA'!$AM$23)*1</f>
        <v>1385.4977743340116</v>
      </c>
      <c r="AA374" s="6">
        <f ca="1">('TE BE'!$AB$8+'TE BF_350'!$AB$8+'TE CVA'!$AB$8)*1</f>
        <v>361.95264704220779</v>
      </c>
      <c r="AB374" s="6">
        <f>$K$374*$V$374</f>
        <v>0</v>
      </c>
      <c r="AC374" s="6">
        <f>$M$374*$W$374</f>
        <v>3952.1851000000001</v>
      </c>
      <c r="AD374" s="6">
        <f>$O$374*$X$374</f>
        <v>1294.0397</v>
      </c>
      <c r="AE374" s="6">
        <f>$K$374*$Y$374</f>
        <v>0</v>
      </c>
      <c r="AF374" s="6">
        <f ca="1">$M$374*$Z$374</f>
        <v>4579.0701441739084</v>
      </c>
      <c r="AG374" s="6">
        <f ca="1">$O$374*$AA$374</f>
        <v>1196.2534984744968</v>
      </c>
    </row>
    <row r="375" spans="1:33" ht="11.25" customHeight="1" x14ac:dyDescent="0.3">
      <c r="A375" s="4" t="s">
        <v>28</v>
      </c>
      <c r="B375" s="4" t="s">
        <v>39</v>
      </c>
      <c r="C375" s="4" t="s">
        <v>40</v>
      </c>
      <c r="D375" s="4" t="s">
        <v>46</v>
      </c>
      <c r="E375" s="4" t="s">
        <v>25</v>
      </c>
      <c r="F375" s="4" t="s">
        <v>25</v>
      </c>
      <c r="G375" s="4" t="s">
        <v>25</v>
      </c>
      <c r="H375" s="4" t="s">
        <v>34</v>
      </c>
      <c r="I375" s="5">
        <v>44713</v>
      </c>
      <c r="J375" s="6">
        <v>0</v>
      </c>
      <c r="K375" s="6">
        <v>0</v>
      </c>
      <c r="L375" s="6">
        <v>6.1420000000000003</v>
      </c>
      <c r="M375" s="6">
        <v>6.1420000000000003</v>
      </c>
      <c r="N375" s="6">
        <v>6.1420000000000003</v>
      </c>
      <c r="O375" s="6">
        <v>6.1420000000000003</v>
      </c>
      <c r="P375" s="6">
        <v>0</v>
      </c>
      <c r="Q375" s="4" t="s">
        <v>26</v>
      </c>
      <c r="R375" s="4">
        <v>0</v>
      </c>
      <c r="S375" s="6">
        <v>0</v>
      </c>
      <c r="T375" s="6">
        <v>15</v>
      </c>
      <c r="U375" s="6">
        <v>65</v>
      </c>
      <c r="V375" s="6">
        <f>IF(ISERROR(VLOOKUP($S$375,'TAR FIN'!$A$1:$O$103,15,0)),0,VLOOKUP($S$375,'TAR FIN'!$A$1:$O$103,15,0))</f>
        <v>0</v>
      </c>
      <c r="W375" s="6">
        <f>IF(ISERROR(VLOOKUP($T$375,'TAR FIN'!$A$1:$O$103,15,0)),0,VLOOKUP($T$375,'TAR FIN'!$A$1:$O$103,15,0))</f>
        <v>1195.82</v>
      </c>
      <c r="X375" s="6">
        <f>IF(ISERROR(VLOOKUP($U$375,'TAR FIN'!$A$1:$O$103,15,0)),0,VLOOKUP($U$375,'TAR FIN'!$A$1:$O$103,15,0))</f>
        <v>391.54</v>
      </c>
      <c r="Y375" s="6"/>
      <c r="Z375" s="6">
        <f ca="1">('TUSD BE'!$AM$23+'TUSD BF_350'!$AM$23+'TUSD CVA'!$AM$23)*1</f>
        <v>1385.4977743340116</v>
      </c>
      <c r="AA375" s="6">
        <f ca="1">('TE BE'!$AB$8+'TE BF_350'!$AB$8+'TE CVA'!$AB$8)*1</f>
        <v>361.95264704220779</v>
      </c>
      <c r="AB375" s="6">
        <f>$K$375*$V$375</f>
        <v>0</v>
      </c>
      <c r="AC375" s="6">
        <f>$M$375*$W$375</f>
        <v>7344.7264400000004</v>
      </c>
      <c r="AD375" s="6">
        <f>$O$375*$X$375</f>
        <v>2404.8386800000003</v>
      </c>
      <c r="AE375" s="6">
        <f>$K$375*$Y$375</f>
        <v>0</v>
      </c>
      <c r="AF375" s="6">
        <f ca="1">$M$375*$Z$375</f>
        <v>8509.7273299594999</v>
      </c>
      <c r="AG375" s="6">
        <f ca="1">$O$375*$AA$375</f>
        <v>2223.1131581332402</v>
      </c>
    </row>
    <row r="376" spans="1:33" ht="11.25" customHeight="1" x14ac:dyDescent="0.3">
      <c r="A376" s="4" t="s">
        <v>21</v>
      </c>
      <c r="B376" s="4" t="s">
        <v>39</v>
      </c>
      <c r="C376" s="4" t="s">
        <v>40</v>
      </c>
      <c r="D376" s="4" t="s">
        <v>46</v>
      </c>
      <c r="E376" s="4" t="s">
        <v>25</v>
      </c>
      <c r="F376" s="4" t="s">
        <v>25</v>
      </c>
      <c r="G376" s="4" t="s">
        <v>25</v>
      </c>
      <c r="H376" s="4" t="s">
        <v>34</v>
      </c>
      <c r="I376" s="5">
        <v>44743</v>
      </c>
      <c r="J376" s="6">
        <v>0</v>
      </c>
      <c r="K376" s="6">
        <v>0</v>
      </c>
      <c r="L376" s="6">
        <v>2.6240000000000001</v>
      </c>
      <c r="M376" s="6">
        <v>2.6240000000000001</v>
      </c>
      <c r="N376" s="6">
        <v>2.6240000000000001</v>
      </c>
      <c r="O376" s="6">
        <v>2.6240000000000001</v>
      </c>
      <c r="P376" s="6">
        <v>0</v>
      </c>
      <c r="Q376" s="4" t="s">
        <v>26</v>
      </c>
      <c r="R376" s="4">
        <v>0</v>
      </c>
      <c r="S376" s="6">
        <v>0</v>
      </c>
      <c r="T376" s="6">
        <v>15</v>
      </c>
      <c r="U376" s="6">
        <v>65</v>
      </c>
      <c r="V376" s="6">
        <f>IF(ISERROR(VLOOKUP($S$376,'TAR FIN'!$A$1:$O$103,15,0)),0,VLOOKUP($S$376,'TAR FIN'!$A$1:$O$103,15,0))</f>
        <v>0</v>
      </c>
      <c r="W376" s="6">
        <f>IF(ISERROR(VLOOKUP($T$376,'TAR FIN'!$A$1:$O$103,15,0)),0,VLOOKUP($T$376,'TAR FIN'!$A$1:$O$103,15,0))</f>
        <v>1195.82</v>
      </c>
      <c r="X376" s="6">
        <f>IF(ISERROR(VLOOKUP($U$376,'TAR FIN'!$A$1:$O$103,15,0)),0,VLOOKUP($U$376,'TAR FIN'!$A$1:$O$103,15,0))</f>
        <v>391.54</v>
      </c>
      <c r="Y376" s="6"/>
      <c r="Z376" s="6">
        <f ca="1">('TUSD BE'!$AM$23+'TUSD BF_350'!$AM$23+'TUSD CVA'!$AM$23)*1</f>
        <v>1385.4977743340116</v>
      </c>
      <c r="AA376" s="6">
        <f ca="1">('TE BE'!$AB$8+'TE BF_350'!$AB$8+'TE CVA'!$AB$8)*1</f>
        <v>361.95264704220779</v>
      </c>
      <c r="AB376" s="6">
        <f>$K$376*$V$376</f>
        <v>0</v>
      </c>
      <c r="AC376" s="6">
        <f>$M$376*$W$376</f>
        <v>3137.8316799999998</v>
      </c>
      <c r="AD376" s="6">
        <f>$O$376*$X$376</f>
        <v>1027.4009600000002</v>
      </c>
      <c r="AE376" s="6">
        <f>$K$376*$Y$376</f>
        <v>0</v>
      </c>
      <c r="AF376" s="6">
        <f ca="1">$M$376*$Z$376</f>
        <v>3635.5461598524466</v>
      </c>
      <c r="AG376" s="6">
        <f ca="1">$O$376*$AA$376</f>
        <v>949.76374583875327</v>
      </c>
    </row>
    <row r="377" spans="1:33" ht="11.25" customHeight="1" x14ac:dyDescent="0.3">
      <c r="A377" s="4" t="s">
        <v>28</v>
      </c>
      <c r="B377" s="4" t="s">
        <v>39</v>
      </c>
      <c r="C377" s="4" t="s">
        <v>40</v>
      </c>
      <c r="D377" s="4" t="s">
        <v>46</v>
      </c>
      <c r="E377" s="4" t="s">
        <v>25</v>
      </c>
      <c r="F377" s="4" t="s">
        <v>25</v>
      </c>
      <c r="G377" s="4" t="s">
        <v>25</v>
      </c>
      <c r="H377" s="4" t="s">
        <v>34</v>
      </c>
      <c r="I377" s="5">
        <v>44743</v>
      </c>
      <c r="J377" s="6">
        <v>0</v>
      </c>
      <c r="K377" s="6">
        <v>0</v>
      </c>
      <c r="L377" s="6">
        <v>3.996</v>
      </c>
      <c r="M377" s="6">
        <v>3.996</v>
      </c>
      <c r="N377" s="6">
        <v>3.996</v>
      </c>
      <c r="O377" s="6">
        <v>3.996</v>
      </c>
      <c r="P377" s="6">
        <v>0</v>
      </c>
      <c r="Q377" s="4" t="s">
        <v>26</v>
      </c>
      <c r="R377" s="4">
        <v>0</v>
      </c>
      <c r="S377" s="6">
        <v>0</v>
      </c>
      <c r="T377" s="6">
        <v>15</v>
      </c>
      <c r="U377" s="6">
        <v>65</v>
      </c>
      <c r="V377" s="6">
        <f>IF(ISERROR(VLOOKUP($S$377,'TAR FIN'!$A$1:$O$103,15,0)),0,VLOOKUP($S$377,'TAR FIN'!$A$1:$O$103,15,0))</f>
        <v>0</v>
      </c>
      <c r="W377" s="6">
        <f>IF(ISERROR(VLOOKUP($T$377,'TAR FIN'!$A$1:$O$103,15,0)),0,VLOOKUP($T$377,'TAR FIN'!$A$1:$O$103,15,0))</f>
        <v>1195.82</v>
      </c>
      <c r="X377" s="6">
        <f>IF(ISERROR(VLOOKUP($U$377,'TAR FIN'!$A$1:$O$103,15,0)),0,VLOOKUP($U$377,'TAR FIN'!$A$1:$O$103,15,0))</f>
        <v>391.54</v>
      </c>
      <c r="Y377" s="6"/>
      <c r="Z377" s="6">
        <f ca="1">('TUSD BE'!$AM$23+'TUSD BF_350'!$AM$23+'TUSD CVA'!$AM$23)*1</f>
        <v>1385.4977743340116</v>
      </c>
      <c r="AA377" s="6">
        <f ca="1">('TE BE'!$AB$8+'TE BF_350'!$AB$8+'TE CVA'!$AB$8)*1</f>
        <v>361.95264704220779</v>
      </c>
      <c r="AB377" s="6">
        <f>$K$377*$V$377</f>
        <v>0</v>
      </c>
      <c r="AC377" s="6">
        <f>$M$377*$W$377</f>
        <v>4778.4967200000001</v>
      </c>
      <c r="AD377" s="6">
        <f>$O$377*$X$377</f>
        <v>1564.59384</v>
      </c>
      <c r="AE377" s="6">
        <f>$K$377*$Y$377</f>
        <v>0</v>
      </c>
      <c r="AF377" s="6">
        <f ca="1">$M$377*$Z$377</f>
        <v>5536.4491062387106</v>
      </c>
      <c r="AG377" s="6">
        <f ca="1">$O$377*$AA$377</f>
        <v>1446.3627775806624</v>
      </c>
    </row>
    <row r="378" spans="1:33" ht="11.25" customHeight="1" x14ac:dyDescent="0.3">
      <c r="A378" s="4" t="s">
        <v>21</v>
      </c>
      <c r="B378" s="4" t="s">
        <v>39</v>
      </c>
      <c r="C378" s="4" t="s">
        <v>40</v>
      </c>
      <c r="D378" s="4" t="s">
        <v>46</v>
      </c>
      <c r="E378" s="4" t="s">
        <v>25</v>
      </c>
      <c r="F378" s="4" t="s">
        <v>25</v>
      </c>
      <c r="G378" s="4" t="s">
        <v>25</v>
      </c>
      <c r="H378" s="4" t="s">
        <v>34</v>
      </c>
      <c r="I378" s="5">
        <v>44774</v>
      </c>
      <c r="J378" s="6">
        <v>0</v>
      </c>
      <c r="K378" s="6">
        <v>0</v>
      </c>
      <c r="L378" s="6">
        <v>4.0730000000000004</v>
      </c>
      <c r="M378" s="6">
        <v>4.0730000000000004</v>
      </c>
      <c r="N378" s="6">
        <v>4.0730000000000004</v>
      </c>
      <c r="O378" s="6">
        <v>4.0730000000000004</v>
      </c>
      <c r="P378" s="6">
        <v>0</v>
      </c>
      <c r="Q378" s="4" t="s">
        <v>26</v>
      </c>
      <c r="R378" s="4">
        <v>0</v>
      </c>
      <c r="S378" s="6">
        <v>0</v>
      </c>
      <c r="T378" s="6">
        <v>15</v>
      </c>
      <c r="U378" s="6">
        <v>65</v>
      </c>
      <c r="V378" s="6">
        <f>IF(ISERROR(VLOOKUP($S$378,'TAR FIN'!$A$1:$O$103,15,0)),0,VLOOKUP($S$378,'TAR FIN'!$A$1:$O$103,15,0))</f>
        <v>0</v>
      </c>
      <c r="W378" s="6">
        <f>IF(ISERROR(VLOOKUP($T$378,'TAR FIN'!$A$1:$O$103,15,0)),0,VLOOKUP($T$378,'TAR FIN'!$A$1:$O$103,15,0))</f>
        <v>1195.82</v>
      </c>
      <c r="X378" s="6">
        <f>IF(ISERROR(VLOOKUP($U$378,'TAR FIN'!$A$1:$O$103,15,0)),0,VLOOKUP($U$378,'TAR FIN'!$A$1:$O$103,15,0))</f>
        <v>391.54</v>
      </c>
      <c r="Y378" s="6"/>
      <c r="Z378" s="6">
        <f ca="1">('TUSD BE'!$AM$23+'TUSD BF_350'!$AM$23+'TUSD CVA'!$AM$23)*1</f>
        <v>1385.4977743340116</v>
      </c>
      <c r="AA378" s="6">
        <f ca="1">('TE BE'!$AB$8+'TE BF_350'!$AB$8+'TE CVA'!$AB$8)*1</f>
        <v>361.95264704220779</v>
      </c>
      <c r="AB378" s="6">
        <f>$K$378*$V$378</f>
        <v>0</v>
      </c>
      <c r="AC378" s="6">
        <f>$M$378*$W$378</f>
        <v>4870.5748600000006</v>
      </c>
      <c r="AD378" s="6">
        <f>$O$378*$X$378</f>
        <v>1594.7424200000003</v>
      </c>
      <c r="AE378" s="6">
        <f>$K$378*$Y$378</f>
        <v>0</v>
      </c>
      <c r="AF378" s="6">
        <f ca="1">$M$378*$Z$378</f>
        <v>5643.1324348624303</v>
      </c>
      <c r="AG378" s="6">
        <f ca="1">$O$378*$AA$378</f>
        <v>1474.2331314029125</v>
      </c>
    </row>
    <row r="379" spans="1:33" ht="11.25" customHeight="1" x14ac:dyDescent="0.3">
      <c r="A379" s="4" t="s">
        <v>28</v>
      </c>
      <c r="B379" s="4" t="s">
        <v>39</v>
      </c>
      <c r="C379" s="4" t="s">
        <v>40</v>
      </c>
      <c r="D379" s="4" t="s">
        <v>46</v>
      </c>
      <c r="E379" s="4" t="s">
        <v>25</v>
      </c>
      <c r="F379" s="4" t="s">
        <v>25</v>
      </c>
      <c r="G379" s="4" t="s">
        <v>25</v>
      </c>
      <c r="H379" s="4" t="s">
        <v>34</v>
      </c>
      <c r="I379" s="5">
        <v>44774</v>
      </c>
      <c r="J379" s="6">
        <v>0</v>
      </c>
      <c r="K379" s="6">
        <v>0</v>
      </c>
      <c r="L379" s="6">
        <v>6.8949999999999996</v>
      </c>
      <c r="M379" s="6">
        <v>6.8949999999999996</v>
      </c>
      <c r="N379" s="6">
        <v>6.8949999999999996</v>
      </c>
      <c r="O379" s="6">
        <v>6.8949999999999996</v>
      </c>
      <c r="P379" s="6">
        <v>0</v>
      </c>
      <c r="Q379" s="4" t="s">
        <v>26</v>
      </c>
      <c r="R379" s="4">
        <v>0</v>
      </c>
      <c r="S379" s="6">
        <v>0</v>
      </c>
      <c r="T379" s="6">
        <v>15</v>
      </c>
      <c r="U379" s="6">
        <v>65</v>
      </c>
      <c r="V379" s="6">
        <f>IF(ISERROR(VLOOKUP($S$379,'TAR FIN'!$A$1:$O$103,15,0)),0,VLOOKUP($S$379,'TAR FIN'!$A$1:$O$103,15,0))</f>
        <v>0</v>
      </c>
      <c r="W379" s="6">
        <f>IF(ISERROR(VLOOKUP($T$379,'TAR FIN'!$A$1:$O$103,15,0)),0,VLOOKUP($T$379,'TAR FIN'!$A$1:$O$103,15,0))</f>
        <v>1195.82</v>
      </c>
      <c r="X379" s="6">
        <f>IF(ISERROR(VLOOKUP($U$379,'TAR FIN'!$A$1:$O$103,15,0)),0,VLOOKUP($U$379,'TAR FIN'!$A$1:$O$103,15,0))</f>
        <v>391.54</v>
      </c>
      <c r="Y379" s="6"/>
      <c r="Z379" s="6">
        <f ca="1">('TUSD BE'!$AM$23+'TUSD BF_350'!$AM$23+'TUSD CVA'!$AM$23)*1</f>
        <v>1385.4977743340116</v>
      </c>
      <c r="AA379" s="6">
        <f ca="1">('TE BE'!$AB$8+'TE BF_350'!$AB$8+'TE CVA'!$AB$8)*1</f>
        <v>361.95264704220779</v>
      </c>
      <c r="AB379" s="6">
        <f>$K$379*$V$379</f>
        <v>0</v>
      </c>
      <c r="AC379" s="6">
        <f>$M$379*$W$379</f>
        <v>8245.178899999999</v>
      </c>
      <c r="AD379" s="6">
        <f>$O$379*$X$379</f>
        <v>2699.6682999999998</v>
      </c>
      <c r="AE379" s="6">
        <f>$K$379*$Y$379</f>
        <v>0</v>
      </c>
      <c r="AF379" s="6">
        <f ca="1">$M$379*$Z$379</f>
        <v>9553.00715403301</v>
      </c>
      <c r="AG379" s="6">
        <f ca="1">$O$379*$AA$379</f>
        <v>2495.6635013560226</v>
      </c>
    </row>
    <row r="380" spans="1:33" ht="11.25" customHeight="1" x14ac:dyDescent="0.3">
      <c r="A380" s="4" t="s">
        <v>21</v>
      </c>
      <c r="B380" s="4" t="s">
        <v>39</v>
      </c>
      <c r="C380" s="4" t="s">
        <v>40</v>
      </c>
      <c r="D380" s="4" t="s">
        <v>46</v>
      </c>
      <c r="E380" s="4" t="s">
        <v>25</v>
      </c>
      <c r="F380" s="4" t="s">
        <v>25</v>
      </c>
      <c r="G380" s="4" t="s">
        <v>25</v>
      </c>
      <c r="H380" s="4" t="s">
        <v>34</v>
      </c>
      <c r="I380" s="5">
        <v>44805</v>
      </c>
      <c r="J380" s="6">
        <v>0</v>
      </c>
      <c r="K380" s="6">
        <v>0</v>
      </c>
      <c r="L380" s="6">
        <v>4.0110000000000001</v>
      </c>
      <c r="M380" s="6">
        <v>4.0110000000000001</v>
      </c>
      <c r="N380" s="6">
        <v>4.0110000000000001</v>
      </c>
      <c r="O380" s="6">
        <v>4.0110000000000001</v>
      </c>
      <c r="P380" s="6">
        <v>0</v>
      </c>
      <c r="Q380" s="4" t="s">
        <v>26</v>
      </c>
      <c r="R380" s="4">
        <v>0</v>
      </c>
      <c r="S380" s="6">
        <v>0</v>
      </c>
      <c r="T380" s="6">
        <v>15</v>
      </c>
      <c r="U380" s="6">
        <v>65</v>
      </c>
      <c r="V380" s="6">
        <f>IF(ISERROR(VLOOKUP($S$380,'TAR FIN'!$A$1:$O$103,15,0)),0,VLOOKUP($S$380,'TAR FIN'!$A$1:$O$103,15,0))</f>
        <v>0</v>
      </c>
      <c r="W380" s="6">
        <f>IF(ISERROR(VLOOKUP($T$380,'TAR FIN'!$A$1:$O$103,15,0)),0,VLOOKUP($T$380,'TAR FIN'!$A$1:$O$103,15,0))</f>
        <v>1195.82</v>
      </c>
      <c r="X380" s="6">
        <f>IF(ISERROR(VLOOKUP($U$380,'TAR FIN'!$A$1:$O$103,15,0)),0,VLOOKUP($U$380,'TAR FIN'!$A$1:$O$103,15,0))</f>
        <v>391.54</v>
      </c>
      <c r="Y380" s="6"/>
      <c r="Z380" s="6">
        <f ca="1">('TUSD BE'!$AM$23+'TUSD BF_350'!$AM$23+'TUSD CVA'!$AM$23)*1</f>
        <v>1385.4977743340116</v>
      </c>
      <c r="AA380" s="6">
        <f ca="1">('TE BE'!$AB$8+'TE BF_350'!$AB$8+'TE CVA'!$AB$8)*1</f>
        <v>361.95264704220779</v>
      </c>
      <c r="AB380" s="6">
        <f>$K$380*$V$380</f>
        <v>0</v>
      </c>
      <c r="AC380" s="6">
        <f>$M$380*$W$380</f>
        <v>4796.4340199999997</v>
      </c>
      <c r="AD380" s="6">
        <f>$O$380*$X$380</f>
        <v>1570.46694</v>
      </c>
      <c r="AE380" s="6">
        <f>$K$380*$Y$380</f>
        <v>0</v>
      </c>
      <c r="AF380" s="6">
        <f ca="1">$M$380*$Z$380</f>
        <v>5557.2315728537205</v>
      </c>
      <c r="AG380" s="6">
        <f ca="1">$O$380*$AA$380</f>
        <v>1451.7920672862954</v>
      </c>
    </row>
    <row r="381" spans="1:33" ht="11.25" customHeight="1" x14ac:dyDescent="0.3">
      <c r="A381" s="4" t="s">
        <v>28</v>
      </c>
      <c r="B381" s="4" t="s">
        <v>39</v>
      </c>
      <c r="C381" s="4" t="s">
        <v>40</v>
      </c>
      <c r="D381" s="4" t="s">
        <v>46</v>
      </c>
      <c r="E381" s="4" t="s">
        <v>25</v>
      </c>
      <c r="F381" s="4" t="s">
        <v>25</v>
      </c>
      <c r="G381" s="4" t="s">
        <v>25</v>
      </c>
      <c r="H381" s="4" t="s">
        <v>34</v>
      </c>
      <c r="I381" s="5">
        <v>44805</v>
      </c>
      <c r="J381" s="6">
        <v>0</v>
      </c>
      <c r="K381" s="6">
        <v>0</v>
      </c>
      <c r="L381" s="6">
        <v>8.4139999999999997</v>
      </c>
      <c r="M381" s="6">
        <v>8.4139999999999997</v>
      </c>
      <c r="N381" s="6">
        <v>8.4139999999999997</v>
      </c>
      <c r="O381" s="6">
        <v>8.4139999999999997</v>
      </c>
      <c r="P381" s="6">
        <v>0</v>
      </c>
      <c r="Q381" s="4" t="s">
        <v>26</v>
      </c>
      <c r="R381" s="4">
        <v>0</v>
      </c>
      <c r="S381" s="6">
        <v>0</v>
      </c>
      <c r="T381" s="6">
        <v>15</v>
      </c>
      <c r="U381" s="6">
        <v>65</v>
      </c>
      <c r="V381" s="6">
        <f>IF(ISERROR(VLOOKUP($S$381,'TAR FIN'!$A$1:$O$103,15,0)),0,VLOOKUP($S$381,'TAR FIN'!$A$1:$O$103,15,0))</f>
        <v>0</v>
      </c>
      <c r="W381" s="6">
        <f>IF(ISERROR(VLOOKUP($T$381,'TAR FIN'!$A$1:$O$103,15,0)),0,VLOOKUP($T$381,'TAR FIN'!$A$1:$O$103,15,0))</f>
        <v>1195.82</v>
      </c>
      <c r="X381" s="6">
        <f>IF(ISERROR(VLOOKUP($U$381,'TAR FIN'!$A$1:$O$103,15,0)),0,VLOOKUP($U$381,'TAR FIN'!$A$1:$O$103,15,0))</f>
        <v>391.54</v>
      </c>
      <c r="Y381" s="6"/>
      <c r="Z381" s="6">
        <f ca="1">('TUSD BE'!$AM$23+'TUSD BF_350'!$AM$23+'TUSD CVA'!$AM$23)*1</f>
        <v>1385.4977743340116</v>
      </c>
      <c r="AA381" s="6">
        <f ca="1">('TE BE'!$AB$8+'TE BF_350'!$AB$8+'TE CVA'!$AB$8)*1</f>
        <v>361.95264704220779</v>
      </c>
      <c r="AB381" s="6">
        <f>$K$381*$V$381</f>
        <v>0</v>
      </c>
      <c r="AC381" s="6">
        <f>$M$381*$W$381</f>
        <v>10061.62948</v>
      </c>
      <c r="AD381" s="6">
        <f>$O$381*$X$381</f>
        <v>3294.4175599999999</v>
      </c>
      <c r="AE381" s="6">
        <f>$K$381*$Y$381</f>
        <v>0</v>
      </c>
      <c r="AF381" s="6">
        <f ca="1">$M$381*$Z$381</f>
        <v>11657.578273246374</v>
      </c>
      <c r="AG381" s="6">
        <f ca="1">$O$381*$AA$381</f>
        <v>3045.4695722131364</v>
      </c>
    </row>
    <row r="382" spans="1:33" ht="11.25" customHeight="1" x14ac:dyDescent="0.3">
      <c r="A382" s="4" t="s">
        <v>57</v>
      </c>
      <c r="B382" s="4" t="s">
        <v>39</v>
      </c>
      <c r="C382" s="4" t="s">
        <v>40</v>
      </c>
      <c r="D382" s="4" t="s">
        <v>46</v>
      </c>
      <c r="E382" s="4" t="s">
        <v>25</v>
      </c>
      <c r="F382" s="4" t="s">
        <v>25</v>
      </c>
      <c r="G382" s="4" t="s">
        <v>25</v>
      </c>
      <c r="H382" s="4" t="s">
        <v>34</v>
      </c>
      <c r="I382" s="5">
        <v>44835</v>
      </c>
      <c r="J382" s="6">
        <v>0</v>
      </c>
      <c r="K382" s="6">
        <v>0</v>
      </c>
      <c r="L382" s="6">
        <v>4.0110000000000001</v>
      </c>
      <c r="M382" s="6">
        <v>4.0110000000000001</v>
      </c>
      <c r="N382" s="6">
        <v>4.0110000000000001</v>
      </c>
      <c r="O382" s="6">
        <v>4.0110000000000001</v>
      </c>
      <c r="P382" s="6">
        <v>0</v>
      </c>
      <c r="Q382" s="4" t="s">
        <v>26</v>
      </c>
      <c r="R382" s="4">
        <v>0</v>
      </c>
      <c r="S382" s="6">
        <v>0</v>
      </c>
      <c r="T382" s="6">
        <v>15</v>
      </c>
      <c r="U382" s="6">
        <v>65</v>
      </c>
      <c r="V382" s="6">
        <f>IF(ISERROR(VLOOKUP($S$382,'TAR FIN'!$A$1:$O$103,15,0)),0,VLOOKUP($S$382,'TAR FIN'!$A$1:$O$103,15,0))</f>
        <v>0</v>
      </c>
      <c r="W382" s="6">
        <f>IF(ISERROR(VLOOKUP($T$382,'TAR FIN'!$A$1:$O$103,15,0)),0,VLOOKUP($T$382,'TAR FIN'!$A$1:$O$103,15,0))</f>
        <v>1195.82</v>
      </c>
      <c r="X382" s="6">
        <f>IF(ISERROR(VLOOKUP($U$382,'TAR FIN'!$A$1:$O$103,15,0)),0,VLOOKUP($U$382,'TAR FIN'!$A$1:$O$103,15,0))</f>
        <v>391.54</v>
      </c>
      <c r="Y382" s="6"/>
      <c r="Z382" s="6">
        <f ca="1">('TUSD BE'!$AM$23+'TUSD BF_350'!$AM$23+'TUSD CVA'!$AM$23)*1</f>
        <v>1385.4977743340116</v>
      </c>
      <c r="AA382" s="6">
        <f ca="1">('TE BE'!$AB$8+'TE BF_350'!$AB$8+'TE CVA'!$AB$8)*1</f>
        <v>361.95264704220779</v>
      </c>
      <c r="AB382" s="6">
        <f>$K$382*$V$382</f>
        <v>0</v>
      </c>
      <c r="AC382" s="6">
        <f>$M$382*$W$382</f>
        <v>4796.4340199999997</v>
      </c>
      <c r="AD382" s="6">
        <f>$O$382*$X$382</f>
        <v>1570.46694</v>
      </c>
      <c r="AE382" s="6">
        <f>$K$382*$Y$382</f>
        <v>0</v>
      </c>
      <c r="AF382" s="6">
        <f ca="1">$M$382*$Z$382</f>
        <v>5557.2315728537205</v>
      </c>
      <c r="AG382" s="6">
        <f ca="1">$O$382*$AA$382</f>
        <v>1451.7920672862954</v>
      </c>
    </row>
    <row r="383" spans="1:33" ht="11.25" customHeight="1" x14ac:dyDescent="0.3">
      <c r="A383" s="4" t="s">
        <v>57</v>
      </c>
      <c r="B383" s="4" t="s">
        <v>39</v>
      </c>
      <c r="C383" s="4" t="s">
        <v>40</v>
      </c>
      <c r="D383" s="4" t="s">
        <v>46</v>
      </c>
      <c r="E383" s="4" t="s">
        <v>25</v>
      </c>
      <c r="F383" s="4" t="s">
        <v>25</v>
      </c>
      <c r="G383" s="4" t="s">
        <v>25</v>
      </c>
      <c r="H383" s="4" t="s">
        <v>34</v>
      </c>
      <c r="I383" s="5">
        <v>44835</v>
      </c>
      <c r="J383" s="6">
        <v>0</v>
      </c>
      <c r="K383" s="6">
        <v>0</v>
      </c>
      <c r="L383" s="6">
        <v>8.4139999999999997</v>
      </c>
      <c r="M383" s="6">
        <v>8.4139999999999997</v>
      </c>
      <c r="N383" s="6">
        <v>8.4139999999999997</v>
      </c>
      <c r="O383" s="6">
        <v>8.4139999999999997</v>
      </c>
      <c r="P383" s="6">
        <v>0</v>
      </c>
      <c r="Q383" s="4" t="s">
        <v>26</v>
      </c>
      <c r="R383" s="4">
        <v>0</v>
      </c>
      <c r="S383" s="6">
        <v>0</v>
      </c>
      <c r="T383" s="6">
        <v>15</v>
      </c>
      <c r="U383" s="6">
        <v>65</v>
      </c>
      <c r="V383" s="6">
        <f>IF(ISERROR(VLOOKUP($S$383,'TAR FIN'!$A$1:$O$103,15,0)),0,VLOOKUP($S$383,'TAR FIN'!$A$1:$O$103,15,0))</f>
        <v>0</v>
      </c>
      <c r="W383" s="6">
        <f>IF(ISERROR(VLOOKUP($T$383,'TAR FIN'!$A$1:$O$103,15,0)),0,VLOOKUP($T$383,'TAR FIN'!$A$1:$O$103,15,0))</f>
        <v>1195.82</v>
      </c>
      <c r="X383" s="6">
        <f>IF(ISERROR(VLOOKUP($U$383,'TAR FIN'!$A$1:$O$103,15,0)),0,VLOOKUP($U$383,'TAR FIN'!$A$1:$O$103,15,0))</f>
        <v>391.54</v>
      </c>
      <c r="Y383" s="6"/>
      <c r="Z383" s="6">
        <f ca="1">('TUSD BE'!$AM$23+'TUSD BF_350'!$AM$23+'TUSD CVA'!$AM$23)*1</f>
        <v>1385.4977743340116</v>
      </c>
      <c r="AA383" s="6">
        <f ca="1">('TE BE'!$AB$8+'TE BF_350'!$AB$8+'TE CVA'!$AB$8)*1</f>
        <v>361.95264704220779</v>
      </c>
      <c r="AB383" s="6">
        <f>$K$383*$V$383</f>
        <v>0</v>
      </c>
      <c r="AC383" s="6">
        <f>$M$383*$W$383</f>
        <v>10061.62948</v>
      </c>
      <c r="AD383" s="6">
        <f>$O$383*$X$383</f>
        <v>3294.4175599999999</v>
      </c>
      <c r="AE383" s="6">
        <f>$K$383*$Y$383</f>
        <v>0</v>
      </c>
      <c r="AF383" s="6">
        <f ca="1">$M$383*$Z$383</f>
        <v>11657.578273246374</v>
      </c>
      <c r="AG383" s="6">
        <f ca="1">$O$383*$AA$383</f>
        <v>3045.4695722131364</v>
      </c>
    </row>
    <row r="384" spans="1:33" ht="11.25" customHeight="1" x14ac:dyDescent="0.3">
      <c r="A384" s="4" t="s">
        <v>21</v>
      </c>
      <c r="B384" s="4" t="s">
        <v>39</v>
      </c>
      <c r="C384" s="4" t="s">
        <v>40</v>
      </c>
      <c r="D384" s="4" t="s">
        <v>44</v>
      </c>
      <c r="E384" s="4" t="s">
        <v>53</v>
      </c>
      <c r="F384" s="4" t="s">
        <v>55</v>
      </c>
      <c r="G384" s="4" t="s">
        <v>25</v>
      </c>
      <c r="H384" s="4" t="s">
        <v>35</v>
      </c>
      <c r="I384" s="5">
        <v>44501</v>
      </c>
      <c r="J384" s="6">
        <v>0</v>
      </c>
      <c r="K384" s="6">
        <v>0</v>
      </c>
      <c r="L384" s="6">
        <v>10.618</v>
      </c>
      <c r="M384" s="6">
        <v>2.1236000000000002</v>
      </c>
      <c r="N384" s="6">
        <v>10.618</v>
      </c>
      <c r="O384" s="6">
        <v>2.1236000000000002</v>
      </c>
      <c r="P384" s="6">
        <v>0</v>
      </c>
      <c r="Q384" s="4" t="s">
        <v>26</v>
      </c>
      <c r="R384" s="4">
        <v>0</v>
      </c>
      <c r="S384" s="6">
        <v>0</v>
      </c>
      <c r="T384" s="6">
        <v>17</v>
      </c>
      <c r="U384" s="6">
        <v>66</v>
      </c>
      <c r="V384" s="6">
        <f>IF(ISERROR(VLOOKUP($S$384,'TAR FIN'!$A$1:$O$103,15,0)),0,VLOOKUP($S$384,'TAR FIN'!$A$1:$O$103,15,0))</f>
        <v>0</v>
      </c>
      <c r="W384" s="6">
        <f>IF(ISERROR(VLOOKUP($T$384,'TAR FIN'!$A$1:$O$103,15,0)),0,VLOOKUP($T$384,'TAR FIN'!$A$1:$O$103,15,0))</f>
        <v>84.99</v>
      </c>
      <c r="X384" s="6">
        <f>IF(ISERROR(VLOOKUP($U$384,'TAR FIN'!$A$1:$O$103,15,0)),0,VLOOKUP($U$384,'TAR FIN'!$A$1:$O$103,15,0))</f>
        <v>242.77</v>
      </c>
      <c r="Y384" s="6"/>
      <c r="Z384" s="6">
        <f ca="1">('TUSD BE'!$AM$24+'TUSD BF_350'!$AM$24+'TUSD CVA'!$AM$24)*1</f>
        <v>145.72237393634796</v>
      </c>
      <c r="AA384" s="6">
        <f ca="1">('TE BE'!$AB$9+'TE BF_350'!$AB$9+'TE CVA'!$AB$9)*1</f>
        <v>222.39386487986414</v>
      </c>
      <c r="AB384" s="6">
        <f>$K$384*$V$384</f>
        <v>0</v>
      </c>
      <c r="AC384" s="6">
        <f>$M$384*$W$384</f>
        <v>180.48476400000001</v>
      </c>
      <c r="AD384" s="6">
        <f>$O$384*$X$384</f>
        <v>515.54637200000002</v>
      </c>
      <c r="AE384" s="6">
        <f>$K$384*$Y$384</f>
        <v>0</v>
      </c>
      <c r="AF384" s="6">
        <f ca="1">$M$384*$Z$384</f>
        <v>309.45603329122855</v>
      </c>
      <c r="AG384" s="6">
        <f ca="1">$O$384*$AA$384</f>
        <v>472.2756114588795</v>
      </c>
    </row>
    <row r="385" spans="1:33" ht="11.25" customHeight="1" x14ac:dyDescent="0.3">
      <c r="A385" s="4" t="s">
        <v>21</v>
      </c>
      <c r="B385" s="4" t="s">
        <v>39</v>
      </c>
      <c r="C385" s="4" t="s">
        <v>40</v>
      </c>
      <c r="D385" s="4" t="s">
        <v>44</v>
      </c>
      <c r="E385" s="4" t="s">
        <v>53</v>
      </c>
      <c r="F385" s="4" t="s">
        <v>55</v>
      </c>
      <c r="G385" s="4" t="s">
        <v>25</v>
      </c>
      <c r="H385" s="4" t="s">
        <v>35</v>
      </c>
      <c r="I385" s="5">
        <v>44531</v>
      </c>
      <c r="J385" s="6">
        <v>0</v>
      </c>
      <c r="K385" s="6">
        <v>0</v>
      </c>
      <c r="L385" s="6">
        <v>1.8220000000000001</v>
      </c>
      <c r="M385" s="6">
        <v>0.3644</v>
      </c>
      <c r="N385" s="6">
        <v>1.8220000000000001</v>
      </c>
      <c r="O385" s="6">
        <v>0.3644</v>
      </c>
      <c r="P385" s="6">
        <v>0</v>
      </c>
      <c r="Q385" s="4" t="s">
        <v>26</v>
      </c>
      <c r="R385" s="4">
        <v>0</v>
      </c>
      <c r="S385" s="6">
        <v>0</v>
      </c>
      <c r="T385" s="6">
        <v>17</v>
      </c>
      <c r="U385" s="6">
        <v>66</v>
      </c>
      <c r="V385" s="6">
        <f>IF(ISERROR(VLOOKUP($S$385,'TAR FIN'!$A$1:$O$103,15,0)),0,VLOOKUP($S$385,'TAR FIN'!$A$1:$O$103,15,0))</f>
        <v>0</v>
      </c>
      <c r="W385" s="6">
        <f>IF(ISERROR(VLOOKUP($T$385,'TAR FIN'!$A$1:$O$103,15,0)),0,VLOOKUP($T$385,'TAR FIN'!$A$1:$O$103,15,0))</f>
        <v>84.99</v>
      </c>
      <c r="X385" s="6">
        <f>IF(ISERROR(VLOOKUP($U$385,'TAR FIN'!$A$1:$O$103,15,0)),0,VLOOKUP($U$385,'TAR FIN'!$A$1:$O$103,15,0))</f>
        <v>242.77</v>
      </c>
      <c r="Y385" s="6"/>
      <c r="Z385" s="6">
        <f ca="1">('TUSD BE'!$AM$24+'TUSD BF_350'!$AM$24+'TUSD CVA'!$AM$24)*1</f>
        <v>145.72237393634796</v>
      </c>
      <c r="AA385" s="6">
        <f ca="1">('TE BE'!$AB$9+'TE BF_350'!$AB$9+'TE CVA'!$AB$9)*1</f>
        <v>222.39386487986414</v>
      </c>
      <c r="AB385" s="6">
        <f>$K$385*$V$385</f>
        <v>0</v>
      </c>
      <c r="AC385" s="6">
        <f>$M$385*$W$385</f>
        <v>30.970355999999999</v>
      </c>
      <c r="AD385" s="6">
        <f>$O$385*$X$385</f>
        <v>88.465388000000004</v>
      </c>
      <c r="AE385" s="6">
        <f>$K$385*$Y$385</f>
        <v>0</v>
      </c>
      <c r="AF385" s="6">
        <f ca="1">$M$385*$Z$385</f>
        <v>53.1012330624052</v>
      </c>
      <c r="AG385" s="6">
        <f ca="1">$O$385*$AA$385</f>
        <v>81.040324362222492</v>
      </c>
    </row>
    <row r="386" spans="1:33" ht="11.25" customHeight="1" x14ac:dyDescent="0.3">
      <c r="A386" s="4" t="s">
        <v>21</v>
      </c>
      <c r="B386" s="4" t="s">
        <v>39</v>
      </c>
      <c r="C386" s="4" t="s">
        <v>40</v>
      </c>
      <c r="D386" s="4" t="s">
        <v>44</v>
      </c>
      <c r="E386" s="4" t="s">
        <v>53</v>
      </c>
      <c r="F386" s="4" t="s">
        <v>55</v>
      </c>
      <c r="G386" s="4" t="s">
        <v>25</v>
      </c>
      <c r="H386" s="4" t="s">
        <v>35</v>
      </c>
      <c r="I386" s="5">
        <v>44562</v>
      </c>
      <c r="J386" s="6">
        <v>0</v>
      </c>
      <c r="K386" s="6">
        <v>0</v>
      </c>
      <c r="L386" s="6">
        <v>10.122999999999999</v>
      </c>
      <c r="M386" s="6">
        <v>2.0246</v>
      </c>
      <c r="N386" s="6">
        <v>10.122999999999999</v>
      </c>
      <c r="O386" s="6">
        <v>2.0246</v>
      </c>
      <c r="P386" s="6">
        <v>0</v>
      </c>
      <c r="Q386" s="4" t="s">
        <v>26</v>
      </c>
      <c r="R386" s="4">
        <v>0</v>
      </c>
      <c r="S386" s="6">
        <v>0</v>
      </c>
      <c r="T386" s="6">
        <v>17</v>
      </c>
      <c r="U386" s="6">
        <v>66</v>
      </c>
      <c r="V386" s="6">
        <f>IF(ISERROR(VLOOKUP($S$386,'TAR FIN'!$A$1:$O$103,15,0)),0,VLOOKUP($S$386,'TAR FIN'!$A$1:$O$103,15,0))</f>
        <v>0</v>
      </c>
      <c r="W386" s="6">
        <f>IF(ISERROR(VLOOKUP($T$386,'TAR FIN'!$A$1:$O$103,15,0)),0,VLOOKUP($T$386,'TAR FIN'!$A$1:$O$103,15,0))</f>
        <v>84.99</v>
      </c>
      <c r="X386" s="6">
        <f>IF(ISERROR(VLOOKUP($U$386,'TAR FIN'!$A$1:$O$103,15,0)),0,VLOOKUP($U$386,'TAR FIN'!$A$1:$O$103,15,0))</f>
        <v>242.77</v>
      </c>
      <c r="Y386" s="6"/>
      <c r="Z386" s="6">
        <f ca="1">('TUSD BE'!$AM$24+'TUSD BF_350'!$AM$24+'TUSD CVA'!$AM$24)*1</f>
        <v>145.72237393634796</v>
      </c>
      <c r="AA386" s="6">
        <f ca="1">('TE BE'!$AB$9+'TE BF_350'!$AB$9+'TE CVA'!$AB$9)*1</f>
        <v>222.39386487986414</v>
      </c>
      <c r="AB386" s="6">
        <f>$K$386*$V$386</f>
        <v>0</v>
      </c>
      <c r="AC386" s="6">
        <f>$M$386*$W$386</f>
        <v>172.07075399999999</v>
      </c>
      <c r="AD386" s="6">
        <f>$O$386*$X$386</f>
        <v>491.51214199999998</v>
      </c>
      <c r="AE386" s="6">
        <f>$K$386*$Y$386</f>
        <v>0</v>
      </c>
      <c r="AF386" s="6">
        <f ca="1">$M$386*$Z$386</f>
        <v>295.02951827153009</v>
      </c>
      <c r="AG386" s="6">
        <f ca="1">$O$386*$AA$386</f>
        <v>450.25861883577295</v>
      </c>
    </row>
    <row r="387" spans="1:33" ht="11.25" customHeight="1" x14ac:dyDescent="0.3">
      <c r="A387" s="4" t="s">
        <v>21</v>
      </c>
      <c r="B387" s="4" t="s">
        <v>39</v>
      </c>
      <c r="C387" s="4" t="s">
        <v>40</v>
      </c>
      <c r="D387" s="4" t="s">
        <v>44</v>
      </c>
      <c r="E387" s="4" t="s">
        <v>53</v>
      </c>
      <c r="F387" s="4" t="s">
        <v>55</v>
      </c>
      <c r="G387" s="4" t="s">
        <v>25</v>
      </c>
      <c r="H387" s="4" t="s">
        <v>35</v>
      </c>
      <c r="I387" s="5">
        <v>44593</v>
      </c>
      <c r="J387" s="6">
        <v>0</v>
      </c>
      <c r="K387" s="6">
        <v>0</v>
      </c>
      <c r="L387" s="6">
        <v>2.15</v>
      </c>
      <c r="M387" s="6">
        <v>0.43</v>
      </c>
      <c r="N387" s="6">
        <v>2.15</v>
      </c>
      <c r="O387" s="6">
        <v>0.43</v>
      </c>
      <c r="P387" s="6">
        <v>0</v>
      </c>
      <c r="Q387" s="4" t="s">
        <v>26</v>
      </c>
      <c r="R387" s="4">
        <v>0</v>
      </c>
      <c r="S387" s="6">
        <v>0</v>
      </c>
      <c r="T387" s="6">
        <v>17</v>
      </c>
      <c r="U387" s="6">
        <v>66</v>
      </c>
      <c r="V387" s="6">
        <f>IF(ISERROR(VLOOKUP($S$387,'TAR FIN'!$A$1:$O$103,15,0)),0,VLOOKUP($S$387,'TAR FIN'!$A$1:$O$103,15,0))</f>
        <v>0</v>
      </c>
      <c r="W387" s="6">
        <f>IF(ISERROR(VLOOKUP($T$387,'TAR FIN'!$A$1:$O$103,15,0)),0,VLOOKUP($T$387,'TAR FIN'!$A$1:$O$103,15,0))</f>
        <v>84.99</v>
      </c>
      <c r="X387" s="6">
        <f>IF(ISERROR(VLOOKUP($U$387,'TAR FIN'!$A$1:$O$103,15,0)),0,VLOOKUP($U$387,'TAR FIN'!$A$1:$O$103,15,0))</f>
        <v>242.77</v>
      </c>
      <c r="Y387" s="6"/>
      <c r="Z387" s="6">
        <f ca="1">('TUSD BE'!$AM$24+'TUSD BF_350'!$AM$24+'TUSD CVA'!$AM$24)*1</f>
        <v>145.72237393634796</v>
      </c>
      <c r="AA387" s="6">
        <f ca="1">('TE BE'!$AB$9+'TE BF_350'!$AB$9+'TE CVA'!$AB$9)*1</f>
        <v>222.39386487986414</v>
      </c>
      <c r="AB387" s="6">
        <f>$K$387*$V$387</f>
        <v>0</v>
      </c>
      <c r="AC387" s="6">
        <f>$M$387*$W$387</f>
        <v>36.545699999999997</v>
      </c>
      <c r="AD387" s="6">
        <f>$O$387*$X$387</f>
        <v>104.39110000000001</v>
      </c>
      <c r="AE387" s="6">
        <f>$K$387*$Y$387</f>
        <v>0</v>
      </c>
      <c r="AF387" s="6">
        <f ca="1">$M$387*$Z$387</f>
        <v>62.660620792629622</v>
      </c>
      <c r="AG387" s="6">
        <f ca="1">$O$387*$AA$387</f>
        <v>95.629361898341585</v>
      </c>
    </row>
    <row r="388" spans="1:33" ht="11.25" customHeight="1" x14ac:dyDescent="0.3">
      <c r="A388" s="4" t="s">
        <v>21</v>
      </c>
      <c r="B388" s="4" t="s">
        <v>39</v>
      </c>
      <c r="C388" s="4" t="s">
        <v>40</v>
      </c>
      <c r="D388" s="4" t="s">
        <v>44</v>
      </c>
      <c r="E388" s="4" t="s">
        <v>53</v>
      </c>
      <c r="F388" s="4" t="s">
        <v>55</v>
      </c>
      <c r="G388" s="4" t="s">
        <v>25</v>
      </c>
      <c r="H388" s="4" t="s">
        <v>35</v>
      </c>
      <c r="I388" s="5">
        <v>44621</v>
      </c>
      <c r="J388" s="6">
        <v>0</v>
      </c>
      <c r="K388" s="6">
        <v>0</v>
      </c>
      <c r="L388" s="6">
        <v>31.052</v>
      </c>
      <c r="M388" s="6">
        <v>6.2103999999999999</v>
      </c>
      <c r="N388" s="6">
        <v>31.052</v>
      </c>
      <c r="O388" s="6">
        <v>6.2103999999999999</v>
      </c>
      <c r="P388" s="6">
        <v>0</v>
      </c>
      <c r="Q388" s="4" t="s">
        <v>26</v>
      </c>
      <c r="R388" s="4">
        <v>0</v>
      </c>
      <c r="S388" s="6">
        <v>0</v>
      </c>
      <c r="T388" s="6">
        <v>17</v>
      </c>
      <c r="U388" s="6">
        <v>66</v>
      </c>
      <c r="V388" s="6">
        <f>IF(ISERROR(VLOOKUP($S$388,'TAR FIN'!$A$1:$O$103,15,0)),0,VLOOKUP($S$388,'TAR FIN'!$A$1:$O$103,15,0))</f>
        <v>0</v>
      </c>
      <c r="W388" s="6">
        <f>IF(ISERROR(VLOOKUP($T$388,'TAR FIN'!$A$1:$O$103,15,0)),0,VLOOKUP($T$388,'TAR FIN'!$A$1:$O$103,15,0))</f>
        <v>84.99</v>
      </c>
      <c r="X388" s="6">
        <f>IF(ISERROR(VLOOKUP($U$388,'TAR FIN'!$A$1:$O$103,15,0)),0,VLOOKUP($U$388,'TAR FIN'!$A$1:$O$103,15,0))</f>
        <v>242.77</v>
      </c>
      <c r="Y388" s="6"/>
      <c r="Z388" s="6">
        <f ca="1">('TUSD BE'!$AM$24+'TUSD BF_350'!$AM$24+'TUSD CVA'!$AM$24)*1</f>
        <v>145.72237393634796</v>
      </c>
      <c r="AA388" s="6">
        <f ca="1">('TE BE'!$AB$9+'TE BF_350'!$AB$9+'TE CVA'!$AB$9)*1</f>
        <v>222.39386487986414</v>
      </c>
      <c r="AB388" s="6">
        <f>$K$388*$V$388</f>
        <v>0</v>
      </c>
      <c r="AC388" s="6">
        <f>$M$388*$W$388</f>
        <v>527.82189599999992</v>
      </c>
      <c r="AD388" s="6">
        <f>$O$388*$X$388</f>
        <v>1507.6988080000001</v>
      </c>
      <c r="AE388" s="6">
        <f>$K$388*$Y$388</f>
        <v>0</v>
      </c>
      <c r="AF388" s="6">
        <f ca="1">$M$388*$Z$388</f>
        <v>904.9942310942954</v>
      </c>
      <c r="AG388" s="6">
        <f ca="1">$O$388*$AA$388</f>
        <v>1381.1548584499083</v>
      </c>
    </row>
    <row r="389" spans="1:33" ht="11.25" customHeight="1" x14ac:dyDescent="0.3">
      <c r="A389" s="4" t="s">
        <v>21</v>
      </c>
      <c r="B389" s="4" t="s">
        <v>39</v>
      </c>
      <c r="C389" s="4" t="s">
        <v>40</v>
      </c>
      <c r="D389" s="4" t="s">
        <v>44</v>
      </c>
      <c r="E389" s="4" t="s">
        <v>53</v>
      </c>
      <c r="F389" s="4" t="s">
        <v>55</v>
      </c>
      <c r="G389" s="4" t="s">
        <v>25</v>
      </c>
      <c r="H389" s="4" t="s">
        <v>35</v>
      </c>
      <c r="I389" s="5">
        <v>44652</v>
      </c>
      <c r="J389" s="6">
        <v>0</v>
      </c>
      <c r="K389" s="6">
        <v>0</v>
      </c>
      <c r="L389" s="6">
        <v>147.99100000000001</v>
      </c>
      <c r="M389" s="6">
        <v>29.598199999999999</v>
      </c>
      <c r="N389" s="6">
        <v>147.99100000000001</v>
      </c>
      <c r="O389" s="6">
        <v>29.598199999999999</v>
      </c>
      <c r="P389" s="6">
        <v>0</v>
      </c>
      <c r="Q389" s="4" t="s">
        <v>26</v>
      </c>
      <c r="R389" s="4">
        <v>0</v>
      </c>
      <c r="S389" s="6">
        <v>0</v>
      </c>
      <c r="T389" s="6">
        <v>17</v>
      </c>
      <c r="U389" s="6">
        <v>66</v>
      </c>
      <c r="V389" s="6">
        <f>IF(ISERROR(VLOOKUP($S$389,'TAR FIN'!$A$1:$O$103,15,0)),0,VLOOKUP($S$389,'TAR FIN'!$A$1:$O$103,15,0))</f>
        <v>0</v>
      </c>
      <c r="W389" s="6">
        <f>IF(ISERROR(VLOOKUP($T$389,'TAR FIN'!$A$1:$O$103,15,0)),0,VLOOKUP($T$389,'TAR FIN'!$A$1:$O$103,15,0))</f>
        <v>84.99</v>
      </c>
      <c r="X389" s="6">
        <f>IF(ISERROR(VLOOKUP($U$389,'TAR FIN'!$A$1:$O$103,15,0)),0,VLOOKUP($U$389,'TAR FIN'!$A$1:$O$103,15,0))</f>
        <v>242.77</v>
      </c>
      <c r="Y389" s="6"/>
      <c r="Z389" s="6">
        <f ca="1">('TUSD BE'!$AM$24+'TUSD BF_350'!$AM$24+'TUSD CVA'!$AM$24)*1</f>
        <v>145.72237393634796</v>
      </c>
      <c r="AA389" s="6">
        <f ca="1">('TE BE'!$AB$9+'TE BF_350'!$AB$9+'TE CVA'!$AB$9)*1</f>
        <v>222.39386487986414</v>
      </c>
      <c r="AB389" s="6">
        <f>$K$389*$V$389</f>
        <v>0</v>
      </c>
      <c r="AC389" s="6">
        <f>$M$389*$W$389</f>
        <v>2515.5510179999997</v>
      </c>
      <c r="AD389" s="6">
        <f>$O$389*$X$389</f>
        <v>7185.5550139999996</v>
      </c>
      <c r="AE389" s="6">
        <f>$K$389*$Y$389</f>
        <v>0</v>
      </c>
      <c r="AF389" s="6">
        <f ca="1">$M$389*$Z$389</f>
        <v>4313.1199682428141</v>
      </c>
      <c r="AG389" s="6">
        <f ca="1">$O$389*$AA$389</f>
        <v>6582.458091487194</v>
      </c>
    </row>
    <row r="390" spans="1:33" ht="11.25" customHeight="1" x14ac:dyDescent="0.3">
      <c r="A390" s="4" t="s">
        <v>21</v>
      </c>
      <c r="B390" s="4" t="s">
        <v>39</v>
      </c>
      <c r="C390" s="4" t="s">
        <v>40</v>
      </c>
      <c r="D390" s="4" t="s">
        <v>44</v>
      </c>
      <c r="E390" s="4" t="s">
        <v>53</v>
      </c>
      <c r="F390" s="4" t="s">
        <v>55</v>
      </c>
      <c r="G390" s="4" t="s">
        <v>25</v>
      </c>
      <c r="H390" s="4" t="s">
        <v>35</v>
      </c>
      <c r="I390" s="5">
        <v>44682</v>
      </c>
      <c r="J390" s="6">
        <v>0</v>
      </c>
      <c r="K390" s="6">
        <v>0</v>
      </c>
      <c r="L390" s="6">
        <v>181.78399999999999</v>
      </c>
      <c r="M390" s="6">
        <v>36.3568</v>
      </c>
      <c r="N390" s="6">
        <v>181.78399999999999</v>
      </c>
      <c r="O390" s="6">
        <v>36.3568</v>
      </c>
      <c r="P390" s="6">
        <v>0</v>
      </c>
      <c r="Q390" s="4" t="s">
        <v>26</v>
      </c>
      <c r="R390" s="4">
        <v>0</v>
      </c>
      <c r="S390" s="6">
        <v>0</v>
      </c>
      <c r="T390" s="6">
        <v>17</v>
      </c>
      <c r="U390" s="6">
        <v>66</v>
      </c>
      <c r="V390" s="6">
        <f>IF(ISERROR(VLOOKUP($S$390,'TAR FIN'!$A$1:$O$103,15,0)),0,VLOOKUP($S$390,'TAR FIN'!$A$1:$O$103,15,0))</f>
        <v>0</v>
      </c>
      <c r="W390" s="6">
        <f>IF(ISERROR(VLOOKUP($T$390,'TAR FIN'!$A$1:$O$103,15,0)),0,VLOOKUP($T$390,'TAR FIN'!$A$1:$O$103,15,0))</f>
        <v>84.99</v>
      </c>
      <c r="X390" s="6">
        <f>IF(ISERROR(VLOOKUP($U$390,'TAR FIN'!$A$1:$O$103,15,0)),0,VLOOKUP($U$390,'TAR FIN'!$A$1:$O$103,15,0))</f>
        <v>242.77</v>
      </c>
      <c r="Y390" s="6"/>
      <c r="Z390" s="6">
        <f ca="1">('TUSD BE'!$AM$24+'TUSD BF_350'!$AM$24+'TUSD CVA'!$AM$24)*1</f>
        <v>145.72237393634796</v>
      </c>
      <c r="AA390" s="6">
        <f ca="1">('TE BE'!$AB$9+'TE BF_350'!$AB$9+'TE CVA'!$AB$9)*1</f>
        <v>222.39386487986414</v>
      </c>
      <c r="AB390" s="6">
        <f>$K$390*$V$390</f>
        <v>0</v>
      </c>
      <c r="AC390" s="6">
        <f>$M$390*$W$390</f>
        <v>3089.9644319999998</v>
      </c>
      <c r="AD390" s="6">
        <f>$O$390*$X$390</f>
        <v>8826.3403360000011</v>
      </c>
      <c r="AE390" s="6">
        <f>$K$390*$Y$390</f>
        <v>0</v>
      </c>
      <c r="AF390" s="6">
        <f ca="1">$M$390*$Z$390</f>
        <v>5297.9992047290152</v>
      </c>
      <c r="AG390" s="6">
        <f ca="1">$O$390*$AA$390</f>
        <v>8085.5292666642445</v>
      </c>
    </row>
    <row r="391" spans="1:33" ht="11.25" customHeight="1" x14ac:dyDescent="0.3">
      <c r="A391" s="4" t="s">
        <v>21</v>
      </c>
      <c r="B391" s="4" t="s">
        <v>39</v>
      </c>
      <c r="C391" s="4" t="s">
        <v>40</v>
      </c>
      <c r="D391" s="4" t="s">
        <v>44</v>
      </c>
      <c r="E391" s="4" t="s">
        <v>53</v>
      </c>
      <c r="F391" s="4" t="s">
        <v>55</v>
      </c>
      <c r="G391" s="4" t="s">
        <v>25</v>
      </c>
      <c r="H391" s="4" t="s">
        <v>35</v>
      </c>
      <c r="I391" s="5">
        <v>44713</v>
      </c>
      <c r="J391" s="6">
        <v>0</v>
      </c>
      <c r="K391" s="6">
        <v>0</v>
      </c>
      <c r="L391" s="6">
        <v>131.59800000000001</v>
      </c>
      <c r="M391" s="6">
        <v>26.319600000000001</v>
      </c>
      <c r="N391" s="6">
        <v>131.59800000000001</v>
      </c>
      <c r="O391" s="6">
        <v>26.319600000000001</v>
      </c>
      <c r="P391" s="6">
        <v>0</v>
      </c>
      <c r="Q391" s="4" t="s">
        <v>26</v>
      </c>
      <c r="R391" s="4">
        <v>0</v>
      </c>
      <c r="S391" s="6">
        <v>0</v>
      </c>
      <c r="T391" s="6">
        <v>17</v>
      </c>
      <c r="U391" s="6">
        <v>66</v>
      </c>
      <c r="V391" s="6">
        <f>IF(ISERROR(VLOOKUP($S$391,'TAR FIN'!$A$1:$O$103,15,0)),0,VLOOKUP($S$391,'TAR FIN'!$A$1:$O$103,15,0))</f>
        <v>0</v>
      </c>
      <c r="W391" s="6">
        <f>IF(ISERROR(VLOOKUP($T$391,'TAR FIN'!$A$1:$O$103,15,0)),0,VLOOKUP($T$391,'TAR FIN'!$A$1:$O$103,15,0))</f>
        <v>84.99</v>
      </c>
      <c r="X391" s="6">
        <f>IF(ISERROR(VLOOKUP($U$391,'TAR FIN'!$A$1:$O$103,15,0)),0,VLOOKUP($U$391,'TAR FIN'!$A$1:$O$103,15,0))</f>
        <v>242.77</v>
      </c>
      <c r="Y391" s="6"/>
      <c r="Z391" s="6">
        <f ca="1">('TUSD BE'!$AM$24+'TUSD BF_350'!$AM$24+'TUSD CVA'!$AM$24)*1</f>
        <v>145.72237393634796</v>
      </c>
      <c r="AA391" s="6">
        <f ca="1">('TE BE'!$AB$9+'TE BF_350'!$AB$9+'TE CVA'!$AB$9)*1</f>
        <v>222.39386487986414</v>
      </c>
      <c r="AB391" s="6">
        <f>$K$391*$V$391</f>
        <v>0</v>
      </c>
      <c r="AC391" s="6">
        <f>$M$391*$W$391</f>
        <v>2236.9028039999998</v>
      </c>
      <c r="AD391" s="6">
        <f>$O$391*$X$391</f>
        <v>6389.609292000001</v>
      </c>
      <c r="AE391" s="6">
        <f>$K$391*$Y$391</f>
        <v>0</v>
      </c>
      <c r="AF391" s="6">
        <f ca="1">$M$391*$Z$391</f>
        <v>3835.354593055104</v>
      </c>
      <c r="AG391" s="6">
        <f ca="1">$O$391*$AA$391</f>
        <v>5853.3175660920724</v>
      </c>
    </row>
    <row r="392" spans="1:33" ht="11.25" customHeight="1" x14ac:dyDescent="0.3">
      <c r="A392" s="4" t="s">
        <v>21</v>
      </c>
      <c r="B392" s="4" t="s">
        <v>39</v>
      </c>
      <c r="C392" s="4" t="s">
        <v>40</v>
      </c>
      <c r="D392" s="4" t="s">
        <v>44</v>
      </c>
      <c r="E392" s="4" t="s">
        <v>53</v>
      </c>
      <c r="F392" s="4" t="s">
        <v>55</v>
      </c>
      <c r="G392" s="4" t="s">
        <v>25</v>
      </c>
      <c r="H392" s="4" t="s">
        <v>35</v>
      </c>
      <c r="I392" s="5">
        <v>44743</v>
      </c>
      <c r="J392" s="6">
        <v>0</v>
      </c>
      <c r="K392" s="6">
        <v>0</v>
      </c>
      <c r="L392" s="6">
        <v>146.72200000000001</v>
      </c>
      <c r="M392" s="6">
        <v>29.3444</v>
      </c>
      <c r="N392" s="6">
        <v>146.72200000000001</v>
      </c>
      <c r="O392" s="6">
        <v>29.3444</v>
      </c>
      <c r="P392" s="6">
        <v>0</v>
      </c>
      <c r="Q392" s="4" t="s">
        <v>26</v>
      </c>
      <c r="R392" s="4">
        <v>0</v>
      </c>
      <c r="S392" s="6">
        <v>0</v>
      </c>
      <c r="T392" s="6">
        <v>17</v>
      </c>
      <c r="U392" s="6">
        <v>66</v>
      </c>
      <c r="V392" s="6">
        <f>IF(ISERROR(VLOOKUP($S$392,'TAR FIN'!$A$1:$O$103,15,0)),0,VLOOKUP($S$392,'TAR FIN'!$A$1:$O$103,15,0))</f>
        <v>0</v>
      </c>
      <c r="W392" s="6">
        <f>IF(ISERROR(VLOOKUP($T$392,'TAR FIN'!$A$1:$O$103,15,0)),0,VLOOKUP($T$392,'TAR FIN'!$A$1:$O$103,15,0))</f>
        <v>84.99</v>
      </c>
      <c r="X392" s="6">
        <f>IF(ISERROR(VLOOKUP($U$392,'TAR FIN'!$A$1:$O$103,15,0)),0,VLOOKUP($U$392,'TAR FIN'!$A$1:$O$103,15,0))</f>
        <v>242.77</v>
      </c>
      <c r="Y392" s="6"/>
      <c r="Z392" s="6">
        <f ca="1">('TUSD BE'!$AM$24+'TUSD BF_350'!$AM$24+'TUSD CVA'!$AM$24)*1</f>
        <v>145.72237393634796</v>
      </c>
      <c r="AA392" s="6">
        <f ca="1">('TE BE'!$AB$9+'TE BF_350'!$AB$9+'TE CVA'!$AB$9)*1</f>
        <v>222.39386487986414</v>
      </c>
      <c r="AB392" s="6">
        <f>$K$392*$V$392</f>
        <v>0</v>
      </c>
      <c r="AC392" s="6">
        <f>$M$392*$W$392</f>
        <v>2493.980556</v>
      </c>
      <c r="AD392" s="6">
        <f>$O$392*$X$392</f>
        <v>7123.9399880000001</v>
      </c>
      <c r="AE392" s="6">
        <f>$K$392*$Y$392</f>
        <v>0</v>
      </c>
      <c r="AF392" s="6">
        <f ca="1">$M$392*$Z$392</f>
        <v>4276.1356297377688</v>
      </c>
      <c r="AG392" s="6">
        <f ca="1">$O$392*$AA$392</f>
        <v>6526.0145285806857</v>
      </c>
    </row>
    <row r="393" spans="1:33" ht="11.25" customHeight="1" x14ac:dyDescent="0.3">
      <c r="A393" s="4" t="s">
        <v>21</v>
      </c>
      <c r="B393" s="4" t="s">
        <v>39</v>
      </c>
      <c r="C393" s="4" t="s">
        <v>40</v>
      </c>
      <c r="D393" s="4" t="s">
        <v>44</v>
      </c>
      <c r="E393" s="4" t="s">
        <v>53</v>
      </c>
      <c r="F393" s="4" t="s">
        <v>55</v>
      </c>
      <c r="G393" s="4" t="s">
        <v>25</v>
      </c>
      <c r="H393" s="4" t="s">
        <v>35</v>
      </c>
      <c r="I393" s="5">
        <v>44774</v>
      </c>
      <c r="J393" s="6">
        <v>0</v>
      </c>
      <c r="K393" s="6">
        <v>0</v>
      </c>
      <c r="L393" s="6">
        <v>147.726</v>
      </c>
      <c r="M393" s="6">
        <v>29.545200000000001</v>
      </c>
      <c r="N393" s="6">
        <v>147.726</v>
      </c>
      <c r="O393" s="6">
        <v>29.545200000000001</v>
      </c>
      <c r="P393" s="6">
        <v>0</v>
      </c>
      <c r="Q393" s="4" t="s">
        <v>26</v>
      </c>
      <c r="R393" s="4">
        <v>0</v>
      </c>
      <c r="S393" s="6">
        <v>0</v>
      </c>
      <c r="T393" s="6">
        <v>17</v>
      </c>
      <c r="U393" s="6">
        <v>66</v>
      </c>
      <c r="V393" s="6">
        <f>IF(ISERROR(VLOOKUP($S$393,'TAR FIN'!$A$1:$O$103,15,0)),0,VLOOKUP($S$393,'TAR FIN'!$A$1:$O$103,15,0))</f>
        <v>0</v>
      </c>
      <c r="W393" s="6">
        <f>IF(ISERROR(VLOOKUP($T$393,'TAR FIN'!$A$1:$O$103,15,0)),0,VLOOKUP($T$393,'TAR FIN'!$A$1:$O$103,15,0))</f>
        <v>84.99</v>
      </c>
      <c r="X393" s="6">
        <f>IF(ISERROR(VLOOKUP($U$393,'TAR FIN'!$A$1:$O$103,15,0)),0,VLOOKUP($U$393,'TAR FIN'!$A$1:$O$103,15,0))</f>
        <v>242.77</v>
      </c>
      <c r="Y393" s="6"/>
      <c r="Z393" s="6">
        <f ca="1">('TUSD BE'!$AM$24+'TUSD BF_350'!$AM$24+'TUSD CVA'!$AM$24)*1</f>
        <v>145.72237393634796</v>
      </c>
      <c r="AA393" s="6">
        <f ca="1">('TE BE'!$AB$9+'TE BF_350'!$AB$9+'TE CVA'!$AB$9)*1</f>
        <v>222.39386487986414</v>
      </c>
      <c r="AB393" s="6">
        <f>$K$393*$V$393</f>
        <v>0</v>
      </c>
      <c r="AC393" s="6">
        <f>$M$393*$W$393</f>
        <v>2511.0465479999998</v>
      </c>
      <c r="AD393" s="6">
        <f>$O$393*$X$393</f>
        <v>7172.688204000001</v>
      </c>
      <c r="AE393" s="6">
        <f>$K$393*$Y$393</f>
        <v>0</v>
      </c>
      <c r="AF393" s="6">
        <f ca="1">$M$393*$Z$393</f>
        <v>4305.3966824241879</v>
      </c>
      <c r="AG393" s="6">
        <f ca="1">$O$393*$AA$393</f>
        <v>6570.6712166485622</v>
      </c>
    </row>
    <row r="394" spans="1:33" ht="11.25" customHeight="1" x14ac:dyDescent="0.3">
      <c r="A394" s="4" t="s">
        <v>21</v>
      </c>
      <c r="B394" s="4" t="s">
        <v>39</v>
      </c>
      <c r="C394" s="4" t="s">
        <v>40</v>
      </c>
      <c r="D394" s="4" t="s">
        <v>44</v>
      </c>
      <c r="E394" s="4" t="s">
        <v>53</v>
      </c>
      <c r="F394" s="4" t="s">
        <v>55</v>
      </c>
      <c r="G394" s="4" t="s">
        <v>25</v>
      </c>
      <c r="H394" s="4" t="s">
        <v>35</v>
      </c>
      <c r="I394" s="5">
        <v>44805</v>
      </c>
      <c r="J394" s="6">
        <v>0</v>
      </c>
      <c r="K394" s="6">
        <v>0</v>
      </c>
      <c r="L394" s="6">
        <v>132.041</v>
      </c>
      <c r="M394" s="6">
        <v>26.408200000000001</v>
      </c>
      <c r="N394" s="6">
        <v>132.041</v>
      </c>
      <c r="O394" s="6">
        <v>26.408200000000001</v>
      </c>
      <c r="P394" s="6">
        <v>0</v>
      </c>
      <c r="Q394" s="4" t="s">
        <v>26</v>
      </c>
      <c r="R394" s="4">
        <v>0</v>
      </c>
      <c r="S394" s="6">
        <v>0</v>
      </c>
      <c r="T394" s="6">
        <v>17</v>
      </c>
      <c r="U394" s="6">
        <v>66</v>
      </c>
      <c r="V394" s="6">
        <f>IF(ISERROR(VLOOKUP($S$394,'TAR FIN'!$A$1:$O$103,15,0)),0,VLOOKUP($S$394,'TAR FIN'!$A$1:$O$103,15,0))</f>
        <v>0</v>
      </c>
      <c r="W394" s="6">
        <f>IF(ISERROR(VLOOKUP($T$394,'TAR FIN'!$A$1:$O$103,15,0)),0,VLOOKUP($T$394,'TAR FIN'!$A$1:$O$103,15,0))</f>
        <v>84.99</v>
      </c>
      <c r="X394" s="6">
        <f>IF(ISERROR(VLOOKUP($U$394,'TAR FIN'!$A$1:$O$103,15,0)),0,VLOOKUP($U$394,'TAR FIN'!$A$1:$O$103,15,0))</f>
        <v>242.77</v>
      </c>
      <c r="Y394" s="6"/>
      <c r="Z394" s="6">
        <f ca="1">('TUSD BE'!$AM$24+'TUSD BF_350'!$AM$24+'TUSD CVA'!$AM$24)*1</f>
        <v>145.72237393634796</v>
      </c>
      <c r="AA394" s="6">
        <f ca="1">('TE BE'!$AB$9+'TE BF_350'!$AB$9+'TE CVA'!$AB$9)*1</f>
        <v>222.39386487986414</v>
      </c>
      <c r="AB394" s="6">
        <f>$K$394*$V$394</f>
        <v>0</v>
      </c>
      <c r="AC394" s="6">
        <f>$M$394*$W$394</f>
        <v>2244.432918</v>
      </c>
      <c r="AD394" s="6">
        <f>$O$394*$X$394</f>
        <v>6411.1187140000002</v>
      </c>
      <c r="AE394" s="6">
        <f>$K$394*$Y$394</f>
        <v>0</v>
      </c>
      <c r="AF394" s="6">
        <f ca="1">$M$394*$Z$394</f>
        <v>3848.2655953858643</v>
      </c>
      <c r="AG394" s="6">
        <f ca="1">$O$394*$AA$394</f>
        <v>5873.0216625204284</v>
      </c>
    </row>
    <row r="395" spans="1:33" ht="11.25" customHeight="1" x14ac:dyDescent="0.3">
      <c r="A395" s="4" t="s">
        <v>57</v>
      </c>
      <c r="B395" s="4" t="s">
        <v>39</v>
      </c>
      <c r="C395" s="4" t="s">
        <v>40</v>
      </c>
      <c r="D395" s="4" t="s">
        <v>44</v>
      </c>
      <c r="E395" s="4" t="s">
        <v>53</v>
      </c>
      <c r="F395" s="4" t="s">
        <v>55</v>
      </c>
      <c r="G395" s="4" t="s">
        <v>25</v>
      </c>
      <c r="H395" s="4" t="s">
        <v>35</v>
      </c>
      <c r="I395" s="5">
        <v>44835</v>
      </c>
      <c r="J395" s="6">
        <v>0</v>
      </c>
      <c r="K395" s="6">
        <v>0</v>
      </c>
      <c r="L395" s="6">
        <v>132.041</v>
      </c>
      <c r="M395" s="6">
        <v>26.408200000000001</v>
      </c>
      <c r="N395" s="6">
        <v>132.041</v>
      </c>
      <c r="O395" s="6">
        <v>26.408200000000001</v>
      </c>
      <c r="P395" s="6">
        <v>0</v>
      </c>
      <c r="Q395" s="4" t="s">
        <v>26</v>
      </c>
      <c r="R395" s="4">
        <v>0</v>
      </c>
      <c r="S395" s="6">
        <v>0</v>
      </c>
      <c r="T395" s="6">
        <v>17</v>
      </c>
      <c r="U395" s="6">
        <v>66</v>
      </c>
      <c r="V395" s="6">
        <f>IF(ISERROR(VLOOKUP($S$395,'TAR FIN'!$A$1:$O$103,15,0)),0,VLOOKUP($S$395,'TAR FIN'!$A$1:$O$103,15,0))</f>
        <v>0</v>
      </c>
      <c r="W395" s="6">
        <f>IF(ISERROR(VLOOKUP($T$395,'TAR FIN'!$A$1:$O$103,15,0)),0,VLOOKUP($T$395,'TAR FIN'!$A$1:$O$103,15,0))</f>
        <v>84.99</v>
      </c>
      <c r="X395" s="6">
        <f>IF(ISERROR(VLOOKUP($U$395,'TAR FIN'!$A$1:$O$103,15,0)),0,VLOOKUP($U$395,'TAR FIN'!$A$1:$O$103,15,0))</f>
        <v>242.77</v>
      </c>
      <c r="Y395" s="6"/>
      <c r="Z395" s="6">
        <f ca="1">('TUSD BE'!$AM$24+'TUSD BF_350'!$AM$24+'TUSD CVA'!$AM$24)*1</f>
        <v>145.72237393634796</v>
      </c>
      <c r="AA395" s="6">
        <f ca="1">('TE BE'!$AB$9+'TE BF_350'!$AB$9+'TE CVA'!$AB$9)*1</f>
        <v>222.39386487986414</v>
      </c>
      <c r="AB395" s="6">
        <f>$K$395*$V$395</f>
        <v>0</v>
      </c>
      <c r="AC395" s="6">
        <f>$M$395*$W$395</f>
        <v>2244.432918</v>
      </c>
      <c r="AD395" s="6">
        <f>$O$395*$X$395</f>
        <v>6411.1187140000002</v>
      </c>
      <c r="AE395" s="6">
        <f>$K$395*$Y$395</f>
        <v>0</v>
      </c>
      <c r="AF395" s="6">
        <f ca="1">$M$395*$Z$395</f>
        <v>3848.2655953858643</v>
      </c>
      <c r="AG395" s="6">
        <f ca="1">$O$395*$AA$395</f>
        <v>5873.0216625204284</v>
      </c>
    </row>
    <row r="396" spans="1:33" ht="11.25" customHeight="1" x14ac:dyDescent="0.3">
      <c r="A396" s="4" t="s">
        <v>21</v>
      </c>
      <c r="B396" s="4" t="s">
        <v>39</v>
      </c>
      <c r="C396" s="4" t="s">
        <v>40</v>
      </c>
      <c r="D396" s="4" t="s">
        <v>44</v>
      </c>
      <c r="E396" s="4" t="s">
        <v>53</v>
      </c>
      <c r="F396" s="4" t="s">
        <v>25</v>
      </c>
      <c r="G396" s="4" t="s">
        <v>25</v>
      </c>
      <c r="H396" s="4" t="s">
        <v>35</v>
      </c>
      <c r="I396" s="5">
        <v>44501</v>
      </c>
      <c r="J396" s="6">
        <v>0</v>
      </c>
      <c r="K396" s="52">
        <v>0</v>
      </c>
      <c r="L396" s="6">
        <v>4.008</v>
      </c>
      <c r="M396" s="52">
        <v>4.008</v>
      </c>
      <c r="N396" s="6">
        <v>4.008</v>
      </c>
      <c r="O396" s="52">
        <v>4.008</v>
      </c>
      <c r="P396" s="6">
        <v>0</v>
      </c>
      <c r="Q396" s="4" t="s">
        <v>26</v>
      </c>
      <c r="R396" s="4">
        <v>0</v>
      </c>
      <c r="S396" s="6">
        <v>0</v>
      </c>
      <c r="T396" s="6">
        <v>17</v>
      </c>
      <c r="U396" s="6">
        <v>66</v>
      </c>
      <c r="V396" s="52">
        <f>IF(ISERROR(VLOOKUP($S$396,'TAR FIN'!$A$1:$O$103,15,0)),0,VLOOKUP($S$396,'TAR FIN'!$A$1:$O$103,15,0))</f>
        <v>0</v>
      </c>
      <c r="W396" s="52">
        <f>IF(ISERROR(VLOOKUP($T$396,'TAR FIN'!$A$1:$O$103,15,0)),0,VLOOKUP($T$396,'TAR FIN'!$A$1:$O$103,15,0))*(1-0.04)</f>
        <v>81.590399999999988</v>
      </c>
      <c r="X396" s="52">
        <f>IF(ISERROR(VLOOKUP($U$396,'TAR FIN'!$A$1:$O$103,15,0)),0,VLOOKUP($U$396,'TAR FIN'!$A$1:$O$103,15,0))*(1-0.04)</f>
        <v>233.0592</v>
      </c>
      <c r="Y396" s="52"/>
      <c r="Z396" s="52">
        <f ca="1">('TUSD BE'!$AM$24+'TUSD BF_350'!$AM$24+'TUSD CVA'!$AM$24)*1*(1-0.02)</f>
        <v>142.80792645762099</v>
      </c>
      <c r="AA396" s="52">
        <f ca="1">('TE BE'!$AB$9+'TE BF_350'!$AB$9+'TE CVA'!$AB$9)*1*(1-0.02)</f>
        <v>217.94598758226687</v>
      </c>
      <c r="AB396" s="6">
        <f>$K$396*$V$396</f>
        <v>0</v>
      </c>
      <c r="AC396" s="6">
        <f>$M$396*$W$396</f>
        <v>327.01432319999998</v>
      </c>
      <c r="AD396" s="6">
        <f>$O$396*$X$396</f>
        <v>934.10127360000001</v>
      </c>
      <c r="AE396" s="6">
        <f>$K$396*$Y$396</f>
        <v>0</v>
      </c>
      <c r="AF396" s="6">
        <f ca="1">$M$396*$Z$396</f>
        <v>572.37416924214494</v>
      </c>
      <c r="AG396" s="6">
        <f ca="1">$O$396*$AA$396</f>
        <v>873.52751822972562</v>
      </c>
    </row>
    <row r="397" spans="1:33" ht="11.25" customHeight="1" x14ac:dyDescent="0.3">
      <c r="A397" s="4" t="s">
        <v>21</v>
      </c>
      <c r="B397" s="4" t="s">
        <v>39</v>
      </c>
      <c r="C397" s="4" t="s">
        <v>40</v>
      </c>
      <c r="D397" s="4" t="s">
        <v>44</v>
      </c>
      <c r="E397" s="4" t="s">
        <v>53</v>
      </c>
      <c r="F397" s="4" t="s">
        <v>25</v>
      </c>
      <c r="G397" s="4" t="s">
        <v>25</v>
      </c>
      <c r="H397" s="4" t="s">
        <v>35</v>
      </c>
      <c r="I397" s="5">
        <v>44531</v>
      </c>
      <c r="J397" s="6">
        <v>0</v>
      </c>
      <c r="K397" s="52">
        <v>0</v>
      </c>
      <c r="L397" s="6">
        <v>3.5409999999999999</v>
      </c>
      <c r="M397" s="52">
        <v>3.5409999999999999</v>
      </c>
      <c r="N397" s="6">
        <v>3.5409999999999999</v>
      </c>
      <c r="O397" s="52">
        <v>3.5409999999999999</v>
      </c>
      <c r="P397" s="6">
        <v>0</v>
      </c>
      <c r="Q397" s="4" t="s">
        <v>26</v>
      </c>
      <c r="R397" s="4">
        <v>0</v>
      </c>
      <c r="S397" s="6">
        <v>0</v>
      </c>
      <c r="T397" s="6">
        <v>17</v>
      </c>
      <c r="U397" s="6">
        <v>66</v>
      </c>
      <c r="V397" s="52">
        <f>IF(ISERROR(VLOOKUP($S$397,'TAR FIN'!$A$1:$O$103,15,0)),0,VLOOKUP($S$397,'TAR FIN'!$A$1:$O$103,15,0))</f>
        <v>0</v>
      </c>
      <c r="W397" s="52">
        <f>IF(ISERROR(VLOOKUP($T$397,'TAR FIN'!$A$1:$O$103,15,0)),0,VLOOKUP($T$397,'TAR FIN'!$A$1:$O$103,15,0))*(1-0.04)</f>
        <v>81.590399999999988</v>
      </c>
      <c r="X397" s="52">
        <f>IF(ISERROR(VLOOKUP($U$397,'TAR FIN'!$A$1:$O$103,15,0)),0,VLOOKUP($U$397,'TAR FIN'!$A$1:$O$103,15,0))*(1-0.04)</f>
        <v>233.0592</v>
      </c>
      <c r="Y397" s="52"/>
      <c r="Z397" s="52">
        <f ca="1">('TUSD BE'!$AM$24+'TUSD BF_350'!$AM$24+'TUSD CVA'!$AM$24)*1*(1-0.02)</f>
        <v>142.80792645762099</v>
      </c>
      <c r="AA397" s="52">
        <f ca="1">('TE BE'!$AB$9+'TE BF_350'!$AB$9+'TE CVA'!$AB$9)*1*(1-0.02)</f>
        <v>217.94598758226687</v>
      </c>
      <c r="AB397" s="6">
        <f>$K$397*$V$397</f>
        <v>0</v>
      </c>
      <c r="AC397" s="6">
        <f>$M$397*$W$397</f>
        <v>288.91160639999993</v>
      </c>
      <c r="AD397" s="6">
        <f>$O$397*$X$397</f>
        <v>825.2626272</v>
      </c>
      <c r="AE397" s="6">
        <f>$K$397*$Y$397</f>
        <v>0</v>
      </c>
      <c r="AF397" s="6">
        <f ca="1">$M$397*$Z$397</f>
        <v>505.68286758643592</v>
      </c>
      <c r="AG397" s="6">
        <f ca="1">$O$397*$AA$397</f>
        <v>771.74674202880692</v>
      </c>
    </row>
    <row r="398" spans="1:33" ht="11.25" customHeight="1" x14ac:dyDescent="0.3">
      <c r="A398" s="4" t="s">
        <v>21</v>
      </c>
      <c r="B398" s="4" t="s">
        <v>39</v>
      </c>
      <c r="C398" s="4" t="s">
        <v>40</v>
      </c>
      <c r="D398" s="4" t="s">
        <v>44</v>
      </c>
      <c r="E398" s="4" t="s">
        <v>53</v>
      </c>
      <c r="F398" s="4" t="s">
        <v>25</v>
      </c>
      <c r="G398" s="4" t="s">
        <v>25</v>
      </c>
      <c r="H398" s="4" t="s">
        <v>35</v>
      </c>
      <c r="I398" s="5">
        <v>44562</v>
      </c>
      <c r="J398" s="6">
        <v>0</v>
      </c>
      <c r="K398" s="52">
        <v>0</v>
      </c>
      <c r="L398" s="6">
        <v>5.49</v>
      </c>
      <c r="M398" s="52">
        <v>5.49</v>
      </c>
      <c r="N398" s="6">
        <v>5.49</v>
      </c>
      <c r="O398" s="52">
        <v>5.49</v>
      </c>
      <c r="P398" s="6">
        <v>0</v>
      </c>
      <c r="Q398" s="4" t="s">
        <v>26</v>
      </c>
      <c r="R398" s="4">
        <v>0</v>
      </c>
      <c r="S398" s="6">
        <v>0</v>
      </c>
      <c r="T398" s="6">
        <v>17</v>
      </c>
      <c r="U398" s="6">
        <v>66</v>
      </c>
      <c r="V398" s="52">
        <f>IF(ISERROR(VLOOKUP($S$398,'TAR FIN'!$A$1:$O$103,15,0)),0,VLOOKUP($S$398,'TAR FIN'!$A$1:$O$103,15,0))</f>
        <v>0</v>
      </c>
      <c r="W398" s="52">
        <f>IF(ISERROR(VLOOKUP($T$398,'TAR FIN'!$A$1:$O$103,15,0)),0,VLOOKUP($T$398,'TAR FIN'!$A$1:$O$103,15,0))*(1-0.04)</f>
        <v>81.590399999999988</v>
      </c>
      <c r="X398" s="52">
        <f>IF(ISERROR(VLOOKUP($U$398,'TAR FIN'!$A$1:$O$103,15,0)),0,VLOOKUP($U$398,'TAR FIN'!$A$1:$O$103,15,0))*(1-0.04)</f>
        <v>233.0592</v>
      </c>
      <c r="Y398" s="52"/>
      <c r="Z398" s="52">
        <f ca="1">('TUSD BE'!$AM$24+'TUSD BF_350'!$AM$24+'TUSD CVA'!$AM$24)*1*(1-0.02)</f>
        <v>142.80792645762099</v>
      </c>
      <c r="AA398" s="52">
        <f ca="1">('TE BE'!$AB$9+'TE BF_350'!$AB$9+'TE CVA'!$AB$9)*1*(1-0.02)</f>
        <v>217.94598758226687</v>
      </c>
      <c r="AB398" s="6">
        <f>$K$398*$V$398</f>
        <v>0</v>
      </c>
      <c r="AC398" s="6">
        <f>$M$398*$W$398</f>
        <v>447.93129599999997</v>
      </c>
      <c r="AD398" s="6">
        <f>$O$398*$X$398</f>
        <v>1279.4950080000001</v>
      </c>
      <c r="AE398" s="6">
        <f>$K$398*$Y$398</f>
        <v>0</v>
      </c>
      <c r="AF398" s="6">
        <f ca="1">$M$398*$Z$398</f>
        <v>784.01551625233924</v>
      </c>
      <c r="AG398" s="6">
        <f ca="1">$O$398*$AA$398</f>
        <v>1196.5234718266452</v>
      </c>
    </row>
    <row r="399" spans="1:33" ht="11.25" customHeight="1" x14ac:dyDescent="0.3">
      <c r="A399" s="4" t="s">
        <v>21</v>
      </c>
      <c r="B399" s="4" t="s">
        <v>39</v>
      </c>
      <c r="C399" s="4" t="s">
        <v>40</v>
      </c>
      <c r="D399" s="4" t="s">
        <v>44</v>
      </c>
      <c r="E399" s="4" t="s">
        <v>53</v>
      </c>
      <c r="F399" s="4" t="s">
        <v>25</v>
      </c>
      <c r="G399" s="4" t="s">
        <v>25</v>
      </c>
      <c r="H399" s="4" t="s">
        <v>35</v>
      </c>
      <c r="I399" s="5">
        <v>44593</v>
      </c>
      <c r="J399" s="6">
        <v>0</v>
      </c>
      <c r="K399" s="52">
        <v>0</v>
      </c>
      <c r="L399" s="6">
        <v>2.6269999999999998</v>
      </c>
      <c r="M399" s="52">
        <v>2.6269999999999998</v>
      </c>
      <c r="N399" s="6">
        <v>2.6269999999999998</v>
      </c>
      <c r="O399" s="52">
        <v>2.6269999999999998</v>
      </c>
      <c r="P399" s="6">
        <v>0</v>
      </c>
      <c r="Q399" s="4" t="s">
        <v>26</v>
      </c>
      <c r="R399" s="4">
        <v>0</v>
      </c>
      <c r="S399" s="6">
        <v>0</v>
      </c>
      <c r="T399" s="6">
        <v>17</v>
      </c>
      <c r="U399" s="6">
        <v>66</v>
      </c>
      <c r="V399" s="52">
        <f>IF(ISERROR(VLOOKUP($S$399,'TAR FIN'!$A$1:$O$103,15,0)),0,VLOOKUP($S$399,'TAR FIN'!$A$1:$O$103,15,0))</f>
        <v>0</v>
      </c>
      <c r="W399" s="52">
        <f>IF(ISERROR(VLOOKUP($T$399,'TAR FIN'!$A$1:$O$103,15,0)),0,VLOOKUP($T$399,'TAR FIN'!$A$1:$O$103,15,0))*(1-0.04)</f>
        <v>81.590399999999988</v>
      </c>
      <c r="X399" s="52">
        <f>IF(ISERROR(VLOOKUP($U$399,'TAR FIN'!$A$1:$O$103,15,0)),0,VLOOKUP($U$399,'TAR FIN'!$A$1:$O$103,15,0))*(1-0.04)</f>
        <v>233.0592</v>
      </c>
      <c r="Y399" s="52"/>
      <c r="Z399" s="52">
        <f ca="1">('TUSD BE'!$AM$24+'TUSD BF_350'!$AM$24+'TUSD CVA'!$AM$24)*1*(1-0.02)</f>
        <v>142.80792645762099</v>
      </c>
      <c r="AA399" s="52">
        <f ca="1">('TE BE'!$AB$9+'TE BF_350'!$AB$9+'TE CVA'!$AB$9)*1*(1-0.02)</f>
        <v>217.94598758226687</v>
      </c>
      <c r="AB399" s="6">
        <f>$K$399*$V$399</f>
        <v>0</v>
      </c>
      <c r="AC399" s="6">
        <f>$M$399*$W$399</f>
        <v>214.33798079999994</v>
      </c>
      <c r="AD399" s="6">
        <f>$O$399*$X$399</f>
        <v>612.24651840000001</v>
      </c>
      <c r="AE399" s="6">
        <f>$K$399*$Y$399</f>
        <v>0</v>
      </c>
      <c r="AF399" s="6">
        <f ca="1">$M$399*$Z$399</f>
        <v>375.15642280417035</v>
      </c>
      <c r="AG399" s="6">
        <f ca="1">$O$399*$AA$399</f>
        <v>572.54410937861496</v>
      </c>
    </row>
    <row r="400" spans="1:33" ht="11.25" customHeight="1" x14ac:dyDescent="0.3">
      <c r="A400" s="4" t="s">
        <v>21</v>
      </c>
      <c r="B400" s="4" t="s">
        <v>39</v>
      </c>
      <c r="C400" s="4" t="s">
        <v>40</v>
      </c>
      <c r="D400" s="4" t="s">
        <v>44</v>
      </c>
      <c r="E400" s="4" t="s">
        <v>53</v>
      </c>
      <c r="F400" s="4" t="s">
        <v>25</v>
      </c>
      <c r="G400" s="4" t="s">
        <v>25</v>
      </c>
      <c r="H400" s="4" t="s">
        <v>35</v>
      </c>
      <c r="I400" s="5">
        <v>44621</v>
      </c>
      <c r="J400" s="6">
        <v>0</v>
      </c>
      <c r="K400" s="52">
        <v>0</v>
      </c>
      <c r="L400" s="6">
        <v>8.43</v>
      </c>
      <c r="M400" s="52">
        <v>8.43</v>
      </c>
      <c r="N400" s="6">
        <v>8.43</v>
      </c>
      <c r="O400" s="52">
        <v>8.43</v>
      </c>
      <c r="P400" s="6">
        <v>0</v>
      </c>
      <c r="Q400" s="4" t="s">
        <v>26</v>
      </c>
      <c r="R400" s="4">
        <v>0</v>
      </c>
      <c r="S400" s="6">
        <v>0</v>
      </c>
      <c r="T400" s="6">
        <v>17</v>
      </c>
      <c r="U400" s="6">
        <v>66</v>
      </c>
      <c r="V400" s="52">
        <f>IF(ISERROR(VLOOKUP($S$400,'TAR FIN'!$A$1:$O$103,15,0)),0,VLOOKUP($S$400,'TAR FIN'!$A$1:$O$103,15,0))</f>
        <v>0</v>
      </c>
      <c r="W400" s="52">
        <f>IF(ISERROR(VLOOKUP($T$400,'TAR FIN'!$A$1:$O$103,15,0)),0,VLOOKUP($T$400,'TAR FIN'!$A$1:$O$103,15,0))*(1-0.04)</f>
        <v>81.590399999999988</v>
      </c>
      <c r="X400" s="52">
        <f>IF(ISERROR(VLOOKUP($U$400,'TAR FIN'!$A$1:$O$103,15,0)),0,VLOOKUP($U$400,'TAR FIN'!$A$1:$O$103,15,0))*(1-0.04)</f>
        <v>233.0592</v>
      </c>
      <c r="Y400" s="52"/>
      <c r="Z400" s="52">
        <f ca="1">('TUSD BE'!$AM$24+'TUSD BF_350'!$AM$24+'TUSD CVA'!$AM$24)*1*(1-0.02)</f>
        <v>142.80792645762099</v>
      </c>
      <c r="AA400" s="52">
        <f ca="1">('TE BE'!$AB$9+'TE BF_350'!$AB$9+'TE CVA'!$AB$9)*1*(1-0.02)</f>
        <v>217.94598758226687</v>
      </c>
      <c r="AB400" s="6">
        <f>$K$400*$V$400</f>
        <v>0</v>
      </c>
      <c r="AC400" s="6">
        <f>$M$400*$W$400</f>
        <v>687.80707199999983</v>
      </c>
      <c r="AD400" s="6">
        <f>$O$400*$X$400</f>
        <v>1964.6890559999999</v>
      </c>
      <c r="AE400" s="6">
        <f>$K$400*$Y$400</f>
        <v>0</v>
      </c>
      <c r="AF400" s="6">
        <f ca="1">$M$400*$Z$400</f>
        <v>1203.870820037745</v>
      </c>
      <c r="AG400" s="6">
        <f ca="1">$O$400*$AA$400</f>
        <v>1837.2846753185097</v>
      </c>
    </row>
    <row r="401" spans="1:33" ht="11.25" customHeight="1" x14ac:dyDescent="0.3">
      <c r="A401" s="4" t="s">
        <v>21</v>
      </c>
      <c r="B401" s="4" t="s">
        <v>39</v>
      </c>
      <c r="C401" s="4" t="s">
        <v>40</v>
      </c>
      <c r="D401" s="4" t="s">
        <v>44</v>
      </c>
      <c r="E401" s="4" t="s">
        <v>53</v>
      </c>
      <c r="F401" s="4" t="s">
        <v>25</v>
      </c>
      <c r="G401" s="4" t="s">
        <v>25</v>
      </c>
      <c r="H401" s="4" t="s">
        <v>35</v>
      </c>
      <c r="I401" s="5">
        <v>44652</v>
      </c>
      <c r="J401" s="6">
        <v>0</v>
      </c>
      <c r="K401" s="52">
        <v>0</v>
      </c>
      <c r="L401" s="6">
        <v>96.036000000000001</v>
      </c>
      <c r="M401" s="52">
        <v>96.036000000000001</v>
      </c>
      <c r="N401" s="6">
        <v>96.036000000000001</v>
      </c>
      <c r="O401" s="52">
        <v>96.036000000000001</v>
      </c>
      <c r="P401" s="6">
        <v>0</v>
      </c>
      <c r="Q401" s="4" t="s">
        <v>26</v>
      </c>
      <c r="R401" s="4">
        <v>0</v>
      </c>
      <c r="S401" s="6">
        <v>0</v>
      </c>
      <c r="T401" s="6">
        <v>17</v>
      </c>
      <c r="U401" s="6">
        <v>66</v>
      </c>
      <c r="V401" s="52">
        <f>IF(ISERROR(VLOOKUP($S$401,'TAR FIN'!$A$1:$O$103,15,0)),0,VLOOKUP($S$401,'TAR FIN'!$A$1:$O$103,15,0))</f>
        <v>0</v>
      </c>
      <c r="W401" s="52">
        <f>IF(ISERROR(VLOOKUP($T$401,'TAR FIN'!$A$1:$O$103,15,0)),0,VLOOKUP($T$401,'TAR FIN'!$A$1:$O$103,15,0))*(1-0.04)</f>
        <v>81.590399999999988</v>
      </c>
      <c r="X401" s="52">
        <f>IF(ISERROR(VLOOKUP($U$401,'TAR FIN'!$A$1:$O$103,15,0)),0,VLOOKUP($U$401,'TAR FIN'!$A$1:$O$103,15,0))*(1-0.04)</f>
        <v>233.0592</v>
      </c>
      <c r="Y401" s="52"/>
      <c r="Z401" s="52">
        <f ca="1">('TUSD BE'!$AM$24+'TUSD BF_350'!$AM$24+'TUSD CVA'!$AM$24)*1*(1-0.02)</f>
        <v>142.80792645762099</v>
      </c>
      <c r="AA401" s="52">
        <f ca="1">('TE BE'!$AB$9+'TE BF_350'!$AB$9+'TE CVA'!$AB$9)*1*(1-0.02)</f>
        <v>217.94598758226687</v>
      </c>
      <c r="AB401" s="6">
        <f>$K$401*$V$401</f>
        <v>0</v>
      </c>
      <c r="AC401" s="6">
        <f>$M$401*$W$401</f>
        <v>7835.6156543999987</v>
      </c>
      <c r="AD401" s="6">
        <f>$O$401*$X$401</f>
        <v>22382.073331200001</v>
      </c>
      <c r="AE401" s="6">
        <f>$K$401*$Y$401</f>
        <v>0</v>
      </c>
      <c r="AF401" s="6">
        <f ca="1">$M$401*$Z$401</f>
        <v>13714.70202528409</v>
      </c>
      <c r="AG401" s="6">
        <f ca="1">$O$401*$AA$401</f>
        <v>20930.660863450583</v>
      </c>
    </row>
    <row r="402" spans="1:33" ht="11.25" customHeight="1" x14ac:dyDescent="0.3">
      <c r="A402" s="4" t="s">
        <v>21</v>
      </c>
      <c r="B402" s="4" t="s">
        <v>39</v>
      </c>
      <c r="C402" s="4" t="s">
        <v>40</v>
      </c>
      <c r="D402" s="4" t="s">
        <v>44</v>
      </c>
      <c r="E402" s="4" t="s">
        <v>53</v>
      </c>
      <c r="F402" s="4" t="s">
        <v>25</v>
      </c>
      <c r="G402" s="4" t="s">
        <v>25</v>
      </c>
      <c r="H402" s="4" t="s">
        <v>35</v>
      </c>
      <c r="I402" s="5">
        <v>44682</v>
      </c>
      <c r="J402" s="6">
        <v>0</v>
      </c>
      <c r="K402" s="52">
        <v>0</v>
      </c>
      <c r="L402" s="6">
        <v>114.723</v>
      </c>
      <c r="M402" s="52">
        <v>114.723</v>
      </c>
      <c r="N402" s="6">
        <v>114.723</v>
      </c>
      <c r="O402" s="52">
        <v>114.723</v>
      </c>
      <c r="P402" s="6">
        <v>0</v>
      </c>
      <c r="Q402" s="4" t="s">
        <v>26</v>
      </c>
      <c r="R402" s="4">
        <v>0</v>
      </c>
      <c r="S402" s="6">
        <v>0</v>
      </c>
      <c r="T402" s="6">
        <v>17</v>
      </c>
      <c r="U402" s="6">
        <v>66</v>
      </c>
      <c r="V402" s="52">
        <f>IF(ISERROR(VLOOKUP($S$402,'TAR FIN'!$A$1:$O$103,15,0)),0,VLOOKUP($S$402,'TAR FIN'!$A$1:$O$103,15,0))</f>
        <v>0</v>
      </c>
      <c r="W402" s="52">
        <f>IF(ISERROR(VLOOKUP($T$402,'TAR FIN'!$A$1:$O$103,15,0)),0,VLOOKUP($T$402,'TAR FIN'!$A$1:$O$103,15,0))*(1-0.04)</f>
        <v>81.590399999999988</v>
      </c>
      <c r="X402" s="52">
        <f>IF(ISERROR(VLOOKUP($U$402,'TAR FIN'!$A$1:$O$103,15,0)),0,VLOOKUP($U$402,'TAR FIN'!$A$1:$O$103,15,0))*(1-0.04)</f>
        <v>233.0592</v>
      </c>
      <c r="Y402" s="52"/>
      <c r="Z402" s="52">
        <f ca="1">('TUSD BE'!$AM$24+'TUSD BF_350'!$AM$24+'TUSD CVA'!$AM$24)*1*(1-0.02)</f>
        <v>142.80792645762099</v>
      </c>
      <c r="AA402" s="52">
        <f ca="1">('TE BE'!$AB$9+'TE BF_350'!$AB$9+'TE CVA'!$AB$9)*1*(1-0.02)</f>
        <v>217.94598758226687</v>
      </c>
      <c r="AB402" s="6">
        <f>$K$402*$V$402</f>
        <v>0</v>
      </c>
      <c r="AC402" s="6">
        <f>$M$402*$W$402</f>
        <v>9360.2954591999987</v>
      </c>
      <c r="AD402" s="6">
        <f>$O$402*$X$402</f>
        <v>26737.250601600001</v>
      </c>
      <c r="AE402" s="6">
        <f>$K$402*$Y$402</f>
        <v>0</v>
      </c>
      <c r="AF402" s="6">
        <f ca="1">$M$402*$Z$402</f>
        <v>16383.353746997653</v>
      </c>
      <c r="AG402" s="6">
        <f ca="1">$O$402*$AA$402</f>
        <v>25003.417533400403</v>
      </c>
    </row>
    <row r="403" spans="1:33" ht="11.25" customHeight="1" x14ac:dyDescent="0.3">
      <c r="A403" s="4" t="s">
        <v>21</v>
      </c>
      <c r="B403" s="4" t="s">
        <v>39</v>
      </c>
      <c r="C403" s="4" t="s">
        <v>40</v>
      </c>
      <c r="D403" s="4" t="s">
        <v>44</v>
      </c>
      <c r="E403" s="4" t="s">
        <v>53</v>
      </c>
      <c r="F403" s="4" t="s">
        <v>25</v>
      </c>
      <c r="G403" s="4" t="s">
        <v>25</v>
      </c>
      <c r="H403" s="4" t="s">
        <v>35</v>
      </c>
      <c r="I403" s="5">
        <v>44713</v>
      </c>
      <c r="J403" s="6">
        <v>0</v>
      </c>
      <c r="K403" s="52">
        <v>0</v>
      </c>
      <c r="L403" s="6">
        <v>99.3</v>
      </c>
      <c r="M403" s="52">
        <v>99.3</v>
      </c>
      <c r="N403" s="6">
        <v>99.3</v>
      </c>
      <c r="O403" s="52">
        <v>99.3</v>
      </c>
      <c r="P403" s="6">
        <v>0</v>
      </c>
      <c r="Q403" s="4" t="s">
        <v>26</v>
      </c>
      <c r="R403" s="4">
        <v>0</v>
      </c>
      <c r="S403" s="6">
        <v>0</v>
      </c>
      <c r="T403" s="6">
        <v>17</v>
      </c>
      <c r="U403" s="6">
        <v>66</v>
      </c>
      <c r="V403" s="52">
        <f>IF(ISERROR(VLOOKUP($S$403,'TAR FIN'!$A$1:$O$103,15,0)),0,VLOOKUP($S$403,'TAR FIN'!$A$1:$O$103,15,0))</f>
        <v>0</v>
      </c>
      <c r="W403" s="52">
        <f>IF(ISERROR(VLOOKUP($T$403,'TAR FIN'!$A$1:$O$103,15,0)),0,VLOOKUP($T$403,'TAR FIN'!$A$1:$O$103,15,0))*(1-0.04)</f>
        <v>81.590399999999988</v>
      </c>
      <c r="X403" s="52">
        <f>IF(ISERROR(VLOOKUP($U$403,'TAR FIN'!$A$1:$O$103,15,0)),0,VLOOKUP($U$403,'TAR FIN'!$A$1:$O$103,15,0))*(1-0.04)</f>
        <v>233.0592</v>
      </c>
      <c r="Y403" s="52"/>
      <c r="Z403" s="52">
        <f ca="1">('TUSD BE'!$AM$24+'TUSD BF_350'!$AM$24+'TUSD CVA'!$AM$24)*1*(1-0.02)</f>
        <v>142.80792645762099</v>
      </c>
      <c r="AA403" s="52">
        <f ca="1">('TE BE'!$AB$9+'TE BF_350'!$AB$9+'TE CVA'!$AB$9)*1*(1-0.02)</f>
        <v>217.94598758226687</v>
      </c>
      <c r="AB403" s="6">
        <f>$K$403*$V$403</f>
        <v>0</v>
      </c>
      <c r="AC403" s="6">
        <f>$M$403*$W$403</f>
        <v>8101.9267199999986</v>
      </c>
      <c r="AD403" s="6">
        <f>$O$403*$X$403</f>
        <v>23142.778559999999</v>
      </c>
      <c r="AE403" s="6">
        <f>$K$403*$Y$403</f>
        <v>0</v>
      </c>
      <c r="AF403" s="6">
        <f ca="1">$M$403*$Z$403</f>
        <v>14180.827097241765</v>
      </c>
      <c r="AG403" s="6">
        <f ca="1">$O$403*$AA$403</f>
        <v>21642.036566919098</v>
      </c>
    </row>
    <row r="404" spans="1:33" ht="11.25" customHeight="1" x14ac:dyDescent="0.3">
      <c r="A404" s="4" t="s">
        <v>21</v>
      </c>
      <c r="B404" s="4" t="s">
        <v>39</v>
      </c>
      <c r="C404" s="4" t="s">
        <v>40</v>
      </c>
      <c r="D404" s="4" t="s">
        <v>44</v>
      </c>
      <c r="E404" s="4" t="s">
        <v>53</v>
      </c>
      <c r="F404" s="4" t="s">
        <v>25</v>
      </c>
      <c r="G404" s="4" t="s">
        <v>25</v>
      </c>
      <c r="H404" s="4" t="s">
        <v>35</v>
      </c>
      <c r="I404" s="5">
        <v>44743</v>
      </c>
      <c r="J404" s="6">
        <v>0</v>
      </c>
      <c r="K404" s="52">
        <v>0</v>
      </c>
      <c r="L404" s="6">
        <v>126.755</v>
      </c>
      <c r="M404" s="52">
        <v>126.755</v>
      </c>
      <c r="N404" s="6">
        <v>126.755</v>
      </c>
      <c r="O404" s="52">
        <v>126.755</v>
      </c>
      <c r="P404" s="6">
        <v>0</v>
      </c>
      <c r="Q404" s="4" t="s">
        <v>26</v>
      </c>
      <c r="R404" s="4">
        <v>0</v>
      </c>
      <c r="S404" s="6">
        <v>0</v>
      </c>
      <c r="T404" s="6">
        <v>17</v>
      </c>
      <c r="U404" s="6">
        <v>66</v>
      </c>
      <c r="V404" s="52">
        <f>IF(ISERROR(VLOOKUP($S$404,'TAR FIN'!$A$1:$O$103,15,0)),0,VLOOKUP($S$404,'TAR FIN'!$A$1:$O$103,15,0))</f>
        <v>0</v>
      </c>
      <c r="W404" s="52">
        <f>IF(ISERROR(VLOOKUP($T$404,'TAR FIN'!$A$1:$O$103,15,0)),0,VLOOKUP($T$404,'TAR FIN'!$A$1:$O$103,15,0))*(1-0.04)</f>
        <v>81.590399999999988</v>
      </c>
      <c r="X404" s="52">
        <f>IF(ISERROR(VLOOKUP($U$404,'TAR FIN'!$A$1:$O$103,15,0)),0,VLOOKUP($U$404,'TAR FIN'!$A$1:$O$103,15,0))*(1-0.04)</f>
        <v>233.0592</v>
      </c>
      <c r="Y404" s="52"/>
      <c r="Z404" s="52">
        <f ca="1">('TUSD BE'!$AM$24+'TUSD BF_350'!$AM$24+'TUSD CVA'!$AM$24)*1*(1-0.02)</f>
        <v>142.80792645762099</v>
      </c>
      <c r="AA404" s="52">
        <f ca="1">('TE BE'!$AB$9+'TE BF_350'!$AB$9+'TE CVA'!$AB$9)*1*(1-0.02)</f>
        <v>217.94598758226687</v>
      </c>
      <c r="AB404" s="6">
        <f>$K$404*$V$404</f>
        <v>0</v>
      </c>
      <c r="AC404" s="6">
        <f>$M$404*$W$404</f>
        <v>10341.991151999999</v>
      </c>
      <c r="AD404" s="6">
        <f>$O$404*$X$404</f>
        <v>29541.418895999999</v>
      </c>
      <c r="AE404" s="6">
        <f>$K$404*$Y$404</f>
        <v>0</v>
      </c>
      <c r="AF404" s="6">
        <f ca="1">$M$404*$Z$404</f>
        <v>18101.618718135749</v>
      </c>
      <c r="AG404" s="6">
        <f ca="1">$O$404*$AA$404</f>
        <v>27625.743655990234</v>
      </c>
    </row>
    <row r="405" spans="1:33" ht="11.25" customHeight="1" x14ac:dyDescent="0.3">
      <c r="A405" s="4" t="s">
        <v>21</v>
      </c>
      <c r="B405" s="4" t="s">
        <v>39</v>
      </c>
      <c r="C405" s="4" t="s">
        <v>40</v>
      </c>
      <c r="D405" s="4" t="s">
        <v>44</v>
      </c>
      <c r="E405" s="4" t="s">
        <v>53</v>
      </c>
      <c r="F405" s="4" t="s">
        <v>25</v>
      </c>
      <c r="G405" s="4" t="s">
        <v>25</v>
      </c>
      <c r="H405" s="4" t="s">
        <v>35</v>
      </c>
      <c r="I405" s="5">
        <v>44774</v>
      </c>
      <c r="J405" s="6">
        <v>0</v>
      </c>
      <c r="K405" s="52">
        <v>0</v>
      </c>
      <c r="L405" s="6">
        <v>106.91200000000001</v>
      </c>
      <c r="M405" s="52">
        <v>106.91200000000001</v>
      </c>
      <c r="N405" s="6">
        <v>106.91200000000001</v>
      </c>
      <c r="O405" s="52">
        <v>106.91200000000001</v>
      </c>
      <c r="P405" s="6">
        <v>0</v>
      </c>
      <c r="Q405" s="4" t="s">
        <v>26</v>
      </c>
      <c r="R405" s="4">
        <v>0</v>
      </c>
      <c r="S405" s="6">
        <v>0</v>
      </c>
      <c r="T405" s="6">
        <v>17</v>
      </c>
      <c r="U405" s="6">
        <v>66</v>
      </c>
      <c r="V405" s="52">
        <f>IF(ISERROR(VLOOKUP($S$405,'TAR FIN'!$A$1:$O$103,15,0)),0,VLOOKUP($S$405,'TAR FIN'!$A$1:$O$103,15,0))</f>
        <v>0</v>
      </c>
      <c r="W405" s="52">
        <f>IF(ISERROR(VLOOKUP($T$405,'TAR FIN'!$A$1:$O$103,15,0)),0,VLOOKUP($T$405,'TAR FIN'!$A$1:$O$103,15,0))*(1-0.04)</f>
        <v>81.590399999999988</v>
      </c>
      <c r="X405" s="52">
        <f>IF(ISERROR(VLOOKUP($U$405,'TAR FIN'!$A$1:$O$103,15,0)),0,VLOOKUP($U$405,'TAR FIN'!$A$1:$O$103,15,0))*(1-0.04)</f>
        <v>233.0592</v>
      </c>
      <c r="Y405" s="52"/>
      <c r="Z405" s="52">
        <f ca="1">('TUSD BE'!$AM$24+'TUSD BF_350'!$AM$24+'TUSD CVA'!$AM$24)*1*(1-0.02)</f>
        <v>142.80792645762099</v>
      </c>
      <c r="AA405" s="52">
        <f ca="1">('TE BE'!$AB$9+'TE BF_350'!$AB$9+'TE CVA'!$AB$9)*1*(1-0.02)</f>
        <v>217.94598758226687</v>
      </c>
      <c r="AB405" s="6">
        <f>$K$405*$V$405</f>
        <v>0</v>
      </c>
      <c r="AC405" s="6">
        <f>$M$405*$W$405</f>
        <v>8722.9928447999991</v>
      </c>
      <c r="AD405" s="6">
        <f>$O$405*$X$405</f>
        <v>24916.825190400003</v>
      </c>
      <c r="AE405" s="6">
        <f>$K$405*$Y$405</f>
        <v>0</v>
      </c>
      <c r="AF405" s="6">
        <f ca="1">$M$405*$Z$405</f>
        <v>15267.881033437177</v>
      </c>
      <c r="AG405" s="6">
        <f ca="1">$O$405*$AA$405</f>
        <v>23301.041424395316</v>
      </c>
    </row>
    <row r="406" spans="1:33" ht="11.25" customHeight="1" x14ac:dyDescent="0.3">
      <c r="A406" s="4" t="s">
        <v>21</v>
      </c>
      <c r="B406" s="4" t="s">
        <v>39</v>
      </c>
      <c r="C406" s="4" t="s">
        <v>40</v>
      </c>
      <c r="D406" s="4" t="s">
        <v>44</v>
      </c>
      <c r="E406" s="4" t="s">
        <v>53</v>
      </c>
      <c r="F406" s="4" t="s">
        <v>25</v>
      </c>
      <c r="G406" s="4" t="s">
        <v>25</v>
      </c>
      <c r="H406" s="4" t="s">
        <v>35</v>
      </c>
      <c r="I406" s="5">
        <v>44805</v>
      </c>
      <c r="J406" s="6">
        <v>0</v>
      </c>
      <c r="K406" s="52">
        <v>0</v>
      </c>
      <c r="L406" s="6">
        <v>116.173</v>
      </c>
      <c r="M406" s="52">
        <v>116.173</v>
      </c>
      <c r="N406" s="6">
        <v>116.173</v>
      </c>
      <c r="O406" s="52">
        <v>116.173</v>
      </c>
      <c r="P406" s="6">
        <v>0</v>
      </c>
      <c r="Q406" s="4" t="s">
        <v>26</v>
      </c>
      <c r="R406" s="4">
        <v>0</v>
      </c>
      <c r="S406" s="6">
        <v>0</v>
      </c>
      <c r="T406" s="6">
        <v>17</v>
      </c>
      <c r="U406" s="6">
        <v>66</v>
      </c>
      <c r="V406" s="52">
        <f>IF(ISERROR(VLOOKUP($S$406,'TAR FIN'!$A$1:$O$103,15,0)),0,VLOOKUP($S$406,'TAR FIN'!$A$1:$O$103,15,0))</f>
        <v>0</v>
      </c>
      <c r="W406" s="52">
        <f>IF(ISERROR(VLOOKUP($T$406,'TAR FIN'!$A$1:$O$103,15,0)),0,VLOOKUP($T$406,'TAR FIN'!$A$1:$O$103,15,0))*(1-0.04)</f>
        <v>81.590399999999988</v>
      </c>
      <c r="X406" s="52">
        <f>IF(ISERROR(VLOOKUP($U$406,'TAR FIN'!$A$1:$O$103,15,0)),0,VLOOKUP($U$406,'TAR FIN'!$A$1:$O$103,15,0))*(1-0.04)</f>
        <v>233.0592</v>
      </c>
      <c r="Y406" s="52"/>
      <c r="Z406" s="52">
        <f ca="1">('TUSD BE'!$AM$24+'TUSD BF_350'!$AM$24+'TUSD CVA'!$AM$24)*1*(1-0.02)</f>
        <v>142.80792645762099</v>
      </c>
      <c r="AA406" s="52">
        <f ca="1">('TE BE'!$AB$9+'TE BF_350'!$AB$9+'TE CVA'!$AB$9)*1*(1-0.02)</f>
        <v>217.94598758226687</v>
      </c>
      <c r="AB406" s="6">
        <f>$K$406*$V$406</f>
        <v>0</v>
      </c>
      <c r="AC406" s="6">
        <f>$M$406*$W$406</f>
        <v>9478.601539199999</v>
      </c>
      <c r="AD406" s="6">
        <f>$O$406*$X$406</f>
        <v>27075.186441600003</v>
      </c>
      <c r="AE406" s="6">
        <f>$K$406*$Y$406</f>
        <v>0</v>
      </c>
      <c r="AF406" s="6">
        <f ca="1">$M$406*$Z$406</f>
        <v>16590.425240361204</v>
      </c>
      <c r="AG406" s="6">
        <f ca="1">$O$406*$AA$406</f>
        <v>25319.43921539469</v>
      </c>
    </row>
    <row r="407" spans="1:33" ht="11.25" customHeight="1" x14ac:dyDescent="0.3">
      <c r="A407" s="4" t="s">
        <v>57</v>
      </c>
      <c r="B407" s="4" t="s">
        <v>39</v>
      </c>
      <c r="C407" s="4" t="s">
        <v>40</v>
      </c>
      <c r="D407" s="4" t="s">
        <v>44</v>
      </c>
      <c r="E407" s="4" t="s">
        <v>53</v>
      </c>
      <c r="F407" s="4" t="s">
        <v>25</v>
      </c>
      <c r="G407" s="4" t="s">
        <v>25</v>
      </c>
      <c r="H407" s="4" t="s">
        <v>35</v>
      </c>
      <c r="I407" s="5">
        <v>44835</v>
      </c>
      <c r="J407" s="6">
        <v>0</v>
      </c>
      <c r="K407" s="52">
        <v>0</v>
      </c>
      <c r="L407" s="6">
        <v>116.173</v>
      </c>
      <c r="M407" s="52">
        <v>116.173</v>
      </c>
      <c r="N407" s="6">
        <v>116.173</v>
      </c>
      <c r="O407" s="52">
        <v>116.173</v>
      </c>
      <c r="P407" s="6">
        <v>0</v>
      </c>
      <c r="Q407" s="4" t="s">
        <v>26</v>
      </c>
      <c r="R407" s="4">
        <v>0</v>
      </c>
      <c r="S407" s="6">
        <v>0</v>
      </c>
      <c r="T407" s="6">
        <v>17</v>
      </c>
      <c r="U407" s="6">
        <v>66</v>
      </c>
      <c r="V407" s="52">
        <f>IF(ISERROR(VLOOKUP($S$407,'TAR FIN'!$A$1:$O$103,15,0)),0,VLOOKUP($S$407,'TAR FIN'!$A$1:$O$103,15,0))</f>
        <v>0</v>
      </c>
      <c r="W407" s="52">
        <f>IF(ISERROR(VLOOKUP($T$407,'TAR FIN'!$A$1:$O$103,15,0)),0,VLOOKUP($T$407,'TAR FIN'!$A$1:$O$103,15,0))*(1-0.04)</f>
        <v>81.590399999999988</v>
      </c>
      <c r="X407" s="52">
        <f>IF(ISERROR(VLOOKUP($U$407,'TAR FIN'!$A$1:$O$103,15,0)),0,VLOOKUP($U$407,'TAR FIN'!$A$1:$O$103,15,0))*(1-0.04)</f>
        <v>233.0592</v>
      </c>
      <c r="Y407" s="52"/>
      <c r="Z407" s="52">
        <f ca="1">('TUSD BE'!$AM$24+'TUSD BF_350'!$AM$24+'TUSD CVA'!$AM$24)*1*(1-0.02)</f>
        <v>142.80792645762099</v>
      </c>
      <c r="AA407" s="52">
        <f ca="1">('TE BE'!$AB$9+'TE BF_350'!$AB$9+'TE CVA'!$AB$9)*1*(1-0.02)</f>
        <v>217.94598758226687</v>
      </c>
      <c r="AB407" s="6">
        <f>$K$407*$V$407</f>
        <v>0</v>
      </c>
      <c r="AC407" s="6">
        <f>$M$407*$W$407</f>
        <v>9478.601539199999</v>
      </c>
      <c r="AD407" s="6">
        <f>$O$407*$X$407</f>
        <v>27075.186441600003</v>
      </c>
      <c r="AE407" s="6">
        <f>$K$407*$Y$407</f>
        <v>0</v>
      </c>
      <c r="AF407" s="6">
        <f ca="1">$M$407*$Z$407</f>
        <v>16590.425240361204</v>
      </c>
      <c r="AG407" s="6">
        <f ca="1">$O$407*$AA$407</f>
        <v>25319.43921539469</v>
      </c>
    </row>
    <row r="408" spans="1:33" ht="11.25" customHeight="1" x14ac:dyDescent="0.3">
      <c r="A408" s="4" t="s">
        <v>21</v>
      </c>
      <c r="B408" s="4" t="s">
        <v>39</v>
      </c>
      <c r="C408" s="4" t="s">
        <v>40</v>
      </c>
      <c r="D408" s="4" t="s">
        <v>44</v>
      </c>
      <c r="E408" s="4" t="s">
        <v>53</v>
      </c>
      <c r="F408" s="4" t="s">
        <v>25</v>
      </c>
      <c r="G408" s="4" t="s">
        <v>25</v>
      </c>
      <c r="H408" s="4" t="s">
        <v>25</v>
      </c>
      <c r="I408" s="5">
        <v>44501</v>
      </c>
      <c r="J408" s="6">
        <v>508</v>
      </c>
      <c r="K408" s="52">
        <v>508</v>
      </c>
      <c r="L408" s="6">
        <v>0</v>
      </c>
      <c r="M408" s="52">
        <v>0</v>
      </c>
      <c r="N408" s="6">
        <v>0</v>
      </c>
      <c r="O408" s="52">
        <v>0</v>
      </c>
      <c r="P408" s="6">
        <v>14</v>
      </c>
      <c r="Q408" s="4" t="s">
        <v>26</v>
      </c>
      <c r="R408" s="4">
        <v>0</v>
      </c>
      <c r="S408" s="6">
        <v>13</v>
      </c>
      <c r="T408" s="6">
        <v>0</v>
      </c>
      <c r="U408" s="6">
        <v>0</v>
      </c>
      <c r="V408" s="52">
        <f>IF(ISERROR(VLOOKUP($S$408,'TAR FIN'!$A$1:$O$103,15,0)),0,VLOOKUP($S$408,'TAR FIN'!$A$1:$O$103,15,0))*(1-0.04)</f>
        <v>18.1632</v>
      </c>
      <c r="W408" s="52">
        <f>IF(ISERROR(VLOOKUP($T$408,'TAR FIN'!$A$1:$O$103,15,0)),0,VLOOKUP($T$408,'TAR FIN'!$A$1:$O$103,15,0))</f>
        <v>0</v>
      </c>
      <c r="X408" s="52">
        <f>IF(ISERROR(VLOOKUP($U$408,'TAR FIN'!$A$1:$O$103,15,0)),0,VLOOKUP($U$408,'TAR FIN'!$A$1:$O$103,15,0))</f>
        <v>0</v>
      </c>
      <c r="Y408" s="52">
        <f ca="1">('TUSD BE'!$AM$22+'TUSD BF_350'!$AM$22+'TUSD CVA'!$AM$22)*1*(1-0.02)</f>
        <v>20.941951853111981</v>
      </c>
      <c r="Z408" s="52"/>
      <c r="AA408" s="52"/>
      <c r="AB408" s="6">
        <f>$K$408*$V$408</f>
        <v>9226.9056</v>
      </c>
      <c r="AC408" s="6">
        <f>$M$408*$W$408</f>
        <v>0</v>
      </c>
      <c r="AD408" s="6">
        <f>$O$408*$X$408</f>
        <v>0</v>
      </c>
      <c r="AE408" s="6">
        <f ca="1">$K$408*$Y$408</f>
        <v>10638.511541380885</v>
      </c>
      <c r="AF408" s="6">
        <f>$M$408*$Z$408</f>
        <v>0</v>
      </c>
      <c r="AG408" s="6">
        <f>$O$408*$AA$408</f>
        <v>0</v>
      </c>
    </row>
    <row r="409" spans="1:33" ht="11.25" customHeight="1" x14ac:dyDescent="0.3">
      <c r="A409" s="4" t="s">
        <v>21</v>
      </c>
      <c r="B409" s="4" t="s">
        <v>39</v>
      </c>
      <c r="C409" s="4" t="s">
        <v>40</v>
      </c>
      <c r="D409" s="4" t="s">
        <v>44</v>
      </c>
      <c r="E409" s="4" t="s">
        <v>53</v>
      </c>
      <c r="F409" s="4" t="s">
        <v>25</v>
      </c>
      <c r="G409" s="4" t="s">
        <v>25</v>
      </c>
      <c r="H409" s="4" t="s">
        <v>25</v>
      </c>
      <c r="I409" s="5">
        <v>44531</v>
      </c>
      <c r="J409" s="6">
        <v>337</v>
      </c>
      <c r="K409" s="52">
        <v>337</v>
      </c>
      <c r="L409" s="6">
        <v>0</v>
      </c>
      <c r="M409" s="52">
        <v>0</v>
      </c>
      <c r="N409" s="6">
        <v>0</v>
      </c>
      <c r="O409" s="52">
        <v>0</v>
      </c>
      <c r="P409" s="6">
        <v>14</v>
      </c>
      <c r="Q409" s="4" t="s">
        <v>26</v>
      </c>
      <c r="R409" s="4">
        <v>0</v>
      </c>
      <c r="S409" s="6">
        <v>13</v>
      </c>
      <c r="T409" s="6">
        <v>0</v>
      </c>
      <c r="U409" s="6">
        <v>0</v>
      </c>
      <c r="V409" s="52">
        <f>IF(ISERROR(VLOOKUP($S$409,'TAR FIN'!$A$1:$O$103,15,0)),0,VLOOKUP($S$409,'TAR FIN'!$A$1:$O$103,15,0))*(1-0.04)</f>
        <v>18.1632</v>
      </c>
      <c r="W409" s="52">
        <f>IF(ISERROR(VLOOKUP($T$409,'TAR FIN'!$A$1:$O$103,15,0)),0,VLOOKUP($T$409,'TAR FIN'!$A$1:$O$103,15,0))</f>
        <v>0</v>
      </c>
      <c r="X409" s="52">
        <f>IF(ISERROR(VLOOKUP($U$409,'TAR FIN'!$A$1:$O$103,15,0)),0,VLOOKUP($U$409,'TAR FIN'!$A$1:$O$103,15,0))</f>
        <v>0</v>
      </c>
      <c r="Y409" s="52">
        <f ca="1">('TUSD BE'!$AM$22+'TUSD BF_350'!$AM$22+'TUSD CVA'!$AM$22)*1*(1-0.02)</f>
        <v>20.941951853111981</v>
      </c>
      <c r="Z409" s="52"/>
      <c r="AA409" s="52"/>
      <c r="AB409" s="6">
        <f>$K$409*$V$409</f>
        <v>6120.9983999999995</v>
      </c>
      <c r="AC409" s="6">
        <f>$M$409*$W$409</f>
        <v>0</v>
      </c>
      <c r="AD409" s="6">
        <f>$O$409*$X$409</f>
        <v>0</v>
      </c>
      <c r="AE409" s="6">
        <f ca="1">$K$409*$Y$409</f>
        <v>7057.4377744987378</v>
      </c>
      <c r="AF409" s="6">
        <f>$M$409*$Z$409</f>
        <v>0</v>
      </c>
      <c r="AG409" s="6">
        <f>$O$409*$AA$409</f>
        <v>0</v>
      </c>
    </row>
    <row r="410" spans="1:33" ht="11.25" customHeight="1" x14ac:dyDescent="0.3">
      <c r="A410" s="4" t="s">
        <v>21</v>
      </c>
      <c r="B410" s="4" t="s">
        <v>39</v>
      </c>
      <c r="C410" s="4" t="s">
        <v>40</v>
      </c>
      <c r="D410" s="4" t="s">
        <v>44</v>
      </c>
      <c r="E410" s="4" t="s">
        <v>53</v>
      </c>
      <c r="F410" s="4" t="s">
        <v>25</v>
      </c>
      <c r="G410" s="4" t="s">
        <v>25</v>
      </c>
      <c r="H410" s="4" t="s">
        <v>25</v>
      </c>
      <c r="I410" s="5">
        <v>44562</v>
      </c>
      <c r="J410" s="6">
        <v>440</v>
      </c>
      <c r="K410" s="52">
        <v>440</v>
      </c>
      <c r="L410" s="6">
        <v>0</v>
      </c>
      <c r="M410" s="52">
        <v>0</v>
      </c>
      <c r="N410" s="6">
        <v>0</v>
      </c>
      <c r="O410" s="52">
        <v>0</v>
      </c>
      <c r="P410" s="6">
        <v>8</v>
      </c>
      <c r="Q410" s="4" t="s">
        <v>26</v>
      </c>
      <c r="R410" s="4">
        <v>0</v>
      </c>
      <c r="S410" s="6">
        <v>13</v>
      </c>
      <c r="T410" s="6">
        <v>0</v>
      </c>
      <c r="U410" s="6">
        <v>0</v>
      </c>
      <c r="V410" s="52">
        <f>IF(ISERROR(VLOOKUP($S$410,'TAR FIN'!$A$1:$O$103,15,0)),0,VLOOKUP($S$410,'TAR FIN'!$A$1:$O$103,15,0))*(1-0.04)</f>
        <v>18.1632</v>
      </c>
      <c r="W410" s="52">
        <f>IF(ISERROR(VLOOKUP($T$410,'TAR FIN'!$A$1:$O$103,15,0)),0,VLOOKUP($T$410,'TAR FIN'!$A$1:$O$103,15,0))</f>
        <v>0</v>
      </c>
      <c r="X410" s="52">
        <f>IF(ISERROR(VLOOKUP($U$410,'TAR FIN'!$A$1:$O$103,15,0)),0,VLOOKUP($U$410,'TAR FIN'!$A$1:$O$103,15,0))</f>
        <v>0</v>
      </c>
      <c r="Y410" s="52">
        <f ca="1">('TUSD BE'!$AM$22+'TUSD BF_350'!$AM$22+'TUSD CVA'!$AM$22)*1*(1-0.02)</f>
        <v>20.941951853111981</v>
      </c>
      <c r="Z410" s="52"/>
      <c r="AA410" s="52"/>
      <c r="AB410" s="6">
        <f>$K$410*$V$410</f>
        <v>7991.808</v>
      </c>
      <c r="AC410" s="6">
        <f>$M$410*$W$410</f>
        <v>0</v>
      </c>
      <c r="AD410" s="6">
        <f>$O$410*$X$410</f>
        <v>0</v>
      </c>
      <c r="AE410" s="6">
        <f ca="1">$K$410*$Y$410</f>
        <v>9214.4588153692712</v>
      </c>
      <c r="AF410" s="6">
        <f>$M$410*$Z$410</f>
        <v>0</v>
      </c>
      <c r="AG410" s="6">
        <f>$O$410*$AA$410</f>
        <v>0</v>
      </c>
    </row>
    <row r="411" spans="1:33" ht="11.25" customHeight="1" x14ac:dyDescent="0.3">
      <c r="A411" s="4" t="s">
        <v>21</v>
      </c>
      <c r="B411" s="4" t="s">
        <v>39</v>
      </c>
      <c r="C411" s="4" t="s">
        <v>40</v>
      </c>
      <c r="D411" s="4" t="s">
        <v>44</v>
      </c>
      <c r="E411" s="4" t="s">
        <v>53</v>
      </c>
      <c r="F411" s="4" t="s">
        <v>25</v>
      </c>
      <c r="G411" s="4" t="s">
        <v>25</v>
      </c>
      <c r="H411" s="4" t="s">
        <v>25</v>
      </c>
      <c r="I411" s="5">
        <v>44593</v>
      </c>
      <c r="J411" s="6">
        <v>386</v>
      </c>
      <c r="K411" s="52">
        <v>386</v>
      </c>
      <c r="L411" s="6">
        <v>0</v>
      </c>
      <c r="M411" s="52">
        <v>0</v>
      </c>
      <c r="N411" s="6">
        <v>0</v>
      </c>
      <c r="O411" s="52">
        <v>0</v>
      </c>
      <c r="P411" s="6">
        <v>12</v>
      </c>
      <c r="Q411" s="4" t="s">
        <v>26</v>
      </c>
      <c r="R411" s="4">
        <v>0</v>
      </c>
      <c r="S411" s="6">
        <v>13</v>
      </c>
      <c r="T411" s="6">
        <v>0</v>
      </c>
      <c r="U411" s="6">
        <v>0</v>
      </c>
      <c r="V411" s="52">
        <f>IF(ISERROR(VLOOKUP($S$411,'TAR FIN'!$A$1:$O$103,15,0)),0,VLOOKUP($S$411,'TAR FIN'!$A$1:$O$103,15,0))*(1-0.04)</f>
        <v>18.1632</v>
      </c>
      <c r="W411" s="52">
        <f>IF(ISERROR(VLOOKUP($T$411,'TAR FIN'!$A$1:$O$103,15,0)),0,VLOOKUP($T$411,'TAR FIN'!$A$1:$O$103,15,0))</f>
        <v>0</v>
      </c>
      <c r="X411" s="52">
        <f>IF(ISERROR(VLOOKUP($U$411,'TAR FIN'!$A$1:$O$103,15,0)),0,VLOOKUP($U$411,'TAR FIN'!$A$1:$O$103,15,0))</f>
        <v>0</v>
      </c>
      <c r="Y411" s="52">
        <f ca="1">('TUSD BE'!$AM$22+'TUSD BF_350'!$AM$22+'TUSD CVA'!$AM$22)*1*(1-0.02)</f>
        <v>20.941951853111981</v>
      </c>
      <c r="Z411" s="52"/>
      <c r="AA411" s="52"/>
      <c r="AB411" s="6">
        <f>$K$411*$V$411</f>
        <v>7010.9952000000003</v>
      </c>
      <c r="AC411" s="6">
        <f>$M$411*$W$411</f>
        <v>0</v>
      </c>
      <c r="AD411" s="6">
        <f>$O$411*$X$411</f>
        <v>0</v>
      </c>
      <c r="AE411" s="6">
        <f ca="1">$K$411*$Y$411</f>
        <v>8083.5934153012249</v>
      </c>
      <c r="AF411" s="6">
        <f>$M$411*$Z$411</f>
        <v>0</v>
      </c>
      <c r="AG411" s="6">
        <f>$O$411*$AA$411</f>
        <v>0</v>
      </c>
    </row>
    <row r="412" spans="1:33" ht="11.25" customHeight="1" x14ac:dyDescent="0.3">
      <c r="A412" s="4" t="s">
        <v>21</v>
      </c>
      <c r="B412" s="4" t="s">
        <v>39</v>
      </c>
      <c r="C412" s="4" t="s">
        <v>40</v>
      </c>
      <c r="D412" s="4" t="s">
        <v>44</v>
      </c>
      <c r="E412" s="4" t="s">
        <v>53</v>
      </c>
      <c r="F412" s="4" t="s">
        <v>25</v>
      </c>
      <c r="G412" s="4" t="s">
        <v>25</v>
      </c>
      <c r="H412" s="4" t="s">
        <v>25</v>
      </c>
      <c r="I412" s="5">
        <v>44621</v>
      </c>
      <c r="J412" s="6">
        <v>1604</v>
      </c>
      <c r="K412" s="52">
        <v>1604</v>
      </c>
      <c r="L412" s="6">
        <v>0</v>
      </c>
      <c r="M412" s="52">
        <v>0</v>
      </c>
      <c r="N412" s="6">
        <v>0</v>
      </c>
      <c r="O412" s="52">
        <v>0</v>
      </c>
      <c r="P412" s="6">
        <v>12</v>
      </c>
      <c r="Q412" s="4" t="s">
        <v>26</v>
      </c>
      <c r="R412" s="4">
        <v>0</v>
      </c>
      <c r="S412" s="6">
        <v>13</v>
      </c>
      <c r="T412" s="6">
        <v>0</v>
      </c>
      <c r="U412" s="6">
        <v>0</v>
      </c>
      <c r="V412" s="52">
        <f>IF(ISERROR(VLOOKUP($S$412,'TAR FIN'!$A$1:$O$103,15,0)),0,VLOOKUP($S$412,'TAR FIN'!$A$1:$O$103,15,0))*(1-0.04)</f>
        <v>18.1632</v>
      </c>
      <c r="W412" s="52">
        <f>IF(ISERROR(VLOOKUP($T$412,'TAR FIN'!$A$1:$O$103,15,0)),0,VLOOKUP($T$412,'TAR FIN'!$A$1:$O$103,15,0))</f>
        <v>0</v>
      </c>
      <c r="X412" s="52">
        <f>IF(ISERROR(VLOOKUP($U$412,'TAR FIN'!$A$1:$O$103,15,0)),0,VLOOKUP($U$412,'TAR FIN'!$A$1:$O$103,15,0))</f>
        <v>0</v>
      </c>
      <c r="Y412" s="52">
        <f ca="1">('TUSD BE'!$AM$22+'TUSD BF_350'!$AM$22+'TUSD CVA'!$AM$22)*1*(1-0.02)</f>
        <v>20.941951853111981</v>
      </c>
      <c r="Z412" s="52"/>
      <c r="AA412" s="52"/>
      <c r="AB412" s="6">
        <f>$K$412*$V$412</f>
        <v>29133.772799999999</v>
      </c>
      <c r="AC412" s="6">
        <f>$M$412*$W$412</f>
        <v>0</v>
      </c>
      <c r="AD412" s="6">
        <f>$O$412*$X$412</f>
        <v>0</v>
      </c>
      <c r="AE412" s="6">
        <f ca="1">$K$412*$Y$412</f>
        <v>33590.89077239162</v>
      </c>
      <c r="AF412" s="6">
        <f>$M$412*$Z$412</f>
        <v>0</v>
      </c>
      <c r="AG412" s="6">
        <f>$O$412*$AA$412</f>
        <v>0</v>
      </c>
    </row>
    <row r="413" spans="1:33" ht="11.25" customHeight="1" x14ac:dyDescent="0.3">
      <c r="A413" s="4" t="s">
        <v>21</v>
      </c>
      <c r="B413" s="4" t="s">
        <v>39</v>
      </c>
      <c r="C413" s="4" t="s">
        <v>40</v>
      </c>
      <c r="D413" s="4" t="s">
        <v>44</v>
      </c>
      <c r="E413" s="4" t="s">
        <v>53</v>
      </c>
      <c r="F413" s="4" t="s">
        <v>25</v>
      </c>
      <c r="G413" s="4" t="s">
        <v>25</v>
      </c>
      <c r="H413" s="4" t="s">
        <v>25</v>
      </c>
      <c r="I413" s="5">
        <v>44652</v>
      </c>
      <c r="J413" s="6">
        <v>1482</v>
      </c>
      <c r="K413" s="52">
        <v>1482</v>
      </c>
      <c r="L413" s="6">
        <v>0</v>
      </c>
      <c r="M413" s="52">
        <v>0</v>
      </c>
      <c r="N413" s="6">
        <v>0</v>
      </c>
      <c r="O413" s="52">
        <v>0</v>
      </c>
      <c r="P413" s="6">
        <v>11</v>
      </c>
      <c r="Q413" s="4" t="s">
        <v>26</v>
      </c>
      <c r="R413" s="4">
        <v>0</v>
      </c>
      <c r="S413" s="6">
        <v>13</v>
      </c>
      <c r="T413" s="6">
        <v>0</v>
      </c>
      <c r="U413" s="6">
        <v>0</v>
      </c>
      <c r="V413" s="52">
        <f>IF(ISERROR(VLOOKUP($S$413,'TAR FIN'!$A$1:$O$103,15,0)),0,VLOOKUP($S$413,'TAR FIN'!$A$1:$O$103,15,0))*(1-0.04)</f>
        <v>18.1632</v>
      </c>
      <c r="W413" s="52">
        <f>IF(ISERROR(VLOOKUP($T$413,'TAR FIN'!$A$1:$O$103,15,0)),0,VLOOKUP($T$413,'TAR FIN'!$A$1:$O$103,15,0))</f>
        <v>0</v>
      </c>
      <c r="X413" s="52">
        <f>IF(ISERROR(VLOOKUP($U$413,'TAR FIN'!$A$1:$O$103,15,0)),0,VLOOKUP($U$413,'TAR FIN'!$A$1:$O$103,15,0))</f>
        <v>0</v>
      </c>
      <c r="Y413" s="52">
        <f ca="1">('TUSD BE'!$AM$22+'TUSD BF_350'!$AM$22+'TUSD CVA'!$AM$22)*1*(1-0.02)</f>
        <v>20.941951853111981</v>
      </c>
      <c r="Z413" s="52"/>
      <c r="AA413" s="52"/>
      <c r="AB413" s="6">
        <f>$K$413*$V$413</f>
        <v>26917.862399999998</v>
      </c>
      <c r="AC413" s="6">
        <f>$M$413*$W$413</f>
        <v>0</v>
      </c>
      <c r="AD413" s="6">
        <f>$O$413*$X$413</f>
        <v>0</v>
      </c>
      <c r="AE413" s="6">
        <f ca="1">$K$413*$Y$413</f>
        <v>31035.972646311955</v>
      </c>
      <c r="AF413" s="6">
        <f>$M$413*$Z$413</f>
        <v>0</v>
      </c>
      <c r="AG413" s="6">
        <f>$O$413*$AA$413</f>
        <v>0</v>
      </c>
    </row>
    <row r="414" spans="1:33" ht="11.25" customHeight="1" x14ac:dyDescent="0.3">
      <c r="A414" s="4" t="s">
        <v>21</v>
      </c>
      <c r="B414" s="4" t="s">
        <v>39</v>
      </c>
      <c r="C414" s="4" t="s">
        <v>40</v>
      </c>
      <c r="D414" s="4" t="s">
        <v>44</v>
      </c>
      <c r="E414" s="4" t="s">
        <v>53</v>
      </c>
      <c r="F414" s="4" t="s">
        <v>25</v>
      </c>
      <c r="G414" s="4" t="s">
        <v>25</v>
      </c>
      <c r="H414" s="4" t="s">
        <v>25</v>
      </c>
      <c r="I414" s="5">
        <v>44682</v>
      </c>
      <c r="J414" s="6">
        <v>1468</v>
      </c>
      <c r="K414" s="52">
        <v>1468</v>
      </c>
      <c r="L414" s="6">
        <v>0</v>
      </c>
      <c r="M414" s="52">
        <v>0</v>
      </c>
      <c r="N414" s="6">
        <v>0</v>
      </c>
      <c r="O414" s="52">
        <v>0</v>
      </c>
      <c r="P414" s="6">
        <v>11</v>
      </c>
      <c r="Q414" s="4" t="s">
        <v>26</v>
      </c>
      <c r="R414" s="4">
        <v>0</v>
      </c>
      <c r="S414" s="6">
        <v>13</v>
      </c>
      <c r="T414" s="6">
        <v>0</v>
      </c>
      <c r="U414" s="6">
        <v>0</v>
      </c>
      <c r="V414" s="52">
        <f>IF(ISERROR(VLOOKUP($S$414,'TAR FIN'!$A$1:$O$103,15,0)),0,VLOOKUP($S$414,'TAR FIN'!$A$1:$O$103,15,0))*(1-0.04)</f>
        <v>18.1632</v>
      </c>
      <c r="W414" s="52">
        <f>IF(ISERROR(VLOOKUP($T$414,'TAR FIN'!$A$1:$O$103,15,0)),0,VLOOKUP($T$414,'TAR FIN'!$A$1:$O$103,15,0))</f>
        <v>0</v>
      </c>
      <c r="X414" s="52">
        <f>IF(ISERROR(VLOOKUP($U$414,'TAR FIN'!$A$1:$O$103,15,0)),0,VLOOKUP($U$414,'TAR FIN'!$A$1:$O$103,15,0))</f>
        <v>0</v>
      </c>
      <c r="Y414" s="52">
        <f ca="1">('TUSD BE'!$AM$22+'TUSD BF_350'!$AM$22+'TUSD CVA'!$AM$22)*1*(1-0.02)</f>
        <v>20.941951853111981</v>
      </c>
      <c r="Z414" s="52"/>
      <c r="AA414" s="52"/>
      <c r="AB414" s="6">
        <f>$K$414*$V$414</f>
        <v>26663.577600000001</v>
      </c>
      <c r="AC414" s="6">
        <f>$M$414*$W$414</f>
        <v>0</v>
      </c>
      <c r="AD414" s="6">
        <f>$O$414*$X$414</f>
        <v>0</v>
      </c>
      <c r="AE414" s="6">
        <f ca="1">$K$414*$Y$414</f>
        <v>30742.785320368388</v>
      </c>
      <c r="AF414" s="6">
        <f>$M$414*$Z$414</f>
        <v>0</v>
      </c>
      <c r="AG414" s="6">
        <f>$O$414*$AA$414</f>
        <v>0</v>
      </c>
    </row>
    <row r="415" spans="1:33" ht="11.25" customHeight="1" x14ac:dyDescent="0.3">
      <c r="A415" s="4" t="s">
        <v>21</v>
      </c>
      <c r="B415" s="4" t="s">
        <v>39</v>
      </c>
      <c r="C415" s="4" t="s">
        <v>40</v>
      </c>
      <c r="D415" s="4" t="s">
        <v>44</v>
      </c>
      <c r="E415" s="4" t="s">
        <v>53</v>
      </c>
      <c r="F415" s="4" t="s">
        <v>25</v>
      </c>
      <c r="G415" s="4" t="s">
        <v>25</v>
      </c>
      <c r="H415" s="4" t="s">
        <v>25</v>
      </c>
      <c r="I415" s="5">
        <v>44713</v>
      </c>
      <c r="J415" s="6">
        <v>1577</v>
      </c>
      <c r="K415" s="52">
        <v>1577</v>
      </c>
      <c r="L415" s="6">
        <v>0</v>
      </c>
      <c r="M415" s="52">
        <v>0</v>
      </c>
      <c r="N415" s="6">
        <v>0</v>
      </c>
      <c r="O415" s="52">
        <v>0</v>
      </c>
      <c r="P415" s="6">
        <v>11</v>
      </c>
      <c r="Q415" s="4" t="s">
        <v>26</v>
      </c>
      <c r="R415" s="4">
        <v>0</v>
      </c>
      <c r="S415" s="6">
        <v>13</v>
      </c>
      <c r="T415" s="6">
        <v>0</v>
      </c>
      <c r="U415" s="6">
        <v>0</v>
      </c>
      <c r="V415" s="52">
        <f>IF(ISERROR(VLOOKUP($S$415,'TAR FIN'!$A$1:$O$103,15,0)),0,VLOOKUP($S$415,'TAR FIN'!$A$1:$O$103,15,0))*(1-0.04)</f>
        <v>18.1632</v>
      </c>
      <c r="W415" s="52">
        <f>IF(ISERROR(VLOOKUP($T$415,'TAR FIN'!$A$1:$O$103,15,0)),0,VLOOKUP($T$415,'TAR FIN'!$A$1:$O$103,15,0))</f>
        <v>0</v>
      </c>
      <c r="X415" s="52">
        <f>IF(ISERROR(VLOOKUP($U$415,'TAR FIN'!$A$1:$O$103,15,0)),0,VLOOKUP($U$415,'TAR FIN'!$A$1:$O$103,15,0))</f>
        <v>0</v>
      </c>
      <c r="Y415" s="52">
        <f ca="1">('TUSD BE'!$AM$22+'TUSD BF_350'!$AM$22+'TUSD CVA'!$AM$22)*1*(1-0.02)</f>
        <v>20.941951853111981</v>
      </c>
      <c r="Z415" s="52"/>
      <c r="AA415" s="52"/>
      <c r="AB415" s="6">
        <f>$K$415*$V$415</f>
        <v>28643.366399999999</v>
      </c>
      <c r="AC415" s="6">
        <f>$M$415*$W$415</f>
        <v>0</v>
      </c>
      <c r="AD415" s="6">
        <f>$O$415*$X$415</f>
        <v>0</v>
      </c>
      <c r="AE415" s="6">
        <f ca="1">$K$415*$Y$415</f>
        <v>33025.458072357593</v>
      </c>
      <c r="AF415" s="6">
        <f>$M$415*$Z$415</f>
        <v>0</v>
      </c>
      <c r="AG415" s="6">
        <f>$O$415*$AA$415</f>
        <v>0</v>
      </c>
    </row>
    <row r="416" spans="1:33" ht="11.25" customHeight="1" x14ac:dyDescent="0.3">
      <c r="A416" s="4" t="s">
        <v>21</v>
      </c>
      <c r="B416" s="4" t="s">
        <v>39</v>
      </c>
      <c r="C416" s="4" t="s">
        <v>40</v>
      </c>
      <c r="D416" s="4" t="s">
        <v>44</v>
      </c>
      <c r="E416" s="4" t="s">
        <v>53</v>
      </c>
      <c r="F416" s="4" t="s">
        <v>25</v>
      </c>
      <c r="G416" s="4" t="s">
        <v>25</v>
      </c>
      <c r="H416" s="4" t="s">
        <v>25</v>
      </c>
      <c r="I416" s="5">
        <v>44743</v>
      </c>
      <c r="J416" s="6">
        <v>1374</v>
      </c>
      <c r="K416" s="52">
        <v>1374</v>
      </c>
      <c r="L416" s="6">
        <v>0</v>
      </c>
      <c r="M416" s="52">
        <v>0</v>
      </c>
      <c r="N416" s="6">
        <v>0</v>
      </c>
      <c r="O416" s="52">
        <v>0</v>
      </c>
      <c r="P416" s="6">
        <v>10</v>
      </c>
      <c r="Q416" s="4" t="s">
        <v>26</v>
      </c>
      <c r="R416" s="4">
        <v>0</v>
      </c>
      <c r="S416" s="6">
        <v>13</v>
      </c>
      <c r="T416" s="6">
        <v>0</v>
      </c>
      <c r="U416" s="6">
        <v>0</v>
      </c>
      <c r="V416" s="52">
        <f>IF(ISERROR(VLOOKUP($S$416,'TAR FIN'!$A$1:$O$103,15,0)),0,VLOOKUP($S$416,'TAR FIN'!$A$1:$O$103,15,0))*(1-0.04)</f>
        <v>18.1632</v>
      </c>
      <c r="W416" s="52">
        <f>IF(ISERROR(VLOOKUP($T$416,'TAR FIN'!$A$1:$O$103,15,0)),0,VLOOKUP($T$416,'TAR FIN'!$A$1:$O$103,15,0))</f>
        <v>0</v>
      </c>
      <c r="X416" s="52">
        <f>IF(ISERROR(VLOOKUP($U$416,'TAR FIN'!$A$1:$O$103,15,0)),0,VLOOKUP($U$416,'TAR FIN'!$A$1:$O$103,15,0))</f>
        <v>0</v>
      </c>
      <c r="Y416" s="52">
        <f ca="1">('TUSD BE'!$AM$22+'TUSD BF_350'!$AM$22+'TUSD CVA'!$AM$22)*1*(1-0.02)</f>
        <v>20.941951853111981</v>
      </c>
      <c r="Z416" s="52"/>
      <c r="AA416" s="52"/>
      <c r="AB416" s="6">
        <f>$K$416*$V$416</f>
        <v>24956.236799999999</v>
      </c>
      <c r="AC416" s="6">
        <f>$M$416*$W$416</f>
        <v>0</v>
      </c>
      <c r="AD416" s="6">
        <f>$O$416*$X$416</f>
        <v>0</v>
      </c>
      <c r="AE416" s="6">
        <f ca="1">$K$416*$Y$416</f>
        <v>28774.241846175861</v>
      </c>
      <c r="AF416" s="6">
        <f>$M$416*$Z$416</f>
        <v>0</v>
      </c>
      <c r="AG416" s="6">
        <f>$O$416*$AA$416</f>
        <v>0</v>
      </c>
    </row>
    <row r="417" spans="1:33" ht="11.25" customHeight="1" x14ac:dyDescent="0.3">
      <c r="A417" s="4" t="s">
        <v>21</v>
      </c>
      <c r="B417" s="4" t="s">
        <v>39</v>
      </c>
      <c r="C417" s="4" t="s">
        <v>40</v>
      </c>
      <c r="D417" s="4" t="s">
        <v>44</v>
      </c>
      <c r="E417" s="4" t="s">
        <v>53</v>
      </c>
      <c r="F417" s="4" t="s">
        <v>25</v>
      </c>
      <c r="G417" s="4" t="s">
        <v>25</v>
      </c>
      <c r="H417" s="4" t="s">
        <v>25</v>
      </c>
      <c r="I417" s="5">
        <v>44774</v>
      </c>
      <c r="J417" s="6">
        <v>1789</v>
      </c>
      <c r="K417" s="52">
        <v>1789</v>
      </c>
      <c r="L417" s="6">
        <v>0</v>
      </c>
      <c r="M417" s="52">
        <v>0</v>
      </c>
      <c r="N417" s="6">
        <v>0</v>
      </c>
      <c r="O417" s="52">
        <v>0</v>
      </c>
      <c r="P417" s="6">
        <v>10</v>
      </c>
      <c r="Q417" s="4" t="s">
        <v>26</v>
      </c>
      <c r="R417" s="4">
        <v>0</v>
      </c>
      <c r="S417" s="6">
        <v>13</v>
      </c>
      <c r="T417" s="6">
        <v>0</v>
      </c>
      <c r="U417" s="6">
        <v>0</v>
      </c>
      <c r="V417" s="52">
        <f>IF(ISERROR(VLOOKUP($S$417,'TAR FIN'!$A$1:$O$103,15,0)),0,VLOOKUP($S$417,'TAR FIN'!$A$1:$O$103,15,0))*(1-0.04)</f>
        <v>18.1632</v>
      </c>
      <c r="W417" s="52">
        <f>IF(ISERROR(VLOOKUP($T$417,'TAR FIN'!$A$1:$O$103,15,0)),0,VLOOKUP($T$417,'TAR FIN'!$A$1:$O$103,15,0))</f>
        <v>0</v>
      </c>
      <c r="X417" s="52">
        <f>IF(ISERROR(VLOOKUP($U$417,'TAR FIN'!$A$1:$O$103,15,0)),0,VLOOKUP($U$417,'TAR FIN'!$A$1:$O$103,15,0))</f>
        <v>0</v>
      </c>
      <c r="Y417" s="52">
        <f ca="1">('TUSD BE'!$AM$22+'TUSD BF_350'!$AM$22+'TUSD CVA'!$AM$22)*1*(1-0.02)</f>
        <v>20.941951853111981</v>
      </c>
      <c r="Z417" s="52"/>
      <c r="AA417" s="52"/>
      <c r="AB417" s="6">
        <f>$K$417*$V$417</f>
        <v>32493.964799999998</v>
      </c>
      <c r="AC417" s="6">
        <f>$M$417*$W$417</f>
        <v>0</v>
      </c>
      <c r="AD417" s="6">
        <f>$O$417*$X$417</f>
        <v>0</v>
      </c>
      <c r="AE417" s="6">
        <f ca="1">$K$417*$Y$417</f>
        <v>37465.151865217333</v>
      </c>
      <c r="AF417" s="6">
        <f>$M$417*$Z$417</f>
        <v>0</v>
      </c>
      <c r="AG417" s="6">
        <f>$O$417*$AA$417</f>
        <v>0</v>
      </c>
    </row>
    <row r="418" spans="1:33" ht="11.25" customHeight="1" x14ac:dyDescent="0.3">
      <c r="A418" s="4" t="s">
        <v>21</v>
      </c>
      <c r="B418" s="4" t="s">
        <v>39</v>
      </c>
      <c r="C418" s="4" t="s">
        <v>40</v>
      </c>
      <c r="D418" s="4" t="s">
        <v>44</v>
      </c>
      <c r="E418" s="4" t="s">
        <v>53</v>
      </c>
      <c r="F418" s="4" t="s">
        <v>25</v>
      </c>
      <c r="G418" s="4" t="s">
        <v>25</v>
      </c>
      <c r="H418" s="4" t="s">
        <v>25</v>
      </c>
      <c r="I418" s="5">
        <v>44805</v>
      </c>
      <c r="J418" s="6">
        <v>969</v>
      </c>
      <c r="K418" s="52">
        <v>969</v>
      </c>
      <c r="L418" s="6">
        <v>0</v>
      </c>
      <c r="M418" s="52">
        <v>0</v>
      </c>
      <c r="N418" s="6">
        <v>0</v>
      </c>
      <c r="O418" s="52">
        <v>0</v>
      </c>
      <c r="P418" s="6">
        <v>10</v>
      </c>
      <c r="Q418" s="4" t="s">
        <v>26</v>
      </c>
      <c r="R418" s="4">
        <v>0</v>
      </c>
      <c r="S418" s="6">
        <v>13</v>
      </c>
      <c r="T418" s="6">
        <v>0</v>
      </c>
      <c r="U418" s="6">
        <v>0</v>
      </c>
      <c r="V418" s="52">
        <f>IF(ISERROR(VLOOKUP($S$418,'TAR FIN'!$A$1:$O$103,15,0)),0,VLOOKUP($S$418,'TAR FIN'!$A$1:$O$103,15,0))*(1-0.04)</f>
        <v>18.1632</v>
      </c>
      <c r="W418" s="52">
        <f>IF(ISERROR(VLOOKUP($T$418,'TAR FIN'!$A$1:$O$103,15,0)),0,VLOOKUP($T$418,'TAR FIN'!$A$1:$O$103,15,0))</f>
        <v>0</v>
      </c>
      <c r="X418" s="52">
        <f>IF(ISERROR(VLOOKUP($U$418,'TAR FIN'!$A$1:$O$103,15,0)),0,VLOOKUP($U$418,'TAR FIN'!$A$1:$O$103,15,0))</f>
        <v>0</v>
      </c>
      <c r="Y418" s="52">
        <f ca="1">('TUSD BE'!$AM$22+'TUSD BF_350'!$AM$22+'TUSD CVA'!$AM$22)*1*(1-0.02)</f>
        <v>20.941951853111981</v>
      </c>
      <c r="Z418" s="52"/>
      <c r="AA418" s="52"/>
      <c r="AB418" s="6">
        <f>$K$418*$V$418</f>
        <v>17600.140800000001</v>
      </c>
      <c r="AC418" s="6">
        <f>$M$418*$W$418</f>
        <v>0</v>
      </c>
      <c r="AD418" s="6">
        <f>$O$418*$X$418</f>
        <v>0</v>
      </c>
      <c r="AE418" s="6">
        <f ca="1">$K$418*$Y$418</f>
        <v>20292.751345665511</v>
      </c>
      <c r="AF418" s="6">
        <f>$M$418*$Z$418</f>
        <v>0</v>
      </c>
      <c r="AG418" s="6">
        <f>$O$418*$AA$418</f>
        <v>0</v>
      </c>
    </row>
    <row r="419" spans="1:33" ht="11.25" customHeight="1" x14ac:dyDescent="0.3">
      <c r="A419" s="4" t="s">
        <v>57</v>
      </c>
      <c r="B419" s="4" t="s">
        <v>39</v>
      </c>
      <c r="C419" s="4" t="s">
        <v>40</v>
      </c>
      <c r="D419" s="4" t="s">
        <v>44</v>
      </c>
      <c r="E419" s="4" t="s">
        <v>53</v>
      </c>
      <c r="F419" s="4" t="s">
        <v>25</v>
      </c>
      <c r="G419" s="4" t="s">
        <v>25</v>
      </c>
      <c r="H419" s="4" t="s">
        <v>25</v>
      </c>
      <c r="I419" s="5">
        <v>44835</v>
      </c>
      <c r="J419" s="6">
        <v>969</v>
      </c>
      <c r="K419" s="52">
        <v>969</v>
      </c>
      <c r="L419" s="6">
        <v>0</v>
      </c>
      <c r="M419" s="52">
        <v>0</v>
      </c>
      <c r="N419" s="6">
        <v>0</v>
      </c>
      <c r="O419" s="52">
        <v>0</v>
      </c>
      <c r="P419" s="6">
        <v>10</v>
      </c>
      <c r="Q419" s="4" t="s">
        <v>26</v>
      </c>
      <c r="R419" s="4">
        <v>0</v>
      </c>
      <c r="S419" s="6">
        <v>13</v>
      </c>
      <c r="T419" s="6">
        <v>0</v>
      </c>
      <c r="U419" s="6">
        <v>0</v>
      </c>
      <c r="V419" s="52">
        <f>IF(ISERROR(VLOOKUP($S$419,'TAR FIN'!$A$1:$O$103,15,0)),0,VLOOKUP($S$419,'TAR FIN'!$A$1:$O$103,15,0))*(1-0.04)</f>
        <v>18.1632</v>
      </c>
      <c r="W419" s="52">
        <f>IF(ISERROR(VLOOKUP($T$419,'TAR FIN'!$A$1:$O$103,15,0)),0,VLOOKUP($T$419,'TAR FIN'!$A$1:$O$103,15,0))</f>
        <v>0</v>
      </c>
      <c r="X419" s="52">
        <f>IF(ISERROR(VLOOKUP($U$419,'TAR FIN'!$A$1:$O$103,15,0)),0,VLOOKUP($U$419,'TAR FIN'!$A$1:$O$103,15,0))</f>
        <v>0</v>
      </c>
      <c r="Y419" s="52">
        <f ca="1">('TUSD BE'!$AM$22+'TUSD BF_350'!$AM$22+'TUSD CVA'!$AM$22)*1*(1-0.02)</f>
        <v>20.941951853111981</v>
      </c>
      <c r="Z419" s="52"/>
      <c r="AA419" s="52"/>
      <c r="AB419" s="6">
        <f>$K$419*$V$419</f>
        <v>17600.140800000001</v>
      </c>
      <c r="AC419" s="6">
        <f>$M$419*$W$419</f>
        <v>0</v>
      </c>
      <c r="AD419" s="6">
        <f>$O$419*$X$419</f>
        <v>0</v>
      </c>
      <c r="AE419" s="6">
        <f ca="1">$K$419*$Y$419</f>
        <v>20292.751345665511</v>
      </c>
      <c r="AF419" s="6">
        <f>$M$419*$Z$419</f>
        <v>0</v>
      </c>
      <c r="AG419" s="6">
        <f>$O$419*$AA$419</f>
        <v>0</v>
      </c>
    </row>
    <row r="420" spans="1:33" ht="11.25" customHeight="1" x14ac:dyDescent="0.3">
      <c r="A420" s="4" t="s">
        <v>21</v>
      </c>
      <c r="B420" s="4" t="s">
        <v>39</v>
      </c>
      <c r="C420" s="4" t="s">
        <v>40</v>
      </c>
      <c r="D420" s="4" t="s">
        <v>44</v>
      </c>
      <c r="E420" s="4" t="s">
        <v>53</v>
      </c>
      <c r="F420" s="4" t="s">
        <v>25</v>
      </c>
      <c r="G420" s="4" t="s">
        <v>25</v>
      </c>
      <c r="H420" s="4" t="s">
        <v>34</v>
      </c>
      <c r="I420" s="5">
        <v>44501</v>
      </c>
      <c r="J420" s="6">
        <v>0</v>
      </c>
      <c r="K420" s="52">
        <v>0</v>
      </c>
      <c r="L420" s="6">
        <v>0.48599999999999999</v>
      </c>
      <c r="M420" s="52">
        <v>0.48599999999999999</v>
      </c>
      <c r="N420" s="6">
        <v>0.48599999999999999</v>
      </c>
      <c r="O420" s="52">
        <v>0.48599999999999999</v>
      </c>
      <c r="P420" s="6">
        <v>0</v>
      </c>
      <c r="Q420" s="4" t="s">
        <v>26</v>
      </c>
      <c r="R420" s="4">
        <v>0</v>
      </c>
      <c r="S420" s="6">
        <v>0</v>
      </c>
      <c r="T420" s="6">
        <v>15</v>
      </c>
      <c r="U420" s="6">
        <v>65</v>
      </c>
      <c r="V420" s="52">
        <f>IF(ISERROR(VLOOKUP($S$420,'TAR FIN'!$A$1:$O$103,15,0)),0,VLOOKUP($S$420,'TAR FIN'!$A$1:$O$103,15,0))</f>
        <v>0</v>
      </c>
      <c r="W420" s="52">
        <f>IF(ISERROR(VLOOKUP($T$420,'TAR FIN'!$A$1:$O$103,15,0)),0,VLOOKUP($T$420,'TAR FIN'!$A$1:$O$103,15,0))*(1-0.04)</f>
        <v>1147.9871999999998</v>
      </c>
      <c r="X420" s="52">
        <f>IF(ISERROR(VLOOKUP($U$420,'TAR FIN'!$A$1:$O$103,15,0)),0,VLOOKUP($U$420,'TAR FIN'!$A$1:$O$103,15,0))*(1-0.04)</f>
        <v>375.8784</v>
      </c>
      <c r="Y420" s="52"/>
      <c r="Z420" s="52">
        <f ca="1">('TUSD BE'!$AM$23+'TUSD BF_350'!$AM$23+'TUSD CVA'!$AM$23)*1*(1-0.02)</f>
        <v>1357.7878188473314</v>
      </c>
      <c r="AA420" s="52">
        <f ca="1">('TE BE'!$AB$8+'TE BF_350'!$AB$8+'TE CVA'!$AB$8)*1*(1-0.02)</f>
        <v>354.71359410136364</v>
      </c>
      <c r="AB420" s="6">
        <f>$K$420*$V$420</f>
        <v>0</v>
      </c>
      <c r="AC420" s="6">
        <f>$M$420*$W$420</f>
        <v>557.92177919999995</v>
      </c>
      <c r="AD420" s="6">
        <f>$O$420*$X$420</f>
        <v>182.67690239999999</v>
      </c>
      <c r="AE420" s="6">
        <f>$K$420*$Y$420</f>
        <v>0</v>
      </c>
      <c r="AF420" s="6">
        <f ca="1">$M$420*$Z$420</f>
        <v>659.88487995980302</v>
      </c>
      <c r="AG420" s="6">
        <f ca="1">$O$420*$AA$420</f>
        <v>172.39080673326274</v>
      </c>
    </row>
    <row r="421" spans="1:33" ht="11.25" customHeight="1" x14ac:dyDescent="0.3">
      <c r="A421" s="4" t="s">
        <v>21</v>
      </c>
      <c r="B421" s="4" t="s">
        <v>39</v>
      </c>
      <c r="C421" s="4" t="s">
        <v>40</v>
      </c>
      <c r="D421" s="4" t="s">
        <v>44</v>
      </c>
      <c r="E421" s="4" t="s">
        <v>53</v>
      </c>
      <c r="F421" s="4" t="s">
        <v>25</v>
      </c>
      <c r="G421" s="4" t="s">
        <v>25</v>
      </c>
      <c r="H421" s="4" t="s">
        <v>34</v>
      </c>
      <c r="I421" s="5">
        <v>44531</v>
      </c>
      <c r="J421" s="6">
        <v>0</v>
      </c>
      <c r="K421" s="52">
        <v>0</v>
      </c>
      <c r="L421" s="6">
        <v>0.51900000000000002</v>
      </c>
      <c r="M421" s="52">
        <v>0.51900000000000002</v>
      </c>
      <c r="N421" s="6">
        <v>0.51900000000000002</v>
      </c>
      <c r="O421" s="52">
        <v>0.51900000000000002</v>
      </c>
      <c r="P421" s="6">
        <v>0</v>
      </c>
      <c r="Q421" s="4" t="s">
        <v>26</v>
      </c>
      <c r="R421" s="4">
        <v>0</v>
      </c>
      <c r="S421" s="6">
        <v>0</v>
      </c>
      <c r="T421" s="6">
        <v>15</v>
      </c>
      <c r="U421" s="6">
        <v>65</v>
      </c>
      <c r="V421" s="52">
        <f>IF(ISERROR(VLOOKUP($S$421,'TAR FIN'!$A$1:$O$103,15,0)),0,VLOOKUP($S$421,'TAR FIN'!$A$1:$O$103,15,0))</f>
        <v>0</v>
      </c>
      <c r="W421" s="52">
        <f>IF(ISERROR(VLOOKUP($T$421,'TAR FIN'!$A$1:$O$103,15,0)),0,VLOOKUP($T$421,'TAR FIN'!$A$1:$O$103,15,0))*(1-0.04)</f>
        <v>1147.9871999999998</v>
      </c>
      <c r="X421" s="52">
        <f>IF(ISERROR(VLOOKUP($U$421,'TAR FIN'!$A$1:$O$103,15,0)),0,VLOOKUP($U$421,'TAR FIN'!$A$1:$O$103,15,0))*(1-0.04)</f>
        <v>375.8784</v>
      </c>
      <c r="Y421" s="52"/>
      <c r="Z421" s="52">
        <f ca="1">('TUSD BE'!$AM$23+'TUSD BF_350'!$AM$23+'TUSD CVA'!$AM$23)*1*(1-0.02)</f>
        <v>1357.7878188473314</v>
      </c>
      <c r="AA421" s="52">
        <f ca="1">('TE BE'!$AB$8+'TE BF_350'!$AB$8+'TE CVA'!$AB$8)*1*(1-0.02)</f>
        <v>354.71359410136364</v>
      </c>
      <c r="AB421" s="6">
        <f>$K$421*$V$421</f>
        <v>0</v>
      </c>
      <c r="AC421" s="6">
        <f>$M$421*$W$421</f>
        <v>595.80535679999991</v>
      </c>
      <c r="AD421" s="6">
        <f>$O$421*$X$421</f>
        <v>195.08088960000001</v>
      </c>
      <c r="AE421" s="6">
        <f>$K$421*$Y$421</f>
        <v>0</v>
      </c>
      <c r="AF421" s="6">
        <f ca="1">$M$421*$Z$421</f>
        <v>704.69187798176506</v>
      </c>
      <c r="AG421" s="6">
        <f ca="1">$O$421*$AA$421</f>
        <v>184.09635533860774</v>
      </c>
    </row>
    <row r="422" spans="1:33" ht="11.25" customHeight="1" x14ac:dyDescent="0.3">
      <c r="A422" s="4" t="s">
        <v>21</v>
      </c>
      <c r="B422" s="4" t="s">
        <v>39</v>
      </c>
      <c r="C422" s="4" t="s">
        <v>40</v>
      </c>
      <c r="D422" s="4" t="s">
        <v>44</v>
      </c>
      <c r="E422" s="4" t="s">
        <v>53</v>
      </c>
      <c r="F422" s="4" t="s">
        <v>25</v>
      </c>
      <c r="G422" s="4" t="s">
        <v>25</v>
      </c>
      <c r="H422" s="4" t="s">
        <v>34</v>
      </c>
      <c r="I422" s="5">
        <v>44562</v>
      </c>
      <c r="J422" s="6">
        <v>0</v>
      </c>
      <c r="K422" s="52">
        <v>0</v>
      </c>
      <c r="L422" s="6">
        <v>0.33400000000000002</v>
      </c>
      <c r="M422" s="52">
        <v>0.33400000000000002</v>
      </c>
      <c r="N422" s="6">
        <v>0.33400000000000002</v>
      </c>
      <c r="O422" s="52">
        <v>0.33400000000000002</v>
      </c>
      <c r="P422" s="6">
        <v>0</v>
      </c>
      <c r="Q422" s="4" t="s">
        <v>26</v>
      </c>
      <c r="R422" s="4">
        <v>0</v>
      </c>
      <c r="S422" s="6">
        <v>0</v>
      </c>
      <c r="T422" s="6">
        <v>15</v>
      </c>
      <c r="U422" s="6">
        <v>65</v>
      </c>
      <c r="V422" s="52">
        <f>IF(ISERROR(VLOOKUP($S$422,'TAR FIN'!$A$1:$O$103,15,0)),0,VLOOKUP($S$422,'TAR FIN'!$A$1:$O$103,15,0))</f>
        <v>0</v>
      </c>
      <c r="W422" s="52">
        <f>IF(ISERROR(VLOOKUP($T$422,'TAR FIN'!$A$1:$O$103,15,0)),0,VLOOKUP($T$422,'TAR FIN'!$A$1:$O$103,15,0))*(1-0.04)</f>
        <v>1147.9871999999998</v>
      </c>
      <c r="X422" s="52">
        <f>IF(ISERROR(VLOOKUP($U$422,'TAR FIN'!$A$1:$O$103,15,0)),0,VLOOKUP($U$422,'TAR FIN'!$A$1:$O$103,15,0))*(1-0.04)</f>
        <v>375.8784</v>
      </c>
      <c r="Y422" s="52"/>
      <c r="Z422" s="52">
        <f ca="1">('TUSD BE'!$AM$23+'TUSD BF_350'!$AM$23+'TUSD CVA'!$AM$23)*1*(1-0.02)</f>
        <v>1357.7878188473314</v>
      </c>
      <c r="AA422" s="52">
        <f ca="1">('TE BE'!$AB$8+'TE BF_350'!$AB$8+'TE CVA'!$AB$8)*1*(1-0.02)</f>
        <v>354.71359410136364</v>
      </c>
      <c r="AB422" s="6">
        <f>$K$422*$V$422</f>
        <v>0</v>
      </c>
      <c r="AC422" s="6">
        <f>$M$422*$W$422</f>
        <v>383.42772479999996</v>
      </c>
      <c r="AD422" s="6">
        <f>$O$422*$X$422</f>
        <v>125.54338560000001</v>
      </c>
      <c r="AE422" s="6">
        <f>$K$422*$Y$422</f>
        <v>0</v>
      </c>
      <c r="AF422" s="6">
        <f ca="1">$M$422*$Z$422</f>
        <v>453.50113149500874</v>
      </c>
      <c r="AG422" s="6">
        <f ca="1">$O$422*$AA$422</f>
        <v>118.47434042985546</v>
      </c>
    </row>
    <row r="423" spans="1:33" ht="11.25" customHeight="1" x14ac:dyDescent="0.3">
      <c r="A423" s="4" t="s">
        <v>21</v>
      </c>
      <c r="B423" s="4" t="s">
        <v>39</v>
      </c>
      <c r="C423" s="4" t="s">
        <v>40</v>
      </c>
      <c r="D423" s="4" t="s">
        <v>44</v>
      </c>
      <c r="E423" s="4" t="s">
        <v>53</v>
      </c>
      <c r="F423" s="4" t="s">
        <v>25</v>
      </c>
      <c r="G423" s="4" t="s">
        <v>25</v>
      </c>
      <c r="H423" s="4" t="s">
        <v>34</v>
      </c>
      <c r="I423" s="5">
        <v>44593</v>
      </c>
      <c r="J423" s="6">
        <v>0</v>
      </c>
      <c r="K423" s="52">
        <v>0</v>
      </c>
      <c r="L423" s="6">
        <v>0.372</v>
      </c>
      <c r="M423" s="52">
        <v>0.372</v>
      </c>
      <c r="N423" s="6">
        <v>0.372</v>
      </c>
      <c r="O423" s="52">
        <v>0.372</v>
      </c>
      <c r="P423" s="6">
        <v>0</v>
      </c>
      <c r="Q423" s="4" t="s">
        <v>26</v>
      </c>
      <c r="R423" s="4">
        <v>0</v>
      </c>
      <c r="S423" s="6">
        <v>0</v>
      </c>
      <c r="T423" s="6">
        <v>15</v>
      </c>
      <c r="U423" s="6">
        <v>65</v>
      </c>
      <c r="V423" s="52">
        <f>IF(ISERROR(VLOOKUP($S$423,'TAR FIN'!$A$1:$O$103,15,0)),0,VLOOKUP($S$423,'TAR FIN'!$A$1:$O$103,15,0))</f>
        <v>0</v>
      </c>
      <c r="W423" s="52">
        <f>IF(ISERROR(VLOOKUP($T$423,'TAR FIN'!$A$1:$O$103,15,0)),0,VLOOKUP($T$423,'TAR FIN'!$A$1:$O$103,15,0))*(1-0.04)</f>
        <v>1147.9871999999998</v>
      </c>
      <c r="X423" s="52">
        <f>IF(ISERROR(VLOOKUP($U$423,'TAR FIN'!$A$1:$O$103,15,0)),0,VLOOKUP($U$423,'TAR FIN'!$A$1:$O$103,15,0))*(1-0.04)</f>
        <v>375.8784</v>
      </c>
      <c r="Y423" s="52"/>
      <c r="Z423" s="52">
        <f ca="1">('TUSD BE'!$AM$23+'TUSD BF_350'!$AM$23+'TUSD CVA'!$AM$23)*1*(1-0.02)</f>
        <v>1357.7878188473314</v>
      </c>
      <c r="AA423" s="52">
        <f ca="1">('TE BE'!$AB$8+'TE BF_350'!$AB$8+'TE CVA'!$AB$8)*1*(1-0.02)</f>
        <v>354.71359410136364</v>
      </c>
      <c r="AB423" s="6">
        <f>$K$423*$V$423</f>
        <v>0</v>
      </c>
      <c r="AC423" s="6">
        <f>$M$423*$W$423</f>
        <v>427.05123839999993</v>
      </c>
      <c r="AD423" s="6">
        <f>$O$423*$X$423</f>
        <v>139.82676480000001</v>
      </c>
      <c r="AE423" s="6">
        <f>$K$423*$Y$423</f>
        <v>0</v>
      </c>
      <c r="AF423" s="6">
        <f ca="1">$M$423*$Z$423</f>
        <v>505.09706861120731</v>
      </c>
      <c r="AG423" s="6">
        <f ca="1">$O$423*$AA$423</f>
        <v>131.95345700570726</v>
      </c>
    </row>
    <row r="424" spans="1:33" ht="11.25" customHeight="1" x14ac:dyDescent="0.3">
      <c r="A424" s="4" t="s">
        <v>21</v>
      </c>
      <c r="B424" s="4" t="s">
        <v>39</v>
      </c>
      <c r="C424" s="4" t="s">
        <v>40</v>
      </c>
      <c r="D424" s="4" t="s">
        <v>44</v>
      </c>
      <c r="E424" s="4" t="s">
        <v>53</v>
      </c>
      <c r="F424" s="4" t="s">
        <v>25</v>
      </c>
      <c r="G424" s="4" t="s">
        <v>25</v>
      </c>
      <c r="H424" s="4" t="s">
        <v>34</v>
      </c>
      <c r="I424" s="5">
        <v>44621</v>
      </c>
      <c r="J424" s="6">
        <v>0</v>
      </c>
      <c r="K424" s="52">
        <v>0</v>
      </c>
      <c r="L424" s="6">
        <v>0.71499999999999997</v>
      </c>
      <c r="M424" s="52">
        <v>0.71499999999999997</v>
      </c>
      <c r="N424" s="6">
        <v>0.71499999999999997</v>
      </c>
      <c r="O424" s="52">
        <v>0.71499999999999997</v>
      </c>
      <c r="P424" s="6">
        <v>0</v>
      </c>
      <c r="Q424" s="4" t="s">
        <v>26</v>
      </c>
      <c r="R424" s="4">
        <v>0</v>
      </c>
      <c r="S424" s="6">
        <v>0</v>
      </c>
      <c r="T424" s="6">
        <v>15</v>
      </c>
      <c r="U424" s="6">
        <v>65</v>
      </c>
      <c r="V424" s="52">
        <f>IF(ISERROR(VLOOKUP($S$424,'TAR FIN'!$A$1:$O$103,15,0)),0,VLOOKUP($S$424,'TAR FIN'!$A$1:$O$103,15,0))</f>
        <v>0</v>
      </c>
      <c r="W424" s="52">
        <f>IF(ISERROR(VLOOKUP($T$424,'TAR FIN'!$A$1:$O$103,15,0)),0,VLOOKUP($T$424,'TAR FIN'!$A$1:$O$103,15,0))*(1-0.04)</f>
        <v>1147.9871999999998</v>
      </c>
      <c r="X424" s="52">
        <f>IF(ISERROR(VLOOKUP($U$424,'TAR FIN'!$A$1:$O$103,15,0)),0,VLOOKUP($U$424,'TAR FIN'!$A$1:$O$103,15,0))*(1-0.04)</f>
        <v>375.8784</v>
      </c>
      <c r="Y424" s="52"/>
      <c r="Z424" s="52">
        <f ca="1">('TUSD BE'!$AM$23+'TUSD BF_350'!$AM$23+'TUSD CVA'!$AM$23)*1*(1-0.02)</f>
        <v>1357.7878188473314</v>
      </c>
      <c r="AA424" s="52">
        <f ca="1">('TE BE'!$AB$8+'TE BF_350'!$AB$8+'TE CVA'!$AB$8)*1*(1-0.02)</f>
        <v>354.71359410136364</v>
      </c>
      <c r="AB424" s="6">
        <f>$K$424*$V$424</f>
        <v>0</v>
      </c>
      <c r="AC424" s="6">
        <f>$M$424*$W$424</f>
        <v>820.81084799999985</v>
      </c>
      <c r="AD424" s="6">
        <f>$O$424*$X$424</f>
        <v>268.75305600000002</v>
      </c>
      <c r="AE424" s="6">
        <f>$K$424*$Y$424</f>
        <v>0</v>
      </c>
      <c r="AF424" s="6">
        <f ca="1">$M$424*$Z$424</f>
        <v>970.81829047584199</v>
      </c>
      <c r="AG424" s="6">
        <f ca="1">$O$424*$AA$424</f>
        <v>253.620219782475</v>
      </c>
    </row>
    <row r="425" spans="1:33" ht="11.25" customHeight="1" x14ac:dyDescent="0.3">
      <c r="A425" s="4" t="s">
        <v>21</v>
      </c>
      <c r="B425" s="4" t="s">
        <v>39</v>
      </c>
      <c r="C425" s="4" t="s">
        <v>40</v>
      </c>
      <c r="D425" s="4" t="s">
        <v>44</v>
      </c>
      <c r="E425" s="4" t="s">
        <v>53</v>
      </c>
      <c r="F425" s="4" t="s">
        <v>25</v>
      </c>
      <c r="G425" s="4" t="s">
        <v>25</v>
      </c>
      <c r="H425" s="4" t="s">
        <v>34</v>
      </c>
      <c r="I425" s="5">
        <v>44652</v>
      </c>
      <c r="J425" s="6">
        <v>0</v>
      </c>
      <c r="K425" s="52">
        <v>0</v>
      </c>
      <c r="L425" s="6">
        <v>0.79900000000000004</v>
      </c>
      <c r="M425" s="52">
        <v>0.79900000000000004</v>
      </c>
      <c r="N425" s="6">
        <v>0.79900000000000004</v>
      </c>
      <c r="O425" s="52">
        <v>0.79900000000000004</v>
      </c>
      <c r="P425" s="6">
        <v>0</v>
      </c>
      <c r="Q425" s="4" t="s">
        <v>26</v>
      </c>
      <c r="R425" s="4">
        <v>0</v>
      </c>
      <c r="S425" s="6">
        <v>0</v>
      </c>
      <c r="T425" s="6">
        <v>15</v>
      </c>
      <c r="U425" s="6">
        <v>65</v>
      </c>
      <c r="V425" s="52">
        <f>IF(ISERROR(VLOOKUP($S$425,'TAR FIN'!$A$1:$O$103,15,0)),0,VLOOKUP($S$425,'TAR FIN'!$A$1:$O$103,15,0))</f>
        <v>0</v>
      </c>
      <c r="W425" s="52">
        <f>IF(ISERROR(VLOOKUP($T$425,'TAR FIN'!$A$1:$O$103,15,0)),0,VLOOKUP($T$425,'TAR FIN'!$A$1:$O$103,15,0))*(1-0.04)</f>
        <v>1147.9871999999998</v>
      </c>
      <c r="X425" s="52">
        <f>IF(ISERROR(VLOOKUP($U$425,'TAR FIN'!$A$1:$O$103,15,0)),0,VLOOKUP($U$425,'TAR FIN'!$A$1:$O$103,15,0))*(1-0.04)</f>
        <v>375.8784</v>
      </c>
      <c r="Y425" s="52"/>
      <c r="Z425" s="52">
        <f ca="1">('TUSD BE'!$AM$23+'TUSD BF_350'!$AM$23+'TUSD CVA'!$AM$23)*1*(1-0.02)</f>
        <v>1357.7878188473314</v>
      </c>
      <c r="AA425" s="52">
        <f ca="1">('TE BE'!$AB$8+'TE BF_350'!$AB$8+'TE CVA'!$AB$8)*1*(1-0.02)</f>
        <v>354.71359410136364</v>
      </c>
      <c r="AB425" s="6">
        <f>$K$425*$V$425</f>
        <v>0</v>
      </c>
      <c r="AC425" s="6">
        <f>$M$425*$W$425</f>
        <v>917.24177279999992</v>
      </c>
      <c r="AD425" s="6">
        <f>$O$425*$X$425</f>
        <v>300.32684160000002</v>
      </c>
      <c r="AE425" s="6">
        <f>$K$425*$Y$425</f>
        <v>0</v>
      </c>
      <c r="AF425" s="6">
        <f ca="1">$M$425*$Z$425</f>
        <v>1084.8724672590179</v>
      </c>
      <c r="AG425" s="6">
        <f ca="1">$O$425*$AA$425</f>
        <v>283.41616168698954</v>
      </c>
    </row>
    <row r="426" spans="1:33" ht="11.25" customHeight="1" x14ac:dyDescent="0.3">
      <c r="A426" s="4" t="s">
        <v>21</v>
      </c>
      <c r="B426" s="4" t="s">
        <v>39</v>
      </c>
      <c r="C426" s="4" t="s">
        <v>40</v>
      </c>
      <c r="D426" s="4" t="s">
        <v>44</v>
      </c>
      <c r="E426" s="4" t="s">
        <v>53</v>
      </c>
      <c r="F426" s="4" t="s">
        <v>25</v>
      </c>
      <c r="G426" s="4" t="s">
        <v>25</v>
      </c>
      <c r="H426" s="4" t="s">
        <v>34</v>
      </c>
      <c r="I426" s="5">
        <v>44682</v>
      </c>
      <c r="J426" s="6">
        <v>0</v>
      </c>
      <c r="K426" s="52">
        <v>0</v>
      </c>
      <c r="L426" s="6">
        <v>0.68500000000000005</v>
      </c>
      <c r="M426" s="52">
        <v>0.68500000000000005</v>
      </c>
      <c r="N426" s="6">
        <v>0.68500000000000005</v>
      </c>
      <c r="O426" s="52">
        <v>0.68500000000000005</v>
      </c>
      <c r="P426" s="6">
        <v>0</v>
      </c>
      <c r="Q426" s="4" t="s">
        <v>26</v>
      </c>
      <c r="R426" s="4">
        <v>0</v>
      </c>
      <c r="S426" s="6">
        <v>0</v>
      </c>
      <c r="T426" s="6">
        <v>15</v>
      </c>
      <c r="U426" s="6">
        <v>65</v>
      </c>
      <c r="V426" s="52">
        <f>IF(ISERROR(VLOOKUP($S$426,'TAR FIN'!$A$1:$O$103,15,0)),0,VLOOKUP($S$426,'TAR FIN'!$A$1:$O$103,15,0))</f>
        <v>0</v>
      </c>
      <c r="W426" s="52">
        <f>IF(ISERROR(VLOOKUP($T$426,'TAR FIN'!$A$1:$O$103,15,0)),0,VLOOKUP($T$426,'TAR FIN'!$A$1:$O$103,15,0))*(1-0.04)</f>
        <v>1147.9871999999998</v>
      </c>
      <c r="X426" s="52">
        <f>IF(ISERROR(VLOOKUP($U$426,'TAR FIN'!$A$1:$O$103,15,0)),0,VLOOKUP($U$426,'TAR FIN'!$A$1:$O$103,15,0))*(1-0.04)</f>
        <v>375.8784</v>
      </c>
      <c r="Y426" s="52"/>
      <c r="Z426" s="52">
        <f ca="1">('TUSD BE'!$AM$23+'TUSD BF_350'!$AM$23+'TUSD CVA'!$AM$23)*1*(1-0.02)</f>
        <v>1357.7878188473314</v>
      </c>
      <c r="AA426" s="52">
        <f ca="1">('TE BE'!$AB$8+'TE BF_350'!$AB$8+'TE CVA'!$AB$8)*1*(1-0.02)</f>
        <v>354.71359410136364</v>
      </c>
      <c r="AB426" s="6">
        <f>$K$426*$V$426</f>
        <v>0</v>
      </c>
      <c r="AC426" s="6">
        <f>$M$426*$W$426</f>
        <v>786.37123199999996</v>
      </c>
      <c r="AD426" s="6">
        <f>$O$426*$X$426</f>
        <v>257.47670400000004</v>
      </c>
      <c r="AE426" s="6">
        <f>$K$426*$Y$426</f>
        <v>0</v>
      </c>
      <c r="AF426" s="6">
        <f ca="1">$M$426*$Z$426</f>
        <v>930.08465591042216</v>
      </c>
      <c r="AG426" s="6">
        <f ca="1">$O$426*$AA$426</f>
        <v>242.97881195943413</v>
      </c>
    </row>
    <row r="427" spans="1:33" ht="11.25" customHeight="1" x14ac:dyDescent="0.3">
      <c r="A427" s="4" t="s">
        <v>21</v>
      </c>
      <c r="B427" s="4" t="s">
        <v>39</v>
      </c>
      <c r="C427" s="4" t="s">
        <v>40</v>
      </c>
      <c r="D427" s="4" t="s">
        <v>44</v>
      </c>
      <c r="E427" s="4" t="s">
        <v>53</v>
      </c>
      <c r="F427" s="4" t="s">
        <v>25</v>
      </c>
      <c r="G427" s="4" t="s">
        <v>25</v>
      </c>
      <c r="H427" s="4" t="s">
        <v>34</v>
      </c>
      <c r="I427" s="5">
        <v>44713</v>
      </c>
      <c r="J427" s="6">
        <v>0</v>
      </c>
      <c r="K427" s="52">
        <v>0</v>
      </c>
      <c r="L427" s="6">
        <v>1.2609999999999999</v>
      </c>
      <c r="M427" s="52">
        <v>1.2609999999999999</v>
      </c>
      <c r="N427" s="6">
        <v>1.2609999999999999</v>
      </c>
      <c r="O427" s="52">
        <v>1.2609999999999999</v>
      </c>
      <c r="P427" s="6">
        <v>0</v>
      </c>
      <c r="Q427" s="4" t="s">
        <v>26</v>
      </c>
      <c r="R427" s="4">
        <v>0</v>
      </c>
      <c r="S427" s="6">
        <v>0</v>
      </c>
      <c r="T427" s="6">
        <v>15</v>
      </c>
      <c r="U427" s="6">
        <v>65</v>
      </c>
      <c r="V427" s="52">
        <f>IF(ISERROR(VLOOKUP($S$427,'TAR FIN'!$A$1:$O$103,15,0)),0,VLOOKUP($S$427,'TAR FIN'!$A$1:$O$103,15,0))</f>
        <v>0</v>
      </c>
      <c r="W427" s="52">
        <f>IF(ISERROR(VLOOKUP($T$427,'TAR FIN'!$A$1:$O$103,15,0)),0,VLOOKUP($T$427,'TAR FIN'!$A$1:$O$103,15,0))*(1-0.04)</f>
        <v>1147.9871999999998</v>
      </c>
      <c r="X427" s="52">
        <f>IF(ISERROR(VLOOKUP($U$427,'TAR FIN'!$A$1:$O$103,15,0)),0,VLOOKUP($U$427,'TAR FIN'!$A$1:$O$103,15,0))*(1-0.04)</f>
        <v>375.8784</v>
      </c>
      <c r="Y427" s="52"/>
      <c r="Z427" s="52">
        <f ca="1">('TUSD BE'!$AM$23+'TUSD BF_350'!$AM$23+'TUSD CVA'!$AM$23)*1*(1-0.02)</f>
        <v>1357.7878188473314</v>
      </c>
      <c r="AA427" s="52">
        <f ca="1">('TE BE'!$AB$8+'TE BF_350'!$AB$8+'TE CVA'!$AB$8)*1*(1-0.02)</f>
        <v>354.71359410136364</v>
      </c>
      <c r="AB427" s="6">
        <f>$K$427*$V$427</f>
        <v>0</v>
      </c>
      <c r="AC427" s="6">
        <f>$M$427*$W$427</f>
        <v>1447.6118591999996</v>
      </c>
      <c r="AD427" s="6">
        <f>$O$427*$X$427</f>
        <v>473.98266239999998</v>
      </c>
      <c r="AE427" s="6">
        <f>$K$427*$Y$427</f>
        <v>0</v>
      </c>
      <c r="AF427" s="6">
        <f ca="1">$M$427*$Z$427</f>
        <v>1712.1704395664849</v>
      </c>
      <c r="AG427" s="6">
        <f ca="1">$O$427*$AA$427</f>
        <v>447.2938421618195</v>
      </c>
    </row>
    <row r="428" spans="1:33" ht="11.25" customHeight="1" x14ac:dyDescent="0.3">
      <c r="A428" s="4" t="s">
        <v>21</v>
      </c>
      <c r="B428" s="4" t="s">
        <v>39</v>
      </c>
      <c r="C428" s="4" t="s">
        <v>40</v>
      </c>
      <c r="D428" s="4" t="s">
        <v>44</v>
      </c>
      <c r="E428" s="4" t="s">
        <v>53</v>
      </c>
      <c r="F428" s="4" t="s">
        <v>25</v>
      </c>
      <c r="G428" s="4" t="s">
        <v>25</v>
      </c>
      <c r="H428" s="4" t="s">
        <v>34</v>
      </c>
      <c r="I428" s="5">
        <v>44743</v>
      </c>
      <c r="J428" s="6">
        <v>0</v>
      </c>
      <c r="K428" s="52">
        <v>0</v>
      </c>
      <c r="L428" s="6">
        <v>1.0620000000000001</v>
      </c>
      <c r="M428" s="52">
        <v>1.0620000000000001</v>
      </c>
      <c r="N428" s="6">
        <v>1.0620000000000001</v>
      </c>
      <c r="O428" s="52">
        <v>1.0620000000000001</v>
      </c>
      <c r="P428" s="6">
        <v>0</v>
      </c>
      <c r="Q428" s="4" t="s">
        <v>26</v>
      </c>
      <c r="R428" s="4">
        <v>0</v>
      </c>
      <c r="S428" s="6">
        <v>0</v>
      </c>
      <c r="T428" s="6">
        <v>15</v>
      </c>
      <c r="U428" s="6">
        <v>65</v>
      </c>
      <c r="V428" s="52">
        <f>IF(ISERROR(VLOOKUP($S$428,'TAR FIN'!$A$1:$O$103,15,0)),0,VLOOKUP($S$428,'TAR FIN'!$A$1:$O$103,15,0))</f>
        <v>0</v>
      </c>
      <c r="W428" s="52">
        <f>IF(ISERROR(VLOOKUP($T$428,'TAR FIN'!$A$1:$O$103,15,0)),0,VLOOKUP($T$428,'TAR FIN'!$A$1:$O$103,15,0))*(1-0.04)</f>
        <v>1147.9871999999998</v>
      </c>
      <c r="X428" s="52">
        <f>IF(ISERROR(VLOOKUP($U$428,'TAR FIN'!$A$1:$O$103,15,0)),0,VLOOKUP($U$428,'TAR FIN'!$A$1:$O$103,15,0))*(1-0.04)</f>
        <v>375.8784</v>
      </c>
      <c r="Y428" s="52"/>
      <c r="Z428" s="52">
        <f ca="1">('TUSD BE'!$AM$23+'TUSD BF_350'!$AM$23+'TUSD CVA'!$AM$23)*1*(1-0.02)</f>
        <v>1357.7878188473314</v>
      </c>
      <c r="AA428" s="52">
        <f ca="1">('TE BE'!$AB$8+'TE BF_350'!$AB$8+'TE CVA'!$AB$8)*1*(1-0.02)</f>
        <v>354.71359410136364</v>
      </c>
      <c r="AB428" s="6">
        <f>$K$428*$V$428</f>
        <v>0</v>
      </c>
      <c r="AC428" s="6">
        <f>$M$428*$W$428</f>
        <v>1219.1624063999998</v>
      </c>
      <c r="AD428" s="6">
        <f>$O$428*$X$428</f>
        <v>399.18286080000001</v>
      </c>
      <c r="AE428" s="6">
        <f>$K$428*$Y$428</f>
        <v>0</v>
      </c>
      <c r="AF428" s="6">
        <f ca="1">$M$428*$Z$428</f>
        <v>1441.970663615866</v>
      </c>
      <c r="AG428" s="6">
        <f ca="1">$O$428*$AA$428</f>
        <v>376.70583693564822</v>
      </c>
    </row>
    <row r="429" spans="1:33" ht="11.25" customHeight="1" x14ac:dyDescent="0.3">
      <c r="A429" s="4" t="s">
        <v>21</v>
      </c>
      <c r="B429" s="4" t="s">
        <v>39</v>
      </c>
      <c r="C429" s="4" t="s">
        <v>40</v>
      </c>
      <c r="D429" s="4" t="s">
        <v>44</v>
      </c>
      <c r="E429" s="4" t="s">
        <v>53</v>
      </c>
      <c r="F429" s="4" t="s">
        <v>25</v>
      </c>
      <c r="G429" s="4" t="s">
        <v>25</v>
      </c>
      <c r="H429" s="4" t="s">
        <v>34</v>
      </c>
      <c r="I429" s="5">
        <v>44774</v>
      </c>
      <c r="J429" s="6">
        <v>0</v>
      </c>
      <c r="K429" s="52">
        <v>0</v>
      </c>
      <c r="L429" s="6">
        <v>0.80800000000000005</v>
      </c>
      <c r="M429" s="52">
        <v>0.80800000000000005</v>
      </c>
      <c r="N429" s="6">
        <v>0.80800000000000005</v>
      </c>
      <c r="O429" s="52">
        <v>0.80800000000000005</v>
      </c>
      <c r="P429" s="6">
        <v>0</v>
      </c>
      <c r="Q429" s="4" t="s">
        <v>26</v>
      </c>
      <c r="R429" s="4">
        <v>0</v>
      </c>
      <c r="S429" s="6">
        <v>0</v>
      </c>
      <c r="T429" s="6">
        <v>15</v>
      </c>
      <c r="U429" s="6">
        <v>65</v>
      </c>
      <c r="V429" s="52">
        <f>IF(ISERROR(VLOOKUP($S$429,'TAR FIN'!$A$1:$O$103,15,0)),0,VLOOKUP($S$429,'TAR FIN'!$A$1:$O$103,15,0))</f>
        <v>0</v>
      </c>
      <c r="W429" s="52">
        <f>IF(ISERROR(VLOOKUP($T$429,'TAR FIN'!$A$1:$O$103,15,0)),0,VLOOKUP($T$429,'TAR FIN'!$A$1:$O$103,15,0))*(1-0.04)</f>
        <v>1147.9871999999998</v>
      </c>
      <c r="X429" s="52">
        <f>IF(ISERROR(VLOOKUP($U$429,'TAR FIN'!$A$1:$O$103,15,0)),0,VLOOKUP($U$429,'TAR FIN'!$A$1:$O$103,15,0))*(1-0.04)</f>
        <v>375.8784</v>
      </c>
      <c r="Y429" s="52"/>
      <c r="Z429" s="52">
        <f ca="1">('TUSD BE'!$AM$23+'TUSD BF_350'!$AM$23+'TUSD CVA'!$AM$23)*1*(1-0.02)</f>
        <v>1357.7878188473314</v>
      </c>
      <c r="AA429" s="52">
        <f ca="1">('TE BE'!$AB$8+'TE BF_350'!$AB$8+'TE CVA'!$AB$8)*1*(1-0.02)</f>
        <v>354.71359410136364</v>
      </c>
      <c r="AB429" s="6">
        <f>$K$429*$V$429</f>
        <v>0</v>
      </c>
      <c r="AC429" s="6">
        <f>$M$429*$W$429</f>
        <v>927.57365759999993</v>
      </c>
      <c r="AD429" s="6">
        <f>$O$429*$X$429</f>
        <v>303.70974720000004</v>
      </c>
      <c r="AE429" s="6">
        <f>$K$429*$Y$429</f>
        <v>0</v>
      </c>
      <c r="AF429" s="6">
        <f ca="1">$M$429*$Z$429</f>
        <v>1097.0925576286438</v>
      </c>
      <c r="AG429" s="6">
        <f ca="1">$O$429*$AA$429</f>
        <v>286.60858403390182</v>
      </c>
    </row>
    <row r="430" spans="1:33" ht="11.25" customHeight="1" x14ac:dyDescent="0.3">
      <c r="A430" s="4" t="s">
        <v>21</v>
      </c>
      <c r="B430" s="4" t="s">
        <v>39</v>
      </c>
      <c r="C430" s="4" t="s">
        <v>40</v>
      </c>
      <c r="D430" s="4" t="s">
        <v>44</v>
      </c>
      <c r="E430" s="4" t="s">
        <v>53</v>
      </c>
      <c r="F430" s="4" t="s">
        <v>25</v>
      </c>
      <c r="G430" s="4" t="s">
        <v>25</v>
      </c>
      <c r="H430" s="4" t="s">
        <v>34</v>
      </c>
      <c r="I430" s="5">
        <v>44805</v>
      </c>
      <c r="J430" s="6">
        <v>0</v>
      </c>
      <c r="K430" s="52">
        <v>0</v>
      </c>
      <c r="L430" s="6">
        <v>0.72499999999999998</v>
      </c>
      <c r="M430" s="52">
        <v>0.72499999999999998</v>
      </c>
      <c r="N430" s="6">
        <v>0.72499999999999998</v>
      </c>
      <c r="O430" s="52">
        <v>0.72499999999999998</v>
      </c>
      <c r="P430" s="6">
        <v>0</v>
      </c>
      <c r="Q430" s="4" t="s">
        <v>26</v>
      </c>
      <c r="R430" s="4">
        <v>0</v>
      </c>
      <c r="S430" s="6">
        <v>0</v>
      </c>
      <c r="T430" s="6">
        <v>15</v>
      </c>
      <c r="U430" s="6">
        <v>65</v>
      </c>
      <c r="V430" s="52">
        <f>IF(ISERROR(VLOOKUP($S$430,'TAR FIN'!$A$1:$O$103,15,0)),0,VLOOKUP($S$430,'TAR FIN'!$A$1:$O$103,15,0))</f>
        <v>0</v>
      </c>
      <c r="W430" s="52">
        <f>IF(ISERROR(VLOOKUP($T$430,'TAR FIN'!$A$1:$O$103,15,0)),0,VLOOKUP($T$430,'TAR FIN'!$A$1:$O$103,15,0))*(1-0.04)</f>
        <v>1147.9871999999998</v>
      </c>
      <c r="X430" s="52">
        <f>IF(ISERROR(VLOOKUP($U$430,'TAR FIN'!$A$1:$O$103,15,0)),0,VLOOKUP($U$430,'TAR FIN'!$A$1:$O$103,15,0))*(1-0.04)</f>
        <v>375.8784</v>
      </c>
      <c r="Y430" s="52"/>
      <c r="Z430" s="52">
        <f ca="1">('TUSD BE'!$AM$23+'TUSD BF_350'!$AM$23+'TUSD CVA'!$AM$23)*1*(1-0.02)</f>
        <v>1357.7878188473314</v>
      </c>
      <c r="AA430" s="52">
        <f ca="1">('TE BE'!$AB$8+'TE BF_350'!$AB$8+'TE CVA'!$AB$8)*1*(1-0.02)</f>
        <v>354.71359410136364</v>
      </c>
      <c r="AB430" s="6">
        <f>$K$430*$V$430</f>
        <v>0</v>
      </c>
      <c r="AC430" s="6">
        <f>$M$430*$W$430</f>
        <v>832.29071999999985</v>
      </c>
      <c r="AD430" s="6">
        <f>$O$430*$X$430</f>
        <v>272.51184000000001</v>
      </c>
      <c r="AE430" s="6">
        <f>$K$430*$Y$430</f>
        <v>0</v>
      </c>
      <c r="AF430" s="6">
        <f ca="1">$M$430*$Z$430</f>
        <v>984.39616866431527</v>
      </c>
      <c r="AG430" s="6">
        <f ca="1">$O$430*$AA$430</f>
        <v>257.16735572348864</v>
      </c>
    </row>
    <row r="431" spans="1:33" ht="11.25" customHeight="1" x14ac:dyDescent="0.3">
      <c r="A431" s="4" t="s">
        <v>57</v>
      </c>
      <c r="B431" s="4" t="s">
        <v>39</v>
      </c>
      <c r="C431" s="4" t="s">
        <v>40</v>
      </c>
      <c r="D431" s="4" t="s">
        <v>44</v>
      </c>
      <c r="E431" s="4" t="s">
        <v>53</v>
      </c>
      <c r="F431" s="4" t="s">
        <v>25</v>
      </c>
      <c r="G431" s="4" t="s">
        <v>25</v>
      </c>
      <c r="H431" s="4" t="s">
        <v>34</v>
      </c>
      <c r="I431" s="5">
        <v>44835</v>
      </c>
      <c r="J431" s="6">
        <v>0</v>
      </c>
      <c r="K431" s="52">
        <v>0</v>
      </c>
      <c r="L431" s="6">
        <v>0.72499999999999998</v>
      </c>
      <c r="M431" s="52">
        <v>0.72499999999999998</v>
      </c>
      <c r="N431" s="6">
        <v>0.72499999999999998</v>
      </c>
      <c r="O431" s="52">
        <v>0.72499999999999998</v>
      </c>
      <c r="P431" s="6">
        <v>0</v>
      </c>
      <c r="Q431" s="4" t="s">
        <v>26</v>
      </c>
      <c r="R431" s="4">
        <v>0</v>
      </c>
      <c r="S431" s="6">
        <v>0</v>
      </c>
      <c r="T431" s="6">
        <v>15</v>
      </c>
      <c r="U431" s="6">
        <v>65</v>
      </c>
      <c r="V431" s="52">
        <f>IF(ISERROR(VLOOKUP($S$431,'TAR FIN'!$A$1:$O$103,15,0)),0,VLOOKUP($S$431,'TAR FIN'!$A$1:$O$103,15,0))</f>
        <v>0</v>
      </c>
      <c r="W431" s="52">
        <f>IF(ISERROR(VLOOKUP($T$431,'TAR FIN'!$A$1:$O$103,15,0)),0,VLOOKUP($T$431,'TAR FIN'!$A$1:$O$103,15,0))*(1-0.04)</f>
        <v>1147.9871999999998</v>
      </c>
      <c r="X431" s="52">
        <f>IF(ISERROR(VLOOKUP($U$431,'TAR FIN'!$A$1:$O$103,15,0)),0,VLOOKUP($U$431,'TAR FIN'!$A$1:$O$103,15,0))*(1-0.04)</f>
        <v>375.8784</v>
      </c>
      <c r="Y431" s="52"/>
      <c r="Z431" s="52">
        <f ca="1">('TUSD BE'!$AM$23+'TUSD BF_350'!$AM$23+'TUSD CVA'!$AM$23)*1*(1-0.02)</f>
        <v>1357.7878188473314</v>
      </c>
      <c r="AA431" s="52">
        <f ca="1">('TE BE'!$AB$8+'TE BF_350'!$AB$8+'TE CVA'!$AB$8)*1*(1-0.02)</f>
        <v>354.71359410136364</v>
      </c>
      <c r="AB431" s="6">
        <f>$K$431*$V$431</f>
        <v>0</v>
      </c>
      <c r="AC431" s="6">
        <f>$M$431*$W$431</f>
        <v>832.29071999999985</v>
      </c>
      <c r="AD431" s="6">
        <f>$O$431*$X$431</f>
        <v>272.51184000000001</v>
      </c>
      <c r="AE431" s="6">
        <f>$K$431*$Y$431</f>
        <v>0</v>
      </c>
      <c r="AF431" s="6">
        <f ca="1">$M$431*$Z$431</f>
        <v>984.39616866431527</v>
      </c>
      <c r="AG431" s="6">
        <f ca="1">$O$431*$AA$431</f>
        <v>257.16735572348864</v>
      </c>
    </row>
    <row r="432" spans="1:33" ht="11.25" customHeight="1" x14ac:dyDescent="0.3">
      <c r="A432" s="4" t="s">
        <v>21</v>
      </c>
      <c r="B432" s="4" t="s">
        <v>39</v>
      </c>
      <c r="C432" s="4" t="s">
        <v>40</v>
      </c>
      <c r="D432" s="4" t="s">
        <v>44</v>
      </c>
      <c r="E432" s="4" t="s">
        <v>56</v>
      </c>
      <c r="F432" s="4" t="s">
        <v>25</v>
      </c>
      <c r="G432" s="4" t="s">
        <v>25</v>
      </c>
      <c r="H432" s="4" t="s">
        <v>35</v>
      </c>
      <c r="I432" s="5">
        <v>44501</v>
      </c>
      <c r="J432" s="6">
        <v>0</v>
      </c>
      <c r="K432" s="52">
        <v>0</v>
      </c>
      <c r="L432" s="6">
        <v>0.39800000000000002</v>
      </c>
      <c r="M432" s="52">
        <v>0.39800000000000002</v>
      </c>
      <c r="N432" s="6">
        <v>0.39800000000000002</v>
      </c>
      <c r="O432" s="52">
        <v>0.39800000000000002</v>
      </c>
      <c r="P432" s="6">
        <v>0</v>
      </c>
      <c r="Q432" s="4" t="s">
        <v>26</v>
      </c>
      <c r="R432" s="4">
        <v>0</v>
      </c>
      <c r="S432" s="6">
        <v>0</v>
      </c>
      <c r="T432" s="6">
        <v>17</v>
      </c>
      <c r="U432" s="6">
        <v>66</v>
      </c>
      <c r="V432" s="52">
        <f>IF(ISERROR(VLOOKUP($S$432,'TAR FIN'!$A$1:$O$103,15,0)),0,VLOOKUP($S$432,'TAR FIN'!$A$1:$O$103,15,0))</f>
        <v>0</v>
      </c>
      <c r="W432" s="52">
        <f>IF(ISERROR(VLOOKUP($T$432,'TAR FIN'!$A$1:$O$103,15,0)),0,VLOOKUP($T$432,'TAR FIN'!$A$1:$O$103,15,0))*(1-0.04)</f>
        <v>81.590399999999988</v>
      </c>
      <c r="X432" s="52">
        <f>IF(ISERROR(VLOOKUP($U$432,'TAR FIN'!$A$1:$O$103,15,0)),0,VLOOKUP($U$432,'TAR FIN'!$A$1:$O$103,15,0))*(1-0.04)</f>
        <v>233.0592</v>
      </c>
      <c r="Y432" s="52"/>
      <c r="Z432" s="52">
        <f ca="1">('TUSD BE'!$AM$24+'TUSD BF_350'!$AM$24+'TUSD CVA'!$AM$24)*1*(1-0.02)</f>
        <v>142.80792645762099</v>
      </c>
      <c r="AA432" s="52">
        <f ca="1">('TE BE'!$AB$9+'TE BF_350'!$AB$9+'TE CVA'!$AB$9)*1*(1-0.02)</f>
        <v>217.94598758226687</v>
      </c>
      <c r="AB432" s="6">
        <f>$K$432*$V$432</f>
        <v>0</v>
      </c>
      <c r="AC432" s="6">
        <f>$M$432*$W$432</f>
        <v>32.472979199999997</v>
      </c>
      <c r="AD432" s="6">
        <f>$O$432*$X$432</f>
        <v>92.757561600000002</v>
      </c>
      <c r="AE432" s="6">
        <f>$K$432*$Y$432</f>
        <v>0</v>
      </c>
      <c r="AF432" s="6">
        <f ca="1">$M$432*$Z$432</f>
        <v>56.837554730133157</v>
      </c>
      <c r="AG432" s="6">
        <f ca="1">$O$432*$AA$432</f>
        <v>86.742503057742212</v>
      </c>
    </row>
    <row r="433" spans="1:33" ht="11.25" customHeight="1" x14ac:dyDescent="0.3">
      <c r="A433" s="4" t="s">
        <v>21</v>
      </c>
      <c r="B433" s="4" t="s">
        <v>39</v>
      </c>
      <c r="C433" s="4" t="s">
        <v>40</v>
      </c>
      <c r="D433" s="4" t="s">
        <v>44</v>
      </c>
      <c r="E433" s="4" t="s">
        <v>56</v>
      </c>
      <c r="F433" s="4" t="s">
        <v>25</v>
      </c>
      <c r="G433" s="4" t="s">
        <v>25</v>
      </c>
      <c r="H433" s="4" t="s">
        <v>35</v>
      </c>
      <c r="I433" s="5">
        <v>44531</v>
      </c>
      <c r="J433" s="6">
        <v>0</v>
      </c>
      <c r="K433" s="52">
        <v>0</v>
      </c>
      <c r="L433" s="6">
        <v>0.41799999999999998</v>
      </c>
      <c r="M433" s="52">
        <v>0.41799999999999998</v>
      </c>
      <c r="N433" s="6">
        <v>0.41799999999999998</v>
      </c>
      <c r="O433" s="52">
        <v>0.41799999999999998</v>
      </c>
      <c r="P433" s="6">
        <v>0</v>
      </c>
      <c r="Q433" s="4" t="s">
        <v>26</v>
      </c>
      <c r="R433" s="4">
        <v>0</v>
      </c>
      <c r="S433" s="6">
        <v>0</v>
      </c>
      <c r="T433" s="6">
        <v>17</v>
      </c>
      <c r="U433" s="6">
        <v>66</v>
      </c>
      <c r="V433" s="52">
        <f>IF(ISERROR(VLOOKUP($S$433,'TAR FIN'!$A$1:$O$103,15,0)),0,VLOOKUP($S$433,'TAR FIN'!$A$1:$O$103,15,0))</f>
        <v>0</v>
      </c>
      <c r="W433" s="52">
        <f>IF(ISERROR(VLOOKUP($T$433,'TAR FIN'!$A$1:$O$103,15,0)),0,VLOOKUP($T$433,'TAR FIN'!$A$1:$O$103,15,0))*(1-0.04)</f>
        <v>81.590399999999988</v>
      </c>
      <c r="X433" s="52">
        <f>IF(ISERROR(VLOOKUP($U$433,'TAR FIN'!$A$1:$O$103,15,0)),0,VLOOKUP($U$433,'TAR FIN'!$A$1:$O$103,15,0))*(1-0.04)</f>
        <v>233.0592</v>
      </c>
      <c r="Y433" s="52"/>
      <c r="Z433" s="52">
        <f ca="1">('TUSD BE'!$AM$24+'TUSD BF_350'!$AM$24+'TUSD CVA'!$AM$24)*1*(1-0.02)</f>
        <v>142.80792645762099</v>
      </c>
      <c r="AA433" s="52">
        <f ca="1">('TE BE'!$AB$9+'TE BF_350'!$AB$9+'TE CVA'!$AB$9)*1*(1-0.02)</f>
        <v>217.94598758226687</v>
      </c>
      <c r="AB433" s="6">
        <f>$K$433*$V$433</f>
        <v>0</v>
      </c>
      <c r="AC433" s="6">
        <f>$M$433*$W$433</f>
        <v>34.104787199999997</v>
      </c>
      <c r="AD433" s="6">
        <f>$O$433*$X$433</f>
        <v>97.418745599999994</v>
      </c>
      <c r="AE433" s="6">
        <f>$K$433*$Y$433</f>
        <v>0</v>
      </c>
      <c r="AF433" s="6">
        <f ca="1">$M$433*$Z$433</f>
        <v>59.693713259285573</v>
      </c>
      <c r="AG433" s="6">
        <f ca="1">$O$433*$AA$433</f>
        <v>91.101422809387543</v>
      </c>
    </row>
    <row r="434" spans="1:33" ht="11.25" customHeight="1" x14ac:dyDescent="0.3">
      <c r="A434" s="4" t="s">
        <v>21</v>
      </c>
      <c r="B434" s="4" t="s">
        <v>39</v>
      </c>
      <c r="C434" s="4" t="s">
        <v>40</v>
      </c>
      <c r="D434" s="4" t="s">
        <v>44</v>
      </c>
      <c r="E434" s="4" t="s">
        <v>56</v>
      </c>
      <c r="F434" s="4" t="s">
        <v>25</v>
      </c>
      <c r="G434" s="4" t="s">
        <v>25</v>
      </c>
      <c r="H434" s="4" t="s">
        <v>35</v>
      </c>
      <c r="I434" s="5">
        <v>44562</v>
      </c>
      <c r="J434" s="6">
        <v>0</v>
      </c>
      <c r="K434" s="52">
        <v>0</v>
      </c>
      <c r="L434" s="6">
        <v>0.42899999999999999</v>
      </c>
      <c r="M434" s="52">
        <v>0.42899999999999999</v>
      </c>
      <c r="N434" s="6">
        <v>0.42899999999999999</v>
      </c>
      <c r="O434" s="52">
        <v>0.42899999999999999</v>
      </c>
      <c r="P434" s="6">
        <v>0</v>
      </c>
      <c r="Q434" s="4" t="s">
        <v>26</v>
      </c>
      <c r="R434" s="4">
        <v>0</v>
      </c>
      <c r="S434" s="6">
        <v>0</v>
      </c>
      <c r="T434" s="6">
        <v>17</v>
      </c>
      <c r="U434" s="6">
        <v>66</v>
      </c>
      <c r="V434" s="52">
        <f>IF(ISERROR(VLOOKUP($S$434,'TAR FIN'!$A$1:$O$103,15,0)),0,VLOOKUP($S$434,'TAR FIN'!$A$1:$O$103,15,0))</f>
        <v>0</v>
      </c>
      <c r="W434" s="52">
        <f>IF(ISERROR(VLOOKUP($T$434,'TAR FIN'!$A$1:$O$103,15,0)),0,VLOOKUP($T$434,'TAR FIN'!$A$1:$O$103,15,0))*(1-0.04)</f>
        <v>81.590399999999988</v>
      </c>
      <c r="X434" s="52">
        <f>IF(ISERROR(VLOOKUP($U$434,'TAR FIN'!$A$1:$O$103,15,0)),0,VLOOKUP($U$434,'TAR FIN'!$A$1:$O$103,15,0))*(1-0.04)</f>
        <v>233.0592</v>
      </c>
      <c r="Y434" s="52"/>
      <c r="Z434" s="52">
        <f ca="1">('TUSD BE'!$AM$24+'TUSD BF_350'!$AM$24+'TUSD CVA'!$AM$24)*1*(1-0.02)</f>
        <v>142.80792645762099</v>
      </c>
      <c r="AA434" s="52">
        <f ca="1">('TE BE'!$AB$9+'TE BF_350'!$AB$9+'TE CVA'!$AB$9)*1*(1-0.02)</f>
        <v>217.94598758226687</v>
      </c>
      <c r="AB434" s="6">
        <f>$K$434*$V$434</f>
        <v>0</v>
      </c>
      <c r="AC434" s="6">
        <f>$M$434*$W$434</f>
        <v>35.002281599999996</v>
      </c>
      <c r="AD434" s="6">
        <f>$O$434*$X$434</f>
        <v>99.982396800000004</v>
      </c>
      <c r="AE434" s="6">
        <f>$K$434*$Y$434</f>
        <v>0</v>
      </c>
      <c r="AF434" s="6">
        <f ca="1">$M$434*$Z$434</f>
        <v>61.264600450319406</v>
      </c>
      <c r="AG434" s="6">
        <f ca="1">$O$434*$AA$434</f>
        <v>93.498828672792484</v>
      </c>
    </row>
    <row r="435" spans="1:33" ht="11.25" customHeight="1" x14ac:dyDescent="0.3">
      <c r="A435" s="4" t="s">
        <v>21</v>
      </c>
      <c r="B435" s="4" t="s">
        <v>39</v>
      </c>
      <c r="C435" s="4" t="s">
        <v>40</v>
      </c>
      <c r="D435" s="4" t="s">
        <v>44</v>
      </c>
      <c r="E435" s="4" t="s">
        <v>56</v>
      </c>
      <c r="F435" s="4" t="s">
        <v>25</v>
      </c>
      <c r="G435" s="4" t="s">
        <v>25</v>
      </c>
      <c r="H435" s="4" t="s">
        <v>25</v>
      </c>
      <c r="I435" s="5">
        <v>44501</v>
      </c>
      <c r="J435" s="6">
        <v>1</v>
      </c>
      <c r="K435" s="52">
        <v>1</v>
      </c>
      <c r="L435" s="6">
        <v>0</v>
      </c>
      <c r="M435" s="52">
        <v>0</v>
      </c>
      <c r="N435" s="6">
        <v>0</v>
      </c>
      <c r="O435" s="52">
        <v>0</v>
      </c>
      <c r="P435" s="6">
        <v>2</v>
      </c>
      <c r="Q435" s="4" t="s">
        <v>26</v>
      </c>
      <c r="R435" s="4">
        <v>0</v>
      </c>
      <c r="S435" s="6">
        <v>13</v>
      </c>
      <c r="T435" s="6">
        <v>0</v>
      </c>
      <c r="U435" s="6">
        <v>0</v>
      </c>
      <c r="V435" s="52">
        <f>IF(ISERROR(VLOOKUP($S$435,'TAR FIN'!$A$1:$O$103,15,0)),0,VLOOKUP($S$435,'TAR FIN'!$A$1:$O$103,15,0))*(1-0.04)</f>
        <v>18.1632</v>
      </c>
      <c r="W435" s="52">
        <f>IF(ISERROR(VLOOKUP($T$435,'TAR FIN'!$A$1:$O$103,15,0)),0,VLOOKUP($T$435,'TAR FIN'!$A$1:$O$103,15,0))</f>
        <v>0</v>
      </c>
      <c r="X435" s="52">
        <f>IF(ISERROR(VLOOKUP($U$435,'TAR FIN'!$A$1:$O$103,15,0)),0,VLOOKUP($U$435,'TAR FIN'!$A$1:$O$103,15,0))</f>
        <v>0</v>
      </c>
      <c r="Y435" s="52">
        <f ca="1">('TUSD BE'!$AM$22+'TUSD BF_350'!$AM$22+'TUSD CVA'!$AM$22)*1*(1-0.02)</f>
        <v>20.941951853111981</v>
      </c>
      <c r="Z435" s="52"/>
      <c r="AA435" s="52"/>
      <c r="AB435" s="6">
        <f>$K$435*$V$435</f>
        <v>18.1632</v>
      </c>
      <c r="AC435" s="6">
        <f>$M$435*$W$435</f>
        <v>0</v>
      </c>
      <c r="AD435" s="6">
        <f>$O$435*$X$435</f>
        <v>0</v>
      </c>
      <c r="AE435" s="6">
        <f ca="1">$K$435*$Y$435</f>
        <v>20.941951853111981</v>
      </c>
      <c r="AF435" s="6">
        <f>$M$435*$Z$435</f>
        <v>0</v>
      </c>
      <c r="AG435" s="6">
        <f>$O$435*$AA$435</f>
        <v>0</v>
      </c>
    </row>
    <row r="436" spans="1:33" ht="11.25" customHeight="1" x14ac:dyDescent="0.3">
      <c r="A436" s="4" t="s">
        <v>21</v>
      </c>
      <c r="B436" s="4" t="s">
        <v>39</v>
      </c>
      <c r="C436" s="4" t="s">
        <v>40</v>
      </c>
      <c r="D436" s="4" t="s">
        <v>44</v>
      </c>
      <c r="E436" s="4" t="s">
        <v>56</v>
      </c>
      <c r="F436" s="4" t="s">
        <v>25</v>
      </c>
      <c r="G436" s="4" t="s">
        <v>25</v>
      </c>
      <c r="H436" s="4" t="s">
        <v>25</v>
      </c>
      <c r="I436" s="5">
        <v>44531</v>
      </c>
      <c r="J436" s="6">
        <v>1</v>
      </c>
      <c r="K436" s="52">
        <v>1</v>
      </c>
      <c r="L436" s="6">
        <v>0</v>
      </c>
      <c r="M436" s="52">
        <v>0</v>
      </c>
      <c r="N436" s="6">
        <v>0</v>
      </c>
      <c r="O436" s="52">
        <v>0</v>
      </c>
      <c r="P436" s="6">
        <v>2</v>
      </c>
      <c r="Q436" s="4" t="s">
        <v>26</v>
      </c>
      <c r="R436" s="4">
        <v>0</v>
      </c>
      <c r="S436" s="6">
        <v>13</v>
      </c>
      <c r="T436" s="6">
        <v>0</v>
      </c>
      <c r="U436" s="6">
        <v>0</v>
      </c>
      <c r="V436" s="52">
        <f>IF(ISERROR(VLOOKUP($S$436,'TAR FIN'!$A$1:$O$103,15,0)),0,VLOOKUP($S$436,'TAR FIN'!$A$1:$O$103,15,0))*(1-0.04)</f>
        <v>18.1632</v>
      </c>
      <c r="W436" s="52">
        <f>IF(ISERROR(VLOOKUP($T$436,'TAR FIN'!$A$1:$O$103,15,0)),0,VLOOKUP($T$436,'TAR FIN'!$A$1:$O$103,15,0))</f>
        <v>0</v>
      </c>
      <c r="X436" s="52">
        <f>IF(ISERROR(VLOOKUP($U$436,'TAR FIN'!$A$1:$O$103,15,0)),0,VLOOKUP($U$436,'TAR FIN'!$A$1:$O$103,15,0))</f>
        <v>0</v>
      </c>
      <c r="Y436" s="52">
        <f ca="1">('TUSD BE'!$AM$22+'TUSD BF_350'!$AM$22+'TUSD CVA'!$AM$22)*1*(1-0.02)</f>
        <v>20.941951853111981</v>
      </c>
      <c r="Z436" s="52"/>
      <c r="AA436" s="52"/>
      <c r="AB436" s="6">
        <f>$K$436*$V$436</f>
        <v>18.1632</v>
      </c>
      <c r="AC436" s="6">
        <f>$M$436*$W$436</f>
        <v>0</v>
      </c>
      <c r="AD436" s="6">
        <f>$O$436*$X$436</f>
        <v>0</v>
      </c>
      <c r="AE436" s="6">
        <f ca="1">$K$436*$Y$436</f>
        <v>20.941951853111981</v>
      </c>
      <c r="AF436" s="6">
        <f>$M$436*$Z$436</f>
        <v>0</v>
      </c>
      <c r="AG436" s="6">
        <f>$O$436*$AA$436</f>
        <v>0</v>
      </c>
    </row>
    <row r="437" spans="1:33" ht="11.25" customHeight="1" x14ac:dyDescent="0.3">
      <c r="A437" s="4" t="s">
        <v>21</v>
      </c>
      <c r="B437" s="4" t="s">
        <v>39</v>
      </c>
      <c r="C437" s="4" t="s">
        <v>40</v>
      </c>
      <c r="D437" s="4" t="s">
        <v>44</v>
      </c>
      <c r="E437" s="4" t="s">
        <v>56</v>
      </c>
      <c r="F437" s="4" t="s">
        <v>25</v>
      </c>
      <c r="G437" s="4" t="s">
        <v>25</v>
      </c>
      <c r="H437" s="4" t="s">
        <v>25</v>
      </c>
      <c r="I437" s="5">
        <v>44562</v>
      </c>
      <c r="J437" s="6">
        <v>1</v>
      </c>
      <c r="K437" s="52">
        <v>1</v>
      </c>
      <c r="L437" s="6">
        <v>0</v>
      </c>
      <c r="M437" s="52">
        <v>0</v>
      </c>
      <c r="N437" s="6">
        <v>0</v>
      </c>
      <c r="O437" s="52">
        <v>0</v>
      </c>
      <c r="P437" s="6">
        <v>2</v>
      </c>
      <c r="Q437" s="4" t="s">
        <v>26</v>
      </c>
      <c r="R437" s="4">
        <v>0</v>
      </c>
      <c r="S437" s="6">
        <v>13</v>
      </c>
      <c r="T437" s="6">
        <v>0</v>
      </c>
      <c r="U437" s="6">
        <v>0</v>
      </c>
      <c r="V437" s="52">
        <f>IF(ISERROR(VLOOKUP($S$437,'TAR FIN'!$A$1:$O$103,15,0)),0,VLOOKUP($S$437,'TAR FIN'!$A$1:$O$103,15,0))*(1-0.04)</f>
        <v>18.1632</v>
      </c>
      <c r="W437" s="52">
        <f>IF(ISERROR(VLOOKUP($T$437,'TAR FIN'!$A$1:$O$103,15,0)),0,VLOOKUP($T$437,'TAR FIN'!$A$1:$O$103,15,0))</f>
        <v>0</v>
      </c>
      <c r="X437" s="52">
        <f>IF(ISERROR(VLOOKUP($U$437,'TAR FIN'!$A$1:$O$103,15,0)),0,VLOOKUP($U$437,'TAR FIN'!$A$1:$O$103,15,0))</f>
        <v>0</v>
      </c>
      <c r="Y437" s="52">
        <f ca="1">('TUSD BE'!$AM$22+'TUSD BF_350'!$AM$22+'TUSD CVA'!$AM$22)*1*(1-0.02)</f>
        <v>20.941951853111981</v>
      </c>
      <c r="Z437" s="52"/>
      <c r="AA437" s="52"/>
      <c r="AB437" s="6">
        <f>$K$437*$V$437</f>
        <v>18.1632</v>
      </c>
      <c r="AC437" s="6">
        <f>$M$437*$W$437</f>
        <v>0</v>
      </c>
      <c r="AD437" s="6">
        <f>$O$437*$X$437</f>
        <v>0</v>
      </c>
      <c r="AE437" s="6">
        <f ca="1">$K$437*$Y$437</f>
        <v>20.941951853111981</v>
      </c>
      <c r="AF437" s="6">
        <f>$M$437*$Z$437</f>
        <v>0</v>
      </c>
      <c r="AG437" s="6">
        <f>$O$437*$AA$437</f>
        <v>0</v>
      </c>
    </row>
    <row r="438" spans="1:33" ht="11.25" customHeight="1" x14ac:dyDescent="0.3">
      <c r="A438" s="4" t="s">
        <v>21</v>
      </c>
      <c r="B438" s="4" t="s">
        <v>39</v>
      </c>
      <c r="C438" s="4" t="s">
        <v>40</v>
      </c>
      <c r="D438" s="4" t="s">
        <v>44</v>
      </c>
      <c r="E438" s="4" t="s">
        <v>56</v>
      </c>
      <c r="F438" s="4" t="s">
        <v>25</v>
      </c>
      <c r="G438" s="4" t="s">
        <v>25</v>
      </c>
      <c r="H438" s="4" t="s">
        <v>34</v>
      </c>
      <c r="I438" s="5">
        <v>44501</v>
      </c>
      <c r="J438" s="6">
        <v>0</v>
      </c>
      <c r="K438" s="52">
        <v>0</v>
      </c>
      <c r="L438" s="6">
        <v>0.06</v>
      </c>
      <c r="M438" s="52">
        <v>0.06</v>
      </c>
      <c r="N438" s="6">
        <v>0.06</v>
      </c>
      <c r="O438" s="52">
        <v>0.06</v>
      </c>
      <c r="P438" s="6">
        <v>0</v>
      </c>
      <c r="Q438" s="4" t="s">
        <v>26</v>
      </c>
      <c r="R438" s="4">
        <v>0</v>
      </c>
      <c r="S438" s="6">
        <v>0</v>
      </c>
      <c r="T438" s="6">
        <v>15</v>
      </c>
      <c r="U438" s="6">
        <v>65</v>
      </c>
      <c r="V438" s="52">
        <f>IF(ISERROR(VLOOKUP($S$438,'TAR FIN'!$A$1:$O$103,15,0)),0,VLOOKUP($S$438,'TAR FIN'!$A$1:$O$103,15,0))</f>
        <v>0</v>
      </c>
      <c r="W438" s="52">
        <f>IF(ISERROR(VLOOKUP($T$438,'TAR FIN'!$A$1:$O$103,15,0)),0,VLOOKUP($T$438,'TAR FIN'!$A$1:$O$103,15,0))*(1-0.04)</f>
        <v>1147.9871999999998</v>
      </c>
      <c r="X438" s="52">
        <f>IF(ISERROR(VLOOKUP($U$438,'TAR FIN'!$A$1:$O$103,15,0)),0,VLOOKUP($U$438,'TAR FIN'!$A$1:$O$103,15,0))*(1-0.04)</f>
        <v>375.8784</v>
      </c>
      <c r="Y438" s="52"/>
      <c r="Z438" s="52">
        <f ca="1">('TUSD BE'!$AM$23+'TUSD BF_350'!$AM$23+'TUSD CVA'!$AM$23)*1*(1-0.02)</f>
        <v>1357.7878188473314</v>
      </c>
      <c r="AA438" s="52">
        <f ca="1">('TE BE'!$AB$8+'TE BF_350'!$AB$8+'TE CVA'!$AB$8)*1*(1-0.02)</f>
        <v>354.71359410136364</v>
      </c>
      <c r="AB438" s="6">
        <f>$K$438*$V$438</f>
        <v>0</v>
      </c>
      <c r="AC438" s="6">
        <f>$M$438*$W$438</f>
        <v>68.879231999999988</v>
      </c>
      <c r="AD438" s="6">
        <f>$O$438*$X$438</f>
        <v>22.552703999999999</v>
      </c>
      <c r="AE438" s="6">
        <f>$K$438*$Y$438</f>
        <v>0</v>
      </c>
      <c r="AF438" s="6">
        <f ca="1">$M$438*$Z$438</f>
        <v>81.467269130839881</v>
      </c>
      <c r="AG438" s="6">
        <f ca="1">$O$438*$AA$438</f>
        <v>21.282815646081819</v>
      </c>
    </row>
    <row r="439" spans="1:33" ht="11.25" customHeight="1" x14ac:dyDescent="0.3">
      <c r="A439" s="4" t="s">
        <v>21</v>
      </c>
      <c r="B439" s="4" t="s">
        <v>39</v>
      </c>
      <c r="C439" s="4" t="s">
        <v>40</v>
      </c>
      <c r="D439" s="4" t="s">
        <v>44</v>
      </c>
      <c r="E439" s="4" t="s">
        <v>56</v>
      </c>
      <c r="F439" s="4" t="s">
        <v>25</v>
      </c>
      <c r="G439" s="4" t="s">
        <v>25</v>
      </c>
      <c r="H439" s="4" t="s">
        <v>34</v>
      </c>
      <c r="I439" s="5">
        <v>44531</v>
      </c>
      <c r="J439" s="6">
        <v>0</v>
      </c>
      <c r="K439" s="52">
        <v>0</v>
      </c>
      <c r="L439" s="6">
        <v>6.5000000000000002E-2</v>
      </c>
      <c r="M439" s="52">
        <v>6.5000000000000002E-2</v>
      </c>
      <c r="N439" s="6">
        <v>6.5000000000000002E-2</v>
      </c>
      <c r="O439" s="52">
        <v>6.5000000000000002E-2</v>
      </c>
      <c r="P439" s="6">
        <v>0</v>
      </c>
      <c r="Q439" s="4" t="s">
        <v>26</v>
      </c>
      <c r="R439" s="4">
        <v>0</v>
      </c>
      <c r="S439" s="6">
        <v>0</v>
      </c>
      <c r="T439" s="6">
        <v>15</v>
      </c>
      <c r="U439" s="6">
        <v>65</v>
      </c>
      <c r="V439" s="52">
        <f>IF(ISERROR(VLOOKUP($S$439,'TAR FIN'!$A$1:$O$103,15,0)),0,VLOOKUP($S$439,'TAR FIN'!$A$1:$O$103,15,0))</f>
        <v>0</v>
      </c>
      <c r="W439" s="52">
        <f>IF(ISERROR(VLOOKUP($T$439,'TAR FIN'!$A$1:$O$103,15,0)),0,VLOOKUP($T$439,'TAR FIN'!$A$1:$O$103,15,0))*(1-0.04)</f>
        <v>1147.9871999999998</v>
      </c>
      <c r="X439" s="52">
        <f>IF(ISERROR(VLOOKUP($U$439,'TAR FIN'!$A$1:$O$103,15,0)),0,VLOOKUP($U$439,'TAR FIN'!$A$1:$O$103,15,0))*(1-0.04)</f>
        <v>375.8784</v>
      </c>
      <c r="Y439" s="52"/>
      <c r="Z439" s="52">
        <f ca="1">('TUSD BE'!$AM$23+'TUSD BF_350'!$AM$23+'TUSD CVA'!$AM$23)*1*(1-0.02)</f>
        <v>1357.7878188473314</v>
      </c>
      <c r="AA439" s="52">
        <f ca="1">('TE BE'!$AB$8+'TE BF_350'!$AB$8+'TE CVA'!$AB$8)*1*(1-0.02)</f>
        <v>354.71359410136364</v>
      </c>
      <c r="AB439" s="6">
        <f>$K$439*$V$439</f>
        <v>0</v>
      </c>
      <c r="AC439" s="6">
        <f>$M$439*$W$439</f>
        <v>74.619167999999988</v>
      </c>
      <c r="AD439" s="6">
        <f>$O$439*$X$439</f>
        <v>24.432096000000001</v>
      </c>
      <c r="AE439" s="6">
        <f>$K$439*$Y$439</f>
        <v>0</v>
      </c>
      <c r="AF439" s="6">
        <f ca="1">$M$439*$Z$439</f>
        <v>88.256208225076549</v>
      </c>
      <c r="AG439" s="6">
        <f ca="1">$O$439*$AA$439</f>
        <v>23.056383616588636</v>
      </c>
    </row>
    <row r="440" spans="1:33" ht="11.25" customHeight="1" x14ac:dyDescent="0.3">
      <c r="A440" s="4" t="s">
        <v>21</v>
      </c>
      <c r="B440" s="4" t="s">
        <v>39</v>
      </c>
      <c r="C440" s="4" t="s">
        <v>40</v>
      </c>
      <c r="D440" s="4" t="s">
        <v>44</v>
      </c>
      <c r="E440" s="4" t="s">
        <v>56</v>
      </c>
      <c r="F440" s="4" t="s">
        <v>25</v>
      </c>
      <c r="G440" s="4" t="s">
        <v>25</v>
      </c>
      <c r="H440" s="4" t="s">
        <v>34</v>
      </c>
      <c r="I440" s="5">
        <v>44562</v>
      </c>
      <c r="J440" s="6">
        <v>0</v>
      </c>
      <c r="K440" s="52">
        <v>0</v>
      </c>
      <c r="L440" s="6">
        <v>5.3999999999999999E-2</v>
      </c>
      <c r="M440" s="52">
        <v>5.3999999999999999E-2</v>
      </c>
      <c r="N440" s="6">
        <v>5.3999999999999999E-2</v>
      </c>
      <c r="O440" s="52">
        <v>5.3999999999999999E-2</v>
      </c>
      <c r="P440" s="6">
        <v>0</v>
      </c>
      <c r="Q440" s="4" t="s">
        <v>26</v>
      </c>
      <c r="R440" s="4">
        <v>0</v>
      </c>
      <c r="S440" s="6">
        <v>0</v>
      </c>
      <c r="T440" s="6">
        <v>15</v>
      </c>
      <c r="U440" s="6">
        <v>65</v>
      </c>
      <c r="V440" s="52">
        <f>IF(ISERROR(VLOOKUP($S$440,'TAR FIN'!$A$1:$O$103,15,0)),0,VLOOKUP($S$440,'TAR FIN'!$A$1:$O$103,15,0))</f>
        <v>0</v>
      </c>
      <c r="W440" s="52">
        <f>IF(ISERROR(VLOOKUP($T$440,'TAR FIN'!$A$1:$O$103,15,0)),0,VLOOKUP($T$440,'TAR FIN'!$A$1:$O$103,15,0))*(1-0.04)</f>
        <v>1147.9871999999998</v>
      </c>
      <c r="X440" s="52">
        <f>IF(ISERROR(VLOOKUP($U$440,'TAR FIN'!$A$1:$O$103,15,0)),0,VLOOKUP($U$440,'TAR FIN'!$A$1:$O$103,15,0))*(1-0.04)</f>
        <v>375.8784</v>
      </c>
      <c r="Y440" s="52"/>
      <c r="Z440" s="52">
        <f ca="1">('TUSD BE'!$AM$23+'TUSD BF_350'!$AM$23+'TUSD CVA'!$AM$23)*1*(1-0.02)</f>
        <v>1357.7878188473314</v>
      </c>
      <c r="AA440" s="52">
        <f ca="1">('TE BE'!$AB$8+'TE BF_350'!$AB$8+'TE CVA'!$AB$8)*1*(1-0.02)</f>
        <v>354.71359410136364</v>
      </c>
      <c r="AB440" s="6">
        <f>$K$440*$V$440</f>
        <v>0</v>
      </c>
      <c r="AC440" s="6">
        <f>$M$440*$W$440</f>
        <v>61.991308799999992</v>
      </c>
      <c r="AD440" s="6">
        <f>$O$440*$X$440</f>
        <v>20.297433599999998</v>
      </c>
      <c r="AE440" s="6">
        <f>$K$440*$Y$440</f>
        <v>0</v>
      </c>
      <c r="AF440" s="6">
        <f ca="1">$M$440*$Z$440</f>
        <v>73.3205422177559</v>
      </c>
      <c r="AG440" s="6">
        <f ca="1">$O$440*$AA$440</f>
        <v>19.154534081473635</v>
      </c>
    </row>
    <row r="441" spans="1:33" ht="11.25" customHeight="1" x14ac:dyDescent="0.3">
      <c r="A441" s="4" t="s">
        <v>21</v>
      </c>
      <c r="B441" s="4" t="s">
        <v>39</v>
      </c>
      <c r="C441" s="4" t="s">
        <v>40</v>
      </c>
      <c r="D441" s="4" t="s">
        <v>44</v>
      </c>
      <c r="E441" s="4" t="s">
        <v>25</v>
      </c>
      <c r="F441" s="4" t="s">
        <v>25</v>
      </c>
      <c r="G441" s="4" t="s">
        <v>25</v>
      </c>
      <c r="H441" s="4" t="s">
        <v>35</v>
      </c>
      <c r="I441" s="5">
        <v>44743</v>
      </c>
      <c r="J441" s="6">
        <v>0</v>
      </c>
      <c r="K441" s="52">
        <v>0</v>
      </c>
      <c r="L441" s="6">
        <v>42.765999999999998</v>
      </c>
      <c r="M441" s="52">
        <v>42.765999999999998</v>
      </c>
      <c r="N441" s="6">
        <v>42.765999999999998</v>
      </c>
      <c r="O441" s="52">
        <v>42.765999999999998</v>
      </c>
      <c r="P441" s="6">
        <v>0</v>
      </c>
      <c r="Q441" s="4" t="s">
        <v>26</v>
      </c>
      <c r="R441" s="4">
        <v>0</v>
      </c>
      <c r="S441" s="6">
        <v>0</v>
      </c>
      <c r="T441" s="6">
        <v>17</v>
      </c>
      <c r="U441" s="6">
        <v>66</v>
      </c>
      <c r="V441" s="52">
        <f>IF(ISERROR(VLOOKUP($S$441,'TAR FIN'!$A$1:$O$103,15,0)),0,VLOOKUP($S$441,'TAR FIN'!$A$1:$O$103,15,0))</f>
        <v>0</v>
      </c>
      <c r="W441" s="52">
        <f>IF(ISERROR(VLOOKUP($T$441,'TAR FIN'!$A$1:$O$103,15,0)),0,VLOOKUP($T$441,'TAR FIN'!$A$1:$O$103,15,0))*(1-0.04)</f>
        <v>81.590399999999988</v>
      </c>
      <c r="X441" s="52">
        <f>IF(ISERROR(VLOOKUP($U$441,'TAR FIN'!$A$1:$O$103,15,0)),0,VLOOKUP($U$441,'TAR FIN'!$A$1:$O$103,15,0))*(1-0.04)</f>
        <v>233.0592</v>
      </c>
      <c r="Y441" s="52"/>
      <c r="Z441" s="52">
        <f ca="1">('TUSD BE'!$AM$24+'TUSD BF_350'!$AM$24+'TUSD CVA'!$AM$24)*1*(1-0.02)</f>
        <v>142.80792645762099</v>
      </c>
      <c r="AA441" s="52">
        <f ca="1">('TE BE'!$AB$9+'TE BF_350'!$AB$9+'TE CVA'!$AB$9)*1*(1-0.02)</f>
        <v>217.94598758226687</v>
      </c>
      <c r="AB441" s="6">
        <f>$K$441*$V$441</f>
        <v>0</v>
      </c>
      <c r="AC441" s="6">
        <f>$M$441*$W$441</f>
        <v>3489.2950463999991</v>
      </c>
      <c r="AD441" s="6">
        <f>$O$441*$X$441</f>
        <v>9967.0097471999998</v>
      </c>
      <c r="AE441" s="6">
        <f>$K$441*$Y$441</f>
        <v>0</v>
      </c>
      <c r="AF441" s="6">
        <f ca="1">$M$441*$Z$441</f>
        <v>6107.3237828866195</v>
      </c>
      <c r="AG441" s="6">
        <f ca="1">$O$441*$AA$441</f>
        <v>9320.6781049432248</v>
      </c>
    </row>
    <row r="442" spans="1:33" ht="11.25" customHeight="1" x14ac:dyDescent="0.3">
      <c r="A442" s="4" t="s">
        <v>21</v>
      </c>
      <c r="B442" s="4" t="s">
        <v>39</v>
      </c>
      <c r="C442" s="4" t="s">
        <v>40</v>
      </c>
      <c r="D442" s="4" t="s">
        <v>44</v>
      </c>
      <c r="E442" s="4" t="s">
        <v>25</v>
      </c>
      <c r="F442" s="4" t="s">
        <v>25</v>
      </c>
      <c r="G442" s="4" t="s">
        <v>25</v>
      </c>
      <c r="H442" s="4" t="s">
        <v>35</v>
      </c>
      <c r="I442" s="5">
        <v>44774</v>
      </c>
      <c r="J442" s="6">
        <v>0</v>
      </c>
      <c r="K442" s="52">
        <v>0</v>
      </c>
      <c r="L442" s="6">
        <v>37.598999999999997</v>
      </c>
      <c r="M442" s="52">
        <v>37.598999999999997</v>
      </c>
      <c r="N442" s="6">
        <v>37.598999999999997</v>
      </c>
      <c r="O442" s="52">
        <v>37.598999999999997</v>
      </c>
      <c r="P442" s="6">
        <v>0</v>
      </c>
      <c r="Q442" s="4" t="s">
        <v>26</v>
      </c>
      <c r="R442" s="4">
        <v>0</v>
      </c>
      <c r="S442" s="6">
        <v>0</v>
      </c>
      <c r="T442" s="6">
        <v>17</v>
      </c>
      <c r="U442" s="6">
        <v>66</v>
      </c>
      <c r="V442" s="52">
        <f>IF(ISERROR(VLOOKUP($S$442,'TAR FIN'!$A$1:$O$103,15,0)),0,VLOOKUP($S$442,'TAR FIN'!$A$1:$O$103,15,0))</f>
        <v>0</v>
      </c>
      <c r="W442" s="52">
        <f>IF(ISERROR(VLOOKUP($T$442,'TAR FIN'!$A$1:$O$103,15,0)),0,VLOOKUP($T$442,'TAR FIN'!$A$1:$O$103,15,0))*(1-0.04)</f>
        <v>81.590399999999988</v>
      </c>
      <c r="X442" s="52">
        <f>IF(ISERROR(VLOOKUP($U$442,'TAR FIN'!$A$1:$O$103,15,0)),0,VLOOKUP($U$442,'TAR FIN'!$A$1:$O$103,15,0))*(1-0.04)</f>
        <v>233.0592</v>
      </c>
      <c r="Y442" s="52"/>
      <c r="Z442" s="52">
        <f ca="1">('TUSD BE'!$AM$24+'TUSD BF_350'!$AM$24+'TUSD CVA'!$AM$24)*1*(1-0.02)</f>
        <v>142.80792645762099</v>
      </c>
      <c r="AA442" s="52">
        <f ca="1">('TE BE'!$AB$9+'TE BF_350'!$AB$9+'TE CVA'!$AB$9)*1*(1-0.02)</f>
        <v>217.94598758226687</v>
      </c>
      <c r="AB442" s="6">
        <f>$K$442*$V$442</f>
        <v>0</v>
      </c>
      <c r="AC442" s="6">
        <f>$M$442*$W$442</f>
        <v>3067.7174495999993</v>
      </c>
      <c r="AD442" s="6">
        <f>$O$442*$X$442</f>
        <v>8762.7928608000002</v>
      </c>
      <c r="AE442" s="6">
        <f>$K$442*$Y$442</f>
        <v>0</v>
      </c>
      <c r="AF442" s="6">
        <f ca="1">$M$442*$Z$442</f>
        <v>5369.4352268800912</v>
      </c>
      <c r="AG442" s="6">
        <f ca="1">$O$442*$AA$442</f>
        <v>8194.5511871056515</v>
      </c>
    </row>
    <row r="443" spans="1:33" ht="11.25" customHeight="1" x14ac:dyDescent="0.3">
      <c r="A443" s="4" t="s">
        <v>21</v>
      </c>
      <c r="B443" s="4" t="s">
        <v>39</v>
      </c>
      <c r="C443" s="4" t="s">
        <v>40</v>
      </c>
      <c r="D443" s="4" t="s">
        <v>44</v>
      </c>
      <c r="E443" s="4" t="s">
        <v>25</v>
      </c>
      <c r="F443" s="4" t="s">
        <v>25</v>
      </c>
      <c r="G443" s="4" t="s">
        <v>25</v>
      </c>
      <c r="H443" s="4" t="s">
        <v>35</v>
      </c>
      <c r="I443" s="5">
        <v>44805</v>
      </c>
      <c r="J443" s="6">
        <v>0</v>
      </c>
      <c r="K443" s="52">
        <v>0</v>
      </c>
      <c r="L443" s="6">
        <v>35.881999999999998</v>
      </c>
      <c r="M443" s="52">
        <v>35.881999999999998</v>
      </c>
      <c r="N443" s="6">
        <v>35.881999999999998</v>
      </c>
      <c r="O443" s="52">
        <v>35.881999999999998</v>
      </c>
      <c r="P443" s="6">
        <v>0</v>
      </c>
      <c r="Q443" s="4" t="s">
        <v>26</v>
      </c>
      <c r="R443" s="4">
        <v>0</v>
      </c>
      <c r="S443" s="6">
        <v>0</v>
      </c>
      <c r="T443" s="6">
        <v>17</v>
      </c>
      <c r="U443" s="6">
        <v>66</v>
      </c>
      <c r="V443" s="52">
        <f>IF(ISERROR(VLOOKUP($S$443,'TAR FIN'!$A$1:$O$103,15,0)),0,VLOOKUP($S$443,'TAR FIN'!$A$1:$O$103,15,0))</f>
        <v>0</v>
      </c>
      <c r="W443" s="52">
        <f>IF(ISERROR(VLOOKUP($T$443,'TAR FIN'!$A$1:$O$103,15,0)),0,VLOOKUP($T$443,'TAR FIN'!$A$1:$O$103,15,0))*(1-0.04)</f>
        <v>81.590399999999988</v>
      </c>
      <c r="X443" s="52">
        <f>IF(ISERROR(VLOOKUP($U$443,'TAR FIN'!$A$1:$O$103,15,0)),0,VLOOKUP($U$443,'TAR FIN'!$A$1:$O$103,15,0))*(1-0.04)</f>
        <v>233.0592</v>
      </c>
      <c r="Y443" s="52"/>
      <c r="Z443" s="52">
        <f ca="1">('TUSD BE'!$AM$24+'TUSD BF_350'!$AM$24+'TUSD CVA'!$AM$24)*1*(1-0.02)</f>
        <v>142.80792645762099</v>
      </c>
      <c r="AA443" s="52">
        <f ca="1">('TE BE'!$AB$9+'TE BF_350'!$AB$9+'TE CVA'!$AB$9)*1*(1-0.02)</f>
        <v>217.94598758226687</v>
      </c>
      <c r="AB443" s="6">
        <f>$K$443*$V$443</f>
        <v>0</v>
      </c>
      <c r="AC443" s="6">
        <f>$M$443*$W$443</f>
        <v>2927.6267327999994</v>
      </c>
      <c r="AD443" s="6">
        <f>$O$443*$X$443</f>
        <v>8362.6302144000001</v>
      </c>
      <c r="AE443" s="6">
        <f>$K$443*$Y$443</f>
        <v>0</v>
      </c>
      <c r="AF443" s="6">
        <f ca="1">$M$443*$Z$443</f>
        <v>5124.2340171523565</v>
      </c>
      <c r="AG443" s="6">
        <f ca="1">$O$443*$AA$443</f>
        <v>7820.3379264268997</v>
      </c>
    </row>
    <row r="444" spans="1:33" ht="11.25" customHeight="1" x14ac:dyDescent="0.3">
      <c r="A444" s="4" t="s">
        <v>57</v>
      </c>
      <c r="B444" s="4" t="s">
        <v>39</v>
      </c>
      <c r="C444" s="4" t="s">
        <v>40</v>
      </c>
      <c r="D444" s="4" t="s">
        <v>44</v>
      </c>
      <c r="E444" s="4" t="s">
        <v>25</v>
      </c>
      <c r="F444" s="4" t="s">
        <v>25</v>
      </c>
      <c r="G444" s="4" t="s">
        <v>25</v>
      </c>
      <c r="H444" s="4" t="s">
        <v>35</v>
      </c>
      <c r="I444" s="5">
        <v>44835</v>
      </c>
      <c r="J444" s="6">
        <v>0</v>
      </c>
      <c r="K444" s="52">
        <v>0</v>
      </c>
      <c r="L444" s="6">
        <v>35.881999999999998</v>
      </c>
      <c r="M444" s="52">
        <v>35.881999999999998</v>
      </c>
      <c r="N444" s="6">
        <v>35.881999999999998</v>
      </c>
      <c r="O444" s="52">
        <v>35.881999999999998</v>
      </c>
      <c r="P444" s="6">
        <v>0</v>
      </c>
      <c r="Q444" s="4" t="s">
        <v>26</v>
      </c>
      <c r="R444" s="4">
        <v>0</v>
      </c>
      <c r="S444" s="6">
        <v>0</v>
      </c>
      <c r="T444" s="6">
        <v>17</v>
      </c>
      <c r="U444" s="6">
        <v>66</v>
      </c>
      <c r="V444" s="52">
        <f>IF(ISERROR(VLOOKUP($S$444,'TAR FIN'!$A$1:$O$103,15,0)),0,VLOOKUP($S$444,'TAR FIN'!$A$1:$O$103,15,0))</f>
        <v>0</v>
      </c>
      <c r="W444" s="52">
        <f>IF(ISERROR(VLOOKUP($T$444,'TAR FIN'!$A$1:$O$103,15,0)),0,VLOOKUP($T$444,'TAR FIN'!$A$1:$O$103,15,0))*(1-0.04)</f>
        <v>81.590399999999988</v>
      </c>
      <c r="X444" s="52">
        <f>IF(ISERROR(VLOOKUP($U$444,'TAR FIN'!$A$1:$O$103,15,0)),0,VLOOKUP($U$444,'TAR FIN'!$A$1:$O$103,15,0))*(1-0.04)</f>
        <v>233.0592</v>
      </c>
      <c r="Y444" s="52"/>
      <c r="Z444" s="52">
        <f ca="1">('TUSD BE'!$AM$24+'TUSD BF_350'!$AM$24+'TUSD CVA'!$AM$24)*1*(1-0.02)</f>
        <v>142.80792645762099</v>
      </c>
      <c r="AA444" s="52">
        <f ca="1">('TE BE'!$AB$9+'TE BF_350'!$AB$9+'TE CVA'!$AB$9)*1*(1-0.02)</f>
        <v>217.94598758226687</v>
      </c>
      <c r="AB444" s="6">
        <f>$K$444*$V$444</f>
        <v>0</v>
      </c>
      <c r="AC444" s="6">
        <f>$M$444*$W$444</f>
        <v>2927.6267327999994</v>
      </c>
      <c r="AD444" s="6">
        <f>$O$444*$X$444</f>
        <v>8362.6302144000001</v>
      </c>
      <c r="AE444" s="6">
        <f>$K$444*$Y$444</f>
        <v>0</v>
      </c>
      <c r="AF444" s="6">
        <f ca="1">$M$444*$Z$444</f>
        <v>5124.2340171523565</v>
      </c>
      <c r="AG444" s="6">
        <f ca="1">$O$444*$AA$444</f>
        <v>7820.3379264268997</v>
      </c>
    </row>
    <row r="445" spans="1:33" ht="11.25" customHeight="1" x14ac:dyDescent="0.3">
      <c r="A445" s="4" t="s">
        <v>21</v>
      </c>
      <c r="B445" s="4" t="s">
        <v>39</v>
      </c>
      <c r="C445" s="4" t="s">
        <v>40</v>
      </c>
      <c r="D445" s="4" t="s">
        <v>44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44743</v>
      </c>
      <c r="J445" s="6">
        <v>149</v>
      </c>
      <c r="K445" s="52">
        <v>149</v>
      </c>
      <c r="L445" s="6">
        <v>0</v>
      </c>
      <c r="M445" s="52">
        <v>0</v>
      </c>
      <c r="N445" s="6">
        <v>0</v>
      </c>
      <c r="O445" s="52">
        <v>0</v>
      </c>
      <c r="P445" s="6">
        <v>1</v>
      </c>
      <c r="Q445" s="4" t="s">
        <v>26</v>
      </c>
      <c r="R445" s="4">
        <v>0</v>
      </c>
      <c r="S445" s="6">
        <v>13</v>
      </c>
      <c r="T445" s="6">
        <v>0</v>
      </c>
      <c r="U445" s="6">
        <v>0</v>
      </c>
      <c r="V445" s="52">
        <f>IF(ISERROR(VLOOKUP($S$445,'TAR FIN'!$A$1:$O$103,15,0)),0,VLOOKUP($S$445,'TAR FIN'!$A$1:$O$103,15,0))*(1-0.04)</f>
        <v>18.1632</v>
      </c>
      <c r="W445" s="52">
        <f>IF(ISERROR(VLOOKUP($T$445,'TAR FIN'!$A$1:$O$103,15,0)),0,VLOOKUP($T$445,'TAR FIN'!$A$1:$O$103,15,0))</f>
        <v>0</v>
      </c>
      <c r="X445" s="52">
        <f>IF(ISERROR(VLOOKUP($U$445,'TAR FIN'!$A$1:$O$103,15,0)),0,VLOOKUP($U$445,'TAR FIN'!$A$1:$O$103,15,0))</f>
        <v>0</v>
      </c>
      <c r="Y445" s="52">
        <f ca="1">('TUSD BE'!$AM$22+'TUSD BF_350'!$AM$22+'TUSD CVA'!$AM$22)*1*(1-0.02)</f>
        <v>20.941951853111981</v>
      </c>
      <c r="Z445" s="52"/>
      <c r="AA445" s="52"/>
      <c r="AB445" s="6">
        <f>$K$445*$V$445</f>
        <v>2706.3168000000001</v>
      </c>
      <c r="AC445" s="6">
        <f>$M$445*$W$445</f>
        <v>0</v>
      </c>
      <c r="AD445" s="6">
        <f>$O$445*$X$445</f>
        <v>0</v>
      </c>
      <c r="AE445" s="6">
        <f ca="1">$K$445*$Y$445</f>
        <v>3120.3508261136849</v>
      </c>
      <c r="AF445" s="6">
        <f>$M$445*$Z$445</f>
        <v>0</v>
      </c>
      <c r="AG445" s="6">
        <f>$O$445*$AA$445</f>
        <v>0</v>
      </c>
    </row>
    <row r="446" spans="1:33" ht="11.25" customHeight="1" x14ac:dyDescent="0.3">
      <c r="A446" s="4" t="s">
        <v>21</v>
      </c>
      <c r="B446" s="4" t="s">
        <v>39</v>
      </c>
      <c r="C446" s="4" t="s">
        <v>40</v>
      </c>
      <c r="D446" s="4" t="s">
        <v>44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44774</v>
      </c>
      <c r="J446" s="6">
        <v>149</v>
      </c>
      <c r="K446" s="52">
        <v>149</v>
      </c>
      <c r="L446" s="6">
        <v>0</v>
      </c>
      <c r="M446" s="52">
        <v>0</v>
      </c>
      <c r="N446" s="6">
        <v>0</v>
      </c>
      <c r="O446" s="52">
        <v>0</v>
      </c>
      <c r="P446" s="6">
        <v>1</v>
      </c>
      <c r="Q446" s="4" t="s">
        <v>26</v>
      </c>
      <c r="R446" s="4">
        <v>0</v>
      </c>
      <c r="S446" s="6">
        <v>13</v>
      </c>
      <c r="T446" s="6">
        <v>0</v>
      </c>
      <c r="U446" s="6">
        <v>0</v>
      </c>
      <c r="V446" s="52">
        <f>IF(ISERROR(VLOOKUP($S$446,'TAR FIN'!$A$1:$O$103,15,0)),0,VLOOKUP($S$446,'TAR FIN'!$A$1:$O$103,15,0))*(1-0.04)</f>
        <v>18.1632</v>
      </c>
      <c r="W446" s="52">
        <f>IF(ISERROR(VLOOKUP($T$446,'TAR FIN'!$A$1:$O$103,15,0)),0,VLOOKUP($T$446,'TAR FIN'!$A$1:$O$103,15,0))</f>
        <v>0</v>
      </c>
      <c r="X446" s="52">
        <f>IF(ISERROR(VLOOKUP($U$446,'TAR FIN'!$A$1:$O$103,15,0)),0,VLOOKUP($U$446,'TAR FIN'!$A$1:$O$103,15,0))</f>
        <v>0</v>
      </c>
      <c r="Y446" s="52">
        <f ca="1">('TUSD BE'!$AM$22+'TUSD BF_350'!$AM$22+'TUSD CVA'!$AM$22)*1*(1-0.02)</f>
        <v>20.941951853111981</v>
      </c>
      <c r="Z446" s="52"/>
      <c r="AA446" s="52"/>
      <c r="AB446" s="6">
        <f>$K$446*$V$446</f>
        <v>2706.3168000000001</v>
      </c>
      <c r="AC446" s="6">
        <f>$M$446*$W$446</f>
        <v>0</v>
      </c>
      <c r="AD446" s="6">
        <f>$O$446*$X$446</f>
        <v>0</v>
      </c>
      <c r="AE446" s="6">
        <f ca="1">$K$446*$Y$446</f>
        <v>3120.3508261136849</v>
      </c>
      <c r="AF446" s="6">
        <f>$M$446*$Z$446</f>
        <v>0</v>
      </c>
      <c r="AG446" s="6">
        <f>$O$446*$AA$446</f>
        <v>0</v>
      </c>
    </row>
    <row r="447" spans="1:33" ht="11.25" customHeight="1" x14ac:dyDescent="0.3">
      <c r="A447" s="4" t="s">
        <v>21</v>
      </c>
      <c r="B447" s="4" t="s">
        <v>39</v>
      </c>
      <c r="C447" s="4" t="s">
        <v>40</v>
      </c>
      <c r="D447" s="4" t="s">
        <v>44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44805</v>
      </c>
      <c r="J447" s="6">
        <v>149</v>
      </c>
      <c r="K447" s="52">
        <v>149</v>
      </c>
      <c r="L447" s="6">
        <v>0</v>
      </c>
      <c r="M447" s="52">
        <v>0</v>
      </c>
      <c r="N447" s="6">
        <v>0</v>
      </c>
      <c r="O447" s="52">
        <v>0</v>
      </c>
      <c r="P447" s="6">
        <v>1</v>
      </c>
      <c r="Q447" s="4" t="s">
        <v>26</v>
      </c>
      <c r="R447" s="4">
        <v>0</v>
      </c>
      <c r="S447" s="6">
        <v>13</v>
      </c>
      <c r="T447" s="6">
        <v>0</v>
      </c>
      <c r="U447" s="6">
        <v>0</v>
      </c>
      <c r="V447" s="52">
        <f>IF(ISERROR(VLOOKUP($S$447,'TAR FIN'!$A$1:$O$103,15,0)),0,VLOOKUP($S$447,'TAR FIN'!$A$1:$O$103,15,0))*(1-0.04)</f>
        <v>18.1632</v>
      </c>
      <c r="W447" s="52">
        <f>IF(ISERROR(VLOOKUP($T$447,'TAR FIN'!$A$1:$O$103,15,0)),0,VLOOKUP($T$447,'TAR FIN'!$A$1:$O$103,15,0))</f>
        <v>0</v>
      </c>
      <c r="X447" s="52">
        <f>IF(ISERROR(VLOOKUP($U$447,'TAR FIN'!$A$1:$O$103,15,0)),0,VLOOKUP($U$447,'TAR FIN'!$A$1:$O$103,15,0))</f>
        <v>0</v>
      </c>
      <c r="Y447" s="52">
        <f ca="1">('TUSD BE'!$AM$22+'TUSD BF_350'!$AM$22+'TUSD CVA'!$AM$22)*1*(1-0.02)</f>
        <v>20.941951853111981</v>
      </c>
      <c r="Z447" s="52"/>
      <c r="AA447" s="52"/>
      <c r="AB447" s="6">
        <f>$K$447*$V$447</f>
        <v>2706.3168000000001</v>
      </c>
      <c r="AC447" s="6">
        <f>$M$447*$W$447</f>
        <v>0</v>
      </c>
      <c r="AD447" s="6">
        <f>$O$447*$X$447</f>
        <v>0</v>
      </c>
      <c r="AE447" s="6">
        <f ca="1">$K$447*$Y$447</f>
        <v>3120.3508261136849</v>
      </c>
      <c r="AF447" s="6">
        <f>$M$447*$Z$447</f>
        <v>0</v>
      </c>
      <c r="AG447" s="6">
        <f>$O$447*$AA$447</f>
        <v>0</v>
      </c>
    </row>
    <row r="448" spans="1:33" ht="11.25" customHeight="1" x14ac:dyDescent="0.3">
      <c r="A448" s="4" t="s">
        <v>57</v>
      </c>
      <c r="B448" s="4" t="s">
        <v>39</v>
      </c>
      <c r="C448" s="4" t="s">
        <v>40</v>
      </c>
      <c r="D448" s="4" t="s">
        <v>44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44835</v>
      </c>
      <c r="J448" s="6">
        <v>149</v>
      </c>
      <c r="K448" s="52">
        <v>149</v>
      </c>
      <c r="L448" s="6">
        <v>0</v>
      </c>
      <c r="M448" s="52">
        <v>0</v>
      </c>
      <c r="N448" s="6">
        <v>0</v>
      </c>
      <c r="O448" s="52">
        <v>0</v>
      </c>
      <c r="P448" s="6">
        <v>1</v>
      </c>
      <c r="Q448" s="4" t="s">
        <v>26</v>
      </c>
      <c r="R448" s="4">
        <v>0</v>
      </c>
      <c r="S448" s="6">
        <v>13</v>
      </c>
      <c r="T448" s="6">
        <v>0</v>
      </c>
      <c r="U448" s="6">
        <v>0</v>
      </c>
      <c r="V448" s="52">
        <f>IF(ISERROR(VLOOKUP($S$448,'TAR FIN'!$A$1:$O$103,15,0)),0,VLOOKUP($S$448,'TAR FIN'!$A$1:$O$103,15,0))*(1-0.04)</f>
        <v>18.1632</v>
      </c>
      <c r="W448" s="52">
        <f>IF(ISERROR(VLOOKUP($T$448,'TAR FIN'!$A$1:$O$103,15,0)),0,VLOOKUP($T$448,'TAR FIN'!$A$1:$O$103,15,0))</f>
        <v>0</v>
      </c>
      <c r="X448" s="52">
        <f>IF(ISERROR(VLOOKUP($U$448,'TAR FIN'!$A$1:$O$103,15,0)),0,VLOOKUP($U$448,'TAR FIN'!$A$1:$O$103,15,0))</f>
        <v>0</v>
      </c>
      <c r="Y448" s="52">
        <f ca="1">('TUSD BE'!$AM$22+'TUSD BF_350'!$AM$22+'TUSD CVA'!$AM$22)*1*(1-0.02)</f>
        <v>20.941951853111981</v>
      </c>
      <c r="Z448" s="52"/>
      <c r="AA448" s="52"/>
      <c r="AB448" s="6">
        <f>$K$448*$V$448</f>
        <v>2706.3168000000001</v>
      </c>
      <c r="AC448" s="6">
        <f>$M$448*$W$448</f>
        <v>0</v>
      </c>
      <c r="AD448" s="6">
        <f>$O$448*$X$448</f>
        <v>0</v>
      </c>
      <c r="AE448" s="6">
        <f ca="1">$K$448*$Y$448</f>
        <v>3120.3508261136849</v>
      </c>
      <c r="AF448" s="6">
        <f>$M$448*$Z$448</f>
        <v>0</v>
      </c>
      <c r="AG448" s="6">
        <f>$O$448*$AA$448</f>
        <v>0</v>
      </c>
    </row>
    <row r="449" spans="1:33" ht="11.25" customHeight="1" x14ac:dyDescent="0.3">
      <c r="A449" s="4" t="s">
        <v>21</v>
      </c>
      <c r="B449" s="4" t="s">
        <v>39</v>
      </c>
      <c r="C449" s="4" t="s">
        <v>40</v>
      </c>
      <c r="D449" s="4" t="s">
        <v>44</v>
      </c>
      <c r="E449" s="4" t="s">
        <v>25</v>
      </c>
      <c r="F449" s="4" t="s">
        <v>25</v>
      </c>
      <c r="G449" s="4" t="s">
        <v>25</v>
      </c>
      <c r="H449" s="4" t="s">
        <v>34</v>
      </c>
      <c r="I449" s="5">
        <v>44743</v>
      </c>
      <c r="J449" s="6">
        <v>0</v>
      </c>
      <c r="K449" s="52">
        <v>0</v>
      </c>
      <c r="L449" s="6">
        <v>4.8419999999999996</v>
      </c>
      <c r="M449" s="52">
        <v>4.8419999999999996</v>
      </c>
      <c r="N449" s="6">
        <v>4.8419999999999996</v>
      </c>
      <c r="O449" s="52">
        <v>4.8419999999999996</v>
      </c>
      <c r="P449" s="6">
        <v>0</v>
      </c>
      <c r="Q449" s="4" t="s">
        <v>26</v>
      </c>
      <c r="R449" s="4">
        <v>0</v>
      </c>
      <c r="S449" s="6">
        <v>0</v>
      </c>
      <c r="T449" s="6">
        <v>15</v>
      </c>
      <c r="U449" s="6">
        <v>65</v>
      </c>
      <c r="V449" s="52">
        <f>IF(ISERROR(VLOOKUP($S$449,'TAR FIN'!$A$1:$O$103,15,0)),0,VLOOKUP($S$449,'TAR FIN'!$A$1:$O$103,15,0))</f>
        <v>0</v>
      </c>
      <c r="W449" s="52">
        <f>IF(ISERROR(VLOOKUP($T$449,'TAR FIN'!$A$1:$O$103,15,0)),0,VLOOKUP($T$449,'TAR FIN'!$A$1:$O$103,15,0))*(1-0.04)</f>
        <v>1147.9871999999998</v>
      </c>
      <c r="X449" s="52">
        <f>IF(ISERROR(VLOOKUP($U$449,'TAR FIN'!$A$1:$O$103,15,0)),0,VLOOKUP($U$449,'TAR FIN'!$A$1:$O$103,15,0))*(1-0.04)</f>
        <v>375.8784</v>
      </c>
      <c r="Y449" s="52"/>
      <c r="Z449" s="52">
        <f ca="1">('TUSD BE'!$AM$23+'TUSD BF_350'!$AM$23+'TUSD CVA'!$AM$23)*1*(1-0.02)</f>
        <v>1357.7878188473314</v>
      </c>
      <c r="AA449" s="52">
        <f ca="1">('TE BE'!$AB$8+'TE BF_350'!$AB$8+'TE CVA'!$AB$8)*1*(1-0.02)</f>
        <v>354.71359410136364</v>
      </c>
      <c r="AB449" s="6">
        <f>$K$449*$V$449</f>
        <v>0</v>
      </c>
      <c r="AC449" s="6">
        <f>$M$449*$W$449</f>
        <v>5558.5540223999988</v>
      </c>
      <c r="AD449" s="6">
        <f>$O$449*$X$449</f>
        <v>1820.0032127999998</v>
      </c>
      <c r="AE449" s="6">
        <f>$K$449*$Y$449</f>
        <v>0</v>
      </c>
      <c r="AF449" s="6">
        <f ca="1">$M$449*$Z$449</f>
        <v>6574.408618858778</v>
      </c>
      <c r="AG449" s="6">
        <f ca="1">$O$449*$AA$449</f>
        <v>1717.5232226388025</v>
      </c>
    </row>
    <row r="450" spans="1:33" ht="11.25" customHeight="1" x14ac:dyDescent="0.3">
      <c r="A450" s="4" t="s">
        <v>21</v>
      </c>
      <c r="B450" s="4" t="s">
        <v>39</v>
      </c>
      <c r="C450" s="4" t="s">
        <v>40</v>
      </c>
      <c r="D450" s="4" t="s">
        <v>44</v>
      </c>
      <c r="E450" s="4" t="s">
        <v>25</v>
      </c>
      <c r="F450" s="4" t="s">
        <v>25</v>
      </c>
      <c r="G450" s="4" t="s">
        <v>25</v>
      </c>
      <c r="H450" s="4" t="s">
        <v>34</v>
      </c>
      <c r="I450" s="5">
        <v>44774</v>
      </c>
      <c r="J450" s="6">
        <v>0</v>
      </c>
      <c r="K450" s="52">
        <v>0</v>
      </c>
      <c r="L450" s="6">
        <v>4.8959999999999999</v>
      </c>
      <c r="M450" s="52">
        <v>4.8959999999999999</v>
      </c>
      <c r="N450" s="6">
        <v>4.8959999999999999</v>
      </c>
      <c r="O450" s="52">
        <v>4.8959999999999999</v>
      </c>
      <c r="P450" s="6">
        <v>0</v>
      </c>
      <c r="Q450" s="4" t="s">
        <v>26</v>
      </c>
      <c r="R450" s="4">
        <v>0</v>
      </c>
      <c r="S450" s="6">
        <v>0</v>
      </c>
      <c r="T450" s="6">
        <v>15</v>
      </c>
      <c r="U450" s="6">
        <v>65</v>
      </c>
      <c r="V450" s="52">
        <f>IF(ISERROR(VLOOKUP($S$450,'TAR FIN'!$A$1:$O$103,15,0)),0,VLOOKUP($S$450,'TAR FIN'!$A$1:$O$103,15,0))</f>
        <v>0</v>
      </c>
      <c r="W450" s="52">
        <f>IF(ISERROR(VLOOKUP($T$450,'TAR FIN'!$A$1:$O$103,15,0)),0,VLOOKUP($T$450,'TAR FIN'!$A$1:$O$103,15,0))*(1-0.04)</f>
        <v>1147.9871999999998</v>
      </c>
      <c r="X450" s="52">
        <f>IF(ISERROR(VLOOKUP($U$450,'TAR FIN'!$A$1:$O$103,15,0)),0,VLOOKUP($U$450,'TAR FIN'!$A$1:$O$103,15,0))*(1-0.04)</f>
        <v>375.8784</v>
      </c>
      <c r="Y450" s="52"/>
      <c r="Z450" s="52">
        <f ca="1">('TUSD BE'!$AM$23+'TUSD BF_350'!$AM$23+'TUSD CVA'!$AM$23)*1*(1-0.02)</f>
        <v>1357.7878188473314</v>
      </c>
      <c r="AA450" s="52">
        <f ca="1">('TE BE'!$AB$8+'TE BF_350'!$AB$8+'TE CVA'!$AB$8)*1*(1-0.02)</f>
        <v>354.71359410136364</v>
      </c>
      <c r="AB450" s="6">
        <f>$K$450*$V$450</f>
        <v>0</v>
      </c>
      <c r="AC450" s="6">
        <f>$M$450*$W$450</f>
        <v>5620.5453311999991</v>
      </c>
      <c r="AD450" s="6">
        <f>$O$450*$X$450</f>
        <v>1840.3006464</v>
      </c>
      <c r="AE450" s="6">
        <f>$K$450*$Y$450</f>
        <v>0</v>
      </c>
      <c r="AF450" s="6">
        <f ca="1">$M$450*$Z$450</f>
        <v>6647.7291610765342</v>
      </c>
      <c r="AG450" s="6">
        <f ca="1">$O$450*$AA$450</f>
        <v>1736.6777567202764</v>
      </c>
    </row>
    <row r="451" spans="1:33" ht="11.25" customHeight="1" x14ac:dyDescent="0.3">
      <c r="A451" s="4" t="s">
        <v>21</v>
      </c>
      <c r="B451" s="4" t="s">
        <v>39</v>
      </c>
      <c r="C451" s="4" t="s">
        <v>40</v>
      </c>
      <c r="D451" s="4" t="s">
        <v>44</v>
      </c>
      <c r="E451" s="4" t="s">
        <v>25</v>
      </c>
      <c r="F451" s="4" t="s">
        <v>25</v>
      </c>
      <c r="G451" s="4" t="s">
        <v>25</v>
      </c>
      <c r="H451" s="4" t="s">
        <v>34</v>
      </c>
      <c r="I451" s="5">
        <v>44805</v>
      </c>
      <c r="J451" s="6">
        <v>0</v>
      </c>
      <c r="K451" s="52">
        <v>0</v>
      </c>
      <c r="L451" s="6">
        <v>4.335</v>
      </c>
      <c r="M451" s="52">
        <v>4.335</v>
      </c>
      <c r="N451" s="6">
        <v>4.335</v>
      </c>
      <c r="O451" s="52">
        <v>4.335</v>
      </c>
      <c r="P451" s="6">
        <v>0</v>
      </c>
      <c r="Q451" s="4" t="s">
        <v>26</v>
      </c>
      <c r="R451" s="4">
        <v>0</v>
      </c>
      <c r="S451" s="6">
        <v>0</v>
      </c>
      <c r="T451" s="6">
        <v>15</v>
      </c>
      <c r="U451" s="6">
        <v>65</v>
      </c>
      <c r="V451" s="52">
        <f>IF(ISERROR(VLOOKUP($S$451,'TAR FIN'!$A$1:$O$103,15,0)),0,VLOOKUP($S$451,'TAR FIN'!$A$1:$O$103,15,0))</f>
        <v>0</v>
      </c>
      <c r="W451" s="52">
        <f>IF(ISERROR(VLOOKUP($T$451,'TAR FIN'!$A$1:$O$103,15,0)),0,VLOOKUP($T$451,'TAR FIN'!$A$1:$O$103,15,0))*(1-0.04)</f>
        <v>1147.9871999999998</v>
      </c>
      <c r="X451" s="52">
        <f>IF(ISERROR(VLOOKUP($U$451,'TAR FIN'!$A$1:$O$103,15,0)),0,VLOOKUP($U$451,'TAR FIN'!$A$1:$O$103,15,0))*(1-0.04)</f>
        <v>375.8784</v>
      </c>
      <c r="Y451" s="52"/>
      <c r="Z451" s="52">
        <f ca="1">('TUSD BE'!$AM$23+'TUSD BF_350'!$AM$23+'TUSD CVA'!$AM$23)*1*(1-0.02)</f>
        <v>1357.7878188473314</v>
      </c>
      <c r="AA451" s="52">
        <f ca="1">('TE BE'!$AB$8+'TE BF_350'!$AB$8+'TE CVA'!$AB$8)*1*(1-0.02)</f>
        <v>354.71359410136364</v>
      </c>
      <c r="AB451" s="6">
        <f>$K$451*$V$451</f>
        <v>0</v>
      </c>
      <c r="AC451" s="6">
        <f>$M$451*$W$451</f>
        <v>4976.524511999999</v>
      </c>
      <c r="AD451" s="6">
        <f>$O$451*$X$451</f>
        <v>1629.4328639999999</v>
      </c>
      <c r="AE451" s="6">
        <f>$K$451*$Y$451</f>
        <v>0</v>
      </c>
      <c r="AF451" s="6">
        <f ca="1">$M$451*$Z$451</f>
        <v>5886.0101947031817</v>
      </c>
      <c r="AG451" s="6">
        <f ca="1">$O$451*$AA$451</f>
        <v>1537.6834304294114</v>
      </c>
    </row>
    <row r="452" spans="1:33" ht="11.25" customHeight="1" x14ac:dyDescent="0.3">
      <c r="A452" s="4" t="s">
        <v>57</v>
      </c>
      <c r="B452" s="4" t="s">
        <v>39</v>
      </c>
      <c r="C452" s="4" t="s">
        <v>40</v>
      </c>
      <c r="D452" s="4" t="s">
        <v>44</v>
      </c>
      <c r="E452" s="4" t="s">
        <v>25</v>
      </c>
      <c r="F452" s="4" t="s">
        <v>25</v>
      </c>
      <c r="G452" s="4" t="s">
        <v>25</v>
      </c>
      <c r="H452" s="4" t="s">
        <v>34</v>
      </c>
      <c r="I452" s="5">
        <v>44835</v>
      </c>
      <c r="J452" s="6">
        <v>0</v>
      </c>
      <c r="K452" s="52">
        <v>0</v>
      </c>
      <c r="L452" s="6">
        <v>4.335</v>
      </c>
      <c r="M452" s="52">
        <v>4.335</v>
      </c>
      <c r="N452" s="6">
        <v>4.335</v>
      </c>
      <c r="O452" s="52">
        <v>4.335</v>
      </c>
      <c r="P452" s="6">
        <v>0</v>
      </c>
      <c r="Q452" s="4" t="s">
        <v>26</v>
      </c>
      <c r="R452" s="4">
        <v>0</v>
      </c>
      <c r="S452" s="6">
        <v>0</v>
      </c>
      <c r="T452" s="6">
        <v>15</v>
      </c>
      <c r="U452" s="6">
        <v>65</v>
      </c>
      <c r="V452" s="52">
        <f>IF(ISERROR(VLOOKUP($S$452,'TAR FIN'!$A$1:$O$103,15,0)),0,VLOOKUP($S$452,'TAR FIN'!$A$1:$O$103,15,0))</f>
        <v>0</v>
      </c>
      <c r="W452" s="52">
        <f>IF(ISERROR(VLOOKUP($T$452,'TAR FIN'!$A$1:$O$103,15,0)),0,VLOOKUP($T$452,'TAR FIN'!$A$1:$O$103,15,0))*(1-0.04)</f>
        <v>1147.9871999999998</v>
      </c>
      <c r="X452" s="52">
        <f>IF(ISERROR(VLOOKUP($U$452,'TAR FIN'!$A$1:$O$103,15,0)),0,VLOOKUP($U$452,'TAR FIN'!$A$1:$O$103,15,0))*(1-0.04)</f>
        <v>375.8784</v>
      </c>
      <c r="Y452" s="52"/>
      <c r="Z452" s="52">
        <f ca="1">('TUSD BE'!$AM$23+'TUSD BF_350'!$AM$23+'TUSD CVA'!$AM$23)*1*(1-0.02)</f>
        <v>1357.7878188473314</v>
      </c>
      <c r="AA452" s="52">
        <f ca="1">('TE BE'!$AB$8+'TE BF_350'!$AB$8+'TE CVA'!$AB$8)*1*(1-0.02)</f>
        <v>354.71359410136364</v>
      </c>
      <c r="AB452" s="6">
        <f>$K$452*$V$452</f>
        <v>0</v>
      </c>
      <c r="AC452" s="6">
        <f>$M$452*$W$452</f>
        <v>4976.524511999999</v>
      </c>
      <c r="AD452" s="6">
        <f>$O$452*$X$452</f>
        <v>1629.4328639999999</v>
      </c>
      <c r="AE452" s="6">
        <f>$K$452*$Y$452</f>
        <v>0</v>
      </c>
      <c r="AF452" s="6">
        <f ca="1">$M$452*$Z$452</f>
        <v>5886.0101947031817</v>
      </c>
      <c r="AG452" s="6">
        <f ca="1">$O$452*$AA$452</f>
        <v>1537.6834304294114</v>
      </c>
    </row>
    <row r="453" spans="1:33" ht="11.25" customHeight="1" x14ac:dyDescent="0.3">
      <c r="A453" s="4" t="s">
        <v>21</v>
      </c>
      <c r="B453" s="4" t="s">
        <v>39</v>
      </c>
      <c r="C453" s="4" t="s">
        <v>40</v>
      </c>
      <c r="D453" s="4" t="s">
        <v>50</v>
      </c>
      <c r="E453" s="4" t="s">
        <v>51</v>
      </c>
      <c r="F453" s="4" t="s">
        <v>25</v>
      </c>
      <c r="G453" s="4" t="s">
        <v>25</v>
      </c>
      <c r="H453" s="4" t="s">
        <v>35</v>
      </c>
      <c r="I453" s="5">
        <v>44501</v>
      </c>
      <c r="J453" s="6">
        <v>0</v>
      </c>
      <c r="K453" s="52">
        <v>0</v>
      </c>
      <c r="L453" s="6">
        <v>4.2469999999999999</v>
      </c>
      <c r="M453" s="52">
        <v>4.2469999999999999</v>
      </c>
      <c r="N453" s="6">
        <v>4.2469999999999999</v>
      </c>
      <c r="O453" s="52">
        <v>4.2469999999999999</v>
      </c>
      <c r="P453" s="6">
        <v>0</v>
      </c>
      <c r="Q453" s="4" t="s">
        <v>26</v>
      </c>
      <c r="R453" s="4">
        <v>0</v>
      </c>
      <c r="S453" s="6">
        <v>0</v>
      </c>
      <c r="T453" s="6">
        <v>17</v>
      </c>
      <c r="U453" s="6">
        <v>66</v>
      </c>
      <c r="V453" s="52">
        <f>IF(ISERROR(VLOOKUP($S$453,'TAR FIN'!$A$1:$O$103,15,0)),0,VLOOKUP($S$453,'TAR FIN'!$A$1:$O$103,15,0))</f>
        <v>0</v>
      </c>
      <c r="W453" s="52">
        <f>IF(ISERROR(VLOOKUP($T$453,'TAR FIN'!$A$1:$O$103,15,0)),0,VLOOKUP($T$453,'TAR FIN'!$A$1:$O$103,15,0))*(1-0.06)</f>
        <v>79.890599999999992</v>
      </c>
      <c r="X453" s="52">
        <f>IF(ISERROR(VLOOKUP($U$453,'TAR FIN'!$A$1:$O$103,15,0)),0,VLOOKUP($U$453,'TAR FIN'!$A$1:$O$103,15,0))*(1-0.06)</f>
        <v>228.2038</v>
      </c>
      <c r="Y453" s="52"/>
      <c r="Z453" s="52">
        <f ca="1">('TUSD BE'!$AM$24+'TUSD BF_350'!$AM$24+'TUSD CVA'!$AM$24)*1*(1-0.03)</f>
        <v>141.35070271825751</v>
      </c>
      <c r="AA453" s="52">
        <f ca="1">('TE BE'!$AB$9+'TE BF_350'!$AB$9+'TE CVA'!$AB$9)*1*(1-0.03)</f>
        <v>215.72204893346822</v>
      </c>
      <c r="AB453" s="6">
        <f>$K$453*$V$453</f>
        <v>0</v>
      </c>
      <c r="AC453" s="6">
        <f>$M$453*$W$453</f>
        <v>339.29537819999996</v>
      </c>
      <c r="AD453" s="6">
        <f>$O$453*$X$453</f>
        <v>969.18153859999995</v>
      </c>
      <c r="AE453" s="6">
        <f>$K$453*$Y$453</f>
        <v>0</v>
      </c>
      <c r="AF453" s="6">
        <f ca="1">$M$453*$Z$453</f>
        <v>600.31643444443966</v>
      </c>
      <c r="AG453" s="6">
        <f ca="1">$O$453*$AA$453</f>
        <v>916.17154182043953</v>
      </c>
    </row>
    <row r="454" spans="1:33" ht="11.25" customHeight="1" x14ac:dyDescent="0.3">
      <c r="A454" s="4" t="s">
        <v>21</v>
      </c>
      <c r="B454" s="4" t="s">
        <v>39</v>
      </c>
      <c r="C454" s="4" t="s">
        <v>40</v>
      </c>
      <c r="D454" s="4" t="s">
        <v>50</v>
      </c>
      <c r="E454" s="4" t="s">
        <v>51</v>
      </c>
      <c r="F454" s="4" t="s">
        <v>25</v>
      </c>
      <c r="G454" s="4" t="s">
        <v>25</v>
      </c>
      <c r="H454" s="4" t="s">
        <v>35</v>
      </c>
      <c r="I454" s="5">
        <v>44531</v>
      </c>
      <c r="J454" s="6">
        <v>0</v>
      </c>
      <c r="K454" s="52">
        <v>0</v>
      </c>
      <c r="L454" s="6">
        <v>4.4820000000000002</v>
      </c>
      <c r="M454" s="52">
        <v>4.4820000000000002</v>
      </c>
      <c r="N454" s="6">
        <v>4.4820000000000002</v>
      </c>
      <c r="O454" s="52">
        <v>4.4820000000000002</v>
      </c>
      <c r="P454" s="6">
        <v>0</v>
      </c>
      <c r="Q454" s="4" t="s">
        <v>26</v>
      </c>
      <c r="R454" s="4">
        <v>0</v>
      </c>
      <c r="S454" s="6">
        <v>0</v>
      </c>
      <c r="T454" s="6">
        <v>17</v>
      </c>
      <c r="U454" s="6">
        <v>66</v>
      </c>
      <c r="V454" s="52">
        <f>IF(ISERROR(VLOOKUP($S$454,'TAR FIN'!$A$1:$O$103,15,0)),0,VLOOKUP($S$454,'TAR FIN'!$A$1:$O$103,15,0))</f>
        <v>0</v>
      </c>
      <c r="W454" s="52">
        <f>IF(ISERROR(VLOOKUP($T$454,'TAR FIN'!$A$1:$O$103,15,0)),0,VLOOKUP($T$454,'TAR FIN'!$A$1:$O$103,15,0))*(1-0.06)</f>
        <v>79.890599999999992</v>
      </c>
      <c r="X454" s="52">
        <f>IF(ISERROR(VLOOKUP($U$454,'TAR FIN'!$A$1:$O$103,15,0)),0,VLOOKUP($U$454,'TAR FIN'!$A$1:$O$103,15,0))*(1-0.06)</f>
        <v>228.2038</v>
      </c>
      <c r="Y454" s="52"/>
      <c r="Z454" s="52">
        <f ca="1">('TUSD BE'!$AM$24+'TUSD BF_350'!$AM$24+'TUSD CVA'!$AM$24)*1*(1-0.03)</f>
        <v>141.35070271825751</v>
      </c>
      <c r="AA454" s="52">
        <f ca="1">('TE BE'!$AB$9+'TE BF_350'!$AB$9+'TE CVA'!$AB$9)*1*(1-0.03)</f>
        <v>215.72204893346822</v>
      </c>
      <c r="AB454" s="6">
        <f>$K$454*$V$454</f>
        <v>0</v>
      </c>
      <c r="AC454" s="6">
        <f>$M$454*$W$454</f>
        <v>358.06966919999996</v>
      </c>
      <c r="AD454" s="6">
        <f>$O$454*$X$454</f>
        <v>1022.8094316</v>
      </c>
      <c r="AE454" s="6">
        <f>$K$454*$Y$454</f>
        <v>0</v>
      </c>
      <c r="AF454" s="6">
        <f ca="1">$M$454*$Z$454</f>
        <v>633.53384958323022</v>
      </c>
      <c r="AG454" s="6">
        <f ca="1">$O$454*$AA$454</f>
        <v>966.86622331980459</v>
      </c>
    </row>
    <row r="455" spans="1:33" ht="11.25" customHeight="1" x14ac:dyDescent="0.3">
      <c r="A455" s="4" t="s">
        <v>21</v>
      </c>
      <c r="B455" s="4" t="s">
        <v>39</v>
      </c>
      <c r="C455" s="4" t="s">
        <v>40</v>
      </c>
      <c r="D455" s="4" t="s">
        <v>50</v>
      </c>
      <c r="E455" s="4" t="s">
        <v>51</v>
      </c>
      <c r="F455" s="4" t="s">
        <v>25</v>
      </c>
      <c r="G455" s="4" t="s">
        <v>25</v>
      </c>
      <c r="H455" s="4" t="s">
        <v>35</v>
      </c>
      <c r="I455" s="5">
        <v>44562</v>
      </c>
      <c r="J455" s="6">
        <v>0</v>
      </c>
      <c r="K455" s="52">
        <v>0</v>
      </c>
      <c r="L455" s="6">
        <v>4.8070000000000004</v>
      </c>
      <c r="M455" s="52">
        <v>4.8070000000000004</v>
      </c>
      <c r="N455" s="6">
        <v>4.8070000000000004</v>
      </c>
      <c r="O455" s="52">
        <v>4.8070000000000004</v>
      </c>
      <c r="P455" s="6">
        <v>0</v>
      </c>
      <c r="Q455" s="4" t="s">
        <v>26</v>
      </c>
      <c r="R455" s="4">
        <v>0</v>
      </c>
      <c r="S455" s="6">
        <v>0</v>
      </c>
      <c r="T455" s="6">
        <v>17</v>
      </c>
      <c r="U455" s="6">
        <v>66</v>
      </c>
      <c r="V455" s="52">
        <f>IF(ISERROR(VLOOKUP($S$455,'TAR FIN'!$A$1:$O$103,15,0)),0,VLOOKUP($S$455,'TAR FIN'!$A$1:$O$103,15,0))</f>
        <v>0</v>
      </c>
      <c r="W455" s="52">
        <f>IF(ISERROR(VLOOKUP($T$455,'TAR FIN'!$A$1:$O$103,15,0)),0,VLOOKUP($T$455,'TAR FIN'!$A$1:$O$103,15,0))*(1-0.06)</f>
        <v>79.890599999999992</v>
      </c>
      <c r="X455" s="52">
        <f>IF(ISERROR(VLOOKUP($U$455,'TAR FIN'!$A$1:$O$103,15,0)),0,VLOOKUP($U$455,'TAR FIN'!$A$1:$O$103,15,0))*(1-0.06)</f>
        <v>228.2038</v>
      </c>
      <c r="Y455" s="52"/>
      <c r="Z455" s="52">
        <f ca="1">('TUSD BE'!$AM$24+'TUSD BF_350'!$AM$24+'TUSD CVA'!$AM$24)*1*(1-0.03)</f>
        <v>141.35070271825751</v>
      </c>
      <c r="AA455" s="52">
        <f ca="1">('TE BE'!$AB$9+'TE BF_350'!$AB$9+'TE CVA'!$AB$9)*1*(1-0.03)</f>
        <v>215.72204893346822</v>
      </c>
      <c r="AB455" s="6">
        <f>$K$455*$V$455</f>
        <v>0</v>
      </c>
      <c r="AC455" s="6">
        <f>$M$455*$W$455</f>
        <v>384.03411419999998</v>
      </c>
      <c r="AD455" s="6">
        <f>$O$455*$X$455</f>
        <v>1096.9756666000001</v>
      </c>
      <c r="AE455" s="6">
        <f>$K$455*$Y$455</f>
        <v>0</v>
      </c>
      <c r="AF455" s="6">
        <f ca="1">$M$455*$Z$455</f>
        <v>679.47282796666389</v>
      </c>
      <c r="AG455" s="6">
        <f ca="1">$O$455*$AA$455</f>
        <v>1036.9758892231819</v>
      </c>
    </row>
    <row r="456" spans="1:33" ht="11.25" customHeight="1" x14ac:dyDescent="0.3">
      <c r="A456" s="4" t="s">
        <v>21</v>
      </c>
      <c r="B456" s="4" t="s">
        <v>39</v>
      </c>
      <c r="C456" s="4" t="s">
        <v>40</v>
      </c>
      <c r="D456" s="4" t="s">
        <v>50</v>
      </c>
      <c r="E456" s="4" t="s">
        <v>51</v>
      </c>
      <c r="F456" s="4" t="s">
        <v>25</v>
      </c>
      <c r="G456" s="4" t="s">
        <v>25</v>
      </c>
      <c r="H456" s="4" t="s">
        <v>35</v>
      </c>
      <c r="I456" s="5">
        <v>44593</v>
      </c>
      <c r="J456" s="6">
        <v>0</v>
      </c>
      <c r="K456" s="52">
        <v>0</v>
      </c>
      <c r="L456" s="6">
        <v>4.109</v>
      </c>
      <c r="M456" s="52">
        <v>4.109</v>
      </c>
      <c r="N456" s="6">
        <v>4.109</v>
      </c>
      <c r="O456" s="52">
        <v>4.109</v>
      </c>
      <c r="P456" s="6">
        <v>0</v>
      </c>
      <c r="Q456" s="4" t="s">
        <v>26</v>
      </c>
      <c r="R456" s="4">
        <v>0</v>
      </c>
      <c r="S456" s="6">
        <v>0</v>
      </c>
      <c r="T456" s="6">
        <v>17</v>
      </c>
      <c r="U456" s="6">
        <v>66</v>
      </c>
      <c r="V456" s="52">
        <f>IF(ISERROR(VLOOKUP($S$456,'TAR FIN'!$A$1:$O$103,15,0)),0,VLOOKUP($S$456,'TAR FIN'!$A$1:$O$103,15,0))</f>
        <v>0</v>
      </c>
      <c r="W456" s="52">
        <f>IF(ISERROR(VLOOKUP($T$456,'TAR FIN'!$A$1:$O$103,15,0)),0,VLOOKUP($T$456,'TAR FIN'!$A$1:$O$103,15,0))*(1-0.06)</f>
        <v>79.890599999999992</v>
      </c>
      <c r="X456" s="52">
        <f>IF(ISERROR(VLOOKUP($U$456,'TAR FIN'!$A$1:$O$103,15,0)),0,VLOOKUP($U$456,'TAR FIN'!$A$1:$O$103,15,0))*(1-0.06)</f>
        <v>228.2038</v>
      </c>
      <c r="Y456" s="52"/>
      <c r="Z456" s="52">
        <f ca="1">('TUSD BE'!$AM$24+'TUSD BF_350'!$AM$24+'TUSD CVA'!$AM$24)*1*(1-0.03)</f>
        <v>141.35070271825751</v>
      </c>
      <c r="AA456" s="52">
        <f ca="1">('TE BE'!$AB$9+'TE BF_350'!$AB$9+'TE CVA'!$AB$9)*1*(1-0.03)</f>
        <v>215.72204893346822</v>
      </c>
      <c r="AB456" s="6">
        <f>$K$456*$V$456</f>
        <v>0</v>
      </c>
      <c r="AC456" s="6">
        <f>$M$456*$W$456</f>
        <v>328.27047539999995</v>
      </c>
      <c r="AD456" s="6">
        <f>$O$456*$X$456</f>
        <v>937.68941419999999</v>
      </c>
      <c r="AE456" s="6">
        <f>$K$456*$Y$456</f>
        <v>0</v>
      </c>
      <c r="AF456" s="6">
        <f ca="1">$M$456*$Z$456</f>
        <v>580.81003746932015</v>
      </c>
      <c r="AG456" s="6">
        <f ca="1">$O$456*$AA$456</f>
        <v>886.40189906762089</v>
      </c>
    </row>
    <row r="457" spans="1:33" ht="11.25" customHeight="1" x14ac:dyDescent="0.3">
      <c r="A457" s="4" t="s">
        <v>21</v>
      </c>
      <c r="B457" s="4" t="s">
        <v>39</v>
      </c>
      <c r="C457" s="4" t="s">
        <v>40</v>
      </c>
      <c r="D457" s="4" t="s">
        <v>50</v>
      </c>
      <c r="E457" s="4" t="s">
        <v>51</v>
      </c>
      <c r="F457" s="4" t="s">
        <v>25</v>
      </c>
      <c r="G457" s="4" t="s">
        <v>25</v>
      </c>
      <c r="H457" s="4" t="s">
        <v>35</v>
      </c>
      <c r="I457" s="5">
        <v>44621</v>
      </c>
      <c r="J457" s="6">
        <v>0</v>
      </c>
      <c r="K457" s="52">
        <v>0</v>
      </c>
      <c r="L457" s="6">
        <v>4.4290000000000003</v>
      </c>
      <c r="M457" s="52">
        <v>4.4290000000000003</v>
      </c>
      <c r="N457" s="6">
        <v>4.4290000000000003</v>
      </c>
      <c r="O457" s="52">
        <v>4.4290000000000003</v>
      </c>
      <c r="P457" s="6">
        <v>0</v>
      </c>
      <c r="Q457" s="4" t="s">
        <v>26</v>
      </c>
      <c r="R457" s="4">
        <v>0</v>
      </c>
      <c r="S457" s="6">
        <v>0</v>
      </c>
      <c r="T457" s="6">
        <v>17</v>
      </c>
      <c r="U457" s="6">
        <v>66</v>
      </c>
      <c r="V457" s="52">
        <f>IF(ISERROR(VLOOKUP($S$457,'TAR FIN'!$A$1:$O$103,15,0)),0,VLOOKUP($S$457,'TAR FIN'!$A$1:$O$103,15,0))</f>
        <v>0</v>
      </c>
      <c r="W457" s="52">
        <f>IF(ISERROR(VLOOKUP($T$457,'TAR FIN'!$A$1:$O$103,15,0)),0,VLOOKUP($T$457,'TAR FIN'!$A$1:$O$103,15,0))*(1-0.06)</f>
        <v>79.890599999999992</v>
      </c>
      <c r="X457" s="52">
        <f>IF(ISERROR(VLOOKUP($U$457,'TAR FIN'!$A$1:$O$103,15,0)),0,VLOOKUP($U$457,'TAR FIN'!$A$1:$O$103,15,0))*(1-0.06)</f>
        <v>228.2038</v>
      </c>
      <c r="Y457" s="52"/>
      <c r="Z457" s="52">
        <f ca="1">('TUSD BE'!$AM$24+'TUSD BF_350'!$AM$24+'TUSD CVA'!$AM$24)*1*(1-0.03)</f>
        <v>141.35070271825751</v>
      </c>
      <c r="AA457" s="52">
        <f ca="1">('TE BE'!$AB$9+'TE BF_350'!$AB$9+'TE CVA'!$AB$9)*1*(1-0.03)</f>
        <v>215.72204893346822</v>
      </c>
      <c r="AB457" s="6">
        <f>$K$457*$V$457</f>
        <v>0</v>
      </c>
      <c r="AC457" s="6">
        <f>$M$457*$W$457</f>
        <v>353.83546739999997</v>
      </c>
      <c r="AD457" s="6">
        <f>$O$457*$X$457</f>
        <v>1010.7146302000001</v>
      </c>
      <c r="AE457" s="6">
        <f>$K$457*$Y$457</f>
        <v>0</v>
      </c>
      <c r="AF457" s="6">
        <f ca="1">$M$457*$Z$457</f>
        <v>626.04226233916256</v>
      </c>
      <c r="AG457" s="6">
        <f ca="1">$O$457*$AA$457</f>
        <v>955.43295472633076</v>
      </c>
    </row>
    <row r="458" spans="1:33" ht="11.25" customHeight="1" x14ac:dyDescent="0.3">
      <c r="A458" s="4" t="s">
        <v>21</v>
      </c>
      <c r="B458" s="4" t="s">
        <v>39</v>
      </c>
      <c r="C458" s="4" t="s">
        <v>40</v>
      </c>
      <c r="D458" s="4" t="s">
        <v>50</v>
      </c>
      <c r="E458" s="4" t="s">
        <v>51</v>
      </c>
      <c r="F458" s="4" t="s">
        <v>25</v>
      </c>
      <c r="G458" s="4" t="s">
        <v>25</v>
      </c>
      <c r="H458" s="4" t="s">
        <v>35</v>
      </c>
      <c r="I458" s="5">
        <v>44652</v>
      </c>
      <c r="J458" s="6">
        <v>0</v>
      </c>
      <c r="K458" s="52">
        <v>0</v>
      </c>
      <c r="L458" s="6">
        <v>4.5819999999999999</v>
      </c>
      <c r="M458" s="52">
        <v>4.5819999999999999</v>
      </c>
      <c r="N458" s="6">
        <v>4.5819999999999999</v>
      </c>
      <c r="O458" s="52">
        <v>4.5819999999999999</v>
      </c>
      <c r="P458" s="6">
        <v>0</v>
      </c>
      <c r="Q458" s="4" t="s">
        <v>26</v>
      </c>
      <c r="R458" s="4">
        <v>0</v>
      </c>
      <c r="S458" s="6">
        <v>0</v>
      </c>
      <c r="T458" s="6">
        <v>17</v>
      </c>
      <c r="U458" s="6">
        <v>66</v>
      </c>
      <c r="V458" s="52">
        <f>IF(ISERROR(VLOOKUP($S$458,'TAR FIN'!$A$1:$O$103,15,0)),0,VLOOKUP($S$458,'TAR FIN'!$A$1:$O$103,15,0))</f>
        <v>0</v>
      </c>
      <c r="W458" s="52">
        <f>IF(ISERROR(VLOOKUP($T$458,'TAR FIN'!$A$1:$O$103,15,0)),0,VLOOKUP($T$458,'TAR FIN'!$A$1:$O$103,15,0))*(1-0.06)</f>
        <v>79.890599999999992</v>
      </c>
      <c r="X458" s="52">
        <f>IF(ISERROR(VLOOKUP($U$458,'TAR FIN'!$A$1:$O$103,15,0)),0,VLOOKUP($U$458,'TAR FIN'!$A$1:$O$103,15,0))*(1-0.06)</f>
        <v>228.2038</v>
      </c>
      <c r="Y458" s="52"/>
      <c r="Z458" s="52">
        <f ca="1">('TUSD BE'!$AM$24+'TUSD BF_350'!$AM$24+'TUSD CVA'!$AM$24)*1*(1-0.03)</f>
        <v>141.35070271825751</v>
      </c>
      <c r="AA458" s="52">
        <f ca="1">('TE BE'!$AB$9+'TE BF_350'!$AB$9+'TE CVA'!$AB$9)*1*(1-0.03)</f>
        <v>215.72204893346822</v>
      </c>
      <c r="AB458" s="6">
        <f>$K$458*$V$458</f>
        <v>0</v>
      </c>
      <c r="AC458" s="6">
        <f>$M$458*$W$458</f>
        <v>366.05872919999996</v>
      </c>
      <c r="AD458" s="6">
        <f>$O$458*$X$458</f>
        <v>1045.6298116</v>
      </c>
      <c r="AE458" s="6">
        <f>$K$458*$Y$458</f>
        <v>0</v>
      </c>
      <c r="AF458" s="6">
        <f ca="1">$M$458*$Z$458</f>
        <v>647.66891985505583</v>
      </c>
      <c r="AG458" s="6">
        <f ca="1">$O$458*$AA$458</f>
        <v>988.43842821315138</v>
      </c>
    </row>
    <row r="459" spans="1:33" ht="11.25" customHeight="1" x14ac:dyDescent="0.3">
      <c r="A459" s="4" t="s">
        <v>21</v>
      </c>
      <c r="B459" s="4" t="s">
        <v>39</v>
      </c>
      <c r="C459" s="4" t="s">
        <v>40</v>
      </c>
      <c r="D459" s="4" t="s">
        <v>50</v>
      </c>
      <c r="E459" s="4" t="s">
        <v>51</v>
      </c>
      <c r="F459" s="4" t="s">
        <v>25</v>
      </c>
      <c r="G459" s="4" t="s">
        <v>25</v>
      </c>
      <c r="H459" s="4" t="s">
        <v>35</v>
      </c>
      <c r="I459" s="5">
        <v>44682</v>
      </c>
      <c r="J459" s="6">
        <v>0</v>
      </c>
      <c r="K459" s="52">
        <v>0</v>
      </c>
      <c r="L459" s="6">
        <v>4.84</v>
      </c>
      <c r="M459" s="52">
        <v>4.84</v>
      </c>
      <c r="N459" s="6">
        <v>4.84</v>
      </c>
      <c r="O459" s="52">
        <v>4.84</v>
      </c>
      <c r="P459" s="6">
        <v>0</v>
      </c>
      <c r="Q459" s="4" t="s">
        <v>26</v>
      </c>
      <c r="R459" s="4">
        <v>0</v>
      </c>
      <c r="S459" s="6">
        <v>0</v>
      </c>
      <c r="T459" s="6">
        <v>17</v>
      </c>
      <c r="U459" s="6">
        <v>66</v>
      </c>
      <c r="V459" s="52">
        <f>IF(ISERROR(VLOOKUP($S$459,'TAR FIN'!$A$1:$O$103,15,0)),0,VLOOKUP($S$459,'TAR FIN'!$A$1:$O$103,15,0))</f>
        <v>0</v>
      </c>
      <c r="W459" s="52">
        <f>IF(ISERROR(VLOOKUP($T$459,'TAR FIN'!$A$1:$O$103,15,0)),0,VLOOKUP($T$459,'TAR FIN'!$A$1:$O$103,15,0))*(1-0.06)</f>
        <v>79.890599999999992</v>
      </c>
      <c r="X459" s="52">
        <f>IF(ISERROR(VLOOKUP($U$459,'TAR FIN'!$A$1:$O$103,15,0)),0,VLOOKUP($U$459,'TAR FIN'!$A$1:$O$103,15,0))*(1-0.06)</f>
        <v>228.2038</v>
      </c>
      <c r="Y459" s="52"/>
      <c r="Z459" s="52">
        <f ca="1">('TUSD BE'!$AM$24+'TUSD BF_350'!$AM$24+'TUSD CVA'!$AM$24)*1*(1-0.03)</f>
        <v>141.35070271825751</v>
      </c>
      <c r="AA459" s="52">
        <f ca="1">('TE BE'!$AB$9+'TE BF_350'!$AB$9+'TE CVA'!$AB$9)*1*(1-0.03)</f>
        <v>215.72204893346822</v>
      </c>
      <c r="AB459" s="6">
        <f>$K$459*$V$459</f>
        <v>0</v>
      </c>
      <c r="AC459" s="6">
        <f>$M$459*$W$459</f>
        <v>386.67050399999994</v>
      </c>
      <c r="AD459" s="6">
        <f>$O$459*$X$459</f>
        <v>1104.506392</v>
      </c>
      <c r="AE459" s="6">
        <f>$K$459*$Y$459</f>
        <v>0</v>
      </c>
      <c r="AF459" s="6">
        <f ca="1">$M$459*$Z$459</f>
        <v>684.13740115636631</v>
      </c>
      <c r="AG459" s="6">
        <f ca="1">$O$459*$AA$459</f>
        <v>1044.0947168379862</v>
      </c>
    </row>
    <row r="460" spans="1:33" ht="11.25" customHeight="1" x14ac:dyDescent="0.3">
      <c r="A460" s="4" t="s">
        <v>21</v>
      </c>
      <c r="B460" s="4" t="s">
        <v>39</v>
      </c>
      <c r="C460" s="4" t="s">
        <v>40</v>
      </c>
      <c r="D460" s="4" t="s">
        <v>50</v>
      </c>
      <c r="E460" s="4" t="s">
        <v>51</v>
      </c>
      <c r="F460" s="4" t="s">
        <v>25</v>
      </c>
      <c r="G460" s="4" t="s">
        <v>25</v>
      </c>
      <c r="H460" s="4" t="s">
        <v>35</v>
      </c>
      <c r="I460" s="5">
        <v>44713</v>
      </c>
      <c r="J460" s="6">
        <v>0</v>
      </c>
      <c r="K460" s="52">
        <v>0</v>
      </c>
      <c r="L460" s="6">
        <v>4.8019999999999996</v>
      </c>
      <c r="M460" s="52">
        <v>4.8019999999999996</v>
      </c>
      <c r="N460" s="6">
        <v>4.8019999999999996</v>
      </c>
      <c r="O460" s="52">
        <v>4.8019999999999996</v>
      </c>
      <c r="P460" s="6">
        <v>0</v>
      </c>
      <c r="Q460" s="4" t="s">
        <v>26</v>
      </c>
      <c r="R460" s="4">
        <v>0</v>
      </c>
      <c r="S460" s="6">
        <v>0</v>
      </c>
      <c r="T460" s="6">
        <v>17</v>
      </c>
      <c r="U460" s="6">
        <v>66</v>
      </c>
      <c r="V460" s="52">
        <f>IF(ISERROR(VLOOKUP($S$460,'TAR FIN'!$A$1:$O$103,15,0)),0,VLOOKUP($S$460,'TAR FIN'!$A$1:$O$103,15,0))</f>
        <v>0</v>
      </c>
      <c r="W460" s="52">
        <f>IF(ISERROR(VLOOKUP($T$460,'TAR FIN'!$A$1:$O$103,15,0)),0,VLOOKUP($T$460,'TAR FIN'!$A$1:$O$103,15,0))*(1-0.06)</f>
        <v>79.890599999999992</v>
      </c>
      <c r="X460" s="52">
        <f>IF(ISERROR(VLOOKUP($U$460,'TAR FIN'!$A$1:$O$103,15,0)),0,VLOOKUP($U$460,'TAR FIN'!$A$1:$O$103,15,0))*(1-0.06)</f>
        <v>228.2038</v>
      </c>
      <c r="Y460" s="52"/>
      <c r="Z460" s="52">
        <f ca="1">('TUSD BE'!$AM$24+'TUSD BF_350'!$AM$24+'TUSD CVA'!$AM$24)*1*(1-0.03)</f>
        <v>141.35070271825751</v>
      </c>
      <c r="AA460" s="52">
        <f ca="1">('TE BE'!$AB$9+'TE BF_350'!$AB$9+'TE CVA'!$AB$9)*1*(1-0.03)</f>
        <v>215.72204893346822</v>
      </c>
      <c r="AB460" s="6">
        <f>$K$460*$V$460</f>
        <v>0</v>
      </c>
      <c r="AC460" s="6">
        <f>$M$460*$W$460</f>
        <v>383.63466119999993</v>
      </c>
      <c r="AD460" s="6">
        <f>$O$460*$X$460</f>
        <v>1095.8346475999999</v>
      </c>
      <c r="AE460" s="6">
        <f>$K$460*$Y$460</f>
        <v>0</v>
      </c>
      <c r="AF460" s="6">
        <f ca="1">$M$460*$Z$460</f>
        <v>678.76607445307252</v>
      </c>
      <c r="AG460" s="6">
        <f ca="1">$O$460*$AA$460</f>
        <v>1035.8972789785144</v>
      </c>
    </row>
    <row r="461" spans="1:33" ht="11.25" customHeight="1" x14ac:dyDescent="0.3">
      <c r="A461" s="4" t="s">
        <v>21</v>
      </c>
      <c r="B461" s="4" t="s">
        <v>39</v>
      </c>
      <c r="C461" s="4" t="s">
        <v>40</v>
      </c>
      <c r="D461" s="4" t="s">
        <v>50</v>
      </c>
      <c r="E461" s="4" t="s">
        <v>51</v>
      </c>
      <c r="F461" s="4" t="s">
        <v>25</v>
      </c>
      <c r="G461" s="4" t="s">
        <v>25</v>
      </c>
      <c r="H461" s="4" t="s">
        <v>35</v>
      </c>
      <c r="I461" s="5">
        <v>44743</v>
      </c>
      <c r="J461" s="6">
        <v>0</v>
      </c>
      <c r="K461" s="52">
        <v>0</v>
      </c>
      <c r="L461" s="6">
        <v>5.4009999999999998</v>
      </c>
      <c r="M461" s="52">
        <v>5.4009999999999998</v>
      </c>
      <c r="N461" s="6">
        <v>5.4009999999999998</v>
      </c>
      <c r="O461" s="52">
        <v>5.4009999999999998</v>
      </c>
      <c r="P461" s="6">
        <v>0</v>
      </c>
      <c r="Q461" s="4" t="s">
        <v>26</v>
      </c>
      <c r="R461" s="4">
        <v>0</v>
      </c>
      <c r="S461" s="6">
        <v>0</v>
      </c>
      <c r="T461" s="6">
        <v>17</v>
      </c>
      <c r="U461" s="6">
        <v>66</v>
      </c>
      <c r="V461" s="52">
        <f>IF(ISERROR(VLOOKUP($S$461,'TAR FIN'!$A$1:$O$103,15,0)),0,VLOOKUP($S$461,'TAR FIN'!$A$1:$O$103,15,0))</f>
        <v>0</v>
      </c>
      <c r="W461" s="52">
        <f>IF(ISERROR(VLOOKUP($T$461,'TAR FIN'!$A$1:$O$103,15,0)),0,VLOOKUP($T$461,'TAR FIN'!$A$1:$O$103,15,0))*(1-0.06)</f>
        <v>79.890599999999992</v>
      </c>
      <c r="X461" s="52">
        <f>IF(ISERROR(VLOOKUP($U$461,'TAR FIN'!$A$1:$O$103,15,0)),0,VLOOKUP($U$461,'TAR FIN'!$A$1:$O$103,15,0))*(1-0.06)</f>
        <v>228.2038</v>
      </c>
      <c r="Y461" s="52"/>
      <c r="Z461" s="52">
        <f ca="1">('TUSD BE'!$AM$24+'TUSD BF_350'!$AM$24+'TUSD CVA'!$AM$24)*1*(1-0.03)</f>
        <v>141.35070271825751</v>
      </c>
      <c r="AA461" s="52">
        <f ca="1">('TE BE'!$AB$9+'TE BF_350'!$AB$9+'TE CVA'!$AB$9)*1*(1-0.03)</f>
        <v>215.72204893346822</v>
      </c>
      <c r="AB461" s="6">
        <f>$K$461*$V$461</f>
        <v>0</v>
      </c>
      <c r="AC461" s="6">
        <f>$M$461*$W$461</f>
        <v>431.48913059999995</v>
      </c>
      <c r="AD461" s="6">
        <f>$O$461*$X$461</f>
        <v>1232.5287237999999</v>
      </c>
      <c r="AE461" s="6">
        <f>$K$461*$Y$461</f>
        <v>0</v>
      </c>
      <c r="AF461" s="6">
        <f ca="1">$M$461*$Z$461</f>
        <v>763.43514538130876</v>
      </c>
      <c r="AG461" s="6">
        <f ca="1">$O$461*$AA$461</f>
        <v>1165.1147862896619</v>
      </c>
    </row>
    <row r="462" spans="1:33" ht="11.25" customHeight="1" x14ac:dyDescent="0.3">
      <c r="A462" s="4" t="s">
        <v>21</v>
      </c>
      <c r="B462" s="4" t="s">
        <v>39</v>
      </c>
      <c r="C462" s="4" t="s">
        <v>40</v>
      </c>
      <c r="D462" s="4" t="s">
        <v>50</v>
      </c>
      <c r="E462" s="4" t="s">
        <v>51</v>
      </c>
      <c r="F462" s="4" t="s">
        <v>25</v>
      </c>
      <c r="G462" s="4" t="s">
        <v>25</v>
      </c>
      <c r="H462" s="4" t="s">
        <v>35</v>
      </c>
      <c r="I462" s="5">
        <v>44774</v>
      </c>
      <c r="J462" s="6">
        <v>0</v>
      </c>
      <c r="K462" s="52">
        <v>0</v>
      </c>
      <c r="L462" s="6">
        <v>5.5839999999999996</v>
      </c>
      <c r="M462" s="52">
        <v>5.5839999999999996</v>
      </c>
      <c r="N462" s="6">
        <v>5.5839999999999996</v>
      </c>
      <c r="O462" s="52">
        <v>5.5839999999999996</v>
      </c>
      <c r="P462" s="6">
        <v>0</v>
      </c>
      <c r="Q462" s="4" t="s">
        <v>26</v>
      </c>
      <c r="R462" s="4">
        <v>0</v>
      </c>
      <c r="S462" s="6">
        <v>0</v>
      </c>
      <c r="T462" s="6">
        <v>17</v>
      </c>
      <c r="U462" s="6">
        <v>66</v>
      </c>
      <c r="V462" s="52">
        <f>IF(ISERROR(VLOOKUP($S$462,'TAR FIN'!$A$1:$O$103,15,0)),0,VLOOKUP($S$462,'TAR FIN'!$A$1:$O$103,15,0))</f>
        <v>0</v>
      </c>
      <c r="W462" s="52">
        <f>IF(ISERROR(VLOOKUP($T$462,'TAR FIN'!$A$1:$O$103,15,0)),0,VLOOKUP($T$462,'TAR FIN'!$A$1:$O$103,15,0))*(1-0.06)</f>
        <v>79.890599999999992</v>
      </c>
      <c r="X462" s="52">
        <f>IF(ISERROR(VLOOKUP($U$462,'TAR FIN'!$A$1:$O$103,15,0)),0,VLOOKUP($U$462,'TAR FIN'!$A$1:$O$103,15,0))*(1-0.06)</f>
        <v>228.2038</v>
      </c>
      <c r="Y462" s="52"/>
      <c r="Z462" s="52">
        <f ca="1">('TUSD BE'!$AM$24+'TUSD BF_350'!$AM$24+'TUSD CVA'!$AM$24)*1*(1-0.03)</f>
        <v>141.35070271825751</v>
      </c>
      <c r="AA462" s="52">
        <f ca="1">('TE BE'!$AB$9+'TE BF_350'!$AB$9+'TE CVA'!$AB$9)*1*(1-0.03)</f>
        <v>215.72204893346822</v>
      </c>
      <c r="AB462" s="6">
        <f>$K$462*$V$462</f>
        <v>0</v>
      </c>
      <c r="AC462" s="6">
        <f>$M$462*$W$462</f>
        <v>446.10911039999991</v>
      </c>
      <c r="AD462" s="6">
        <f>$O$462*$X$462</f>
        <v>1274.2900192</v>
      </c>
      <c r="AE462" s="6">
        <f>$K$462*$Y$462</f>
        <v>0</v>
      </c>
      <c r="AF462" s="6">
        <f ca="1">$M$462*$Z$462</f>
        <v>789.30232397874988</v>
      </c>
      <c r="AG462" s="6">
        <f ca="1">$O$462*$AA$462</f>
        <v>1204.5919212444865</v>
      </c>
    </row>
    <row r="463" spans="1:33" ht="11.25" customHeight="1" x14ac:dyDescent="0.3">
      <c r="A463" s="4" t="s">
        <v>21</v>
      </c>
      <c r="B463" s="4" t="s">
        <v>39</v>
      </c>
      <c r="C463" s="4" t="s">
        <v>40</v>
      </c>
      <c r="D463" s="4" t="s">
        <v>50</v>
      </c>
      <c r="E463" s="4" t="s">
        <v>51</v>
      </c>
      <c r="F463" s="4" t="s">
        <v>25</v>
      </c>
      <c r="G463" s="4" t="s">
        <v>25</v>
      </c>
      <c r="H463" s="4" t="s">
        <v>35</v>
      </c>
      <c r="I463" s="5">
        <v>44805</v>
      </c>
      <c r="J463" s="6">
        <v>0</v>
      </c>
      <c r="K463" s="52">
        <v>0</v>
      </c>
      <c r="L463" s="6">
        <v>5.4020000000000001</v>
      </c>
      <c r="M463" s="52">
        <v>5.4020000000000001</v>
      </c>
      <c r="N463" s="6">
        <v>5.4020000000000001</v>
      </c>
      <c r="O463" s="52">
        <v>5.4020000000000001</v>
      </c>
      <c r="P463" s="6">
        <v>0</v>
      </c>
      <c r="Q463" s="4" t="s">
        <v>26</v>
      </c>
      <c r="R463" s="4">
        <v>0</v>
      </c>
      <c r="S463" s="6">
        <v>0</v>
      </c>
      <c r="T463" s="6">
        <v>17</v>
      </c>
      <c r="U463" s="6">
        <v>66</v>
      </c>
      <c r="V463" s="52">
        <f>IF(ISERROR(VLOOKUP($S$463,'TAR FIN'!$A$1:$O$103,15,0)),0,VLOOKUP($S$463,'TAR FIN'!$A$1:$O$103,15,0))</f>
        <v>0</v>
      </c>
      <c r="W463" s="52">
        <f>IF(ISERROR(VLOOKUP($T$463,'TAR FIN'!$A$1:$O$103,15,0)),0,VLOOKUP($T$463,'TAR FIN'!$A$1:$O$103,15,0))*(1-0.06)</f>
        <v>79.890599999999992</v>
      </c>
      <c r="X463" s="52">
        <f>IF(ISERROR(VLOOKUP($U$463,'TAR FIN'!$A$1:$O$103,15,0)),0,VLOOKUP($U$463,'TAR FIN'!$A$1:$O$103,15,0))*(1-0.06)</f>
        <v>228.2038</v>
      </c>
      <c r="Y463" s="52"/>
      <c r="Z463" s="52">
        <f ca="1">('TUSD BE'!$AM$24+'TUSD BF_350'!$AM$24+'TUSD CVA'!$AM$24)*1*(1-0.03)</f>
        <v>141.35070271825751</v>
      </c>
      <c r="AA463" s="52">
        <f ca="1">('TE BE'!$AB$9+'TE BF_350'!$AB$9+'TE CVA'!$AB$9)*1*(1-0.03)</f>
        <v>215.72204893346822</v>
      </c>
      <c r="AB463" s="6">
        <f>$K$463*$V$463</f>
        <v>0</v>
      </c>
      <c r="AC463" s="6">
        <f>$M$463*$W$463</f>
        <v>431.56902119999995</v>
      </c>
      <c r="AD463" s="6">
        <f>$O$463*$X$463</f>
        <v>1232.7569275999999</v>
      </c>
      <c r="AE463" s="6">
        <f>$K$463*$Y$463</f>
        <v>0</v>
      </c>
      <c r="AF463" s="6">
        <f ca="1">$M$463*$Z$463</f>
        <v>763.5764960840271</v>
      </c>
      <c r="AG463" s="6">
        <f ca="1">$O$463*$AA$463</f>
        <v>1165.3305083385953</v>
      </c>
    </row>
    <row r="464" spans="1:33" ht="11.25" customHeight="1" x14ac:dyDescent="0.3">
      <c r="A464" s="4" t="s">
        <v>57</v>
      </c>
      <c r="B464" s="4" t="s">
        <v>39</v>
      </c>
      <c r="C464" s="4" t="s">
        <v>40</v>
      </c>
      <c r="D464" s="4" t="s">
        <v>50</v>
      </c>
      <c r="E464" s="4" t="s">
        <v>51</v>
      </c>
      <c r="F464" s="4" t="s">
        <v>25</v>
      </c>
      <c r="G464" s="4" t="s">
        <v>25</v>
      </c>
      <c r="H464" s="4" t="s">
        <v>35</v>
      </c>
      <c r="I464" s="5">
        <v>44835</v>
      </c>
      <c r="J464" s="6">
        <v>0</v>
      </c>
      <c r="K464" s="52">
        <v>0</v>
      </c>
      <c r="L464" s="6">
        <v>5.4020000000000001</v>
      </c>
      <c r="M464" s="52">
        <v>5.4020000000000001</v>
      </c>
      <c r="N464" s="6">
        <v>5.4020000000000001</v>
      </c>
      <c r="O464" s="52">
        <v>5.4020000000000001</v>
      </c>
      <c r="P464" s="6">
        <v>0</v>
      </c>
      <c r="Q464" s="4" t="s">
        <v>26</v>
      </c>
      <c r="R464" s="4">
        <v>0</v>
      </c>
      <c r="S464" s="6">
        <v>0</v>
      </c>
      <c r="T464" s="6">
        <v>17</v>
      </c>
      <c r="U464" s="6">
        <v>66</v>
      </c>
      <c r="V464" s="52">
        <f>IF(ISERROR(VLOOKUP($S$464,'TAR FIN'!$A$1:$O$103,15,0)),0,VLOOKUP($S$464,'TAR FIN'!$A$1:$O$103,15,0))</f>
        <v>0</v>
      </c>
      <c r="W464" s="52">
        <f>IF(ISERROR(VLOOKUP($T$464,'TAR FIN'!$A$1:$O$103,15,0)),0,VLOOKUP($T$464,'TAR FIN'!$A$1:$O$103,15,0))*(1-0.06)</f>
        <v>79.890599999999992</v>
      </c>
      <c r="X464" s="52">
        <f>IF(ISERROR(VLOOKUP($U$464,'TAR FIN'!$A$1:$O$103,15,0)),0,VLOOKUP($U$464,'TAR FIN'!$A$1:$O$103,15,0))*(1-0.06)</f>
        <v>228.2038</v>
      </c>
      <c r="Y464" s="52"/>
      <c r="Z464" s="52">
        <f ca="1">('TUSD BE'!$AM$24+'TUSD BF_350'!$AM$24+'TUSD CVA'!$AM$24)*1*(1-0.03)</f>
        <v>141.35070271825751</v>
      </c>
      <c r="AA464" s="52">
        <f ca="1">('TE BE'!$AB$9+'TE BF_350'!$AB$9+'TE CVA'!$AB$9)*1*(1-0.03)</f>
        <v>215.72204893346822</v>
      </c>
      <c r="AB464" s="6">
        <f>$K$464*$V$464</f>
        <v>0</v>
      </c>
      <c r="AC464" s="6">
        <f>$M$464*$W$464</f>
        <v>431.56902119999995</v>
      </c>
      <c r="AD464" s="6">
        <f>$O$464*$X$464</f>
        <v>1232.7569275999999</v>
      </c>
      <c r="AE464" s="6">
        <f>$K$464*$Y$464</f>
        <v>0</v>
      </c>
      <c r="AF464" s="6">
        <f ca="1">$M$464*$Z$464</f>
        <v>763.5764960840271</v>
      </c>
      <c r="AG464" s="6">
        <f ca="1">$O$464*$AA$464</f>
        <v>1165.3305083385953</v>
      </c>
    </row>
    <row r="465" spans="1:33" ht="11.25" customHeight="1" x14ac:dyDescent="0.3">
      <c r="A465" s="4" t="s">
        <v>21</v>
      </c>
      <c r="B465" s="4" t="s">
        <v>39</v>
      </c>
      <c r="C465" s="4" t="s">
        <v>40</v>
      </c>
      <c r="D465" s="4" t="s">
        <v>50</v>
      </c>
      <c r="E465" s="4" t="s">
        <v>51</v>
      </c>
      <c r="F465" s="4" t="s">
        <v>25</v>
      </c>
      <c r="G465" s="4" t="s">
        <v>25</v>
      </c>
      <c r="H465" s="4" t="s">
        <v>25</v>
      </c>
      <c r="I465" s="5">
        <v>44501</v>
      </c>
      <c r="J465" s="6">
        <v>30</v>
      </c>
      <c r="K465" s="53">
        <v>30</v>
      </c>
      <c r="L465" s="6">
        <v>0</v>
      </c>
      <c r="M465" s="52">
        <v>0</v>
      </c>
      <c r="N465" s="6">
        <v>0</v>
      </c>
      <c r="O465" s="52">
        <v>0</v>
      </c>
      <c r="P465" s="6">
        <v>1</v>
      </c>
      <c r="Q465" s="4" t="s">
        <v>26</v>
      </c>
      <c r="R465" s="4">
        <v>0</v>
      </c>
      <c r="S465" s="6">
        <v>13</v>
      </c>
      <c r="T465" s="6">
        <v>0</v>
      </c>
      <c r="U465" s="6">
        <v>0</v>
      </c>
      <c r="V465" s="52">
        <f>IF(ISERROR(VLOOKUP($S$465,'TAR FIN'!$A$1:$O$103,15,0)),0,VLOOKUP($S$465,'TAR FIN'!$A$1:$O$103,15,0))*(1-0.06)</f>
        <v>17.784800000000001</v>
      </c>
      <c r="W465" s="52">
        <f>IF(ISERROR(VLOOKUP($T$465,'TAR FIN'!$A$1:$O$103,15,0)),0,VLOOKUP($T$465,'TAR FIN'!$A$1:$O$103,15,0))</f>
        <v>0</v>
      </c>
      <c r="X465" s="52">
        <f>IF(ISERROR(VLOOKUP($U$465,'TAR FIN'!$A$1:$O$103,15,0)),0,VLOOKUP($U$465,'TAR FIN'!$A$1:$O$103,15,0))</f>
        <v>0</v>
      </c>
      <c r="Y465" s="52">
        <f ca="1">('TUSD BE'!$AM$22+'TUSD BF_350'!$AM$22+'TUSD CVA'!$AM$22)*1*(1-0.03)</f>
        <v>20.728258466855738</v>
      </c>
      <c r="Z465" s="52"/>
      <c r="AA465" s="52"/>
      <c r="AB465" s="6">
        <f>$K$465*$V$465</f>
        <v>533.54399999999998</v>
      </c>
      <c r="AC465" s="6">
        <f>$M$465*$W$465</f>
        <v>0</v>
      </c>
      <c r="AD465" s="6">
        <f>$O$465*$X$465</f>
        <v>0</v>
      </c>
      <c r="AE465" s="6">
        <f ca="1">$K$465*$Y$465</f>
        <v>621.84775400567219</v>
      </c>
      <c r="AF465" s="6">
        <f>$M$465*$Z$465</f>
        <v>0</v>
      </c>
      <c r="AG465" s="6">
        <f>$O$465*$AA$465</f>
        <v>0</v>
      </c>
    </row>
    <row r="466" spans="1:33" ht="11.25" customHeight="1" x14ac:dyDescent="0.3">
      <c r="A466" s="4" t="s">
        <v>21</v>
      </c>
      <c r="B466" s="4" t="s">
        <v>39</v>
      </c>
      <c r="C466" s="4" t="s">
        <v>40</v>
      </c>
      <c r="D466" s="4" t="s">
        <v>50</v>
      </c>
      <c r="E466" s="4" t="s">
        <v>51</v>
      </c>
      <c r="F466" s="4" t="s">
        <v>25</v>
      </c>
      <c r="G466" s="4" t="s">
        <v>25</v>
      </c>
      <c r="H466" s="4" t="s">
        <v>25</v>
      </c>
      <c r="I466" s="5">
        <v>44531</v>
      </c>
      <c r="J466" s="6">
        <v>30</v>
      </c>
      <c r="K466" s="53">
        <v>30</v>
      </c>
      <c r="L466" s="6">
        <v>0</v>
      </c>
      <c r="M466" s="52">
        <v>0</v>
      </c>
      <c r="N466" s="6">
        <v>0</v>
      </c>
      <c r="O466" s="52">
        <v>0</v>
      </c>
      <c r="P466" s="6">
        <v>1</v>
      </c>
      <c r="Q466" s="4" t="s">
        <v>26</v>
      </c>
      <c r="R466" s="4">
        <v>0</v>
      </c>
      <c r="S466" s="6">
        <v>13</v>
      </c>
      <c r="T466" s="6">
        <v>0</v>
      </c>
      <c r="U466" s="6">
        <v>0</v>
      </c>
      <c r="V466" s="52">
        <f>IF(ISERROR(VLOOKUP($S$466,'TAR FIN'!$A$1:$O$103,15,0)),0,VLOOKUP($S$466,'TAR FIN'!$A$1:$O$103,15,0))*(1-0.06)</f>
        <v>17.784800000000001</v>
      </c>
      <c r="W466" s="52">
        <f>IF(ISERROR(VLOOKUP($T$466,'TAR FIN'!$A$1:$O$103,15,0)),0,VLOOKUP($T$466,'TAR FIN'!$A$1:$O$103,15,0))</f>
        <v>0</v>
      </c>
      <c r="X466" s="52">
        <f>IF(ISERROR(VLOOKUP($U$466,'TAR FIN'!$A$1:$O$103,15,0)),0,VLOOKUP($U$466,'TAR FIN'!$A$1:$O$103,15,0))</f>
        <v>0</v>
      </c>
      <c r="Y466" s="52">
        <f ca="1">('TUSD BE'!$AM$22+'TUSD BF_350'!$AM$22+'TUSD CVA'!$AM$22)*1*(1-0.03)</f>
        <v>20.728258466855738</v>
      </c>
      <c r="Z466" s="52"/>
      <c r="AA466" s="52"/>
      <c r="AB466" s="6">
        <f>$K$466*$V$466</f>
        <v>533.54399999999998</v>
      </c>
      <c r="AC466" s="6">
        <f>$M$466*$W$466</f>
        <v>0</v>
      </c>
      <c r="AD466" s="6">
        <f>$O$466*$X$466</f>
        <v>0</v>
      </c>
      <c r="AE466" s="6">
        <f ca="1">$K$466*$Y$466</f>
        <v>621.84775400567219</v>
      </c>
      <c r="AF466" s="6">
        <f>$M$466*$Z$466</f>
        <v>0</v>
      </c>
      <c r="AG466" s="6">
        <f>$O$466*$AA$466</f>
        <v>0</v>
      </c>
    </row>
    <row r="467" spans="1:33" ht="11.25" customHeight="1" x14ac:dyDescent="0.3">
      <c r="A467" s="4" t="s">
        <v>21</v>
      </c>
      <c r="B467" s="4" t="s">
        <v>39</v>
      </c>
      <c r="C467" s="4" t="s">
        <v>40</v>
      </c>
      <c r="D467" s="4" t="s">
        <v>50</v>
      </c>
      <c r="E467" s="4" t="s">
        <v>51</v>
      </c>
      <c r="F467" s="4" t="s">
        <v>25</v>
      </c>
      <c r="G467" s="4" t="s">
        <v>25</v>
      </c>
      <c r="H467" s="4" t="s">
        <v>25</v>
      </c>
      <c r="I467" s="5">
        <v>44562</v>
      </c>
      <c r="J467" s="6">
        <v>30</v>
      </c>
      <c r="K467" s="53">
        <v>30</v>
      </c>
      <c r="L467" s="6">
        <v>0</v>
      </c>
      <c r="M467" s="52">
        <v>0</v>
      </c>
      <c r="N467" s="6">
        <v>0</v>
      </c>
      <c r="O467" s="52">
        <v>0</v>
      </c>
      <c r="P467" s="6">
        <v>1</v>
      </c>
      <c r="Q467" s="4" t="s">
        <v>26</v>
      </c>
      <c r="R467" s="4">
        <v>0</v>
      </c>
      <c r="S467" s="6">
        <v>13</v>
      </c>
      <c r="T467" s="6">
        <v>0</v>
      </c>
      <c r="U467" s="6">
        <v>0</v>
      </c>
      <c r="V467" s="52">
        <f>IF(ISERROR(VLOOKUP($S$467,'TAR FIN'!$A$1:$O$103,15,0)),0,VLOOKUP($S$467,'TAR FIN'!$A$1:$O$103,15,0))*(1-0.06)</f>
        <v>17.784800000000001</v>
      </c>
      <c r="W467" s="52">
        <f>IF(ISERROR(VLOOKUP($T$467,'TAR FIN'!$A$1:$O$103,15,0)),0,VLOOKUP($T$467,'TAR FIN'!$A$1:$O$103,15,0))</f>
        <v>0</v>
      </c>
      <c r="X467" s="52">
        <f>IF(ISERROR(VLOOKUP($U$467,'TAR FIN'!$A$1:$O$103,15,0)),0,VLOOKUP($U$467,'TAR FIN'!$A$1:$O$103,15,0))</f>
        <v>0</v>
      </c>
      <c r="Y467" s="52">
        <f ca="1">('TUSD BE'!$AM$22+'TUSD BF_350'!$AM$22+'TUSD CVA'!$AM$22)*1*(1-0.03)</f>
        <v>20.728258466855738</v>
      </c>
      <c r="Z467" s="52"/>
      <c r="AA467" s="52"/>
      <c r="AB467" s="6">
        <f>$K$467*$V$467</f>
        <v>533.54399999999998</v>
      </c>
      <c r="AC467" s="6">
        <f>$M$467*$W$467</f>
        <v>0</v>
      </c>
      <c r="AD467" s="6">
        <f>$O$467*$X$467</f>
        <v>0</v>
      </c>
      <c r="AE467" s="6">
        <f ca="1">$K$467*$Y$467</f>
        <v>621.84775400567219</v>
      </c>
      <c r="AF467" s="6">
        <f>$M$467*$Z$467</f>
        <v>0</v>
      </c>
      <c r="AG467" s="6">
        <f>$O$467*$AA$467</f>
        <v>0</v>
      </c>
    </row>
    <row r="468" spans="1:33" ht="11.25" customHeight="1" x14ac:dyDescent="0.3">
      <c r="A468" s="4" t="s">
        <v>21</v>
      </c>
      <c r="B468" s="4" t="s">
        <v>39</v>
      </c>
      <c r="C468" s="4" t="s">
        <v>40</v>
      </c>
      <c r="D468" s="4" t="s">
        <v>50</v>
      </c>
      <c r="E468" s="4" t="s">
        <v>51</v>
      </c>
      <c r="F468" s="4" t="s">
        <v>25</v>
      </c>
      <c r="G468" s="4" t="s">
        <v>25</v>
      </c>
      <c r="H468" s="4" t="s">
        <v>25</v>
      </c>
      <c r="I468" s="5">
        <v>44593</v>
      </c>
      <c r="J468" s="6">
        <v>30</v>
      </c>
      <c r="K468" s="53">
        <v>30</v>
      </c>
      <c r="L468" s="6">
        <v>0</v>
      </c>
      <c r="M468" s="52">
        <v>0</v>
      </c>
      <c r="N468" s="6">
        <v>0</v>
      </c>
      <c r="O468" s="52">
        <v>0</v>
      </c>
      <c r="P468" s="6">
        <v>1</v>
      </c>
      <c r="Q468" s="4" t="s">
        <v>26</v>
      </c>
      <c r="R468" s="4">
        <v>0</v>
      </c>
      <c r="S468" s="6">
        <v>13</v>
      </c>
      <c r="T468" s="6">
        <v>0</v>
      </c>
      <c r="U468" s="6">
        <v>0</v>
      </c>
      <c r="V468" s="52">
        <f>IF(ISERROR(VLOOKUP($S$468,'TAR FIN'!$A$1:$O$103,15,0)),0,VLOOKUP($S$468,'TAR FIN'!$A$1:$O$103,15,0))*(1-0.06)</f>
        <v>17.784800000000001</v>
      </c>
      <c r="W468" s="52">
        <f>IF(ISERROR(VLOOKUP($T$468,'TAR FIN'!$A$1:$O$103,15,0)),0,VLOOKUP($T$468,'TAR FIN'!$A$1:$O$103,15,0))</f>
        <v>0</v>
      </c>
      <c r="X468" s="52">
        <f>IF(ISERROR(VLOOKUP($U$468,'TAR FIN'!$A$1:$O$103,15,0)),0,VLOOKUP($U$468,'TAR FIN'!$A$1:$O$103,15,0))</f>
        <v>0</v>
      </c>
      <c r="Y468" s="52">
        <f ca="1">('TUSD BE'!$AM$22+'TUSD BF_350'!$AM$22+'TUSD CVA'!$AM$22)*1*(1-0.03)</f>
        <v>20.728258466855738</v>
      </c>
      <c r="Z468" s="52"/>
      <c r="AA468" s="52"/>
      <c r="AB468" s="6">
        <f>$K$468*$V$468</f>
        <v>533.54399999999998</v>
      </c>
      <c r="AC468" s="6">
        <f>$M$468*$W$468</f>
        <v>0</v>
      </c>
      <c r="AD468" s="6">
        <f>$O$468*$X$468</f>
        <v>0</v>
      </c>
      <c r="AE468" s="6">
        <f ca="1">$K$468*$Y$468</f>
        <v>621.84775400567219</v>
      </c>
      <c r="AF468" s="6">
        <f>$M$468*$Z$468</f>
        <v>0</v>
      </c>
      <c r="AG468" s="6">
        <f>$O$468*$AA$468</f>
        <v>0</v>
      </c>
    </row>
    <row r="469" spans="1:33" ht="11.25" customHeight="1" x14ac:dyDescent="0.3">
      <c r="A469" s="4" t="s">
        <v>21</v>
      </c>
      <c r="B469" s="4" t="s">
        <v>39</v>
      </c>
      <c r="C469" s="4" t="s">
        <v>40</v>
      </c>
      <c r="D469" s="4" t="s">
        <v>50</v>
      </c>
      <c r="E469" s="4" t="s">
        <v>51</v>
      </c>
      <c r="F469" s="4" t="s">
        <v>25</v>
      </c>
      <c r="G469" s="4" t="s">
        <v>25</v>
      </c>
      <c r="H469" s="4" t="s">
        <v>25</v>
      </c>
      <c r="I469" s="5">
        <v>44621</v>
      </c>
      <c r="J469" s="6">
        <v>30</v>
      </c>
      <c r="K469" s="53">
        <v>30</v>
      </c>
      <c r="L469" s="6">
        <v>0</v>
      </c>
      <c r="M469" s="52">
        <v>0</v>
      </c>
      <c r="N469" s="6">
        <v>0</v>
      </c>
      <c r="O469" s="52">
        <v>0</v>
      </c>
      <c r="P469" s="6">
        <v>1</v>
      </c>
      <c r="Q469" s="4" t="s">
        <v>26</v>
      </c>
      <c r="R469" s="4">
        <v>0</v>
      </c>
      <c r="S469" s="6">
        <v>13</v>
      </c>
      <c r="T469" s="6">
        <v>0</v>
      </c>
      <c r="U469" s="6">
        <v>0</v>
      </c>
      <c r="V469" s="52">
        <f>IF(ISERROR(VLOOKUP($S$469,'TAR FIN'!$A$1:$O$103,15,0)),0,VLOOKUP($S$469,'TAR FIN'!$A$1:$O$103,15,0))*(1-0.06)</f>
        <v>17.784800000000001</v>
      </c>
      <c r="W469" s="52">
        <f>IF(ISERROR(VLOOKUP($T$469,'TAR FIN'!$A$1:$O$103,15,0)),0,VLOOKUP($T$469,'TAR FIN'!$A$1:$O$103,15,0))</f>
        <v>0</v>
      </c>
      <c r="X469" s="52">
        <f>IF(ISERROR(VLOOKUP($U$469,'TAR FIN'!$A$1:$O$103,15,0)),0,VLOOKUP($U$469,'TAR FIN'!$A$1:$O$103,15,0))</f>
        <v>0</v>
      </c>
      <c r="Y469" s="52">
        <f ca="1">('TUSD BE'!$AM$22+'TUSD BF_350'!$AM$22+'TUSD CVA'!$AM$22)*1*(1-0.03)</f>
        <v>20.728258466855738</v>
      </c>
      <c r="Z469" s="52"/>
      <c r="AA469" s="52"/>
      <c r="AB469" s="6">
        <f>$K$469*$V$469</f>
        <v>533.54399999999998</v>
      </c>
      <c r="AC469" s="6">
        <f>$M$469*$W$469</f>
        <v>0</v>
      </c>
      <c r="AD469" s="6">
        <f>$O$469*$X$469</f>
        <v>0</v>
      </c>
      <c r="AE469" s="6">
        <f ca="1">$K$469*$Y$469</f>
        <v>621.84775400567219</v>
      </c>
      <c r="AF469" s="6">
        <f>$M$469*$Z$469</f>
        <v>0</v>
      </c>
      <c r="AG469" s="6">
        <f>$O$469*$AA$469</f>
        <v>0</v>
      </c>
    </row>
    <row r="470" spans="1:33" ht="11.25" customHeight="1" x14ac:dyDescent="0.3">
      <c r="A470" s="4" t="s">
        <v>21</v>
      </c>
      <c r="B470" s="4" t="s">
        <v>39</v>
      </c>
      <c r="C470" s="4" t="s">
        <v>40</v>
      </c>
      <c r="D470" s="4" t="s">
        <v>50</v>
      </c>
      <c r="E470" s="4" t="s">
        <v>51</v>
      </c>
      <c r="F470" s="4" t="s">
        <v>25</v>
      </c>
      <c r="G470" s="4" t="s">
        <v>25</v>
      </c>
      <c r="H470" s="4" t="s">
        <v>25</v>
      </c>
      <c r="I470" s="5">
        <v>44652</v>
      </c>
      <c r="J470" s="6">
        <v>30</v>
      </c>
      <c r="K470" s="53">
        <v>30</v>
      </c>
      <c r="L470" s="6">
        <v>0</v>
      </c>
      <c r="M470" s="52">
        <v>0</v>
      </c>
      <c r="N470" s="6">
        <v>0</v>
      </c>
      <c r="O470" s="52">
        <v>0</v>
      </c>
      <c r="P470" s="6">
        <v>1</v>
      </c>
      <c r="Q470" s="4" t="s">
        <v>26</v>
      </c>
      <c r="R470" s="4">
        <v>0</v>
      </c>
      <c r="S470" s="6">
        <v>13</v>
      </c>
      <c r="T470" s="6">
        <v>0</v>
      </c>
      <c r="U470" s="6">
        <v>0</v>
      </c>
      <c r="V470" s="52">
        <f>IF(ISERROR(VLOOKUP($S$470,'TAR FIN'!$A$1:$O$103,15,0)),0,VLOOKUP($S$470,'TAR FIN'!$A$1:$O$103,15,0))*(1-0.06)</f>
        <v>17.784800000000001</v>
      </c>
      <c r="W470" s="52">
        <f>IF(ISERROR(VLOOKUP($T$470,'TAR FIN'!$A$1:$O$103,15,0)),0,VLOOKUP($T$470,'TAR FIN'!$A$1:$O$103,15,0))</f>
        <v>0</v>
      </c>
      <c r="X470" s="52">
        <f>IF(ISERROR(VLOOKUP($U$470,'TAR FIN'!$A$1:$O$103,15,0)),0,VLOOKUP($U$470,'TAR FIN'!$A$1:$O$103,15,0))</f>
        <v>0</v>
      </c>
      <c r="Y470" s="52">
        <f ca="1">('TUSD BE'!$AM$22+'TUSD BF_350'!$AM$22+'TUSD CVA'!$AM$22)*1*(1-0.03)</f>
        <v>20.728258466855738</v>
      </c>
      <c r="Z470" s="52"/>
      <c r="AA470" s="52"/>
      <c r="AB470" s="6">
        <f>$K$470*$V$470</f>
        <v>533.54399999999998</v>
      </c>
      <c r="AC470" s="6">
        <f>$M$470*$W$470</f>
        <v>0</v>
      </c>
      <c r="AD470" s="6">
        <f>$O$470*$X$470</f>
        <v>0</v>
      </c>
      <c r="AE470" s="6">
        <f ca="1">$K$470*$Y$470</f>
        <v>621.84775400567219</v>
      </c>
      <c r="AF470" s="6">
        <f>$M$470*$Z$470</f>
        <v>0</v>
      </c>
      <c r="AG470" s="6">
        <f>$O$470*$AA$470</f>
        <v>0</v>
      </c>
    </row>
    <row r="471" spans="1:33" ht="11.25" customHeight="1" x14ac:dyDescent="0.3">
      <c r="A471" s="4" t="s">
        <v>21</v>
      </c>
      <c r="B471" s="4" t="s">
        <v>39</v>
      </c>
      <c r="C471" s="4" t="s">
        <v>40</v>
      </c>
      <c r="D471" s="4" t="s">
        <v>50</v>
      </c>
      <c r="E471" s="4" t="s">
        <v>51</v>
      </c>
      <c r="F471" s="4" t="s">
        <v>25</v>
      </c>
      <c r="G471" s="4" t="s">
        <v>25</v>
      </c>
      <c r="H471" s="4" t="s">
        <v>25</v>
      </c>
      <c r="I471" s="5">
        <v>44682</v>
      </c>
      <c r="J471" s="6">
        <v>30</v>
      </c>
      <c r="K471" s="53">
        <v>30</v>
      </c>
      <c r="L471" s="6">
        <v>0</v>
      </c>
      <c r="M471" s="52">
        <v>0</v>
      </c>
      <c r="N471" s="6">
        <v>0</v>
      </c>
      <c r="O471" s="52">
        <v>0</v>
      </c>
      <c r="P471" s="6">
        <v>1</v>
      </c>
      <c r="Q471" s="4" t="s">
        <v>26</v>
      </c>
      <c r="R471" s="4">
        <v>0</v>
      </c>
      <c r="S471" s="6">
        <v>13</v>
      </c>
      <c r="T471" s="6">
        <v>0</v>
      </c>
      <c r="U471" s="6">
        <v>0</v>
      </c>
      <c r="V471" s="52">
        <f>IF(ISERROR(VLOOKUP($S$471,'TAR FIN'!$A$1:$O$103,15,0)),0,VLOOKUP($S$471,'TAR FIN'!$A$1:$O$103,15,0))*(1-0.06)</f>
        <v>17.784800000000001</v>
      </c>
      <c r="W471" s="52">
        <f>IF(ISERROR(VLOOKUP($T$471,'TAR FIN'!$A$1:$O$103,15,0)),0,VLOOKUP($T$471,'TAR FIN'!$A$1:$O$103,15,0))</f>
        <v>0</v>
      </c>
      <c r="X471" s="52">
        <f>IF(ISERROR(VLOOKUP($U$471,'TAR FIN'!$A$1:$O$103,15,0)),0,VLOOKUP($U$471,'TAR FIN'!$A$1:$O$103,15,0))</f>
        <v>0</v>
      </c>
      <c r="Y471" s="52">
        <f ca="1">('TUSD BE'!$AM$22+'TUSD BF_350'!$AM$22+'TUSD CVA'!$AM$22)*1*(1-0.03)</f>
        <v>20.728258466855738</v>
      </c>
      <c r="Z471" s="52"/>
      <c r="AA471" s="52"/>
      <c r="AB471" s="6">
        <f>$K$471*$V$471</f>
        <v>533.54399999999998</v>
      </c>
      <c r="AC471" s="6">
        <f>$M$471*$W$471</f>
        <v>0</v>
      </c>
      <c r="AD471" s="6">
        <f>$O$471*$X$471</f>
        <v>0</v>
      </c>
      <c r="AE471" s="6">
        <f ca="1">$K$471*$Y$471</f>
        <v>621.84775400567219</v>
      </c>
      <c r="AF471" s="6">
        <f>$M$471*$Z$471</f>
        <v>0</v>
      </c>
      <c r="AG471" s="6">
        <f>$O$471*$AA$471</f>
        <v>0</v>
      </c>
    </row>
    <row r="472" spans="1:33" ht="11.25" customHeight="1" x14ac:dyDescent="0.3">
      <c r="A472" s="4" t="s">
        <v>21</v>
      </c>
      <c r="B472" s="4" t="s">
        <v>39</v>
      </c>
      <c r="C472" s="4" t="s">
        <v>40</v>
      </c>
      <c r="D472" s="4" t="s">
        <v>50</v>
      </c>
      <c r="E472" s="4" t="s">
        <v>51</v>
      </c>
      <c r="F472" s="4" t="s">
        <v>25</v>
      </c>
      <c r="G472" s="4" t="s">
        <v>25</v>
      </c>
      <c r="H472" s="4" t="s">
        <v>25</v>
      </c>
      <c r="I472" s="5">
        <v>44713</v>
      </c>
      <c r="J472" s="6">
        <v>30</v>
      </c>
      <c r="K472" s="53">
        <v>30</v>
      </c>
      <c r="L472" s="6">
        <v>0</v>
      </c>
      <c r="M472" s="52">
        <v>0</v>
      </c>
      <c r="N472" s="6">
        <v>0</v>
      </c>
      <c r="O472" s="52">
        <v>0</v>
      </c>
      <c r="P472" s="6">
        <v>1</v>
      </c>
      <c r="Q472" s="4" t="s">
        <v>26</v>
      </c>
      <c r="R472" s="4">
        <v>0</v>
      </c>
      <c r="S472" s="6">
        <v>13</v>
      </c>
      <c r="T472" s="6">
        <v>0</v>
      </c>
      <c r="U472" s="6">
        <v>0</v>
      </c>
      <c r="V472" s="52">
        <f>IF(ISERROR(VLOOKUP($S$472,'TAR FIN'!$A$1:$O$103,15,0)),0,VLOOKUP($S$472,'TAR FIN'!$A$1:$O$103,15,0))*(1-0.06)</f>
        <v>17.784800000000001</v>
      </c>
      <c r="W472" s="52">
        <f>IF(ISERROR(VLOOKUP($T$472,'TAR FIN'!$A$1:$O$103,15,0)),0,VLOOKUP($T$472,'TAR FIN'!$A$1:$O$103,15,0))</f>
        <v>0</v>
      </c>
      <c r="X472" s="52">
        <f>IF(ISERROR(VLOOKUP($U$472,'TAR FIN'!$A$1:$O$103,15,0)),0,VLOOKUP($U$472,'TAR FIN'!$A$1:$O$103,15,0))</f>
        <v>0</v>
      </c>
      <c r="Y472" s="52">
        <f ca="1">('TUSD BE'!$AM$22+'TUSD BF_350'!$AM$22+'TUSD CVA'!$AM$22)*1*(1-0.03)</f>
        <v>20.728258466855738</v>
      </c>
      <c r="Z472" s="52"/>
      <c r="AA472" s="52"/>
      <c r="AB472" s="6">
        <f>$K$472*$V$472</f>
        <v>533.54399999999998</v>
      </c>
      <c r="AC472" s="6">
        <f>$M$472*$W$472</f>
        <v>0</v>
      </c>
      <c r="AD472" s="6">
        <f>$O$472*$X$472</f>
        <v>0</v>
      </c>
      <c r="AE472" s="6">
        <f ca="1">$K$472*$Y$472</f>
        <v>621.84775400567219</v>
      </c>
      <c r="AF472" s="6">
        <f>$M$472*$Z$472</f>
        <v>0</v>
      </c>
      <c r="AG472" s="6">
        <f>$O$472*$AA$472</f>
        <v>0</v>
      </c>
    </row>
    <row r="473" spans="1:33" ht="11.25" customHeight="1" x14ac:dyDescent="0.3">
      <c r="A473" s="4" t="s">
        <v>21</v>
      </c>
      <c r="B473" s="4" t="s">
        <v>39</v>
      </c>
      <c r="C473" s="4" t="s">
        <v>40</v>
      </c>
      <c r="D473" s="4" t="s">
        <v>50</v>
      </c>
      <c r="E473" s="4" t="s">
        <v>51</v>
      </c>
      <c r="F473" s="4" t="s">
        <v>25</v>
      </c>
      <c r="G473" s="4" t="s">
        <v>25</v>
      </c>
      <c r="H473" s="4" t="s">
        <v>25</v>
      </c>
      <c r="I473" s="5">
        <v>44743</v>
      </c>
      <c r="J473" s="6">
        <v>30</v>
      </c>
      <c r="K473" s="53">
        <v>30</v>
      </c>
      <c r="L473" s="6">
        <v>0</v>
      </c>
      <c r="M473" s="52">
        <v>0</v>
      </c>
      <c r="N473" s="6">
        <v>0</v>
      </c>
      <c r="O473" s="52">
        <v>0</v>
      </c>
      <c r="P473" s="6">
        <v>1</v>
      </c>
      <c r="Q473" s="4" t="s">
        <v>26</v>
      </c>
      <c r="R473" s="4">
        <v>0</v>
      </c>
      <c r="S473" s="6">
        <v>13</v>
      </c>
      <c r="T473" s="6">
        <v>0</v>
      </c>
      <c r="U473" s="6">
        <v>0</v>
      </c>
      <c r="V473" s="52">
        <f>IF(ISERROR(VLOOKUP($S$473,'TAR FIN'!$A$1:$O$103,15,0)),0,VLOOKUP($S$473,'TAR FIN'!$A$1:$O$103,15,0))*(1-0.06)</f>
        <v>17.784800000000001</v>
      </c>
      <c r="W473" s="52">
        <f>IF(ISERROR(VLOOKUP($T$473,'TAR FIN'!$A$1:$O$103,15,0)),0,VLOOKUP($T$473,'TAR FIN'!$A$1:$O$103,15,0))</f>
        <v>0</v>
      </c>
      <c r="X473" s="52">
        <f>IF(ISERROR(VLOOKUP($U$473,'TAR FIN'!$A$1:$O$103,15,0)),0,VLOOKUP($U$473,'TAR FIN'!$A$1:$O$103,15,0))</f>
        <v>0</v>
      </c>
      <c r="Y473" s="52">
        <f ca="1">('TUSD BE'!$AM$22+'TUSD BF_350'!$AM$22+'TUSD CVA'!$AM$22)*1*(1-0.03)</f>
        <v>20.728258466855738</v>
      </c>
      <c r="Z473" s="52"/>
      <c r="AA473" s="52"/>
      <c r="AB473" s="6">
        <f>$K$473*$V$473</f>
        <v>533.54399999999998</v>
      </c>
      <c r="AC473" s="6">
        <f>$M$473*$W$473</f>
        <v>0</v>
      </c>
      <c r="AD473" s="6">
        <f>$O$473*$X$473</f>
        <v>0</v>
      </c>
      <c r="AE473" s="6">
        <f ca="1">$K$473*$Y$473</f>
        <v>621.84775400567219</v>
      </c>
      <c r="AF473" s="6">
        <f>$M$473*$Z$473</f>
        <v>0</v>
      </c>
      <c r="AG473" s="6">
        <f>$O$473*$AA$473</f>
        <v>0</v>
      </c>
    </row>
    <row r="474" spans="1:33" ht="11.25" customHeight="1" x14ac:dyDescent="0.3">
      <c r="A474" s="4" t="s">
        <v>21</v>
      </c>
      <c r="B474" s="4" t="s">
        <v>39</v>
      </c>
      <c r="C474" s="4" t="s">
        <v>40</v>
      </c>
      <c r="D474" s="4" t="s">
        <v>50</v>
      </c>
      <c r="E474" s="4" t="s">
        <v>51</v>
      </c>
      <c r="F474" s="4" t="s">
        <v>25</v>
      </c>
      <c r="G474" s="4" t="s">
        <v>25</v>
      </c>
      <c r="H474" s="4" t="s">
        <v>25</v>
      </c>
      <c r="I474" s="5">
        <v>44774</v>
      </c>
      <c r="J474" s="6">
        <v>30</v>
      </c>
      <c r="K474" s="53">
        <v>30</v>
      </c>
      <c r="L474" s="6">
        <v>0</v>
      </c>
      <c r="M474" s="52">
        <v>0</v>
      </c>
      <c r="N474" s="6">
        <v>0</v>
      </c>
      <c r="O474" s="52">
        <v>0</v>
      </c>
      <c r="P474" s="6">
        <v>1</v>
      </c>
      <c r="Q474" s="4" t="s">
        <v>26</v>
      </c>
      <c r="R474" s="4">
        <v>0</v>
      </c>
      <c r="S474" s="6">
        <v>13</v>
      </c>
      <c r="T474" s="6">
        <v>0</v>
      </c>
      <c r="U474" s="6">
        <v>0</v>
      </c>
      <c r="V474" s="52">
        <f>IF(ISERROR(VLOOKUP($S$474,'TAR FIN'!$A$1:$O$103,15,0)),0,VLOOKUP($S$474,'TAR FIN'!$A$1:$O$103,15,0))*(1-0.06)</f>
        <v>17.784800000000001</v>
      </c>
      <c r="W474" s="52">
        <f>IF(ISERROR(VLOOKUP($T$474,'TAR FIN'!$A$1:$O$103,15,0)),0,VLOOKUP($T$474,'TAR FIN'!$A$1:$O$103,15,0))</f>
        <v>0</v>
      </c>
      <c r="X474" s="52">
        <f>IF(ISERROR(VLOOKUP($U$474,'TAR FIN'!$A$1:$O$103,15,0)),0,VLOOKUP($U$474,'TAR FIN'!$A$1:$O$103,15,0))</f>
        <v>0</v>
      </c>
      <c r="Y474" s="52">
        <f ca="1">('TUSD BE'!$AM$22+'TUSD BF_350'!$AM$22+'TUSD CVA'!$AM$22)*1*(1-0.03)</f>
        <v>20.728258466855738</v>
      </c>
      <c r="Z474" s="52"/>
      <c r="AA474" s="52"/>
      <c r="AB474" s="6">
        <f>$K$474*$V$474</f>
        <v>533.54399999999998</v>
      </c>
      <c r="AC474" s="6">
        <f>$M$474*$W$474</f>
        <v>0</v>
      </c>
      <c r="AD474" s="6">
        <f>$O$474*$X$474</f>
        <v>0</v>
      </c>
      <c r="AE474" s="6">
        <f ca="1">$K$474*$Y$474</f>
        <v>621.84775400567219</v>
      </c>
      <c r="AF474" s="6">
        <f>$M$474*$Z$474</f>
        <v>0</v>
      </c>
      <c r="AG474" s="6">
        <f>$O$474*$AA$474</f>
        <v>0</v>
      </c>
    </row>
    <row r="475" spans="1:33" ht="11.25" customHeight="1" x14ac:dyDescent="0.3">
      <c r="A475" s="4" t="s">
        <v>21</v>
      </c>
      <c r="B475" s="4" t="s">
        <v>39</v>
      </c>
      <c r="C475" s="4" t="s">
        <v>40</v>
      </c>
      <c r="D475" s="4" t="s">
        <v>50</v>
      </c>
      <c r="E475" s="4" t="s">
        <v>51</v>
      </c>
      <c r="F475" s="4" t="s">
        <v>25</v>
      </c>
      <c r="G475" s="4" t="s">
        <v>25</v>
      </c>
      <c r="H475" s="4" t="s">
        <v>25</v>
      </c>
      <c r="I475" s="5">
        <v>44805</v>
      </c>
      <c r="J475" s="6">
        <v>30</v>
      </c>
      <c r="K475" s="53">
        <v>30</v>
      </c>
      <c r="L475" s="6">
        <v>0</v>
      </c>
      <c r="M475" s="52">
        <v>0</v>
      </c>
      <c r="N475" s="6">
        <v>0</v>
      </c>
      <c r="O475" s="52">
        <v>0</v>
      </c>
      <c r="P475" s="6">
        <v>1</v>
      </c>
      <c r="Q475" s="4" t="s">
        <v>26</v>
      </c>
      <c r="R475" s="4">
        <v>0</v>
      </c>
      <c r="S475" s="6">
        <v>13</v>
      </c>
      <c r="T475" s="6">
        <v>0</v>
      </c>
      <c r="U475" s="6">
        <v>0</v>
      </c>
      <c r="V475" s="52">
        <f>IF(ISERROR(VLOOKUP($S$475,'TAR FIN'!$A$1:$O$103,15,0)),0,VLOOKUP($S$475,'TAR FIN'!$A$1:$O$103,15,0))*(1-0.06)</f>
        <v>17.784800000000001</v>
      </c>
      <c r="W475" s="52">
        <f>IF(ISERROR(VLOOKUP($T$475,'TAR FIN'!$A$1:$O$103,15,0)),0,VLOOKUP($T$475,'TAR FIN'!$A$1:$O$103,15,0))</f>
        <v>0</v>
      </c>
      <c r="X475" s="52">
        <f>IF(ISERROR(VLOOKUP($U$475,'TAR FIN'!$A$1:$O$103,15,0)),0,VLOOKUP($U$475,'TAR FIN'!$A$1:$O$103,15,0))</f>
        <v>0</v>
      </c>
      <c r="Y475" s="52">
        <f ca="1">('TUSD BE'!$AM$22+'TUSD BF_350'!$AM$22+'TUSD CVA'!$AM$22)*1*(1-0.03)</f>
        <v>20.728258466855738</v>
      </c>
      <c r="Z475" s="52"/>
      <c r="AA475" s="52"/>
      <c r="AB475" s="6">
        <f>$K$475*$V$475</f>
        <v>533.54399999999998</v>
      </c>
      <c r="AC475" s="6">
        <f>$M$475*$W$475</f>
        <v>0</v>
      </c>
      <c r="AD475" s="6">
        <f>$O$475*$X$475</f>
        <v>0</v>
      </c>
      <c r="AE475" s="6">
        <f ca="1">$K$475*$Y$475</f>
        <v>621.84775400567219</v>
      </c>
      <c r="AF475" s="6">
        <f>$M$475*$Z$475</f>
        <v>0</v>
      </c>
      <c r="AG475" s="6">
        <f>$O$475*$AA$475</f>
        <v>0</v>
      </c>
    </row>
    <row r="476" spans="1:33" ht="11.25" customHeight="1" x14ac:dyDescent="0.3">
      <c r="A476" s="4" t="s">
        <v>57</v>
      </c>
      <c r="B476" s="4" t="s">
        <v>39</v>
      </c>
      <c r="C476" s="4" t="s">
        <v>40</v>
      </c>
      <c r="D476" s="4" t="s">
        <v>50</v>
      </c>
      <c r="E476" s="4" t="s">
        <v>51</v>
      </c>
      <c r="F476" s="4" t="s">
        <v>25</v>
      </c>
      <c r="G476" s="4" t="s">
        <v>25</v>
      </c>
      <c r="H476" s="4" t="s">
        <v>25</v>
      </c>
      <c r="I476" s="5">
        <v>44835</v>
      </c>
      <c r="J476" s="6">
        <v>30</v>
      </c>
      <c r="K476" s="53">
        <v>30</v>
      </c>
      <c r="L476" s="6">
        <v>0</v>
      </c>
      <c r="M476" s="52">
        <v>0</v>
      </c>
      <c r="N476" s="6">
        <v>0</v>
      </c>
      <c r="O476" s="52">
        <v>0</v>
      </c>
      <c r="P476" s="6">
        <v>1</v>
      </c>
      <c r="Q476" s="4" t="s">
        <v>26</v>
      </c>
      <c r="R476" s="4">
        <v>0</v>
      </c>
      <c r="S476" s="6">
        <v>13</v>
      </c>
      <c r="T476" s="6">
        <v>0</v>
      </c>
      <c r="U476" s="6">
        <v>0</v>
      </c>
      <c r="V476" s="52">
        <f>IF(ISERROR(VLOOKUP($S$476,'TAR FIN'!$A$1:$O$103,15,0)),0,VLOOKUP($S$476,'TAR FIN'!$A$1:$O$103,15,0))*(1-0.06)</f>
        <v>17.784800000000001</v>
      </c>
      <c r="W476" s="52">
        <f>IF(ISERROR(VLOOKUP($T$476,'TAR FIN'!$A$1:$O$103,15,0)),0,VLOOKUP($T$476,'TAR FIN'!$A$1:$O$103,15,0))</f>
        <v>0</v>
      </c>
      <c r="X476" s="52">
        <f>IF(ISERROR(VLOOKUP($U$476,'TAR FIN'!$A$1:$O$103,15,0)),0,VLOOKUP($U$476,'TAR FIN'!$A$1:$O$103,15,0))</f>
        <v>0</v>
      </c>
      <c r="Y476" s="52">
        <f ca="1">('TUSD BE'!$AM$22+'TUSD BF_350'!$AM$22+'TUSD CVA'!$AM$22)*1*(1-0.03)</f>
        <v>20.728258466855738</v>
      </c>
      <c r="Z476" s="52"/>
      <c r="AA476" s="52"/>
      <c r="AB476" s="6">
        <f>$K$476*$V$476</f>
        <v>533.54399999999998</v>
      </c>
      <c r="AC476" s="6">
        <f>$M$476*$W$476</f>
        <v>0</v>
      </c>
      <c r="AD476" s="6">
        <f>$O$476*$X$476</f>
        <v>0</v>
      </c>
      <c r="AE476" s="6">
        <f ca="1">$K$476*$Y$476</f>
        <v>621.84775400567219</v>
      </c>
      <c r="AF476" s="6">
        <f>$M$476*$Z$476</f>
        <v>0</v>
      </c>
      <c r="AG476" s="6">
        <f>$O$476*$AA$476</f>
        <v>0</v>
      </c>
    </row>
    <row r="477" spans="1:33" ht="11.25" customHeight="1" x14ac:dyDescent="0.3">
      <c r="A477" s="4" t="s">
        <v>21</v>
      </c>
      <c r="B477" s="4" t="s">
        <v>39</v>
      </c>
      <c r="C477" s="4" t="s">
        <v>40</v>
      </c>
      <c r="D477" s="4" t="s">
        <v>50</v>
      </c>
      <c r="E477" s="4" t="s">
        <v>51</v>
      </c>
      <c r="F477" s="4" t="s">
        <v>25</v>
      </c>
      <c r="G477" s="4" t="s">
        <v>25</v>
      </c>
      <c r="H477" s="4" t="s">
        <v>34</v>
      </c>
      <c r="I477" s="5">
        <v>44501</v>
      </c>
      <c r="J477" s="6">
        <v>0</v>
      </c>
      <c r="K477" s="52">
        <v>0</v>
      </c>
      <c r="L477" s="6">
        <v>0.53900000000000003</v>
      </c>
      <c r="M477" s="52">
        <v>0.53900000000000003</v>
      </c>
      <c r="N477" s="6">
        <v>0.53900000000000003</v>
      </c>
      <c r="O477" s="52">
        <v>0.53900000000000003</v>
      </c>
      <c r="P477" s="6">
        <v>0</v>
      </c>
      <c r="Q477" s="4" t="s">
        <v>26</v>
      </c>
      <c r="R477" s="4">
        <v>0</v>
      </c>
      <c r="S477" s="6">
        <v>0</v>
      </c>
      <c r="T477" s="6">
        <v>15</v>
      </c>
      <c r="U477" s="6">
        <v>65</v>
      </c>
      <c r="V477" s="52">
        <f>IF(ISERROR(VLOOKUP($S$477,'TAR FIN'!$A$1:$O$103,15,0)),0,VLOOKUP($S$477,'TAR FIN'!$A$1:$O$103,15,0))</f>
        <v>0</v>
      </c>
      <c r="W477" s="52">
        <f>IF(ISERROR(VLOOKUP($T$477,'TAR FIN'!$A$1:$O$103,15,0)),0,VLOOKUP($T$477,'TAR FIN'!$A$1:$O$103,15,0))*(1-0.06)</f>
        <v>1124.0708</v>
      </c>
      <c r="X477" s="52">
        <f>IF(ISERROR(VLOOKUP($U$477,'TAR FIN'!$A$1:$O$103,15,0)),0,VLOOKUP($U$477,'TAR FIN'!$A$1:$O$103,15,0))*(1-0.06)</f>
        <v>368.04759999999999</v>
      </c>
      <c r="Y477" s="52"/>
      <c r="Z477" s="52">
        <f ca="1">('TUSD BE'!$AM$23+'TUSD BF_350'!$AM$23+'TUSD CVA'!$AM$23)*1*(1-0.03)</f>
        <v>1343.9328411039912</v>
      </c>
      <c r="AA477" s="52">
        <f ca="1">('TE BE'!$AB$8+'TE BF_350'!$AB$8+'TE CVA'!$AB$8)*1*(1-0.03)</f>
        <v>351.09406763094154</v>
      </c>
      <c r="AB477" s="6">
        <f>$K$477*$V$477</f>
        <v>0</v>
      </c>
      <c r="AC477" s="6">
        <f>$M$477*$W$477</f>
        <v>605.8741612</v>
      </c>
      <c r="AD477" s="6">
        <f>$O$477*$X$477</f>
        <v>198.37765640000001</v>
      </c>
      <c r="AE477" s="6">
        <f>$K$477*$Y$477</f>
        <v>0</v>
      </c>
      <c r="AF477" s="6">
        <f ca="1">$M$477*$Z$477</f>
        <v>724.37980135505131</v>
      </c>
      <c r="AG477" s="6">
        <f ca="1">$O$477*$AA$477</f>
        <v>189.23970245307751</v>
      </c>
    </row>
    <row r="478" spans="1:33" ht="11.25" customHeight="1" x14ac:dyDescent="0.3">
      <c r="A478" s="4" t="s">
        <v>21</v>
      </c>
      <c r="B478" s="4" t="s">
        <v>39</v>
      </c>
      <c r="C478" s="4" t="s">
        <v>40</v>
      </c>
      <c r="D478" s="4" t="s">
        <v>50</v>
      </c>
      <c r="E478" s="4" t="s">
        <v>51</v>
      </c>
      <c r="F478" s="4" t="s">
        <v>25</v>
      </c>
      <c r="G478" s="4" t="s">
        <v>25</v>
      </c>
      <c r="H478" s="4" t="s">
        <v>34</v>
      </c>
      <c r="I478" s="5">
        <v>44531</v>
      </c>
      <c r="J478" s="6">
        <v>0</v>
      </c>
      <c r="K478" s="52">
        <v>0</v>
      </c>
      <c r="L478" s="6">
        <v>0.64700000000000002</v>
      </c>
      <c r="M478" s="52">
        <v>0.64700000000000002</v>
      </c>
      <c r="N478" s="6">
        <v>0.64700000000000002</v>
      </c>
      <c r="O478" s="52">
        <v>0.64700000000000002</v>
      </c>
      <c r="P478" s="6">
        <v>0</v>
      </c>
      <c r="Q478" s="4" t="s">
        <v>26</v>
      </c>
      <c r="R478" s="4">
        <v>0</v>
      </c>
      <c r="S478" s="6">
        <v>0</v>
      </c>
      <c r="T478" s="6">
        <v>15</v>
      </c>
      <c r="U478" s="6">
        <v>65</v>
      </c>
      <c r="V478" s="52">
        <f>IF(ISERROR(VLOOKUP($S$478,'TAR FIN'!$A$1:$O$103,15,0)),0,VLOOKUP($S$478,'TAR FIN'!$A$1:$O$103,15,0))</f>
        <v>0</v>
      </c>
      <c r="W478" s="52">
        <f>IF(ISERROR(VLOOKUP($T$478,'TAR FIN'!$A$1:$O$103,15,0)),0,VLOOKUP($T$478,'TAR FIN'!$A$1:$O$103,15,0))*(1-0.06)</f>
        <v>1124.0708</v>
      </c>
      <c r="X478" s="52">
        <f>IF(ISERROR(VLOOKUP($U$478,'TAR FIN'!$A$1:$O$103,15,0)),0,VLOOKUP($U$478,'TAR FIN'!$A$1:$O$103,15,0))*(1-0.06)</f>
        <v>368.04759999999999</v>
      </c>
      <c r="Y478" s="52"/>
      <c r="Z478" s="52">
        <f ca="1">('TUSD BE'!$AM$23+'TUSD BF_350'!$AM$23+'TUSD CVA'!$AM$23)*1*(1-0.03)</f>
        <v>1343.9328411039912</v>
      </c>
      <c r="AA478" s="52">
        <f ca="1">('TE BE'!$AB$8+'TE BF_350'!$AB$8+'TE CVA'!$AB$8)*1*(1-0.03)</f>
        <v>351.09406763094154</v>
      </c>
      <c r="AB478" s="6">
        <f>$K$478*$V$478</f>
        <v>0</v>
      </c>
      <c r="AC478" s="6">
        <f>$M$478*$W$478</f>
        <v>727.27380760000005</v>
      </c>
      <c r="AD478" s="6">
        <f>$O$478*$X$478</f>
        <v>238.1267972</v>
      </c>
      <c r="AE478" s="6">
        <f>$K$478*$Y$478</f>
        <v>0</v>
      </c>
      <c r="AF478" s="6">
        <f ca="1">$M$478*$Z$478</f>
        <v>869.52454819428237</v>
      </c>
      <c r="AG478" s="6">
        <f ca="1">$O$478*$AA$478</f>
        <v>227.15786175721919</v>
      </c>
    </row>
    <row r="479" spans="1:33" ht="11.25" customHeight="1" x14ac:dyDescent="0.3">
      <c r="A479" s="4" t="s">
        <v>21</v>
      </c>
      <c r="B479" s="4" t="s">
        <v>39</v>
      </c>
      <c r="C479" s="4" t="s">
        <v>40</v>
      </c>
      <c r="D479" s="4" t="s">
        <v>50</v>
      </c>
      <c r="E479" s="4" t="s">
        <v>51</v>
      </c>
      <c r="F479" s="4" t="s">
        <v>25</v>
      </c>
      <c r="G479" s="4" t="s">
        <v>25</v>
      </c>
      <c r="H479" s="4" t="s">
        <v>34</v>
      </c>
      <c r="I479" s="5">
        <v>44562</v>
      </c>
      <c r="J479" s="6">
        <v>0</v>
      </c>
      <c r="K479" s="52">
        <v>0</v>
      </c>
      <c r="L479" s="6">
        <v>0.64900000000000002</v>
      </c>
      <c r="M479" s="52">
        <v>0.64900000000000002</v>
      </c>
      <c r="N479" s="6">
        <v>0.64900000000000002</v>
      </c>
      <c r="O479" s="52">
        <v>0.64900000000000002</v>
      </c>
      <c r="P479" s="6">
        <v>0</v>
      </c>
      <c r="Q479" s="4" t="s">
        <v>26</v>
      </c>
      <c r="R479" s="4">
        <v>0</v>
      </c>
      <c r="S479" s="6">
        <v>0</v>
      </c>
      <c r="T479" s="6">
        <v>15</v>
      </c>
      <c r="U479" s="6">
        <v>65</v>
      </c>
      <c r="V479" s="52">
        <f>IF(ISERROR(VLOOKUP($S$479,'TAR FIN'!$A$1:$O$103,15,0)),0,VLOOKUP($S$479,'TAR FIN'!$A$1:$O$103,15,0))</f>
        <v>0</v>
      </c>
      <c r="W479" s="52">
        <f>IF(ISERROR(VLOOKUP($T$479,'TAR FIN'!$A$1:$O$103,15,0)),0,VLOOKUP($T$479,'TAR FIN'!$A$1:$O$103,15,0))*(1-0.06)</f>
        <v>1124.0708</v>
      </c>
      <c r="X479" s="52">
        <f>IF(ISERROR(VLOOKUP($U$479,'TAR FIN'!$A$1:$O$103,15,0)),0,VLOOKUP($U$479,'TAR FIN'!$A$1:$O$103,15,0))*(1-0.06)</f>
        <v>368.04759999999999</v>
      </c>
      <c r="Y479" s="52"/>
      <c r="Z479" s="52">
        <f ca="1">('TUSD BE'!$AM$23+'TUSD BF_350'!$AM$23+'TUSD CVA'!$AM$23)*1*(1-0.03)</f>
        <v>1343.9328411039912</v>
      </c>
      <c r="AA479" s="52">
        <f ca="1">('TE BE'!$AB$8+'TE BF_350'!$AB$8+'TE CVA'!$AB$8)*1*(1-0.03)</f>
        <v>351.09406763094154</v>
      </c>
      <c r="AB479" s="6">
        <f>$K$479*$V$479</f>
        <v>0</v>
      </c>
      <c r="AC479" s="6">
        <f>$M$479*$W$479</f>
        <v>729.52194919999999</v>
      </c>
      <c r="AD479" s="6">
        <f>$O$479*$X$479</f>
        <v>238.86289239999999</v>
      </c>
      <c r="AE479" s="6">
        <f>$K$479*$Y$479</f>
        <v>0</v>
      </c>
      <c r="AF479" s="6">
        <f ca="1">$M$479*$Z$479</f>
        <v>872.21241387649036</v>
      </c>
      <c r="AG479" s="6">
        <f ca="1">$O$479*$AA$479</f>
        <v>227.86004989248107</v>
      </c>
    </row>
    <row r="480" spans="1:33" ht="11.25" customHeight="1" x14ac:dyDescent="0.3">
      <c r="A480" s="4" t="s">
        <v>21</v>
      </c>
      <c r="B480" s="4" t="s">
        <v>39</v>
      </c>
      <c r="C480" s="4" t="s">
        <v>40</v>
      </c>
      <c r="D480" s="4" t="s">
        <v>50</v>
      </c>
      <c r="E480" s="4" t="s">
        <v>51</v>
      </c>
      <c r="F480" s="4" t="s">
        <v>25</v>
      </c>
      <c r="G480" s="4" t="s">
        <v>25</v>
      </c>
      <c r="H480" s="4" t="s">
        <v>34</v>
      </c>
      <c r="I480" s="5">
        <v>44593</v>
      </c>
      <c r="J480" s="6">
        <v>0</v>
      </c>
      <c r="K480" s="52">
        <v>0</v>
      </c>
      <c r="L480" s="6">
        <v>0.57499999999999996</v>
      </c>
      <c r="M480" s="52">
        <v>0.57499999999999996</v>
      </c>
      <c r="N480" s="6">
        <v>0.57499999999999996</v>
      </c>
      <c r="O480" s="52">
        <v>0.57499999999999996</v>
      </c>
      <c r="P480" s="6">
        <v>0</v>
      </c>
      <c r="Q480" s="4" t="s">
        <v>26</v>
      </c>
      <c r="R480" s="4">
        <v>0</v>
      </c>
      <c r="S480" s="6">
        <v>0</v>
      </c>
      <c r="T480" s="6">
        <v>15</v>
      </c>
      <c r="U480" s="6">
        <v>65</v>
      </c>
      <c r="V480" s="52">
        <f>IF(ISERROR(VLOOKUP($S$480,'TAR FIN'!$A$1:$O$103,15,0)),0,VLOOKUP($S$480,'TAR FIN'!$A$1:$O$103,15,0))</f>
        <v>0</v>
      </c>
      <c r="W480" s="52">
        <f>IF(ISERROR(VLOOKUP($T$480,'TAR FIN'!$A$1:$O$103,15,0)),0,VLOOKUP($T$480,'TAR FIN'!$A$1:$O$103,15,0))*(1-0.06)</f>
        <v>1124.0708</v>
      </c>
      <c r="X480" s="52">
        <f>IF(ISERROR(VLOOKUP($U$480,'TAR FIN'!$A$1:$O$103,15,0)),0,VLOOKUP($U$480,'TAR FIN'!$A$1:$O$103,15,0))*(1-0.06)</f>
        <v>368.04759999999999</v>
      </c>
      <c r="Y480" s="52"/>
      <c r="Z480" s="52">
        <f ca="1">('TUSD BE'!$AM$23+'TUSD BF_350'!$AM$23+'TUSD CVA'!$AM$23)*1*(1-0.03)</f>
        <v>1343.9328411039912</v>
      </c>
      <c r="AA480" s="52">
        <f ca="1">('TE BE'!$AB$8+'TE BF_350'!$AB$8+'TE CVA'!$AB$8)*1*(1-0.03)</f>
        <v>351.09406763094154</v>
      </c>
      <c r="AB480" s="6">
        <f>$K$480*$V$480</f>
        <v>0</v>
      </c>
      <c r="AC480" s="6">
        <f>$M$480*$W$480</f>
        <v>646.34070999999994</v>
      </c>
      <c r="AD480" s="6">
        <f>$O$480*$X$480</f>
        <v>211.62736999999998</v>
      </c>
      <c r="AE480" s="6">
        <f>$K$480*$Y$480</f>
        <v>0</v>
      </c>
      <c r="AF480" s="6">
        <f ca="1">$M$480*$Z$480</f>
        <v>772.76138363479492</v>
      </c>
      <c r="AG480" s="6">
        <f ca="1">$O$480*$AA$480</f>
        <v>201.87908888779137</v>
      </c>
    </row>
    <row r="481" spans="1:33" ht="11.25" customHeight="1" x14ac:dyDescent="0.3">
      <c r="A481" s="4" t="s">
        <v>21</v>
      </c>
      <c r="B481" s="4" t="s">
        <v>39</v>
      </c>
      <c r="C481" s="4" t="s">
        <v>40</v>
      </c>
      <c r="D481" s="4" t="s">
        <v>50</v>
      </c>
      <c r="E481" s="4" t="s">
        <v>51</v>
      </c>
      <c r="F481" s="4" t="s">
        <v>25</v>
      </c>
      <c r="G481" s="4" t="s">
        <v>25</v>
      </c>
      <c r="H481" s="4" t="s">
        <v>34</v>
      </c>
      <c r="I481" s="5">
        <v>44621</v>
      </c>
      <c r="J481" s="6">
        <v>0</v>
      </c>
      <c r="K481" s="52">
        <v>0</v>
      </c>
      <c r="L481" s="6">
        <v>0.61099999999999999</v>
      </c>
      <c r="M481" s="52">
        <v>0.61099999999999999</v>
      </c>
      <c r="N481" s="6">
        <v>0.61099999999999999</v>
      </c>
      <c r="O481" s="52">
        <v>0.61099999999999999</v>
      </c>
      <c r="P481" s="6">
        <v>0</v>
      </c>
      <c r="Q481" s="4" t="s">
        <v>26</v>
      </c>
      <c r="R481" s="4">
        <v>0</v>
      </c>
      <c r="S481" s="6">
        <v>0</v>
      </c>
      <c r="T481" s="6">
        <v>15</v>
      </c>
      <c r="U481" s="6">
        <v>65</v>
      </c>
      <c r="V481" s="52">
        <f>IF(ISERROR(VLOOKUP($S$481,'TAR FIN'!$A$1:$O$103,15,0)),0,VLOOKUP($S$481,'TAR FIN'!$A$1:$O$103,15,0))</f>
        <v>0</v>
      </c>
      <c r="W481" s="52">
        <f>IF(ISERROR(VLOOKUP($T$481,'TAR FIN'!$A$1:$O$103,15,0)),0,VLOOKUP($T$481,'TAR FIN'!$A$1:$O$103,15,0))*(1-0.06)</f>
        <v>1124.0708</v>
      </c>
      <c r="X481" s="52">
        <f>IF(ISERROR(VLOOKUP($U$481,'TAR FIN'!$A$1:$O$103,15,0)),0,VLOOKUP($U$481,'TAR FIN'!$A$1:$O$103,15,0))*(1-0.06)</f>
        <v>368.04759999999999</v>
      </c>
      <c r="Y481" s="52"/>
      <c r="Z481" s="52">
        <f ca="1">('TUSD BE'!$AM$23+'TUSD BF_350'!$AM$23+'TUSD CVA'!$AM$23)*1*(1-0.03)</f>
        <v>1343.9328411039912</v>
      </c>
      <c r="AA481" s="52">
        <f ca="1">('TE BE'!$AB$8+'TE BF_350'!$AB$8+'TE CVA'!$AB$8)*1*(1-0.03)</f>
        <v>351.09406763094154</v>
      </c>
      <c r="AB481" s="6">
        <f>$K$481*$V$481</f>
        <v>0</v>
      </c>
      <c r="AC481" s="6">
        <f>$M$481*$W$481</f>
        <v>686.8072588</v>
      </c>
      <c r="AD481" s="6">
        <f>$O$481*$X$481</f>
        <v>224.87708359999999</v>
      </c>
      <c r="AE481" s="6">
        <f>$K$481*$Y$481</f>
        <v>0</v>
      </c>
      <c r="AF481" s="6">
        <f ca="1">$M$481*$Z$481</f>
        <v>821.14296591453865</v>
      </c>
      <c r="AG481" s="6">
        <f ca="1">$O$481*$AA$481</f>
        <v>214.51847532250528</v>
      </c>
    </row>
    <row r="482" spans="1:33" ht="11.25" customHeight="1" x14ac:dyDescent="0.3">
      <c r="A482" s="4" t="s">
        <v>21</v>
      </c>
      <c r="B482" s="4" t="s">
        <v>39</v>
      </c>
      <c r="C482" s="4" t="s">
        <v>40</v>
      </c>
      <c r="D482" s="4" t="s">
        <v>50</v>
      </c>
      <c r="E482" s="4" t="s">
        <v>51</v>
      </c>
      <c r="F482" s="4" t="s">
        <v>25</v>
      </c>
      <c r="G482" s="4" t="s">
        <v>25</v>
      </c>
      <c r="H482" s="4" t="s">
        <v>34</v>
      </c>
      <c r="I482" s="5">
        <v>44652</v>
      </c>
      <c r="J482" s="6">
        <v>0</v>
      </c>
      <c r="K482" s="52">
        <v>0</v>
      </c>
      <c r="L482" s="6">
        <v>0.56000000000000005</v>
      </c>
      <c r="M482" s="52">
        <v>0.56000000000000005</v>
      </c>
      <c r="N482" s="6">
        <v>0.56000000000000005</v>
      </c>
      <c r="O482" s="52">
        <v>0.56000000000000005</v>
      </c>
      <c r="P482" s="6">
        <v>0</v>
      </c>
      <c r="Q482" s="4" t="s">
        <v>26</v>
      </c>
      <c r="R482" s="4">
        <v>0</v>
      </c>
      <c r="S482" s="6">
        <v>0</v>
      </c>
      <c r="T482" s="6">
        <v>15</v>
      </c>
      <c r="U482" s="6">
        <v>65</v>
      </c>
      <c r="V482" s="52">
        <f>IF(ISERROR(VLOOKUP($S$482,'TAR FIN'!$A$1:$O$103,15,0)),0,VLOOKUP($S$482,'TAR FIN'!$A$1:$O$103,15,0))</f>
        <v>0</v>
      </c>
      <c r="W482" s="52">
        <f>IF(ISERROR(VLOOKUP($T$482,'TAR FIN'!$A$1:$O$103,15,0)),0,VLOOKUP($T$482,'TAR FIN'!$A$1:$O$103,15,0))*(1-0.06)</f>
        <v>1124.0708</v>
      </c>
      <c r="X482" s="52">
        <f>IF(ISERROR(VLOOKUP($U$482,'TAR FIN'!$A$1:$O$103,15,0)),0,VLOOKUP($U$482,'TAR FIN'!$A$1:$O$103,15,0))*(1-0.06)</f>
        <v>368.04759999999999</v>
      </c>
      <c r="Y482" s="52"/>
      <c r="Z482" s="52">
        <f ca="1">('TUSD BE'!$AM$23+'TUSD BF_350'!$AM$23+'TUSD CVA'!$AM$23)*1*(1-0.03)</f>
        <v>1343.9328411039912</v>
      </c>
      <c r="AA482" s="52">
        <f ca="1">('TE BE'!$AB$8+'TE BF_350'!$AB$8+'TE CVA'!$AB$8)*1*(1-0.03)</f>
        <v>351.09406763094154</v>
      </c>
      <c r="AB482" s="6">
        <f>$K$482*$V$482</f>
        <v>0</v>
      </c>
      <c r="AC482" s="6">
        <f>$M$482*$W$482</f>
        <v>629.479648</v>
      </c>
      <c r="AD482" s="6">
        <f>$O$482*$X$482</f>
        <v>206.10665600000002</v>
      </c>
      <c r="AE482" s="6">
        <f>$K$482*$Y$482</f>
        <v>0</v>
      </c>
      <c r="AF482" s="6">
        <f ca="1">$M$482*$Z$482</f>
        <v>752.60239101823515</v>
      </c>
      <c r="AG482" s="6">
        <f ca="1">$O$482*$AA$482</f>
        <v>196.61267787332727</v>
      </c>
    </row>
    <row r="483" spans="1:33" ht="11.25" customHeight="1" x14ac:dyDescent="0.3">
      <c r="A483" s="4" t="s">
        <v>21</v>
      </c>
      <c r="B483" s="4" t="s">
        <v>39</v>
      </c>
      <c r="C483" s="4" t="s">
        <v>40</v>
      </c>
      <c r="D483" s="4" t="s">
        <v>50</v>
      </c>
      <c r="E483" s="4" t="s">
        <v>51</v>
      </c>
      <c r="F483" s="4" t="s">
        <v>25</v>
      </c>
      <c r="G483" s="4" t="s">
        <v>25</v>
      </c>
      <c r="H483" s="4" t="s">
        <v>34</v>
      </c>
      <c r="I483" s="5">
        <v>44682</v>
      </c>
      <c r="J483" s="6">
        <v>0</v>
      </c>
      <c r="K483" s="52">
        <v>0</v>
      </c>
      <c r="L483" s="6">
        <v>0.69699999999999995</v>
      </c>
      <c r="M483" s="52">
        <v>0.69699999999999995</v>
      </c>
      <c r="N483" s="6">
        <v>0.69699999999999995</v>
      </c>
      <c r="O483" s="52">
        <v>0.69699999999999995</v>
      </c>
      <c r="P483" s="6">
        <v>0</v>
      </c>
      <c r="Q483" s="4" t="s">
        <v>26</v>
      </c>
      <c r="R483" s="4">
        <v>0</v>
      </c>
      <c r="S483" s="6">
        <v>0</v>
      </c>
      <c r="T483" s="6">
        <v>15</v>
      </c>
      <c r="U483" s="6">
        <v>65</v>
      </c>
      <c r="V483" s="52">
        <f>IF(ISERROR(VLOOKUP($S$483,'TAR FIN'!$A$1:$O$103,15,0)),0,VLOOKUP($S$483,'TAR FIN'!$A$1:$O$103,15,0))</f>
        <v>0</v>
      </c>
      <c r="W483" s="52">
        <f>IF(ISERROR(VLOOKUP($T$483,'TAR FIN'!$A$1:$O$103,15,0)),0,VLOOKUP($T$483,'TAR FIN'!$A$1:$O$103,15,0))*(1-0.06)</f>
        <v>1124.0708</v>
      </c>
      <c r="X483" s="52">
        <f>IF(ISERROR(VLOOKUP($U$483,'TAR FIN'!$A$1:$O$103,15,0)),0,VLOOKUP($U$483,'TAR FIN'!$A$1:$O$103,15,0))*(1-0.06)</f>
        <v>368.04759999999999</v>
      </c>
      <c r="Y483" s="52"/>
      <c r="Z483" s="52">
        <f ca="1">('TUSD BE'!$AM$23+'TUSD BF_350'!$AM$23+'TUSD CVA'!$AM$23)*1*(1-0.03)</f>
        <v>1343.9328411039912</v>
      </c>
      <c r="AA483" s="52">
        <f ca="1">('TE BE'!$AB$8+'TE BF_350'!$AB$8+'TE CVA'!$AB$8)*1*(1-0.03)</f>
        <v>351.09406763094154</v>
      </c>
      <c r="AB483" s="6">
        <f>$K$483*$V$483</f>
        <v>0</v>
      </c>
      <c r="AC483" s="6">
        <f>$M$483*$W$483</f>
        <v>783.47734759999992</v>
      </c>
      <c r="AD483" s="6">
        <f>$O$483*$X$483</f>
        <v>256.52917719999999</v>
      </c>
      <c r="AE483" s="6">
        <f>$K$483*$Y$483</f>
        <v>0</v>
      </c>
      <c r="AF483" s="6">
        <f ca="1">$M$483*$Z$483</f>
        <v>936.72119024948177</v>
      </c>
      <c r="AG483" s="6">
        <f ca="1">$O$483*$AA$483</f>
        <v>244.71256513876622</v>
      </c>
    </row>
    <row r="484" spans="1:33" ht="11.25" customHeight="1" x14ac:dyDescent="0.3">
      <c r="A484" s="4" t="s">
        <v>21</v>
      </c>
      <c r="B484" s="4" t="s">
        <v>39</v>
      </c>
      <c r="C484" s="4" t="s">
        <v>40</v>
      </c>
      <c r="D484" s="4" t="s">
        <v>50</v>
      </c>
      <c r="E484" s="4" t="s">
        <v>51</v>
      </c>
      <c r="F484" s="4" t="s">
        <v>25</v>
      </c>
      <c r="G484" s="4" t="s">
        <v>25</v>
      </c>
      <c r="H484" s="4" t="s">
        <v>34</v>
      </c>
      <c r="I484" s="5">
        <v>44713</v>
      </c>
      <c r="J484" s="6">
        <v>0</v>
      </c>
      <c r="K484" s="52">
        <v>0</v>
      </c>
      <c r="L484" s="6">
        <v>0.65500000000000003</v>
      </c>
      <c r="M484" s="52">
        <v>0.65500000000000003</v>
      </c>
      <c r="N484" s="6">
        <v>0.65500000000000003</v>
      </c>
      <c r="O484" s="52">
        <v>0.65500000000000003</v>
      </c>
      <c r="P484" s="6">
        <v>0</v>
      </c>
      <c r="Q484" s="4" t="s">
        <v>26</v>
      </c>
      <c r="R484" s="4">
        <v>0</v>
      </c>
      <c r="S484" s="6">
        <v>0</v>
      </c>
      <c r="T484" s="6">
        <v>15</v>
      </c>
      <c r="U484" s="6">
        <v>65</v>
      </c>
      <c r="V484" s="52">
        <f>IF(ISERROR(VLOOKUP($S$484,'TAR FIN'!$A$1:$O$103,15,0)),0,VLOOKUP($S$484,'TAR FIN'!$A$1:$O$103,15,0))</f>
        <v>0</v>
      </c>
      <c r="W484" s="52">
        <f>IF(ISERROR(VLOOKUP($T$484,'TAR FIN'!$A$1:$O$103,15,0)),0,VLOOKUP($T$484,'TAR FIN'!$A$1:$O$103,15,0))*(1-0.06)</f>
        <v>1124.0708</v>
      </c>
      <c r="X484" s="52">
        <f>IF(ISERROR(VLOOKUP($U$484,'TAR FIN'!$A$1:$O$103,15,0)),0,VLOOKUP($U$484,'TAR FIN'!$A$1:$O$103,15,0))*(1-0.06)</f>
        <v>368.04759999999999</v>
      </c>
      <c r="Y484" s="52"/>
      <c r="Z484" s="52">
        <f ca="1">('TUSD BE'!$AM$23+'TUSD BF_350'!$AM$23+'TUSD CVA'!$AM$23)*1*(1-0.03)</f>
        <v>1343.9328411039912</v>
      </c>
      <c r="AA484" s="52">
        <f ca="1">('TE BE'!$AB$8+'TE BF_350'!$AB$8+'TE CVA'!$AB$8)*1*(1-0.03)</f>
        <v>351.09406763094154</v>
      </c>
      <c r="AB484" s="6">
        <f>$K$484*$V$484</f>
        <v>0</v>
      </c>
      <c r="AC484" s="6">
        <f>$M$484*$W$484</f>
        <v>736.26637400000004</v>
      </c>
      <c r="AD484" s="6">
        <f>$O$484*$X$484</f>
        <v>241.071178</v>
      </c>
      <c r="AE484" s="6">
        <f>$K$484*$Y$484</f>
        <v>0</v>
      </c>
      <c r="AF484" s="6">
        <f ca="1">$M$484*$Z$484</f>
        <v>880.27601092311431</v>
      </c>
      <c r="AG484" s="6">
        <f ca="1">$O$484*$AA$484</f>
        <v>229.96661429826671</v>
      </c>
    </row>
    <row r="485" spans="1:33" ht="11.25" customHeight="1" x14ac:dyDescent="0.3">
      <c r="A485" s="4" t="s">
        <v>21</v>
      </c>
      <c r="B485" s="4" t="s">
        <v>39</v>
      </c>
      <c r="C485" s="4" t="s">
        <v>40</v>
      </c>
      <c r="D485" s="4" t="s">
        <v>50</v>
      </c>
      <c r="E485" s="4" t="s">
        <v>51</v>
      </c>
      <c r="F485" s="4" t="s">
        <v>25</v>
      </c>
      <c r="G485" s="4" t="s">
        <v>25</v>
      </c>
      <c r="H485" s="4" t="s">
        <v>34</v>
      </c>
      <c r="I485" s="5">
        <v>44743</v>
      </c>
      <c r="J485" s="6">
        <v>0</v>
      </c>
      <c r="K485" s="52">
        <v>0</v>
      </c>
      <c r="L485" s="6">
        <v>0.76300000000000001</v>
      </c>
      <c r="M485" s="52">
        <v>0.76300000000000001</v>
      </c>
      <c r="N485" s="6">
        <v>0.76300000000000001</v>
      </c>
      <c r="O485" s="52">
        <v>0.76300000000000001</v>
      </c>
      <c r="P485" s="6">
        <v>0</v>
      </c>
      <c r="Q485" s="4" t="s">
        <v>26</v>
      </c>
      <c r="R485" s="4">
        <v>0</v>
      </c>
      <c r="S485" s="6">
        <v>0</v>
      </c>
      <c r="T485" s="6">
        <v>15</v>
      </c>
      <c r="U485" s="6">
        <v>65</v>
      </c>
      <c r="V485" s="52">
        <f>IF(ISERROR(VLOOKUP($S$485,'TAR FIN'!$A$1:$O$103,15,0)),0,VLOOKUP($S$485,'TAR FIN'!$A$1:$O$103,15,0))</f>
        <v>0</v>
      </c>
      <c r="W485" s="52">
        <f>IF(ISERROR(VLOOKUP($T$485,'TAR FIN'!$A$1:$O$103,15,0)),0,VLOOKUP($T$485,'TAR FIN'!$A$1:$O$103,15,0))*(1-0.06)</f>
        <v>1124.0708</v>
      </c>
      <c r="X485" s="52">
        <f>IF(ISERROR(VLOOKUP($U$485,'TAR FIN'!$A$1:$O$103,15,0)),0,VLOOKUP($U$485,'TAR FIN'!$A$1:$O$103,15,0))*(1-0.06)</f>
        <v>368.04759999999999</v>
      </c>
      <c r="Y485" s="52"/>
      <c r="Z485" s="52">
        <f ca="1">('TUSD BE'!$AM$23+'TUSD BF_350'!$AM$23+'TUSD CVA'!$AM$23)*1*(1-0.03)</f>
        <v>1343.9328411039912</v>
      </c>
      <c r="AA485" s="52">
        <f ca="1">('TE BE'!$AB$8+'TE BF_350'!$AB$8+'TE CVA'!$AB$8)*1*(1-0.03)</f>
        <v>351.09406763094154</v>
      </c>
      <c r="AB485" s="6">
        <f>$K$485*$V$485</f>
        <v>0</v>
      </c>
      <c r="AC485" s="6">
        <f>$M$485*$W$485</f>
        <v>857.66602039999998</v>
      </c>
      <c r="AD485" s="6">
        <f>$O$485*$X$485</f>
        <v>280.8203188</v>
      </c>
      <c r="AE485" s="6">
        <f>$K$485*$Y$485</f>
        <v>0</v>
      </c>
      <c r="AF485" s="6">
        <f ca="1">$M$485*$Z$485</f>
        <v>1025.4207577623454</v>
      </c>
      <c r="AG485" s="6">
        <f ca="1">$O$485*$AA$485</f>
        <v>267.88477360240842</v>
      </c>
    </row>
    <row r="486" spans="1:33" ht="11.25" customHeight="1" x14ac:dyDescent="0.3">
      <c r="A486" s="4" t="s">
        <v>21</v>
      </c>
      <c r="B486" s="4" t="s">
        <v>39</v>
      </c>
      <c r="C486" s="4" t="s">
        <v>40</v>
      </c>
      <c r="D486" s="4" t="s">
        <v>50</v>
      </c>
      <c r="E486" s="4" t="s">
        <v>51</v>
      </c>
      <c r="F486" s="4" t="s">
        <v>25</v>
      </c>
      <c r="G486" s="4" t="s">
        <v>25</v>
      </c>
      <c r="H486" s="4" t="s">
        <v>34</v>
      </c>
      <c r="I486" s="5">
        <v>44774</v>
      </c>
      <c r="J486" s="6">
        <v>0</v>
      </c>
      <c r="K486" s="52">
        <v>0</v>
      </c>
      <c r="L486" s="6">
        <v>0.83099999999999996</v>
      </c>
      <c r="M486" s="52">
        <v>0.83099999999999996</v>
      </c>
      <c r="N486" s="6">
        <v>0.83099999999999996</v>
      </c>
      <c r="O486" s="52">
        <v>0.83099999999999996</v>
      </c>
      <c r="P486" s="6">
        <v>0</v>
      </c>
      <c r="Q486" s="4" t="s">
        <v>26</v>
      </c>
      <c r="R486" s="4">
        <v>0</v>
      </c>
      <c r="S486" s="6">
        <v>0</v>
      </c>
      <c r="T486" s="6">
        <v>15</v>
      </c>
      <c r="U486" s="6">
        <v>65</v>
      </c>
      <c r="V486" s="52">
        <f>IF(ISERROR(VLOOKUP($S$486,'TAR FIN'!$A$1:$O$103,15,0)),0,VLOOKUP($S$486,'TAR FIN'!$A$1:$O$103,15,0))</f>
        <v>0</v>
      </c>
      <c r="W486" s="52">
        <f>IF(ISERROR(VLOOKUP($T$486,'TAR FIN'!$A$1:$O$103,15,0)),0,VLOOKUP($T$486,'TAR FIN'!$A$1:$O$103,15,0))*(1-0.06)</f>
        <v>1124.0708</v>
      </c>
      <c r="X486" s="52">
        <f>IF(ISERROR(VLOOKUP($U$486,'TAR FIN'!$A$1:$O$103,15,0)),0,VLOOKUP($U$486,'TAR FIN'!$A$1:$O$103,15,0))*(1-0.06)</f>
        <v>368.04759999999999</v>
      </c>
      <c r="Y486" s="52"/>
      <c r="Z486" s="52">
        <f ca="1">('TUSD BE'!$AM$23+'TUSD BF_350'!$AM$23+'TUSD CVA'!$AM$23)*1*(1-0.03)</f>
        <v>1343.9328411039912</v>
      </c>
      <c r="AA486" s="52">
        <f ca="1">('TE BE'!$AB$8+'TE BF_350'!$AB$8+'TE CVA'!$AB$8)*1*(1-0.03)</f>
        <v>351.09406763094154</v>
      </c>
      <c r="AB486" s="6">
        <f>$K$486*$V$486</f>
        <v>0</v>
      </c>
      <c r="AC486" s="6">
        <f>$M$486*$W$486</f>
        <v>934.10283479999987</v>
      </c>
      <c r="AD486" s="6">
        <f>$O$486*$X$486</f>
        <v>305.84755559999996</v>
      </c>
      <c r="AE486" s="6">
        <f>$K$486*$Y$486</f>
        <v>0</v>
      </c>
      <c r="AF486" s="6">
        <f ca="1">$M$486*$Z$486</f>
        <v>1116.8081909574166</v>
      </c>
      <c r="AG486" s="6">
        <f ca="1">$O$486*$AA$486</f>
        <v>291.75917020131243</v>
      </c>
    </row>
    <row r="487" spans="1:33" ht="11.25" customHeight="1" x14ac:dyDescent="0.3">
      <c r="A487" s="4" t="s">
        <v>21</v>
      </c>
      <c r="B487" s="4" t="s">
        <v>39</v>
      </c>
      <c r="C487" s="4" t="s">
        <v>40</v>
      </c>
      <c r="D487" s="4" t="s">
        <v>50</v>
      </c>
      <c r="E487" s="4" t="s">
        <v>51</v>
      </c>
      <c r="F487" s="4" t="s">
        <v>25</v>
      </c>
      <c r="G487" s="4" t="s">
        <v>25</v>
      </c>
      <c r="H487" s="4" t="s">
        <v>34</v>
      </c>
      <c r="I487" s="5">
        <v>44805</v>
      </c>
      <c r="J487" s="6">
        <v>0</v>
      </c>
      <c r="K487" s="52">
        <v>0</v>
      </c>
      <c r="L487" s="6">
        <v>0.748</v>
      </c>
      <c r="M487" s="52">
        <v>0.748</v>
      </c>
      <c r="N487" s="6">
        <v>0.748</v>
      </c>
      <c r="O487" s="52">
        <v>0.748</v>
      </c>
      <c r="P487" s="6">
        <v>0</v>
      </c>
      <c r="Q487" s="4" t="s">
        <v>26</v>
      </c>
      <c r="R487" s="4">
        <v>0</v>
      </c>
      <c r="S487" s="6">
        <v>0</v>
      </c>
      <c r="T487" s="6">
        <v>15</v>
      </c>
      <c r="U487" s="6">
        <v>65</v>
      </c>
      <c r="V487" s="52">
        <f>IF(ISERROR(VLOOKUP($S$487,'TAR FIN'!$A$1:$O$103,15,0)),0,VLOOKUP($S$487,'TAR FIN'!$A$1:$O$103,15,0))</f>
        <v>0</v>
      </c>
      <c r="W487" s="52">
        <f>IF(ISERROR(VLOOKUP($T$487,'TAR FIN'!$A$1:$O$103,15,0)),0,VLOOKUP($T$487,'TAR FIN'!$A$1:$O$103,15,0))*(1-0.06)</f>
        <v>1124.0708</v>
      </c>
      <c r="X487" s="52">
        <f>IF(ISERROR(VLOOKUP($U$487,'TAR FIN'!$A$1:$O$103,15,0)),0,VLOOKUP($U$487,'TAR FIN'!$A$1:$O$103,15,0))*(1-0.06)</f>
        <v>368.04759999999999</v>
      </c>
      <c r="Y487" s="52"/>
      <c r="Z487" s="52">
        <f ca="1">('TUSD BE'!$AM$23+'TUSD BF_350'!$AM$23+'TUSD CVA'!$AM$23)*1*(1-0.03)</f>
        <v>1343.9328411039912</v>
      </c>
      <c r="AA487" s="52">
        <f ca="1">('TE BE'!$AB$8+'TE BF_350'!$AB$8+'TE CVA'!$AB$8)*1*(1-0.03)</f>
        <v>351.09406763094154</v>
      </c>
      <c r="AB487" s="6">
        <f>$K$487*$V$487</f>
        <v>0</v>
      </c>
      <c r="AC487" s="6">
        <f>$M$487*$W$487</f>
        <v>840.80495839999992</v>
      </c>
      <c r="AD487" s="6">
        <f>$O$487*$X$487</f>
        <v>275.2996048</v>
      </c>
      <c r="AE487" s="6">
        <f>$K$487*$Y$487</f>
        <v>0</v>
      </c>
      <c r="AF487" s="6">
        <f ca="1">$M$487*$Z$487</f>
        <v>1005.2617651457854</v>
      </c>
      <c r="AG487" s="6">
        <f ca="1">$O$487*$AA$487</f>
        <v>262.61836258794426</v>
      </c>
    </row>
    <row r="488" spans="1:33" ht="11.25" customHeight="1" x14ac:dyDescent="0.3">
      <c r="A488" s="4" t="s">
        <v>57</v>
      </c>
      <c r="B488" s="4" t="s">
        <v>39</v>
      </c>
      <c r="C488" s="4" t="s">
        <v>40</v>
      </c>
      <c r="D488" s="4" t="s">
        <v>50</v>
      </c>
      <c r="E488" s="4" t="s">
        <v>51</v>
      </c>
      <c r="F488" s="4" t="s">
        <v>25</v>
      </c>
      <c r="G488" s="4" t="s">
        <v>25</v>
      </c>
      <c r="H488" s="4" t="s">
        <v>34</v>
      </c>
      <c r="I488" s="5">
        <v>44835</v>
      </c>
      <c r="J488" s="6">
        <v>0</v>
      </c>
      <c r="K488" s="52">
        <v>0</v>
      </c>
      <c r="L488" s="6">
        <v>0.748</v>
      </c>
      <c r="M488" s="52">
        <v>0.748</v>
      </c>
      <c r="N488" s="6">
        <v>0.748</v>
      </c>
      <c r="O488" s="52">
        <v>0.748</v>
      </c>
      <c r="P488" s="6">
        <v>0</v>
      </c>
      <c r="Q488" s="4" t="s">
        <v>26</v>
      </c>
      <c r="R488" s="4">
        <v>0</v>
      </c>
      <c r="S488" s="6">
        <v>0</v>
      </c>
      <c r="T488" s="6">
        <v>15</v>
      </c>
      <c r="U488" s="6">
        <v>65</v>
      </c>
      <c r="V488" s="52">
        <f>IF(ISERROR(VLOOKUP($S$488,'TAR FIN'!$A$1:$O$103,15,0)),0,VLOOKUP($S$488,'TAR FIN'!$A$1:$O$103,15,0))</f>
        <v>0</v>
      </c>
      <c r="W488" s="52">
        <f>IF(ISERROR(VLOOKUP($T$488,'TAR FIN'!$A$1:$O$103,15,0)),0,VLOOKUP($T$488,'TAR FIN'!$A$1:$O$103,15,0))*(1-0.06)</f>
        <v>1124.0708</v>
      </c>
      <c r="X488" s="52">
        <f>IF(ISERROR(VLOOKUP($U$488,'TAR FIN'!$A$1:$O$103,15,0)),0,VLOOKUP($U$488,'TAR FIN'!$A$1:$O$103,15,0))*(1-0.06)</f>
        <v>368.04759999999999</v>
      </c>
      <c r="Y488" s="52"/>
      <c r="Z488" s="52">
        <f ca="1">('TUSD BE'!$AM$23+'TUSD BF_350'!$AM$23+'TUSD CVA'!$AM$23)*1*(1-0.03)</f>
        <v>1343.9328411039912</v>
      </c>
      <c r="AA488" s="52">
        <f ca="1">('TE BE'!$AB$8+'TE BF_350'!$AB$8+'TE CVA'!$AB$8)*1*(1-0.03)</f>
        <v>351.09406763094154</v>
      </c>
      <c r="AB488" s="6">
        <f>$K$488*$V$488</f>
        <v>0</v>
      </c>
      <c r="AC488" s="6">
        <f>$M$488*$W$488</f>
        <v>840.80495839999992</v>
      </c>
      <c r="AD488" s="6">
        <f>$O$488*$X$488</f>
        <v>275.2996048</v>
      </c>
      <c r="AE488" s="6">
        <f>$K$488*$Y$488</f>
        <v>0</v>
      </c>
      <c r="AF488" s="6">
        <f ca="1">$M$488*$Z$488</f>
        <v>1005.2617651457854</v>
      </c>
      <c r="AG488" s="6">
        <f ca="1">$O$488*$AA$488</f>
        <v>262.61836258794426</v>
      </c>
    </row>
    <row r="489" spans="1:33" ht="11.25" customHeight="1" x14ac:dyDescent="0.3">
      <c r="A489" s="4" t="s">
        <v>21</v>
      </c>
      <c r="B489" s="4" t="s">
        <v>22</v>
      </c>
      <c r="C489" s="4" t="s">
        <v>33</v>
      </c>
      <c r="D489" s="4" t="s">
        <v>24</v>
      </c>
      <c r="E489" s="4" t="s">
        <v>24</v>
      </c>
      <c r="F489" s="4" t="s">
        <v>25</v>
      </c>
      <c r="G489" s="4" t="s">
        <v>25</v>
      </c>
      <c r="H489" s="4" t="s">
        <v>35</v>
      </c>
      <c r="I489" s="5">
        <v>44501</v>
      </c>
      <c r="J489" s="6">
        <v>0</v>
      </c>
      <c r="K489" s="6">
        <v>0</v>
      </c>
      <c r="L489" s="6">
        <v>5.0039999999999996</v>
      </c>
      <c r="M489" s="6">
        <v>5.0039999999999996</v>
      </c>
      <c r="N489" s="6">
        <v>5.0039999999999996</v>
      </c>
      <c r="O489" s="6">
        <v>5.0039999999999996</v>
      </c>
      <c r="P489" s="6">
        <v>0</v>
      </c>
      <c r="Q489" s="4" t="s">
        <v>26</v>
      </c>
      <c r="R489" s="4">
        <v>0</v>
      </c>
      <c r="S489" s="6">
        <v>0</v>
      </c>
      <c r="T489" s="6">
        <v>29</v>
      </c>
      <c r="U489" s="6">
        <v>70</v>
      </c>
      <c r="V489" s="6">
        <f>IF(ISERROR(VLOOKUP($S$489,'TAR FIN'!$A$1:$O$103,15,0)),0,VLOOKUP($S$489,'TAR FIN'!$A$1:$O$103,15,0))</f>
        <v>0</v>
      </c>
      <c r="W489" s="6">
        <f>IF(ISERROR(VLOOKUP($T$489,'TAR FIN'!$A$1:$O$103,15,0)),0,VLOOKUP($T$489,'TAR FIN'!$A$1:$O$103,15,0))</f>
        <v>284.77</v>
      </c>
      <c r="X489" s="6">
        <f>IF(ISERROR(VLOOKUP($U$489,'TAR FIN'!$A$1:$O$103,15,0)),0,VLOOKUP($U$489,'TAR FIN'!$A$1:$O$103,15,0))</f>
        <v>242.77</v>
      </c>
      <c r="Y489" s="6"/>
      <c r="Z489" s="6">
        <f ca="1">('TUSD BE'!$AM$31+'TUSD BF_350'!$AM$31+'TUSD CVA'!$AM$31)*1</f>
        <v>291.52999999999997</v>
      </c>
      <c r="AA489" s="6">
        <f ca="1">('TE BE'!$AB$12+'TE BF_350'!$AB$12+'TE CVA'!$AB$12)*1</f>
        <v>272.81999999999994</v>
      </c>
      <c r="AB489" s="6">
        <f>$K$489*$V$489</f>
        <v>0</v>
      </c>
      <c r="AC489" s="6">
        <f>$M$489*$W$489</f>
        <v>1424.9890799999998</v>
      </c>
      <c r="AD489" s="6">
        <f>$O$489*$X$489</f>
        <v>1214.8210799999999</v>
      </c>
      <c r="AE489" s="6">
        <f>$K$489*$Y$489</f>
        <v>0</v>
      </c>
      <c r="AF489" s="6">
        <f ca="1">$M$489*$Z$489</f>
        <v>1458.8161199999997</v>
      </c>
      <c r="AG489" s="6">
        <f ca="1">$O$489*$AA$489</f>
        <v>1365.1912799999996</v>
      </c>
    </row>
    <row r="490" spans="1:33" ht="11.25" customHeight="1" x14ac:dyDescent="0.3">
      <c r="A490" s="4" t="s">
        <v>21</v>
      </c>
      <c r="B490" s="4" t="s">
        <v>22</v>
      </c>
      <c r="C490" s="4" t="s">
        <v>33</v>
      </c>
      <c r="D490" s="4" t="s">
        <v>24</v>
      </c>
      <c r="E490" s="4" t="s">
        <v>24</v>
      </c>
      <c r="F490" s="4" t="s">
        <v>25</v>
      </c>
      <c r="G490" s="4" t="s">
        <v>25</v>
      </c>
      <c r="H490" s="4" t="s">
        <v>35</v>
      </c>
      <c r="I490" s="5">
        <v>44531</v>
      </c>
      <c r="J490" s="6">
        <v>0</v>
      </c>
      <c r="K490" s="6">
        <v>0</v>
      </c>
      <c r="L490" s="6">
        <v>5.3209999999999997</v>
      </c>
      <c r="M490" s="6">
        <v>5.3209999999999997</v>
      </c>
      <c r="N490" s="6">
        <v>5.3209999999999997</v>
      </c>
      <c r="O490" s="6">
        <v>5.3209999999999997</v>
      </c>
      <c r="P490" s="6">
        <v>0</v>
      </c>
      <c r="Q490" s="4" t="s">
        <v>26</v>
      </c>
      <c r="R490" s="4">
        <v>0</v>
      </c>
      <c r="S490" s="6">
        <v>0</v>
      </c>
      <c r="T490" s="6">
        <v>29</v>
      </c>
      <c r="U490" s="6">
        <v>70</v>
      </c>
      <c r="V490" s="6">
        <f>IF(ISERROR(VLOOKUP($S$490,'TAR FIN'!$A$1:$O$103,15,0)),0,VLOOKUP($S$490,'TAR FIN'!$A$1:$O$103,15,0))</f>
        <v>0</v>
      </c>
      <c r="W490" s="6">
        <f>IF(ISERROR(VLOOKUP($T$490,'TAR FIN'!$A$1:$O$103,15,0)),0,VLOOKUP($T$490,'TAR FIN'!$A$1:$O$103,15,0))</f>
        <v>284.77</v>
      </c>
      <c r="X490" s="6">
        <f>IF(ISERROR(VLOOKUP($U$490,'TAR FIN'!$A$1:$O$103,15,0)),0,VLOOKUP($U$490,'TAR FIN'!$A$1:$O$103,15,0))</f>
        <v>242.77</v>
      </c>
      <c r="Y490" s="6"/>
      <c r="Z490" s="6">
        <f ca="1">('TUSD BE'!$AM$31+'TUSD BF_350'!$AM$31+'TUSD CVA'!$AM$31)*1</f>
        <v>291.52999999999997</v>
      </c>
      <c r="AA490" s="6">
        <f ca="1">('TE BE'!$AB$12+'TE BF_350'!$AB$12+'TE CVA'!$AB$12)*1</f>
        <v>272.81999999999994</v>
      </c>
      <c r="AB490" s="6">
        <f>$K$490*$V$490</f>
        <v>0</v>
      </c>
      <c r="AC490" s="6">
        <f>$M$490*$W$490</f>
        <v>1515.2611699999998</v>
      </c>
      <c r="AD490" s="6">
        <f>$O$490*$X$490</f>
        <v>1291.77917</v>
      </c>
      <c r="AE490" s="6">
        <f>$K$490*$Y$490</f>
        <v>0</v>
      </c>
      <c r="AF490" s="6">
        <f ca="1">$M$490*$Z$490</f>
        <v>1551.2311299999997</v>
      </c>
      <c r="AG490" s="6">
        <f ca="1">$O$490*$AA$490</f>
        <v>1451.6752199999996</v>
      </c>
    </row>
    <row r="491" spans="1:33" ht="11.25" customHeight="1" x14ac:dyDescent="0.3">
      <c r="A491" s="4" t="s">
        <v>21</v>
      </c>
      <c r="B491" s="4" t="s">
        <v>22</v>
      </c>
      <c r="C491" s="4" t="s">
        <v>33</v>
      </c>
      <c r="D491" s="4" t="s">
        <v>24</v>
      </c>
      <c r="E491" s="4" t="s">
        <v>24</v>
      </c>
      <c r="F491" s="4" t="s">
        <v>25</v>
      </c>
      <c r="G491" s="4" t="s">
        <v>25</v>
      </c>
      <c r="H491" s="4" t="s">
        <v>35</v>
      </c>
      <c r="I491" s="5">
        <v>44562</v>
      </c>
      <c r="J491" s="6">
        <v>0</v>
      </c>
      <c r="K491" s="6">
        <v>0</v>
      </c>
      <c r="L491" s="6">
        <v>5.5810000000000004</v>
      </c>
      <c r="M491" s="6">
        <v>5.5810000000000004</v>
      </c>
      <c r="N491" s="6">
        <v>5.5810000000000004</v>
      </c>
      <c r="O491" s="6">
        <v>5.5810000000000004</v>
      </c>
      <c r="P491" s="6">
        <v>0</v>
      </c>
      <c r="Q491" s="4" t="s">
        <v>26</v>
      </c>
      <c r="R491" s="4">
        <v>0</v>
      </c>
      <c r="S491" s="6">
        <v>0</v>
      </c>
      <c r="T491" s="6">
        <v>29</v>
      </c>
      <c r="U491" s="6">
        <v>70</v>
      </c>
      <c r="V491" s="6">
        <f>IF(ISERROR(VLOOKUP($S$491,'TAR FIN'!$A$1:$O$103,15,0)),0,VLOOKUP($S$491,'TAR FIN'!$A$1:$O$103,15,0))</f>
        <v>0</v>
      </c>
      <c r="W491" s="6">
        <f>IF(ISERROR(VLOOKUP($T$491,'TAR FIN'!$A$1:$O$103,15,0)),0,VLOOKUP($T$491,'TAR FIN'!$A$1:$O$103,15,0))</f>
        <v>284.77</v>
      </c>
      <c r="X491" s="6">
        <f>IF(ISERROR(VLOOKUP($U$491,'TAR FIN'!$A$1:$O$103,15,0)),0,VLOOKUP($U$491,'TAR FIN'!$A$1:$O$103,15,0))</f>
        <v>242.77</v>
      </c>
      <c r="Y491" s="6"/>
      <c r="Z491" s="6">
        <f ca="1">('TUSD BE'!$AM$31+'TUSD BF_350'!$AM$31+'TUSD CVA'!$AM$31)*1</f>
        <v>291.52999999999997</v>
      </c>
      <c r="AA491" s="6">
        <f ca="1">('TE BE'!$AB$12+'TE BF_350'!$AB$12+'TE CVA'!$AB$12)*1</f>
        <v>272.81999999999994</v>
      </c>
      <c r="AB491" s="6">
        <f>$K$491*$V$491</f>
        <v>0</v>
      </c>
      <c r="AC491" s="6">
        <f>$M$491*$W$491</f>
        <v>1589.3013699999999</v>
      </c>
      <c r="AD491" s="6">
        <f>$O$491*$X$491</f>
        <v>1354.8993700000001</v>
      </c>
      <c r="AE491" s="6">
        <f>$K$491*$Y$491</f>
        <v>0</v>
      </c>
      <c r="AF491" s="6">
        <f ca="1">$M$491*$Z$491</f>
        <v>1627.0289299999999</v>
      </c>
      <c r="AG491" s="6">
        <f ca="1">$O$491*$AA$491</f>
        <v>1522.6084199999998</v>
      </c>
    </row>
    <row r="492" spans="1:33" ht="11.25" customHeight="1" x14ac:dyDescent="0.3">
      <c r="A492" s="4" t="s">
        <v>21</v>
      </c>
      <c r="B492" s="4" t="s">
        <v>22</v>
      </c>
      <c r="C492" s="4" t="s">
        <v>33</v>
      </c>
      <c r="D492" s="4" t="s">
        <v>24</v>
      </c>
      <c r="E492" s="4" t="s">
        <v>24</v>
      </c>
      <c r="F492" s="4" t="s">
        <v>25</v>
      </c>
      <c r="G492" s="4" t="s">
        <v>25</v>
      </c>
      <c r="H492" s="4" t="s">
        <v>35</v>
      </c>
      <c r="I492" s="5">
        <v>44593</v>
      </c>
      <c r="J492" s="6">
        <v>0</v>
      </c>
      <c r="K492" s="6">
        <v>0</v>
      </c>
      <c r="L492" s="6">
        <v>5.8360000000000003</v>
      </c>
      <c r="M492" s="6">
        <v>5.8360000000000003</v>
      </c>
      <c r="N492" s="6">
        <v>5.8360000000000003</v>
      </c>
      <c r="O492" s="6">
        <v>5.8360000000000003</v>
      </c>
      <c r="P492" s="6">
        <v>0</v>
      </c>
      <c r="Q492" s="4" t="s">
        <v>26</v>
      </c>
      <c r="R492" s="4">
        <v>0</v>
      </c>
      <c r="S492" s="6">
        <v>0</v>
      </c>
      <c r="T492" s="6">
        <v>29</v>
      </c>
      <c r="U492" s="6">
        <v>70</v>
      </c>
      <c r="V492" s="6">
        <f>IF(ISERROR(VLOOKUP($S$492,'TAR FIN'!$A$1:$O$103,15,0)),0,VLOOKUP($S$492,'TAR FIN'!$A$1:$O$103,15,0))</f>
        <v>0</v>
      </c>
      <c r="W492" s="6">
        <f>IF(ISERROR(VLOOKUP($T$492,'TAR FIN'!$A$1:$O$103,15,0)),0,VLOOKUP($T$492,'TAR FIN'!$A$1:$O$103,15,0))</f>
        <v>284.77</v>
      </c>
      <c r="X492" s="6">
        <f>IF(ISERROR(VLOOKUP($U$492,'TAR FIN'!$A$1:$O$103,15,0)),0,VLOOKUP($U$492,'TAR FIN'!$A$1:$O$103,15,0))</f>
        <v>242.77</v>
      </c>
      <c r="Y492" s="6"/>
      <c r="Z492" s="6">
        <f ca="1">('TUSD BE'!$AM$31+'TUSD BF_350'!$AM$31+'TUSD CVA'!$AM$31)*1</f>
        <v>291.52999999999997</v>
      </c>
      <c r="AA492" s="6">
        <f ca="1">('TE BE'!$AB$12+'TE BF_350'!$AB$12+'TE CVA'!$AB$12)*1</f>
        <v>272.81999999999994</v>
      </c>
      <c r="AB492" s="6">
        <f>$K$492*$V$492</f>
        <v>0</v>
      </c>
      <c r="AC492" s="6">
        <f>$M$492*$W$492</f>
        <v>1661.9177199999999</v>
      </c>
      <c r="AD492" s="6">
        <f>$O$492*$X$492</f>
        <v>1416.8057200000001</v>
      </c>
      <c r="AE492" s="6">
        <f>$K$492*$Y$492</f>
        <v>0</v>
      </c>
      <c r="AF492" s="6">
        <f ca="1">$M$492*$Z$492</f>
        <v>1701.3690799999999</v>
      </c>
      <c r="AG492" s="6">
        <f ca="1">$O$492*$AA$492</f>
        <v>1592.1775199999997</v>
      </c>
    </row>
    <row r="493" spans="1:33" ht="11.25" customHeight="1" x14ac:dyDescent="0.3">
      <c r="A493" s="4" t="s">
        <v>21</v>
      </c>
      <c r="B493" s="4" t="s">
        <v>22</v>
      </c>
      <c r="C493" s="4" t="s">
        <v>33</v>
      </c>
      <c r="D493" s="4" t="s">
        <v>24</v>
      </c>
      <c r="E493" s="4" t="s">
        <v>24</v>
      </c>
      <c r="F493" s="4" t="s">
        <v>25</v>
      </c>
      <c r="G493" s="4" t="s">
        <v>25</v>
      </c>
      <c r="H493" s="4" t="s">
        <v>35</v>
      </c>
      <c r="I493" s="5">
        <v>44621</v>
      </c>
      <c r="J493" s="6">
        <v>0</v>
      </c>
      <c r="K493" s="6">
        <v>0</v>
      </c>
      <c r="L493" s="6">
        <v>4.88</v>
      </c>
      <c r="M493" s="6">
        <v>4.88</v>
      </c>
      <c r="N493" s="6">
        <v>4.88</v>
      </c>
      <c r="O493" s="6">
        <v>4.88</v>
      </c>
      <c r="P493" s="6">
        <v>0</v>
      </c>
      <c r="Q493" s="4" t="s">
        <v>26</v>
      </c>
      <c r="R493" s="4">
        <v>0</v>
      </c>
      <c r="S493" s="6">
        <v>0</v>
      </c>
      <c r="T493" s="6">
        <v>29</v>
      </c>
      <c r="U493" s="6">
        <v>70</v>
      </c>
      <c r="V493" s="6">
        <f>IF(ISERROR(VLOOKUP($S$493,'TAR FIN'!$A$1:$O$103,15,0)),0,VLOOKUP($S$493,'TAR FIN'!$A$1:$O$103,15,0))</f>
        <v>0</v>
      </c>
      <c r="W493" s="6">
        <f>IF(ISERROR(VLOOKUP($T$493,'TAR FIN'!$A$1:$O$103,15,0)),0,VLOOKUP($T$493,'TAR FIN'!$A$1:$O$103,15,0))</f>
        <v>284.77</v>
      </c>
      <c r="X493" s="6">
        <f>IF(ISERROR(VLOOKUP($U$493,'TAR FIN'!$A$1:$O$103,15,0)),0,VLOOKUP($U$493,'TAR FIN'!$A$1:$O$103,15,0))</f>
        <v>242.77</v>
      </c>
      <c r="Y493" s="6"/>
      <c r="Z493" s="6">
        <f ca="1">('TUSD BE'!$AM$31+'TUSD BF_350'!$AM$31+'TUSD CVA'!$AM$31)*1</f>
        <v>291.52999999999997</v>
      </c>
      <c r="AA493" s="6">
        <f ca="1">('TE BE'!$AB$12+'TE BF_350'!$AB$12+'TE CVA'!$AB$12)*1</f>
        <v>272.81999999999994</v>
      </c>
      <c r="AB493" s="6">
        <f>$K$493*$V$493</f>
        <v>0</v>
      </c>
      <c r="AC493" s="6">
        <f>$M$493*$W$493</f>
        <v>1389.6776</v>
      </c>
      <c r="AD493" s="6">
        <f>$O$493*$X$493</f>
        <v>1184.7175999999999</v>
      </c>
      <c r="AE493" s="6">
        <f>$K$493*$Y$493</f>
        <v>0</v>
      </c>
      <c r="AF493" s="6">
        <f ca="1">$M$493*$Z$493</f>
        <v>1422.6663999999998</v>
      </c>
      <c r="AG493" s="6">
        <f ca="1">$O$493*$AA$493</f>
        <v>1331.3615999999997</v>
      </c>
    </row>
    <row r="494" spans="1:33" ht="11.25" customHeight="1" x14ac:dyDescent="0.3">
      <c r="A494" s="4" t="s">
        <v>21</v>
      </c>
      <c r="B494" s="4" t="s">
        <v>22</v>
      </c>
      <c r="C494" s="4" t="s">
        <v>33</v>
      </c>
      <c r="D494" s="4" t="s">
        <v>24</v>
      </c>
      <c r="E494" s="4" t="s">
        <v>24</v>
      </c>
      <c r="F494" s="4" t="s">
        <v>25</v>
      </c>
      <c r="G494" s="4" t="s">
        <v>25</v>
      </c>
      <c r="H494" s="4" t="s">
        <v>35</v>
      </c>
      <c r="I494" s="5">
        <v>44652</v>
      </c>
      <c r="J494" s="6">
        <v>0</v>
      </c>
      <c r="K494" s="6">
        <v>0</v>
      </c>
      <c r="L494" s="6">
        <v>5.3840000000000003</v>
      </c>
      <c r="M494" s="6">
        <v>5.3840000000000003</v>
      </c>
      <c r="N494" s="6">
        <v>5.3840000000000003</v>
      </c>
      <c r="O494" s="6">
        <v>5.3840000000000003</v>
      </c>
      <c r="P494" s="6">
        <v>0</v>
      </c>
      <c r="Q494" s="4" t="s">
        <v>26</v>
      </c>
      <c r="R494" s="4">
        <v>0</v>
      </c>
      <c r="S494" s="6">
        <v>0</v>
      </c>
      <c r="T494" s="6">
        <v>29</v>
      </c>
      <c r="U494" s="6">
        <v>70</v>
      </c>
      <c r="V494" s="6">
        <f>IF(ISERROR(VLOOKUP($S$494,'TAR FIN'!$A$1:$O$103,15,0)),0,VLOOKUP($S$494,'TAR FIN'!$A$1:$O$103,15,0))</f>
        <v>0</v>
      </c>
      <c r="W494" s="6">
        <f>IF(ISERROR(VLOOKUP($T$494,'TAR FIN'!$A$1:$O$103,15,0)),0,VLOOKUP($T$494,'TAR FIN'!$A$1:$O$103,15,0))</f>
        <v>284.77</v>
      </c>
      <c r="X494" s="6">
        <f>IF(ISERROR(VLOOKUP($U$494,'TAR FIN'!$A$1:$O$103,15,0)),0,VLOOKUP($U$494,'TAR FIN'!$A$1:$O$103,15,0))</f>
        <v>242.77</v>
      </c>
      <c r="Y494" s="6"/>
      <c r="Z494" s="6">
        <f ca="1">('TUSD BE'!$AM$31+'TUSD BF_350'!$AM$31+'TUSD CVA'!$AM$31)*1</f>
        <v>291.52999999999997</v>
      </c>
      <c r="AA494" s="6">
        <f ca="1">('TE BE'!$AB$12+'TE BF_350'!$AB$12+'TE CVA'!$AB$12)*1</f>
        <v>272.81999999999994</v>
      </c>
      <c r="AB494" s="6">
        <f>$K$494*$V$494</f>
        <v>0</v>
      </c>
      <c r="AC494" s="6">
        <f>$M$494*$W$494</f>
        <v>1533.2016799999999</v>
      </c>
      <c r="AD494" s="6">
        <f>$O$494*$X$494</f>
        <v>1307.0736800000002</v>
      </c>
      <c r="AE494" s="6">
        <f>$K$494*$Y$494</f>
        <v>0</v>
      </c>
      <c r="AF494" s="6">
        <f ca="1">$M$494*$Z$494</f>
        <v>1569.59752</v>
      </c>
      <c r="AG494" s="6">
        <f ca="1">$O$494*$AA$494</f>
        <v>1468.8628799999997</v>
      </c>
    </row>
    <row r="495" spans="1:33" ht="11.25" customHeight="1" x14ac:dyDescent="0.3">
      <c r="A495" s="4" t="s">
        <v>21</v>
      </c>
      <c r="B495" s="4" t="s">
        <v>22</v>
      </c>
      <c r="C495" s="4" t="s">
        <v>33</v>
      </c>
      <c r="D495" s="4" t="s">
        <v>24</v>
      </c>
      <c r="E495" s="4" t="s">
        <v>24</v>
      </c>
      <c r="F495" s="4" t="s">
        <v>25</v>
      </c>
      <c r="G495" s="4" t="s">
        <v>25</v>
      </c>
      <c r="H495" s="4" t="s">
        <v>35</v>
      </c>
      <c r="I495" s="5">
        <v>44682</v>
      </c>
      <c r="J495" s="6">
        <v>0</v>
      </c>
      <c r="K495" s="6">
        <v>0</v>
      </c>
      <c r="L495" s="6">
        <v>3.298</v>
      </c>
      <c r="M495" s="6">
        <v>3.298</v>
      </c>
      <c r="N495" s="6">
        <v>3.298</v>
      </c>
      <c r="O495" s="6">
        <v>3.298</v>
      </c>
      <c r="P495" s="6">
        <v>0</v>
      </c>
      <c r="Q495" s="4" t="s">
        <v>26</v>
      </c>
      <c r="R495" s="4">
        <v>0</v>
      </c>
      <c r="S495" s="6">
        <v>0</v>
      </c>
      <c r="T495" s="6">
        <v>29</v>
      </c>
      <c r="U495" s="6">
        <v>70</v>
      </c>
      <c r="V495" s="6">
        <f>IF(ISERROR(VLOOKUP($S$495,'TAR FIN'!$A$1:$O$103,15,0)),0,VLOOKUP($S$495,'TAR FIN'!$A$1:$O$103,15,0))</f>
        <v>0</v>
      </c>
      <c r="W495" s="6">
        <f>IF(ISERROR(VLOOKUP($T$495,'TAR FIN'!$A$1:$O$103,15,0)),0,VLOOKUP($T$495,'TAR FIN'!$A$1:$O$103,15,0))</f>
        <v>284.77</v>
      </c>
      <c r="X495" s="6">
        <f>IF(ISERROR(VLOOKUP($U$495,'TAR FIN'!$A$1:$O$103,15,0)),0,VLOOKUP($U$495,'TAR FIN'!$A$1:$O$103,15,0))</f>
        <v>242.77</v>
      </c>
      <c r="Y495" s="6"/>
      <c r="Z495" s="6">
        <f ca="1">('TUSD BE'!$AM$31+'TUSD BF_350'!$AM$31+'TUSD CVA'!$AM$31)*1</f>
        <v>291.52999999999997</v>
      </c>
      <c r="AA495" s="6">
        <f ca="1">('TE BE'!$AB$12+'TE BF_350'!$AB$12+'TE CVA'!$AB$12)*1</f>
        <v>272.81999999999994</v>
      </c>
      <c r="AB495" s="6">
        <f>$K$495*$V$495</f>
        <v>0</v>
      </c>
      <c r="AC495" s="6">
        <f>$M$495*$W$495</f>
        <v>939.17145999999991</v>
      </c>
      <c r="AD495" s="6">
        <f>$O$495*$X$495</f>
        <v>800.65546000000006</v>
      </c>
      <c r="AE495" s="6">
        <f>$K$495*$Y$495</f>
        <v>0</v>
      </c>
      <c r="AF495" s="6">
        <f ca="1">$M$495*$Z$495</f>
        <v>961.46593999999993</v>
      </c>
      <c r="AG495" s="6">
        <f ca="1">$O$495*$AA$495</f>
        <v>899.76035999999976</v>
      </c>
    </row>
    <row r="496" spans="1:33" ht="11.25" customHeight="1" x14ac:dyDescent="0.3">
      <c r="A496" s="4" t="s">
        <v>21</v>
      </c>
      <c r="B496" s="4" t="s">
        <v>22</v>
      </c>
      <c r="C496" s="4" t="s">
        <v>33</v>
      </c>
      <c r="D496" s="4" t="s">
        <v>24</v>
      </c>
      <c r="E496" s="4" t="s">
        <v>24</v>
      </c>
      <c r="F496" s="4" t="s">
        <v>25</v>
      </c>
      <c r="G496" s="4" t="s">
        <v>25</v>
      </c>
      <c r="H496" s="4" t="s">
        <v>35</v>
      </c>
      <c r="I496" s="5">
        <v>44713</v>
      </c>
      <c r="J496" s="6">
        <v>0</v>
      </c>
      <c r="K496" s="6">
        <v>0</v>
      </c>
      <c r="L496" s="6">
        <v>2.508</v>
      </c>
      <c r="M496" s="6">
        <v>2.508</v>
      </c>
      <c r="N496" s="6">
        <v>2.508</v>
      </c>
      <c r="O496" s="6">
        <v>2.508</v>
      </c>
      <c r="P496" s="6">
        <v>0</v>
      </c>
      <c r="Q496" s="4" t="s">
        <v>26</v>
      </c>
      <c r="R496" s="4">
        <v>0</v>
      </c>
      <c r="S496" s="6">
        <v>0</v>
      </c>
      <c r="T496" s="6">
        <v>29</v>
      </c>
      <c r="U496" s="6">
        <v>70</v>
      </c>
      <c r="V496" s="6">
        <f>IF(ISERROR(VLOOKUP($S$496,'TAR FIN'!$A$1:$O$103,15,0)),0,VLOOKUP($S$496,'TAR FIN'!$A$1:$O$103,15,0))</f>
        <v>0</v>
      </c>
      <c r="W496" s="6">
        <f>IF(ISERROR(VLOOKUP($T$496,'TAR FIN'!$A$1:$O$103,15,0)),0,VLOOKUP($T$496,'TAR FIN'!$A$1:$O$103,15,0))</f>
        <v>284.77</v>
      </c>
      <c r="X496" s="6">
        <f>IF(ISERROR(VLOOKUP($U$496,'TAR FIN'!$A$1:$O$103,15,0)),0,VLOOKUP($U$496,'TAR FIN'!$A$1:$O$103,15,0))</f>
        <v>242.77</v>
      </c>
      <c r="Y496" s="6"/>
      <c r="Z496" s="6">
        <f ca="1">('TUSD BE'!$AM$31+'TUSD BF_350'!$AM$31+'TUSD CVA'!$AM$31)*1</f>
        <v>291.52999999999997</v>
      </c>
      <c r="AA496" s="6">
        <f ca="1">('TE BE'!$AB$12+'TE BF_350'!$AB$12+'TE CVA'!$AB$12)*1</f>
        <v>272.81999999999994</v>
      </c>
      <c r="AB496" s="6">
        <f>$K$496*$V$496</f>
        <v>0</v>
      </c>
      <c r="AC496" s="6">
        <f>$M$496*$W$496</f>
        <v>714.20315999999991</v>
      </c>
      <c r="AD496" s="6">
        <f>$O$496*$X$496</f>
        <v>608.86716000000001</v>
      </c>
      <c r="AE496" s="6">
        <f>$K$496*$Y$496</f>
        <v>0</v>
      </c>
      <c r="AF496" s="6">
        <f ca="1">$M$496*$Z$496</f>
        <v>731.15723999999989</v>
      </c>
      <c r="AG496" s="6">
        <f ca="1">$O$496*$AA$496</f>
        <v>684.23255999999981</v>
      </c>
    </row>
    <row r="497" spans="1:33" ht="11.25" customHeight="1" x14ac:dyDescent="0.3">
      <c r="A497" s="4" t="s">
        <v>21</v>
      </c>
      <c r="B497" s="4" t="s">
        <v>22</v>
      </c>
      <c r="C497" s="4" t="s">
        <v>33</v>
      </c>
      <c r="D497" s="4" t="s">
        <v>24</v>
      </c>
      <c r="E497" s="4" t="s">
        <v>24</v>
      </c>
      <c r="F497" s="4" t="s">
        <v>25</v>
      </c>
      <c r="G497" s="4" t="s">
        <v>25</v>
      </c>
      <c r="H497" s="4" t="s">
        <v>35</v>
      </c>
      <c r="I497" s="5">
        <v>44743</v>
      </c>
      <c r="J497" s="6">
        <v>0</v>
      </c>
      <c r="K497" s="6">
        <v>0</v>
      </c>
      <c r="L497" s="6">
        <v>2.6120000000000001</v>
      </c>
      <c r="M497" s="6">
        <v>2.6120000000000001</v>
      </c>
      <c r="N497" s="6">
        <v>2.6120000000000001</v>
      </c>
      <c r="O497" s="6">
        <v>2.6120000000000001</v>
      </c>
      <c r="P497" s="6">
        <v>0</v>
      </c>
      <c r="Q497" s="4" t="s">
        <v>26</v>
      </c>
      <c r="R497" s="4">
        <v>0</v>
      </c>
      <c r="S497" s="6">
        <v>0</v>
      </c>
      <c r="T497" s="6">
        <v>29</v>
      </c>
      <c r="U497" s="6">
        <v>70</v>
      </c>
      <c r="V497" s="6">
        <f>IF(ISERROR(VLOOKUP($S$497,'TAR FIN'!$A$1:$O$103,15,0)),0,VLOOKUP($S$497,'TAR FIN'!$A$1:$O$103,15,0))</f>
        <v>0</v>
      </c>
      <c r="W497" s="6">
        <f>IF(ISERROR(VLOOKUP($T$497,'TAR FIN'!$A$1:$O$103,15,0)),0,VLOOKUP($T$497,'TAR FIN'!$A$1:$O$103,15,0))</f>
        <v>284.77</v>
      </c>
      <c r="X497" s="6">
        <f>IF(ISERROR(VLOOKUP($U$497,'TAR FIN'!$A$1:$O$103,15,0)),0,VLOOKUP($U$497,'TAR FIN'!$A$1:$O$103,15,0))</f>
        <v>242.77</v>
      </c>
      <c r="Y497" s="6"/>
      <c r="Z497" s="6">
        <f ca="1">('TUSD BE'!$AM$31+'TUSD BF_350'!$AM$31+'TUSD CVA'!$AM$31)*1</f>
        <v>291.52999999999997</v>
      </c>
      <c r="AA497" s="6">
        <f ca="1">('TE BE'!$AB$12+'TE BF_350'!$AB$12+'TE CVA'!$AB$12)*1</f>
        <v>272.81999999999994</v>
      </c>
      <c r="AB497" s="6">
        <f>$K$497*$V$497</f>
        <v>0</v>
      </c>
      <c r="AC497" s="6">
        <f>$M$497*$W$497</f>
        <v>743.81924000000004</v>
      </c>
      <c r="AD497" s="6">
        <f>$O$497*$X$497</f>
        <v>634.11524000000009</v>
      </c>
      <c r="AE497" s="6">
        <f>$K$497*$Y$497</f>
        <v>0</v>
      </c>
      <c r="AF497" s="6">
        <f ca="1">$M$497*$Z$497</f>
        <v>761.47636</v>
      </c>
      <c r="AG497" s="6">
        <f ca="1">$O$497*$AA$497</f>
        <v>712.60583999999983</v>
      </c>
    </row>
    <row r="498" spans="1:33" ht="11.25" customHeight="1" x14ac:dyDescent="0.3">
      <c r="A498" s="4" t="s">
        <v>21</v>
      </c>
      <c r="B498" s="4" t="s">
        <v>22</v>
      </c>
      <c r="C498" s="4" t="s">
        <v>33</v>
      </c>
      <c r="D498" s="4" t="s">
        <v>24</v>
      </c>
      <c r="E498" s="4" t="s">
        <v>24</v>
      </c>
      <c r="F498" s="4" t="s">
        <v>25</v>
      </c>
      <c r="G498" s="4" t="s">
        <v>25</v>
      </c>
      <c r="H498" s="4" t="s">
        <v>35</v>
      </c>
      <c r="I498" s="5">
        <v>44774</v>
      </c>
      <c r="J498" s="6">
        <v>0</v>
      </c>
      <c r="K498" s="6">
        <v>0</v>
      </c>
      <c r="L498" s="6">
        <v>2.7879999999999998</v>
      </c>
      <c r="M498" s="6">
        <v>2.7879999999999998</v>
      </c>
      <c r="N498" s="6">
        <v>2.7879999999999998</v>
      </c>
      <c r="O498" s="6">
        <v>2.7879999999999998</v>
      </c>
      <c r="P498" s="6">
        <v>0</v>
      </c>
      <c r="Q498" s="4" t="s">
        <v>26</v>
      </c>
      <c r="R498" s="4">
        <v>0</v>
      </c>
      <c r="S498" s="6">
        <v>0</v>
      </c>
      <c r="T498" s="6">
        <v>29</v>
      </c>
      <c r="U498" s="6">
        <v>70</v>
      </c>
      <c r="V498" s="6">
        <f>IF(ISERROR(VLOOKUP($S$498,'TAR FIN'!$A$1:$O$103,15,0)),0,VLOOKUP($S$498,'TAR FIN'!$A$1:$O$103,15,0))</f>
        <v>0</v>
      </c>
      <c r="W498" s="6">
        <f>IF(ISERROR(VLOOKUP($T$498,'TAR FIN'!$A$1:$O$103,15,0)),0,VLOOKUP($T$498,'TAR FIN'!$A$1:$O$103,15,0))</f>
        <v>284.77</v>
      </c>
      <c r="X498" s="6">
        <f>IF(ISERROR(VLOOKUP($U$498,'TAR FIN'!$A$1:$O$103,15,0)),0,VLOOKUP($U$498,'TAR FIN'!$A$1:$O$103,15,0))</f>
        <v>242.77</v>
      </c>
      <c r="Y498" s="6"/>
      <c r="Z498" s="6">
        <f ca="1">('TUSD BE'!$AM$31+'TUSD BF_350'!$AM$31+'TUSD CVA'!$AM$31)*1</f>
        <v>291.52999999999997</v>
      </c>
      <c r="AA498" s="6">
        <f ca="1">('TE BE'!$AB$12+'TE BF_350'!$AB$12+'TE CVA'!$AB$12)*1</f>
        <v>272.81999999999994</v>
      </c>
      <c r="AB498" s="6">
        <f>$K$498*$V$498</f>
        <v>0</v>
      </c>
      <c r="AC498" s="6">
        <f>$M$498*$W$498</f>
        <v>793.93875999999989</v>
      </c>
      <c r="AD498" s="6">
        <f>$O$498*$X$498</f>
        <v>676.84276</v>
      </c>
      <c r="AE498" s="6">
        <f>$K$498*$Y$498</f>
        <v>0</v>
      </c>
      <c r="AF498" s="6">
        <f ca="1">$M$498*$Z$498</f>
        <v>812.78563999999983</v>
      </c>
      <c r="AG498" s="6">
        <f ca="1">$O$498*$AA$498</f>
        <v>760.62215999999978</v>
      </c>
    </row>
    <row r="499" spans="1:33" ht="11.25" customHeight="1" x14ac:dyDescent="0.3">
      <c r="A499" s="4" t="s">
        <v>21</v>
      </c>
      <c r="B499" s="4" t="s">
        <v>22</v>
      </c>
      <c r="C499" s="4" t="s">
        <v>33</v>
      </c>
      <c r="D499" s="4" t="s">
        <v>24</v>
      </c>
      <c r="E499" s="4" t="s">
        <v>24</v>
      </c>
      <c r="F499" s="4" t="s">
        <v>25</v>
      </c>
      <c r="G499" s="4" t="s">
        <v>25</v>
      </c>
      <c r="H499" s="4" t="s">
        <v>35</v>
      </c>
      <c r="I499" s="5">
        <v>44805</v>
      </c>
      <c r="J499" s="6">
        <v>0</v>
      </c>
      <c r="K499" s="6">
        <v>0</v>
      </c>
      <c r="L499" s="6">
        <v>2.456</v>
      </c>
      <c r="M499" s="6">
        <v>2.456</v>
      </c>
      <c r="N499" s="6">
        <v>2.456</v>
      </c>
      <c r="O499" s="6">
        <v>2.456</v>
      </c>
      <c r="P499" s="6">
        <v>0</v>
      </c>
      <c r="Q499" s="4" t="s">
        <v>26</v>
      </c>
      <c r="R499" s="4">
        <v>0</v>
      </c>
      <c r="S499" s="6">
        <v>0</v>
      </c>
      <c r="T499" s="6">
        <v>29</v>
      </c>
      <c r="U499" s="6">
        <v>70</v>
      </c>
      <c r="V499" s="6">
        <f>IF(ISERROR(VLOOKUP($S$499,'TAR FIN'!$A$1:$O$103,15,0)),0,VLOOKUP($S$499,'TAR FIN'!$A$1:$O$103,15,0))</f>
        <v>0</v>
      </c>
      <c r="W499" s="6">
        <f>IF(ISERROR(VLOOKUP($T$499,'TAR FIN'!$A$1:$O$103,15,0)),0,VLOOKUP($T$499,'TAR FIN'!$A$1:$O$103,15,0))</f>
        <v>284.77</v>
      </c>
      <c r="X499" s="6">
        <f>IF(ISERROR(VLOOKUP($U$499,'TAR FIN'!$A$1:$O$103,15,0)),0,VLOOKUP($U$499,'TAR FIN'!$A$1:$O$103,15,0))</f>
        <v>242.77</v>
      </c>
      <c r="Y499" s="6"/>
      <c r="Z499" s="6">
        <f ca="1">('TUSD BE'!$AM$31+'TUSD BF_350'!$AM$31+'TUSD CVA'!$AM$31)*1</f>
        <v>291.52999999999997</v>
      </c>
      <c r="AA499" s="6">
        <f ca="1">('TE BE'!$AB$12+'TE BF_350'!$AB$12+'TE CVA'!$AB$12)*1</f>
        <v>272.81999999999994</v>
      </c>
      <c r="AB499" s="6">
        <f>$K$499*$V$499</f>
        <v>0</v>
      </c>
      <c r="AC499" s="6">
        <f>$M$499*$W$499</f>
        <v>699.39511999999991</v>
      </c>
      <c r="AD499" s="6">
        <f>$O$499*$X$499</f>
        <v>596.24311999999998</v>
      </c>
      <c r="AE499" s="6">
        <f>$K$499*$Y$499</f>
        <v>0</v>
      </c>
      <c r="AF499" s="6">
        <f ca="1">$M$499*$Z$499</f>
        <v>715.99767999999995</v>
      </c>
      <c r="AG499" s="6">
        <f ca="1">$O$499*$AA$499</f>
        <v>670.0459199999998</v>
      </c>
    </row>
    <row r="500" spans="1:33" ht="11.25" customHeight="1" x14ac:dyDescent="0.3">
      <c r="A500" s="4" t="s">
        <v>57</v>
      </c>
      <c r="B500" s="4" t="s">
        <v>22</v>
      </c>
      <c r="C500" s="4" t="s">
        <v>33</v>
      </c>
      <c r="D500" s="4" t="s">
        <v>24</v>
      </c>
      <c r="E500" s="4" t="s">
        <v>24</v>
      </c>
      <c r="F500" s="4" t="s">
        <v>25</v>
      </c>
      <c r="G500" s="4" t="s">
        <v>25</v>
      </c>
      <c r="H500" s="4" t="s">
        <v>35</v>
      </c>
      <c r="I500" s="5">
        <v>44835</v>
      </c>
      <c r="J500" s="6">
        <v>0</v>
      </c>
      <c r="K500" s="6">
        <v>0</v>
      </c>
      <c r="L500" s="6">
        <v>2.456</v>
      </c>
      <c r="M500" s="6">
        <v>2.456</v>
      </c>
      <c r="N500" s="6">
        <v>2.456</v>
      </c>
      <c r="O500" s="6">
        <v>2.456</v>
      </c>
      <c r="P500" s="6">
        <v>0</v>
      </c>
      <c r="Q500" s="4" t="s">
        <v>26</v>
      </c>
      <c r="R500" s="4">
        <v>0</v>
      </c>
      <c r="S500" s="6">
        <v>0</v>
      </c>
      <c r="T500" s="6">
        <v>29</v>
      </c>
      <c r="U500" s="6">
        <v>70</v>
      </c>
      <c r="V500" s="6">
        <f>IF(ISERROR(VLOOKUP($S$500,'TAR FIN'!$A$1:$O$103,15,0)),0,VLOOKUP($S$500,'TAR FIN'!$A$1:$O$103,15,0))</f>
        <v>0</v>
      </c>
      <c r="W500" s="6">
        <f>IF(ISERROR(VLOOKUP($T$500,'TAR FIN'!$A$1:$O$103,15,0)),0,VLOOKUP($T$500,'TAR FIN'!$A$1:$O$103,15,0))</f>
        <v>284.77</v>
      </c>
      <c r="X500" s="6">
        <f>IF(ISERROR(VLOOKUP($U$500,'TAR FIN'!$A$1:$O$103,15,0)),0,VLOOKUP($U$500,'TAR FIN'!$A$1:$O$103,15,0))</f>
        <v>242.77</v>
      </c>
      <c r="Y500" s="6"/>
      <c r="Z500" s="6">
        <f ca="1">('TUSD BE'!$AM$31+'TUSD BF_350'!$AM$31+'TUSD CVA'!$AM$31)*1</f>
        <v>291.52999999999997</v>
      </c>
      <c r="AA500" s="6">
        <f ca="1">('TE BE'!$AB$12+'TE BF_350'!$AB$12+'TE CVA'!$AB$12)*1</f>
        <v>272.81999999999994</v>
      </c>
      <c r="AB500" s="6">
        <f>$K$500*$V$500</f>
        <v>0</v>
      </c>
      <c r="AC500" s="6">
        <f>$M$500*$W$500</f>
        <v>699.39511999999991</v>
      </c>
      <c r="AD500" s="6">
        <f>$O$500*$X$500</f>
        <v>596.24311999999998</v>
      </c>
      <c r="AE500" s="6">
        <f>$K$500*$Y$500</f>
        <v>0</v>
      </c>
      <c r="AF500" s="6">
        <f ca="1">$M$500*$Z$500</f>
        <v>715.99767999999995</v>
      </c>
      <c r="AG500" s="6">
        <f ca="1">$O$500*$AA$500</f>
        <v>670.0459199999998</v>
      </c>
    </row>
    <row r="501" spans="1:33" ht="11.25" customHeight="1" x14ac:dyDescent="0.3">
      <c r="A501" s="4" t="s">
        <v>21</v>
      </c>
      <c r="B501" s="4" t="s">
        <v>22</v>
      </c>
      <c r="C501" s="4" t="s">
        <v>33</v>
      </c>
      <c r="D501" s="4" t="s">
        <v>24</v>
      </c>
      <c r="E501" s="4" t="s">
        <v>24</v>
      </c>
      <c r="F501" s="4" t="s">
        <v>25</v>
      </c>
      <c r="G501" s="4" t="s">
        <v>25</v>
      </c>
      <c r="H501" s="4" t="s">
        <v>36</v>
      </c>
      <c r="I501" s="5">
        <v>44501</v>
      </c>
      <c r="J501" s="6">
        <v>0</v>
      </c>
      <c r="K501" s="6">
        <v>0</v>
      </c>
      <c r="L501" s="6">
        <v>0.34100000000000003</v>
      </c>
      <c r="M501" s="6">
        <v>0.34100000000000003</v>
      </c>
      <c r="N501" s="6">
        <v>0.34100000000000003</v>
      </c>
      <c r="O501" s="6">
        <v>0.34100000000000003</v>
      </c>
      <c r="P501" s="6">
        <v>0</v>
      </c>
      <c r="Q501" s="4" t="s">
        <v>26</v>
      </c>
      <c r="R501" s="4">
        <v>0</v>
      </c>
      <c r="S501" s="6">
        <v>0</v>
      </c>
      <c r="T501" s="6">
        <v>28</v>
      </c>
      <c r="U501" s="6">
        <v>69</v>
      </c>
      <c r="V501" s="6">
        <f>IF(ISERROR(VLOOKUP($S$501,'TAR FIN'!$A$1:$O$103,15,0)),0,VLOOKUP($S$501,'TAR FIN'!$A$1:$O$103,15,0))</f>
        <v>0</v>
      </c>
      <c r="W501" s="6">
        <f>IF(ISERROR(VLOOKUP($T$501,'TAR FIN'!$A$1:$O$103,15,0)),0,VLOOKUP($T$501,'TAR FIN'!$A$1:$O$103,15,0))</f>
        <v>637.07000000000005</v>
      </c>
      <c r="X501" s="6">
        <f>IF(ISERROR(VLOOKUP($U$501,'TAR FIN'!$A$1:$O$103,15,0)),0,VLOOKUP($U$501,'TAR FIN'!$A$1:$O$103,15,0))</f>
        <v>242.77</v>
      </c>
      <c r="Y501" s="6"/>
      <c r="Z501" s="6">
        <f ca="1">('TUSD BE'!$AM$30+'TUSD BF_350'!$AM$30+'TUSD CVA'!$AM$30)*1</f>
        <v>509.77000000000004</v>
      </c>
      <c r="AA501" s="6">
        <f ca="1">('TE BE'!$AB$11+'TE BF_350'!$AB$11+'TE CVA'!$AB$11)*1</f>
        <v>272.81999999999994</v>
      </c>
      <c r="AB501" s="6">
        <f>$K$501*$V$501</f>
        <v>0</v>
      </c>
      <c r="AC501" s="6">
        <f>$M$501*$W$501</f>
        <v>217.24087000000003</v>
      </c>
      <c r="AD501" s="6">
        <f>$O$501*$X$501</f>
        <v>82.784570000000016</v>
      </c>
      <c r="AE501" s="6">
        <f>$K$501*$Y$501</f>
        <v>0</v>
      </c>
      <c r="AF501" s="6">
        <f ca="1">$M$501*$Z$501</f>
        <v>173.83157000000003</v>
      </c>
      <c r="AG501" s="6">
        <f ca="1">$O$501*$AA$501</f>
        <v>93.03161999999999</v>
      </c>
    </row>
    <row r="502" spans="1:33" ht="11.25" customHeight="1" x14ac:dyDescent="0.3">
      <c r="A502" s="4" t="s">
        <v>21</v>
      </c>
      <c r="B502" s="4" t="s">
        <v>22</v>
      </c>
      <c r="C502" s="4" t="s">
        <v>33</v>
      </c>
      <c r="D502" s="4" t="s">
        <v>24</v>
      </c>
      <c r="E502" s="4" t="s">
        <v>24</v>
      </c>
      <c r="F502" s="4" t="s">
        <v>25</v>
      </c>
      <c r="G502" s="4" t="s">
        <v>25</v>
      </c>
      <c r="H502" s="4" t="s">
        <v>36</v>
      </c>
      <c r="I502" s="5">
        <v>44531</v>
      </c>
      <c r="J502" s="6">
        <v>0</v>
      </c>
      <c r="K502" s="6">
        <v>0</v>
      </c>
      <c r="L502" s="6">
        <v>0.36499999999999999</v>
      </c>
      <c r="M502" s="6">
        <v>0.36499999999999999</v>
      </c>
      <c r="N502" s="6">
        <v>0.36499999999999999</v>
      </c>
      <c r="O502" s="6">
        <v>0.36499999999999999</v>
      </c>
      <c r="P502" s="6">
        <v>0</v>
      </c>
      <c r="Q502" s="4" t="s">
        <v>26</v>
      </c>
      <c r="R502" s="4">
        <v>0</v>
      </c>
      <c r="S502" s="6">
        <v>0</v>
      </c>
      <c r="T502" s="6">
        <v>28</v>
      </c>
      <c r="U502" s="6">
        <v>69</v>
      </c>
      <c r="V502" s="6">
        <f>IF(ISERROR(VLOOKUP($S$502,'TAR FIN'!$A$1:$O$103,15,0)),0,VLOOKUP($S$502,'TAR FIN'!$A$1:$O$103,15,0))</f>
        <v>0</v>
      </c>
      <c r="W502" s="6">
        <f>IF(ISERROR(VLOOKUP($T$502,'TAR FIN'!$A$1:$O$103,15,0)),0,VLOOKUP($T$502,'TAR FIN'!$A$1:$O$103,15,0))</f>
        <v>637.07000000000005</v>
      </c>
      <c r="X502" s="6">
        <f>IF(ISERROR(VLOOKUP($U$502,'TAR FIN'!$A$1:$O$103,15,0)),0,VLOOKUP($U$502,'TAR FIN'!$A$1:$O$103,15,0))</f>
        <v>242.77</v>
      </c>
      <c r="Y502" s="6"/>
      <c r="Z502" s="6">
        <f ca="1">('TUSD BE'!$AM$30+'TUSD BF_350'!$AM$30+'TUSD CVA'!$AM$30)*1</f>
        <v>509.77000000000004</v>
      </c>
      <c r="AA502" s="6">
        <f ca="1">('TE BE'!$AB$11+'TE BF_350'!$AB$11+'TE CVA'!$AB$11)*1</f>
        <v>272.81999999999994</v>
      </c>
      <c r="AB502" s="6">
        <f>$K$502*$V$502</f>
        <v>0</v>
      </c>
      <c r="AC502" s="6">
        <f>$M$502*$W$502</f>
        <v>232.53055000000001</v>
      </c>
      <c r="AD502" s="6">
        <f>$O$502*$X$502</f>
        <v>88.611050000000006</v>
      </c>
      <c r="AE502" s="6">
        <f>$K$502*$Y$502</f>
        <v>0</v>
      </c>
      <c r="AF502" s="6">
        <f ca="1">$M$502*$Z$502</f>
        <v>186.06605000000002</v>
      </c>
      <c r="AG502" s="6">
        <f ca="1">$O$502*$AA$502</f>
        <v>99.579299999999975</v>
      </c>
    </row>
    <row r="503" spans="1:33" ht="11.25" customHeight="1" x14ac:dyDescent="0.3">
      <c r="A503" s="4" t="s">
        <v>21</v>
      </c>
      <c r="B503" s="4" t="s">
        <v>22</v>
      </c>
      <c r="C503" s="4" t="s">
        <v>33</v>
      </c>
      <c r="D503" s="4" t="s">
        <v>24</v>
      </c>
      <c r="E503" s="4" t="s">
        <v>24</v>
      </c>
      <c r="F503" s="4" t="s">
        <v>25</v>
      </c>
      <c r="G503" s="4" t="s">
        <v>25</v>
      </c>
      <c r="H503" s="4" t="s">
        <v>36</v>
      </c>
      <c r="I503" s="5">
        <v>44562</v>
      </c>
      <c r="J503" s="6">
        <v>0</v>
      </c>
      <c r="K503" s="6">
        <v>0</v>
      </c>
      <c r="L503" s="6">
        <v>0.373</v>
      </c>
      <c r="M503" s="6">
        <v>0.373</v>
      </c>
      <c r="N503" s="6">
        <v>0.373</v>
      </c>
      <c r="O503" s="6">
        <v>0.373</v>
      </c>
      <c r="P503" s="6">
        <v>0</v>
      </c>
      <c r="Q503" s="4" t="s">
        <v>26</v>
      </c>
      <c r="R503" s="4">
        <v>0</v>
      </c>
      <c r="S503" s="6">
        <v>0</v>
      </c>
      <c r="T503" s="6">
        <v>28</v>
      </c>
      <c r="U503" s="6">
        <v>69</v>
      </c>
      <c r="V503" s="6">
        <f>IF(ISERROR(VLOOKUP($S$503,'TAR FIN'!$A$1:$O$103,15,0)),0,VLOOKUP($S$503,'TAR FIN'!$A$1:$O$103,15,0))</f>
        <v>0</v>
      </c>
      <c r="W503" s="6">
        <f>IF(ISERROR(VLOOKUP($T$503,'TAR FIN'!$A$1:$O$103,15,0)),0,VLOOKUP($T$503,'TAR FIN'!$A$1:$O$103,15,0))</f>
        <v>637.07000000000005</v>
      </c>
      <c r="X503" s="6">
        <f>IF(ISERROR(VLOOKUP($U$503,'TAR FIN'!$A$1:$O$103,15,0)),0,VLOOKUP($U$503,'TAR FIN'!$A$1:$O$103,15,0))</f>
        <v>242.77</v>
      </c>
      <c r="Y503" s="6"/>
      <c r="Z503" s="6">
        <f ca="1">('TUSD BE'!$AM$30+'TUSD BF_350'!$AM$30+'TUSD CVA'!$AM$30)*1</f>
        <v>509.77000000000004</v>
      </c>
      <c r="AA503" s="6">
        <f ca="1">('TE BE'!$AB$11+'TE BF_350'!$AB$11+'TE CVA'!$AB$11)*1</f>
        <v>272.81999999999994</v>
      </c>
      <c r="AB503" s="6">
        <f>$K$503*$V$503</f>
        <v>0</v>
      </c>
      <c r="AC503" s="6">
        <f>$M$503*$W$503</f>
        <v>237.62711000000002</v>
      </c>
      <c r="AD503" s="6">
        <f>$O$503*$X$503</f>
        <v>90.553210000000007</v>
      </c>
      <c r="AE503" s="6">
        <f>$K$503*$Y$503</f>
        <v>0</v>
      </c>
      <c r="AF503" s="6">
        <f ca="1">$M$503*$Z$503</f>
        <v>190.14421000000002</v>
      </c>
      <c r="AG503" s="6">
        <f ca="1">$O$503*$AA$503</f>
        <v>101.76185999999997</v>
      </c>
    </row>
    <row r="504" spans="1:33" ht="11.25" customHeight="1" x14ac:dyDescent="0.3">
      <c r="A504" s="4" t="s">
        <v>21</v>
      </c>
      <c r="B504" s="4" t="s">
        <v>22</v>
      </c>
      <c r="C504" s="4" t="s">
        <v>33</v>
      </c>
      <c r="D504" s="4" t="s">
        <v>24</v>
      </c>
      <c r="E504" s="4" t="s">
        <v>24</v>
      </c>
      <c r="F504" s="4" t="s">
        <v>25</v>
      </c>
      <c r="G504" s="4" t="s">
        <v>25</v>
      </c>
      <c r="H504" s="4" t="s">
        <v>36</v>
      </c>
      <c r="I504" s="5">
        <v>44593</v>
      </c>
      <c r="J504" s="6">
        <v>0</v>
      </c>
      <c r="K504" s="6">
        <v>0</v>
      </c>
      <c r="L504" s="6">
        <v>0.38600000000000001</v>
      </c>
      <c r="M504" s="6">
        <v>0.38600000000000001</v>
      </c>
      <c r="N504" s="6">
        <v>0.38600000000000001</v>
      </c>
      <c r="O504" s="6">
        <v>0.38600000000000001</v>
      </c>
      <c r="P504" s="6">
        <v>0</v>
      </c>
      <c r="Q504" s="4" t="s">
        <v>26</v>
      </c>
      <c r="R504" s="4">
        <v>0</v>
      </c>
      <c r="S504" s="6">
        <v>0</v>
      </c>
      <c r="T504" s="6">
        <v>28</v>
      </c>
      <c r="U504" s="6">
        <v>69</v>
      </c>
      <c r="V504" s="6">
        <f>IF(ISERROR(VLOOKUP($S$504,'TAR FIN'!$A$1:$O$103,15,0)),0,VLOOKUP($S$504,'TAR FIN'!$A$1:$O$103,15,0))</f>
        <v>0</v>
      </c>
      <c r="W504" s="6">
        <f>IF(ISERROR(VLOOKUP($T$504,'TAR FIN'!$A$1:$O$103,15,0)),0,VLOOKUP($T$504,'TAR FIN'!$A$1:$O$103,15,0))</f>
        <v>637.07000000000005</v>
      </c>
      <c r="X504" s="6">
        <f>IF(ISERROR(VLOOKUP($U$504,'TAR FIN'!$A$1:$O$103,15,0)),0,VLOOKUP($U$504,'TAR FIN'!$A$1:$O$103,15,0))</f>
        <v>242.77</v>
      </c>
      <c r="Y504" s="6"/>
      <c r="Z504" s="6">
        <f ca="1">('TUSD BE'!$AM$30+'TUSD BF_350'!$AM$30+'TUSD CVA'!$AM$30)*1</f>
        <v>509.77000000000004</v>
      </c>
      <c r="AA504" s="6">
        <f ca="1">('TE BE'!$AB$11+'TE BF_350'!$AB$11+'TE CVA'!$AB$11)*1</f>
        <v>272.81999999999994</v>
      </c>
      <c r="AB504" s="6">
        <f>$K$504*$V$504</f>
        <v>0</v>
      </c>
      <c r="AC504" s="6">
        <f>$M$504*$W$504</f>
        <v>245.90902000000003</v>
      </c>
      <c r="AD504" s="6">
        <f>$O$504*$X$504</f>
        <v>93.709220000000002</v>
      </c>
      <c r="AE504" s="6">
        <f>$K$504*$Y$504</f>
        <v>0</v>
      </c>
      <c r="AF504" s="6">
        <f ca="1">$M$504*$Z$504</f>
        <v>196.77122000000003</v>
      </c>
      <c r="AG504" s="6">
        <f ca="1">$O$504*$AA$504</f>
        <v>105.30851999999997</v>
      </c>
    </row>
    <row r="505" spans="1:33" ht="11.25" customHeight="1" x14ac:dyDescent="0.3">
      <c r="A505" s="4" t="s">
        <v>21</v>
      </c>
      <c r="B505" s="4" t="s">
        <v>22</v>
      </c>
      <c r="C505" s="4" t="s">
        <v>33</v>
      </c>
      <c r="D505" s="4" t="s">
        <v>24</v>
      </c>
      <c r="E505" s="4" t="s">
        <v>24</v>
      </c>
      <c r="F505" s="4" t="s">
        <v>25</v>
      </c>
      <c r="G505" s="4" t="s">
        <v>25</v>
      </c>
      <c r="H505" s="4" t="s">
        <v>36</v>
      </c>
      <c r="I505" s="5">
        <v>44621</v>
      </c>
      <c r="J505" s="6">
        <v>0</v>
      </c>
      <c r="K505" s="6">
        <v>0</v>
      </c>
      <c r="L505" s="6">
        <v>0.32900000000000001</v>
      </c>
      <c r="M505" s="6">
        <v>0.32900000000000001</v>
      </c>
      <c r="N505" s="6">
        <v>0.32900000000000001</v>
      </c>
      <c r="O505" s="6">
        <v>0.32900000000000001</v>
      </c>
      <c r="P505" s="6">
        <v>0</v>
      </c>
      <c r="Q505" s="4" t="s">
        <v>26</v>
      </c>
      <c r="R505" s="4">
        <v>0</v>
      </c>
      <c r="S505" s="6">
        <v>0</v>
      </c>
      <c r="T505" s="6">
        <v>28</v>
      </c>
      <c r="U505" s="6">
        <v>69</v>
      </c>
      <c r="V505" s="6">
        <f>IF(ISERROR(VLOOKUP($S$505,'TAR FIN'!$A$1:$O$103,15,0)),0,VLOOKUP($S$505,'TAR FIN'!$A$1:$O$103,15,0))</f>
        <v>0</v>
      </c>
      <c r="W505" s="6">
        <f>IF(ISERROR(VLOOKUP($T$505,'TAR FIN'!$A$1:$O$103,15,0)),0,VLOOKUP($T$505,'TAR FIN'!$A$1:$O$103,15,0))</f>
        <v>637.07000000000005</v>
      </c>
      <c r="X505" s="6">
        <f>IF(ISERROR(VLOOKUP($U$505,'TAR FIN'!$A$1:$O$103,15,0)),0,VLOOKUP($U$505,'TAR FIN'!$A$1:$O$103,15,0))</f>
        <v>242.77</v>
      </c>
      <c r="Y505" s="6"/>
      <c r="Z505" s="6">
        <f ca="1">('TUSD BE'!$AM$30+'TUSD BF_350'!$AM$30+'TUSD CVA'!$AM$30)*1</f>
        <v>509.77000000000004</v>
      </c>
      <c r="AA505" s="6">
        <f ca="1">('TE BE'!$AB$11+'TE BF_350'!$AB$11+'TE CVA'!$AB$11)*1</f>
        <v>272.81999999999994</v>
      </c>
      <c r="AB505" s="6">
        <f>$K$505*$V$505</f>
        <v>0</v>
      </c>
      <c r="AC505" s="6">
        <f>$M$505*$W$505</f>
        <v>209.59603000000001</v>
      </c>
      <c r="AD505" s="6">
        <f>$O$505*$X$505</f>
        <v>79.87133</v>
      </c>
      <c r="AE505" s="6">
        <f>$K$505*$Y$505</f>
        <v>0</v>
      </c>
      <c r="AF505" s="6">
        <f ca="1">$M$505*$Z$505</f>
        <v>167.71433000000002</v>
      </c>
      <c r="AG505" s="6">
        <f ca="1">$O$505*$AA$505</f>
        <v>89.757779999999983</v>
      </c>
    </row>
    <row r="506" spans="1:33" ht="11.25" customHeight="1" x14ac:dyDescent="0.3">
      <c r="A506" s="4" t="s">
        <v>21</v>
      </c>
      <c r="B506" s="4" t="s">
        <v>22</v>
      </c>
      <c r="C506" s="4" t="s">
        <v>33</v>
      </c>
      <c r="D506" s="4" t="s">
        <v>24</v>
      </c>
      <c r="E506" s="4" t="s">
        <v>24</v>
      </c>
      <c r="F506" s="4" t="s">
        <v>25</v>
      </c>
      <c r="G506" s="4" t="s">
        <v>25</v>
      </c>
      <c r="H506" s="4" t="s">
        <v>36</v>
      </c>
      <c r="I506" s="5">
        <v>44652</v>
      </c>
      <c r="J506" s="6">
        <v>0</v>
      </c>
      <c r="K506" s="6">
        <v>0</v>
      </c>
      <c r="L506" s="6">
        <v>0.38300000000000001</v>
      </c>
      <c r="M506" s="6">
        <v>0.38300000000000001</v>
      </c>
      <c r="N506" s="6">
        <v>0.38300000000000001</v>
      </c>
      <c r="O506" s="6">
        <v>0.38300000000000001</v>
      </c>
      <c r="P506" s="6">
        <v>0</v>
      </c>
      <c r="Q506" s="4" t="s">
        <v>26</v>
      </c>
      <c r="R506" s="4">
        <v>0</v>
      </c>
      <c r="S506" s="6">
        <v>0</v>
      </c>
      <c r="T506" s="6">
        <v>28</v>
      </c>
      <c r="U506" s="6">
        <v>69</v>
      </c>
      <c r="V506" s="6">
        <f>IF(ISERROR(VLOOKUP($S$506,'TAR FIN'!$A$1:$O$103,15,0)),0,VLOOKUP($S$506,'TAR FIN'!$A$1:$O$103,15,0))</f>
        <v>0</v>
      </c>
      <c r="W506" s="6">
        <f>IF(ISERROR(VLOOKUP($T$506,'TAR FIN'!$A$1:$O$103,15,0)),0,VLOOKUP($T$506,'TAR FIN'!$A$1:$O$103,15,0))</f>
        <v>637.07000000000005</v>
      </c>
      <c r="X506" s="6">
        <f>IF(ISERROR(VLOOKUP($U$506,'TAR FIN'!$A$1:$O$103,15,0)),0,VLOOKUP($U$506,'TAR FIN'!$A$1:$O$103,15,0))</f>
        <v>242.77</v>
      </c>
      <c r="Y506" s="6"/>
      <c r="Z506" s="6">
        <f ca="1">('TUSD BE'!$AM$30+'TUSD BF_350'!$AM$30+'TUSD CVA'!$AM$30)*1</f>
        <v>509.77000000000004</v>
      </c>
      <c r="AA506" s="6">
        <f ca="1">('TE BE'!$AB$11+'TE BF_350'!$AB$11+'TE CVA'!$AB$11)*1</f>
        <v>272.81999999999994</v>
      </c>
      <c r="AB506" s="6">
        <f>$K$506*$V$506</f>
        <v>0</v>
      </c>
      <c r="AC506" s="6">
        <f>$M$506*$W$506</f>
        <v>243.99781000000002</v>
      </c>
      <c r="AD506" s="6">
        <f>$O$506*$X$506</f>
        <v>92.980910000000009</v>
      </c>
      <c r="AE506" s="6">
        <f>$K$506*$Y$506</f>
        <v>0</v>
      </c>
      <c r="AF506" s="6">
        <f ca="1">$M$506*$Z$506</f>
        <v>195.24191000000002</v>
      </c>
      <c r="AG506" s="6">
        <f ca="1">$O$506*$AA$506</f>
        <v>104.49005999999997</v>
      </c>
    </row>
    <row r="507" spans="1:33" ht="11.25" customHeight="1" x14ac:dyDescent="0.3">
      <c r="A507" s="4" t="s">
        <v>21</v>
      </c>
      <c r="B507" s="4" t="s">
        <v>22</v>
      </c>
      <c r="C507" s="4" t="s">
        <v>33</v>
      </c>
      <c r="D507" s="4" t="s">
        <v>24</v>
      </c>
      <c r="E507" s="4" t="s">
        <v>24</v>
      </c>
      <c r="F507" s="4" t="s">
        <v>25</v>
      </c>
      <c r="G507" s="4" t="s">
        <v>25</v>
      </c>
      <c r="H507" s="4" t="s">
        <v>36</v>
      </c>
      <c r="I507" s="5">
        <v>44682</v>
      </c>
      <c r="J507" s="6">
        <v>0</v>
      </c>
      <c r="K507" s="6">
        <v>0</v>
      </c>
      <c r="L507" s="6">
        <v>0.23699999999999999</v>
      </c>
      <c r="M507" s="6">
        <v>0.23699999999999999</v>
      </c>
      <c r="N507" s="6">
        <v>0.23699999999999999</v>
      </c>
      <c r="O507" s="6">
        <v>0.23699999999999999</v>
      </c>
      <c r="P507" s="6">
        <v>0</v>
      </c>
      <c r="Q507" s="4" t="s">
        <v>26</v>
      </c>
      <c r="R507" s="4">
        <v>0</v>
      </c>
      <c r="S507" s="6">
        <v>0</v>
      </c>
      <c r="T507" s="6">
        <v>28</v>
      </c>
      <c r="U507" s="6">
        <v>69</v>
      </c>
      <c r="V507" s="6">
        <f>IF(ISERROR(VLOOKUP($S$507,'TAR FIN'!$A$1:$O$103,15,0)),0,VLOOKUP($S$507,'TAR FIN'!$A$1:$O$103,15,0))</f>
        <v>0</v>
      </c>
      <c r="W507" s="6">
        <f>IF(ISERROR(VLOOKUP($T$507,'TAR FIN'!$A$1:$O$103,15,0)),0,VLOOKUP($T$507,'TAR FIN'!$A$1:$O$103,15,0))</f>
        <v>637.07000000000005</v>
      </c>
      <c r="X507" s="6">
        <f>IF(ISERROR(VLOOKUP($U$507,'TAR FIN'!$A$1:$O$103,15,0)),0,VLOOKUP($U$507,'TAR FIN'!$A$1:$O$103,15,0))</f>
        <v>242.77</v>
      </c>
      <c r="Y507" s="6"/>
      <c r="Z507" s="6">
        <f ca="1">('TUSD BE'!$AM$30+'TUSD BF_350'!$AM$30+'TUSD CVA'!$AM$30)*1</f>
        <v>509.77000000000004</v>
      </c>
      <c r="AA507" s="6">
        <f ca="1">('TE BE'!$AB$11+'TE BF_350'!$AB$11+'TE CVA'!$AB$11)*1</f>
        <v>272.81999999999994</v>
      </c>
      <c r="AB507" s="6">
        <f>$K$507*$V$507</f>
        <v>0</v>
      </c>
      <c r="AC507" s="6">
        <f>$M$507*$W$507</f>
        <v>150.98559</v>
      </c>
      <c r="AD507" s="6">
        <f>$O$507*$X$507</f>
        <v>57.536490000000001</v>
      </c>
      <c r="AE507" s="6">
        <f>$K$507*$Y$507</f>
        <v>0</v>
      </c>
      <c r="AF507" s="6">
        <f ca="1">$M$507*$Z$507</f>
        <v>120.81549</v>
      </c>
      <c r="AG507" s="6">
        <f ca="1">$O$507*$AA$507</f>
        <v>64.658339999999981</v>
      </c>
    </row>
    <row r="508" spans="1:33" ht="11.25" customHeight="1" x14ac:dyDescent="0.3">
      <c r="A508" s="4" t="s">
        <v>21</v>
      </c>
      <c r="B508" s="4" t="s">
        <v>22</v>
      </c>
      <c r="C508" s="4" t="s">
        <v>33</v>
      </c>
      <c r="D508" s="4" t="s">
        <v>24</v>
      </c>
      <c r="E508" s="4" t="s">
        <v>24</v>
      </c>
      <c r="F508" s="4" t="s">
        <v>25</v>
      </c>
      <c r="G508" s="4" t="s">
        <v>25</v>
      </c>
      <c r="H508" s="4" t="s">
        <v>36</v>
      </c>
      <c r="I508" s="5">
        <v>44713</v>
      </c>
      <c r="J508" s="6">
        <v>0</v>
      </c>
      <c r="K508" s="6">
        <v>0</v>
      </c>
      <c r="L508" s="6">
        <v>0.216</v>
      </c>
      <c r="M508" s="6">
        <v>0.216</v>
      </c>
      <c r="N508" s="6">
        <v>0.216</v>
      </c>
      <c r="O508" s="6">
        <v>0.216</v>
      </c>
      <c r="P508" s="6">
        <v>0</v>
      </c>
      <c r="Q508" s="4" t="s">
        <v>26</v>
      </c>
      <c r="R508" s="4">
        <v>0</v>
      </c>
      <c r="S508" s="6">
        <v>0</v>
      </c>
      <c r="T508" s="6">
        <v>28</v>
      </c>
      <c r="U508" s="6">
        <v>69</v>
      </c>
      <c r="V508" s="6">
        <f>IF(ISERROR(VLOOKUP($S$508,'TAR FIN'!$A$1:$O$103,15,0)),0,VLOOKUP($S$508,'TAR FIN'!$A$1:$O$103,15,0))</f>
        <v>0</v>
      </c>
      <c r="W508" s="6">
        <f>IF(ISERROR(VLOOKUP($T$508,'TAR FIN'!$A$1:$O$103,15,0)),0,VLOOKUP($T$508,'TAR FIN'!$A$1:$O$103,15,0))</f>
        <v>637.07000000000005</v>
      </c>
      <c r="X508" s="6">
        <f>IF(ISERROR(VLOOKUP($U$508,'TAR FIN'!$A$1:$O$103,15,0)),0,VLOOKUP($U$508,'TAR FIN'!$A$1:$O$103,15,0))</f>
        <v>242.77</v>
      </c>
      <c r="Y508" s="6"/>
      <c r="Z508" s="6">
        <f ca="1">('TUSD BE'!$AM$30+'TUSD BF_350'!$AM$30+'TUSD CVA'!$AM$30)*1</f>
        <v>509.77000000000004</v>
      </c>
      <c r="AA508" s="6">
        <f ca="1">('TE BE'!$AB$11+'TE BF_350'!$AB$11+'TE CVA'!$AB$11)*1</f>
        <v>272.81999999999994</v>
      </c>
      <c r="AB508" s="6">
        <f>$K$508*$V$508</f>
        <v>0</v>
      </c>
      <c r="AC508" s="6">
        <f>$M$508*$W$508</f>
        <v>137.60712000000001</v>
      </c>
      <c r="AD508" s="6">
        <f>$O$508*$X$508</f>
        <v>52.438320000000004</v>
      </c>
      <c r="AE508" s="6">
        <f>$K$508*$Y$508</f>
        <v>0</v>
      </c>
      <c r="AF508" s="6">
        <f ca="1">$M$508*$Z$508</f>
        <v>110.11032</v>
      </c>
      <c r="AG508" s="6">
        <f ca="1">$O$508*$AA$508</f>
        <v>58.929119999999983</v>
      </c>
    </row>
    <row r="509" spans="1:33" ht="11.25" customHeight="1" x14ac:dyDescent="0.3">
      <c r="A509" s="4" t="s">
        <v>21</v>
      </c>
      <c r="B509" s="4" t="s">
        <v>22</v>
      </c>
      <c r="C509" s="4" t="s">
        <v>33</v>
      </c>
      <c r="D509" s="4" t="s">
        <v>24</v>
      </c>
      <c r="E509" s="4" t="s">
        <v>24</v>
      </c>
      <c r="F509" s="4" t="s">
        <v>25</v>
      </c>
      <c r="G509" s="4" t="s">
        <v>25</v>
      </c>
      <c r="H509" s="4" t="s">
        <v>36</v>
      </c>
      <c r="I509" s="5">
        <v>44743</v>
      </c>
      <c r="J509" s="6">
        <v>0</v>
      </c>
      <c r="K509" s="6">
        <v>0</v>
      </c>
      <c r="L509" s="6">
        <v>0.2</v>
      </c>
      <c r="M509" s="6">
        <v>0.2</v>
      </c>
      <c r="N509" s="6">
        <v>0.2</v>
      </c>
      <c r="O509" s="6">
        <v>0.2</v>
      </c>
      <c r="P509" s="6">
        <v>0</v>
      </c>
      <c r="Q509" s="4" t="s">
        <v>26</v>
      </c>
      <c r="R509" s="4">
        <v>0</v>
      </c>
      <c r="S509" s="6">
        <v>0</v>
      </c>
      <c r="T509" s="6">
        <v>28</v>
      </c>
      <c r="U509" s="6">
        <v>69</v>
      </c>
      <c r="V509" s="6">
        <f>IF(ISERROR(VLOOKUP($S$509,'TAR FIN'!$A$1:$O$103,15,0)),0,VLOOKUP($S$509,'TAR FIN'!$A$1:$O$103,15,0))</f>
        <v>0</v>
      </c>
      <c r="W509" s="6">
        <f>IF(ISERROR(VLOOKUP($T$509,'TAR FIN'!$A$1:$O$103,15,0)),0,VLOOKUP($T$509,'TAR FIN'!$A$1:$O$103,15,0))</f>
        <v>637.07000000000005</v>
      </c>
      <c r="X509" s="6">
        <f>IF(ISERROR(VLOOKUP($U$509,'TAR FIN'!$A$1:$O$103,15,0)),0,VLOOKUP($U$509,'TAR FIN'!$A$1:$O$103,15,0))</f>
        <v>242.77</v>
      </c>
      <c r="Y509" s="6"/>
      <c r="Z509" s="6">
        <f ca="1">('TUSD BE'!$AM$30+'TUSD BF_350'!$AM$30+'TUSD CVA'!$AM$30)*1</f>
        <v>509.77000000000004</v>
      </c>
      <c r="AA509" s="6">
        <f ca="1">('TE BE'!$AB$11+'TE BF_350'!$AB$11+'TE CVA'!$AB$11)*1</f>
        <v>272.81999999999994</v>
      </c>
      <c r="AB509" s="6">
        <f>$K$509*$V$509</f>
        <v>0</v>
      </c>
      <c r="AC509" s="6">
        <f>$M$509*$W$509</f>
        <v>127.41400000000002</v>
      </c>
      <c r="AD509" s="6">
        <f>$O$509*$X$509</f>
        <v>48.554000000000002</v>
      </c>
      <c r="AE509" s="6">
        <f>$K$509*$Y$509</f>
        <v>0</v>
      </c>
      <c r="AF509" s="6">
        <f ca="1">$M$509*$Z$509</f>
        <v>101.95400000000001</v>
      </c>
      <c r="AG509" s="6">
        <f ca="1">$O$509*$AA$509</f>
        <v>54.563999999999993</v>
      </c>
    </row>
    <row r="510" spans="1:33" ht="11.25" customHeight="1" x14ac:dyDescent="0.3">
      <c r="A510" s="4" t="s">
        <v>21</v>
      </c>
      <c r="B510" s="4" t="s">
        <v>22</v>
      </c>
      <c r="C510" s="4" t="s">
        <v>33</v>
      </c>
      <c r="D510" s="4" t="s">
        <v>24</v>
      </c>
      <c r="E510" s="4" t="s">
        <v>24</v>
      </c>
      <c r="F510" s="4" t="s">
        <v>25</v>
      </c>
      <c r="G510" s="4" t="s">
        <v>25</v>
      </c>
      <c r="H510" s="4" t="s">
        <v>36</v>
      </c>
      <c r="I510" s="5">
        <v>44774</v>
      </c>
      <c r="J510" s="6">
        <v>0</v>
      </c>
      <c r="K510" s="6">
        <v>0</v>
      </c>
      <c r="L510" s="6">
        <v>0.21299999999999999</v>
      </c>
      <c r="M510" s="6">
        <v>0.21299999999999999</v>
      </c>
      <c r="N510" s="6">
        <v>0.21299999999999999</v>
      </c>
      <c r="O510" s="6">
        <v>0.21299999999999999</v>
      </c>
      <c r="P510" s="6">
        <v>0</v>
      </c>
      <c r="Q510" s="4" t="s">
        <v>26</v>
      </c>
      <c r="R510" s="4">
        <v>0</v>
      </c>
      <c r="S510" s="6">
        <v>0</v>
      </c>
      <c r="T510" s="6">
        <v>28</v>
      </c>
      <c r="U510" s="6">
        <v>69</v>
      </c>
      <c r="V510" s="6">
        <f>IF(ISERROR(VLOOKUP($S$510,'TAR FIN'!$A$1:$O$103,15,0)),0,VLOOKUP($S$510,'TAR FIN'!$A$1:$O$103,15,0))</f>
        <v>0</v>
      </c>
      <c r="W510" s="6">
        <f>IF(ISERROR(VLOOKUP($T$510,'TAR FIN'!$A$1:$O$103,15,0)),0,VLOOKUP($T$510,'TAR FIN'!$A$1:$O$103,15,0))</f>
        <v>637.07000000000005</v>
      </c>
      <c r="X510" s="6">
        <f>IF(ISERROR(VLOOKUP($U$510,'TAR FIN'!$A$1:$O$103,15,0)),0,VLOOKUP($U$510,'TAR FIN'!$A$1:$O$103,15,0))</f>
        <v>242.77</v>
      </c>
      <c r="Y510" s="6"/>
      <c r="Z510" s="6">
        <f ca="1">('TUSD BE'!$AM$30+'TUSD BF_350'!$AM$30+'TUSD CVA'!$AM$30)*1</f>
        <v>509.77000000000004</v>
      </c>
      <c r="AA510" s="6">
        <f ca="1">('TE BE'!$AB$11+'TE BF_350'!$AB$11+'TE CVA'!$AB$11)*1</f>
        <v>272.81999999999994</v>
      </c>
      <c r="AB510" s="6">
        <f>$K$510*$V$510</f>
        <v>0</v>
      </c>
      <c r="AC510" s="6">
        <f>$M$510*$W$510</f>
        <v>135.69591</v>
      </c>
      <c r="AD510" s="6">
        <f>$O$510*$X$510</f>
        <v>51.710010000000004</v>
      </c>
      <c r="AE510" s="6">
        <f>$K$510*$Y$510</f>
        <v>0</v>
      </c>
      <c r="AF510" s="6">
        <f ca="1">$M$510*$Z$510</f>
        <v>108.58101000000001</v>
      </c>
      <c r="AG510" s="6">
        <f ca="1">$O$510*$AA$510</f>
        <v>58.110659999999982</v>
      </c>
    </row>
    <row r="511" spans="1:33" ht="11.25" customHeight="1" x14ac:dyDescent="0.3">
      <c r="A511" s="4" t="s">
        <v>21</v>
      </c>
      <c r="B511" s="4" t="s">
        <v>22</v>
      </c>
      <c r="C511" s="4" t="s">
        <v>33</v>
      </c>
      <c r="D511" s="4" t="s">
        <v>24</v>
      </c>
      <c r="E511" s="4" t="s">
        <v>24</v>
      </c>
      <c r="F511" s="4" t="s">
        <v>25</v>
      </c>
      <c r="G511" s="4" t="s">
        <v>25</v>
      </c>
      <c r="H511" s="4" t="s">
        <v>36</v>
      </c>
      <c r="I511" s="5">
        <v>44805</v>
      </c>
      <c r="J511" s="6">
        <v>0</v>
      </c>
      <c r="K511" s="6">
        <v>0</v>
      </c>
      <c r="L511" s="6">
        <v>0.17599999999999999</v>
      </c>
      <c r="M511" s="6">
        <v>0.17599999999999999</v>
      </c>
      <c r="N511" s="6">
        <v>0.17599999999999999</v>
      </c>
      <c r="O511" s="6">
        <v>0.17599999999999999</v>
      </c>
      <c r="P511" s="6">
        <v>0</v>
      </c>
      <c r="Q511" s="4" t="s">
        <v>26</v>
      </c>
      <c r="R511" s="4">
        <v>0</v>
      </c>
      <c r="S511" s="6">
        <v>0</v>
      </c>
      <c r="T511" s="6">
        <v>28</v>
      </c>
      <c r="U511" s="6">
        <v>69</v>
      </c>
      <c r="V511" s="6">
        <f>IF(ISERROR(VLOOKUP($S$511,'TAR FIN'!$A$1:$O$103,15,0)),0,VLOOKUP($S$511,'TAR FIN'!$A$1:$O$103,15,0))</f>
        <v>0</v>
      </c>
      <c r="W511" s="6">
        <f>IF(ISERROR(VLOOKUP($T$511,'TAR FIN'!$A$1:$O$103,15,0)),0,VLOOKUP($T$511,'TAR FIN'!$A$1:$O$103,15,0))</f>
        <v>637.07000000000005</v>
      </c>
      <c r="X511" s="6">
        <f>IF(ISERROR(VLOOKUP($U$511,'TAR FIN'!$A$1:$O$103,15,0)),0,VLOOKUP($U$511,'TAR FIN'!$A$1:$O$103,15,0))</f>
        <v>242.77</v>
      </c>
      <c r="Y511" s="6"/>
      <c r="Z511" s="6">
        <f ca="1">('TUSD BE'!$AM$30+'TUSD BF_350'!$AM$30+'TUSD CVA'!$AM$30)*1</f>
        <v>509.77000000000004</v>
      </c>
      <c r="AA511" s="6">
        <f ca="1">('TE BE'!$AB$11+'TE BF_350'!$AB$11+'TE CVA'!$AB$11)*1</f>
        <v>272.81999999999994</v>
      </c>
      <c r="AB511" s="6">
        <f>$K$511*$V$511</f>
        <v>0</v>
      </c>
      <c r="AC511" s="6">
        <f>$M$511*$W$511</f>
        <v>112.12432</v>
      </c>
      <c r="AD511" s="6">
        <f>$O$511*$X$511</f>
        <v>42.727519999999998</v>
      </c>
      <c r="AE511" s="6">
        <f>$K$511*$Y$511</f>
        <v>0</v>
      </c>
      <c r="AF511" s="6">
        <f ca="1">$M$511*$Z$511</f>
        <v>89.719520000000003</v>
      </c>
      <c r="AG511" s="6">
        <f ca="1">$O$511*$AA$511</f>
        <v>48.016319999999986</v>
      </c>
    </row>
    <row r="512" spans="1:33" ht="11.25" customHeight="1" x14ac:dyDescent="0.3">
      <c r="A512" s="4" t="s">
        <v>57</v>
      </c>
      <c r="B512" s="4" t="s">
        <v>22</v>
      </c>
      <c r="C512" s="4" t="s">
        <v>33</v>
      </c>
      <c r="D512" s="4" t="s">
        <v>24</v>
      </c>
      <c r="E512" s="4" t="s">
        <v>24</v>
      </c>
      <c r="F512" s="4" t="s">
        <v>25</v>
      </c>
      <c r="G512" s="4" t="s">
        <v>25</v>
      </c>
      <c r="H512" s="4" t="s">
        <v>36</v>
      </c>
      <c r="I512" s="5">
        <v>44835</v>
      </c>
      <c r="J512" s="6">
        <v>0</v>
      </c>
      <c r="K512" s="6">
        <v>0</v>
      </c>
      <c r="L512" s="6">
        <v>0.17599999999999999</v>
      </c>
      <c r="M512" s="6">
        <v>0.17599999999999999</v>
      </c>
      <c r="N512" s="6">
        <v>0.17599999999999999</v>
      </c>
      <c r="O512" s="6">
        <v>0.17599999999999999</v>
      </c>
      <c r="P512" s="6">
        <v>0</v>
      </c>
      <c r="Q512" s="4" t="s">
        <v>26</v>
      </c>
      <c r="R512" s="4">
        <v>0</v>
      </c>
      <c r="S512" s="6">
        <v>0</v>
      </c>
      <c r="T512" s="6">
        <v>28</v>
      </c>
      <c r="U512" s="6">
        <v>69</v>
      </c>
      <c r="V512" s="6">
        <f>IF(ISERROR(VLOOKUP($S$512,'TAR FIN'!$A$1:$O$103,15,0)),0,VLOOKUP($S$512,'TAR FIN'!$A$1:$O$103,15,0))</f>
        <v>0</v>
      </c>
      <c r="W512" s="6">
        <f>IF(ISERROR(VLOOKUP($T$512,'TAR FIN'!$A$1:$O$103,15,0)),0,VLOOKUP($T$512,'TAR FIN'!$A$1:$O$103,15,0))</f>
        <v>637.07000000000005</v>
      </c>
      <c r="X512" s="6">
        <f>IF(ISERROR(VLOOKUP($U$512,'TAR FIN'!$A$1:$O$103,15,0)),0,VLOOKUP($U$512,'TAR FIN'!$A$1:$O$103,15,0))</f>
        <v>242.77</v>
      </c>
      <c r="Y512" s="6"/>
      <c r="Z512" s="6">
        <f ca="1">('TUSD BE'!$AM$30+'TUSD BF_350'!$AM$30+'TUSD CVA'!$AM$30)*1</f>
        <v>509.77000000000004</v>
      </c>
      <c r="AA512" s="6">
        <f ca="1">('TE BE'!$AB$11+'TE BF_350'!$AB$11+'TE CVA'!$AB$11)*1</f>
        <v>272.81999999999994</v>
      </c>
      <c r="AB512" s="6">
        <f>$K$512*$V$512</f>
        <v>0</v>
      </c>
      <c r="AC512" s="6">
        <f>$M$512*$W$512</f>
        <v>112.12432</v>
      </c>
      <c r="AD512" s="6">
        <f>$O$512*$X$512</f>
        <v>42.727519999999998</v>
      </c>
      <c r="AE512" s="6">
        <f>$K$512*$Y$512</f>
        <v>0</v>
      </c>
      <c r="AF512" s="6">
        <f ca="1">$M$512*$Z$512</f>
        <v>89.719520000000003</v>
      </c>
      <c r="AG512" s="6">
        <f ca="1">$O$512*$AA$512</f>
        <v>48.016319999999986</v>
      </c>
    </row>
    <row r="513" spans="1:33" ht="11.25" customHeight="1" x14ac:dyDescent="0.3">
      <c r="A513" s="4" t="s">
        <v>21</v>
      </c>
      <c r="B513" s="4" t="s">
        <v>22</v>
      </c>
      <c r="C513" s="4" t="s">
        <v>33</v>
      </c>
      <c r="D513" s="4" t="s">
        <v>24</v>
      </c>
      <c r="E513" s="4" t="s">
        <v>24</v>
      </c>
      <c r="F513" s="4" t="s">
        <v>25</v>
      </c>
      <c r="G513" s="4" t="s">
        <v>25</v>
      </c>
      <c r="H513" s="4" t="s">
        <v>34</v>
      </c>
      <c r="I513" s="5">
        <v>44501</v>
      </c>
      <c r="J513" s="6">
        <v>0</v>
      </c>
      <c r="K513" s="6">
        <v>0</v>
      </c>
      <c r="L513" s="6">
        <v>0.53500000000000003</v>
      </c>
      <c r="M513" s="6">
        <v>0.53500000000000003</v>
      </c>
      <c r="N513" s="6">
        <v>0.53500000000000003</v>
      </c>
      <c r="O513" s="6">
        <v>0.53500000000000003</v>
      </c>
      <c r="P513" s="6">
        <v>0</v>
      </c>
      <c r="Q513" s="4" t="s">
        <v>26</v>
      </c>
      <c r="R513" s="4">
        <v>0</v>
      </c>
      <c r="S513" s="6">
        <v>0</v>
      </c>
      <c r="T513" s="6">
        <v>27</v>
      </c>
      <c r="U513" s="6">
        <v>68</v>
      </c>
      <c r="V513" s="6">
        <f>IF(ISERROR(VLOOKUP($S$513,'TAR FIN'!$A$1:$O$103,15,0)),0,VLOOKUP($S$513,'TAR FIN'!$A$1:$O$103,15,0))</f>
        <v>0</v>
      </c>
      <c r="W513" s="6">
        <f>IF(ISERROR(VLOOKUP($T$513,'TAR FIN'!$A$1:$O$103,15,0)),0,VLOOKUP($T$513,'TAR FIN'!$A$1:$O$103,15,0))</f>
        <v>989.37</v>
      </c>
      <c r="X513" s="6">
        <f>IF(ISERROR(VLOOKUP($U$513,'TAR FIN'!$A$1:$O$103,15,0)),0,VLOOKUP($U$513,'TAR FIN'!$A$1:$O$103,15,0))</f>
        <v>391.54</v>
      </c>
      <c r="Y513" s="6"/>
      <c r="Z513" s="6">
        <f ca="1">('TUSD BE'!$AM$29+'TUSD BF_350'!$AM$29+'TUSD CVA'!$AM$29)*1</f>
        <v>728.01999999999987</v>
      </c>
      <c r="AA513" s="6">
        <f ca="1">('TE BE'!$AB$10+'TE BF_350'!$AB$10+'TE CVA'!$AB$10)*1</f>
        <v>437.01</v>
      </c>
      <c r="AB513" s="6">
        <f>$K$513*$V$513</f>
        <v>0</v>
      </c>
      <c r="AC513" s="6">
        <f>$M$513*$W$513</f>
        <v>529.31295</v>
      </c>
      <c r="AD513" s="6">
        <f>$O$513*$X$513</f>
        <v>209.47390000000001</v>
      </c>
      <c r="AE513" s="6">
        <f>$K$513*$Y$513</f>
        <v>0</v>
      </c>
      <c r="AF513" s="6">
        <f ca="1">$M$513*$Z$513</f>
        <v>389.49069999999995</v>
      </c>
      <c r="AG513" s="6">
        <f ca="1">$O$513*$AA$513</f>
        <v>233.80035000000001</v>
      </c>
    </row>
    <row r="514" spans="1:33" ht="11.25" customHeight="1" x14ac:dyDescent="0.3">
      <c r="A514" s="4" t="s">
        <v>21</v>
      </c>
      <c r="B514" s="4" t="s">
        <v>22</v>
      </c>
      <c r="C514" s="4" t="s">
        <v>33</v>
      </c>
      <c r="D514" s="4" t="s">
        <v>24</v>
      </c>
      <c r="E514" s="4" t="s">
        <v>24</v>
      </c>
      <c r="F514" s="4" t="s">
        <v>25</v>
      </c>
      <c r="G514" s="4" t="s">
        <v>25</v>
      </c>
      <c r="H514" s="4" t="s">
        <v>34</v>
      </c>
      <c r="I514" s="5">
        <v>44531</v>
      </c>
      <c r="J514" s="6">
        <v>0</v>
      </c>
      <c r="K514" s="6">
        <v>0</v>
      </c>
      <c r="L514" s="6">
        <v>0.55100000000000005</v>
      </c>
      <c r="M514" s="6">
        <v>0.55100000000000005</v>
      </c>
      <c r="N514" s="6">
        <v>0.55100000000000005</v>
      </c>
      <c r="O514" s="6">
        <v>0.55100000000000005</v>
      </c>
      <c r="P514" s="6">
        <v>0</v>
      </c>
      <c r="Q514" s="4" t="s">
        <v>26</v>
      </c>
      <c r="R514" s="4">
        <v>0</v>
      </c>
      <c r="S514" s="6">
        <v>0</v>
      </c>
      <c r="T514" s="6">
        <v>27</v>
      </c>
      <c r="U514" s="6">
        <v>68</v>
      </c>
      <c r="V514" s="6">
        <f>IF(ISERROR(VLOOKUP($S$514,'TAR FIN'!$A$1:$O$103,15,0)),0,VLOOKUP($S$514,'TAR FIN'!$A$1:$O$103,15,0))</f>
        <v>0</v>
      </c>
      <c r="W514" s="6">
        <f>IF(ISERROR(VLOOKUP($T$514,'TAR FIN'!$A$1:$O$103,15,0)),0,VLOOKUP($T$514,'TAR FIN'!$A$1:$O$103,15,0))</f>
        <v>989.37</v>
      </c>
      <c r="X514" s="6">
        <f>IF(ISERROR(VLOOKUP($U$514,'TAR FIN'!$A$1:$O$103,15,0)),0,VLOOKUP($U$514,'TAR FIN'!$A$1:$O$103,15,0))</f>
        <v>391.54</v>
      </c>
      <c r="Y514" s="6"/>
      <c r="Z514" s="6">
        <f ca="1">('TUSD BE'!$AM$29+'TUSD BF_350'!$AM$29+'TUSD CVA'!$AM$29)*1</f>
        <v>728.01999999999987</v>
      </c>
      <c r="AA514" s="6">
        <f ca="1">('TE BE'!$AB$10+'TE BF_350'!$AB$10+'TE CVA'!$AB$10)*1</f>
        <v>437.01</v>
      </c>
      <c r="AB514" s="6">
        <f>$K$514*$V$514</f>
        <v>0</v>
      </c>
      <c r="AC514" s="6">
        <f>$M$514*$W$514</f>
        <v>545.14287000000002</v>
      </c>
      <c r="AD514" s="6">
        <f>$O$514*$X$514</f>
        <v>215.73854000000003</v>
      </c>
      <c r="AE514" s="6">
        <f>$K$514*$Y$514</f>
        <v>0</v>
      </c>
      <c r="AF514" s="6">
        <f ca="1">$M$514*$Z$514</f>
        <v>401.13901999999996</v>
      </c>
      <c r="AG514" s="6">
        <f ca="1">$O$514*$AA$514</f>
        <v>240.79251000000002</v>
      </c>
    </row>
    <row r="515" spans="1:33" ht="11.25" customHeight="1" x14ac:dyDescent="0.3">
      <c r="A515" s="4" t="s">
        <v>21</v>
      </c>
      <c r="B515" s="4" t="s">
        <v>22</v>
      </c>
      <c r="C515" s="4" t="s">
        <v>33</v>
      </c>
      <c r="D515" s="4" t="s">
        <v>24</v>
      </c>
      <c r="E515" s="4" t="s">
        <v>24</v>
      </c>
      <c r="F515" s="4" t="s">
        <v>25</v>
      </c>
      <c r="G515" s="4" t="s">
        <v>25</v>
      </c>
      <c r="H515" s="4" t="s">
        <v>34</v>
      </c>
      <c r="I515" s="5">
        <v>44562</v>
      </c>
      <c r="J515" s="6">
        <v>0</v>
      </c>
      <c r="K515" s="6">
        <v>0</v>
      </c>
      <c r="L515" s="6">
        <v>0.56399999999999995</v>
      </c>
      <c r="M515" s="6">
        <v>0.56399999999999995</v>
      </c>
      <c r="N515" s="6">
        <v>0.56399999999999995</v>
      </c>
      <c r="O515" s="6">
        <v>0.56399999999999995</v>
      </c>
      <c r="P515" s="6">
        <v>0</v>
      </c>
      <c r="Q515" s="4" t="s">
        <v>26</v>
      </c>
      <c r="R515" s="4">
        <v>0</v>
      </c>
      <c r="S515" s="6">
        <v>0</v>
      </c>
      <c r="T515" s="6">
        <v>27</v>
      </c>
      <c r="U515" s="6">
        <v>68</v>
      </c>
      <c r="V515" s="6">
        <f>IF(ISERROR(VLOOKUP($S$515,'TAR FIN'!$A$1:$O$103,15,0)),0,VLOOKUP($S$515,'TAR FIN'!$A$1:$O$103,15,0))</f>
        <v>0</v>
      </c>
      <c r="W515" s="6">
        <f>IF(ISERROR(VLOOKUP($T$515,'TAR FIN'!$A$1:$O$103,15,0)),0,VLOOKUP($T$515,'TAR FIN'!$A$1:$O$103,15,0))</f>
        <v>989.37</v>
      </c>
      <c r="X515" s="6">
        <f>IF(ISERROR(VLOOKUP($U$515,'TAR FIN'!$A$1:$O$103,15,0)),0,VLOOKUP($U$515,'TAR FIN'!$A$1:$O$103,15,0))</f>
        <v>391.54</v>
      </c>
      <c r="Y515" s="6"/>
      <c r="Z515" s="6">
        <f ca="1">('TUSD BE'!$AM$29+'TUSD BF_350'!$AM$29+'TUSD CVA'!$AM$29)*1</f>
        <v>728.01999999999987</v>
      </c>
      <c r="AA515" s="6">
        <f ca="1">('TE BE'!$AB$10+'TE BF_350'!$AB$10+'TE CVA'!$AB$10)*1</f>
        <v>437.01</v>
      </c>
      <c r="AB515" s="6">
        <f>$K$515*$V$515</f>
        <v>0</v>
      </c>
      <c r="AC515" s="6">
        <f>$M$515*$W$515</f>
        <v>558.00467999999989</v>
      </c>
      <c r="AD515" s="6">
        <f>$O$515*$X$515</f>
        <v>220.82855999999998</v>
      </c>
      <c r="AE515" s="6">
        <f>$K$515*$Y$515</f>
        <v>0</v>
      </c>
      <c r="AF515" s="6">
        <f ca="1">$M$515*$Z$515</f>
        <v>410.60327999999987</v>
      </c>
      <c r="AG515" s="6">
        <f ca="1">$O$515*$AA$515</f>
        <v>246.47363999999996</v>
      </c>
    </row>
    <row r="516" spans="1:33" ht="11.25" customHeight="1" x14ac:dyDescent="0.3">
      <c r="A516" s="4" t="s">
        <v>21</v>
      </c>
      <c r="B516" s="4" t="s">
        <v>22</v>
      </c>
      <c r="C516" s="4" t="s">
        <v>33</v>
      </c>
      <c r="D516" s="4" t="s">
        <v>24</v>
      </c>
      <c r="E516" s="4" t="s">
        <v>24</v>
      </c>
      <c r="F516" s="4" t="s">
        <v>25</v>
      </c>
      <c r="G516" s="4" t="s">
        <v>25</v>
      </c>
      <c r="H516" s="4" t="s">
        <v>34</v>
      </c>
      <c r="I516" s="5">
        <v>44593</v>
      </c>
      <c r="J516" s="6">
        <v>0</v>
      </c>
      <c r="K516" s="6">
        <v>0</v>
      </c>
      <c r="L516" s="6">
        <v>0.57899999999999996</v>
      </c>
      <c r="M516" s="6">
        <v>0.57899999999999996</v>
      </c>
      <c r="N516" s="6">
        <v>0.57899999999999996</v>
      </c>
      <c r="O516" s="6">
        <v>0.57899999999999996</v>
      </c>
      <c r="P516" s="6">
        <v>0</v>
      </c>
      <c r="Q516" s="4" t="s">
        <v>26</v>
      </c>
      <c r="R516" s="4">
        <v>0</v>
      </c>
      <c r="S516" s="6">
        <v>0</v>
      </c>
      <c r="T516" s="6">
        <v>27</v>
      </c>
      <c r="U516" s="6">
        <v>68</v>
      </c>
      <c r="V516" s="6">
        <f>IF(ISERROR(VLOOKUP($S$516,'TAR FIN'!$A$1:$O$103,15,0)),0,VLOOKUP($S$516,'TAR FIN'!$A$1:$O$103,15,0))</f>
        <v>0</v>
      </c>
      <c r="W516" s="6">
        <f>IF(ISERROR(VLOOKUP($T$516,'TAR FIN'!$A$1:$O$103,15,0)),0,VLOOKUP($T$516,'TAR FIN'!$A$1:$O$103,15,0))</f>
        <v>989.37</v>
      </c>
      <c r="X516" s="6">
        <f>IF(ISERROR(VLOOKUP($U$516,'TAR FIN'!$A$1:$O$103,15,0)),0,VLOOKUP($U$516,'TAR FIN'!$A$1:$O$103,15,0))</f>
        <v>391.54</v>
      </c>
      <c r="Y516" s="6"/>
      <c r="Z516" s="6">
        <f ca="1">('TUSD BE'!$AM$29+'TUSD BF_350'!$AM$29+'TUSD CVA'!$AM$29)*1</f>
        <v>728.01999999999987</v>
      </c>
      <c r="AA516" s="6">
        <f ca="1">('TE BE'!$AB$10+'TE BF_350'!$AB$10+'TE CVA'!$AB$10)*1</f>
        <v>437.01</v>
      </c>
      <c r="AB516" s="6">
        <f>$K$516*$V$516</f>
        <v>0</v>
      </c>
      <c r="AC516" s="6">
        <f>$M$516*$W$516</f>
        <v>572.84523000000002</v>
      </c>
      <c r="AD516" s="6">
        <f>$O$516*$X$516</f>
        <v>226.70166</v>
      </c>
      <c r="AE516" s="6">
        <f>$K$516*$Y$516</f>
        <v>0</v>
      </c>
      <c r="AF516" s="6">
        <f ca="1">$M$516*$Z$516</f>
        <v>421.52357999999987</v>
      </c>
      <c r="AG516" s="6">
        <f ca="1">$O$516*$AA$516</f>
        <v>253.02878999999999</v>
      </c>
    </row>
    <row r="517" spans="1:33" ht="11.25" customHeight="1" x14ac:dyDescent="0.3">
      <c r="A517" s="4" t="s">
        <v>21</v>
      </c>
      <c r="B517" s="4" t="s">
        <v>22</v>
      </c>
      <c r="C517" s="4" t="s">
        <v>33</v>
      </c>
      <c r="D517" s="4" t="s">
        <v>24</v>
      </c>
      <c r="E517" s="4" t="s">
        <v>24</v>
      </c>
      <c r="F517" s="4" t="s">
        <v>25</v>
      </c>
      <c r="G517" s="4" t="s">
        <v>25</v>
      </c>
      <c r="H517" s="4" t="s">
        <v>34</v>
      </c>
      <c r="I517" s="5">
        <v>44621</v>
      </c>
      <c r="J517" s="6">
        <v>0</v>
      </c>
      <c r="K517" s="6">
        <v>0</v>
      </c>
      <c r="L517" s="6">
        <v>0.49299999999999999</v>
      </c>
      <c r="M517" s="6">
        <v>0.49299999999999999</v>
      </c>
      <c r="N517" s="6">
        <v>0.49299999999999999</v>
      </c>
      <c r="O517" s="6">
        <v>0.49299999999999999</v>
      </c>
      <c r="P517" s="6">
        <v>0</v>
      </c>
      <c r="Q517" s="4" t="s">
        <v>26</v>
      </c>
      <c r="R517" s="4">
        <v>0</v>
      </c>
      <c r="S517" s="6">
        <v>0</v>
      </c>
      <c r="T517" s="6">
        <v>27</v>
      </c>
      <c r="U517" s="6">
        <v>68</v>
      </c>
      <c r="V517" s="6">
        <f>IF(ISERROR(VLOOKUP($S$517,'TAR FIN'!$A$1:$O$103,15,0)),0,VLOOKUP($S$517,'TAR FIN'!$A$1:$O$103,15,0))</f>
        <v>0</v>
      </c>
      <c r="W517" s="6">
        <f>IF(ISERROR(VLOOKUP($T$517,'TAR FIN'!$A$1:$O$103,15,0)),0,VLOOKUP($T$517,'TAR FIN'!$A$1:$O$103,15,0))</f>
        <v>989.37</v>
      </c>
      <c r="X517" s="6">
        <f>IF(ISERROR(VLOOKUP($U$517,'TAR FIN'!$A$1:$O$103,15,0)),0,VLOOKUP($U$517,'TAR FIN'!$A$1:$O$103,15,0))</f>
        <v>391.54</v>
      </c>
      <c r="Y517" s="6"/>
      <c r="Z517" s="6">
        <f ca="1">('TUSD BE'!$AM$29+'TUSD BF_350'!$AM$29+'TUSD CVA'!$AM$29)*1</f>
        <v>728.01999999999987</v>
      </c>
      <c r="AA517" s="6">
        <f ca="1">('TE BE'!$AB$10+'TE BF_350'!$AB$10+'TE CVA'!$AB$10)*1</f>
        <v>437.01</v>
      </c>
      <c r="AB517" s="6">
        <f>$K$517*$V$517</f>
        <v>0</v>
      </c>
      <c r="AC517" s="6">
        <f>$M$517*$W$517</f>
        <v>487.75941</v>
      </c>
      <c r="AD517" s="6">
        <f>$O$517*$X$517</f>
        <v>193.02922000000001</v>
      </c>
      <c r="AE517" s="6">
        <f>$K$517*$Y$517</f>
        <v>0</v>
      </c>
      <c r="AF517" s="6">
        <f ca="1">$M$517*$Z$517</f>
        <v>358.91385999999994</v>
      </c>
      <c r="AG517" s="6">
        <f ca="1">$O$517*$AA$517</f>
        <v>215.44593</v>
      </c>
    </row>
    <row r="518" spans="1:33" ht="11.25" customHeight="1" x14ac:dyDescent="0.3">
      <c r="A518" s="4" t="s">
        <v>21</v>
      </c>
      <c r="B518" s="4" t="s">
        <v>22</v>
      </c>
      <c r="C518" s="4" t="s">
        <v>33</v>
      </c>
      <c r="D518" s="4" t="s">
        <v>24</v>
      </c>
      <c r="E518" s="4" t="s">
        <v>24</v>
      </c>
      <c r="F518" s="4" t="s">
        <v>25</v>
      </c>
      <c r="G518" s="4" t="s">
        <v>25</v>
      </c>
      <c r="H518" s="4" t="s">
        <v>34</v>
      </c>
      <c r="I518" s="5">
        <v>44652</v>
      </c>
      <c r="J518" s="6">
        <v>0</v>
      </c>
      <c r="K518" s="6">
        <v>0</v>
      </c>
      <c r="L518" s="6">
        <v>0.57999999999999996</v>
      </c>
      <c r="M518" s="6">
        <v>0.57999999999999996</v>
      </c>
      <c r="N518" s="6">
        <v>0.57999999999999996</v>
      </c>
      <c r="O518" s="6">
        <v>0.57999999999999996</v>
      </c>
      <c r="P518" s="6">
        <v>0</v>
      </c>
      <c r="Q518" s="4" t="s">
        <v>26</v>
      </c>
      <c r="R518" s="4">
        <v>0</v>
      </c>
      <c r="S518" s="6">
        <v>0</v>
      </c>
      <c r="T518" s="6">
        <v>27</v>
      </c>
      <c r="U518" s="6">
        <v>68</v>
      </c>
      <c r="V518" s="6">
        <f>IF(ISERROR(VLOOKUP($S$518,'TAR FIN'!$A$1:$O$103,15,0)),0,VLOOKUP($S$518,'TAR FIN'!$A$1:$O$103,15,0))</f>
        <v>0</v>
      </c>
      <c r="W518" s="6">
        <f>IF(ISERROR(VLOOKUP($T$518,'TAR FIN'!$A$1:$O$103,15,0)),0,VLOOKUP($T$518,'TAR FIN'!$A$1:$O$103,15,0))</f>
        <v>989.37</v>
      </c>
      <c r="X518" s="6">
        <f>IF(ISERROR(VLOOKUP($U$518,'TAR FIN'!$A$1:$O$103,15,0)),0,VLOOKUP($U$518,'TAR FIN'!$A$1:$O$103,15,0))</f>
        <v>391.54</v>
      </c>
      <c r="Y518" s="6"/>
      <c r="Z518" s="6">
        <f ca="1">('TUSD BE'!$AM$29+'TUSD BF_350'!$AM$29+'TUSD CVA'!$AM$29)*1</f>
        <v>728.01999999999987</v>
      </c>
      <c r="AA518" s="6">
        <f ca="1">('TE BE'!$AB$10+'TE BF_350'!$AB$10+'TE CVA'!$AB$10)*1</f>
        <v>437.01</v>
      </c>
      <c r="AB518" s="6">
        <f>$K$518*$V$518</f>
        <v>0</v>
      </c>
      <c r="AC518" s="6">
        <f>$M$518*$W$518</f>
        <v>573.83459999999991</v>
      </c>
      <c r="AD518" s="6">
        <f>$O$518*$X$518</f>
        <v>227.0932</v>
      </c>
      <c r="AE518" s="6">
        <f>$K$518*$Y$518</f>
        <v>0</v>
      </c>
      <c r="AF518" s="6">
        <f ca="1">$M$518*$Z$518</f>
        <v>422.25159999999988</v>
      </c>
      <c r="AG518" s="6">
        <f ca="1">$O$518*$AA$518</f>
        <v>253.46579999999997</v>
      </c>
    </row>
    <row r="519" spans="1:33" ht="11.25" customHeight="1" x14ac:dyDescent="0.3">
      <c r="A519" s="4" t="s">
        <v>21</v>
      </c>
      <c r="B519" s="4" t="s">
        <v>22</v>
      </c>
      <c r="C519" s="4" t="s">
        <v>33</v>
      </c>
      <c r="D519" s="4" t="s">
        <v>24</v>
      </c>
      <c r="E519" s="4" t="s">
        <v>24</v>
      </c>
      <c r="F519" s="4" t="s">
        <v>25</v>
      </c>
      <c r="G519" s="4" t="s">
        <v>25</v>
      </c>
      <c r="H519" s="4" t="s">
        <v>34</v>
      </c>
      <c r="I519" s="5">
        <v>44682</v>
      </c>
      <c r="J519" s="6">
        <v>0</v>
      </c>
      <c r="K519" s="6">
        <v>0</v>
      </c>
      <c r="L519" s="6">
        <v>0.36099999999999999</v>
      </c>
      <c r="M519" s="6">
        <v>0.36099999999999999</v>
      </c>
      <c r="N519" s="6">
        <v>0.36099999999999999</v>
      </c>
      <c r="O519" s="6">
        <v>0.36099999999999999</v>
      </c>
      <c r="P519" s="6">
        <v>0</v>
      </c>
      <c r="Q519" s="4" t="s">
        <v>26</v>
      </c>
      <c r="R519" s="4">
        <v>0</v>
      </c>
      <c r="S519" s="6">
        <v>0</v>
      </c>
      <c r="T519" s="6">
        <v>27</v>
      </c>
      <c r="U519" s="6">
        <v>68</v>
      </c>
      <c r="V519" s="6">
        <f>IF(ISERROR(VLOOKUP($S$519,'TAR FIN'!$A$1:$O$103,15,0)),0,VLOOKUP($S$519,'TAR FIN'!$A$1:$O$103,15,0))</f>
        <v>0</v>
      </c>
      <c r="W519" s="6">
        <f>IF(ISERROR(VLOOKUP($T$519,'TAR FIN'!$A$1:$O$103,15,0)),0,VLOOKUP($T$519,'TAR FIN'!$A$1:$O$103,15,0))</f>
        <v>989.37</v>
      </c>
      <c r="X519" s="6">
        <f>IF(ISERROR(VLOOKUP($U$519,'TAR FIN'!$A$1:$O$103,15,0)),0,VLOOKUP($U$519,'TAR FIN'!$A$1:$O$103,15,0))</f>
        <v>391.54</v>
      </c>
      <c r="Y519" s="6"/>
      <c r="Z519" s="6">
        <f ca="1">('TUSD BE'!$AM$29+'TUSD BF_350'!$AM$29+'TUSD CVA'!$AM$29)*1</f>
        <v>728.01999999999987</v>
      </c>
      <c r="AA519" s="6">
        <f ca="1">('TE BE'!$AB$10+'TE BF_350'!$AB$10+'TE CVA'!$AB$10)*1</f>
        <v>437.01</v>
      </c>
      <c r="AB519" s="6">
        <f>$K$519*$V$519</f>
        <v>0</v>
      </c>
      <c r="AC519" s="6">
        <f>$M$519*$W$519</f>
        <v>357.16257000000002</v>
      </c>
      <c r="AD519" s="6">
        <f>$O$519*$X$519</f>
        <v>141.34594000000001</v>
      </c>
      <c r="AE519" s="6">
        <f>$K$519*$Y$519</f>
        <v>0</v>
      </c>
      <c r="AF519" s="6">
        <f ca="1">$M$519*$Z$519</f>
        <v>262.81521999999995</v>
      </c>
      <c r="AG519" s="6">
        <f ca="1">$O$519*$AA$519</f>
        <v>157.76060999999999</v>
      </c>
    </row>
    <row r="520" spans="1:33" ht="11.25" customHeight="1" x14ac:dyDescent="0.3">
      <c r="A520" s="4" t="s">
        <v>21</v>
      </c>
      <c r="B520" s="4" t="s">
        <v>22</v>
      </c>
      <c r="C520" s="4" t="s">
        <v>33</v>
      </c>
      <c r="D520" s="4" t="s">
        <v>24</v>
      </c>
      <c r="E520" s="4" t="s">
        <v>24</v>
      </c>
      <c r="F520" s="4" t="s">
        <v>25</v>
      </c>
      <c r="G520" s="4" t="s">
        <v>25</v>
      </c>
      <c r="H520" s="4" t="s">
        <v>34</v>
      </c>
      <c r="I520" s="5">
        <v>44713</v>
      </c>
      <c r="J520" s="6">
        <v>0</v>
      </c>
      <c r="K520" s="6">
        <v>0</v>
      </c>
      <c r="L520" s="6">
        <v>0.32800000000000001</v>
      </c>
      <c r="M520" s="6">
        <v>0.32800000000000001</v>
      </c>
      <c r="N520" s="6">
        <v>0.32800000000000001</v>
      </c>
      <c r="O520" s="6">
        <v>0.32800000000000001</v>
      </c>
      <c r="P520" s="6">
        <v>0</v>
      </c>
      <c r="Q520" s="4" t="s">
        <v>26</v>
      </c>
      <c r="R520" s="4">
        <v>0</v>
      </c>
      <c r="S520" s="6">
        <v>0</v>
      </c>
      <c r="T520" s="6">
        <v>27</v>
      </c>
      <c r="U520" s="6">
        <v>68</v>
      </c>
      <c r="V520" s="6">
        <f>IF(ISERROR(VLOOKUP($S$520,'TAR FIN'!$A$1:$O$103,15,0)),0,VLOOKUP($S$520,'TAR FIN'!$A$1:$O$103,15,0))</f>
        <v>0</v>
      </c>
      <c r="W520" s="6">
        <f>IF(ISERROR(VLOOKUP($T$520,'TAR FIN'!$A$1:$O$103,15,0)),0,VLOOKUP($T$520,'TAR FIN'!$A$1:$O$103,15,0))</f>
        <v>989.37</v>
      </c>
      <c r="X520" s="6">
        <f>IF(ISERROR(VLOOKUP($U$520,'TAR FIN'!$A$1:$O$103,15,0)),0,VLOOKUP($U$520,'TAR FIN'!$A$1:$O$103,15,0))</f>
        <v>391.54</v>
      </c>
      <c r="Y520" s="6"/>
      <c r="Z520" s="6">
        <f ca="1">('TUSD BE'!$AM$29+'TUSD BF_350'!$AM$29+'TUSD CVA'!$AM$29)*1</f>
        <v>728.01999999999987</v>
      </c>
      <c r="AA520" s="6">
        <f ca="1">('TE BE'!$AB$10+'TE BF_350'!$AB$10+'TE CVA'!$AB$10)*1</f>
        <v>437.01</v>
      </c>
      <c r="AB520" s="6">
        <f>$K$520*$V$520</f>
        <v>0</v>
      </c>
      <c r="AC520" s="6">
        <f>$M$520*$W$520</f>
        <v>324.51336000000003</v>
      </c>
      <c r="AD520" s="6">
        <f>$O$520*$X$520</f>
        <v>128.42512000000002</v>
      </c>
      <c r="AE520" s="6">
        <f>$K$520*$Y$520</f>
        <v>0</v>
      </c>
      <c r="AF520" s="6">
        <f ca="1">$M$520*$Z$520</f>
        <v>238.79055999999997</v>
      </c>
      <c r="AG520" s="6">
        <f ca="1">$O$520*$AA$520</f>
        <v>143.33928</v>
      </c>
    </row>
    <row r="521" spans="1:33" ht="11.25" customHeight="1" x14ac:dyDescent="0.3">
      <c r="A521" s="4" t="s">
        <v>21</v>
      </c>
      <c r="B521" s="4" t="s">
        <v>22</v>
      </c>
      <c r="C521" s="4" t="s">
        <v>33</v>
      </c>
      <c r="D521" s="4" t="s">
        <v>24</v>
      </c>
      <c r="E521" s="4" t="s">
        <v>24</v>
      </c>
      <c r="F521" s="4" t="s">
        <v>25</v>
      </c>
      <c r="G521" s="4" t="s">
        <v>25</v>
      </c>
      <c r="H521" s="4" t="s">
        <v>34</v>
      </c>
      <c r="I521" s="5">
        <v>44743</v>
      </c>
      <c r="J521" s="6">
        <v>0</v>
      </c>
      <c r="K521" s="6">
        <v>0</v>
      </c>
      <c r="L521" s="6">
        <v>0.32200000000000001</v>
      </c>
      <c r="M521" s="6">
        <v>0.32200000000000001</v>
      </c>
      <c r="N521" s="6">
        <v>0.32200000000000001</v>
      </c>
      <c r="O521" s="6">
        <v>0.32200000000000001</v>
      </c>
      <c r="P521" s="6">
        <v>0</v>
      </c>
      <c r="Q521" s="4" t="s">
        <v>26</v>
      </c>
      <c r="R521" s="4">
        <v>0</v>
      </c>
      <c r="S521" s="6">
        <v>0</v>
      </c>
      <c r="T521" s="6">
        <v>27</v>
      </c>
      <c r="U521" s="6">
        <v>68</v>
      </c>
      <c r="V521" s="6">
        <f>IF(ISERROR(VLOOKUP($S$521,'TAR FIN'!$A$1:$O$103,15,0)),0,VLOOKUP($S$521,'TAR FIN'!$A$1:$O$103,15,0))</f>
        <v>0</v>
      </c>
      <c r="W521" s="6">
        <f>IF(ISERROR(VLOOKUP($T$521,'TAR FIN'!$A$1:$O$103,15,0)),0,VLOOKUP($T$521,'TAR FIN'!$A$1:$O$103,15,0))</f>
        <v>989.37</v>
      </c>
      <c r="X521" s="6">
        <f>IF(ISERROR(VLOOKUP($U$521,'TAR FIN'!$A$1:$O$103,15,0)),0,VLOOKUP($U$521,'TAR FIN'!$A$1:$O$103,15,0))</f>
        <v>391.54</v>
      </c>
      <c r="Y521" s="6"/>
      <c r="Z521" s="6">
        <f ca="1">('TUSD BE'!$AM$29+'TUSD BF_350'!$AM$29+'TUSD CVA'!$AM$29)*1</f>
        <v>728.01999999999987</v>
      </c>
      <c r="AA521" s="6">
        <f ca="1">('TE BE'!$AB$10+'TE BF_350'!$AB$10+'TE CVA'!$AB$10)*1</f>
        <v>437.01</v>
      </c>
      <c r="AB521" s="6">
        <f>$K$521*$V$521</f>
        <v>0</v>
      </c>
      <c r="AC521" s="6">
        <f>$M$521*$W$521</f>
        <v>318.57713999999999</v>
      </c>
      <c r="AD521" s="6">
        <f>$O$521*$X$521</f>
        <v>126.07588000000001</v>
      </c>
      <c r="AE521" s="6">
        <f>$K$521*$Y$521</f>
        <v>0</v>
      </c>
      <c r="AF521" s="6">
        <f ca="1">$M$521*$Z$521</f>
        <v>234.42243999999997</v>
      </c>
      <c r="AG521" s="6">
        <f ca="1">$O$521*$AA$521</f>
        <v>140.71722</v>
      </c>
    </row>
    <row r="522" spans="1:33" ht="11.25" customHeight="1" x14ac:dyDescent="0.3">
      <c r="A522" s="4" t="s">
        <v>21</v>
      </c>
      <c r="B522" s="4" t="s">
        <v>22</v>
      </c>
      <c r="C522" s="4" t="s">
        <v>33</v>
      </c>
      <c r="D522" s="4" t="s">
        <v>24</v>
      </c>
      <c r="E522" s="4" t="s">
        <v>24</v>
      </c>
      <c r="F522" s="4" t="s">
        <v>25</v>
      </c>
      <c r="G522" s="4" t="s">
        <v>25</v>
      </c>
      <c r="H522" s="4" t="s">
        <v>34</v>
      </c>
      <c r="I522" s="5">
        <v>44774</v>
      </c>
      <c r="J522" s="6">
        <v>0</v>
      </c>
      <c r="K522" s="6">
        <v>0</v>
      </c>
      <c r="L522" s="6">
        <v>0.33700000000000002</v>
      </c>
      <c r="M522" s="6">
        <v>0.33700000000000002</v>
      </c>
      <c r="N522" s="6">
        <v>0.33700000000000002</v>
      </c>
      <c r="O522" s="6">
        <v>0.33700000000000002</v>
      </c>
      <c r="P522" s="6">
        <v>0</v>
      </c>
      <c r="Q522" s="4" t="s">
        <v>26</v>
      </c>
      <c r="R522" s="4">
        <v>0</v>
      </c>
      <c r="S522" s="6">
        <v>0</v>
      </c>
      <c r="T522" s="6">
        <v>27</v>
      </c>
      <c r="U522" s="6">
        <v>68</v>
      </c>
      <c r="V522" s="6">
        <f>IF(ISERROR(VLOOKUP($S$522,'TAR FIN'!$A$1:$O$103,15,0)),0,VLOOKUP($S$522,'TAR FIN'!$A$1:$O$103,15,0))</f>
        <v>0</v>
      </c>
      <c r="W522" s="6">
        <f>IF(ISERROR(VLOOKUP($T$522,'TAR FIN'!$A$1:$O$103,15,0)),0,VLOOKUP($T$522,'TAR FIN'!$A$1:$O$103,15,0))</f>
        <v>989.37</v>
      </c>
      <c r="X522" s="6">
        <f>IF(ISERROR(VLOOKUP($U$522,'TAR FIN'!$A$1:$O$103,15,0)),0,VLOOKUP($U$522,'TAR FIN'!$A$1:$O$103,15,0))</f>
        <v>391.54</v>
      </c>
      <c r="Y522" s="6"/>
      <c r="Z522" s="6">
        <f ca="1">('TUSD BE'!$AM$29+'TUSD BF_350'!$AM$29+'TUSD CVA'!$AM$29)*1</f>
        <v>728.01999999999987</v>
      </c>
      <c r="AA522" s="6">
        <f ca="1">('TE BE'!$AB$10+'TE BF_350'!$AB$10+'TE CVA'!$AB$10)*1</f>
        <v>437.01</v>
      </c>
      <c r="AB522" s="6">
        <f>$K$522*$V$522</f>
        <v>0</v>
      </c>
      <c r="AC522" s="6">
        <f>$M$522*$W$522</f>
        <v>333.41769000000005</v>
      </c>
      <c r="AD522" s="6">
        <f>$O$522*$X$522</f>
        <v>131.94898000000001</v>
      </c>
      <c r="AE522" s="6">
        <f>$K$522*$Y$522</f>
        <v>0</v>
      </c>
      <c r="AF522" s="6">
        <f ca="1">$M$522*$Z$522</f>
        <v>245.34273999999996</v>
      </c>
      <c r="AG522" s="6">
        <f ca="1">$O$522*$AA$522</f>
        <v>147.27237</v>
      </c>
    </row>
    <row r="523" spans="1:33" ht="11.25" customHeight="1" x14ac:dyDescent="0.3">
      <c r="A523" s="4" t="s">
        <v>21</v>
      </c>
      <c r="B523" s="4" t="s">
        <v>22</v>
      </c>
      <c r="C523" s="4" t="s">
        <v>33</v>
      </c>
      <c r="D523" s="4" t="s">
        <v>24</v>
      </c>
      <c r="E523" s="4" t="s">
        <v>24</v>
      </c>
      <c r="F523" s="4" t="s">
        <v>25</v>
      </c>
      <c r="G523" s="4" t="s">
        <v>25</v>
      </c>
      <c r="H523" s="4" t="s">
        <v>34</v>
      </c>
      <c r="I523" s="5">
        <v>44805</v>
      </c>
      <c r="J523" s="6">
        <v>0</v>
      </c>
      <c r="K523" s="6">
        <v>0</v>
      </c>
      <c r="L523" s="6">
        <v>0.27500000000000002</v>
      </c>
      <c r="M523" s="6">
        <v>0.27500000000000002</v>
      </c>
      <c r="N523" s="6">
        <v>0.27500000000000002</v>
      </c>
      <c r="O523" s="6">
        <v>0.27500000000000002</v>
      </c>
      <c r="P523" s="6">
        <v>0</v>
      </c>
      <c r="Q523" s="4" t="s">
        <v>26</v>
      </c>
      <c r="R523" s="4">
        <v>0</v>
      </c>
      <c r="S523" s="6">
        <v>0</v>
      </c>
      <c r="T523" s="6">
        <v>27</v>
      </c>
      <c r="U523" s="6">
        <v>68</v>
      </c>
      <c r="V523" s="6">
        <f>IF(ISERROR(VLOOKUP($S$523,'TAR FIN'!$A$1:$O$103,15,0)),0,VLOOKUP($S$523,'TAR FIN'!$A$1:$O$103,15,0))</f>
        <v>0</v>
      </c>
      <c r="W523" s="6">
        <f>IF(ISERROR(VLOOKUP($T$523,'TAR FIN'!$A$1:$O$103,15,0)),0,VLOOKUP($T$523,'TAR FIN'!$A$1:$O$103,15,0))</f>
        <v>989.37</v>
      </c>
      <c r="X523" s="6">
        <f>IF(ISERROR(VLOOKUP($U$523,'TAR FIN'!$A$1:$O$103,15,0)),0,VLOOKUP($U$523,'TAR FIN'!$A$1:$O$103,15,0))</f>
        <v>391.54</v>
      </c>
      <c r="Y523" s="6"/>
      <c r="Z523" s="6">
        <f ca="1">('TUSD BE'!$AM$29+'TUSD BF_350'!$AM$29+'TUSD CVA'!$AM$29)*1</f>
        <v>728.01999999999987</v>
      </c>
      <c r="AA523" s="6">
        <f ca="1">('TE BE'!$AB$10+'TE BF_350'!$AB$10+'TE CVA'!$AB$10)*1</f>
        <v>437.01</v>
      </c>
      <c r="AB523" s="6">
        <f>$K$523*$V$523</f>
        <v>0</v>
      </c>
      <c r="AC523" s="6">
        <f>$M$523*$W$523</f>
        <v>272.07675</v>
      </c>
      <c r="AD523" s="6">
        <f>$O$523*$X$523</f>
        <v>107.67350000000002</v>
      </c>
      <c r="AE523" s="6">
        <f>$K$523*$Y$523</f>
        <v>0</v>
      </c>
      <c r="AF523" s="6">
        <f ca="1">$M$523*$Z$523</f>
        <v>200.20549999999997</v>
      </c>
      <c r="AG523" s="6">
        <f ca="1">$O$523*$AA$523</f>
        <v>120.17775</v>
      </c>
    </row>
    <row r="524" spans="1:33" ht="11.25" customHeight="1" x14ac:dyDescent="0.3">
      <c r="A524" s="4" t="s">
        <v>57</v>
      </c>
      <c r="B524" s="4" t="s">
        <v>22</v>
      </c>
      <c r="C524" s="4" t="s">
        <v>33</v>
      </c>
      <c r="D524" s="4" t="s">
        <v>24</v>
      </c>
      <c r="E524" s="4" t="s">
        <v>24</v>
      </c>
      <c r="F524" s="4" t="s">
        <v>25</v>
      </c>
      <c r="G524" s="4" t="s">
        <v>25</v>
      </c>
      <c r="H524" s="4" t="s">
        <v>34</v>
      </c>
      <c r="I524" s="5">
        <v>44835</v>
      </c>
      <c r="J524" s="6">
        <v>0</v>
      </c>
      <c r="K524" s="6">
        <v>0</v>
      </c>
      <c r="L524" s="6">
        <v>0.27500000000000002</v>
      </c>
      <c r="M524" s="6">
        <v>0.27500000000000002</v>
      </c>
      <c r="N524" s="6">
        <v>0.27500000000000002</v>
      </c>
      <c r="O524" s="6">
        <v>0.27500000000000002</v>
      </c>
      <c r="P524" s="6">
        <v>0</v>
      </c>
      <c r="Q524" s="4" t="s">
        <v>26</v>
      </c>
      <c r="R524" s="4">
        <v>0</v>
      </c>
      <c r="S524" s="6">
        <v>0</v>
      </c>
      <c r="T524" s="6">
        <v>27</v>
      </c>
      <c r="U524" s="6">
        <v>68</v>
      </c>
      <c r="V524" s="6">
        <f>IF(ISERROR(VLOOKUP($S$524,'TAR FIN'!$A$1:$O$103,15,0)),0,VLOOKUP($S$524,'TAR FIN'!$A$1:$O$103,15,0))</f>
        <v>0</v>
      </c>
      <c r="W524" s="6">
        <f>IF(ISERROR(VLOOKUP($T$524,'TAR FIN'!$A$1:$O$103,15,0)),0,VLOOKUP($T$524,'TAR FIN'!$A$1:$O$103,15,0))</f>
        <v>989.37</v>
      </c>
      <c r="X524" s="6">
        <f>IF(ISERROR(VLOOKUP($U$524,'TAR FIN'!$A$1:$O$103,15,0)),0,VLOOKUP($U$524,'TAR FIN'!$A$1:$O$103,15,0))</f>
        <v>391.54</v>
      </c>
      <c r="Y524" s="6"/>
      <c r="Z524" s="6">
        <f ca="1">('TUSD BE'!$AM$29+'TUSD BF_350'!$AM$29+'TUSD CVA'!$AM$29)*1</f>
        <v>728.01999999999987</v>
      </c>
      <c r="AA524" s="6">
        <f ca="1">('TE BE'!$AB$10+'TE BF_350'!$AB$10+'TE CVA'!$AB$10)*1</f>
        <v>437.01</v>
      </c>
      <c r="AB524" s="6">
        <f>$K$524*$V$524</f>
        <v>0</v>
      </c>
      <c r="AC524" s="6">
        <f>$M$524*$W$524</f>
        <v>272.07675</v>
      </c>
      <c r="AD524" s="6">
        <f>$O$524*$X$524</f>
        <v>107.67350000000002</v>
      </c>
      <c r="AE524" s="6">
        <f>$K$524*$Y$524</f>
        <v>0</v>
      </c>
      <c r="AF524" s="6">
        <f ca="1">$M$524*$Z$524</f>
        <v>200.20549999999997</v>
      </c>
      <c r="AG524" s="6">
        <f ca="1">$O$524*$AA$524</f>
        <v>120.17775</v>
      </c>
    </row>
    <row r="525" spans="1:33" ht="11.25" customHeight="1" x14ac:dyDescent="0.3">
      <c r="A525" s="4" t="s">
        <v>21</v>
      </c>
      <c r="B525" s="4" t="s">
        <v>22</v>
      </c>
      <c r="C525" s="4" t="s">
        <v>23</v>
      </c>
      <c r="D525" s="4" t="s">
        <v>24</v>
      </c>
      <c r="E525" s="4" t="s">
        <v>24</v>
      </c>
      <c r="F525" s="4" t="s">
        <v>25</v>
      </c>
      <c r="G525" s="4" t="s">
        <v>25</v>
      </c>
      <c r="H525" s="4" t="s">
        <v>25</v>
      </c>
      <c r="I525" s="5">
        <v>44501</v>
      </c>
      <c r="J525" s="6">
        <v>0</v>
      </c>
      <c r="K525" s="6">
        <v>0</v>
      </c>
      <c r="L525" s="6">
        <v>4079.2910000000002</v>
      </c>
      <c r="M525" s="6">
        <v>4079.2910000000002</v>
      </c>
      <c r="N525" s="6">
        <v>4079.2910000000002</v>
      </c>
      <c r="O525" s="6">
        <v>4079.2910000000002</v>
      </c>
      <c r="P525" s="6">
        <v>27228</v>
      </c>
      <c r="Q525" s="4" t="s">
        <v>26</v>
      </c>
      <c r="R525" s="4">
        <v>0</v>
      </c>
      <c r="S525" s="6">
        <v>0</v>
      </c>
      <c r="T525" s="6">
        <v>30</v>
      </c>
      <c r="U525" s="6">
        <v>71</v>
      </c>
      <c r="V525" s="6">
        <f>IF(ISERROR(VLOOKUP($S$525,'TAR FIN'!$A$1:$O$103,15,0)),0,VLOOKUP($S$525,'TAR FIN'!$A$1:$O$103,15,0))</f>
        <v>0</v>
      </c>
      <c r="W525" s="6">
        <f>IF(ISERROR(VLOOKUP($T$525,'TAR FIN'!$A$1:$O$103,15,0)),0,VLOOKUP($T$525,'TAR FIN'!$A$1:$O$103,15,0))</f>
        <v>379.62</v>
      </c>
      <c r="X525" s="6">
        <f>IF(ISERROR(VLOOKUP($U$525,'TAR FIN'!$A$1:$O$103,15,0)),0,VLOOKUP($U$525,'TAR FIN'!$A$1:$O$103,15,0))</f>
        <v>255.17</v>
      </c>
      <c r="Y525" s="6"/>
      <c r="Z525" s="6">
        <f ca="1">('TUSD BE'!$AM$32+'TUSD BF_350'!$AM$32+'TUSD CVA'!$AM$32)*1</f>
        <v>384.48</v>
      </c>
      <c r="AA525" s="6">
        <f ca="1">('TE BE'!$AB$13+'TE BF_350'!$AB$13+'TE CVA'!$AB$13)*1</f>
        <v>286.51</v>
      </c>
      <c r="AB525" s="6">
        <f>$K$525*$V$525</f>
        <v>0</v>
      </c>
      <c r="AC525" s="6">
        <f>$M$525*$W$525</f>
        <v>1548580.4494200002</v>
      </c>
      <c r="AD525" s="6">
        <f>$O$525*$X$525</f>
        <v>1040912.68447</v>
      </c>
      <c r="AE525" s="6">
        <f>$K$525*$Y$525</f>
        <v>0</v>
      </c>
      <c r="AF525" s="6">
        <f ca="1">$M$525*$Z$525</f>
        <v>1568405.8036800001</v>
      </c>
      <c r="AG525" s="6">
        <f ca="1">$O$525*$AA$525</f>
        <v>1168757.66441</v>
      </c>
    </row>
    <row r="526" spans="1:33" ht="11.25" customHeight="1" x14ac:dyDescent="0.3">
      <c r="A526" s="4" t="s">
        <v>27</v>
      </c>
      <c r="B526" s="4" t="s">
        <v>22</v>
      </c>
      <c r="C526" s="4" t="s">
        <v>23</v>
      </c>
      <c r="D526" s="4" t="s">
        <v>24</v>
      </c>
      <c r="E526" s="4" t="s">
        <v>24</v>
      </c>
      <c r="F526" s="4" t="s">
        <v>25</v>
      </c>
      <c r="G526" s="4" t="s">
        <v>25</v>
      </c>
      <c r="H526" s="4" t="s">
        <v>25</v>
      </c>
      <c r="I526" s="5">
        <v>44501</v>
      </c>
      <c r="J526" s="6">
        <v>0</v>
      </c>
      <c r="K526" s="6">
        <v>0</v>
      </c>
      <c r="L526" s="6">
        <v>-0.3</v>
      </c>
      <c r="M526" s="6">
        <v>-0.3</v>
      </c>
      <c r="N526" s="6">
        <v>-0.3</v>
      </c>
      <c r="O526" s="6">
        <v>-0.3</v>
      </c>
      <c r="P526" s="6">
        <v>0</v>
      </c>
      <c r="Q526" s="4" t="s">
        <v>26</v>
      </c>
      <c r="R526" s="4">
        <v>0</v>
      </c>
      <c r="S526" s="6">
        <v>0</v>
      </c>
      <c r="T526" s="6">
        <v>30</v>
      </c>
      <c r="U526" s="6">
        <v>71</v>
      </c>
      <c r="V526" s="6">
        <f>IF(ISERROR(VLOOKUP($S$526,'TAR FIN'!$A$1:$O$103,15,0)),0,VLOOKUP($S$526,'TAR FIN'!$A$1:$O$103,15,0))</f>
        <v>0</v>
      </c>
      <c r="W526" s="6">
        <f>IF(ISERROR(VLOOKUP($T$526,'TAR FIN'!$A$1:$O$103,15,0)),0,VLOOKUP($T$526,'TAR FIN'!$A$1:$O$103,15,0))</f>
        <v>379.62</v>
      </c>
      <c r="X526" s="6">
        <f>IF(ISERROR(VLOOKUP($U$526,'TAR FIN'!$A$1:$O$103,15,0)),0,VLOOKUP($U$526,'TAR FIN'!$A$1:$O$103,15,0))</f>
        <v>255.17</v>
      </c>
      <c r="Y526" s="6"/>
      <c r="Z526" s="6">
        <f ca="1">('TUSD BE'!$AM$32+'TUSD BF_350'!$AM$32+'TUSD CVA'!$AM$32)*1</f>
        <v>384.48</v>
      </c>
      <c r="AA526" s="6">
        <f ca="1">('TE BE'!$AB$13+'TE BF_350'!$AB$13+'TE CVA'!$AB$13)*1</f>
        <v>286.51</v>
      </c>
      <c r="AB526" s="6">
        <f>$K$526*$V$526</f>
        <v>0</v>
      </c>
      <c r="AC526" s="6">
        <f>$M$526*$W$526</f>
        <v>-113.886</v>
      </c>
      <c r="AD526" s="6">
        <f>$O$526*$X$526</f>
        <v>-76.550999999999988</v>
      </c>
      <c r="AE526" s="6">
        <f>$K$526*$Y$526</f>
        <v>0</v>
      </c>
      <c r="AF526" s="6">
        <f ca="1">$M$526*$Z$526</f>
        <v>-115.34399999999999</v>
      </c>
      <c r="AG526" s="6">
        <f ca="1">$O$526*$AA$526</f>
        <v>-85.952999999999989</v>
      </c>
    </row>
    <row r="527" spans="1:33" ht="11.25" customHeight="1" x14ac:dyDescent="0.3">
      <c r="A527" s="4" t="s">
        <v>28</v>
      </c>
      <c r="B527" s="4" t="s">
        <v>22</v>
      </c>
      <c r="C527" s="4" t="s">
        <v>23</v>
      </c>
      <c r="D527" s="4" t="s">
        <v>24</v>
      </c>
      <c r="E527" s="4" t="s">
        <v>24</v>
      </c>
      <c r="F527" s="4" t="s">
        <v>25</v>
      </c>
      <c r="G527" s="4" t="s">
        <v>25</v>
      </c>
      <c r="H527" s="4" t="s">
        <v>25</v>
      </c>
      <c r="I527" s="5">
        <v>44501</v>
      </c>
      <c r="J527" s="6">
        <v>0</v>
      </c>
      <c r="K527" s="6">
        <v>0</v>
      </c>
      <c r="L527" s="6">
        <v>63.996000000000002</v>
      </c>
      <c r="M527" s="6">
        <v>63.996000000000002</v>
      </c>
      <c r="N527" s="6">
        <v>63.996000000000002</v>
      </c>
      <c r="O527" s="6">
        <v>63.996000000000002</v>
      </c>
      <c r="P527" s="6">
        <v>411</v>
      </c>
      <c r="Q527" s="4" t="s">
        <v>26</v>
      </c>
      <c r="R527" s="4">
        <v>0</v>
      </c>
      <c r="S527" s="6">
        <v>0</v>
      </c>
      <c r="T527" s="6">
        <v>30</v>
      </c>
      <c r="U527" s="6">
        <v>71</v>
      </c>
      <c r="V527" s="6">
        <f>IF(ISERROR(VLOOKUP($S$527,'TAR FIN'!$A$1:$O$103,15,0)),0,VLOOKUP($S$527,'TAR FIN'!$A$1:$O$103,15,0))</f>
        <v>0</v>
      </c>
      <c r="W527" s="6">
        <f>IF(ISERROR(VLOOKUP($T$527,'TAR FIN'!$A$1:$O$103,15,0)),0,VLOOKUP($T$527,'TAR FIN'!$A$1:$O$103,15,0))</f>
        <v>379.62</v>
      </c>
      <c r="X527" s="6">
        <f>IF(ISERROR(VLOOKUP($U$527,'TAR FIN'!$A$1:$O$103,15,0)),0,VLOOKUP($U$527,'TAR FIN'!$A$1:$O$103,15,0))</f>
        <v>255.17</v>
      </c>
      <c r="Y527" s="6"/>
      <c r="Z527" s="6">
        <f ca="1">('TUSD BE'!$AM$32+'TUSD BF_350'!$AM$32+'TUSD CVA'!$AM$32)*1</f>
        <v>384.48</v>
      </c>
      <c r="AA527" s="6">
        <f ca="1">('TE BE'!$AB$13+'TE BF_350'!$AB$13+'TE CVA'!$AB$13)*1</f>
        <v>286.51</v>
      </c>
      <c r="AB527" s="6">
        <f>$K$527*$V$527</f>
        <v>0</v>
      </c>
      <c r="AC527" s="6">
        <f>$M$527*$W$527</f>
        <v>24294.161520000001</v>
      </c>
      <c r="AD527" s="6">
        <f>$O$527*$X$527</f>
        <v>16329.85932</v>
      </c>
      <c r="AE527" s="6">
        <f>$K$527*$Y$527</f>
        <v>0</v>
      </c>
      <c r="AF527" s="6">
        <f ca="1">$M$527*$Z$527</f>
        <v>24605.182080000002</v>
      </c>
      <c r="AG527" s="6">
        <f ca="1">$O$527*$AA$527</f>
        <v>18335.49396</v>
      </c>
    </row>
    <row r="528" spans="1:33" ht="11.25" customHeight="1" x14ac:dyDescent="0.3">
      <c r="A528" s="4" t="s">
        <v>21</v>
      </c>
      <c r="B528" s="4" t="s">
        <v>22</v>
      </c>
      <c r="C528" s="4" t="s">
        <v>23</v>
      </c>
      <c r="D528" s="4" t="s">
        <v>24</v>
      </c>
      <c r="E528" s="4" t="s">
        <v>24</v>
      </c>
      <c r="F528" s="4" t="s">
        <v>25</v>
      </c>
      <c r="G528" s="4" t="s">
        <v>25</v>
      </c>
      <c r="H528" s="4" t="s">
        <v>25</v>
      </c>
      <c r="I528" s="5">
        <v>44531</v>
      </c>
      <c r="J528" s="6">
        <v>0</v>
      </c>
      <c r="K528" s="6">
        <v>0</v>
      </c>
      <c r="L528" s="6">
        <v>3895.5329999999999</v>
      </c>
      <c r="M528" s="6">
        <v>3895.5329999999999</v>
      </c>
      <c r="N528" s="6">
        <v>3895.5329999999999</v>
      </c>
      <c r="O528" s="6">
        <v>3895.5329999999999</v>
      </c>
      <c r="P528" s="6">
        <v>27118</v>
      </c>
      <c r="Q528" s="4" t="s">
        <v>26</v>
      </c>
      <c r="R528" s="4">
        <v>0</v>
      </c>
      <c r="S528" s="6">
        <v>0</v>
      </c>
      <c r="T528" s="6">
        <v>30</v>
      </c>
      <c r="U528" s="6">
        <v>71</v>
      </c>
      <c r="V528" s="6">
        <f>IF(ISERROR(VLOOKUP($S$528,'TAR FIN'!$A$1:$O$103,15,0)),0,VLOOKUP($S$528,'TAR FIN'!$A$1:$O$103,15,0))</f>
        <v>0</v>
      </c>
      <c r="W528" s="6">
        <f>IF(ISERROR(VLOOKUP($T$528,'TAR FIN'!$A$1:$O$103,15,0)),0,VLOOKUP($T$528,'TAR FIN'!$A$1:$O$103,15,0))</f>
        <v>379.62</v>
      </c>
      <c r="X528" s="6">
        <f>IF(ISERROR(VLOOKUP($U$528,'TAR FIN'!$A$1:$O$103,15,0)),0,VLOOKUP($U$528,'TAR FIN'!$A$1:$O$103,15,0))</f>
        <v>255.17</v>
      </c>
      <c r="Y528" s="6"/>
      <c r="Z528" s="6">
        <f ca="1">('TUSD BE'!$AM$32+'TUSD BF_350'!$AM$32+'TUSD CVA'!$AM$32)*1</f>
        <v>384.48</v>
      </c>
      <c r="AA528" s="6">
        <f ca="1">('TE BE'!$AB$13+'TE BF_350'!$AB$13+'TE CVA'!$AB$13)*1</f>
        <v>286.51</v>
      </c>
      <c r="AB528" s="6">
        <f>$K$528*$V$528</f>
        <v>0</v>
      </c>
      <c r="AC528" s="6">
        <f>$M$528*$W$528</f>
        <v>1478822.23746</v>
      </c>
      <c r="AD528" s="6">
        <f>$O$528*$X$528</f>
        <v>994023.1556099999</v>
      </c>
      <c r="AE528" s="6">
        <f>$K$528*$Y$528</f>
        <v>0</v>
      </c>
      <c r="AF528" s="6">
        <f ca="1">$M$528*$Z$528</f>
        <v>1497754.5278400001</v>
      </c>
      <c r="AG528" s="6">
        <f ca="1">$O$528*$AA$528</f>
        <v>1116109.15983</v>
      </c>
    </row>
    <row r="529" spans="1:33" ht="11.25" customHeight="1" x14ac:dyDescent="0.3">
      <c r="A529" s="4" t="s">
        <v>28</v>
      </c>
      <c r="B529" s="4" t="s">
        <v>22</v>
      </c>
      <c r="C529" s="4" t="s">
        <v>23</v>
      </c>
      <c r="D529" s="4" t="s">
        <v>24</v>
      </c>
      <c r="E529" s="4" t="s">
        <v>24</v>
      </c>
      <c r="F529" s="4" t="s">
        <v>25</v>
      </c>
      <c r="G529" s="4" t="s">
        <v>25</v>
      </c>
      <c r="H529" s="4" t="s">
        <v>25</v>
      </c>
      <c r="I529" s="5">
        <v>44531</v>
      </c>
      <c r="J529" s="6">
        <v>0</v>
      </c>
      <c r="K529" s="6">
        <v>0</v>
      </c>
      <c r="L529" s="6">
        <v>50.265000000000001</v>
      </c>
      <c r="M529" s="6">
        <v>50.265000000000001</v>
      </c>
      <c r="N529" s="6">
        <v>50.265000000000001</v>
      </c>
      <c r="O529" s="6">
        <v>50.265000000000001</v>
      </c>
      <c r="P529" s="6">
        <v>440</v>
      </c>
      <c r="Q529" s="4" t="s">
        <v>26</v>
      </c>
      <c r="R529" s="4">
        <v>0</v>
      </c>
      <c r="S529" s="6">
        <v>0</v>
      </c>
      <c r="T529" s="6">
        <v>30</v>
      </c>
      <c r="U529" s="6">
        <v>71</v>
      </c>
      <c r="V529" s="6">
        <f>IF(ISERROR(VLOOKUP($S$529,'TAR FIN'!$A$1:$O$103,15,0)),0,VLOOKUP($S$529,'TAR FIN'!$A$1:$O$103,15,0))</f>
        <v>0</v>
      </c>
      <c r="W529" s="6">
        <f>IF(ISERROR(VLOOKUP($T$529,'TAR FIN'!$A$1:$O$103,15,0)),0,VLOOKUP($T$529,'TAR FIN'!$A$1:$O$103,15,0))</f>
        <v>379.62</v>
      </c>
      <c r="X529" s="6">
        <f>IF(ISERROR(VLOOKUP($U$529,'TAR FIN'!$A$1:$O$103,15,0)),0,VLOOKUP($U$529,'TAR FIN'!$A$1:$O$103,15,0))</f>
        <v>255.17</v>
      </c>
      <c r="Y529" s="6"/>
      <c r="Z529" s="6">
        <f ca="1">('TUSD BE'!$AM$32+'TUSD BF_350'!$AM$32+'TUSD CVA'!$AM$32)*1</f>
        <v>384.48</v>
      </c>
      <c r="AA529" s="6">
        <f ca="1">('TE BE'!$AB$13+'TE BF_350'!$AB$13+'TE CVA'!$AB$13)*1</f>
        <v>286.51</v>
      </c>
      <c r="AB529" s="6">
        <f>$K$529*$V$529</f>
        <v>0</v>
      </c>
      <c r="AC529" s="6">
        <f>$M$529*$W$529</f>
        <v>19081.599300000002</v>
      </c>
      <c r="AD529" s="6">
        <f>$O$529*$X$529</f>
        <v>12826.12005</v>
      </c>
      <c r="AE529" s="6">
        <f>$K$529*$Y$529</f>
        <v>0</v>
      </c>
      <c r="AF529" s="6">
        <f ca="1">$M$529*$Z$529</f>
        <v>19325.887200000001</v>
      </c>
      <c r="AG529" s="6">
        <f ca="1">$O$529*$AA$529</f>
        <v>14401.425149999999</v>
      </c>
    </row>
    <row r="530" spans="1:33" ht="11.25" customHeight="1" x14ac:dyDescent="0.3">
      <c r="A530" s="4" t="s">
        <v>21</v>
      </c>
      <c r="B530" s="4" t="s">
        <v>22</v>
      </c>
      <c r="C530" s="4" t="s">
        <v>23</v>
      </c>
      <c r="D530" s="4" t="s">
        <v>24</v>
      </c>
      <c r="E530" s="4" t="s">
        <v>24</v>
      </c>
      <c r="F530" s="4" t="s">
        <v>25</v>
      </c>
      <c r="G530" s="4" t="s">
        <v>25</v>
      </c>
      <c r="H530" s="4" t="s">
        <v>25</v>
      </c>
      <c r="I530" s="5">
        <v>44562</v>
      </c>
      <c r="J530" s="6">
        <v>0</v>
      </c>
      <c r="K530" s="6">
        <v>0</v>
      </c>
      <c r="L530" s="6">
        <v>3972.6260000000002</v>
      </c>
      <c r="M530" s="6">
        <v>3972.6260000000002</v>
      </c>
      <c r="N530" s="6">
        <v>3972.6260000000002</v>
      </c>
      <c r="O530" s="6">
        <v>3972.6260000000002</v>
      </c>
      <c r="P530" s="6">
        <v>27010</v>
      </c>
      <c r="Q530" s="4" t="s">
        <v>26</v>
      </c>
      <c r="R530" s="4">
        <v>0</v>
      </c>
      <c r="S530" s="6">
        <v>0</v>
      </c>
      <c r="T530" s="6">
        <v>30</v>
      </c>
      <c r="U530" s="6">
        <v>71</v>
      </c>
      <c r="V530" s="6">
        <f>IF(ISERROR(VLOOKUP($S$530,'TAR FIN'!$A$1:$O$103,15,0)),0,VLOOKUP($S$530,'TAR FIN'!$A$1:$O$103,15,0))</f>
        <v>0</v>
      </c>
      <c r="W530" s="6">
        <f>IF(ISERROR(VLOOKUP($T$530,'TAR FIN'!$A$1:$O$103,15,0)),0,VLOOKUP($T$530,'TAR FIN'!$A$1:$O$103,15,0))</f>
        <v>379.62</v>
      </c>
      <c r="X530" s="6">
        <f>IF(ISERROR(VLOOKUP($U$530,'TAR FIN'!$A$1:$O$103,15,0)),0,VLOOKUP($U$530,'TAR FIN'!$A$1:$O$103,15,0))</f>
        <v>255.17</v>
      </c>
      <c r="Y530" s="6"/>
      <c r="Z530" s="6">
        <f ca="1">('TUSD BE'!$AM$32+'TUSD BF_350'!$AM$32+'TUSD CVA'!$AM$32)*1</f>
        <v>384.48</v>
      </c>
      <c r="AA530" s="6">
        <f ca="1">('TE BE'!$AB$13+'TE BF_350'!$AB$13+'TE CVA'!$AB$13)*1</f>
        <v>286.51</v>
      </c>
      <c r="AB530" s="6">
        <f>$K$530*$V$530</f>
        <v>0</v>
      </c>
      <c r="AC530" s="6">
        <f>$M$530*$W$530</f>
        <v>1508088.2821200001</v>
      </c>
      <c r="AD530" s="6">
        <f>$O$530*$X$530</f>
        <v>1013694.97642</v>
      </c>
      <c r="AE530" s="6">
        <f>$K$530*$Y$530</f>
        <v>0</v>
      </c>
      <c r="AF530" s="6">
        <f ca="1">$M$530*$Z$530</f>
        <v>1527395.2444800001</v>
      </c>
      <c r="AG530" s="6">
        <f ca="1">$O$530*$AA$530</f>
        <v>1138197.0752600001</v>
      </c>
    </row>
    <row r="531" spans="1:33" ht="11.25" customHeight="1" x14ac:dyDescent="0.3">
      <c r="A531" s="4" t="s">
        <v>28</v>
      </c>
      <c r="B531" s="4" t="s">
        <v>22</v>
      </c>
      <c r="C531" s="4" t="s">
        <v>23</v>
      </c>
      <c r="D531" s="4" t="s">
        <v>24</v>
      </c>
      <c r="E531" s="4" t="s">
        <v>24</v>
      </c>
      <c r="F531" s="4" t="s">
        <v>25</v>
      </c>
      <c r="G531" s="4" t="s">
        <v>25</v>
      </c>
      <c r="H531" s="4" t="s">
        <v>25</v>
      </c>
      <c r="I531" s="5">
        <v>44562</v>
      </c>
      <c r="J531" s="6">
        <v>0</v>
      </c>
      <c r="K531" s="6">
        <v>0</v>
      </c>
      <c r="L531" s="6">
        <v>56.207999999999998</v>
      </c>
      <c r="M531" s="6">
        <v>56.207999999999998</v>
      </c>
      <c r="N531" s="6">
        <v>56.207999999999998</v>
      </c>
      <c r="O531" s="6">
        <v>56.207999999999998</v>
      </c>
      <c r="P531" s="6">
        <v>466</v>
      </c>
      <c r="Q531" s="4" t="s">
        <v>26</v>
      </c>
      <c r="R531" s="4">
        <v>0</v>
      </c>
      <c r="S531" s="6">
        <v>0</v>
      </c>
      <c r="T531" s="6">
        <v>30</v>
      </c>
      <c r="U531" s="6">
        <v>71</v>
      </c>
      <c r="V531" s="6">
        <f>IF(ISERROR(VLOOKUP($S$531,'TAR FIN'!$A$1:$O$103,15,0)),0,VLOOKUP($S$531,'TAR FIN'!$A$1:$O$103,15,0))</f>
        <v>0</v>
      </c>
      <c r="W531" s="6">
        <f>IF(ISERROR(VLOOKUP($T$531,'TAR FIN'!$A$1:$O$103,15,0)),0,VLOOKUP($T$531,'TAR FIN'!$A$1:$O$103,15,0))</f>
        <v>379.62</v>
      </c>
      <c r="X531" s="6">
        <f>IF(ISERROR(VLOOKUP($U$531,'TAR FIN'!$A$1:$O$103,15,0)),0,VLOOKUP($U$531,'TAR FIN'!$A$1:$O$103,15,0))</f>
        <v>255.17</v>
      </c>
      <c r="Y531" s="6"/>
      <c r="Z531" s="6">
        <f ca="1">('TUSD BE'!$AM$32+'TUSD BF_350'!$AM$32+'TUSD CVA'!$AM$32)*1</f>
        <v>384.48</v>
      </c>
      <c r="AA531" s="6">
        <f ca="1">('TE BE'!$AB$13+'TE BF_350'!$AB$13+'TE CVA'!$AB$13)*1</f>
        <v>286.51</v>
      </c>
      <c r="AB531" s="6">
        <f>$K$531*$V$531</f>
        <v>0</v>
      </c>
      <c r="AC531" s="6">
        <f>$M$531*$W$531</f>
        <v>21337.680959999998</v>
      </c>
      <c r="AD531" s="6">
        <f>$O$531*$X$531</f>
        <v>14342.595359999999</v>
      </c>
      <c r="AE531" s="6">
        <f>$K$531*$Y$531</f>
        <v>0</v>
      </c>
      <c r="AF531" s="6">
        <f ca="1">$M$531*$Z$531</f>
        <v>21610.851839999999</v>
      </c>
      <c r="AG531" s="6">
        <f ca="1">$O$531*$AA$531</f>
        <v>16104.154079999998</v>
      </c>
    </row>
    <row r="532" spans="1:33" ht="11.25" customHeight="1" x14ac:dyDescent="0.3">
      <c r="A532" s="4" t="s">
        <v>21</v>
      </c>
      <c r="B532" s="4" t="s">
        <v>22</v>
      </c>
      <c r="C532" s="4" t="s">
        <v>23</v>
      </c>
      <c r="D532" s="4" t="s">
        <v>24</v>
      </c>
      <c r="E532" s="4" t="s">
        <v>24</v>
      </c>
      <c r="F532" s="4" t="s">
        <v>25</v>
      </c>
      <c r="G532" s="4" t="s">
        <v>25</v>
      </c>
      <c r="H532" s="4" t="s">
        <v>25</v>
      </c>
      <c r="I532" s="5">
        <v>44593</v>
      </c>
      <c r="J532" s="6">
        <v>0</v>
      </c>
      <c r="K532" s="6">
        <v>0</v>
      </c>
      <c r="L532" s="6">
        <v>3941.299</v>
      </c>
      <c r="M532" s="6">
        <v>3941.299</v>
      </c>
      <c r="N532" s="6">
        <v>3941.299</v>
      </c>
      <c r="O532" s="6">
        <v>3941.299</v>
      </c>
      <c r="P532" s="6">
        <v>26925</v>
      </c>
      <c r="Q532" s="4" t="s">
        <v>26</v>
      </c>
      <c r="R532" s="4">
        <v>0</v>
      </c>
      <c r="S532" s="6">
        <v>0</v>
      </c>
      <c r="T532" s="6">
        <v>30</v>
      </c>
      <c r="U532" s="6">
        <v>71</v>
      </c>
      <c r="V532" s="6">
        <f>IF(ISERROR(VLOOKUP($S$532,'TAR FIN'!$A$1:$O$103,15,0)),0,VLOOKUP($S$532,'TAR FIN'!$A$1:$O$103,15,0))</f>
        <v>0</v>
      </c>
      <c r="W532" s="6">
        <f>IF(ISERROR(VLOOKUP($T$532,'TAR FIN'!$A$1:$O$103,15,0)),0,VLOOKUP($T$532,'TAR FIN'!$A$1:$O$103,15,0))</f>
        <v>379.62</v>
      </c>
      <c r="X532" s="6">
        <f>IF(ISERROR(VLOOKUP($U$532,'TAR FIN'!$A$1:$O$103,15,0)),0,VLOOKUP($U$532,'TAR FIN'!$A$1:$O$103,15,0))</f>
        <v>255.17</v>
      </c>
      <c r="Y532" s="6"/>
      <c r="Z532" s="6">
        <f ca="1">('TUSD BE'!$AM$32+'TUSD BF_350'!$AM$32+'TUSD CVA'!$AM$32)*1</f>
        <v>384.48</v>
      </c>
      <c r="AA532" s="6">
        <f ca="1">('TE BE'!$AB$13+'TE BF_350'!$AB$13+'TE CVA'!$AB$13)*1</f>
        <v>286.51</v>
      </c>
      <c r="AB532" s="6">
        <f>$K$532*$V$532</f>
        <v>0</v>
      </c>
      <c r="AC532" s="6">
        <f>$M$532*$W$532</f>
        <v>1496195.9263800001</v>
      </c>
      <c r="AD532" s="6">
        <f>$O$532*$X$532</f>
        <v>1005701.2658299999</v>
      </c>
      <c r="AE532" s="6">
        <f>$K$532*$Y$532</f>
        <v>0</v>
      </c>
      <c r="AF532" s="6">
        <f ca="1">$M$532*$Z$532</f>
        <v>1515350.63952</v>
      </c>
      <c r="AG532" s="6">
        <f ca="1">$O$532*$AA$532</f>
        <v>1129221.5764899999</v>
      </c>
    </row>
    <row r="533" spans="1:33" ht="11.25" customHeight="1" x14ac:dyDescent="0.3">
      <c r="A533" s="4" t="s">
        <v>28</v>
      </c>
      <c r="B533" s="4" t="s">
        <v>22</v>
      </c>
      <c r="C533" s="4" t="s">
        <v>23</v>
      </c>
      <c r="D533" s="4" t="s">
        <v>24</v>
      </c>
      <c r="E533" s="4" t="s">
        <v>24</v>
      </c>
      <c r="F533" s="4" t="s">
        <v>25</v>
      </c>
      <c r="G533" s="4" t="s">
        <v>25</v>
      </c>
      <c r="H533" s="4" t="s">
        <v>25</v>
      </c>
      <c r="I533" s="5">
        <v>44593</v>
      </c>
      <c r="J533" s="6">
        <v>0</v>
      </c>
      <c r="K533" s="6">
        <v>0</v>
      </c>
      <c r="L533" s="6">
        <v>48.512</v>
      </c>
      <c r="M533" s="6">
        <v>48.512</v>
      </c>
      <c r="N533" s="6">
        <v>48.512</v>
      </c>
      <c r="O533" s="6">
        <v>48.512</v>
      </c>
      <c r="P533" s="6">
        <v>498</v>
      </c>
      <c r="Q533" s="4" t="s">
        <v>26</v>
      </c>
      <c r="R533" s="4">
        <v>0</v>
      </c>
      <c r="S533" s="6">
        <v>0</v>
      </c>
      <c r="T533" s="6">
        <v>30</v>
      </c>
      <c r="U533" s="6">
        <v>71</v>
      </c>
      <c r="V533" s="6">
        <f>IF(ISERROR(VLOOKUP($S$533,'TAR FIN'!$A$1:$O$103,15,0)),0,VLOOKUP($S$533,'TAR FIN'!$A$1:$O$103,15,0))</f>
        <v>0</v>
      </c>
      <c r="W533" s="6">
        <f>IF(ISERROR(VLOOKUP($T$533,'TAR FIN'!$A$1:$O$103,15,0)),0,VLOOKUP($T$533,'TAR FIN'!$A$1:$O$103,15,0))</f>
        <v>379.62</v>
      </c>
      <c r="X533" s="6">
        <f>IF(ISERROR(VLOOKUP($U$533,'TAR FIN'!$A$1:$O$103,15,0)),0,VLOOKUP($U$533,'TAR FIN'!$A$1:$O$103,15,0))</f>
        <v>255.17</v>
      </c>
      <c r="Y533" s="6"/>
      <c r="Z533" s="6">
        <f ca="1">('TUSD BE'!$AM$32+'TUSD BF_350'!$AM$32+'TUSD CVA'!$AM$32)*1</f>
        <v>384.48</v>
      </c>
      <c r="AA533" s="6">
        <f ca="1">('TE BE'!$AB$13+'TE BF_350'!$AB$13+'TE CVA'!$AB$13)*1</f>
        <v>286.51</v>
      </c>
      <c r="AB533" s="6">
        <f>$K$533*$V$533</f>
        <v>0</v>
      </c>
      <c r="AC533" s="6">
        <f>$M$533*$W$533</f>
        <v>18416.12544</v>
      </c>
      <c r="AD533" s="6">
        <f>$O$533*$X$533</f>
        <v>12378.80704</v>
      </c>
      <c r="AE533" s="6">
        <f>$K$533*$Y$533</f>
        <v>0</v>
      </c>
      <c r="AF533" s="6">
        <f ca="1">$M$533*$Z$533</f>
        <v>18651.893760000003</v>
      </c>
      <c r="AG533" s="6">
        <f ca="1">$O$533*$AA$533</f>
        <v>13899.173119999999</v>
      </c>
    </row>
    <row r="534" spans="1:33" ht="11.25" customHeight="1" x14ac:dyDescent="0.3">
      <c r="A534" s="4" t="s">
        <v>21</v>
      </c>
      <c r="B534" s="4" t="s">
        <v>22</v>
      </c>
      <c r="C534" s="4" t="s">
        <v>23</v>
      </c>
      <c r="D534" s="4" t="s">
        <v>24</v>
      </c>
      <c r="E534" s="4" t="s">
        <v>24</v>
      </c>
      <c r="F534" s="4" t="s">
        <v>25</v>
      </c>
      <c r="G534" s="4" t="s">
        <v>25</v>
      </c>
      <c r="H534" s="4" t="s">
        <v>25</v>
      </c>
      <c r="I534" s="5">
        <v>44621</v>
      </c>
      <c r="J534" s="6">
        <v>0</v>
      </c>
      <c r="K534" s="6">
        <v>0</v>
      </c>
      <c r="L534" s="6">
        <v>3635.4769999999999</v>
      </c>
      <c r="M534" s="6">
        <v>3635.4769999999999</v>
      </c>
      <c r="N534" s="6">
        <v>3635.4769999999999</v>
      </c>
      <c r="O534" s="6">
        <v>3635.4769999999999</v>
      </c>
      <c r="P534" s="6">
        <v>26796</v>
      </c>
      <c r="Q534" s="4" t="s">
        <v>26</v>
      </c>
      <c r="R534" s="4">
        <v>0</v>
      </c>
      <c r="S534" s="6">
        <v>0</v>
      </c>
      <c r="T534" s="6">
        <v>30</v>
      </c>
      <c r="U534" s="6">
        <v>71</v>
      </c>
      <c r="V534" s="6">
        <f>IF(ISERROR(VLOOKUP($S$534,'TAR FIN'!$A$1:$O$103,15,0)),0,VLOOKUP($S$534,'TAR FIN'!$A$1:$O$103,15,0))</f>
        <v>0</v>
      </c>
      <c r="W534" s="6">
        <f>IF(ISERROR(VLOOKUP($T$534,'TAR FIN'!$A$1:$O$103,15,0)),0,VLOOKUP($T$534,'TAR FIN'!$A$1:$O$103,15,0))</f>
        <v>379.62</v>
      </c>
      <c r="X534" s="6">
        <f>IF(ISERROR(VLOOKUP($U$534,'TAR FIN'!$A$1:$O$103,15,0)),0,VLOOKUP($U$534,'TAR FIN'!$A$1:$O$103,15,0))</f>
        <v>255.17</v>
      </c>
      <c r="Y534" s="6"/>
      <c r="Z534" s="6">
        <f ca="1">('TUSD BE'!$AM$32+'TUSD BF_350'!$AM$32+'TUSD CVA'!$AM$32)*1</f>
        <v>384.48</v>
      </c>
      <c r="AA534" s="6">
        <f ca="1">('TE BE'!$AB$13+'TE BF_350'!$AB$13+'TE CVA'!$AB$13)*1</f>
        <v>286.51</v>
      </c>
      <c r="AB534" s="6">
        <f>$K$534*$V$534</f>
        <v>0</v>
      </c>
      <c r="AC534" s="6">
        <f>$M$534*$W$534</f>
        <v>1380099.77874</v>
      </c>
      <c r="AD534" s="6">
        <f>$O$534*$X$534</f>
        <v>927664.66608999996</v>
      </c>
      <c r="AE534" s="6">
        <f>$K$534*$Y$534</f>
        <v>0</v>
      </c>
      <c r="AF534" s="6">
        <f ca="1">$M$534*$Z$534</f>
        <v>1397768.1969600001</v>
      </c>
      <c r="AG534" s="6">
        <f ca="1">$O$534*$AA$534</f>
        <v>1041600.51527</v>
      </c>
    </row>
    <row r="535" spans="1:33" ht="11.25" customHeight="1" x14ac:dyDescent="0.3">
      <c r="A535" s="4" t="s">
        <v>28</v>
      </c>
      <c r="B535" s="4" t="s">
        <v>22</v>
      </c>
      <c r="C535" s="4" t="s">
        <v>23</v>
      </c>
      <c r="D535" s="4" t="s">
        <v>24</v>
      </c>
      <c r="E535" s="4" t="s">
        <v>24</v>
      </c>
      <c r="F535" s="4" t="s">
        <v>25</v>
      </c>
      <c r="G535" s="4" t="s">
        <v>25</v>
      </c>
      <c r="H535" s="4" t="s">
        <v>25</v>
      </c>
      <c r="I535" s="5">
        <v>44621</v>
      </c>
      <c r="J535" s="6">
        <v>0</v>
      </c>
      <c r="K535" s="6">
        <v>0</v>
      </c>
      <c r="L535" s="6">
        <v>47.52</v>
      </c>
      <c r="M535" s="6">
        <v>47.52</v>
      </c>
      <c r="N535" s="6">
        <v>47.52</v>
      </c>
      <c r="O535" s="6">
        <v>47.52</v>
      </c>
      <c r="P535" s="6">
        <v>539</v>
      </c>
      <c r="Q535" s="4" t="s">
        <v>26</v>
      </c>
      <c r="R535" s="4">
        <v>0</v>
      </c>
      <c r="S535" s="6">
        <v>0</v>
      </c>
      <c r="T535" s="6">
        <v>30</v>
      </c>
      <c r="U535" s="6">
        <v>71</v>
      </c>
      <c r="V535" s="6">
        <f>IF(ISERROR(VLOOKUP($S$535,'TAR FIN'!$A$1:$O$103,15,0)),0,VLOOKUP($S$535,'TAR FIN'!$A$1:$O$103,15,0))</f>
        <v>0</v>
      </c>
      <c r="W535" s="6">
        <f>IF(ISERROR(VLOOKUP($T$535,'TAR FIN'!$A$1:$O$103,15,0)),0,VLOOKUP($T$535,'TAR FIN'!$A$1:$O$103,15,0))</f>
        <v>379.62</v>
      </c>
      <c r="X535" s="6">
        <f>IF(ISERROR(VLOOKUP($U$535,'TAR FIN'!$A$1:$O$103,15,0)),0,VLOOKUP($U$535,'TAR FIN'!$A$1:$O$103,15,0))</f>
        <v>255.17</v>
      </c>
      <c r="Y535" s="6"/>
      <c r="Z535" s="6">
        <f ca="1">('TUSD BE'!$AM$32+'TUSD BF_350'!$AM$32+'TUSD CVA'!$AM$32)*1</f>
        <v>384.48</v>
      </c>
      <c r="AA535" s="6">
        <f ca="1">('TE BE'!$AB$13+'TE BF_350'!$AB$13+'TE CVA'!$AB$13)*1</f>
        <v>286.51</v>
      </c>
      <c r="AB535" s="6">
        <f>$K$535*$V$535</f>
        <v>0</v>
      </c>
      <c r="AC535" s="6">
        <f>$M$535*$W$535</f>
        <v>18039.542400000002</v>
      </c>
      <c r="AD535" s="6">
        <f>$O$535*$X$535</f>
        <v>12125.678400000001</v>
      </c>
      <c r="AE535" s="6">
        <f>$K$535*$Y$535</f>
        <v>0</v>
      </c>
      <c r="AF535" s="6">
        <f ca="1">$M$535*$Z$535</f>
        <v>18270.489600000001</v>
      </c>
      <c r="AG535" s="6">
        <f ca="1">$O$535*$AA$535</f>
        <v>13614.9552</v>
      </c>
    </row>
    <row r="536" spans="1:33" ht="11.25" customHeight="1" x14ac:dyDescent="0.3">
      <c r="A536" s="4" t="s">
        <v>21</v>
      </c>
      <c r="B536" s="4" t="s">
        <v>22</v>
      </c>
      <c r="C536" s="4" t="s">
        <v>23</v>
      </c>
      <c r="D536" s="4" t="s">
        <v>24</v>
      </c>
      <c r="E536" s="4" t="s">
        <v>24</v>
      </c>
      <c r="F536" s="4" t="s">
        <v>25</v>
      </c>
      <c r="G536" s="4" t="s">
        <v>25</v>
      </c>
      <c r="H536" s="4" t="s">
        <v>25</v>
      </c>
      <c r="I536" s="5">
        <v>44652</v>
      </c>
      <c r="J536" s="6">
        <v>0</v>
      </c>
      <c r="K536" s="6">
        <v>0</v>
      </c>
      <c r="L536" s="6">
        <v>4193.3450000000003</v>
      </c>
      <c r="M536" s="6">
        <v>4193.3450000000003</v>
      </c>
      <c r="N536" s="6">
        <v>4193.3450000000003</v>
      </c>
      <c r="O536" s="6">
        <v>4193.3450000000003</v>
      </c>
      <c r="P536" s="6">
        <v>26454</v>
      </c>
      <c r="Q536" s="4" t="s">
        <v>26</v>
      </c>
      <c r="R536" s="4">
        <v>0</v>
      </c>
      <c r="S536" s="6">
        <v>0</v>
      </c>
      <c r="T536" s="6">
        <v>30</v>
      </c>
      <c r="U536" s="6">
        <v>71</v>
      </c>
      <c r="V536" s="6">
        <f>IF(ISERROR(VLOOKUP($S$536,'TAR FIN'!$A$1:$O$103,15,0)),0,VLOOKUP($S$536,'TAR FIN'!$A$1:$O$103,15,0))</f>
        <v>0</v>
      </c>
      <c r="W536" s="6">
        <f>IF(ISERROR(VLOOKUP($T$536,'TAR FIN'!$A$1:$O$103,15,0)),0,VLOOKUP($T$536,'TAR FIN'!$A$1:$O$103,15,0))</f>
        <v>379.62</v>
      </c>
      <c r="X536" s="6">
        <f>IF(ISERROR(VLOOKUP($U$536,'TAR FIN'!$A$1:$O$103,15,0)),0,VLOOKUP($U$536,'TAR FIN'!$A$1:$O$103,15,0))</f>
        <v>255.17</v>
      </c>
      <c r="Y536" s="6"/>
      <c r="Z536" s="6">
        <f ca="1">('TUSD BE'!$AM$32+'TUSD BF_350'!$AM$32+'TUSD CVA'!$AM$32)*1</f>
        <v>384.48</v>
      </c>
      <c r="AA536" s="6">
        <f ca="1">('TE BE'!$AB$13+'TE BF_350'!$AB$13+'TE CVA'!$AB$13)*1</f>
        <v>286.51</v>
      </c>
      <c r="AB536" s="6">
        <f>$K$536*$V$536</f>
        <v>0</v>
      </c>
      <c r="AC536" s="6">
        <f>$M$536*$W$536</f>
        <v>1591877.6289000001</v>
      </c>
      <c r="AD536" s="6">
        <f>$O$536*$X$536</f>
        <v>1070015.8436499999</v>
      </c>
      <c r="AE536" s="6">
        <f>$K$536*$Y$536</f>
        <v>0</v>
      </c>
      <c r="AF536" s="6">
        <f ca="1">$M$536*$Z$536</f>
        <v>1612257.2856000001</v>
      </c>
      <c r="AG536" s="6">
        <f ca="1">$O$536*$AA$536</f>
        <v>1201435.2759499999</v>
      </c>
    </row>
    <row r="537" spans="1:33" ht="11.25" customHeight="1" x14ac:dyDescent="0.3">
      <c r="A537" s="4" t="s">
        <v>28</v>
      </c>
      <c r="B537" s="4" t="s">
        <v>22</v>
      </c>
      <c r="C537" s="4" t="s">
        <v>23</v>
      </c>
      <c r="D537" s="4" t="s">
        <v>24</v>
      </c>
      <c r="E537" s="4" t="s">
        <v>24</v>
      </c>
      <c r="F537" s="4" t="s">
        <v>25</v>
      </c>
      <c r="G537" s="4" t="s">
        <v>25</v>
      </c>
      <c r="H537" s="4" t="s">
        <v>25</v>
      </c>
      <c r="I537" s="5">
        <v>44652</v>
      </c>
      <c r="J537" s="6">
        <v>0</v>
      </c>
      <c r="K537" s="6">
        <v>0</v>
      </c>
      <c r="L537" s="6">
        <v>55.765000000000001</v>
      </c>
      <c r="M537" s="6">
        <v>55.765000000000001</v>
      </c>
      <c r="N537" s="6">
        <v>55.765000000000001</v>
      </c>
      <c r="O537" s="6">
        <v>55.765000000000001</v>
      </c>
      <c r="P537" s="6">
        <v>562</v>
      </c>
      <c r="Q537" s="4" t="s">
        <v>26</v>
      </c>
      <c r="R537" s="4">
        <v>0</v>
      </c>
      <c r="S537" s="6">
        <v>0</v>
      </c>
      <c r="T537" s="6">
        <v>30</v>
      </c>
      <c r="U537" s="6">
        <v>71</v>
      </c>
      <c r="V537" s="6">
        <f>IF(ISERROR(VLOOKUP($S$537,'TAR FIN'!$A$1:$O$103,15,0)),0,VLOOKUP($S$537,'TAR FIN'!$A$1:$O$103,15,0))</f>
        <v>0</v>
      </c>
      <c r="W537" s="6">
        <f>IF(ISERROR(VLOOKUP($T$537,'TAR FIN'!$A$1:$O$103,15,0)),0,VLOOKUP($T$537,'TAR FIN'!$A$1:$O$103,15,0))</f>
        <v>379.62</v>
      </c>
      <c r="X537" s="6">
        <f>IF(ISERROR(VLOOKUP($U$537,'TAR FIN'!$A$1:$O$103,15,0)),0,VLOOKUP($U$537,'TAR FIN'!$A$1:$O$103,15,0))</f>
        <v>255.17</v>
      </c>
      <c r="Y537" s="6"/>
      <c r="Z537" s="6">
        <f ca="1">('TUSD BE'!$AM$32+'TUSD BF_350'!$AM$32+'TUSD CVA'!$AM$32)*1</f>
        <v>384.48</v>
      </c>
      <c r="AA537" s="6">
        <f ca="1">('TE BE'!$AB$13+'TE BF_350'!$AB$13+'TE CVA'!$AB$13)*1</f>
        <v>286.51</v>
      </c>
      <c r="AB537" s="6">
        <f>$K$537*$V$537</f>
        <v>0</v>
      </c>
      <c r="AC537" s="6">
        <f>$M$537*$W$537</f>
        <v>21169.509300000002</v>
      </c>
      <c r="AD537" s="6">
        <f>$O$537*$X$537</f>
        <v>14229.555049999999</v>
      </c>
      <c r="AE537" s="6">
        <f>$K$537*$Y$537</f>
        <v>0</v>
      </c>
      <c r="AF537" s="6">
        <f ca="1">$M$537*$Z$537</f>
        <v>21440.5272</v>
      </c>
      <c r="AG537" s="6">
        <f ca="1">$O$537*$AA$537</f>
        <v>15977.230149999999</v>
      </c>
    </row>
    <row r="538" spans="1:33" ht="11.25" customHeight="1" x14ac:dyDescent="0.3">
      <c r="A538" s="4" t="s">
        <v>21</v>
      </c>
      <c r="B538" s="4" t="s">
        <v>22</v>
      </c>
      <c r="C538" s="4" t="s">
        <v>23</v>
      </c>
      <c r="D538" s="4" t="s">
        <v>24</v>
      </c>
      <c r="E538" s="4" t="s">
        <v>24</v>
      </c>
      <c r="F538" s="4" t="s">
        <v>25</v>
      </c>
      <c r="G538" s="4" t="s">
        <v>25</v>
      </c>
      <c r="H538" s="4" t="s">
        <v>25</v>
      </c>
      <c r="I538" s="5">
        <v>44682</v>
      </c>
      <c r="J538" s="6">
        <v>0</v>
      </c>
      <c r="K538" s="6">
        <v>0</v>
      </c>
      <c r="L538" s="6">
        <v>3836.12</v>
      </c>
      <c r="M538" s="6">
        <v>3836.12</v>
      </c>
      <c r="N538" s="6">
        <v>3836.12</v>
      </c>
      <c r="O538" s="6">
        <v>3836.12</v>
      </c>
      <c r="P538" s="6">
        <v>26230</v>
      </c>
      <c r="Q538" s="4" t="s">
        <v>26</v>
      </c>
      <c r="R538" s="4">
        <v>0</v>
      </c>
      <c r="S538" s="6">
        <v>0</v>
      </c>
      <c r="T538" s="6">
        <v>30</v>
      </c>
      <c r="U538" s="6">
        <v>71</v>
      </c>
      <c r="V538" s="6">
        <f>IF(ISERROR(VLOOKUP($S$538,'TAR FIN'!$A$1:$O$103,15,0)),0,VLOOKUP($S$538,'TAR FIN'!$A$1:$O$103,15,0))</f>
        <v>0</v>
      </c>
      <c r="W538" s="6">
        <f>IF(ISERROR(VLOOKUP($T$538,'TAR FIN'!$A$1:$O$103,15,0)),0,VLOOKUP($T$538,'TAR FIN'!$A$1:$O$103,15,0))</f>
        <v>379.62</v>
      </c>
      <c r="X538" s="6">
        <f>IF(ISERROR(VLOOKUP($U$538,'TAR FIN'!$A$1:$O$103,15,0)),0,VLOOKUP($U$538,'TAR FIN'!$A$1:$O$103,15,0))</f>
        <v>255.17</v>
      </c>
      <c r="Y538" s="6"/>
      <c r="Z538" s="6">
        <f ca="1">('TUSD BE'!$AM$32+'TUSD BF_350'!$AM$32+'TUSD CVA'!$AM$32)*1</f>
        <v>384.48</v>
      </c>
      <c r="AA538" s="6">
        <f ca="1">('TE BE'!$AB$13+'TE BF_350'!$AB$13+'TE CVA'!$AB$13)*1</f>
        <v>286.51</v>
      </c>
      <c r="AB538" s="6">
        <f>$K$538*$V$538</f>
        <v>0</v>
      </c>
      <c r="AC538" s="6">
        <f>$M$538*$W$538</f>
        <v>1456267.8744000001</v>
      </c>
      <c r="AD538" s="6">
        <f>$O$538*$X$538</f>
        <v>978862.74039999989</v>
      </c>
      <c r="AE538" s="6">
        <f>$K$538*$Y$538</f>
        <v>0</v>
      </c>
      <c r="AF538" s="6">
        <f ca="1">$M$538*$Z$538</f>
        <v>1474911.4176</v>
      </c>
      <c r="AG538" s="6">
        <f ca="1">$O$538*$AA$538</f>
        <v>1099086.7412</v>
      </c>
    </row>
    <row r="539" spans="1:33" ht="11.25" customHeight="1" x14ac:dyDescent="0.3">
      <c r="A539" s="4" t="s">
        <v>28</v>
      </c>
      <c r="B539" s="4" t="s">
        <v>22</v>
      </c>
      <c r="C539" s="4" t="s">
        <v>23</v>
      </c>
      <c r="D539" s="4" t="s">
        <v>24</v>
      </c>
      <c r="E539" s="4" t="s">
        <v>24</v>
      </c>
      <c r="F539" s="4" t="s">
        <v>25</v>
      </c>
      <c r="G539" s="4" t="s">
        <v>25</v>
      </c>
      <c r="H539" s="4" t="s">
        <v>25</v>
      </c>
      <c r="I539" s="5">
        <v>44682</v>
      </c>
      <c r="J539" s="6">
        <v>0</v>
      </c>
      <c r="K539" s="6">
        <v>0</v>
      </c>
      <c r="L539" s="6">
        <v>61.878999999999998</v>
      </c>
      <c r="M539" s="6">
        <v>61.878999999999998</v>
      </c>
      <c r="N539" s="6">
        <v>61.878999999999998</v>
      </c>
      <c r="O539" s="6">
        <v>61.878999999999998</v>
      </c>
      <c r="P539" s="6">
        <v>585</v>
      </c>
      <c r="Q539" s="4" t="s">
        <v>26</v>
      </c>
      <c r="R539" s="4">
        <v>0</v>
      </c>
      <c r="S539" s="6">
        <v>0</v>
      </c>
      <c r="T539" s="6">
        <v>30</v>
      </c>
      <c r="U539" s="6">
        <v>71</v>
      </c>
      <c r="V539" s="6">
        <f>IF(ISERROR(VLOOKUP($S$539,'TAR FIN'!$A$1:$O$103,15,0)),0,VLOOKUP($S$539,'TAR FIN'!$A$1:$O$103,15,0))</f>
        <v>0</v>
      </c>
      <c r="W539" s="6">
        <f>IF(ISERROR(VLOOKUP($T$539,'TAR FIN'!$A$1:$O$103,15,0)),0,VLOOKUP($T$539,'TAR FIN'!$A$1:$O$103,15,0))</f>
        <v>379.62</v>
      </c>
      <c r="X539" s="6">
        <f>IF(ISERROR(VLOOKUP($U$539,'TAR FIN'!$A$1:$O$103,15,0)),0,VLOOKUP($U$539,'TAR FIN'!$A$1:$O$103,15,0))</f>
        <v>255.17</v>
      </c>
      <c r="Y539" s="6"/>
      <c r="Z539" s="6">
        <f ca="1">('TUSD BE'!$AM$32+'TUSD BF_350'!$AM$32+'TUSD CVA'!$AM$32)*1</f>
        <v>384.48</v>
      </c>
      <c r="AA539" s="6">
        <f ca="1">('TE BE'!$AB$13+'TE BF_350'!$AB$13+'TE CVA'!$AB$13)*1</f>
        <v>286.51</v>
      </c>
      <c r="AB539" s="6">
        <f>$K$539*$V$539</f>
        <v>0</v>
      </c>
      <c r="AC539" s="6">
        <f>$M$539*$W$539</f>
        <v>23490.505979999998</v>
      </c>
      <c r="AD539" s="6">
        <f>$O$539*$X$539</f>
        <v>15789.664429999999</v>
      </c>
      <c r="AE539" s="6">
        <f>$K$539*$Y$539</f>
        <v>0</v>
      </c>
      <c r="AF539" s="6">
        <f ca="1">$M$539*$Z$539</f>
        <v>23791.23792</v>
      </c>
      <c r="AG539" s="6">
        <f ca="1">$O$539*$AA$539</f>
        <v>17728.952289999997</v>
      </c>
    </row>
    <row r="540" spans="1:33" ht="11.25" customHeight="1" x14ac:dyDescent="0.3">
      <c r="A540" s="4" t="s">
        <v>21</v>
      </c>
      <c r="B540" s="4" t="s">
        <v>22</v>
      </c>
      <c r="C540" s="4" t="s">
        <v>23</v>
      </c>
      <c r="D540" s="4" t="s">
        <v>24</v>
      </c>
      <c r="E540" s="4" t="s">
        <v>24</v>
      </c>
      <c r="F540" s="4" t="s">
        <v>25</v>
      </c>
      <c r="G540" s="4" t="s">
        <v>25</v>
      </c>
      <c r="H540" s="4" t="s">
        <v>25</v>
      </c>
      <c r="I540" s="5">
        <v>44713</v>
      </c>
      <c r="J540" s="6">
        <v>0</v>
      </c>
      <c r="K540" s="6">
        <v>0</v>
      </c>
      <c r="L540" s="6">
        <v>3379.7689999999998</v>
      </c>
      <c r="M540" s="6">
        <v>3379.7689999999998</v>
      </c>
      <c r="N540" s="6">
        <v>3379.7689999999998</v>
      </c>
      <c r="O540" s="6">
        <v>3379.7689999999998</v>
      </c>
      <c r="P540" s="6">
        <v>26346</v>
      </c>
      <c r="Q540" s="4" t="s">
        <v>26</v>
      </c>
      <c r="R540" s="4">
        <v>0</v>
      </c>
      <c r="S540" s="6">
        <v>0</v>
      </c>
      <c r="T540" s="6">
        <v>30</v>
      </c>
      <c r="U540" s="6">
        <v>71</v>
      </c>
      <c r="V540" s="6">
        <f>IF(ISERROR(VLOOKUP($S$540,'TAR FIN'!$A$1:$O$103,15,0)),0,VLOOKUP($S$540,'TAR FIN'!$A$1:$O$103,15,0))</f>
        <v>0</v>
      </c>
      <c r="W540" s="6">
        <f>IF(ISERROR(VLOOKUP($T$540,'TAR FIN'!$A$1:$O$103,15,0)),0,VLOOKUP($T$540,'TAR FIN'!$A$1:$O$103,15,0))</f>
        <v>379.62</v>
      </c>
      <c r="X540" s="6">
        <f>IF(ISERROR(VLOOKUP($U$540,'TAR FIN'!$A$1:$O$103,15,0)),0,VLOOKUP($U$540,'TAR FIN'!$A$1:$O$103,15,0))</f>
        <v>255.17</v>
      </c>
      <c r="Y540" s="6"/>
      <c r="Z540" s="6">
        <f ca="1">('TUSD BE'!$AM$32+'TUSD BF_350'!$AM$32+'TUSD CVA'!$AM$32)*1</f>
        <v>384.48</v>
      </c>
      <c r="AA540" s="6">
        <f ca="1">('TE BE'!$AB$13+'TE BF_350'!$AB$13+'TE CVA'!$AB$13)*1</f>
        <v>286.51</v>
      </c>
      <c r="AB540" s="6">
        <f>$K$540*$V$540</f>
        <v>0</v>
      </c>
      <c r="AC540" s="6">
        <f>$M$540*$W$540</f>
        <v>1283027.90778</v>
      </c>
      <c r="AD540" s="6">
        <f>$O$540*$X$540</f>
        <v>862415.65572999988</v>
      </c>
      <c r="AE540" s="6">
        <f>$K$540*$Y$540</f>
        <v>0</v>
      </c>
      <c r="AF540" s="6">
        <f ca="1">$M$540*$Z$540</f>
        <v>1299453.5851199999</v>
      </c>
      <c r="AG540" s="6">
        <f ca="1">$O$540*$AA$540</f>
        <v>968337.61618999986</v>
      </c>
    </row>
    <row r="541" spans="1:33" ht="11.25" customHeight="1" x14ac:dyDescent="0.3">
      <c r="A541" s="4" t="s">
        <v>27</v>
      </c>
      <c r="B541" s="4" t="s">
        <v>22</v>
      </c>
      <c r="C541" s="4" t="s">
        <v>23</v>
      </c>
      <c r="D541" s="4" t="s">
        <v>24</v>
      </c>
      <c r="E541" s="4" t="s">
        <v>24</v>
      </c>
      <c r="F541" s="4" t="s">
        <v>25</v>
      </c>
      <c r="G541" s="4" t="s">
        <v>25</v>
      </c>
      <c r="H541" s="4" t="s">
        <v>25</v>
      </c>
      <c r="I541" s="5">
        <v>44713</v>
      </c>
      <c r="J541" s="6">
        <v>0</v>
      </c>
      <c r="K541" s="6">
        <v>0</v>
      </c>
      <c r="L541" s="6">
        <v>-9.4E-2</v>
      </c>
      <c r="M541" s="6">
        <v>-9.4E-2</v>
      </c>
      <c r="N541" s="6">
        <v>-9.4E-2</v>
      </c>
      <c r="O541" s="6">
        <v>-9.4E-2</v>
      </c>
      <c r="P541" s="6">
        <v>0</v>
      </c>
      <c r="Q541" s="4" t="s">
        <v>26</v>
      </c>
      <c r="R541" s="4">
        <v>0</v>
      </c>
      <c r="S541" s="6">
        <v>0</v>
      </c>
      <c r="T541" s="6">
        <v>30</v>
      </c>
      <c r="U541" s="6">
        <v>71</v>
      </c>
      <c r="V541" s="6">
        <f>IF(ISERROR(VLOOKUP($S$541,'TAR FIN'!$A$1:$O$103,15,0)),0,VLOOKUP($S$541,'TAR FIN'!$A$1:$O$103,15,0))</f>
        <v>0</v>
      </c>
      <c r="W541" s="6">
        <f>IF(ISERROR(VLOOKUP($T$541,'TAR FIN'!$A$1:$O$103,15,0)),0,VLOOKUP($T$541,'TAR FIN'!$A$1:$O$103,15,0))</f>
        <v>379.62</v>
      </c>
      <c r="X541" s="6">
        <f>IF(ISERROR(VLOOKUP($U$541,'TAR FIN'!$A$1:$O$103,15,0)),0,VLOOKUP($U$541,'TAR FIN'!$A$1:$O$103,15,0))</f>
        <v>255.17</v>
      </c>
      <c r="Y541" s="6"/>
      <c r="Z541" s="6">
        <f ca="1">('TUSD BE'!$AM$32+'TUSD BF_350'!$AM$32+'TUSD CVA'!$AM$32)*1</f>
        <v>384.48</v>
      </c>
      <c r="AA541" s="6">
        <f ca="1">('TE BE'!$AB$13+'TE BF_350'!$AB$13+'TE CVA'!$AB$13)*1</f>
        <v>286.51</v>
      </c>
      <c r="AB541" s="6">
        <f>$K$541*$V$541</f>
        <v>0</v>
      </c>
      <c r="AC541" s="6">
        <f>$M$541*$W$541</f>
        <v>-35.684280000000001</v>
      </c>
      <c r="AD541" s="6">
        <f>$O$541*$X$541</f>
        <v>-23.985979999999998</v>
      </c>
      <c r="AE541" s="6">
        <f>$K$541*$Y$541</f>
        <v>0</v>
      </c>
      <c r="AF541" s="6">
        <f ca="1">$M$541*$Z$541</f>
        <v>-36.141120000000001</v>
      </c>
      <c r="AG541" s="6">
        <f ca="1">$O$541*$AA$541</f>
        <v>-26.931940000000001</v>
      </c>
    </row>
    <row r="542" spans="1:33" ht="11.25" customHeight="1" x14ac:dyDescent="0.3">
      <c r="A542" s="4" t="s">
        <v>28</v>
      </c>
      <c r="B542" s="4" t="s">
        <v>22</v>
      </c>
      <c r="C542" s="4" t="s">
        <v>23</v>
      </c>
      <c r="D542" s="4" t="s">
        <v>24</v>
      </c>
      <c r="E542" s="4" t="s">
        <v>24</v>
      </c>
      <c r="F542" s="4" t="s">
        <v>25</v>
      </c>
      <c r="G542" s="4" t="s">
        <v>25</v>
      </c>
      <c r="H542" s="4" t="s">
        <v>25</v>
      </c>
      <c r="I542" s="5">
        <v>44713</v>
      </c>
      <c r="J542" s="6">
        <v>0</v>
      </c>
      <c r="K542" s="6">
        <v>0</v>
      </c>
      <c r="L542" s="6">
        <v>57.09</v>
      </c>
      <c r="M542" s="6">
        <v>57.09</v>
      </c>
      <c r="N542" s="6">
        <v>57.09</v>
      </c>
      <c r="O542" s="6">
        <v>57.09</v>
      </c>
      <c r="P542" s="6">
        <v>639</v>
      </c>
      <c r="Q542" s="4" t="s">
        <v>26</v>
      </c>
      <c r="R542" s="4">
        <v>0</v>
      </c>
      <c r="S542" s="6">
        <v>0</v>
      </c>
      <c r="T542" s="6">
        <v>30</v>
      </c>
      <c r="U542" s="6">
        <v>71</v>
      </c>
      <c r="V542" s="6">
        <f>IF(ISERROR(VLOOKUP($S$542,'TAR FIN'!$A$1:$O$103,15,0)),0,VLOOKUP($S$542,'TAR FIN'!$A$1:$O$103,15,0))</f>
        <v>0</v>
      </c>
      <c r="W542" s="6">
        <f>IF(ISERROR(VLOOKUP($T$542,'TAR FIN'!$A$1:$O$103,15,0)),0,VLOOKUP($T$542,'TAR FIN'!$A$1:$O$103,15,0))</f>
        <v>379.62</v>
      </c>
      <c r="X542" s="6">
        <f>IF(ISERROR(VLOOKUP($U$542,'TAR FIN'!$A$1:$O$103,15,0)),0,VLOOKUP($U$542,'TAR FIN'!$A$1:$O$103,15,0))</f>
        <v>255.17</v>
      </c>
      <c r="Y542" s="6"/>
      <c r="Z542" s="6">
        <f ca="1">('TUSD BE'!$AM$32+'TUSD BF_350'!$AM$32+'TUSD CVA'!$AM$32)*1</f>
        <v>384.48</v>
      </c>
      <c r="AA542" s="6">
        <f ca="1">('TE BE'!$AB$13+'TE BF_350'!$AB$13+'TE CVA'!$AB$13)*1</f>
        <v>286.51</v>
      </c>
      <c r="AB542" s="6">
        <f>$K$542*$V$542</f>
        <v>0</v>
      </c>
      <c r="AC542" s="6">
        <f>$M$542*$W$542</f>
        <v>21672.505800000003</v>
      </c>
      <c r="AD542" s="6">
        <f>$O$542*$X$542</f>
        <v>14567.6553</v>
      </c>
      <c r="AE542" s="6">
        <f>$K$542*$Y$542</f>
        <v>0</v>
      </c>
      <c r="AF542" s="6">
        <f ca="1">$M$542*$Z$542</f>
        <v>21949.963200000002</v>
      </c>
      <c r="AG542" s="6">
        <f ca="1">$O$542*$AA$542</f>
        <v>16356.8559</v>
      </c>
    </row>
    <row r="543" spans="1:33" ht="11.25" customHeight="1" x14ac:dyDescent="0.3">
      <c r="A543" s="4" t="s">
        <v>21</v>
      </c>
      <c r="B543" s="4" t="s">
        <v>22</v>
      </c>
      <c r="C543" s="4" t="s">
        <v>23</v>
      </c>
      <c r="D543" s="4" t="s">
        <v>24</v>
      </c>
      <c r="E543" s="4" t="s">
        <v>24</v>
      </c>
      <c r="F543" s="4" t="s">
        <v>25</v>
      </c>
      <c r="G543" s="4" t="s">
        <v>25</v>
      </c>
      <c r="H543" s="4" t="s">
        <v>25</v>
      </c>
      <c r="I543" s="5">
        <v>44743</v>
      </c>
      <c r="J543" s="6">
        <v>0</v>
      </c>
      <c r="K543" s="6">
        <v>0</v>
      </c>
      <c r="L543" s="6">
        <v>3550.944</v>
      </c>
      <c r="M543" s="6">
        <v>3550.944</v>
      </c>
      <c r="N543" s="6">
        <v>3550.944</v>
      </c>
      <c r="O543" s="6">
        <v>3550.944</v>
      </c>
      <c r="P543" s="6">
        <v>26408</v>
      </c>
      <c r="Q543" s="4" t="s">
        <v>26</v>
      </c>
      <c r="R543" s="4">
        <v>0</v>
      </c>
      <c r="S543" s="6">
        <v>0</v>
      </c>
      <c r="T543" s="6">
        <v>30</v>
      </c>
      <c r="U543" s="6">
        <v>71</v>
      </c>
      <c r="V543" s="6">
        <f>IF(ISERROR(VLOOKUP($S$543,'TAR FIN'!$A$1:$O$103,15,0)),0,VLOOKUP($S$543,'TAR FIN'!$A$1:$O$103,15,0))</f>
        <v>0</v>
      </c>
      <c r="W543" s="6">
        <f>IF(ISERROR(VLOOKUP($T$543,'TAR FIN'!$A$1:$O$103,15,0)),0,VLOOKUP($T$543,'TAR FIN'!$A$1:$O$103,15,0))</f>
        <v>379.62</v>
      </c>
      <c r="X543" s="6">
        <f>IF(ISERROR(VLOOKUP($U$543,'TAR FIN'!$A$1:$O$103,15,0)),0,VLOOKUP($U$543,'TAR FIN'!$A$1:$O$103,15,0))</f>
        <v>255.17</v>
      </c>
      <c r="Y543" s="6"/>
      <c r="Z543" s="6">
        <f ca="1">('TUSD BE'!$AM$32+'TUSD BF_350'!$AM$32+'TUSD CVA'!$AM$32)*1</f>
        <v>384.48</v>
      </c>
      <c r="AA543" s="6">
        <f ca="1">('TE BE'!$AB$13+'TE BF_350'!$AB$13+'TE CVA'!$AB$13)*1</f>
        <v>286.51</v>
      </c>
      <c r="AB543" s="6">
        <f>$K$543*$V$543</f>
        <v>0</v>
      </c>
      <c r="AC543" s="6">
        <f>$M$543*$W$543</f>
        <v>1348009.3612800001</v>
      </c>
      <c r="AD543" s="6">
        <f>$O$543*$X$543</f>
        <v>906094.38047999993</v>
      </c>
      <c r="AE543" s="6">
        <f>$K$543*$Y$543</f>
        <v>0</v>
      </c>
      <c r="AF543" s="6">
        <f ca="1">$M$543*$Z$543</f>
        <v>1365266.94912</v>
      </c>
      <c r="AG543" s="6">
        <f ca="1">$O$543*$AA$543</f>
        <v>1017380.9654399999</v>
      </c>
    </row>
    <row r="544" spans="1:33" ht="11.25" customHeight="1" x14ac:dyDescent="0.3">
      <c r="A544" s="4" t="s">
        <v>28</v>
      </c>
      <c r="B544" s="4" t="s">
        <v>22</v>
      </c>
      <c r="C544" s="4" t="s">
        <v>23</v>
      </c>
      <c r="D544" s="4" t="s">
        <v>24</v>
      </c>
      <c r="E544" s="4" t="s">
        <v>24</v>
      </c>
      <c r="F544" s="4" t="s">
        <v>25</v>
      </c>
      <c r="G544" s="4" t="s">
        <v>25</v>
      </c>
      <c r="H544" s="4" t="s">
        <v>25</v>
      </c>
      <c r="I544" s="5">
        <v>44743</v>
      </c>
      <c r="J544" s="6">
        <v>0</v>
      </c>
      <c r="K544" s="6">
        <v>0</v>
      </c>
      <c r="L544" s="6">
        <v>63.228000000000002</v>
      </c>
      <c r="M544" s="6">
        <v>63.228000000000002</v>
      </c>
      <c r="N544" s="6">
        <v>63.228000000000002</v>
      </c>
      <c r="O544" s="6">
        <v>63.228000000000002</v>
      </c>
      <c r="P544" s="6">
        <v>652</v>
      </c>
      <c r="Q544" s="4" t="s">
        <v>26</v>
      </c>
      <c r="R544" s="4">
        <v>0</v>
      </c>
      <c r="S544" s="6">
        <v>0</v>
      </c>
      <c r="T544" s="6">
        <v>30</v>
      </c>
      <c r="U544" s="6">
        <v>71</v>
      </c>
      <c r="V544" s="6">
        <f>IF(ISERROR(VLOOKUP($S$544,'TAR FIN'!$A$1:$O$103,15,0)),0,VLOOKUP($S$544,'TAR FIN'!$A$1:$O$103,15,0))</f>
        <v>0</v>
      </c>
      <c r="W544" s="6">
        <f>IF(ISERROR(VLOOKUP($T$544,'TAR FIN'!$A$1:$O$103,15,0)),0,VLOOKUP($T$544,'TAR FIN'!$A$1:$O$103,15,0))</f>
        <v>379.62</v>
      </c>
      <c r="X544" s="6">
        <f>IF(ISERROR(VLOOKUP($U$544,'TAR FIN'!$A$1:$O$103,15,0)),0,VLOOKUP($U$544,'TAR FIN'!$A$1:$O$103,15,0))</f>
        <v>255.17</v>
      </c>
      <c r="Y544" s="6"/>
      <c r="Z544" s="6">
        <f ca="1">('TUSD BE'!$AM$32+'TUSD BF_350'!$AM$32+'TUSD CVA'!$AM$32)*1</f>
        <v>384.48</v>
      </c>
      <c r="AA544" s="6">
        <f ca="1">('TE BE'!$AB$13+'TE BF_350'!$AB$13+'TE CVA'!$AB$13)*1</f>
        <v>286.51</v>
      </c>
      <c r="AB544" s="6">
        <f>$K$544*$V$544</f>
        <v>0</v>
      </c>
      <c r="AC544" s="6">
        <f>$M$544*$W$544</f>
        <v>24002.613359999999</v>
      </c>
      <c r="AD544" s="6">
        <f>$O$544*$X$544</f>
        <v>16133.88876</v>
      </c>
      <c r="AE544" s="6">
        <f>$K$544*$Y$544</f>
        <v>0</v>
      </c>
      <c r="AF544" s="6">
        <f ca="1">$M$544*$Z$544</f>
        <v>24309.901440000001</v>
      </c>
      <c r="AG544" s="6">
        <f ca="1">$O$544*$AA$544</f>
        <v>18115.454279999998</v>
      </c>
    </row>
    <row r="545" spans="1:33" ht="11.25" customHeight="1" x14ac:dyDescent="0.3">
      <c r="A545" s="4" t="s">
        <v>21</v>
      </c>
      <c r="B545" s="4" t="s">
        <v>22</v>
      </c>
      <c r="C545" s="4" t="s">
        <v>23</v>
      </c>
      <c r="D545" s="4" t="s">
        <v>24</v>
      </c>
      <c r="E545" s="4" t="s">
        <v>24</v>
      </c>
      <c r="F545" s="4" t="s">
        <v>25</v>
      </c>
      <c r="G545" s="4" t="s">
        <v>25</v>
      </c>
      <c r="H545" s="4" t="s">
        <v>25</v>
      </c>
      <c r="I545" s="5">
        <v>44774</v>
      </c>
      <c r="J545" s="6">
        <v>0</v>
      </c>
      <c r="K545" s="6">
        <v>0</v>
      </c>
      <c r="L545" s="6">
        <v>3414.7530000000002</v>
      </c>
      <c r="M545" s="6">
        <v>3414.7530000000002</v>
      </c>
      <c r="N545" s="6">
        <v>3414.7530000000002</v>
      </c>
      <c r="O545" s="6">
        <v>3414.7530000000002</v>
      </c>
      <c r="P545" s="6">
        <v>26417</v>
      </c>
      <c r="Q545" s="4" t="s">
        <v>26</v>
      </c>
      <c r="R545" s="4">
        <v>0</v>
      </c>
      <c r="S545" s="6">
        <v>0</v>
      </c>
      <c r="T545" s="6">
        <v>30</v>
      </c>
      <c r="U545" s="6">
        <v>71</v>
      </c>
      <c r="V545" s="6">
        <f>IF(ISERROR(VLOOKUP($S$545,'TAR FIN'!$A$1:$O$103,15,0)),0,VLOOKUP($S$545,'TAR FIN'!$A$1:$O$103,15,0))</f>
        <v>0</v>
      </c>
      <c r="W545" s="6">
        <f>IF(ISERROR(VLOOKUP($T$545,'TAR FIN'!$A$1:$O$103,15,0)),0,VLOOKUP($T$545,'TAR FIN'!$A$1:$O$103,15,0))</f>
        <v>379.62</v>
      </c>
      <c r="X545" s="6">
        <f>IF(ISERROR(VLOOKUP($U$545,'TAR FIN'!$A$1:$O$103,15,0)),0,VLOOKUP($U$545,'TAR FIN'!$A$1:$O$103,15,0))</f>
        <v>255.17</v>
      </c>
      <c r="Y545" s="6"/>
      <c r="Z545" s="6">
        <f ca="1">('TUSD BE'!$AM$32+'TUSD BF_350'!$AM$32+'TUSD CVA'!$AM$32)*1</f>
        <v>384.48</v>
      </c>
      <c r="AA545" s="6">
        <f ca="1">('TE BE'!$AB$13+'TE BF_350'!$AB$13+'TE CVA'!$AB$13)*1</f>
        <v>286.51</v>
      </c>
      <c r="AB545" s="6">
        <f>$K$545*$V$545</f>
        <v>0</v>
      </c>
      <c r="AC545" s="6">
        <f>$M$545*$W$545</f>
        <v>1296308.5338600001</v>
      </c>
      <c r="AD545" s="6">
        <f>$O$545*$X$545</f>
        <v>871342.52301</v>
      </c>
      <c r="AE545" s="6">
        <f>$K$545*$Y$545</f>
        <v>0</v>
      </c>
      <c r="AF545" s="6">
        <f ca="1">$M$545*$Z$545</f>
        <v>1312904.2334400001</v>
      </c>
      <c r="AG545" s="6">
        <f ca="1">$O$545*$AA$545</f>
        <v>978360.88202999998</v>
      </c>
    </row>
    <row r="546" spans="1:33" ht="11.25" customHeight="1" x14ac:dyDescent="0.3">
      <c r="A546" s="4" t="s">
        <v>28</v>
      </c>
      <c r="B546" s="4" t="s">
        <v>22</v>
      </c>
      <c r="C546" s="4" t="s">
        <v>23</v>
      </c>
      <c r="D546" s="4" t="s">
        <v>24</v>
      </c>
      <c r="E546" s="4" t="s">
        <v>24</v>
      </c>
      <c r="F546" s="4" t="s">
        <v>25</v>
      </c>
      <c r="G546" s="4" t="s">
        <v>25</v>
      </c>
      <c r="H546" s="4" t="s">
        <v>25</v>
      </c>
      <c r="I546" s="5">
        <v>44774</v>
      </c>
      <c r="J546" s="6">
        <v>0</v>
      </c>
      <c r="K546" s="6">
        <v>0</v>
      </c>
      <c r="L546" s="6">
        <v>63.838999999999999</v>
      </c>
      <c r="M546" s="6">
        <v>63.838999999999999</v>
      </c>
      <c r="N546" s="6">
        <v>63.838999999999999</v>
      </c>
      <c r="O546" s="6">
        <v>63.838999999999999</v>
      </c>
      <c r="P546" s="6">
        <v>697</v>
      </c>
      <c r="Q546" s="4" t="s">
        <v>26</v>
      </c>
      <c r="R546" s="4">
        <v>0</v>
      </c>
      <c r="S546" s="6">
        <v>0</v>
      </c>
      <c r="T546" s="6">
        <v>30</v>
      </c>
      <c r="U546" s="6">
        <v>71</v>
      </c>
      <c r="V546" s="6">
        <f>IF(ISERROR(VLOOKUP($S$546,'TAR FIN'!$A$1:$O$103,15,0)),0,VLOOKUP($S$546,'TAR FIN'!$A$1:$O$103,15,0))</f>
        <v>0</v>
      </c>
      <c r="W546" s="6">
        <f>IF(ISERROR(VLOOKUP($T$546,'TAR FIN'!$A$1:$O$103,15,0)),0,VLOOKUP($T$546,'TAR FIN'!$A$1:$O$103,15,0))</f>
        <v>379.62</v>
      </c>
      <c r="X546" s="6">
        <f>IF(ISERROR(VLOOKUP($U$546,'TAR FIN'!$A$1:$O$103,15,0)),0,VLOOKUP($U$546,'TAR FIN'!$A$1:$O$103,15,0))</f>
        <v>255.17</v>
      </c>
      <c r="Y546" s="6"/>
      <c r="Z546" s="6">
        <f ca="1">('TUSD BE'!$AM$32+'TUSD BF_350'!$AM$32+'TUSD CVA'!$AM$32)*1</f>
        <v>384.48</v>
      </c>
      <c r="AA546" s="6">
        <f ca="1">('TE BE'!$AB$13+'TE BF_350'!$AB$13+'TE CVA'!$AB$13)*1</f>
        <v>286.51</v>
      </c>
      <c r="AB546" s="6">
        <f>$K$546*$V$546</f>
        <v>0</v>
      </c>
      <c r="AC546" s="6">
        <f>$M$546*$W$546</f>
        <v>24234.561180000001</v>
      </c>
      <c r="AD546" s="6">
        <f>$O$546*$X$546</f>
        <v>16289.797629999999</v>
      </c>
      <c r="AE546" s="6">
        <f>$K$546*$Y$546</f>
        <v>0</v>
      </c>
      <c r="AF546" s="6">
        <f ca="1">$M$546*$Z$546</f>
        <v>24544.818719999999</v>
      </c>
      <c r="AG546" s="6">
        <f ca="1">$O$546*$AA$546</f>
        <v>18290.511889999998</v>
      </c>
    </row>
    <row r="547" spans="1:33" ht="11.25" customHeight="1" x14ac:dyDescent="0.3">
      <c r="A547" s="4" t="s">
        <v>21</v>
      </c>
      <c r="B547" s="4" t="s">
        <v>22</v>
      </c>
      <c r="C547" s="4" t="s">
        <v>23</v>
      </c>
      <c r="D547" s="4" t="s">
        <v>24</v>
      </c>
      <c r="E547" s="4" t="s">
        <v>24</v>
      </c>
      <c r="F547" s="4" t="s">
        <v>25</v>
      </c>
      <c r="G547" s="4" t="s">
        <v>25</v>
      </c>
      <c r="H547" s="4" t="s">
        <v>25</v>
      </c>
      <c r="I547" s="5">
        <v>44805</v>
      </c>
      <c r="J547" s="6">
        <v>0</v>
      </c>
      <c r="K547" s="6">
        <v>0</v>
      </c>
      <c r="L547" s="6">
        <v>4069.8310000000001</v>
      </c>
      <c r="M547" s="6">
        <v>4069.8310000000001</v>
      </c>
      <c r="N547" s="6">
        <v>4069.8310000000001</v>
      </c>
      <c r="O547" s="6">
        <v>4069.8310000000001</v>
      </c>
      <c r="P547" s="6">
        <v>26434</v>
      </c>
      <c r="Q547" s="4" t="s">
        <v>26</v>
      </c>
      <c r="R547" s="4">
        <v>0</v>
      </c>
      <c r="S547" s="6">
        <v>0</v>
      </c>
      <c r="T547" s="6">
        <v>30</v>
      </c>
      <c r="U547" s="6">
        <v>71</v>
      </c>
      <c r="V547" s="6">
        <f>IF(ISERROR(VLOOKUP($S$547,'TAR FIN'!$A$1:$O$103,15,0)),0,VLOOKUP($S$547,'TAR FIN'!$A$1:$O$103,15,0))</f>
        <v>0</v>
      </c>
      <c r="W547" s="6">
        <f>IF(ISERROR(VLOOKUP($T$547,'TAR FIN'!$A$1:$O$103,15,0)),0,VLOOKUP($T$547,'TAR FIN'!$A$1:$O$103,15,0))</f>
        <v>379.62</v>
      </c>
      <c r="X547" s="6">
        <f>IF(ISERROR(VLOOKUP($U$547,'TAR FIN'!$A$1:$O$103,15,0)),0,VLOOKUP($U$547,'TAR FIN'!$A$1:$O$103,15,0))</f>
        <v>255.17</v>
      </c>
      <c r="Y547" s="6"/>
      <c r="Z547" s="6">
        <f ca="1">('TUSD BE'!$AM$32+'TUSD BF_350'!$AM$32+'TUSD CVA'!$AM$32)*1</f>
        <v>384.48</v>
      </c>
      <c r="AA547" s="6">
        <f ca="1">('TE BE'!$AB$13+'TE BF_350'!$AB$13+'TE CVA'!$AB$13)*1</f>
        <v>286.51</v>
      </c>
      <c r="AB547" s="6">
        <f>$K$547*$V$547</f>
        <v>0</v>
      </c>
      <c r="AC547" s="6">
        <f>$M$547*$W$547</f>
        <v>1544989.24422</v>
      </c>
      <c r="AD547" s="6">
        <f>$O$547*$X$547</f>
        <v>1038498.77627</v>
      </c>
      <c r="AE547" s="6">
        <f>$K$547*$Y$547</f>
        <v>0</v>
      </c>
      <c r="AF547" s="6">
        <f ca="1">$M$547*$Z$547</f>
        <v>1564768.6228800002</v>
      </c>
      <c r="AG547" s="6">
        <f ca="1">$O$547*$AA$547</f>
        <v>1166047.27981</v>
      </c>
    </row>
    <row r="548" spans="1:33" ht="11.25" customHeight="1" x14ac:dyDescent="0.3">
      <c r="A548" s="4" t="s">
        <v>28</v>
      </c>
      <c r="B548" s="4" t="s">
        <v>22</v>
      </c>
      <c r="C548" s="4" t="s">
        <v>23</v>
      </c>
      <c r="D548" s="4" t="s">
        <v>24</v>
      </c>
      <c r="E548" s="4" t="s">
        <v>24</v>
      </c>
      <c r="F548" s="4" t="s">
        <v>25</v>
      </c>
      <c r="G548" s="4" t="s">
        <v>25</v>
      </c>
      <c r="H548" s="4" t="s">
        <v>25</v>
      </c>
      <c r="I548" s="5">
        <v>44805</v>
      </c>
      <c r="J548" s="6">
        <v>0</v>
      </c>
      <c r="K548" s="6">
        <v>0</v>
      </c>
      <c r="L548" s="6">
        <v>74.814999999999998</v>
      </c>
      <c r="M548" s="6">
        <v>74.814999999999998</v>
      </c>
      <c r="N548" s="6">
        <v>74.814999999999998</v>
      </c>
      <c r="O548" s="6">
        <v>74.814999999999998</v>
      </c>
      <c r="P548" s="6">
        <v>734</v>
      </c>
      <c r="Q548" s="4" t="s">
        <v>26</v>
      </c>
      <c r="R548" s="4">
        <v>0</v>
      </c>
      <c r="S548" s="6">
        <v>0</v>
      </c>
      <c r="T548" s="6">
        <v>30</v>
      </c>
      <c r="U548" s="6">
        <v>71</v>
      </c>
      <c r="V548" s="6">
        <f>IF(ISERROR(VLOOKUP($S$548,'TAR FIN'!$A$1:$O$103,15,0)),0,VLOOKUP($S$548,'TAR FIN'!$A$1:$O$103,15,0))</f>
        <v>0</v>
      </c>
      <c r="W548" s="6">
        <f>IF(ISERROR(VLOOKUP($T$548,'TAR FIN'!$A$1:$O$103,15,0)),0,VLOOKUP($T$548,'TAR FIN'!$A$1:$O$103,15,0))</f>
        <v>379.62</v>
      </c>
      <c r="X548" s="6">
        <f>IF(ISERROR(VLOOKUP($U$548,'TAR FIN'!$A$1:$O$103,15,0)),0,VLOOKUP($U$548,'TAR FIN'!$A$1:$O$103,15,0))</f>
        <v>255.17</v>
      </c>
      <c r="Y548" s="6"/>
      <c r="Z548" s="6">
        <f ca="1">('TUSD BE'!$AM$32+'TUSD BF_350'!$AM$32+'TUSD CVA'!$AM$32)*1</f>
        <v>384.48</v>
      </c>
      <c r="AA548" s="6">
        <f ca="1">('TE BE'!$AB$13+'TE BF_350'!$AB$13+'TE CVA'!$AB$13)*1</f>
        <v>286.51</v>
      </c>
      <c r="AB548" s="6">
        <f>$K$548*$V$548</f>
        <v>0</v>
      </c>
      <c r="AC548" s="6">
        <f>$M$548*$W$548</f>
        <v>28401.2703</v>
      </c>
      <c r="AD548" s="6">
        <f>$O$548*$X$548</f>
        <v>19090.543549999999</v>
      </c>
      <c r="AE548" s="6">
        <f>$K$548*$Y$548</f>
        <v>0</v>
      </c>
      <c r="AF548" s="6">
        <f ca="1">$M$548*$Z$548</f>
        <v>28764.871200000001</v>
      </c>
      <c r="AG548" s="6">
        <f ca="1">$O$548*$AA$548</f>
        <v>21435.245649999997</v>
      </c>
    </row>
    <row r="549" spans="1:33" ht="11.25" customHeight="1" x14ac:dyDescent="0.3">
      <c r="A549" s="4" t="s">
        <v>57</v>
      </c>
      <c r="B549" s="4" t="s">
        <v>22</v>
      </c>
      <c r="C549" s="4" t="s">
        <v>23</v>
      </c>
      <c r="D549" s="4" t="s">
        <v>24</v>
      </c>
      <c r="E549" s="4" t="s">
        <v>24</v>
      </c>
      <c r="F549" s="4" t="s">
        <v>25</v>
      </c>
      <c r="G549" s="4" t="s">
        <v>25</v>
      </c>
      <c r="H549" s="4" t="s">
        <v>25</v>
      </c>
      <c r="I549" s="5">
        <v>44835</v>
      </c>
      <c r="J549" s="6">
        <v>0</v>
      </c>
      <c r="K549" s="6">
        <v>0</v>
      </c>
      <c r="L549" s="6">
        <v>4069.8310000000001</v>
      </c>
      <c r="M549" s="6">
        <v>4069.8310000000001</v>
      </c>
      <c r="N549" s="6">
        <v>4069.8310000000001</v>
      </c>
      <c r="O549" s="6">
        <v>4069.8310000000001</v>
      </c>
      <c r="P549" s="6">
        <v>26434</v>
      </c>
      <c r="Q549" s="4" t="s">
        <v>26</v>
      </c>
      <c r="R549" s="4">
        <v>0</v>
      </c>
      <c r="S549" s="6">
        <v>0</v>
      </c>
      <c r="T549" s="6">
        <v>30</v>
      </c>
      <c r="U549" s="6">
        <v>71</v>
      </c>
      <c r="V549" s="6">
        <f>IF(ISERROR(VLOOKUP($S$549,'TAR FIN'!$A$1:$O$103,15,0)),0,VLOOKUP($S$549,'TAR FIN'!$A$1:$O$103,15,0))</f>
        <v>0</v>
      </c>
      <c r="W549" s="6">
        <f>IF(ISERROR(VLOOKUP($T$549,'TAR FIN'!$A$1:$O$103,15,0)),0,VLOOKUP($T$549,'TAR FIN'!$A$1:$O$103,15,0))</f>
        <v>379.62</v>
      </c>
      <c r="X549" s="6">
        <f>IF(ISERROR(VLOOKUP($U$549,'TAR FIN'!$A$1:$O$103,15,0)),0,VLOOKUP($U$549,'TAR FIN'!$A$1:$O$103,15,0))</f>
        <v>255.17</v>
      </c>
      <c r="Y549" s="6"/>
      <c r="Z549" s="6">
        <f ca="1">('TUSD BE'!$AM$32+'TUSD BF_350'!$AM$32+'TUSD CVA'!$AM$32)*1</f>
        <v>384.48</v>
      </c>
      <c r="AA549" s="6">
        <f ca="1">('TE BE'!$AB$13+'TE BF_350'!$AB$13+'TE CVA'!$AB$13)*1</f>
        <v>286.51</v>
      </c>
      <c r="AB549" s="6">
        <f>$K$549*$V$549</f>
        <v>0</v>
      </c>
      <c r="AC549" s="6">
        <f>$M$549*$W$549</f>
        <v>1544989.24422</v>
      </c>
      <c r="AD549" s="6">
        <f>$O$549*$X$549</f>
        <v>1038498.77627</v>
      </c>
      <c r="AE549" s="6">
        <f>$K$549*$Y$549</f>
        <v>0</v>
      </c>
      <c r="AF549" s="6">
        <f ca="1">$M$549*$Z$549</f>
        <v>1564768.6228800002</v>
      </c>
      <c r="AG549" s="6">
        <f ca="1">$O$549*$AA$549</f>
        <v>1166047.27981</v>
      </c>
    </row>
    <row r="550" spans="1:33" ht="11.25" customHeight="1" x14ac:dyDescent="0.3">
      <c r="A550" s="4" t="s">
        <v>57</v>
      </c>
      <c r="B550" s="4" t="s">
        <v>22</v>
      </c>
      <c r="C550" s="4" t="s">
        <v>23</v>
      </c>
      <c r="D550" s="4" t="s">
        <v>24</v>
      </c>
      <c r="E550" s="4" t="s">
        <v>24</v>
      </c>
      <c r="F550" s="4" t="s">
        <v>25</v>
      </c>
      <c r="G550" s="4" t="s">
        <v>25</v>
      </c>
      <c r="H550" s="4" t="s">
        <v>25</v>
      </c>
      <c r="I550" s="5">
        <v>44835</v>
      </c>
      <c r="J550" s="6">
        <v>0</v>
      </c>
      <c r="K550" s="6">
        <v>0</v>
      </c>
      <c r="L550" s="6">
        <v>74.814999999999998</v>
      </c>
      <c r="M550" s="6">
        <v>74.814999999999998</v>
      </c>
      <c r="N550" s="6">
        <v>74.814999999999998</v>
      </c>
      <c r="O550" s="6">
        <v>74.814999999999998</v>
      </c>
      <c r="P550" s="6">
        <v>734</v>
      </c>
      <c r="Q550" s="4" t="s">
        <v>26</v>
      </c>
      <c r="R550" s="4">
        <v>0</v>
      </c>
      <c r="S550" s="6">
        <v>0</v>
      </c>
      <c r="T550" s="6">
        <v>30</v>
      </c>
      <c r="U550" s="6">
        <v>71</v>
      </c>
      <c r="V550" s="6">
        <f>IF(ISERROR(VLOOKUP($S$550,'TAR FIN'!$A$1:$O$103,15,0)),0,VLOOKUP($S$550,'TAR FIN'!$A$1:$O$103,15,0))</f>
        <v>0</v>
      </c>
      <c r="W550" s="6">
        <f>IF(ISERROR(VLOOKUP($T$550,'TAR FIN'!$A$1:$O$103,15,0)),0,VLOOKUP($T$550,'TAR FIN'!$A$1:$O$103,15,0))</f>
        <v>379.62</v>
      </c>
      <c r="X550" s="6">
        <f>IF(ISERROR(VLOOKUP($U$550,'TAR FIN'!$A$1:$O$103,15,0)),0,VLOOKUP($U$550,'TAR FIN'!$A$1:$O$103,15,0))</f>
        <v>255.17</v>
      </c>
      <c r="Y550" s="6"/>
      <c r="Z550" s="6">
        <f ca="1">('TUSD BE'!$AM$32+'TUSD BF_350'!$AM$32+'TUSD CVA'!$AM$32)*1</f>
        <v>384.48</v>
      </c>
      <c r="AA550" s="6">
        <f ca="1">('TE BE'!$AB$13+'TE BF_350'!$AB$13+'TE CVA'!$AB$13)*1</f>
        <v>286.51</v>
      </c>
      <c r="AB550" s="6">
        <f>$K$550*$V$550</f>
        <v>0</v>
      </c>
      <c r="AC550" s="6">
        <f>$M$550*$W$550</f>
        <v>28401.2703</v>
      </c>
      <c r="AD550" s="6">
        <f>$O$550*$X$550</f>
        <v>19090.543549999999</v>
      </c>
      <c r="AE550" s="6">
        <f>$K$550*$Y$550</f>
        <v>0</v>
      </c>
      <c r="AF550" s="6">
        <f ca="1">$M$550*$Z$550</f>
        <v>28764.871200000001</v>
      </c>
      <c r="AG550" s="6">
        <f ca="1">$O$550*$AA$550</f>
        <v>21435.245649999997</v>
      </c>
    </row>
    <row r="551" spans="1:33" ht="11.25" customHeight="1" x14ac:dyDescent="0.3">
      <c r="A551" s="4" t="s">
        <v>21</v>
      </c>
      <c r="B551" s="4" t="s">
        <v>22</v>
      </c>
      <c r="C551" s="4" t="s">
        <v>23</v>
      </c>
      <c r="D551" s="4" t="s">
        <v>24</v>
      </c>
      <c r="E551" s="4" t="s">
        <v>29</v>
      </c>
      <c r="F551" s="4" t="s">
        <v>25</v>
      </c>
      <c r="G551" s="4" t="s">
        <v>25</v>
      </c>
      <c r="H551" s="4" t="s">
        <v>25</v>
      </c>
      <c r="I551" s="5">
        <v>44501</v>
      </c>
      <c r="J551" s="6">
        <v>0</v>
      </c>
      <c r="K551" s="6">
        <v>0</v>
      </c>
      <c r="L551" s="6">
        <v>74.97</v>
      </c>
      <c r="M551" s="6">
        <v>74.97</v>
      </c>
      <c r="N551" s="6">
        <v>74.97</v>
      </c>
      <c r="O551" s="6">
        <v>74.97</v>
      </c>
      <c r="P551" s="6">
        <v>78</v>
      </c>
      <c r="Q551" s="4" t="s">
        <v>26</v>
      </c>
      <c r="R551" s="4">
        <v>0</v>
      </c>
      <c r="S551" s="6">
        <v>0</v>
      </c>
      <c r="T551" s="6">
        <v>31</v>
      </c>
      <c r="U551" s="6">
        <v>72</v>
      </c>
      <c r="V551" s="6">
        <f>IF(ISERROR(VLOOKUP($S$551,'TAR FIN'!$A$1:$O$103,15,0)),0,VLOOKUP($S$551,'TAR FIN'!$A$1:$O$103,15,0))</f>
        <v>0</v>
      </c>
      <c r="W551" s="6">
        <f>IF(ISERROR(VLOOKUP($T$551,'TAR FIN'!$A$1:$O$103,15,0)),0,VLOOKUP($T$551,'TAR FIN'!$A$1:$O$103,15,0))</f>
        <v>105.1</v>
      </c>
      <c r="X551" s="6">
        <f>IF(ISERROR(VLOOKUP($U$551,'TAR FIN'!$A$1:$O$103,15,0)),0,VLOOKUP($U$551,'TAR FIN'!$A$1:$O$103,15,0))</f>
        <v>89.31</v>
      </c>
      <c r="Y551" s="6"/>
      <c r="Z551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51" s="6">
        <f ca="1">('TE BE'!$AB$14+'TE BF_350'!$AB$14+'TE CVA'!$AB$14)*(1-CUSTOS!$M$34)</f>
        <v>100.27849999999999</v>
      </c>
      <c r="AB551" s="6">
        <f>$K$551*$V$551</f>
        <v>0</v>
      </c>
      <c r="AC551" s="6">
        <f>$M$551*$W$551</f>
        <v>7879.3469999999998</v>
      </c>
      <c r="AD551" s="6">
        <f>$O$551*$X$551</f>
        <v>6695.5707000000002</v>
      </c>
      <c r="AE551" s="6">
        <f>$K$551*$Y$551</f>
        <v>0</v>
      </c>
      <c r="AF551" s="6">
        <f ca="1">$M$551*$Z$551</f>
        <v>6596.6102999999994</v>
      </c>
      <c r="AG551" s="6">
        <f ca="1">$O$551*$AA$551</f>
        <v>7517.8791449999999</v>
      </c>
    </row>
    <row r="552" spans="1:33" ht="11.25" customHeight="1" x14ac:dyDescent="0.3">
      <c r="A552" s="4" t="s">
        <v>21</v>
      </c>
      <c r="B552" s="4" t="s">
        <v>22</v>
      </c>
      <c r="C552" s="4" t="s">
        <v>23</v>
      </c>
      <c r="D552" s="4" t="s">
        <v>24</v>
      </c>
      <c r="E552" s="4" t="s">
        <v>29</v>
      </c>
      <c r="F552" s="4" t="s">
        <v>25</v>
      </c>
      <c r="G552" s="4" t="s">
        <v>25</v>
      </c>
      <c r="H552" s="4" t="s">
        <v>25</v>
      </c>
      <c r="I552" s="5">
        <v>44531</v>
      </c>
      <c r="J552" s="6">
        <v>0</v>
      </c>
      <c r="K552" s="6">
        <v>0</v>
      </c>
      <c r="L552" s="6">
        <v>78.33</v>
      </c>
      <c r="M552" s="6">
        <v>78.33</v>
      </c>
      <c r="N552" s="6">
        <v>78.33</v>
      </c>
      <c r="O552" s="6">
        <v>78.33</v>
      </c>
      <c r="P552" s="6">
        <v>100</v>
      </c>
      <c r="Q552" s="4" t="s">
        <v>26</v>
      </c>
      <c r="R552" s="4">
        <v>0</v>
      </c>
      <c r="S552" s="6">
        <v>0</v>
      </c>
      <c r="T552" s="6">
        <v>31</v>
      </c>
      <c r="U552" s="6">
        <v>72</v>
      </c>
      <c r="V552" s="6">
        <f>IF(ISERROR(VLOOKUP($S$552,'TAR FIN'!$A$1:$O$103,15,0)),0,VLOOKUP($S$552,'TAR FIN'!$A$1:$O$103,15,0))</f>
        <v>0</v>
      </c>
      <c r="W552" s="6">
        <f>IF(ISERROR(VLOOKUP($T$552,'TAR FIN'!$A$1:$O$103,15,0)),0,VLOOKUP($T$552,'TAR FIN'!$A$1:$O$103,15,0))</f>
        <v>105.1</v>
      </c>
      <c r="X552" s="6">
        <f>IF(ISERROR(VLOOKUP($U$552,'TAR FIN'!$A$1:$O$103,15,0)),0,VLOOKUP($U$552,'TAR FIN'!$A$1:$O$103,15,0))</f>
        <v>89.31</v>
      </c>
      <c r="Y552" s="6"/>
      <c r="Z552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52" s="6">
        <f ca="1">('TE BE'!$AB$14+'TE BF_350'!$AB$14+'TE CVA'!$AB$14)*(1-CUSTOS!$M$34)</f>
        <v>100.27849999999999</v>
      </c>
      <c r="AB552" s="6">
        <f>$K$552*$V$552</f>
        <v>0</v>
      </c>
      <c r="AC552" s="6">
        <f>$M$552*$W$552</f>
        <v>8232.4830000000002</v>
      </c>
      <c r="AD552" s="6">
        <f>$O$552*$X$552</f>
        <v>6995.6522999999997</v>
      </c>
      <c r="AE552" s="6">
        <f>$K$552*$Y$552</f>
        <v>0</v>
      </c>
      <c r="AF552" s="6">
        <f ca="1">$M$552*$Z$552</f>
        <v>6892.256699999999</v>
      </c>
      <c r="AG552" s="6">
        <f ca="1">$O$552*$AA$552</f>
        <v>7854.8149049999993</v>
      </c>
    </row>
    <row r="553" spans="1:33" ht="11.25" customHeight="1" x14ac:dyDescent="0.3">
      <c r="A553" s="4" t="s">
        <v>21</v>
      </c>
      <c r="B553" s="4" t="s">
        <v>22</v>
      </c>
      <c r="C553" s="4" t="s">
        <v>23</v>
      </c>
      <c r="D553" s="4" t="s">
        <v>24</v>
      </c>
      <c r="E553" s="4" t="s">
        <v>29</v>
      </c>
      <c r="F553" s="4" t="s">
        <v>25</v>
      </c>
      <c r="G553" s="4" t="s">
        <v>25</v>
      </c>
      <c r="H553" s="4" t="s">
        <v>25</v>
      </c>
      <c r="I553" s="5">
        <v>44562</v>
      </c>
      <c r="J553" s="6">
        <v>0</v>
      </c>
      <c r="K553" s="6">
        <v>0</v>
      </c>
      <c r="L553" s="6">
        <v>80.010000000000005</v>
      </c>
      <c r="M553" s="6">
        <v>80.010000000000005</v>
      </c>
      <c r="N553" s="6">
        <v>80.010000000000005</v>
      </c>
      <c r="O553" s="6">
        <v>80.010000000000005</v>
      </c>
      <c r="P553" s="6">
        <v>88</v>
      </c>
      <c r="Q553" s="4" t="s">
        <v>26</v>
      </c>
      <c r="R553" s="4">
        <v>0</v>
      </c>
      <c r="S553" s="6">
        <v>0</v>
      </c>
      <c r="T553" s="6">
        <v>31</v>
      </c>
      <c r="U553" s="6">
        <v>72</v>
      </c>
      <c r="V553" s="6">
        <f>IF(ISERROR(VLOOKUP($S$553,'TAR FIN'!$A$1:$O$103,15,0)),0,VLOOKUP($S$553,'TAR FIN'!$A$1:$O$103,15,0))</f>
        <v>0</v>
      </c>
      <c r="W553" s="6">
        <f>IF(ISERROR(VLOOKUP($T$553,'TAR FIN'!$A$1:$O$103,15,0)),0,VLOOKUP($T$553,'TAR FIN'!$A$1:$O$103,15,0))</f>
        <v>105.1</v>
      </c>
      <c r="X553" s="6">
        <f>IF(ISERROR(VLOOKUP($U$553,'TAR FIN'!$A$1:$O$103,15,0)),0,VLOOKUP($U$553,'TAR FIN'!$A$1:$O$103,15,0))</f>
        <v>89.31</v>
      </c>
      <c r="Y553" s="6"/>
      <c r="Z553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53" s="6">
        <f ca="1">('TE BE'!$AB$14+'TE BF_350'!$AB$14+'TE CVA'!$AB$14)*(1-CUSTOS!$M$34)</f>
        <v>100.27849999999999</v>
      </c>
      <c r="AB553" s="6">
        <f>$K$553*$V$553</f>
        <v>0</v>
      </c>
      <c r="AC553" s="6">
        <f>$M$553*$W$553</f>
        <v>8409.0509999999995</v>
      </c>
      <c r="AD553" s="6">
        <f>$O$553*$X$553</f>
        <v>7145.6931000000004</v>
      </c>
      <c r="AE553" s="6">
        <f>$K$553*$Y$553</f>
        <v>0</v>
      </c>
      <c r="AF553" s="6">
        <f ca="1">$M$553*$Z$553</f>
        <v>7040.0798999999997</v>
      </c>
      <c r="AG553" s="6">
        <f ca="1">$O$553*$AA$553</f>
        <v>8023.2827850000003</v>
      </c>
    </row>
    <row r="554" spans="1:33" ht="11.25" customHeight="1" x14ac:dyDescent="0.3">
      <c r="A554" s="4" t="s">
        <v>21</v>
      </c>
      <c r="B554" s="4" t="s">
        <v>22</v>
      </c>
      <c r="C554" s="4" t="s">
        <v>23</v>
      </c>
      <c r="D554" s="4" t="s">
        <v>24</v>
      </c>
      <c r="E554" s="4" t="s">
        <v>29</v>
      </c>
      <c r="F554" s="4" t="s">
        <v>25</v>
      </c>
      <c r="G554" s="4" t="s">
        <v>25</v>
      </c>
      <c r="H554" s="4" t="s">
        <v>25</v>
      </c>
      <c r="I554" s="5">
        <v>44593</v>
      </c>
      <c r="J554" s="6">
        <v>0</v>
      </c>
      <c r="K554" s="6">
        <v>0</v>
      </c>
      <c r="L554" s="6">
        <v>82.56</v>
      </c>
      <c r="M554" s="6">
        <v>82.56</v>
      </c>
      <c r="N554" s="6">
        <v>82.56</v>
      </c>
      <c r="O554" s="6">
        <v>82.56</v>
      </c>
      <c r="P554" s="6">
        <v>88</v>
      </c>
      <c r="Q554" s="4" t="s">
        <v>26</v>
      </c>
      <c r="R554" s="4">
        <v>0</v>
      </c>
      <c r="S554" s="6">
        <v>0</v>
      </c>
      <c r="T554" s="6">
        <v>31</v>
      </c>
      <c r="U554" s="6">
        <v>72</v>
      </c>
      <c r="V554" s="6">
        <f>IF(ISERROR(VLOOKUP($S$554,'TAR FIN'!$A$1:$O$103,15,0)),0,VLOOKUP($S$554,'TAR FIN'!$A$1:$O$103,15,0))</f>
        <v>0</v>
      </c>
      <c r="W554" s="6">
        <f>IF(ISERROR(VLOOKUP($T$554,'TAR FIN'!$A$1:$O$103,15,0)),0,VLOOKUP($T$554,'TAR FIN'!$A$1:$O$103,15,0))</f>
        <v>105.1</v>
      </c>
      <c r="X554" s="6">
        <f>IF(ISERROR(VLOOKUP($U$554,'TAR FIN'!$A$1:$O$103,15,0)),0,VLOOKUP($U$554,'TAR FIN'!$A$1:$O$103,15,0))</f>
        <v>89.31</v>
      </c>
      <c r="Y554" s="6"/>
      <c r="Z554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54" s="6">
        <f ca="1">('TE BE'!$AB$14+'TE BF_350'!$AB$14+'TE CVA'!$AB$14)*(1-CUSTOS!$M$34)</f>
        <v>100.27849999999999</v>
      </c>
      <c r="AB554" s="6">
        <f>$K$554*$V$554</f>
        <v>0</v>
      </c>
      <c r="AC554" s="6">
        <f>$M$554*$W$554</f>
        <v>8677.0560000000005</v>
      </c>
      <c r="AD554" s="6">
        <f>$O$554*$X$554</f>
        <v>7373.4336000000003</v>
      </c>
      <c r="AE554" s="6">
        <f>$K$554*$Y$554</f>
        <v>0</v>
      </c>
      <c r="AF554" s="6">
        <f ca="1">$M$554*$Z$554</f>
        <v>7264.4543999999996</v>
      </c>
      <c r="AG554" s="6">
        <f ca="1">$O$554*$AA$554</f>
        <v>8278.9929599999996</v>
      </c>
    </row>
    <row r="555" spans="1:33" ht="11.25" customHeight="1" x14ac:dyDescent="0.3">
      <c r="A555" s="4" t="s">
        <v>21</v>
      </c>
      <c r="B555" s="4" t="s">
        <v>22</v>
      </c>
      <c r="C555" s="4" t="s">
        <v>23</v>
      </c>
      <c r="D555" s="4" t="s">
        <v>24</v>
      </c>
      <c r="E555" s="4" t="s">
        <v>29</v>
      </c>
      <c r="F555" s="4" t="s">
        <v>25</v>
      </c>
      <c r="G555" s="4" t="s">
        <v>25</v>
      </c>
      <c r="H555" s="4" t="s">
        <v>25</v>
      </c>
      <c r="I555" s="5">
        <v>44621</v>
      </c>
      <c r="J555" s="6">
        <v>0</v>
      </c>
      <c r="K555" s="6">
        <v>0</v>
      </c>
      <c r="L555" s="6">
        <v>86.88</v>
      </c>
      <c r="M555" s="6">
        <v>86.88</v>
      </c>
      <c r="N555" s="6">
        <v>86.88</v>
      </c>
      <c r="O555" s="6">
        <v>86.88</v>
      </c>
      <c r="P555" s="6">
        <v>95</v>
      </c>
      <c r="Q555" s="4" t="s">
        <v>26</v>
      </c>
      <c r="R555" s="4">
        <v>0</v>
      </c>
      <c r="S555" s="6">
        <v>0</v>
      </c>
      <c r="T555" s="6">
        <v>31</v>
      </c>
      <c r="U555" s="6">
        <v>72</v>
      </c>
      <c r="V555" s="6">
        <f>IF(ISERROR(VLOOKUP($S$555,'TAR FIN'!$A$1:$O$103,15,0)),0,VLOOKUP($S$555,'TAR FIN'!$A$1:$O$103,15,0))</f>
        <v>0</v>
      </c>
      <c r="W555" s="6">
        <f>IF(ISERROR(VLOOKUP($T$555,'TAR FIN'!$A$1:$O$103,15,0)),0,VLOOKUP($T$555,'TAR FIN'!$A$1:$O$103,15,0))</f>
        <v>105.1</v>
      </c>
      <c r="X555" s="6">
        <f>IF(ISERROR(VLOOKUP($U$555,'TAR FIN'!$A$1:$O$103,15,0)),0,VLOOKUP($U$555,'TAR FIN'!$A$1:$O$103,15,0))</f>
        <v>89.31</v>
      </c>
      <c r="Y555" s="6"/>
      <c r="Z555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55" s="6">
        <f ca="1">('TE BE'!$AB$14+'TE BF_350'!$AB$14+'TE CVA'!$AB$14)*(1-CUSTOS!$M$34)</f>
        <v>100.27849999999999</v>
      </c>
      <c r="AB555" s="6">
        <f>$K$555*$V$555</f>
        <v>0</v>
      </c>
      <c r="AC555" s="6">
        <f>$M$555*$W$555</f>
        <v>9131.0879999999997</v>
      </c>
      <c r="AD555" s="6">
        <f>$O$555*$X$555</f>
        <v>7759.2528000000002</v>
      </c>
      <c r="AE555" s="6">
        <f>$K$555*$Y$555</f>
        <v>0</v>
      </c>
      <c r="AF555" s="6">
        <f ca="1">$M$555*$Z$555</f>
        <v>7644.5711999999994</v>
      </c>
      <c r="AG555" s="6">
        <f ca="1">$O$555*$AA$555</f>
        <v>8712.1960799999997</v>
      </c>
    </row>
    <row r="556" spans="1:33" ht="11.25" customHeight="1" x14ac:dyDescent="0.3">
      <c r="A556" s="4" t="s">
        <v>21</v>
      </c>
      <c r="B556" s="4" t="s">
        <v>22</v>
      </c>
      <c r="C556" s="4" t="s">
        <v>23</v>
      </c>
      <c r="D556" s="4" t="s">
        <v>24</v>
      </c>
      <c r="E556" s="4" t="s">
        <v>29</v>
      </c>
      <c r="F556" s="4" t="s">
        <v>25</v>
      </c>
      <c r="G556" s="4" t="s">
        <v>25</v>
      </c>
      <c r="H556" s="4" t="s">
        <v>25</v>
      </c>
      <c r="I556" s="5">
        <v>44652</v>
      </c>
      <c r="J556" s="6">
        <v>0</v>
      </c>
      <c r="K556" s="6">
        <v>0</v>
      </c>
      <c r="L556" s="6">
        <v>97.29</v>
      </c>
      <c r="M556" s="6">
        <v>97.29</v>
      </c>
      <c r="N556" s="6">
        <v>97.29</v>
      </c>
      <c r="O556" s="6">
        <v>97.29</v>
      </c>
      <c r="P556" s="6">
        <v>89</v>
      </c>
      <c r="Q556" s="4" t="s">
        <v>26</v>
      </c>
      <c r="R556" s="4">
        <v>0</v>
      </c>
      <c r="S556" s="6">
        <v>0</v>
      </c>
      <c r="T556" s="6">
        <v>31</v>
      </c>
      <c r="U556" s="6">
        <v>72</v>
      </c>
      <c r="V556" s="6">
        <f>IF(ISERROR(VLOOKUP($S$556,'TAR FIN'!$A$1:$O$103,15,0)),0,VLOOKUP($S$556,'TAR FIN'!$A$1:$O$103,15,0))</f>
        <v>0</v>
      </c>
      <c r="W556" s="6">
        <f>IF(ISERROR(VLOOKUP($T$556,'TAR FIN'!$A$1:$O$103,15,0)),0,VLOOKUP($T$556,'TAR FIN'!$A$1:$O$103,15,0))</f>
        <v>105.1</v>
      </c>
      <c r="X556" s="6">
        <f>IF(ISERROR(VLOOKUP($U$556,'TAR FIN'!$A$1:$O$103,15,0)),0,VLOOKUP($U$556,'TAR FIN'!$A$1:$O$103,15,0))</f>
        <v>89.31</v>
      </c>
      <c r="Y556" s="6"/>
      <c r="Z556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56" s="6">
        <f ca="1">('TE BE'!$AB$14+'TE BF_350'!$AB$14+'TE CVA'!$AB$14)*(1-CUSTOS!$M$34)</f>
        <v>100.27849999999999</v>
      </c>
      <c r="AB556" s="6">
        <f>$K$556*$V$556</f>
        <v>0</v>
      </c>
      <c r="AC556" s="6">
        <f>$M$556*$W$556</f>
        <v>10225.179</v>
      </c>
      <c r="AD556" s="6">
        <f>$O$556*$X$556</f>
        <v>8688.9699000000001</v>
      </c>
      <c r="AE556" s="6">
        <f>$K$556*$Y$556</f>
        <v>0</v>
      </c>
      <c r="AF556" s="6">
        <f ca="1">$M$556*$Z$556</f>
        <v>8560.5470999999998</v>
      </c>
      <c r="AG556" s="6">
        <f ca="1">$O$556*$AA$556</f>
        <v>9756.0952649999999</v>
      </c>
    </row>
    <row r="557" spans="1:33" ht="11.25" customHeight="1" x14ac:dyDescent="0.3">
      <c r="A557" s="4" t="s">
        <v>21</v>
      </c>
      <c r="B557" s="4" t="s">
        <v>22</v>
      </c>
      <c r="C557" s="4" t="s">
        <v>23</v>
      </c>
      <c r="D557" s="4" t="s">
        <v>24</v>
      </c>
      <c r="E557" s="4" t="s">
        <v>29</v>
      </c>
      <c r="F557" s="4" t="s">
        <v>25</v>
      </c>
      <c r="G557" s="4" t="s">
        <v>25</v>
      </c>
      <c r="H557" s="4" t="s">
        <v>25</v>
      </c>
      <c r="I557" s="5">
        <v>44682</v>
      </c>
      <c r="J557" s="6">
        <v>0</v>
      </c>
      <c r="K557" s="6">
        <v>0</v>
      </c>
      <c r="L557" s="6">
        <v>105.64</v>
      </c>
      <c r="M557" s="6">
        <v>105.64</v>
      </c>
      <c r="N557" s="6">
        <v>105.64</v>
      </c>
      <c r="O557" s="6">
        <v>105.64</v>
      </c>
      <c r="P557" s="6">
        <v>104</v>
      </c>
      <c r="Q557" s="4" t="s">
        <v>26</v>
      </c>
      <c r="R557" s="4">
        <v>0</v>
      </c>
      <c r="S557" s="6">
        <v>0</v>
      </c>
      <c r="T557" s="6">
        <v>31</v>
      </c>
      <c r="U557" s="6">
        <v>72</v>
      </c>
      <c r="V557" s="6">
        <f>IF(ISERROR(VLOOKUP($S$557,'TAR FIN'!$A$1:$O$103,15,0)),0,VLOOKUP($S$557,'TAR FIN'!$A$1:$O$103,15,0))</f>
        <v>0</v>
      </c>
      <c r="W557" s="6">
        <f>IF(ISERROR(VLOOKUP($T$557,'TAR FIN'!$A$1:$O$103,15,0)),0,VLOOKUP($T$557,'TAR FIN'!$A$1:$O$103,15,0))</f>
        <v>105.1</v>
      </c>
      <c r="X557" s="6">
        <f>IF(ISERROR(VLOOKUP($U$557,'TAR FIN'!$A$1:$O$103,15,0)),0,VLOOKUP($U$557,'TAR FIN'!$A$1:$O$103,15,0))</f>
        <v>89.31</v>
      </c>
      <c r="Y557" s="6"/>
      <c r="Z557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57" s="6">
        <f ca="1">('TE BE'!$AB$14+'TE BF_350'!$AB$14+'TE CVA'!$AB$14)*(1-CUSTOS!$M$34)</f>
        <v>100.27849999999999</v>
      </c>
      <c r="AB557" s="6">
        <f>$K$557*$V$557</f>
        <v>0</v>
      </c>
      <c r="AC557" s="6">
        <f>$M$557*$W$557</f>
        <v>11102.763999999999</v>
      </c>
      <c r="AD557" s="6">
        <f>$O$557*$X$557</f>
        <v>9434.7083999999995</v>
      </c>
      <c r="AE557" s="6">
        <f>$K$557*$Y$557</f>
        <v>0</v>
      </c>
      <c r="AF557" s="6">
        <f ca="1">$M$557*$Z$557</f>
        <v>9295.2636000000002</v>
      </c>
      <c r="AG557" s="6">
        <f ca="1">$O$557*$AA$557</f>
        <v>10593.42074</v>
      </c>
    </row>
    <row r="558" spans="1:33" ht="11.25" customHeight="1" x14ac:dyDescent="0.3">
      <c r="A558" s="4" t="s">
        <v>21</v>
      </c>
      <c r="B558" s="4" t="s">
        <v>22</v>
      </c>
      <c r="C558" s="4" t="s">
        <v>23</v>
      </c>
      <c r="D558" s="4" t="s">
        <v>24</v>
      </c>
      <c r="E558" s="4" t="s">
        <v>29</v>
      </c>
      <c r="F558" s="4" t="s">
        <v>25</v>
      </c>
      <c r="G558" s="4" t="s">
        <v>25</v>
      </c>
      <c r="H558" s="4" t="s">
        <v>25</v>
      </c>
      <c r="I558" s="5">
        <v>44713</v>
      </c>
      <c r="J558" s="6">
        <v>0</v>
      </c>
      <c r="K558" s="6">
        <v>0</v>
      </c>
      <c r="L558" s="6">
        <v>101.1</v>
      </c>
      <c r="M558" s="6">
        <v>101.1</v>
      </c>
      <c r="N558" s="6">
        <v>101.1</v>
      </c>
      <c r="O558" s="6">
        <v>101.1</v>
      </c>
      <c r="P558" s="6">
        <v>100</v>
      </c>
      <c r="Q558" s="4" t="s">
        <v>26</v>
      </c>
      <c r="R558" s="4">
        <v>0</v>
      </c>
      <c r="S558" s="6">
        <v>0</v>
      </c>
      <c r="T558" s="6">
        <v>31</v>
      </c>
      <c r="U558" s="6">
        <v>72</v>
      </c>
      <c r="V558" s="6">
        <f>IF(ISERROR(VLOOKUP($S$558,'TAR FIN'!$A$1:$O$103,15,0)),0,VLOOKUP($S$558,'TAR FIN'!$A$1:$O$103,15,0))</f>
        <v>0</v>
      </c>
      <c r="W558" s="6">
        <f>IF(ISERROR(VLOOKUP($T$558,'TAR FIN'!$A$1:$O$103,15,0)),0,VLOOKUP($T$558,'TAR FIN'!$A$1:$O$103,15,0))</f>
        <v>105.1</v>
      </c>
      <c r="X558" s="6">
        <f>IF(ISERROR(VLOOKUP($U$558,'TAR FIN'!$A$1:$O$103,15,0)),0,VLOOKUP($U$558,'TAR FIN'!$A$1:$O$103,15,0))</f>
        <v>89.31</v>
      </c>
      <c r="Y558" s="6"/>
      <c r="Z558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58" s="6">
        <f ca="1">('TE BE'!$AB$14+'TE BF_350'!$AB$14+'TE CVA'!$AB$14)*(1-CUSTOS!$M$34)</f>
        <v>100.27849999999999</v>
      </c>
      <c r="AB558" s="6">
        <f>$K$558*$V$558</f>
        <v>0</v>
      </c>
      <c r="AC558" s="6">
        <f>$M$558*$W$558</f>
        <v>10625.609999999999</v>
      </c>
      <c r="AD558" s="6">
        <f>$O$558*$X$558</f>
        <v>9029.241</v>
      </c>
      <c r="AE558" s="6">
        <f>$K$558*$Y$558</f>
        <v>0</v>
      </c>
      <c r="AF558" s="6">
        <f ca="1">$M$558*$Z$558</f>
        <v>8895.7889999999989</v>
      </c>
      <c r="AG558" s="6">
        <f ca="1">$O$558*$AA$558</f>
        <v>10138.156349999999</v>
      </c>
    </row>
    <row r="559" spans="1:33" ht="11.25" customHeight="1" x14ac:dyDescent="0.3">
      <c r="A559" s="4" t="s">
        <v>21</v>
      </c>
      <c r="B559" s="4" t="s">
        <v>22</v>
      </c>
      <c r="C559" s="4" t="s">
        <v>23</v>
      </c>
      <c r="D559" s="4" t="s">
        <v>24</v>
      </c>
      <c r="E559" s="4" t="s">
        <v>29</v>
      </c>
      <c r="F559" s="4" t="s">
        <v>25</v>
      </c>
      <c r="G559" s="4" t="s">
        <v>25</v>
      </c>
      <c r="H559" s="4" t="s">
        <v>25</v>
      </c>
      <c r="I559" s="5">
        <v>44743</v>
      </c>
      <c r="J559" s="6">
        <v>0</v>
      </c>
      <c r="K559" s="6">
        <v>0</v>
      </c>
      <c r="L559" s="6">
        <v>101.28</v>
      </c>
      <c r="M559" s="6">
        <v>101.28</v>
      </c>
      <c r="N559" s="6">
        <v>101.28</v>
      </c>
      <c r="O559" s="6">
        <v>101.28</v>
      </c>
      <c r="P559" s="6">
        <v>97</v>
      </c>
      <c r="Q559" s="4" t="s">
        <v>26</v>
      </c>
      <c r="R559" s="4">
        <v>0</v>
      </c>
      <c r="S559" s="6">
        <v>0</v>
      </c>
      <c r="T559" s="6">
        <v>31</v>
      </c>
      <c r="U559" s="6">
        <v>72</v>
      </c>
      <c r="V559" s="6">
        <f>IF(ISERROR(VLOOKUP($S$559,'TAR FIN'!$A$1:$O$103,15,0)),0,VLOOKUP($S$559,'TAR FIN'!$A$1:$O$103,15,0))</f>
        <v>0</v>
      </c>
      <c r="W559" s="6">
        <f>IF(ISERROR(VLOOKUP($T$559,'TAR FIN'!$A$1:$O$103,15,0)),0,VLOOKUP($T$559,'TAR FIN'!$A$1:$O$103,15,0))</f>
        <v>105.1</v>
      </c>
      <c r="X559" s="6">
        <f>IF(ISERROR(VLOOKUP($U$559,'TAR FIN'!$A$1:$O$103,15,0)),0,VLOOKUP($U$559,'TAR FIN'!$A$1:$O$103,15,0))</f>
        <v>89.31</v>
      </c>
      <c r="Y559" s="6"/>
      <c r="Z559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59" s="6">
        <f ca="1">('TE BE'!$AB$14+'TE BF_350'!$AB$14+'TE CVA'!$AB$14)*(1-CUSTOS!$M$34)</f>
        <v>100.27849999999999</v>
      </c>
      <c r="AB559" s="6">
        <f>$K$559*$V$559</f>
        <v>0</v>
      </c>
      <c r="AC559" s="6">
        <f>$M$559*$W$559</f>
        <v>10644.528</v>
      </c>
      <c r="AD559" s="6">
        <f>$O$559*$X$559</f>
        <v>9045.3168000000005</v>
      </c>
      <c r="AE559" s="6">
        <f>$K$559*$Y$559</f>
        <v>0</v>
      </c>
      <c r="AF559" s="6">
        <f ca="1">$M$559*$Z$559</f>
        <v>8911.627199999999</v>
      </c>
      <c r="AG559" s="6">
        <f ca="1">$O$559*$AA$559</f>
        <v>10156.206479999999</v>
      </c>
    </row>
    <row r="560" spans="1:33" ht="11.25" customHeight="1" x14ac:dyDescent="0.3">
      <c r="A560" s="4" t="s">
        <v>28</v>
      </c>
      <c r="B560" s="4" t="s">
        <v>22</v>
      </c>
      <c r="C560" s="4" t="s">
        <v>23</v>
      </c>
      <c r="D560" s="4" t="s">
        <v>24</v>
      </c>
      <c r="E560" s="4" t="s">
        <v>29</v>
      </c>
      <c r="F560" s="4" t="s">
        <v>25</v>
      </c>
      <c r="G560" s="4" t="s">
        <v>25</v>
      </c>
      <c r="H560" s="4" t="s">
        <v>25</v>
      </c>
      <c r="I560" s="5">
        <v>44743</v>
      </c>
      <c r="J560" s="6">
        <v>0</v>
      </c>
      <c r="K560" s="6">
        <v>0</v>
      </c>
      <c r="L560" s="6">
        <v>0.03</v>
      </c>
      <c r="M560" s="6">
        <v>-6.7500000000000004E-2</v>
      </c>
      <c r="N560" s="6">
        <v>0.03</v>
      </c>
      <c r="O560" s="6">
        <v>-6.7500000000000004E-2</v>
      </c>
      <c r="P560" s="6">
        <v>0</v>
      </c>
      <c r="Q560" s="4" t="s">
        <v>26</v>
      </c>
      <c r="R560" s="4">
        <v>0</v>
      </c>
      <c r="S560" s="6">
        <v>0</v>
      </c>
      <c r="T560" s="6">
        <v>31</v>
      </c>
      <c r="U560" s="6">
        <v>72</v>
      </c>
      <c r="V560" s="6">
        <f>IF(ISERROR(VLOOKUP($S$560,'TAR FIN'!$A$1:$O$103,15,0)),0,VLOOKUP($S$560,'TAR FIN'!$A$1:$O$103,15,0))</f>
        <v>0</v>
      </c>
      <c r="W560" s="6">
        <f>IF(ISERROR(VLOOKUP($T$560,'TAR FIN'!$A$1:$O$103,15,0)),0,VLOOKUP($T$560,'TAR FIN'!$A$1:$O$103,15,0))</f>
        <v>105.1</v>
      </c>
      <c r="X560" s="6">
        <f>IF(ISERROR(VLOOKUP($U$560,'TAR FIN'!$A$1:$O$103,15,0)),0,VLOOKUP($U$560,'TAR FIN'!$A$1:$O$103,15,0))</f>
        <v>89.31</v>
      </c>
      <c r="Y560" s="6"/>
      <c r="Z560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60" s="6">
        <f ca="1">('TE BE'!$AB$14+'TE BF_350'!$AB$14+'TE CVA'!$AB$14)*(1-CUSTOS!$M$34)</f>
        <v>100.27849999999999</v>
      </c>
      <c r="AB560" s="6">
        <f>$K$560*$V$560</f>
        <v>0</v>
      </c>
      <c r="AC560" s="6">
        <f>$M$560*$W$560</f>
        <v>-7.0942499999999997</v>
      </c>
      <c r="AD560" s="6">
        <f>$O$560*$X$560</f>
        <v>-6.0284250000000004</v>
      </c>
      <c r="AE560" s="6">
        <f>$K$560*$Y$560</f>
        <v>0</v>
      </c>
      <c r="AF560" s="6">
        <f ca="1">$M$560*$Z$560</f>
        <v>-5.9393250000000002</v>
      </c>
      <c r="AG560" s="6">
        <f ca="1">$O$560*$AA$560</f>
        <v>-6.7687987500000002</v>
      </c>
    </row>
    <row r="561" spans="1:33" ht="11.25" customHeight="1" x14ac:dyDescent="0.3">
      <c r="A561" s="4" t="s">
        <v>21</v>
      </c>
      <c r="B561" s="4" t="s">
        <v>22</v>
      </c>
      <c r="C561" s="4" t="s">
        <v>23</v>
      </c>
      <c r="D561" s="4" t="s">
        <v>24</v>
      </c>
      <c r="E561" s="4" t="s">
        <v>29</v>
      </c>
      <c r="F561" s="4" t="s">
        <v>25</v>
      </c>
      <c r="G561" s="4" t="s">
        <v>25</v>
      </c>
      <c r="H561" s="4" t="s">
        <v>25</v>
      </c>
      <c r="I561" s="5">
        <v>44774</v>
      </c>
      <c r="J561" s="6">
        <v>0</v>
      </c>
      <c r="K561" s="6">
        <v>0</v>
      </c>
      <c r="L561" s="6">
        <v>100.56</v>
      </c>
      <c r="M561" s="6">
        <v>100.56</v>
      </c>
      <c r="N561" s="6">
        <v>100.56</v>
      </c>
      <c r="O561" s="6">
        <v>100.56</v>
      </c>
      <c r="P561" s="6">
        <v>114</v>
      </c>
      <c r="Q561" s="4" t="s">
        <v>26</v>
      </c>
      <c r="R561" s="4">
        <v>0</v>
      </c>
      <c r="S561" s="6">
        <v>0</v>
      </c>
      <c r="T561" s="6">
        <v>31</v>
      </c>
      <c r="U561" s="6">
        <v>72</v>
      </c>
      <c r="V561" s="6">
        <f>IF(ISERROR(VLOOKUP($S$561,'TAR FIN'!$A$1:$O$103,15,0)),0,VLOOKUP($S$561,'TAR FIN'!$A$1:$O$103,15,0))</f>
        <v>0</v>
      </c>
      <c r="W561" s="6">
        <f>IF(ISERROR(VLOOKUP($T$561,'TAR FIN'!$A$1:$O$103,15,0)),0,VLOOKUP($T$561,'TAR FIN'!$A$1:$O$103,15,0))</f>
        <v>105.1</v>
      </c>
      <c r="X561" s="6">
        <f>IF(ISERROR(VLOOKUP($U$561,'TAR FIN'!$A$1:$O$103,15,0)),0,VLOOKUP($U$561,'TAR FIN'!$A$1:$O$103,15,0))</f>
        <v>89.31</v>
      </c>
      <c r="Y561" s="6"/>
      <c r="Z561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61" s="6">
        <f ca="1">('TE BE'!$AB$14+'TE BF_350'!$AB$14+'TE CVA'!$AB$14)*(1-CUSTOS!$M$34)</f>
        <v>100.27849999999999</v>
      </c>
      <c r="AB561" s="6">
        <f>$K$561*$V$561</f>
        <v>0</v>
      </c>
      <c r="AC561" s="6">
        <f>$M$561*$W$561</f>
        <v>10568.856</v>
      </c>
      <c r="AD561" s="6">
        <f>$O$561*$X$561</f>
        <v>8981.0136000000002</v>
      </c>
      <c r="AE561" s="6">
        <f>$K$561*$Y$561</f>
        <v>0</v>
      </c>
      <c r="AF561" s="6">
        <f ca="1">$M$561*$Z$561</f>
        <v>8848.2744000000002</v>
      </c>
      <c r="AG561" s="6">
        <f ca="1">$O$561*$AA$561</f>
        <v>10084.00596</v>
      </c>
    </row>
    <row r="562" spans="1:33" ht="11.25" customHeight="1" x14ac:dyDescent="0.3">
      <c r="A562" s="4" t="s">
        <v>21</v>
      </c>
      <c r="B562" s="4" t="s">
        <v>22</v>
      </c>
      <c r="C562" s="4" t="s">
        <v>23</v>
      </c>
      <c r="D562" s="4" t="s">
        <v>24</v>
      </c>
      <c r="E562" s="4" t="s">
        <v>29</v>
      </c>
      <c r="F562" s="4" t="s">
        <v>25</v>
      </c>
      <c r="G562" s="4" t="s">
        <v>25</v>
      </c>
      <c r="H562" s="4" t="s">
        <v>25</v>
      </c>
      <c r="I562" s="5">
        <v>44805</v>
      </c>
      <c r="J562" s="6">
        <v>0</v>
      </c>
      <c r="K562" s="6">
        <v>0</v>
      </c>
      <c r="L562" s="6">
        <v>100.8</v>
      </c>
      <c r="M562" s="6">
        <v>100.8</v>
      </c>
      <c r="N562" s="6">
        <v>100.8</v>
      </c>
      <c r="O562" s="6">
        <v>100.8</v>
      </c>
      <c r="P562" s="6">
        <v>89</v>
      </c>
      <c r="Q562" s="4" t="s">
        <v>26</v>
      </c>
      <c r="R562" s="4">
        <v>0</v>
      </c>
      <c r="S562" s="6">
        <v>0</v>
      </c>
      <c r="T562" s="6">
        <v>31</v>
      </c>
      <c r="U562" s="6">
        <v>72</v>
      </c>
      <c r="V562" s="6">
        <f>IF(ISERROR(VLOOKUP($S$562,'TAR FIN'!$A$1:$O$103,15,0)),0,VLOOKUP($S$562,'TAR FIN'!$A$1:$O$103,15,0))</f>
        <v>0</v>
      </c>
      <c r="W562" s="6">
        <f>IF(ISERROR(VLOOKUP($T$562,'TAR FIN'!$A$1:$O$103,15,0)),0,VLOOKUP($T$562,'TAR FIN'!$A$1:$O$103,15,0))</f>
        <v>105.1</v>
      </c>
      <c r="X562" s="6">
        <f>IF(ISERROR(VLOOKUP($U$562,'TAR FIN'!$A$1:$O$103,15,0)),0,VLOOKUP($U$562,'TAR FIN'!$A$1:$O$103,15,0))</f>
        <v>89.31</v>
      </c>
      <c r="Y562" s="6"/>
      <c r="Z562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62" s="6">
        <f ca="1">('TE BE'!$AB$14+'TE BF_350'!$AB$14+'TE CVA'!$AB$14)*(1-CUSTOS!$M$34)</f>
        <v>100.27849999999999</v>
      </c>
      <c r="AB562" s="6">
        <f>$K$562*$V$562</f>
        <v>0</v>
      </c>
      <c r="AC562" s="6">
        <f>$M$562*$W$562</f>
        <v>10594.08</v>
      </c>
      <c r="AD562" s="6">
        <f>$O$562*$X$562</f>
        <v>9002.4480000000003</v>
      </c>
      <c r="AE562" s="6">
        <f>$K$562*$Y$562</f>
        <v>0</v>
      </c>
      <c r="AF562" s="6">
        <f ca="1">$M$562*$Z$562</f>
        <v>8869.3919999999998</v>
      </c>
      <c r="AG562" s="6">
        <f ca="1">$O$562*$AA$562</f>
        <v>10108.0728</v>
      </c>
    </row>
    <row r="563" spans="1:33" ht="11.25" customHeight="1" x14ac:dyDescent="0.3">
      <c r="A563" s="4" t="s">
        <v>28</v>
      </c>
      <c r="B563" s="4" t="s">
        <v>22</v>
      </c>
      <c r="C563" s="4" t="s">
        <v>23</v>
      </c>
      <c r="D563" s="4" t="s">
        <v>24</v>
      </c>
      <c r="E563" s="4" t="s">
        <v>29</v>
      </c>
      <c r="F563" s="4" t="s">
        <v>25</v>
      </c>
      <c r="G563" s="4" t="s">
        <v>25</v>
      </c>
      <c r="H563" s="4" t="s">
        <v>25</v>
      </c>
      <c r="I563" s="5">
        <v>44805</v>
      </c>
      <c r="J563" s="6">
        <v>0</v>
      </c>
      <c r="K563" s="6">
        <v>0</v>
      </c>
      <c r="L563" s="6">
        <v>0.03</v>
      </c>
      <c r="M563" s="6">
        <v>0.03</v>
      </c>
      <c r="N563" s="6">
        <v>0.03</v>
      </c>
      <c r="O563" s="6">
        <v>0.03</v>
      </c>
      <c r="P563" s="6">
        <v>0</v>
      </c>
      <c r="Q563" s="4" t="s">
        <v>26</v>
      </c>
      <c r="R563" s="4">
        <v>0</v>
      </c>
      <c r="S563" s="6">
        <v>0</v>
      </c>
      <c r="T563" s="6">
        <v>31</v>
      </c>
      <c r="U563" s="6">
        <v>72</v>
      </c>
      <c r="V563" s="6">
        <f>IF(ISERROR(VLOOKUP($S$563,'TAR FIN'!$A$1:$O$103,15,0)),0,VLOOKUP($S$563,'TAR FIN'!$A$1:$O$103,15,0))</f>
        <v>0</v>
      </c>
      <c r="W563" s="6">
        <f>IF(ISERROR(VLOOKUP($T$563,'TAR FIN'!$A$1:$O$103,15,0)),0,VLOOKUP($T$563,'TAR FIN'!$A$1:$O$103,15,0))</f>
        <v>105.1</v>
      </c>
      <c r="X563" s="6">
        <f>IF(ISERROR(VLOOKUP($U$563,'TAR FIN'!$A$1:$O$103,15,0)),0,VLOOKUP($U$563,'TAR FIN'!$A$1:$O$103,15,0))</f>
        <v>89.31</v>
      </c>
      <c r="Y563" s="6"/>
      <c r="Z563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63" s="6">
        <f ca="1">('TE BE'!$AB$14+'TE BF_350'!$AB$14+'TE CVA'!$AB$14)*(1-CUSTOS!$M$34)</f>
        <v>100.27849999999999</v>
      </c>
      <c r="AB563" s="6">
        <f>$K$563*$V$563</f>
        <v>0</v>
      </c>
      <c r="AC563" s="6">
        <f>$M$563*$W$563</f>
        <v>3.1529999999999996</v>
      </c>
      <c r="AD563" s="6">
        <f>$O$563*$X$563</f>
        <v>2.6793</v>
      </c>
      <c r="AE563" s="6">
        <f>$K$563*$Y$563</f>
        <v>0</v>
      </c>
      <c r="AF563" s="6">
        <f ca="1">$M$563*$Z$563</f>
        <v>2.6396999999999999</v>
      </c>
      <c r="AG563" s="6">
        <f ca="1">$O$563*$AA$563</f>
        <v>3.0083549999999999</v>
      </c>
    </row>
    <row r="564" spans="1:33" ht="11.25" customHeight="1" x14ac:dyDescent="0.3">
      <c r="A564" s="4" t="s">
        <v>57</v>
      </c>
      <c r="B564" s="4" t="s">
        <v>22</v>
      </c>
      <c r="C564" s="4" t="s">
        <v>23</v>
      </c>
      <c r="D564" s="4" t="s">
        <v>24</v>
      </c>
      <c r="E564" s="4" t="s">
        <v>29</v>
      </c>
      <c r="F564" s="4" t="s">
        <v>25</v>
      </c>
      <c r="G564" s="4" t="s">
        <v>25</v>
      </c>
      <c r="H564" s="4" t="s">
        <v>25</v>
      </c>
      <c r="I564" s="5">
        <v>44835</v>
      </c>
      <c r="J564" s="6">
        <v>0</v>
      </c>
      <c r="K564" s="6">
        <v>0</v>
      </c>
      <c r="L564" s="6">
        <v>100.8</v>
      </c>
      <c r="M564" s="6">
        <v>100.8</v>
      </c>
      <c r="N564" s="6">
        <v>100.8</v>
      </c>
      <c r="O564" s="6">
        <v>100.8</v>
      </c>
      <c r="P564" s="6">
        <v>89</v>
      </c>
      <c r="Q564" s="4" t="s">
        <v>26</v>
      </c>
      <c r="R564" s="4">
        <v>0</v>
      </c>
      <c r="S564" s="6">
        <v>0</v>
      </c>
      <c r="T564" s="6">
        <v>31</v>
      </c>
      <c r="U564" s="6">
        <v>72</v>
      </c>
      <c r="V564" s="6">
        <f>IF(ISERROR(VLOOKUP($S$564,'TAR FIN'!$A$1:$O$103,15,0)),0,VLOOKUP($S$564,'TAR FIN'!$A$1:$O$103,15,0))</f>
        <v>0</v>
      </c>
      <c r="W564" s="6">
        <f>IF(ISERROR(VLOOKUP($T$564,'TAR FIN'!$A$1:$O$103,15,0)),0,VLOOKUP($T$564,'TAR FIN'!$A$1:$O$103,15,0))</f>
        <v>105.1</v>
      </c>
      <c r="X564" s="6">
        <f>IF(ISERROR(VLOOKUP($U$564,'TAR FIN'!$A$1:$O$103,15,0)),0,VLOOKUP($U$564,'TAR FIN'!$A$1:$O$103,15,0))</f>
        <v>89.31</v>
      </c>
      <c r="Y564" s="6"/>
      <c r="Z564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64" s="6">
        <f ca="1">('TE BE'!$AB$14+'TE BF_350'!$AB$14+'TE CVA'!$AB$14)*(1-CUSTOS!$M$34)</f>
        <v>100.27849999999999</v>
      </c>
      <c r="AB564" s="6">
        <f>$K$564*$V$564</f>
        <v>0</v>
      </c>
      <c r="AC564" s="6">
        <f>$M$564*$W$564</f>
        <v>10594.08</v>
      </c>
      <c r="AD564" s="6">
        <f>$O$564*$X$564</f>
        <v>9002.4480000000003</v>
      </c>
      <c r="AE564" s="6">
        <f>$K$564*$Y$564</f>
        <v>0</v>
      </c>
      <c r="AF564" s="6">
        <f ca="1">$M$564*$Z$564</f>
        <v>8869.3919999999998</v>
      </c>
      <c r="AG564" s="6">
        <f ca="1">$O$564*$AA$564</f>
        <v>10108.0728</v>
      </c>
    </row>
    <row r="565" spans="1:33" ht="11.25" customHeight="1" x14ac:dyDescent="0.3">
      <c r="A565" s="4" t="s">
        <v>57</v>
      </c>
      <c r="B565" s="4" t="s">
        <v>22</v>
      </c>
      <c r="C565" s="4" t="s">
        <v>23</v>
      </c>
      <c r="D565" s="4" t="s">
        <v>24</v>
      </c>
      <c r="E565" s="4" t="s">
        <v>29</v>
      </c>
      <c r="F565" s="4" t="s">
        <v>25</v>
      </c>
      <c r="G565" s="4" t="s">
        <v>25</v>
      </c>
      <c r="H565" s="4" t="s">
        <v>25</v>
      </c>
      <c r="I565" s="5">
        <v>44835</v>
      </c>
      <c r="J565" s="6">
        <v>0</v>
      </c>
      <c r="K565" s="6">
        <v>0</v>
      </c>
      <c r="L565" s="6">
        <v>0.03</v>
      </c>
      <c r="M565" s="6">
        <v>0.03</v>
      </c>
      <c r="N565" s="6">
        <v>0.03</v>
      </c>
      <c r="O565" s="6">
        <v>0.03</v>
      </c>
      <c r="P565" s="6">
        <v>0</v>
      </c>
      <c r="Q565" s="4" t="s">
        <v>26</v>
      </c>
      <c r="R565" s="4">
        <v>0</v>
      </c>
      <c r="S565" s="6">
        <v>0</v>
      </c>
      <c r="T565" s="6">
        <v>31</v>
      </c>
      <c r="U565" s="6">
        <v>72</v>
      </c>
      <c r="V565" s="6">
        <f>IF(ISERROR(VLOOKUP($S$565,'TAR FIN'!$A$1:$O$103,15,0)),0,VLOOKUP($S$565,'TAR FIN'!$A$1:$O$103,15,0))</f>
        <v>0</v>
      </c>
      <c r="W565" s="6">
        <f>IF(ISERROR(VLOOKUP($T$565,'TAR FIN'!$A$1:$O$103,15,0)),0,VLOOKUP($T$565,'TAR FIN'!$A$1:$O$103,15,0))</f>
        <v>105.1</v>
      </c>
      <c r="X565" s="6">
        <f>IF(ISERROR(VLOOKUP($U$565,'TAR FIN'!$A$1:$O$103,15,0)),0,VLOOKUP($U$565,'TAR FIN'!$A$1:$O$103,15,0))</f>
        <v>89.31</v>
      </c>
      <c r="Y565" s="6"/>
      <c r="Z565" s="6">
        <f ca="1">('TUSD BE'!$AM$33+'TUSD BF_350'!$AM$33+'TUSD CVA'!$AM$33-('TUSD BE'!$P$33+'TUSD BF_350'!$P$33+'TUSD CVA'!$P$33)-('TUSD BE'!$Q$33+'TUSD BF_350'!$Q$33+'TUSD CVA'!$Q$33)-('TUSD BE'!$R$33+'TUSD BF_350'!$R$33+'TUSD CVA'!$R$33))*(1-CUSTOS!$M$34)</f>
        <v>87.99</v>
      </c>
      <c r="AA565" s="6">
        <f ca="1">('TE BE'!$AB$14+'TE BF_350'!$AB$14+'TE CVA'!$AB$14)*(1-CUSTOS!$M$34)</f>
        <v>100.27849999999999</v>
      </c>
      <c r="AB565" s="6">
        <f>$K$565*$V$565</f>
        <v>0</v>
      </c>
      <c r="AC565" s="6">
        <f>$M$565*$W$565</f>
        <v>3.1529999999999996</v>
      </c>
      <c r="AD565" s="6">
        <f>$O$565*$X$565</f>
        <v>2.6793</v>
      </c>
      <c r="AE565" s="6">
        <f>$K$565*$Y$565</f>
        <v>0</v>
      </c>
      <c r="AF565" s="6">
        <f ca="1">$M$565*$Z$565</f>
        <v>2.6396999999999999</v>
      </c>
      <c r="AG565" s="6">
        <f ca="1">$O$565*$AA$565</f>
        <v>3.0083549999999999</v>
      </c>
    </row>
    <row r="566" spans="1:33" ht="11.25" customHeight="1" x14ac:dyDescent="0.3">
      <c r="A566" s="4" t="s">
        <v>21</v>
      </c>
      <c r="B566" s="4" t="s">
        <v>22</v>
      </c>
      <c r="C566" s="4" t="s">
        <v>23</v>
      </c>
      <c r="D566" s="4" t="s">
        <v>24</v>
      </c>
      <c r="E566" s="4" t="s">
        <v>30</v>
      </c>
      <c r="F566" s="4" t="s">
        <v>25</v>
      </c>
      <c r="G566" s="4" t="s">
        <v>25</v>
      </c>
      <c r="H566" s="4" t="s">
        <v>25</v>
      </c>
      <c r="I566" s="5">
        <v>44501</v>
      </c>
      <c r="J566" s="6">
        <v>0</v>
      </c>
      <c r="K566" s="6">
        <v>0</v>
      </c>
      <c r="L566" s="6">
        <v>153.358</v>
      </c>
      <c r="M566" s="6">
        <v>153.358</v>
      </c>
      <c r="N566" s="6">
        <v>153.358</v>
      </c>
      <c r="O566" s="6">
        <v>153.358</v>
      </c>
      <c r="P566" s="6">
        <v>651</v>
      </c>
      <c r="Q566" s="4" t="s">
        <v>26</v>
      </c>
      <c r="R566" s="4">
        <v>0</v>
      </c>
      <c r="S566" s="6">
        <v>0</v>
      </c>
      <c r="T566" s="6">
        <v>32</v>
      </c>
      <c r="U566" s="6">
        <v>73</v>
      </c>
      <c r="V566" s="6">
        <f>IF(ISERROR(VLOOKUP($S$566,'TAR FIN'!$A$1:$O$103,15,0)),0,VLOOKUP($S$566,'TAR FIN'!$A$1:$O$103,15,0))</f>
        <v>0</v>
      </c>
      <c r="W566" s="6">
        <f>IF(ISERROR(VLOOKUP($T$566,'TAR FIN'!$A$1:$O$103,15,0)),0,VLOOKUP($T$566,'TAR FIN'!$A$1:$O$103,15,0))</f>
        <v>180.18</v>
      </c>
      <c r="X566" s="6">
        <f>IF(ISERROR(VLOOKUP($U$566,'TAR FIN'!$A$1:$O$103,15,0)),0,VLOOKUP($U$566,'TAR FIN'!$A$1:$O$103,15,0))</f>
        <v>153.1</v>
      </c>
      <c r="Y566" s="6"/>
      <c r="Z566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66" s="6">
        <f ca="1">('TE BE'!$AB$15+'TE BF_350'!$AB$15+'TE CVA'!$AB$15)*(1-CUSTOS!$M$35)</f>
        <v>171.90599999999998</v>
      </c>
      <c r="AB566" s="6">
        <f>$K$566*$V$566</f>
        <v>0</v>
      </c>
      <c r="AC566" s="6">
        <f>$M$566*$W$566</f>
        <v>27632.044440000001</v>
      </c>
      <c r="AD566" s="6">
        <f>$O$566*$X$566</f>
        <v>23479.109799999998</v>
      </c>
      <c r="AE566" s="6">
        <f>$K$566*$Y$566</f>
        <v>0</v>
      </c>
      <c r="AF566" s="6">
        <f ca="1">$M$566*$Z$566</f>
        <v>23132.52072</v>
      </c>
      <c r="AG566" s="6">
        <f ca="1">$O$566*$AA$566</f>
        <v>26363.160347999998</v>
      </c>
    </row>
    <row r="567" spans="1:33" ht="11.25" customHeight="1" x14ac:dyDescent="0.3">
      <c r="A567" s="4" t="s">
        <v>21</v>
      </c>
      <c r="B567" s="4" t="s">
        <v>22</v>
      </c>
      <c r="C567" s="4" t="s">
        <v>23</v>
      </c>
      <c r="D567" s="4" t="s">
        <v>24</v>
      </c>
      <c r="E567" s="4" t="s">
        <v>30</v>
      </c>
      <c r="F567" s="4" t="s">
        <v>25</v>
      </c>
      <c r="G567" s="4" t="s">
        <v>25</v>
      </c>
      <c r="H567" s="4" t="s">
        <v>25</v>
      </c>
      <c r="I567" s="5">
        <v>44531</v>
      </c>
      <c r="J567" s="6">
        <v>0</v>
      </c>
      <c r="K567" s="6">
        <v>0</v>
      </c>
      <c r="L567" s="6">
        <v>158.65600000000001</v>
      </c>
      <c r="M567" s="6">
        <v>158.65600000000001</v>
      </c>
      <c r="N567" s="6">
        <v>158.65600000000001</v>
      </c>
      <c r="O567" s="6">
        <v>158.65600000000001</v>
      </c>
      <c r="P567" s="6">
        <v>681</v>
      </c>
      <c r="Q567" s="4" t="s">
        <v>26</v>
      </c>
      <c r="R567" s="4">
        <v>0</v>
      </c>
      <c r="S567" s="6">
        <v>0</v>
      </c>
      <c r="T567" s="6">
        <v>32</v>
      </c>
      <c r="U567" s="6">
        <v>73</v>
      </c>
      <c r="V567" s="6">
        <f>IF(ISERROR(VLOOKUP($S$567,'TAR FIN'!$A$1:$O$103,15,0)),0,VLOOKUP($S$567,'TAR FIN'!$A$1:$O$103,15,0))</f>
        <v>0</v>
      </c>
      <c r="W567" s="6">
        <f>IF(ISERROR(VLOOKUP($T$567,'TAR FIN'!$A$1:$O$103,15,0)),0,VLOOKUP($T$567,'TAR FIN'!$A$1:$O$103,15,0))</f>
        <v>180.18</v>
      </c>
      <c r="X567" s="6">
        <f>IF(ISERROR(VLOOKUP($U$567,'TAR FIN'!$A$1:$O$103,15,0)),0,VLOOKUP($U$567,'TAR FIN'!$A$1:$O$103,15,0))</f>
        <v>153.1</v>
      </c>
      <c r="Y567" s="6"/>
      <c r="Z567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67" s="6">
        <f ca="1">('TE BE'!$AB$15+'TE BF_350'!$AB$15+'TE CVA'!$AB$15)*(1-CUSTOS!$M$35)</f>
        <v>171.90599999999998</v>
      </c>
      <c r="AB567" s="6">
        <f>$K$567*$V$567</f>
        <v>0</v>
      </c>
      <c r="AC567" s="6">
        <f>$M$567*$W$567</f>
        <v>28586.638080000001</v>
      </c>
      <c r="AD567" s="6">
        <f>$O$567*$X$567</f>
        <v>24290.2336</v>
      </c>
      <c r="AE567" s="6">
        <f>$K$567*$Y$567</f>
        <v>0</v>
      </c>
      <c r="AF567" s="6">
        <f ca="1">$M$567*$Z$567</f>
        <v>23931.671040000001</v>
      </c>
      <c r="AG567" s="6">
        <f ca="1">$O$567*$AA$567</f>
        <v>27273.918335999999</v>
      </c>
    </row>
    <row r="568" spans="1:33" ht="11.25" customHeight="1" x14ac:dyDescent="0.3">
      <c r="A568" s="4" t="s">
        <v>21</v>
      </c>
      <c r="B568" s="4" t="s">
        <v>22</v>
      </c>
      <c r="C568" s="4" t="s">
        <v>23</v>
      </c>
      <c r="D568" s="4" t="s">
        <v>24</v>
      </c>
      <c r="E568" s="4" t="s">
        <v>30</v>
      </c>
      <c r="F568" s="4" t="s">
        <v>25</v>
      </c>
      <c r="G568" s="4" t="s">
        <v>25</v>
      </c>
      <c r="H568" s="4" t="s">
        <v>25</v>
      </c>
      <c r="I568" s="5">
        <v>44562</v>
      </c>
      <c r="J568" s="6">
        <v>0</v>
      </c>
      <c r="K568" s="6">
        <v>0</v>
      </c>
      <c r="L568" s="6">
        <v>164.26400000000001</v>
      </c>
      <c r="M568" s="6">
        <v>164.26400000000001</v>
      </c>
      <c r="N568" s="6">
        <v>164.26400000000001</v>
      </c>
      <c r="O568" s="6">
        <v>164.26400000000001</v>
      </c>
      <c r="P568" s="6">
        <v>674</v>
      </c>
      <c r="Q568" s="4" t="s">
        <v>26</v>
      </c>
      <c r="R568" s="4">
        <v>0</v>
      </c>
      <c r="S568" s="6">
        <v>0</v>
      </c>
      <c r="T568" s="6">
        <v>32</v>
      </c>
      <c r="U568" s="6">
        <v>73</v>
      </c>
      <c r="V568" s="6">
        <f>IF(ISERROR(VLOOKUP($S$568,'TAR FIN'!$A$1:$O$103,15,0)),0,VLOOKUP($S$568,'TAR FIN'!$A$1:$O$103,15,0))</f>
        <v>0</v>
      </c>
      <c r="W568" s="6">
        <f>IF(ISERROR(VLOOKUP($T$568,'TAR FIN'!$A$1:$O$103,15,0)),0,VLOOKUP($T$568,'TAR FIN'!$A$1:$O$103,15,0))</f>
        <v>180.18</v>
      </c>
      <c r="X568" s="6">
        <f>IF(ISERROR(VLOOKUP($U$568,'TAR FIN'!$A$1:$O$103,15,0)),0,VLOOKUP($U$568,'TAR FIN'!$A$1:$O$103,15,0))</f>
        <v>153.1</v>
      </c>
      <c r="Y568" s="6"/>
      <c r="Z568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68" s="6">
        <f ca="1">('TE BE'!$AB$15+'TE BF_350'!$AB$15+'TE CVA'!$AB$15)*(1-CUSTOS!$M$35)</f>
        <v>171.90599999999998</v>
      </c>
      <c r="AB568" s="6">
        <f>$K$568*$V$568</f>
        <v>0</v>
      </c>
      <c r="AC568" s="6">
        <f>$M$568*$W$568</f>
        <v>29597.087520000005</v>
      </c>
      <c r="AD568" s="6">
        <f>$O$568*$X$568</f>
        <v>25148.8184</v>
      </c>
      <c r="AE568" s="6">
        <f>$K$568*$Y$568</f>
        <v>0</v>
      </c>
      <c r="AF568" s="6">
        <f ca="1">$M$568*$Z$568</f>
        <v>24777.581760000001</v>
      </c>
      <c r="AG568" s="6">
        <f ca="1">$O$568*$AA$568</f>
        <v>28237.967183999997</v>
      </c>
    </row>
    <row r="569" spans="1:33" ht="11.25" customHeight="1" x14ac:dyDescent="0.3">
      <c r="A569" s="4" t="s">
        <v>21</v>
      </c>
      <c r="B569" s="4" t="s">
        <v>22</v>
      </c>
      <c r="C569" s="4" t="s">
        <v>23</v>
      </c>
      <c r="D569" s="4" t="s">
        <v>24</v>
      </c>
      <c r="E569" s="4" t="s">
        <v>30</v>
      </c>
      <c r="F569" s="4" t="s">
        <v>25</v>
      </c>
      <c r="G569" s="4" t="s">
        <v>25</v>
      </c>
      <c r="H569" s="4" t="s">
        <v>25</v>
      </c>
      <c r="I569" s="5">
        <v>44593</v>
      </c>
      <c r="J569" s="6">
        <v>0</v>
      </c>
      <c r="K569" s="6">
        <v>0</v>
      </c>
      <c r="L569" s="6">
        <v>168.87899999999999</v>
      </c>
      <c r="M569" s="6">
        <v>168.87899999999999</v>
      </c>
      <c r="N569" s="6">
        <v>168.87899999999999</v>
      </c>
      <c r="O569" s="6">
        <v>168.87899999999999</v>
      </c>
      <c r="P569" s="6">
        <v>701</v>
      </c>
      <c r="Q569" s="4" t="s">
        <v>26</v>
      </c>
      <c r="R569" s="4">
        <v>0</v>
      </c>
      <c r="S569" s="6">
        <v>0</v>
      </c>
      <c r="T569" s="6">
        <v>32</v>
      </c>
      <c r="U569" s="6">
        <v>73</v>
      </c>
      <c r="V569" s="6">
        <f>IF(ISERROR(VLOOKUP($S$569,'TAR FIN'!$A$1:$O$103,15,0)),0,VLOOKUP($S$569,'TAR FIN'!$A$1:$O$103,15,0))</f>
        <v>0</v>
      </c>
      <c r="W569" s="6">
        <f>IF(ISERROR(VLOOKUP($T$569,'TAR FIN'!$A$1:$O$103,15,0)),0,VLOOKUP($T$569,'TAR FIN'!$A$1:$O$103,15,0))</f>
        <v>180.18</v>
      </c>
      <c r="X569" s="6">
        <f>IF(ISERROR(VLOOKUP($U$569,'TAR FIN'!$A$1:$O$103,15,0)),0,VLOOKUP($U$569,'TAR FIN'!$A$1:$O$103,15,0))</f>
        <v>153.1</v>
      </c>
      <c r="Y569" s="6"/>
      <c r="Z569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69" s="6">
        <f ca="1">('TE BE'!$AB$15+'TE BF_350'!$AB$15+'TE CVA'!$AB$15)*(1-CUSTOS!$M$35)</f>
        <v>171.90599999999998</v>
      </c>
      <c r="AB569" s="6">
        <f>$K$569*$V$569</f>
        <v>0</v>
      </c>
      <c r="AC569" s="6">
        <f>$M$569*$W$569</f>
        <v>30428.61822</v>
      </c>
      <c r="AD569" s="6">
        <f>$O$569*$X$569</f>
        <v>25855.374899999999</v>
      </c>
      <c r="AE569" s="6">
        <f>$K$569*$Y$569</f>
        <v>0</v>
      </c>
      <c r="AF569" s="6">
        <f ca="1">$M$569*$Z$569</f>
        <v>25473.708360000001</v>
      </c>
      <c r="AG569" s="6">
        <f ca="1">$O$569*$AA$569</f>
        <v>29031.313373999994</v>
      </c>
    </row>
    <row r="570" spans="1:33" ht="11.25" customHeight="1" x14ac:dyDescent="0.3">
      <c r="A570" s="4" t="s">
        <v>21</v>
      </c>
      <c r="B570" s="4" t="s">
        <v>22</v>
      </c>
      <c r="C570" s="4" t="s">
        <v>23</v>
      </c>
      <c r="D570" s="4" t="s">
        <v>24</v>
      </c>
      <c r="E570" s="4" t="s">
        <v>30</v>
      </c>
      <c r="F570" s="4" t="s">
        <v>25</v>
      </c>
      <c r="G570" s="4" t="s">
        <v>25</v>
      </c>
      <c r="H570" s="4" t="s">
        <v>25</v>
      </c>
      <c r="I570" s="5">
        <v>44621</v>
      </c>
      <c r="J570" s="6">
        <v>0</v>
      </c>
      <c r="K570" s="6">
        <v>0</v>
      </c>
      <c r="L570" s="6">
        <v>173.79900000000001</v>
      </c>
      <c r="M570" s="6">
        <v>173.79900000000001</v>
      </c>
      <c r="N570" s="6">
        <v>173.79900000000001</v>
      </c>
      <c r="O570" s="6">
        <v>173.79900000000001</v>
      </c>
      <c r="P570" s="6">
        <v>871</v>
      </c>
      <c r="Q570" s="4" t="s">
        <v>26</v>
      </c>
      <c r="R570" s="4">
        <v>0</v>
      </c>
      <c r="S570" s="6">
        <v>0</v>
      </c>
      <c r="T570" s="6">
        <v>32</v>
      </c>
      <c r="U570" s="6">
        <v>73</v>
      </c>
      <c r="V570" s="6">
        <f>IF(ISERROR(VLOOKUP($S$570,'TAR FIN'!$A$1:$O$103,15,0)),0,VLOOKUP($S$570,'TAR FIN'!$A$1:$O$103,15,0))</f>
        <v>0</v>
      </c>
      <c r="W570" s="6">
        <f>IF(ISERROR(VLOOKUP($T$570,'TAR FIN'!$A$1:$O$103,15,0)),0,VLOOKUP($T$570,'TAR FIN'!$A$1:$O$103,15,0))</f>
        <v>180.18</v>
      </c>
      <c r="X570" s="6">
        <f>IF(ISERROR(VLOOKUP($U$570,'TAR FIN'!$A$1:$O$103,15,0)),0,VLOOKUP($U$570,'TAR FIN'!$A$1:$O$103,15,0))</f>
        <v>153.1</v>
      </c>
      <c r="Y570" s="6"/>
      <c r="Z570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70" s="6">
        <f ca="1">('TE BE'!$AB$15+'TE BF_350'!$AB$15+'TE CVA'!$AB$15)*(1-CUSTOS!$M$35)</f>
        <v>171.90599999999998</v>
      </c>
      <c r="AB570" s="6">
        <f>$K$570*$V$570</f>
        <v>0</v>
      </c>
      <c r="AC570" s="6">
        <f>$M$570*$W$570</f>
        <v>31315.103820000004</v>
      </c>
      <c r="AD570" s="6">
        <f>$O$570*$X$570</f>
        <v>26608.626899999999</v>
      </c>
      <c r="AE570" s="6">
        <f>$K$570*$Y$570</f>
        <v>0</v>
      </c>
      <c r="AF570" s="6">
        <f ca="1">$M$570*$Z$570</f>
        <v>26215.84116</v>
      </c>
      <c r="AG570" s="6">
        <f ca="1">$O$570*$AA$570</f>
        <v>29877.090893999997</v>
      </c>
    </row>
    <row r="571" spans="1:33" ht="11.25" customHeight="1" x14ac:dyDescent="0.3">
      <c r="A571" s="4" t="s">
        <v>21</v>
      </c>
      <c r="B571" s="4" t="s">
        <v>22</v>
      </c>
      <c r="C571" s="4" t="s">
        <v>23</v>
      </c>
      <c r="D571" s="4" t="s">
        <v>24</v>
      </c>
      <c r="E571" s="4" t="s">
        <v>30</v>
      </c>
      <c r="F571" s="4" t="s">
        <v>25</v>
      </c>
      <c r="G571" s="4" t="s">
        <v>25</v>
      </c>
      <c r="H571" s="4" t="s">
        <v>25</v>
      </c>
      <c r="I571" s="5">
        <v>44652</v>
      </c>
      <c r="J571" s="6">
        <v>0</v>
      </c>
      <c r="K571" s="6">
        <v>0</v>
      </c>
      <c r="L571" s="6">
        <v>202.85900000000001</v>
      </c>
      <c r="M571" s="6">
        <v>202.85900000000001</v>
      </c>
      <c r="N571" s="6">
        <v>202.85900000000001</v>
      </c>
      <c r="O571" s="6">
        <v>202.85900000000001</v>
      </c>
      <c r="P571" s="6">
        <v>739</v>
      </c>
      <c r="Q571" s="4" t="s">
        <v>26</v>
      </c>
      <c r="R571" s="4">
        <v>0</v>
      </c>
      <c r="S571" s="6">
        <v>0</v>
      </c>
      <c r="T571" s="6">
        <v>32</v>
      </c>
      <c r="U571" s="6">
        <v>73</v>
      </c>
      <c r="V571" s="6">
        <f>IF(ISERROR(VLOOKUP($S$571,'TAR FIN'!$A$1:$O$103,15,0)),0,VLOOKUP($S$571,'TAR FIN'!$A$1:$O$103,15,0))</f>
        <v>0</v>
      </c>
      <c r="W571" s="6">
        <f>IF(ISERROR(VLOOKUP($T$571,'TAR FIN'!$A$1:$O$103,15,0)),0,VLOOKUP($T$571,'TAR FIN'!$A$1:$O$103,15,0))</f>
        <v>180.18</v>
      </c>
      <c r="X571" s="6">
        <f>IF(ISERROR(VLOOKUP($U$571,'TAR FIN'!$A$1:$O$103,15,0)),0,VLOOKUP($U$571,'TAR FIN'!$A$1:$O$103,15,0))</f>
        <v>153.1</v>
      </c>
      <c r="Y571" s="6"/>
      <c r="Z571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71" s="6">
        <f ca="1">('TE BE'!$AB$15+'TE BF_350'!$AB$15+'TE CVA'!$AB$15)*(1-CUSTOS!$M$35)</f>
        <v>171.90599999999998</v>
      </c>
      <c r="AB571" s="6">
        <f>$K$571*$V$571</f>
        <v>0</v>
      </c>
      <c r="AC571" s="6">
        <f>$M$571*$W$571</f>
        <v>36551.134620000004</v>
      </c>
      <c r="AD571" s="6">
        <f>$O$571*$X$571</f>
        <v>31057.712899999999</v>
      </c>
      <c r="AE571" s="6">
        <f>$K$571*$Y$571</f>
        <v>0</v>
      </c>
      <c r="AF571" s="6">
        <f ca="1">$M$571*$Z$571</f>
        <v>30599.251560000001</v>
      </c>
      <c r="AG571" s="6">
        <f ca="1">$O$571*$AA$571</f>
        <v>34872.679253999995</v>
      </c>
    </row>
    <row r="572" spans="1:33" ht="11.25" customHeight="1" x14ac:dyDescent="0.3">
      <c r="A572" s="4" t="s">
        <v>21</v>
      </c>
      <c r="B572" s="4" t="s">
        <v>22</v>
      </c>
      <c r="C572" s="4" t="s">
        <v>23</v>
      </c>
      <c r="D572" s="4" t="s">
        <v>24</v>
      </c>
      <c r="E572" s="4" t="s">
        <v>30</v>
      </c>
      <c r="F572" s="4" t="s">
        <v>25</v>
      </c>
      <c r="G572" s="4" t="s">
        <v>25</v>
      </c>
      <c r="H572" s="4" t="s">
        <v>25</v>
      </c>
      <c r="I572" s="5">
        <v>44682</v>
      </c>
      <c r="J572" s="6">
        <v>0</v>
      </c>
      <c r="K572" s="6">
        <v>0</v>
      </c>
      <c r="L572" s="6">
        <v>215.45599999999999</v>
      </c>
      <c r="M572" s="6">
        <v>215.45599999999999</v>
      </c>
      <c r="N572" s="6">
        <v>215.45599999999999</v>
      </c>
      <c r="O572" s="6">
        <v>215.45599999999999</v>
      </c>
      <c r="P572" s="6">
        <v>953</v>
      </c>
      <c r="Q572" s="4" t="s">
        <v>26</v>
      </c>
      <c r="R572" s="4">
        <v>0</v>
      </c>
      <c r="S572" s="6">
        <v>0</v>
      </c>
      <c r="T572" s="6">
        <v>32</v>
      </c>
      <c r="U572" s="6">
        <v>73</v>
      </c>
      <c r="V572" s="6">
        <f>IF(ISERROR(VLOOKUP($S$572,'TAR FIN'!$A$1:$O$103,15,0)),0,VLOOKUP($S$572,'TAR FIN'!$A$1:$O$103,15,0))</f>
        <v>0</v>
      </c>
      <c r="W572" s="6">
        <f>IF(ISERROR(VLOOKUP($T$572,'TAR FIN'!$A$1:$O$103,15,0)),0,VLOOKUP($T$572,'TAR FIN'!$A$1:$O$103,15,0))</f>
        <v>180.18</v>
      </c>
      <c r="X572" s="6">
        <f>IF(ISERROR(VLOOKUP($U$572,'TAR FIN'!$A$1:$O$103,15,0)),0,VLOOKUP($U$572,'TAR FIN'!$A$1:$O$103,15,0))</f>
        <v>153.1</v>
      </c>
      <c r="Y572" s="6"/>
      <c r="Z572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72" s="6">
        <f ca="1">('TE BE'!$AB$15+'TE BF_350'!$AB$15+'TE CVA'!$AB$15)*(1-CUSTOS!$M$35)</f>
        <v>171.90599999999998</v>
      </c>
      <c r="AB572" s="6">
        <f>$K$572*$V$572</f>
        <v>0</v>
      </c>
      <c r="AC572" s="6">
        <f>$M$572*$W$572</f>
        <v>38820.862079999999</v>
      </c>
      <c r="AD572" s="6">
        <f>$O$572*$X$572</f>
        <v>32986.313599999994</v>
      </c>
      <c r="AE572" s="6">
        <f>$K$572*$Y$572</f>
        <v>0</v>
      </c>
      <c r="AF572" s="6">
        <f ca="1">$M$572*$Z$572</f>
        <v>32499.383040000001</v>
      </c>
      <c r="AG572" s="6">
        <f ca="1">$O$572*$AA$572</f>
        <v>37038.179135999992</v>
      </c>
    </row>
    <row r="573" spans="1:33" ht="11.25" customHeight="1" x14ac:dyDescent="0.3">
      <c r="A573" s="4" t="s">
        <v>21</v>
      </c>
      <c r="B573" s="4" t="s">
        <v>22</v>
      </c>
      <c r="C573" s="4" t="s">
        <v>23</v>
      </c>
      <c r="D573" s="4" t="s">
        <v>24</v>
      </c>
      <c r="E573" s="4" t="s">
        <v>30</v>
      </c>
      <c r="F573" s="4" t="s">
        <v>25</v>
      </c>
      <c r="G573" s="4" t="s">
        <v>25</v>
      </c>
      <c r="H573" s="4" t="s">
        <v>25</v>
      </c>
      <c r="I573" s="5">
        <v>44713</v>
      </c>
      <c r="J573" s="6">
        <v>0</v>
      </c>
      <c r="K573" s="6">
        <v>0</v>
      </c>
      <c r="L573" s="6">
        <v>200.75899999999999</v>
      </c>
      <c r="M573" s="6">
        <v>200.75899999999999</v>
      </c>
      <c r="N573" s="6">
        <v>200.75899999999999</v>
      </c>
      <c r="O573" s="6">
        <v>200.75899999999999</v>
      </c>
      <c r="P573" s="6">
        <v>1051</v>
      </c>
      <c r="Q573" s="4" t="s">
        <v>26</v>
      </c>
      <c r="R573" s="4">
        <v>0</v>
      </c>
      <c r="S573" s="6">
        <v>0</v>
      </c>
      <c r="T573" s="6">
        <v>32</v>
      </c>
      <c r="U573" s="6">
        <v>73</v>
      </c>
      <c r="V573" s="6">
        <f>IF(ISERROR(VLOOKUP($S$573,'TAR FIN'!$A$1:$O$103,15,0)),0,VLOOKUP($S$573,'TAR FIN'!$A$1:$O$103,15,0))</f>
        <v>0</v>
      </c>
      <c r="W573" s="6">
        <f>IF(ISERROR(VLOOKUP($T$573,'TAR FIN'!$A$1:$O$103,15,0)),0,VLOOKUP($T$573,'TAR FIN'!$A$1:$O$103,15,0))</f>
        <v>180.18</v>
      </c>
      <c r="X573" s="6">
        <f>IF(ISERROR(VLOOKUP($U$573,'TAR FIN'!$A$1:$O$103,15,0)),0,VLOOKUP($U$573,'TAR FIN'!$A$1:$O$103,15,0))</f>
        <v>153.1</v>
      </c>
      <c r="Y573" s="6"/>
      <c r="Z573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73" s="6">
        <f ca="1">('TE BE'!$AB$15+'TE BF_350'!$AB$15+'TE CVA'!$AB$15)*(1-CUSTOS!$M$35)</f>
        <v>171.90599999999998</v>
      </c>
      <c r="AB573" s="6">
        <f>$K$573*$V$573</f>
        <v>0</v>
      </c>
      <c r="AC573" s="6">
        <f>$M$573*$W$573</f>
        <v>36172.75662</v>
      </c>
      <c r="AD573" s="6">
        <f>$O$573*$X$573</f>
        <v>30736.202899999997</v>
      </c>
      <c r="AE573" s="6">
        <f>$K$573*$Y$573</f>
        <v>0</v>
      </c>
      <c r="AF573" s="6">
        <f ca="1">$M$573*$Z$573</f>
        <v>30282.487559999998</v>
      </c>
      <c r="AG573" s="6">
        <f ca="1">$O$573*$AA$573</f>
        <v>34511.676653999995</v>
      </c>
    </row>
    <row r="574" spans="1:33" ht="11.25" customHeight="1" x14ac:dyDescent="0.3">
      <c r="A574" s="4" t="s">
        <v>21</v>
      </c>
      <c r="B574" s="4" t="s">
        <v>22</v>
      </c>
      <c r="C574" s="4" t="s">
        <v>23</v>
      </c>
      <c r="D574" s="4" t="s">
        <v>24</v>
      </c>
      <c r="E574" s="4" t="s">
        <v>30</v>
      </c>
      <c r="F574" s="4" t="s">
        <v>25</v>
      </c>
      <c r="G574" s="4" t="s">
        <v>25</v>
      </c>
      <c r="H574" s="4" t="s">
        <v>25</v>
      </c>
      <c r="I574" s="5">
        <v>44743</v>
      </c>
      <c r="J574" s="6">
        <v>0</v>
      </c>
      <c r="K574" s="6">
        <v>0</v>
      </c>
      <c r="L574" s="6">
        <v>204.48699999999999</v>
      </c>
      <c r="M574" s="6">
        <v>204.48699999999999</v>
      </c>
      <c r="N574" s="6">
        <v>204.48699999999999</v>
      </c>
      <c r="O574" s="6">
        <v>204.48699999999999</v>
      </c>
      <c r="P574" s="6">
        <v>950</v>
      </c>
      <c r="Q574" s="4" t="s">
        <v>26</v>
      </c>
      <c r="R574" s="4">
        <v>0</v>
      </c>
      <c r="S574" s="6">
        <v>0</v>
      </c>
      <c r="T574" s="6">
        <v>32</v>
      </c>
      <c r="U574" s="6">
        <v>73</v>
      </c>
      <c r="V574" s="6">
        <f>IF(ISERROR(VLOOKUP($S$574,'TAR FIN'!$A$1:$O$103,15,0)),0,VLOOKUP($S$574,'TAR FIN'!$A$1:$O$103,15,0))</f>
        <v>0</v>
      </c>
      <c r="W574" s="6">
        <f>IF(ISERROR(VLOOKUP($T$574,'TAR FIN'!$A$1:$O$103,15,0)),0,VLOOKUP($T$574,'TAR FIN'!$A$1:$O$103,15,0))</f>
        <v>180.18</v>
      </c>
      <c r="X574" s="6">
        <f>IF(ISERROR(VLOOKUP($U$574,'TAR FIN'!$A$1:$O$103,15,0)),0,VLOOKUP($U$574,'TAR FIN'!$A$1:$O$103,15,0))</f>
        <v>153.1</v>
      </c>
      <c r="Y574" s="6"/>
      <c r="Z574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74" s="6">
        <f ca="1">('TE BE'!$AB$15+'TE BF_350'!$AB$15+'TE CVA'!$AB$15)*(1-CUSTOS!$M$35)</f>
        <v>171.90599999999998</v>
      </c>
      <c r="AB574" s="6">
        <f>$K$574*$V$574</f>
        <v>0</v>
      </c>
      <c r="AC574" s="6">
        <f>$M$574*$W$574</f>
        <v>36844.467660000002</v>
      </c>
      <c r="AD574" s="6">
        <f>$O$574*$X$574</f>
        <v>31306.959699999999</v>
      </c>
      <c r="AE574" s="6">
        <f>$K$574*$Y$574</f>
        <v>0</v>
      </c>
      <c r="AF574" s="6">
        <f ca="1">$M$574*$Z$574</f>
        <v>30844.819080000001</v>
      </c>
      <c r="AG574" s="6">
        <f ca="1">$O$574*$AA$574</f>
        <v>35152.542221999996</v>
      </c>
    </row>
    <row r="575" spans="1:33" ht="11.25" customHeight="1" x14ac:dyDescent="0.3">
      <c r="A575" s="4" t="s">
        <v>21</v>
      </c>
      <c r="B575" s="4" t="s">
        <v>22</v>
      </c>
      <c r="C575" s="4" t="s">
        <v>23</v>
      </c>
      <c r="D575" s="4" t="s">
        <v>24</v>
      </c>
      <c r="E575" s="4" t="s">
        <v>30</v>
      </c>
      <c r="F575" s="4" t="s">
        <v>25</v>
      </c>
      <c r="G575" s="4" t="s">
        <v>25</v>
      </c>
      <c r="H575" s="4" t="s">
        <v>25</v>
      </c>
      <c r="I575" s="5">
        <v>44774</v>
      </c>
      <c r="J575" s="6">
        <v>0</v>
      </c>
      <c r="K575" s="6">
        <v>0</v>
      </c>
      <c r="L575" s="6">
        <v>199.404</v>
      </c>
      <c r="M575" s="6">
        <v>199.404</v>
      </c>
      <c r="N575" s="6">
        <v>199.404</v>
      </c>
      <c r="O575" s="6">
        <v>199.404</v>
      </c>
      <c r="P575" s="6">
        <v>1039</v>
      </c>
      <c r="Q575" s="4" t="s">
        <v>26</v>
      </c>
      <c r="R575" s="4">
        <v>0</v>
      </c>
      <c r="S575" s="6">
        <v>0</v>
      </c>
      <c r="T575" s="6">
        <v>32</v>
      </c>
      <c r="U575" s="6">
        <v>73</v>
      </c>
      <c r="V575" s="6">
        <f>IF(ISERROR(VLOOKUP($S$575,'TAR FIN'!$A$1:$O$103,15,0)),0,VLOOKUP($S$575,'TAR FIN'!$A$1:$O$103,15,0))</f>
        <v>0</v>
      </c>
      <c r="W575" s="6">
        <f>IF(ISERROR(VLOOKUP($T$575,'TAR FIN'!$A$1:$O$103,15,0)),0,VLOOKUP($T$575,'TAR FIN'!$A$1:$O$103,15,0))</f>
        <v>180.18</v>
      </c>
      <c r="X575" s="6">
        <f>IF(ISERROR(VLOOKUP($U$575,'TAR FIN'!$A$1:$O$103,15,0)),0,VLOOKUP($U$575,'TAR FIN'!$A$1:$O$103,15,0))</f>
        <v>153.1</v>
      </c>
      <c r="Y575" s="6"/>
      <c r="Z575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75" s="6">
        <f ca="1">('TE BE'!$AB$15+'TE BF_350'!$AB$15+'TE CVA'!$AB$15)*(1-CUSTOS!$M$35)</f>
        <v>171.90599999999998</v>
      </c>
      <c r="AB575" s="6">
        <f>$K$575*$V$575</f>
        <v>0</v>
      </c>
      <c r="AC575" s="6">
        <f>$M$575*$W$575</f>
        <v>35928.612719999997</v>
      </c>
      <c r="AD575" s="6">
        <f>$O$575*$X$575</f>
        <v>30528.752399999998</v>
      </c>
      <c r="AE575" s="6">
        <f>$K$575*$Y$575</f>
        <v>0</v>
      </c>
      <c r="AF575" s="6">
        <f ca="1">$M$575*$Z$575</f>
        <v>30078.09936</v>
      </c>
      <c r="AG575" s="6">
        <f ca="1">$O$575*$AA$575</f>
        <v>34278.744023999992</v>
      </c>
    </row>
    <row r="576" spans="1:33" ht="11.25" customHeight="1" x14ac:dyDescent="0.3">
      <c r="A576" s="4" t="s">
        <v>21</v>
      </c>
      <c r="B576" s="4" t="s">
        <v>22</v>
      </c>
      <c r="C576" s="4" t="s">
        <v>23</v>
      </c>
      <c r="D576" s="4" t="s">
        <v>24</v>
      </c>
      <c r="E576" s="4" t="s">
        <v>30</v>
      </c>
      <c r="F576" s="4" t="s">
        <v>25</v>
      </c>
      <c r="G576" s="4" t="s">
        <v>25</v>
      </c>
      <c r="H576" s="4" t="s">
        <v>25</v>
      </c>
      <c r="I576" s="5">
        <v>44805</v>
      </c>
      <c r="J576" s="6">
        <v>0</v>
      </c>
      <c r="K576" s="6">
        <v>0</v>
      </c>
      <c r="L576" s="6">
        <v>210.48099999999999</v>
      </c>
      <c r="M576" s="6">
        <v>210.48099999999999</v>
      </c>
      <c r="N576" s="6">
        <v>210.48099999999999</v>
      </c>
      <c r="O576" s="6">
        <v>210.48099999999999</v>
      </c>
      <c r="P576" s="6">
        <v>753</v>
      </c>
      <c r="Q576" s="4" t="s">
        <v>26</v>
      </c>
      <c r="R576" s="4">
        <v>0</v>
      </c>
      <c r="S576" s="6">
        <v>0</v>
      </c>
      <c r="T576" s="6">
        <v>32</v>
      </c>
      <c r="U576" s="6">
        <v>73</v>
      </c>
      <c r="V576" s="6">
        <f>IF(ISERROR(VLOOKUP($S$576,'TAR FIN'!$A$1:$O$103,15,0)),0,VLOOKUP($S$576,'TAR FIN'!$A$1:$O$103,15,0))</f>
        <v>0</v>
      </c>
      <c r="W576" s="6">
        <f>IF(ISERROR(VLOOKUP($T$576,'TAR FIN'!$A$1:$O$103,15,0)),0,VLOOKUP($T$576,'TAR FIN'!$A$1:$O$103,15,0))</f>
        <v>180.18</v>
      </c>
      <c r="X576" s="6">
        <f>IF(ISERROR(VLOOKUP($U$576,'TAR FIN'!$A$1:$O$103,15,0)),0,VLOOKUP($U$576,'TAR FIN'!$A$1:$O$103,15,0))</f>
        <v>153.1</v>
      </c>
      <c r="Y576" s="6"/>
      <c r="Z576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76" s="6">
        <f ca="1">('TE BE'!$AB$15+'TE BF_350'!$AB$15+'TE CVA'!$AB$15)*(1-CUSTOS!$M$35)</f>
        <v>171.90599999999998</v>
      </c>
      <c r="AB576" s="6">
        <f>$K$576*$V$576</f>
        <v>0</v>
      </c>
      <c r="AC576" s="6">
        <f>$M$576*$W$576</f>
        <v>37924.46658</v>
      </c>
      <c r="AD576" s="6">
        <f>$O$576*$X$576</f>
        <v>32224.641099999997</v>
      </c>
      <c r="AE576" s="6">
        <f>$K$576*$Y$576</f>
        <v>0</v>
      </c>
      <c r="AF576" s="6">
        <f ca="1">$M$576*$Z$576</f>
        <v>31748.954040000001</v>
      </c>
      <c r="AG576" s="6">
        <f ca="1">$O$576*$AA$576</f>
        <v>36182.946785999993</v>
      </c>
    </row>
    <row r="577" spans="1:33" ht="11.25" customHeight="1" x14ac:dyDescent="0.3">
      <c r="A577" s="4" t="s">
        <v>28</v>
      </c>
      <c r="B577" s="4" t="s">
        <v>22</v>
      </c>
      <c r="C577" s="4" t="s">
        <v>23</v>
      </c>
      <c r="D577" s="4" t="s">
        <v>24</v>
      </c>
      <c r="E577" s="4" t="s">
        <v>30</v>
      </c>
      <c r="F577" s="4" t="s">
        <v>25</v>
      </c>
      <c r="G577" s="4" t="s">
        <v>25</v>
      </c>
      <c r="H577" s="4" t="s">
        <v>25</v>
      </c>
      <c r="I577" s="5">
        <v>44805</v>
      </c>
      <c r="J577" s="6">
        <v>0</v>
      </c>
      <c r="K577" s="6">
        <v>0</v>
      </c>
      <c r="L577" s="6">
        <v>7.0000000000000007E-2</v>
      </c>
      <c r="M577" s="6">
        <v>7.0000000000000007E-2</v>
      </c>
      <c r="N577" s="6">
        <v>7.0000000000000007E-2</v>
      </c>
      <c r="O577" s="6">
        <v>7.0000000000000007E-2</v>
      </c>
      <c r="P577" s="6">
        <v>0</v>
      </c>
      <c r="Q577" s="4" t="s">
        <v>26</v>
      </c>
      <c r="R577" s="4">
        <v>0</v>
      </c>
      <c r="S577" s="6">
        <v>0</v>
      </c>
      <c r="T577" s="6">
        <v>32</v>
      </c>
      <c r="U577" s="6">
        <v>73</v>
      </c>
      <c r="V577" s="6">
        <f>IF(ISERROR(VLOOKUP($S$577,'TAR FIN'!$A$1:$O$103,15,0)),0,VLOOKUP($S$577,'TAR FIN'!$A$1:$O$103,15,0))</f>
        <v>0</v>
      </c>
      <c r="W577" s="6">
        <f>IF(ISERROR(VLOOKUP($T$577,'TAR FIN'!$A$1:$O$103,15,0)),0,VLOOKUP($T$577,'TAR FIN'!$A$1:$O$103,15,0))</f>
        <v>180.18</v>
      </c>
      <c r="X577" s="6">
        <f>IF(ISERROR(VLOOKUP($U$577,'TAR FIN'!$A$1:$O$103,15,0)),0,VLOOKUP($U$577,'TAR FIN'!$A$1:$O$103,15,0))</f>
        <v>153.1</v>
      </c>
      <c r="Y577" s="6"/>
      <c r="Z577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77" s="6">
        <f ca="1">('TE BE'!$AB$15+'TE BF_350'!$AB$15+'TE CVA'!$AB$15)*(1-CUSTOS!$M$35)</f>
        <v>171.90599999999998</v>
      </c>
      <c r="AB577" s="6">
        <f>$K$577*$V$577</f>
        <v>0</v>
      </c>
      <c r="AC577" s="6">
        <f>$M$577*$W$577</f>
        <v>12.612600000000002</v>
      </c>
      <c r="AD577" s="6">
        <f>$O$577*$X$577</f>
        <v>10.717000000000001</v>
      </c>
      <c r="AE577" s="6">
        <f>$K$577*$Y$577</f>
        <v>0</v>
      </c>
      <c r="AF577" s="6">
        <f ca="1">$M$577*$Z$577</f>
        <v>10.558800000000002</v>
      </c>
      <c r="AG577" s="6">
        <f ca="1">$O$577*$AA$577</f>
        <v>12.03342</v>
      </c>
    </row>
    <row r="578" spans="1:33" ht="11.25" customHeight="1" x14ac:dyDescent="0.3">
      <c r="A578" s="4" t="s">
        <v>57</v>
      </c>
      <c r="B578" s="4" t="s">
        <v>22</v>
      </c>
      <c r="C578" s="4" t="s">
        <v>23</v>
      </c>
      <c r="D578" s="4" t="s">
        <v>24</v>
      </c>
      <c r="E578" s="4" t="s">
        <v>30</v>
      </c>
      <c r="F578" s="4" t="s">
        <v>25</v>
      </c>
      <c r="G578" s="4" t="s">
        <v>25</v>
      </c>
      <c r="H578" s="4" t="s">
        <v>25</v>
      </c>
      <c r="I578" s="5">
        <v>44835</v>
      </c>
      <c r="J578" s="6">
        <v>0</v>
      </c>
      <c r="K578" s="6">
        <v>0</v>
      </c>
      <c r="L578" s="6">
        <v>210.48099999999999</v>
      </c>
      <c r="M578" s="6">
        <v>210.48099999999999</v>
      </c>
      <c r="N578" s="6">
        <v>210.48099999999999</v>
      </c>
      <c r="O578" s="6">
        <v>210.48099999999999</v>
      </c>
      <c r="P578" s="6">
        <v>753</v>
      </c>
      <c r="Q578" s="4" t="s">
        <v>26</v>
      </c>
      <c r="R578" s="4">
        <v>0</v>
      </c>
      <c r="S578" s="6">
        <v>0</v>
      </c>
      <c r="T578" s="6">
        <v>32</v>
      </c>
      <c r="U578" s="6">
        <v>73</v>
      </c>
      <c r="V578" s="6">
        <f>IF(ISERROR(VLOOKUP($S$578,'TAR FIN'!$A$1:$O$103,15,0)),0,VLOOKUP($S$578,'TAR FIN'!$A$1:$O$103,15,0))</f>
        <v>0</v>
      </c>
      <c r="W578" s="6">
        <f>IF(ISERROR(VLOOKUP($T$578,'TAR FIN'!$A$1:$O$103,15,0)),0,VLOOKUP($T$578,'TAR FIN'!$A$1:$O$103,15,0))</f>
        <v>180.18</v>
      </c>
      <c r="X578" s="6">
        <f>IF(ISERROR(VLOOKUP($U$578,'TAR FIN'!$A$1:$O$103,15,0)),0,VLOOKUP($U$578,'TAR FIN'!$A$1:$O$103,15,0))</f>
        <v>153.1</v>
      </c>
      <c r="Y578" s="6"/>
      <c r="Z578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78" s="6">
        <f ca="1">('TE BE'!$AB$15+'TE BF_350'!$AB$15+'TE CVA'!$AB$15)*(1-CUSTOS!$M$35)</f>
        <v>171.90599999999998</v>
      </c>
      <c r="AB578" s="6">
        <f>$K$578*$V$578</f>
        <v>0</v>
      </c>
      <c r="AC578" s="6">
        <f>$M$578*$W$578</f>
        <v>37924.46658</v>
      </c>
      <c r="AD578" s="6">
        <f>$O$578*$X$578</f>
        <v>32224.641099999997</v>
      </c>
      <c r="AE578" s="6">
        <f>$K$578*$Y$578</f>
        <v>0</v>
      </c>
      <c r="AF578" s="6">
        <f ca="1">$M$578*$Z$578</f>
        <v>31748.954040000001</v>
      </c>
      <c r="AG578" s="6">
        <f ca="1">$O$578*$AA$578</f>
        <v>36182.946785999993</v>
      </c>
    </row>
    <row r="579" spans="1:33" ht="11.25" customHeight="1" x14ac:dyDescent="0.3">
      <c r="A579" s="4" t="s">
        <v>57</v>
      </c>
      <c r="B579" s="4" t="s">
        <v>22</v>
      </c>
      <c r="C579" s="4" t="s">
        <v>23</v>
      </c>
      <c r="D579" s="4" t="s">
        <v>24</v>
      </c>
      <c r="E579" s="4" t="s">
        <v>30</v>
      </c>
      <c r="F579" s="4" t="s">
        <v>25</v>
      </c>
      <c r="G579" s="4" t="s">
        <v>25</v>
      </c>
      <c r="H579" s="4" t="s">
        <v>25</v>
      </c>
      <c r="I579" s="5">
        <v>44835</v>
      </c>
      <c r="J579" s="6">
        <v>0</v>
      </c>
      <c r="K579" s="6">
        <v>0</v>
      </c>
      <c r="L579" s="6">
        <v>7.0000000000000007E-2</v>
      </c>
      <c r="M579" s="6">
        <v>7.0000000000000007E-2</v>
      </c>
      <c r="N579" s="6">
        <v>7.0000000000000007E-2</v>
      </c>
      <c r="O579" s="6">
        <v>7.0000000000000007E-2</v>
      </c>
      <c r="P579" s="6">
        <v>0</v>
      </c>
      <c r="Q579" s="4" t="s">
        <v>26</v>
      </c>
      <c r="R579" s="4">
        <v>0</v>
      </c>
      <c r="S579" s="6">
        <v>0</v>
      </c>
      <c r="T579" s="6">
        <v>32</v>
      </c>
      <c r="U579" s="6">
        <v>73</v>
      </c>
      <c r="V579" s="6">
        <f>IF(ISERROR(VLOOKUP($S$579,'TAR FIN'!$A$1:$O$103,15,0)),0,VLOOKUP($S$579,'TAR FIN'!$A$1:$O$103,15,0))</f>
        <v>0</v>
      </c>
      <c r="W579" s="6">
        <f>IF(ISERROR(VLOOKUP($T$579,'TAR FIN'!$A$1:$O$103,15,0)),0,VLOOKUP($T$579,'TAR FIN'!$A$1:$O$103,15,0))</f>
        <v>180.18</v>
      </c>
      <c r="X579" s="6">
        <f>IF(ISERROR(VLOOKUP($U$579,'TAR FIN'!$A$1:$O$103,15,0)),0,VLOOKUP($U$579,'TAR FIN'!$A$1:$O$103,15,0))</f>
        <v>153.1</v>
      </c>
      <c r="Y579" s="6"/>
      <c r="Z579" s="6">
        <f ca="1">('TUSD BE'!$AM$34+'TUSD BF_350'!$AM$34+'TUSD CVA'!$AM$34-('TUSD BE'!$P$34+'TUSD BF_350'!$P$34+'TUSD CVA'!$P$34)-('TUSD BE'!$Q$34+'TUSD BF_350'!$Q$34+'TUSD CVA'!$Q$34)-('TUSD BE'!$R$34+'TUSD BF_350'!$R$34+'TUSD CVA'!$R$34))*(1-CUSTOS!$M$35)</f>
        <v>150.84</v>
      </c>
      <c r="AA579" s="6">
        <f ca="1">('TE BE'!$AB$15+'TE BF_350'!$AB$15+'TE CVA'!$AB$15)*(1-CUSTOS!$M$35)</f>
        <v>171.90599999999998</v>
      </c>
      <c r="AB579" s="6">
        <f>$K$579*$V$579</f>
        <v>0</v>
      </c>
      <c r="AC579" s="6">
        <f>$M$579*$W$579</f>
        <v>12.612600000000002</v>
      </c>
      <c r="AD579" s="6">
        <f>$O$579*$X$579</f>
        <v>10.717000000000001</v>
      </c>
      <c r="AE579" s="6">
        <f>$K$579*$Y$579</f>
        <v>0</v>
      </c>
      <c r="AF579" s="6">
        <f ca="1">$M$579*$Z$579</f>
        <v>10.558800000000002</v>
      </c>
      <c r="AG579" s="6">
        <f ca="1">$O$579*$AA$579</f>
        <v>12.03342</v>
      </c>
    </row>
    <row r="580" spans="1:33" ht="11.25" customHeight="1" x14ac:dyDescent="0.3">
      <c r="A580" s="4" t="s">
        <v>21</v>
      </c>
      <c r="B580" s="4" t="s">
        <v>22</v>
      </c>
      <c r="C580" s="4" t="s">
        <v>23</v>
      </c>
      <c r="D580" s="4" t="s">
        <v>24</v>
      </c>
      <c r="E580" s="4" t="s">
        <v>31</v>
      </c>
      <c r="F580" s="4" t="s">
        <v>25</v>
      </c>
      <c r="G580" s="4" t="s">
        <v>25</v>
      </c>
      <c r="H580" s="4" t="s">
        <v>25</v>
      </c>
      <c r="I580" s="5">
        <v>44501</v>
      </c>
      <c r="J580" s="6">
        <v>0</v>
      </c>
      <c r="K580" s="6">
        <v>0</v>
      </c>
      <c r="L580" s="6">
        <v>109.375</v>
      </c>
      <c r="M580" s="6">
        <v>109.375</v>
      </c>
      <c r="N580" s="6">
        <v>109.375</v>
      </c>
      <c r="O580" s="6">
        <v>109.375</v>
      </c>
      <c r="P580" s="6">
        <v>1473</v>
      </c>
      <c r="Q580" s="4" t="s">
        <v>26</v>
      </c>
      <c r="R580" s="4">
        <v>0</v>
      </c>
      <c r="S580" s="6">
        <v>0</v>
      </c>
      <c r="T580" s="6">
        <v>33</v>
      </c>
      <c r="U580" s="6">
        <v>74</v>
      </c>
      <c r="V580" s="6">
        <f>IF(ISERROR(VLOOKUP($S$580,'TAR FIN'!$A$1:$O$103,15,0)),0,VLOOKUP($S$580,'TAR FIN'!$A$1:$O$103,15,0))</f>
        <v>0</v>
      </c>
      <c r="W580" s="6">
        <f>IF(ISERROR(VLOOKUP($T$580,'TAR FIN'!$A$1:$O$103,15,0)),0,VLOOKUP($T$580,'TAR FIN'!$A$1:$O$103,15,0))</f>
        <v>270.27</v>
      </c>
      <c r="X580" s="6">
        <f>IF(ISERROR(VLOOKUP($U$580,'TAR FIN'!$A$1:$O$103,15,0)),0,VLOOKUP($U$580,'TAR FIN'!$A$1:$O$103,15,0))</f>
        <v>229.65</v>
      </c>
      <c r="Y580" s="6"/>
      <c r="Z580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80" s="6">
        <f ca="1">('TE BE'!$AB$16+'TE BF_350'!$AB$16+'TE CVA'!$AB$16)*(1-CUSTOS!$M$36)</f>
        <v>257.85899999999998</v>
      </c>
      <c r="AB580" s="6">
        <f>$K$580*$V$580</f>
        <v>0</v>
      </c>
      <c r="AC580" s="6">
        <f>$M$580*$W$580</f>
        <v>29560.781249999996</v>
      </c>
      <c r="AD580" s="6">
        <f>$O$580*$X$580</f>
        <v>25117.96875</v>
      </c>
      <c r="AE580" s="6">
        <f>$K$580*$Y$580</f>
        <v>0</v>
      </c>
      <c r="AF580" s="6">
        <f ca="1">$M$580*$Z$580</f>
        <v>24747.187500000004</v>
      </c>
      <c r="AG580" s="6">
        <f ca="1">$O$580*$AA$580</f>
        <v>28203.328124999996</v>
      </c>
    </row>
    <row r="581" spans="1:33" ht="11.25" customHeight="1" x14ac:dyDescent="0.3">
      <c r="A581" s="4" t="s">
        <v>21</v>
      </c>
      <c r="B581" s="4" t="s">
        <v>22</v>
      </c>
      <c r="C581" s="4" t="s">
        <v>23</v>
      </c>
      <c r="D581" s="4" t="s">
        <v>24</v>
      </c>
      <c r="E581" s="4" t="s">
        <v>31</v>
      </c>
      <c r="F581" s="4" t="s">
        <v>25</v>
      </c>
      <c r="G581" s="4" t="s">
        <v>25</v>
      </c>
      <c r="H581" s="4" t="s">
        <v>25</v>
      </c>
      <c r="I581" s="5">
        <v>44531</v>
      </c>
      <c r="J581" s="6">
        <v>0</v>
      </c>
      <c r="K581" s="6">
        <v>0</v>
      </c>
      <c r="L581" s="6">
        <v>109.339</v>
      </c>
      <c r="M581" s="6">
        <v>109.339</v>
      </c>
      <c r="N581" s="6">
        <v>109.339</v>
      </c>
      <c r="O581" s="6">
        <v>109.339</v>
      </c>
      <c r="P581" s="6">
        <v>1550</v>
      </c>
      <c r="Q581" s="4" t="s">
        <v>26</v>
      </c>
      <c r="R581" s="4">
        <v>0</v>
      </c>
      <c r="S581" s="6">
        <v>0</v>
      </c>
      <c r="T581" s="6">
        <v>33</v>
      </c>
      <c r="U581" s="6">
        <v>74</v>
      </c>
      <c r="V581" s="6">
        <f>IF(ISERROR(VLOOKUP($S$581,'TAR FIN'!$A$1:$O$103,15,0)),0,VLOOKUP($S$581,'TAR FIN'!$A$1:$O$103,15,0))</f>
        <v>0</v>
      </c>
      <c r="W581" s="6">
        <f>IF(ISERROR(VLOOKUP($T$581,'TAR FIN'!$A$1:$O$103,15,0)),0,VLOOKUP($T$581,'TAR FIN'!$A$1:$O$103,15,0))</f>
        <v>270.27</v>
      </c>
      <c r="X581" s="6">
        <f>IF(ISERROR(VLOOKUP($U$581,'TAR FIN'!$A$1:$O$103,15,0)),0,VLOOKUP($U$581,'TAR FIN'!$A$1:$O$103,15,0))</f>
        <v>229.65</v>
      </c>
      <c r="Y581" s="6"/>
      <c r="Z581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81" s="6">
        <f ca="1">('TE BE'!$AB$16+'TE BF_350'!$AB$16+'TE CVA'!$AB$16)*(1-CUSTOS!$M$36)</f>
        <v>257.85899999999998</v>
      </c>
      <c r="AB581" s="6">
        <f>$K$581*$V$581</f>
        <v>0</v>
      </c>
      <c r="AC581" s="6">
        <f>$M$581*$W$581</f>
        <v>29551.051529999997</v>
      </c>
      <c r="AD581" s="6">
        <f>$O$581*$X$581</f>
        <v>25109.701349999999</v>
      </c>
      <c r="AE581" s="6">
        <f>$K$581*$Y$581</f>
        <v>0</v>
      </c>
      <c r="AF581" s="6">
        <f ca="1">$M$581*$Z$581</f>
        <v>24739.042140000001</v>
      </c>
      <c r="AG581" s="6">
        <f ca="1">$O$581*$AA$581</f>
        <v>28194.045200999997</v>
      </c>
    </row>
    <row r="582" spans="1:33" ht="11.25" customHeight="1" x14ac:dyDescent="0.3">
      <c r="A582" s="4" t="s">
        <v>21</v>
      </c>
      <c r="B582" s="4" t="s">
        <v>22</v>
      </c>
      <c r="C582" s="4" t="s">
        <v>23</v>
      </c>
      <c r="D582" s="4" t="s">
        <v>24</v>
      </c>
      <c r="E582" s="4" t="s">
        <v>31</v>
      </c>
      <c r="F582" s="4" t="s">
        <v>25</v>
      </c>
      <c r="G582" s="4" t="s">
        <v>25</v>
      </c>
      <c r="H582" s="4" t="s">
        <v>25</v>
      </c>
      <c r="I582" s="5">
        <v>44562</v>
      </c>
      <c r="J582" s="6">
        <v>0</v>
      </c>
      <c r="K582" s="6">
        <v>0</v>
      </c>
      <c r="L582" s="6">
        <v>118.824</v>
      </c>
      <c r="M582" s="6">
        <v>118.824</v>
      </c>
      <c r="N582" s="6">
        <v>118.824</v>
      </c>
      <c r="O582" s="6">
        <v>118.824</v>
      </c>
      <c r="P582" s="6">
        <v>1563</v>
      </c>
      <c r="Q582" s="4" t="s">
        <v>26</v>
      </c>
      <c r="R582" s="4">
        <v>0</v>
      </c>
      <c r="S582" s="6">
        <v>0</v>
      </c>
      <c r="T582" s="6">
        <v>33</v>
      </c>
      <c r="U582" s="6">
        <v>74</v>
      </c>
      <c r="V582" s="6">
        <f>IF(ISERROR(VLOOKUP($S$582,'TAR FIN'!$A$1:$O$103,15,0)),0,VLOOKUP($S$582,'TAR FIN'!$A$1:$O$103,15,0))</f>
        <v>0</v>
      </c>
      <c r="W582" s="6">
        <f>IF(ISERROR(VLOOKUP($T$582,'TAR FIN'!$A$1:$O$103,15,0)),0,VLOOKUP($T$582,'TAR FIN'!$A$1:$O$103,15,0))</f>
        <v>270.27</v>
      </c>
      <c r="X582" s="6">
        <f>IF(ISERROR(VLOOKUP($U$582,'TAR FIN'!$A$1:$O$103,15,0)),0,VLOOKUP($U$582,'TAR FIN'!$A$1:$O$103,15,0))</f>
        <v>229.65</v>
      </c>
      <c r="Y582" s="6"/>
      <c r="Z582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82" s="6">
        <f ca="1">('TE BE'!$AB$16+'TE BF_350'!$AB$16+'TE CVA'!$AB$16)*(1-CUSTOS!$M$36)</f>
        <v>257.85899999999998</v>
      </c>
      <c r="AB582" s="6">
        <f>$K$582*$V$582</f>
        <v>0</v>
      </c>
      <c r="AC582" s="6">
        <f>$M$582*$W$582</f>
        <v>32114.562479999997</v>
      </c>
      <c r="AD582" s="6">
        <f>$O$582*$X$582</f>
        <v>27287.9316</v>
      </c>
      <c r="AE582" s="6">
        <f>$K$582*$Y$582</f>
        <v>0</v>
      </c>
      <c r="AF582" s="6">
        <f ca="1">$M$582*$Z$582</f>
        <v>26885.118240000003</v>
      </c>
      <c r="AG582" s="6">
        <f ca="1">$O$582*$AA$582</f>
        <v>30639.837815999996</v>
      </c>
    </row>
    <row r="583" spans="1:33" ht="11.25" customHeight="1" x14ac:dyDescent="0.3">
      <c r="A583" s="4" t="s">
        <v>21</v>
      </c>
      <c r="B583" s="4" t="s">
        <v>22</v>
      </c>
      <c r="C583" s="4" t="s">
        <v>23</v>
      </c>
      <c r="D583" s="4" t="s">
        <v>24</v>
      </c>
      <c r="E583" s="4" t="s">
        <v>31</v>
      </c>
      <c r="F583" s="4" t="s">
        <v>25</v>
      </c>
      <c r="G583" s="4" t="s">
        <v>25</v>
      </c>
      <c r="H583" s="4" t="s">
        <v>25</v>
      </c>
      <c r="I583" s="5">
        <v>44593</v>
      </c>
      <c r="J583" s="6">
        <v>0</v>
      </c>
      <c r="K583" s="6">
        <v>0</v>
      </c>
      <c r="L583" s="6">
        <v>119.429</v>
      </c>
      <c r="M583" s="6">
        <v>119.429</v>
      </c>
      <c r="N583" s="6">
        <v>119.429</v>
      </c>
      <c r="O583" s="6">
        <v>119.429</v>
      </c>
      <c r="P583" s="6">
        <v>1643</v>
      </c>
      <c r="Q583" s="4" t="s">
        <v>26</v>
      </c>
      <c r="R583" s="4">
        <v>0</v>
      </c>
      <c r="S583" s="6">
        <v>0</v>
      </c>
      <c r="T583" s="6">
        <v>33</v>
      </c>
      <c r="U583" s="6">
        <v>74</v>
      </c>
      <c r="V583" s="6">
        <f>IF(ISERROR(VLOOKUP($S$583,'TAR FIN'!$A$1:$O$103,15,0)),0,VLOOKUP($S$583,'TAR FIN'!$A$1:$O$103,15,0))</f>
        <v>0</v>
      </c>
      <c r="W583" s="6">
        <f>IF(ISERROR(VLOOKUP($T$583,'TAR FIN'!$A$1:$O$103,15,0)),0,VLOOKUP($T$583,'TAR FIN'!$A$1:$O$103,15,0))</f>
        <v>270.27</v>
      </c>
      <c r="X583" s="6">
        <f>IF(ISERROR(VLOOKUP($U$583,'TAR FIN'!$A$1:$O$103,15,0)),0,VLOOKUP($U$583,'TAR FIN'!$A$1:$O$103,15,0))</f>
        <v>229.65</v>
      </c>
      <c r="Y583" s="6"/>
      <c r="Z583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83" s="6">
        <f ca="1">('TE BE'!$AB$16+'TE BF_350'!$AB$16+'TE CVA'!$AB$16)*(1-CUSTOS!$M$36)</f>
        <v>257.85899999999998</v>
      </c>
      <c r="AB583" s="6">
        <f>$K$583*$V$583</f>
        <v>0</v>
      </c>
      <c r="AC583" s="6">
        <f>$M$583*$W$583</f>
        <v>32278.075829999998</v>
      </c>
      <c r="AD583" s="6">
        <f>$O$583*$X$583</f>
        <v>27426.869850000003</v>
      </c>
      <c r="AE583" s="6">
        <f>$K$583*$Y$583</f>
        <v>0</v>
      </c>
      <c r="AF583" s="6">
        <f ca="1">$M$583*$Z$583</f>
        <v>27022.005540000002</v>
      </c>
      <c r="AG583" s="6">
        <f ca="1">$O$583*$AA$583</f>
        <v>30795.842510999999</v>
      </c>
    </row>
    <row r="584" spans="1:33" ht="11.25" customHeight="1" x14ac:dyDescent="0.3">
      <c r="A584" s="4" t="s">
        <v>21</v>
      </c>
      <c r="B584" s="4" t="s">
        <v>22</v>
      </c>
      <c r="C584" s="4" t="s">
        <v>23</v>
      </c>
      <c r="D584" s="4" t="s">
        <v>24</v>
      </c>
      <c r="E584" s="4" t="s">
        <v>31</v>
      </c>
      <c r="F584" s="4" t="s">
        <v>25</v>
      </c>
      <c r="G584" s="4" t="s">
        <v>25</v>
      </c>
      <c r="H584" s="4" t="s">
        <v>25</v>
      </c>
      <c r="I584" s="5">
        <v>44621</v>
      </c>
      <c r="J584" s="6">
        <v>0</v>
      </c>
      <c r="K584" s="6">
        <v>0</v>
      </c>
      <c r="L584" s="6">
        <v>109.42</v>
      </c>
      <c r="M584" s="6">
        <v>109.42</v>
      </c>
      <c r="N584" s="6">
        <v>109.42</v>
      </c>
      <c r="O584" s="6">
        <v>109.42</v>
      </c>
      <c r="P584" s="6">
        <v>1674</v>
      </c>
      <c r="Q584" s="4" t="s">
        <v>26</v>
      </c>
      <c r="R584" s="4">
        <v>0</v>
      </c>
      <c r="S584" s="6">
        <v>0</v>
      </c>
      <c r="T584" s="6">
        <v>33</v>
      </c>
      <c r="U584" s="6">
        <v>74</v>
      </c>
      <c r="V584" s="6">
        <f>IF(ISERROR(VLOOKUP($S$584,'TAR FIN'!$A$1:$O$103,15,0)),0,VLOOKUP($S$584,'TAR FIN'!$A$1:$O$103,15,0))</f>
        <v>0</v>
      </c>
      <c r="W584" s="6">
        <f>IF(ISERROR(VLOOKUP($T$584,'TAR FIN'!$A$1:$O$103,15,0)),0,VLOOKUP($T$584,'TAR FIN'!$A$1:$O$103,15,0))</f>
        <v>270.27</v>
      </c>
      <c r="X584" s="6">
        <f>IF(ISERROR(VLOOKUP($U$584,'TAR FIN'!$A$1:$O$103,15,0)),0,VLOOKUP($U$584,'TAR FIN'!$A$1:$O$103,15,0))</f>
        <v>229.65</v>
      </c>
      <c r="Y584" s="6"/>
      <c r="Z584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84" s="6">
        <f ca="1">('TE BE'!$AB$16+'TE BF_350'!$AB$16+'TE CVA'!$AB$16)*(1-CUSTOS!$M$36)</f>
        <v>257.85899999999998</v>
      </c>
      <c r="AB584" s="6">
        <f>$K$584*$V$584</f>
        <v>0</v>
      </c>
      <c r="AC584" s="6">
        <f>$M$584*$W$584</f>
        <v>29572.9434</v>
      </c>
      <c r="AD584" s="6">
        <f>$O$584*$X$584</f>
        <v>25128.303</v>
      </c>
      <c r="AE584" s="6">
        <f>$K$584*$Y$584</f>
        <v>0</v>
      </c>
      <c r="AF584" s="6">
        <f ca="1">$M$584*$Z$584</f>
        <v>24757.369200000001</v>
      </c>
      <c r="AG584" s="6">
        <f ca="1">$O$584*$AA$584</f>
        <v>28214.931779999999</v>
      </c>
    </row>
    <row r="585" spans="1:33" ht="11.25" customHeight="1" x14ac:dyDescent="0.3">
      <c r="A585" s="4" t="s">
        <v>21</v>
      </c>
      <c r="B585" s="4" t="s">
        <v>22</v>
      </c>
      <c r="C585" s="4" t="s">
        <v>23</v>
      </c>
      <c r="D585" s="4" t="s">
        <v>24</v>
      </c>
      <c r="E585" s="4" t="s">
        <v>31</v>
      </c>
      <c r="F585" s="4" t="s">
        <v>25</v>
      </c>
      <c r="G585" s="4" t="s">
        <v>25</v>
      </c>
      <c r="H585" s="4" t="s">
        <v>25</v>
      </c>
      <c r="I585" s="5">
        <v>44652</v>
      </c>
      <c r="J585" s="6">
        <v>0</v>
      </c>
      <c r="K585" s="6">
        <v>0</v>
      </c>
      <c r="L585" s="6">
        <v>159.411</v>
      </c>
      <c r="M585" s="6">
        <v>159.411</v>
      </c>
      <c r="N585" s="6">
        <v>159.411</v>
      </c>
      <c r="O585" s="6">
        <v>159.411</v>
      </c>
      <c r="P585" s="6">
        <v>1893</v>
      </c>
      <c r="Q585" s="4" t="s">
        <v>26</v>
      </c>
      <c r="R585" s="4">
        <v>0</v>
      </c>
      <c r="S585" s="6">
        <v>0</v>
      </c>
      <c r="T585" s="6">
        <v>33</v>
      </c>
      <c r="U585" s="6">
        <v>74</v>
      </c>
      <c r="V585" s="6">
        <f>IF(ISERROR(VLOOKUP($S$585,'TAR FIN'!$A$1:$O$103,15,0)),0,VLOOKUP($S$585,'TAR FIN'!$A$1:$O$103,15,0))</f>
        <v>0</v>
      </c>
      <c r="W585" s="6">
        <f>IF(ISERROR(VLOOKUP($T$585,'TAR FIN'!$A$1:$O$103,15,0)),0,VLOOKUP($T$585,'TAR FIN'!$A$1:$O$103,15,0))</f>
        <v>270.27</v>
      </c>
      <c r="X585" s="6">
        <f>IF(ISERROR(VLOOKUP($U$585,'TAR FIN'!$A$1:$O$103,15,0)),0,VLOOKUP($U$585,'TAR FIN'!$A$1:$O$103,15,0))</f>
        <v>229.65</v>
      </c>
      <c r="Y585" s="6"/>
      <c r="Z585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85" s="6">
        <f ca="1">('TE BE'!$AB$16+'TE BF_350'!$AB$16+'TE CVA'!$AB$16)*(1-CUSTOS!$M$36)</f>
        <v>257.85899999999998</v>
      </c>
      <c r="AB585" s="6">
        <f>$K$585*$V$585</f>
        <v>0</v>
      </c>
      <c r="AC585" s="6">
        <f>$M$585*$W$585</f>
        <v>43084.010969999996</v>
      </c>
      <c r="AD585" s="6">
        <f>$O$585*$X$585</f>
        <v>36608.736150000004</v>
      </c>
      <c r="AE585" s="6">
        <f>$K$585*$Y$585</f>
        <v>0</v>
      </c>
      <c r="AF585" s="6">
        <f ca="1">$M$585*$Z$585</f>
        <v>36068.332860000002</v>
      </c>
      <c r="AG585" s="6">
        <f ca="1">$O$585*$AA$585</f>
        <v>41105.561048999996</v>
      </c>
    </row>
    <row r="586" spans="1:33" ht="11.25" customHeight="1" x14ac:dyDescent="0.3">
      <c r="A586" s="4" t="s">
        <v>21</v>
      </c>
      <c r="B586" s="4" t="s">
        <v>22</v>
      </c>
      <c r="C586" s="4" t="s">
        <v>23</v>
      </c>
      <c r="D586" s="4" t="s">
        <v>24</v>
      </c>
      <c r="E586" s="4" t="s">
        <v>31</v>
      </c>
      <c r="F586" s="4" t="s">
        <v>25</v>
      </c>
      <c r="G586" s="4" t="s">
        <v>25</v>
      </c>
      <c r="H586" s="4" t="s">
        <v>25</v>
      </c>
      <c r="I586" s="5">
        <v>44682</v>
      </c>
      <c r="J586" s="6">
        <v>0</v>
      </c>
      <c r="K586" s="6">
        <v>0</v>
      </c>
      <c r="L586" s="6">
        <v>151.39599999999999</v>
      </c>
      <c r="M586" s="6">
        <v>151.39599999999999</v>
      </c>
      <c r="N586" s="6">
        <v>151.39599999999999</v>
      </c>
      <c r="O586" s="6">
        <v>151.39599999999999</v>
      </c>
      <c r="P586" s="6">
        <v>2031</v>
      </c>
      <c r="Q586" s="4" t="s">
        <v>26</v>
      </c>
      <c r="R586" s="4">
        <v>0</v>
      </c>
      <c r="S586" s="6">
        <v>0</v>
      </c>
      <c r="T586" s="6">
        <v>33</v>
      </c>
      <c r="U586" s="6">
        <v>74</v>
      </c>
      <c r="V586" s="6">
        <f>IF(ISERROR(VLOOKUP($S$586,'TAR FIN'!$A$1:$O$103,15,0)),0,VLOOKUP($S$586,'TAR FIN'!$A$1:$O$103,15,0))</f>
        <v>0</v>
      </c>
      <c r="W586" s="6">
        <f>IF(ISERROR(VLOOKUP($T$586,'TAR FIN'!$A$1:$O$103,15,0)),0,VLOOKUP($T$586,'TAR FIN'!$A$1:$O$103,15,0))</f>
        <v>270.27</v>
      </c>
      <c r="X586" s="6">
        <f>IF(ISERROR(VLOOKUP($U$586,'TAR FIN'!$A$1:$O$103,15,0)),0,VLOOKUP($U$586,'TAR FIN'!$A$1:$O$103,15,0))</f>
        <v>229.65</v>
      </c>
      <c r="Y586" s="6"/>
      <c r="Z586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86" s="6">
        <f ca="1">('TE BE'!$AB$16+'TE BF_350'!$AB$16+'TE CVA'!$AB$16)*(1-CUSTOS!$M$36)</f>
        <v>257.85899999999998</v>
      </c>
      <c r="AB586" s="6">
        <f>$K$586*$V$586</f>
        <v>0</v>
      </c>
      <c r="AC586" s="6">
        <f>$M$586*$W$586</f>
        <v>40917.796919999993</v>
      </c>
      <c r="AD586" s="6">
        <f>$O$586*$X$586</f>
        <v>34768.091399999998</v>
      </c>
      <c r="AE586" s="6">
        <f>$K$586*$Y$586</f>
        <v>0</v>
      </c>
      <c r="AF586" s="6">
        <f ca="1">$M$586*$Z$586</f>
        <v>34254.858959999998</v>
      </c>
      <c r="AG586" s="6">
        <f ca="1">$O$586*$AA$586</f>
        <v>39038.821163999994</v>
      </c>
    </row>
    <row r="587" spans="1:33" ht="11.25" customHeight="1" x14ac:dyDescent="0.3">
      <c r="A587" s="4" t="s">
        <v>21</v>
      </c>
      <c r="B587" s="4" t="s">
        <v>22</v>
      </c>
      <c r="C587" s="4" t="s">
        <v>23</v>
      </c>
      <c r="D587" s="4" t="s">
        <v>24</v>
      </c>
      <c r="E587" s="4" t="s">
        <v>31</v>
      </c>
      <c r="F587" s="4" t="s">
        <v>25</v>
      </c>
      <c r="G587" s="4" t="s">
        <v>25</v>
      </c>
      <c r="H587" s="4" t="s">
        <v>25</v>
      </c>
      <c r="I587" s="5">
        <v>44713</v>
      </c>
      <c r="J587" s="6">
        <v>0</v>
      </c>
      <c r="K587" s="6">
        <v>0</v>
      </c>
      <c r="L587" s="6">
        <v>119.86199999999999</v>
      </c>
      <c r="M587" s="6">
        <v>119.86199999999999</v>
      </c>
      <c r="N587" s="6">
        <v>119.86199999999999</v>
      </c>
      <c r="O587" s="6">
        <v>119.86199999999999</v>
      </c>
      <c r="P587" s="6">
        <v>1966</v>
      </c>
      <c r="Q587" s="4" t="s">
        <v>26</v>
      </c>
      <c r="R587" s="4">
        <v>0</v>
      </c>
      <c r="S587" s="6">
        <v>0</v>
      </c>
      <c r="T587" s="6">
        <v>33</v>
      </c>
      <c r="U587" s="6">
        <v>74</v>
      </c>
      <c r="V587" s="6">
        <f>IF(ISERROR(VLOOKUP($S$587,'TAR FIN'!$A$1:$O$103,15,0)),0,VLOOKUP($S$587,'TAR FIN'!$A$1:$O$103,15,0))</f>
        <v>0</v>
      </c>
      <c r="W587" s="6">
        <f>IF(ISERROR(VLOOKUP($T$587,'TAR FIN'!$A$1:$O$103,15,0)),0,VLOOKUP($T$587,'TAR FIN'!$A$1:$O$103,15,0))</f>
        <v>270.27</v>
      </c>
      <c r="X587" s="6">
        <f>IF(ISERROR(VLOOKUP($U$587,'TAR FIN'!$A$1:$O$103,15,0)),0,VLOOKUP($U$587,'TAR FIN'!$A$1:$O$103,15,0))</f>
        <v>229.65</v>
      </c>
      <c r="Y587" s="6"/>
      <c r="Z587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87" s="6">
        <f ca="1">('TE BE'!$AB$16+'TE BF_350'!$AB$16+'TE CVA'!$AB$16)*(1-CUSTOS!$M$36)</f>
        <v>257.85899999999998</v>
      </c>
      <c r="AB587" s="6">
        <f>$K$587*$V$587</f>
        <v>0</v>
      </c>
      <c r="AC587" s="6">
        <f>$M$587*$W$587</f>
        <v>32395.102739999995</v>
      </c>
      <c r="AD587" s="6">
        <f>$O$587*$X$587</f>
        <v>27526.308300000001</v>
      </c>
      <c r="AE587" s="6">
        <f>$K$587*$Y$587</f>
        <v>0</v>
      </c>
      <c r="AF587" s="6">
        <f ca="1">$M$587*$Z$587</f>
        <v>27119.976119999999</v>
      </c>
      <c r="AG587" s="6">
        <f ca="1">$O$587*$AA$587</f>
        <v>30907.495457999998</v>
      </c>
    </row>
    <row r="588" spans="1:33" ht="11.25" customHeight="1" x14ac:dyDescent="0.3">
      <c r="A588" s="4" t="s">
        <v>21</v>
      </c>
      <c r="B588" s="4" t="s">
        <v>22</v>
      </c>
      <c r="C588" s="4" t="s">
        <v>23</v>
      </c>
      <c r="D588" s="4" t="s">
        <v>24</v>
      </c>
      <c r="E588" s="4" t="s">
        <v>31</v>
      </c>
      <c r="F588" s="4" t="s">
        <v>25</v>
      </c>
      <c r="G588" s="4" t="s">
        <v>25</v>
      </c>
      <c r="H588" s="4" t="s">
        <v>25</v>
      </c>
      <c r="I588" s="5">
        <v>44743</v>
      </c>
      <c r="J588" s="6">
        <v>0</v>
      </c>
      <c r="K588" s="6">
        <v>0</v>
      </c>
      <c r="L588" s="6">
        <v>138.29599999999999</v>
      </c>
      <c r="M588" s="6">
        <v>138.29599999999999</v>
      </c>
      <c r="N588" s="6">
        <v>138.29599999999999</v>
      </c>
      <c r="O588" s="6">
        <v>138.29599999999999</v>
      </c>
      <c r="P588" s="6">
        <v>1982</v>
      </c>
      <c r="Q588" s="4" t="s">
        <v>26</v>
      </c>
      <c r="R588" s="4">
        <v>0</v>
      </c>
      <c r="S588" s="6">
        <v>0</v>
      </c>
      <c r="T588" s="6">
        <v>33</v>
      </c>
      <c r="U588" s="6">
        <v>74</v>
      </c>
      <c r="V588" s="6">
        <f>IF(ISERROR(VLOOKUP($S$588,'TAR FIN'!$A$1:$O$103,15,0)),0,VLOOKUP($S$588,'TAR FIN'!$A$1:$O$103,15,0))</f>
        <v>0</v>
      </c>
      <c r="W588" s="6">
        <f>IF(ISERROR(VLOOKUP($T$588,'TAR FIN'!$A$1:$O$103,15,0)),0,VLOOKUP($T$588,'TAR FIN'!$A$1:$O$103,15,0))</f>
        <v>270.27</v>
      </c>
      <c r="X588" s="6">
        <f>IF(ISERROR(VLOOKUP($U$588,'TAR FIN'!$A$1:$O$103,15,0)),0,VLOOKUP($U$588,'TAR FIN'!$A$1:$O$103,15,0))</f>
        <v>229.65</v>
      </c>
      <c r="Y588" s="6"/>
      <c r="Z588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88" s="6">
        <f ca="1">('TE BE'!$AB$16+'TE BF_350'!$AB$16+'TE CVA'!$AB$16)*(1-CUSTOS!$M$36)</f>
        <v>257.85899999999998</v>
      </c>
      <c r="AB588" s="6">
        <f>$K$588*$V$588</f>
        <v>0</v>
      </c>
      <c r="AC588" s="6">
        <f>$M$588*$W$588</f>
        <v>37377.259919999997</v>
      </c>
      <c r="AD588" s="6">
        <f>$O$588*$X$588</f>
        <v>31759.6764</v>
      </c>
      <c r="AE588" s="6">
        <f>$K$588*$Y$588</f>
        <v>0</v>
      </c>
      <c r="AF588" s="6">
        <f ca="1">$M$588*$Z$588</f>
        <v>31290.85296</v>
      </c>
      <c r="AG588" s="6">
        <f ca="1">$O$588*$AA$588</f>
        <v>35660.868263999997</v>
      </c>
    </row>
    <row r="589" spans="1:33" ht="11.25" customHeight="1" x14ac:dyDescent="0.3">
      <c r="A589" s="4" t="s">
        <v>21</v>
      </c>
      <c r="B589" s="4" t="s">
        <v>22</v>
      </c>
      <c r="C589" s="4" t="s">
        <v>23</v>
      </c>
      <c r="D589" s="4" t="s">
        <v>24</v>
      </c>
      <c r="E589" s="4" t="s">
        <v>31</v>
      </c>
      <c r="F589" s="4" t="s">
        <v>25</v>
      </c>
      <c r="G589" s="4" t="s">
        <v>25</v>
      </c>
      <c r="H589" s="4" t="s">
        <v>25</v>
      </c>
      <c r="I589" s="5">
        <v>44774</v>
      </c>
      <c r="J589" s="6">
        <v>0</v>
      </c>
      <c r="K589" s="6">
        <v>0</v>
      </c>
      <c r="L589" s="6">
        <v>122.026</v>
      </c>
      <c r="M589" s="6">
        <v>122.026</v>
      </c>
      <c r="N589" s="6">
        <v>122.026</v>
      </c>
      <c r="O589" s="6">
        <v>122.026</v>
      </c>
      <c r="P589" s="6">
        <v>1935</v>
      </c>
      <c r="Q589" s="4" t="s">
        <v>26</v>
      </c>
      <c r="R589" s="4">
        <v>0</v>
      </c>
      <c r="S589" s="6">
        <v>0</v>
      </c>
      <c r="T589" s="6">
        <v>33</v>
      </c>
      <c r="U589" s="6">
        <v>74</v>
      </c>
      <c r="V589" s="6">
        <f>IF(ISERROR(VLOOKUP($S$589,'TAR FIN'!$A$1:$O$103,15,0)),0,VLOOKUP($S$589,'TAR FIN'!$A$1:$O$103,15,0))</f>
        <v>0</v>
      </c>
      <c r="W589" s="6">
        <f>IF(ISERROR(VLOOKUP($T$589,'TAR FIN'!$A$1:$O$103,15,0)),0,VLOOKUP($T$589,'TAR FIN'!$A$1:$O$103,15,0))</f>
        <v>270.27</v>
      </c>
      <c r="X589" s="6">
        <f>IF(ISERROR(VLOOKUP($U$589,'TAR FIN'!$A$1:$O$103,15,0)),0,VLOOKUP($U$589,'TAR FIN'!$A$1:$O$103,15,0))</f>
        <v>229.65</v>
      </c>
      <c r="Y589" s="6"/>
      <c r="Z589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89" s="6">
        <f ca="1">('TE BE'!$AB$16+'TE BF_350'!$AB$16+'TE CVA'!$AB$16)*(1-CUSTOS!$M$36)</f>
        <v>257.85899999999998</v>
      </c>
      <c r="AB589" s="6">
        <f>$K$589*$V$589</f>
        <v>0</v>
      </c>
      <c r="AC589" s="6">
        <f>$M$589*$W$589</f>
        <v>32979.967019999996</v>
      </c>
      <c r="AD589" s="6">
        <f>$O$589*$X$589</f>
        <v>28023.2709</v>
      </c>
      <c r="AE589" s="6">
        <f>$K$589*$Y$589</f>
        <v>0</v>
      </c>
      <c r="AF589" s="6">
        <f ca="1">$M$589*$Z$589</f>
        <v>27609.602760000002</v>
      </c>
      <c r="AG589" s="6">
        <f ca="1">$O$589*$AA$589</f>
        <v>31465.502333999997</v>
      </c>
    </row>
    <row r="590" spans="1:33" ht="11.25" customHeight="1" x14ac:dyDescent="0.3">
      <c r="A590" s="4" t="s">
        <v>21</v>
      </c>
      <c r="B590" s="4" t="s">
        <v>22</v>
      </c>
      <c r="C590" s="4" t="s">
        <v>23</v>
      </c>
      <c r="D590" s="4" t="s">
        <v>24</v>
      </c>
      <c r="E590" s="4" t="s">
        <v>31</v>
      </c>
      <c r="F590" s="4" t="s">
        <v>25</v>
      </c>
      <c r="G590" s="4" t="s">
        <v>25</v>
      </c>
      <c r="H590" s="4" t="s">
        <v>25</v>
      </c>
      <c r="I590" s="5">
        <v>44805</v>
      </c>
      <c r="J590" s="6">
        <v>0</v>
      </c>
      <c r="K590" s="6">
        <v>0</v>
      </c>
      <c r="L590" s="6">
        <v>166.53299999999999</v>
      </c>
      <c r="M590" s="6">
        <v>166.53299999999999</v>
      </c>
      <c r="N590" s="6">
        <v>166.53299999999999</v>
      </c>
      <c r="O590" s="6">
        <v>166.53299999999999</v>
      </c>
      <c r="P590" s="6">
        <v>1994</v>
      </c>
      <c r="Q590" s="4" t="s">
        <v>26</v>
      </c>
      <c r="R590" s="4">
        <v>0</v>
      </c>
      <c r="S590" s="6">
        <v>0</v>
      </c>
      <c r="T590" s="6">
        <v>33</v>
      </c>
      <c r="U590" s="6">
        <v>74</v>
      </c>
      <c r="V590" s="6">
        <f>IF(ISERROR(VLOOKUP($S$590,'TAR FIN'!$A$1:$O$103,15,0)),0,VLOOKUP($S$590,'TAR FIN'!$A$1:$O$103,15,0))</f>
        <v>0</v>
      </c>
      <c r="W590" s="6">
        <f>IF(ISERROR(VLOOKUP($T$590,'TAR FIN'!$A$1:$O$103,15,0)),0,VLOOKUP($T$590,'TAR FIN'!$A$1:$O$103,15,0))</f>
        <v>270.27</v>
      </c>
      <c r="X590" s="6">
        <f>IF(ISERROR(VLOOKUP($U$590,'TAR FIN'!$A$1:$O$103,15,0)),0,VLOOKUP($U$590,'TAR FIN'!$A$1:$O$103,15,0))</f>
        <v>229.65</v>
      </c>
      <c r="Y590" s="6"/>
      <c r="Z590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90" s="6">
        <f ca="1">('TE BE'!$AB$16+'TE BF_350'!$AB$16+'TE CVA'!$AB$16)*(1-CUSTOS!$M$36)</f>
        <v>257.85899999999998</v>
      </c>
      <c r="AB590" s="6">
        <f>$K$590*$V$590</f>
        <v>0</v>
      </c>
      <c r="AC590" s="6">
        <f>$M$590*$W$590</f>
        <v>45008.873909999995</v>
      </c>
      <c r="AD590" s="6">
        <f>$O$590*$X$590</f>
        <v>38244.303449999999</v>
      </c>
      <c r="AE590" s="6">
        <f>$K$590*$Y$590</f>
        <v>0</v>
      </c>
      <c r="AF590" s="6">
        <f ca="1">$M$590*$Z$590</f>
        <v>37679.756580000001</v>
      </c>
      <c r="AG590" s="6">
        <f ca="1">$O$590*$AA$590</f>
        <v>42942.032846999995</v>
      </c>
    </row>
    <row r="591" spans="1:33" ht="11.25" customHeight="1" x14ac:dyDescent="0.3">
      <c r="A591" s="4" t="s">
        <v>28</v>
      </c>
      <c r="B591" s="4" t="s">
        <v>22</v>
      </c>
      <c r="C591" s="4" t="s">
        <v>23</v>
      </c>
      <c r="D591" s="4" t="s">
        <v>24</v>
      </c>
      <c r="E591" s="4" t="s">
        <v>31</v>
      </c>
      <c r="F591" s="4" t="s">
        <v>25</v>
      </c>
      <c r="G591" s="4" t="s">
        <v>25</v>
      </c>
      <c r="H591" s="4" t="s">
        <v>25</v>
      </c>
      <c r="I591" s="5">
        <v>44805</v>
      </c>
      <c r="J591" s="6">
        <v>0</v>
      </c>
      <c r="K591" s="6">
        <v>0</v>
      </c>
      <c r="L591" s="6">
        <v>5.0000000000000001E-3</v>
      </c>
      <c r="M591" s="6">
        <v>5.0000000000000001E-3</v>
      </c>
      <c r="N591" s="6">
        <v>5.0000000000000001E-3</v>
      </c>
      <c r="O591" s="6">
        <v>5.0000000000000001E-3</v>
      </c>
      <c r="P591" s="6">
        <v>4</v>
      </c>
      <c r="Q591" s="4" t="s">
        <v>26</v>
      </c>
      <c r="R591" s="4">
        <v>0</v>
      </c>
      <c r="S591" s="6">
        <v>0</v>
      </c>
      <c r="T591" s="6">
        <v>33</v>
      </c>
      <c r="U591" s="6">
        <v>74</v>
      </c>
      <c r="V591" s="6">
        <f>IF(ISERROR(VLOOKUP($S$591,'TAR FIN'!$A$1:$O$103,15,0)),0,VLOOKUP($S$591,'TAR FIN'!$A$1:$O$103,15,0))</f>
        <v>0</v>
      </c>
      <c r="W591" s="6">
        <f>IF(ISERROR(VLOOKUP($T$591,'TAR FIN'!$A$1:$O$103,15,0)),0,VLOOKUP($T$591,'TAR FIN'!$A$1:$O$103,15,0))</f>
        <v>270.27</v>
      </c>
      <c r="X591" s="6">
        <f>IF(ISERROR(VLOOKUP($U$591,'TAR FIN'!$A$1:$O$103,15,0)),0,VLOOKUP($U$591,'TAR FIN'!$A$1:$O$103,15,0))</f>
        <v>229.65</v>
      </c>
      <c r="Y591" s="6"/>
      <c r="Z591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91" s="6">
        <f ca="1">('TE BE'!$AB$16+'TE BF_350'!$AB$16+'TE CVA'!$AB$16)*(1-CUSTOS!$M$36)</f>
        <v>257.85899999999998</v>
      </c>
      <c r="AB591" s="6">
        <f>$K$591*$V$591</f>
        <v>0</v>
      </c>
      <c r="AC591" s="6">
        <f>$M$591*$W$591</f>
        <v>1.3513499999999998</v>
      </c>
      <c r="AD591" s="6">
        <f>$O$591*$X$591</f>
        <v>1.14825</v>
      </c>
      <c r="AE591" s="6">
        <f>$K$591*$Y$591</f>
        <v>0</v>
      </c>
      <c r="AF591" s="6">
        <f ca="1">$M$591*$Z$591</f>
        <v>1.1313000000000002</v>
      </c>
      <c r="AG591" s="6">
        <f ca="1">$O$591*$AA$591</f>
        <v>1.2892949999999999</v>
      </c>
    </row>
    <row r="592" spans="1:33" ht="11.25" customHeight="1" x14ac:dyDescent="0.3">
      <c r="A592" s="4" t="s">
        <v>57</v>
      </c>
      <c r="B592" s="4" t="s">
        <v>22</v>
      </c>
      <c r="C592" s="4" t="s">
        <v>23</v>
      </c>
      <c r="D592" s="4" t="s">
        <v>24</v>
      </c>
      <c r="E592" s="4" t="s">
        <v>31</v>
      </c>
      <c r="F592" s="4" t="s">
        <v>25</v>
      </c>
      <c r="G592" s="4" t="s">
        <v>25</v>
      </c>
      <c r="H592" s="4" t="s">
        <v>25</v>
      </c>
      <c r="I592" s="5">
        <v>44835</v>
      </c>
      <c r="J592" s="6">
        <v>0</v>
      </c>
      <c r="K592" s="6">
        <v>0</v>
      </c>
      <c r="L592" s="6">
        <v>166.53299999999999</v>
      </c>
      <c r="M592" s="6">
        <v>166.53299999999999</v>
      </c>
      <c r="N592" s="6">
        <v>166.53299999999999</v>
      </c>
      <c r="O592" s="6">
        <v>166.53299999999999</v>
      </c>
      <c r="P592" s="6">
        <v>1994</v>
      </c>
      <c r="Q592" s="4" t="s">
        <v>26</v>
      </c>
      <c r="R592" s="4">
        <v>0</v>
      </c>
      <c r="S592" s="6">
        <v>0</v>
      </c>
      <c r="T592" s="6">
        <v>33</v>
      </c>
      <c r="U592" s="6">
        <v>74</v>
      </c>
      <c r="V592" s="6">
        <f>IF(ISERROR(VLOOKUP($S$592,'TAR FIN'!$A$1:$O$103,15,0)),0,VLOOKUP($S$592,'TAR FIN'!$A$1:$O$103,15,0))</f>
        <v>0</v>
      </c>
      <c r="W592" s="6">
        <f>IF(ISERROR(VLOOKUP($T$592,'TAR FIN'!$A$1:$O$103,15,0)),0,VLOOKUP($T$592,'TAR FIN'!$A$1:$O$103,15,0))</f>
        <v>270.27</v>
      </c>
      <c r="X592" s="6">
        <f>IF(ISERROR(VLOOKUP($U$592,'TAR FIN'!$A$1:$O$103,15,0)),0,VLOOKUP($U$592,'TAR FIN'!$A$1:$O$103,15,0))</f>
        <v>229.65</v>
      </c>
      <c r="Y592" s="6"/>
      <c r="Z592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92" s="6">
        <f ca="1">('TE BE'!$AB$16+'TE BF_350'!$AB$16+'TE CVA'!$AB$16)*(1-CUSTOS!$M$36)</f>
        <v>257.85899999999998</v>
      </c>
      <c r="AB592" s="6">
        <f>$K$592*$V$592</f>
        <v>0</v>
      </c>
      <c r="AC592" s="6">
        <f>$M$592*$W$592</f>
        <v>45008.873909999995</v>
      </c>
      <c r="AD592" s="6">
        <f>$O$592*$X$592</f>
        <v>38244.303449999999</v>
      </c>
      <c r="AE592" s="6">
        <f>$K$592*$Y$592</f>
        <v>0</v>
      </c>
      <c r="AF592" s="6">
        <f ca="1">$M$592*$Z$592</f>
        <v>37679.756580000001</v>
      </c>
      <c r="AG592" s="6">
        <f ca="1">$O$592*$AA$592</f>
        <v>42942.032846999995</v>
      </c>
    </row>
    <row r="593" spans="1:33" ht="11.25" customHeight="1" x14ac:dyDescent="0.3">
      <c r="A593" s="4" t="s">
        <v>57</v>
      </c>
      <c r="B593" s="4" t="s">
        <v>22</v>
      </c>
      <c r="C593" s="4" t="s">
        <v>23</v>
      </c>
      <c r="D593" s="4" t="s">
        <v>24</v>
      </c>
      <c r="E593" s="4" t="s">
        <v>31</v>
      </c>
      <c r="F593" s="4" t="s">
        <v>25</v>
      </c>
      <c r="G593" s="4" t="s">
        <v>25</v>
      </c>
      <c r="H593" s="4" t="s">
        <v>25</v>
      </c>
      <c r="I593" s="5">
        <v>44835</v>
      </c>
      <c r="J593" s="6">
        <v>0</v>
      </c>
      <c r="K593" s="6">
        <v>0</v>
      </c>
      <c r="L593" s="6">
        <v>5.0000000000000001E-3</v>
      </c>
      <c r="M593" s="6">
        <v>5.0000000000000001E-3</v>
      </c>
      <c r="N593" s="6">
        <v>5.0000000000000001E-3</v>
      </c>
      <c r="O593" s="6">
        <v>5.0000000000000001E-3</v>
      </c>
      <c r="P593" s="6">
        <v>4</v>
      </c>
      <c r="Q593" s="4" t="s">
        <v>26</v>
      </c>
      <c r="R593" s="4">
        <v>0</v>
      </c>
      <c r="S593" s="6">
        <v>0</v>
      </c>
      <c r="T593" s="6">
        <v>33</v>
      </c>
      <c r="U593" s="6">
        <v>74</v>
      </c>
      <c r="V593" s="6">
        <f>IF(ISERROR(VLOOKUP($S$593,'TAR FIN'!$A$1:$O$103,15,0)),0,VLOOKUP($S$593,'TAR FIN'!$A$1:$O$103,15,0))</f>
        <v>0</v>
      </c>
      <c r="W593" s="6">
        <f>IF(ISERROR(VLOOKUP($T$593,'TAR FIN'!$A$1:$O$103,15,0)),0,VLOOKUP($T$593,'TAR FIN'!$A$1:$O$103,15,0))</f>
        <v>270.27</v>
      </c>
      <c r="X593" s="6">
        <f>IF(ISERROR(VLOOKUP($U$593,'TAR FIN'!$A$1:$O$103,15,0)),0,VLOOKUP($U$593,'TAR FIN'!$A$1:$O$103,15,0))</f>
        <v>229.65</v>
      </c>
      <c r="Y593" s="6"/>
      <c r="Z593" s="6">
        <f ca="1">('TUSD BE'!$AM$35+'TUSD BF_350'!$AM$35+'TUSD CVA'!$AM$35-('TUSD BE'!$P$35+'TUSD BF_350'!$P$35+'TUSD CVA'!$P$35)-('TUSD BE'!$Q$35+'TUSD BF_350'!$Q$35+'TUSD CVA'!$Q$35)-('TUSD BE'!$R$35+'TUSD BF_350'!$R$35+'TUSD CVA'!$R$35))*(1-CUSTOS!$M$36)</f>
        <v>226.26000000000002</v>
      </c>
      <c r="AA593" s="6">
        <f ca="1">('TE BE'!$AB$16+'TE BF_350'!$AB$16+'TE CVA'!$AB$16)*(1-CUSTOS!$M$36)</f>
        <v>257.85899999999998</v>
      </c>
      <c r="AB593" s="6">
        <f>$K$593*$V$593</f>
        <v>0</v>
      </c>
      <c r="AC593" s="6">
        <f>$M$593*$W$593</f>
        <v>1.3513499999999998</v>
      </c>
      <c r="AD593" s="6">
        <f>$O$593*$X$593</f>
        <v>1.14825</v>
      </c>
      <c r="AE593" s="6">
        <f>$K$593*$Y$593</f>
        <v>0</v>
      </c>
      <c r="AF593" s="6">
        <f ca="1">$M$593*$Z$593</f>
        <v>1.1313000000000002</v>
      </c>
      <c r="AG593" s="6">
        <f ca="1">$O$593*$AA$593</f>
        <v>1.2892949999999999</v>
      </c>
    </row>
    <row r="594" spans="1:33" ht="11.25" customHeight="1" x14ac:dyDescent="0.3">
      <c r="A594" s="4" t="s">
        <v>21</v>
      </c>
      <c r="B594" s="4" t="s">
        <v>22</v>
      </c>
      <c r="C594" s="4" t="s">
        <v>23</v>
      </c>
      <c r="D594" s="4" t="s">
        <v>24</v>
      </c>
      <c r="E594" s="4" t="s">
        <v>32</v>
      </c>
      <c r="F594" s="4" t="s">
        <v>25</v>
      </c>
      <c r="G594" s="4" t="s">
        <v>25</v>
      </c>
      <c r="H594" s="4" t="s">
        <v>25</v>
      </c>
      <c r="I594" s="5">
        <v>44501</v>
      </c>
      <c r="J594" s="6">
        <v>0</v>
      </c>
      <c r="K594" s="6">
        <v>0</v>
      </c>
      <c r="L594" s="6">
        <v>18.216000000000001</v>
      </c>
      <c r="M594" s="6">
        <v>18.216000000000001</v>
      </c>
      <c r="N594" s="6">
        <v>18.216000000000001</v>
      </c>
      <c r="O594" s="6">
        <v>18.216000000000001</v>
      </c>
      <c r="P594" s="6">
        <v>297</v>
      </c>
      <c r="Q594" s="4" t="s">
        <v>26</v>
      </c>
      <c r="R594" s="4">
        <v>0</v>
      </c>
      <c r="S594" s="6">
        <v>0</v>
      </c>
      <c r="T594" s="6">
        <v>34</v>
      </c>
      <c r="U594" s="6">
        <v>75</v>
      </c>
      <c r="V594" s="6">
        <f>IF(ISERROR(VLOOKUP($S$594,'TAR FIN'!$A$1:$O$103,15,0)),0,VLOOKUP($S$594,'TAR FIN'!$A$1:$O$103,15,0))</f>
        <v>0</v>
      </c>
      <c r="W594" s="6">
        <f>IF(ISERROR(VLOOKUP($T$594,'TAR FIN'!$A$1:$O$103,15,0)),0,VLOOKUP($T$594,'TAR FIN'!$A$1:$O$103,15,0))</f>
        <v>300.3</v>
      </c>
      <c r="X594" s="6">
        <f>IF(ISERROR(VLOOKUP($U$594,'TAR FIN'!$A$1:$O$103,15,0)),0,VLOOKUP($U$594,'TAR FIN'!$A$1:$O$103,15,0))</f>
        <v>255.17</v>
      </c>
      <c r="Y594" s="6"/>
      <c r="Z594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594" s="6">
        <f ca="1">('TE BE'!$AB$17+'TE BF_350'!$AB$17+'TE CVA'!$AB$17)*(1-CUSTOS!$M$37)</f>
        <v>286.51</v>
      </c>
      <c r="AB594" s="6">
        <f>$K$594*$V$594</f>
        <v>0</v>
      </c>
      <c r="AC594" s="6">
        <f>$M$594*$W$594</f>
        <v>5470.2648000000008</v>
      </c>
      <c r="AD594" s="6">
        <f>$O$594*$X$594</f>
        <v>4648.1767200000004</v>
      </c>
      <c r="AE594" s="6">
        <f>$K$594*$Y$594</f>
        <v>0</v>
      </c>
      <c r="AF594" s="6">
        <f ca="1">$M$594*$Z$594</f>
        <v>4579.5024000000003</v>
      </c>
      <c r="AG594" s="6">
        <f ca="1">$O$594*$AA$594</f>
        <v>5219.0661600000003</v>
      </c>
    </row>
    <row r="595" spans="1:33" ht="11.25" customHeight="1" x14ac:dyDescent="0.3">
      <c r="A595" s="4" t="s">
        <v>21</v>
      </c>
      <c r="B595" s="4" t="s">
        <v>22</v>
      </c>
      <c r="C595" s="4" t="s">
        <v>23</v>
      </c>
      <c r="D595" s="4" t="s">
        <v>24</v>
      </c>
      <c r="E595" s="4" t="s">
        <v>32</v>
      </c>
      <c r="F595" s="4" t="s">
        <v>25</v>
      </c>
      <c r="G595" s="4" t="s">
        <v>25</v>
      </c>
      <c r="H595" s="4" t="s">
        <v>25</v>
      </c>
      <c r="I595" s="5">
        <v>44531</v>
      </c>
      <c r="J595" s="6">
        <v>0</v>
      </c>
      <c r="K595" s="6">
        <v>0</v>
      </c>
      <c r="L595" s="6">
        <v>17.201000000000001</v>
      </c>
      <c r="M595" s="6">
        <v>17.201000000000001</v>
      </c>
      <c r="N595" s="6">
        <v>17.201000000000001</v>
      </c>
      <c r="O595" s="6">
        <v>17.201000000000001</v>
      </c>
      <c r="P595" s="6">
        <v>280</v>
      </c>
      <c r="Q595" s="4" t="s">
        <v>26</v>
      </c>
      <c r="R595" s="4">
        <v>0</v>
      </c>
      <c r="S595" s="6">
        <v>0</v>
      </c>
      <c r="T595" s="6">
        <v>34</v>
      </c>
      <c r="U595" s="6">
        <v>75</v>
      </c>
      <c r="V595" s="6">
        <f>IF(ISERROR(VLOOKUP($S$595,'TAR FIN'!$A$1:$O$103,15,0)),0,VLOOKUP($S$595,'TAR FIN'!$A$1:$O$103,15,0))</f>
        <v>0</v>
      </c>
      <c r="W595" s="6">
        <f>IF(ISERROR(VLOOKUP($T$595,'TAR FIN'!$A$1:$O$103,15,0)),0,VLOOKUP($T$595,'TAR FIN'!$A$1:$O$103,15,0))</f>
        <v>300.3</v>
      </c>
      <c r="X595" s="6">
        <f>IF(ISERROR(VLOOKUP($U$595,'TAR FIN'!$A$1:$O$103,15,0)),0,VLOOKUP($U$595,'TAR FIN'!$A$1:$O$103,15,0))</f>
        <v>255.17</v>
      </c>
      <c r="Y595" s="6"/>
      <c r="Z595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595" s="6">
        <f ca="1">('TE BE'!$AB$17+'TE BF_350'!$AB$17+'TE CVA'!$AB$17)*(1-CUSTOS!$M$37)</f>
        <v>286.51</v>
      </c>
      <c r="AB595" s="6">
        <f>$K$595*$V$595</f>
        <v>0</v>
      </c>
      <c r="AC595" s="6">
        <f>$M$595*$W$595</f>
        <v>5165.4603000000006</v>
      </c>
      <c r="AD595" s="6">
        <f>$O$595*$X$595</f>
        <v>4389.1791700000003</v>
      </c>
      <c r="AE595" s="6">
        <f>$K$595*$Y$595</f>
        <v>0</v>
      </c>
      <c r="AF595" s="6">
        <f ca="1">$M$595*$Z$595</f>
        <v>4324.3314</v>
      </c>
      <c r="AG595" s="6">
        <f ca="1">$O$595*$AA$595</f>
        <v>4928.2585099999997</v>
      </c>
    </row>
    <row r="596" spans="1:33" ht="11.25" customHeight="1" x14ac:dyDescent="0.3">
      <c r="A596" s="4" t="s">
        <v>21</v>
      </c>
      <c r="B596" s="4" t="s">
        <v>22</v>
      </c>
      <c r="C596" s="4" t="s">
        <v>23</v>
      </c>
      <c r="D596" s="4" t="s">
        <v>24</v>
      </c>
      <c r="E596" s="4" t="s">
        <v>32</v>
      </c>
      <c r="F596" s="4" t="s">
        <v>25</v>
      </c>
      <c r="G596" s="4" t="s">
        <v>25</v>
      </c>
      <c r="H596" s="4" t="s">
        <v>25</v>
      </c>
      <c r="I596" s="5">
        <v>44562</v>
      </c>
      <c r="J596" s="6">
        <v>0</v>
      </c>
      <c r="K596" s="6">
        <v>0</v>
      </c>
      <c r="L596" s="6">
        <v>19.754999999999999</v>
      </c>
      <c r="M596" s="6">
        <v>19.754999999999999</v>
      </c>
      <c r="N596" s="6">
        <v>19.754999999999999</v>
      </c>
      <c r="O596" s="6">
        <v>19.754999999999999</v>
      </c>
      <c r="P596" s="6">
        <v>342</v>
      </c>
      <c r="Q596" s="4" t="s">
        <v>26</v>
      </c>
      <c r="R596" s="4">
        <v>0</v>
      </c>
      <c r="S596" s="6">
        <v>0</v>
      </c>
      <c r="T596" s="6">
        <v>34</v>
      </c>
      <c r="U596" s="6">
        <v>75</v>
      </c>
      <c r="V596" s="6">
        <f>IF(ISERROR(VLOOKUP($S$596,'TAR FIN'!$A$1:$O$103,15,0)),0,VLOOKUP($S$596,'TAR FIN'!$A$1:$O$103,15,0))</f>
        <v>0</v>
      </c>
      <c r="W596" s="6">
        <f>IF(ISERROR(VLOOKUP($T$596,'TAR FIN'!$A$1:$O$103,15,0)),0,VLOOKUP($T$596,'TAR FIN'!$A$1:$O$103,15,0))</f>
        <v>300.3</v>
      </c>
      <c r="X596" s="6">
        <f>IF(ISERROR(VLOOKUP($U$596,'TAR FIN'!$A$1:$O$103,15,0)),0,VLOOKUP($U$596,'TAR FIN'!$A$1:$O$103,15,0))</f>
        <v>255.17</v>
      </c>
      <c r="Y596" s="6"/>
      <c r="Z596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596" s="6">
        <f ca="1">('TE BE'!$AB$17+'TE BF_350'!$AB$17+'TE CVA'!$AB$17)*(1-CUSTOS!$M$37)</f>
        <v>286.51</v>
      </c>
      <c r="AB596" s="6">
        <f>$K$596*$V$596</f>
        <v>0</v>
      </c>
      <c r="AC596" s="6">
        <f>$M$596*$W$596</f>
        <v>5932.4264999999996</v>
      </c>
      <c r="AD596" s="6">
        <f>$O$596*$X$596</f>
        <v>5040.8833499999992</v>
      </c>
      <c r="AE596" s="6">
        <f>$K$596*$Y$596</f>
        <v>0</v>
      </c>
      <c r="AF596" s="6">
        <f ca="1">$M$596*$Z$596</f>
        <v>4966.4070000000002</v>
      </c>
      <c r="AG596" s="6">
        <f ca="1">$O$596*$AA$596</f>
        <v>5660.0050499999998</v>
      </c>
    </row>
    <row r="597" spans="1:33" ht="11.25" customHeight="1" x14ac:dyDescent="0.3">
      <c r="A597" s="4" t="s">
        <v>21</v>
      </c>
      <c r="B597" s="4" t="s">
        <v>22</v>
      </c>
      <c r="C597" s="4" t="s">
        <v>23</v>
      </c>
      <c r="D597" s="4" t="s">
        <v>24</v>
      </c>
      <c r="E597" s="4" t="s">
        <v>32</v>
      </c>
      <c r="F597" s="4" t="s">
        <v>25</v>
      </c>
      <c r="G597" s="4" t="s">
        <v>25</v>
      </c>
      <c r="H597" s="4" t="s">
        <v>25</v>
      </c>
      <c r="I597" s="5">
        <v>44593</v>
      </c>
      <c r="J597" s="6">
        <v>0</v>
      </c>
      <c r="K597" s="6">
        <v>0</v>
      </c>
      <c r="L597" s="6">
        <v>20.62</v>
      </c>
      <c r="M597" s="6">
        <v>20.62</v>
      </c>
      <c r="N597" s="6">
        <v>20.62</v>
      </c>
      <c r="O597" s="6">
        <v>20.62</v>
      </c>
      <c r="P597" s="6">
        <v>320</v>
      </c>
      <c r="Q597" s="4" t="s">
        <v>26</v>
      </c>
      <c r="R597" s="4">
        <v>0</v>
      </c>
      <c r="S597" s="6">
        <v>0</v>
      </c>
      <c r="T597" s="6">
        <v>34</v>
      </c>
      <c r="U597" s="6">
        <v>75</v>
      </c>
      <c r="V597" s="6">
        <f>IF(ISERROR(VLOOKUP($S$597,'TAR FIN'!$A$1:$O$103,15,0)),0,VLOOKUP($S$597,'TAR FIN'!$A$1:$O$103,15,0))</f>
        <v>0</v>
      </c>
      <c r="W597" s="6">
        <f>IF(ISERROR(VLOOKUP($T$597,'TAR FIN'!$A$1:$O$103,15,0)),0,VLOOKUP($T$597,'TAR FIN'!$A$1:$O$103,15,0))</f>
        <v>300.3</v>
      </c>
      <c r="X597" s="6">
        <f>IF(ISERROR(VLOOKUP($U$597,'TAR FIN'!$A$1:$O$103,15,0)),0,VLOOKUP($U$597,'TAR FIN'!$A$1:$O$103,15,0))</f>
        <v>255.17</v>
      </c>
      <c r="Y597" s="6"/>
      <c r="Z597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597" s="6">
        <f ca="1">('TE BE'!$AB$17+'TE BF_350'!$AB$17+'TE CVA'!$AB$17)*(1-CUSTOS!$M$37)</f>
        <v>286.51</v>
      </c>
      <c r="AB597" s="6">
        <f>$K$597*$V$597</f>
        <v>0</v>
      </c>
      <c r="AC597" s="6">
        <f>$M$597*$W$597</f>
        <v>6192.1860000000006</v>
      </c>
      <c r="AD597" s="6">
        <f>$O$597*$X$597</f>
        <v>5261.6054000000004</v>
      </c>
      <c r="AE597" s="6">
        <f>$K$597*$Y$597</f>
        <v>0</v>
      </c>
      <c r="AF597" s="6">
        <f ca="1">$M$597*$Z$597</f>
        <v>5183.8680000000004</v>
      </c>
      <c r="AG597" s="6">
        <f ca="1">$O$597*$AA$597</f>
        <v>5907.8361999999997</v>
      </c>
    </row>
    <row r="598" spans="1:33" ht="11.25" customHeight="1" x14ac:dyDescent="0.3">
      <c r="A598" s="4" t="s">
        <v>21</v>
      </c>
      <c r="B598" s="4" t="s">
        <v>22</v>
      </c>
      <c r="C598" s="4" t="s">
        <v>23</v>
      </c>
      <c r="D598" s="4" t="s">
        <v>24</v>
      </c>
      <c r="E598" s="4" t="s">
        <v>32</v>
      </c>
      <c r="F598" s="4" t="s">
        <v>25</v>
      </c>
      <c r="G598" s="4" t="s">
        <v>25</v>
      </c>
      <c r="H598" s="4" t="s">
        <v>25</v>
      </c>
      <c r="I598" s="5">
        <v>44621</v>
      </c>
      <c r="J598" s="6">
        <v>0</v>
      </c>
      <c r="K598" s="6">
        <v>0</v>
      </c>
      <c r="L598" s="6">
        <v>15.47</v>
      </c>
      <c r="M598" s="6">
        <v>15.47</v>
      </c>
      <c r="N598" s="6">
        <v>15.47</v>
      </c>
      <c r="O598" s="6">
        <v>15.47</v>
      </c>
      <c r="P598" s="6">
        <v>256</v>
      </c>
      <c r="Q598" s="4" t="s">
        <v>26</v>
      </c>
      <c r="R598" s="4">
        <v>0</v>
      </c>
      <c r="S598" s="6">
        <v>0</v>
      </c>
      <c r="T598" s="6">
        <v>34</v>
      </c>
      <c r="U598" s="6">
        <v>75</v>
      </c>
      <c r="V598" s="6">
        <f>IF(ISERROR(VLOOKUP($S$598,'TAR FIN'!$A$1:$O$103,15,0)),0,VLOOKUP($S$598,'TAR FIN'!$A$1:$O$103,15,0))</f>
        <v>0</v>
      </c>
      <c r="W598" s="6">
        <f>IF(ISERROR(VLOOKUP($T$598,'TAR FIN'!$A$1:$O$103,15,0)),0,VLOOKUP($T$598,'TAR FIN'!$A$1:$O$103,15,0))</f>
        <v>300.3</v>
      </c>
      <c r="X598" s="6">
        <f>IF(ISERROR(VLOOKUP($U$598,'TAR FIN'!$A$1:$O$103,15,0)),0,VLOOKUP($U$598,'TAR FIN'!$A$1:$O$103,15,0))</f>
        <v>255.17</v>
      </c>
      <c r="Y598" s="6"/>
      <c r="Z598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598" s="6">
        <f ca="1">('TE BE'!$AB$17+'TE BF_350'!$AB$17+'TE CVA'!$AB$17)*(1-CUSTOS!$M$37)</f>
        <v>286.51</v>
      </c>
      <c r="AB598" s="6">
        <f>$K$598*$V$598</f>
        <v>0</v>
      </c>
      <c r="AC598" s="6">
        <f>$M$598*$W$598</f>
        <v>4645.6410000000005</v>
      </c>
      <c r="AD598" s="6">
        <f>$O$598*$X$598</f>
        <v>3947.4798999999998</v>
      </c>
      <c r="AE598" s="6">
        <f>$K$598*$Y$598</f>
        <v>0</v>
      </c>
      <c r="AF598" s="6">
        <f ca="1">$M$598*$Z$598</f>
        <v>3889.1580000000004</v>
      </c>
      <c r="AG598" s="6">
        <f ca="1">$O$598*$AA$598</f>
        <v>4432.3096999999998</v>
      </c>
    </row>
    <row r="599" spans="1:33" ht="11.25" customHeight="1" x14ac:dyDescent="0.3">
      <c r="A599" s="4" t="s">
        <v>21</v>
      </c>
      <c r="B599" s="4" t="s">
        <v>22</v>
      </c>
      <c r="C599" s="4" t="s">
        <v>23</v>
      </c>
      <c r="D599" s="4" t="s">
        <v>24</v>
      </c>
      <c r="E599" s="4" t="s">
        <v>32</v>
      </c>
      <c r="F599" s="4" t="s">
        <v>25</v>
      </c>
      <c r="G599" s="4" t="s">
        <v>25</v>
      </c>
      <c r="H599" s="4" t="s">
        <v>25</v>
      </c>
      <c r="I599" s="5">
        <v>44652</v>
      </c>
      <c r="J599" s="6">
        <v>0</v>
      </c>
      <c r="K599" s="6">
        <v>0</v>
      </c>
      <c r="L599" s="6">
        <v>38.283999999999999</v>
      </c>
      <c r="M599" s="6">
        <v>38.283999999999999</v>
      </c>
      <c r="N599" s="6">
        <v>38.283999999999999</v>
      </c>
      <c r="O599" s="6">
        <v>38.283999999999999</v>
      </c>
      <c r="P599" s="6">
        <v>522</v>
      </c>
      <c r="Q599" s="4" t="s">
        <v>26</v>
      </c>
      <c r="R599" s="4">
        <v>0</v>
      </c>
      <c r="S599" s="6">
        <v>0</v>
      </c>
      <c r="T599" s="6">
        <v>34</v>
      </c>
      <c r="U599" s="6">
        <v>75</v>
      </c>
      <c r="V599" s="6">
        <f>IF(ISERROR(VLOOKUP($S$599,'TAR FIN'!$A$1:$O$103,15,0)),0,VLOOKUP($S$599,'TAR FIN'!$A$1:$O$103,15,0))</f>
        <v>0</v>
      </c>
      <c r="W599" s="6">
        <f>IF(ISERROR(VLOOKUP($T$599,'TAR FIN'!$A$1:$O$103,15,0)),0,VLOOKUP($T$599,'TAR FIN'!$A$1:$O$103,15,0))</f>
        <v>300.3</v>
      </c>
      <c r="X599" s="6">
        <f>IF(ISERROR(VLOOKUP($U$599,'TAR FIN'!$A$1:$O$103,15,0)),0,VLOOKUP($U$599,'TAR FIN'!$A$1:$O$103,15,0))</f>
        <v>255.17</v>
      </c>
      <c r="Y599" s="6"/>
      <c r="Z599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599" s="6">
        <f ca="1">('TE BE'!$AB$17+'TE BF_350'!$AB$17+'TE CVA'!$AB$17)*(1-CUSTOS!$M$37)</f>
        <v>286.51</v>
      </c>
      <c r="AB599" s="6">
        <f>$K$599*$V$599</f>
        <v>0</v>
      </c>
      <c r="AC599" s="6">
        <f>$M$599*$W$599</f>
        <v>11496.6852</v>
      </c>
      <c r="AD599" s="6">
        <f>$O$599*$X$599</f>
        <v>9768.9282800000001</v>
      </c>
      <c r="AE599" s="6">
        <f>$K$599*$Y$599</f>
        <v>0</v>
      </c>
      <c r="AF599" s="6">
        <f ca="1">$M$599*$Z$599</f>
        <v>9624.5975999999991</v>
      </c>
      <c r="AG599" s="6">
        <f ca="1">$O$599*$AA$599</f>
        <v>10968.74884</v>
      </c>
    </row>
    <row r="600" spans="1:33" ht="11.25" customHeight="1" x14ac:dyDescent="0.3">
      <c r="A600" s="4" t="s">
        <v>21</v>
      </c>
      <c r="B600" s="4" t="s">
        <v>22</v>
      </c>
      <c r="C600" s="4" t="s">
        <v>23</v>
      </c>
      <c r="D600" s="4" t="s">
        <v>24</v>
      </c>
      <c r="E600" s="4" t="s">
        <v>32</v>
      </c>
      <c r="F600" s="4" t="s">
        <v>25</v>
      </c>
      <c r="G600" s="4" t="s">
        <v>25</v>
      </c>
      <c r="H600" s="4" t="s">
        <v>25</v>
      </c>
      <c r="I600" s="5">
        <v>44682</v>
      </c>
      <c r="J600" s="6">
        <v>0</v>
      </c>
      <c r="K600" s="6">
        <v>0</v>
      </c>
      <c r="L600" s="6">
        <v>30.593</v>
      </c>
      <c r="M600" s="6">
        <v>30.593</v>
      </c>
      <c r="N600" s="6">
        <v>30.593</v>
      </c>
      <c r="O600" s="6">
        <v>30.593</v>
      </c>
      <c r="P600" s="6">
        <v>432</v>
      </c>
      <c r="Q600" s="4" t="s">
        <v>26</v>
      </c>
      <c r="R600" s="4">
        <v>0</v>
      </c>
      <c r="S600" s="6">
        <v>0</v>
      </c>
      <c r="T600" s="6">
        <v>34</v>
      </c>
      <c r="U600" s="6">
        <v>75</v>
      </c>
      <c r="V600" s="6">
        <f>IF(ISERROR(VLOOKUP($S$600,'TAR FIN'!$A$1:$O$103,15,0)),0,VLOOKUP($S$600,'TAR FIN'!$A$1:$O$103,15,0))</f>
        <v>0</v>
      </c>
      <c r="W600" s="6">
        <f>IF(ISERROR(VLOOKUP($T$600,'TAR FIN'!$A$1:$O$103,15,0)),0,VLOOKUP($T$600,'TAR FIN'!$A$1:$O$103,15,0))</f>
        <v>300.3</v>
      </c>
      <c r="X600" s="6">
        <f>IF(ISERROR(VLOOKUP($U$600,'TAR FIN'!$A$1:$O$103,15,0)),0,VLOOKUP($U$600,'TAR FIN'!$A$1:$O$103,15,0))</f>
        <v>255.17</v>
      </c>
      <c r="Y600" s="6"/>
      <c r="Z600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600" s="6">
        <f ca="1">('TE BE'!$AB$17+'TE BF_350'!$AB$17+'TE CVA'!$AB$17)*(1-CUSTOS!$M$37)</f>
        <v>286.51</v>
      </c>
      <c r="AB600" s="6">
        <f>$K$600*$V$600</f>
        <v>0</v>
      </c>
      <c r="AC600" s="6">
        <f>$M$600*$W$600</f>
        <v>9187.0779000000002</v>
      </c>
      <c r="AD600" s="6">
        <f>$O$600*$X$600</f>
        <v>7806.4158099999995</v>
      </c>
      <c r="AE600" s="6">
        <f>$K$600*$Y$600</f>
        <v>0</v>
      </c>
      <c r="AF600" s="6">
        <f ca="1">$M$600*$Z$600</f>
        <v>7691.0802000000003</v>
      </c>
      <c r="AG600" s="6">
        <f ca="1">$O$600*$AA$600</f>
        <v>8765.200429999999</v>
      </c>
    </row>
    <row r="601" spans="1:33" ht="11.25" customHeight="1" x14ac:dyDescent="0.3">
      <c r="A601" s="4" t="s">
        <v>21</v>
      </c>
      <c r="B601" s="4" t="s">
        <v>22</v>
      </c>
      <c r="C601" s="4" t="s">
        <v>23</v>
      </c>
      <c r="D601" s="4" t="s">
        <v>24</v>
      </c>
      <c r="E601" s="4" t="s">
        <v>32</v>
      </c>
      <c r="F601" s="4" t="s">
        <v>25</v>
      </c>
      <c r="G601" s="4" t="s">
        <v>25</v>
      </c>
      <c r="H601" s="4" t="s">
        <v>25</v>
      </c>
      <c r="I601" s="5">
        <v>44713</v>
      </c>
      <c r="J601" s="6">
        <v>0</v>
      </c>
      <c r="K601" s="6">
        <v>0</v>
      </c>
      <c r="L601" s="6">
        <v>15.170999999999999</v>
      </c>
      <c r="M601" s="6">
        <v>15.170999999999999</v>
      </c>
      <c r="N601" s="6">
        <v>15.170999999999999</v>
      </c>
      <c r="O601" s="6">
        <v>15.170999999999999</v>
      </c>
      <c r="P601" s="6">
        <v>253</v>
      </c>
      <c r="Q601" s="4" t="s">
        <v>26</v>
      </c>
      <c r="R601" s="4">
        <v>0</v>
      </c>
      <c r="S601" s="6">
        <v>0</v>
      </c>
      <c r="T601" s="6">
        <v>34</v>
      </c>
      <c r="U601" s="6">
        <v>75</v>
      </c>
      <c r="V601" s="6">
        <f>IF(ISERROR(VLOOKUP($S$601,'TAR FIN'!$A$1:$O$103,15,0)),0,VLOOKUP($S$601,'TAR FIN'!$A$1:$O$103,15,0))</f>
        <v>0</v>
      </c>
      <c r="W601" s="6">
        <f>IF(ISERROR(VLOOKUP($T$601,'TAR FIN'!$A$1:$O$103,15,0)),0,VLOOKUP($T$601,'TAR FIN'!$A$1:$O$103,15,0))</f>
        <v>300.3</v>
      </c>
      <c r="X601" s="6">
        <f>IF(ISERROR(VLOOKUP($U$601,'TAR FIN'!$A$1:$O$103,15,0)),0,VLOOKUP($U$601,'TAR FIN'!$A$1:$O$103,15,0))</f>
        <v>255.17</v>
      </c>
      <c r="Y601" s="6"/>
      <c r="Z601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601" s="6">
        <f ca="1">('TE BE'!$AB$17+'TE BF_350'!$AB$17+'TE CVA'!$AB$17)*(1-CUSTOS!$M$37)</f>
        <v>286.51</v>
      </c>
      <c r="AB601" s="6">
        <f>$K$601*$V$601</f>
        <v>0</v>
      </c>
      <c r="AC601" s="6">
        <f>$M$601*$W$601</f>
        <v>4555.8513000000003</v>
      </c>
      <c r="AD601" s="6">
        <f>$O$601*$X$601</f>
        <v>3871.1840699999998</v>
      </c>
      <c r="AE601" s="6">
        <f>$K$601*$Y$601</f>
        <v>0</v>
      </c>
      <c r="AF601" s="6">
        <f ca="1">$M$601*$Z$601</f>
        <v>3813.9893999999999</v>
      </c>
      <c r="AG601" s="6">
        <f ca="1">$O$601*$AA$601</f>
        <v>4346.6432099999993</v>
      </c>
    </row>
    <row r="602" spans="1:33" ht="11.25" customHeight="1" x14ac:dyDescent="0.3">
      <c r="A602" s="4" t="s">
        <v>21</v>
      </c>
      <c r="B602" s="4" t="s">
        <v>22</v>
      </c>
      <c r="C602" s="4" t="s">
        <v>23</v>
      </c>
      <c r="D602" s="4" t="s">
        <v>24</v>
      </c>
      <c r="E602" s="4" t="s">
        <v>32</v>
      </c>
      <c r="F602" s="4" t="s">
        <v>25</v>
      </c>
      <c r="G602" s="4" t="s">
        <v>25</v>
      </c>
      <c r="H602" s="4" t="s">
        <v>25</v>
      </c>
      <c r="I602" s="5">
        <v>44743</v>
      </c>
      <c r="J602" s="6">
        <v>0</v>
      </c>
      <c r="K602" s="6">
        <v>0</v>
      </c>
      <c r="L602" s="6">
        <v>20.350999999999999</v>
      </c>
      <c r="M602" s="6">
        <v>20.350999999999999</v>
      </c>
      <c r="N602" s="6">
        <v>20.350999999999999</v>
      </c>
      <c r="O602" s="6">
        <v>20.350999999999999</v>
      </c>
      <c r="P602" s="6">
        <v>347</v>
      </c>
      <c r="Q602" s="4" t="s">
        <v>26</v>
      </c>
      <c r="R602" s="4">
        <v>0</v>
      </c>
      <c r="S602" s="6">
        <v>0</v>
      </c>
      <c r="T602" s="6">
        <v>34</v>
      </c>
      <c r="U602" s="6">
        <v>75</v>
      </c>
      <c r="V602" s="6">
        <f>IF(ISERROR(VLOOKUP($S$602,'TAR FIN'!$A$1:$O$103,15,0)),0,VLOOKUP($S$602,'TAR FIN'!$A$1:$O$103,15,0))</f>
        <v>0</v>
      </c>
      <c r="W602" s="6">
        <f>IF(ISERROR(VLOOKUP($T$602,'TAR FIN'!$A$1:$O$103,15,0)),0,VLOOKUP($T$602,'TAR FIN'!$A$1:$O$103,15,0))</f>
        <v>300.3</v>
      </c>
      <c r="X602" s="6">
        <f>IF(ISERROR(VLOOKUP($U$602,'TAR FIN'!$A$1:$O$103,15,0)),0,VLOOKUP($U$602,'TAR FIN'!$A$1:$O$103,15,0))</f>
        <v>255.17</v>
      </c>
      <c r="Y602" s="6"/>
      <c r="Z602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602" s="6">
        <f ca="1">('TE BE'!$AB$17+'TE BF_350'!$AB$17+'TE CVA'!$AB$17)*(1-CUSTOS!$M$37)</f>
        <v>286.51</v>
      </c>
      <c r="AB602" s="6">
        <f>$K$602*$V$602</f>
        <v>0</v>
      </c>
      <c r="AC602" s="6">
        <f>$M$602*$W$602</f>
        <v>6111.4053000000004</v>
      </c>
      <c r="AD602" s="6">
        <f>$O$602*$X$602</f>
        <v>5192.9646699999994</v>
      </c>
      <c r="AE602" s="6">
        <f>$K$602*$Y$602</f>
        <v>0</v>
      </c>
      <c r="AF602" s="6">
        <f ca="1">$M$602*$Z$602</f>
        <v>5116.2413999999999</v>
      </c>
      <c r="AG602" s="6">
        <f ca="1">$O$602*$AA$602</f>
        <v>5830.7650099999992</v>
      </c>
    </row>
    <row r="603" spans="1:33" ht="11.25" customHeight="1" x14ac:dyDescent="0.3">
      <c r="A603" s="4" t="s">
        <v>21</v>
      </c>
      <c r="B603" s="4" t="s">
        <v>22</v>
      </c>
      <c r="C603" s="4" t="s">
        <v>23</v>
      </c>
      <c r="D603" s="4" t="s">
        <v>24</v>
      </c>
      <c r="E603" s="4" t="s">
        <v>32</v>
      </c>
      <c r="F603" s="4" t="s">
        <v>25</v>
      </c>
      <c r="G603" s="4" t="s">
        <v>25</v>
      </c>
      <c r="H603" s="4" t="s">
        <v>25</v>
      </c>
      <c r="I603" s="5">
        <v>44774</v>
      </c>
      <c r="J603" s="6">
        <v>0</v>
      </c>
      <c r="K603" s="6">
        <v>0</v>
      </c>
      <c r="L603" s="6">
        <v>15.516</v>
      </c>
      <c r="M603" s="6">
        <v>15.516</v>
      </c>
      <c r="N603" s="6">
        <v>15.516</v>
      </c>
      <c r="O603" s="6">
        <v>15.516</v>
      </c>
      <c r="P603" s="6">
        <v>264</v>
      </c>
      <c r="Q603" s="4" t="s">
        <v>26</v>
      </c>
      <c r="R603" s="4">
        <v>0</v>
      </c>
      <c r="S603" s="6">
        <v>0</v>
      </c>
      <c r="T603" s="6">
        <v>34</v>
      </c>
      <c r="U603" s="6">
        <v>75</v>
      </c>
      <c r="V603" s="6">
        <f>IF(ISERROR(VLOOKUP($S$603,'TAR FIN'!$A$1:$O$103,15,0)),0,VLOOKUP($S$603,'TAR FIN'!$A$1:$O$103,15,0))</f>
        <v>0</v>
      </c>
      <c r="W603" s="6">
        <f>IF(ISERROR(VLOOKUP($T$603,'TAR FIN'!$A$1:$O$103,15,0)),0,VLOOKUP($T$603,'TAR FIN'!$A$1:$O$103,15,0))</f>
        <v>300.3</v>
      </c>
      <c r="X603" s="6">
        <f>IF(ISERROR(VLOOKUP($U$603,'TAR FIN'!$A$1:$O$103,15,0)),0,VLOOKUP($U$603,'TAR FIN'!$A$1:$O$103,15,0))</f>
        <v>255.17</v>
      </c>
      <c r="Y603" s="6"/>
      <c r="Z603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603" s="6">
        <f ca="1">('TE BE'!$AB$17+'TE BF_350'!$AB$17+'TE CVA'!$AB$17)*(1-CUSTOS!$M$37)</f>
        <v>286.51</v>
      </c>
      <c r="AB603" s="6">
        <f>$K$603*$V$603</f>
        <v>0</v>
      </c>
      <c r="AC603" s="6">
        <f>$M$603*$W$603</f>
        <v>4659.4548000000004</v>
      </c>
      <c r="AD603" s="6">
        <f>$O$603*$X$603</f>
        <v>3959.2177199999996</v>
      </c>
      <c r="AE603" s="6">
        <f>$K$603*$Y$603</f>
        <v>0</v>
      </c>
      <c r="AF603" s="6">
        <f ca="1">$M$603*$Z$603</f>
        <v>3900.7224000000001</v>
      </c>
      <c r="AG603" s="6">
        <f ca="1">$O$603*$AA$603</f>
        <v>4445.4891600000001</v>
      </c>
    </row>
    <row r="604" spans="1:33" ht="11.25" customHeight="1" x14ac:dyDescent="0.3">
      <c r="A604" s="4" t="s">
        <v>21</v>
      </c>
      <c r="B604" s="4" t="s">
        <v>22</v>
      </c>
      <c r="C604" s="4" t="s">
        <v>23</v>
      </c>
      <c r="D604" s="4" t="s">
        <v>24</v>
      </c>
      <c r="E604" s="4" t="s">
        <v>32</v>
      </c>
      <c r="F604" s="4" t="s">
        <v>25</v>
      </c>
      <c r="G604" s="4" t="s">
        <v>25</v>
      </c>
      <c r="H604" s="4" t="s">
        <v>25</v>
      </c>
      <c r="I604" s="5">
        <v>44805</v>
      </c>
      <c r="J604" s="6">
        <v>0</v>
      </c>
      <c r="K604" s="6">
        <v>0</v>
      </c>
      <c r="L604" s="6">
        <v>36.475000000000001</v>
      </c>
      <c r="M604" s="6">
        <v>36.475000000000001</v>
      </c>
      <c r="N604" s="6">
        <v>36.475000000000001</v>
      </c>
      <c r="O604" s="6">
        <v>36.475000000000001</v>
      </c>
      <c r="P604" s="6">
        <v>524</v>
      </c>
      <c r="Q604" s="4" t="s">
        <v>26</v>
      </c>
      <c r="R604" s="4">
        <v>0</v>
      </c>
      <c r="S604" s="6">
        <v>0</v>
      </c>
      <c r="T604" s="6">
        <v>34</v>
      </c>
      <c r="U604" s="6">
        <v>75</v>
      </c>
      <c r="V604" s="6">
        <f>IF(ISERROR(VLOOKUP($S$604,'TAR FIN'!$A$1:$O$103,15,0)),0,VLOOKUP($S$604,'TAR FIN'!$A$1:$O$103,15,0))</f>
        <v>0</v>
      </c>
      <c r="W604" s="6">
        <f>IF(ISERROR(VLOOKUP($T$604,'TAR FIN'!$A$1:$O$103,15,0)),0,VLOOKUP($T$604,'TAR FIN'!$A$1:$O$103,15,0))</f>
        <v>300.3</v>
      </c>
      <c r="X604" s="6">
        <f>IF(ISERROR(VLOOKUP($U$604,'TAR FIN'!$A$1:$O$103,15,0)),0,VLOOKUP($U$604,'TAR FIN'!$A$1:$O$103,15,0))</f>
        <v>255.17</v>
      </c>
      <c r="Y604" s="6"/>
      <c r="Z604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604" s="6">
        <f ca="1">('TE BE'!$AB$17+'TE BF_350'!$AB$17+'TE CVA'!$AB$17)*(1-CUSTOS!$M$37)</f>
        <v>286.51</v>
      </c>
      <c r="AB604" s="6">
        <f>$K$604*$V$604</f>
        <v>0</v>
      </c>
      <c r="AC604" s="6">
        <f>$M$604*$W$604</f>
        <v>10953.442500000001</v>
      </c>
      <c r="AD604" s="6">
        <f>$O$604*$X$604</f>
        <v>9307.32575</v>
      </c>
      <c r="AE604" s="6">
        <f>$K$604*$Y$604</f>
        <v>0</v>
      </c>
      <c r="AF604" s="6">
        <f ca="1">$M$604*$Z$604</f>
        <v>9169.8150000000005</v>
      </c>
      <c r="AG604" s="6">
        <f ca="1">$O$604*$AA$604</f>
        <v>10450.45225</v>
      </c>
    </row>
    <row r="605" spans="1:33" ht="11.25" customHeight="1" x14ac:dyDescent="0.3">
      <c r="A605" s="4" t="s">
        <v>57</v>
      </c>
      <c r="B605" s="4" t="s">
        <v>22</v>
      </c>
      <c r="C605" s="4" t="s">
        <v>23</v>
      </c>
      <c r="D605" s="4" t="s">
        <v>24</v>
      </c>
      <c r="E605" s="4" t="s">
        <v>32</v>
      </c>
      <c r="F605" s="4" t="s">
        <v>25</v>
      </c>
      <c r="G605" s="4" t="s">
        <v>25</v>
      </c>
      <c r="H605" s="4" t="s">
        <v>25</v>
      </c>
      <c r="I605" s="5">
        <v>44835</v>
      </c>
      <c r="J605" s="6">
        <v>0</v>
      </c>
      <c r="K605" s="6">
        <v>0</v>
      </c>
      <c r="L605" s="6">
        <v>36.475000000000001</v>
      </c>
      <c r="M605" s="6">
        <v>36.475000000000001</v>
      </c>
      <c r="N605" s="6">
        <v>36.475000000000001</v>
      </c>
      <c r="O605" s="6">
        <v>36.475000000000001</v>
      </c>
      <c r="P605" s="6">
        <v>524</v>
      </c>
      <c r="Q605" s="4" t="s">
        <v>26</v>
      </c>
      <c r="R605" s="4">
        <v>0</v>
      </c>
      <c r="S605" s="6">
        <v>0</v>
      </c>
      <c r="T605" s="6">
        <v>34</v>
      </c>
      <c r="U605" s="6">
        <v>75</v>
      </c>
      <c r="V605" s="6">
        <f>IF(ISERROR(VLOOKUP($S$605,'TAR FIN'!$A$1:$O$103,15,0)),0,VLOOKUP($S$605,'TAR FIN'!$A$1:$O$103,15,0))</f>
        <v>0</v>
      </c>
      <c r="W605" s="6">
        <f>IF(ISERROR(VLOOKUP($T$605,'TAR FIN'!$A$1:$O$103,15,0)),0,VLOOKUP($T$605,'TAR FIN'!$A$1:$O$103,15,0))</f>
        <v>300.3</v>
      </c>
      <c r="X605" s="6">
        <f>IF(ISERROR(VLOOKUP($U$605,'TAR FIN'!$A$1:$O$103,15,0)),0,VLOOKUP($U$605,'TAR FIN'!$A$1:$O$103,15,0))</f>
        <v>255.17</v>
      </c>
      <c r="Y605" s="6"/>
      <c r="Z605" s="6">
        <f ca="1">('TUSD BE'!$AM$36+'TUSD BF_350'!$AM$36+'TUSD CVA'!$AM$36-('TUSD BE'!$P$36+'TUSD BF_350'!$P$36+'TUSD CVA'!$P$36)-('TUSD BE'!$Q$36+'TUSD BF_350'!$Q$36+'TUSD CVA'!$Q$36)-('TUSD BE'!$R$36+'TUSD BF_350'!$R$36+'TUSD CVA'!$R$36))*(1-CUSTOS!$M$37)</f>
        <v>251.4</v>
      </c>
      <c r="AA605" s="6">
        <f ca="1">('TE BE'!$AB$17+'TE BF_350'!$AB$17+'TE CVA'!$AB$17)*(1-CUSTOS!$M$37)</f>
        <v>286.51</v>
      </c>
      <c r="AB605" s="6">
        <f>$K$605*$V$605</f>
        <v>0</v>
      </c>
      <c r="AC605" s="6">
        <f>$M$605*$W$605</f>
        <v>10953.442500000001</v>
      </c>
      <c r="AD605" s="6">
        <f>$O$605*$X$605</f>
        <v>9307.32575</v>
      </c>
      <c r="AE605" s="6">
        <f>$K$605*$Y$605</f>
        <v>0</v>
      </c>
      <c r="AF605" s="6">
        <f ca="1">$M$605*$Z$605</f>
        <v>9169.8150000000005</v>
      </c>
      <c r="AG605" s="6">
        <f ca="1">$O$605*$AA$605</f>
        <v>10450.45225</v>
      </c>
    </row>
    <row r="606" spans="1:33" ht="11.25" customHeight="1" x14ac:dyDescent="0.3">
      <c r="A606" s="4" t="s">
        <v>21</v>
      </c>
      <c r="B606" s="4" t="s">
        <v>43</v>
      </c>
      <c r="C606" s="4" t="s">
        <v>23</v>
      </c>
      <c r="D606" s="4" t="s">
        <v>44</v>
      </c>
      <c r="E606" s="4" t="s">
        <v>53</v>
      </c>
      <c r="F606" s="4" t="s">
        <v>54</v>
      </c>
      <c r="G606" s="4" t="s">
        <v>25</v>
      </c>
      <c r="H606" s="4" t="s">
        <v>25</v>
      </c>
      <c r="I606" s="5">
        <v>44501</v>
      </c>
      <c r="J606" s="6">
        <v>0</v>
      </c>
      <c r="K606" s="6">
        <v>0</v>
      </c>
      <c r="L606" s="6">
        <v>20.692</v>
      </c>
      <c r="M606" s="6">
        <v>20.692</v>
      </c>
      <c r="N606" s="6">
        <v>20.692</v>
      </c>
      <c r="O606" s="6">
        <v>20.692</v>
      </c>
      <c r="P606" s="6">
        <v>0</v>
      </c>
      <c r="Q606" s="4" t="s">
        <v>26</v>
      </c>
      <c r="R606" s="4">
        <v>0</v>
      </c>
      <c r="S606" s="6">
        <v>0</v>
      </c>
      <c r="T606" s="6">
        <v>43</v>
      </c>
      <c r="U606" s="6">
        <v>84</v>
      </c>
      <c r="V606" s="6">
        <f>IF(ISERROR(VLOOKUP($S$606,'TAR FIN'!$A$1:$O$103,15,0)),0,VLOOKUP($S$606,'TAR FIN'!$A$1:$O$103,15,0))</f>
        <v>0</v>
      </c>
      <c r="W606" s="6">
        <f>IF(ISERROR(VLOOKUP($T$606,'TAR FIN'!$A$1:$O$103,15,0)),0,VLOOKUP($T$606,'TAR FIN'!$A$1:$O$103,15,0))</f>
        <v>334.07</v>
      </c>
      <c r="X606" s="6">
        <f>IF(ISERROR(VLOOKUP($U$606,'TAR FIN'!$A$1:$O$103,15,0)),0,VLOOKUP($U$606,'TAR FIN'!$A$1:$O$103,15,0))</f>
        <v>224.55</v>
      </c>
      <c r="Y606" s="6"/>
      <c r="Z606" s="6">
        <f ca="1">('TUSD BE'!$AM$45+'TUSD BF_350'!$AM$45+'TUSD CVA'!$AM$45)*(1-CUSTOS!$M$38)</f>
        <v>361.41120000000001</v>
      </c>
      <c r="AA606" s="6">
        <f ca="1">('TE BE'!$AB$26+'TE BF_350'!$AB$26+'TE CVA'!$AB$26)*(1-CUSTOS!$M$38)</f>
        <v>269.31939999999997</v>
      </c>
      <c r="AB606" s="6">
        <f>$K$606*$V$606</f>
        <v>0</v>
      </c>
      <c r="AC606" s="6">
        <f>$M$606*$W$606</f>
        <v>6912.5764399999998</v>
      </c>
      <c r="AD606" s="6">
        <f>$O$606*$X$606</f>
        <v>4646.3886000000002</v>
      </c>
      <c r="AE606" s="6">
        <f>$K$606*$Y$606</f>
        <v>0</v>
      </c>
      <c r="AF606" s="6">
        <f ca="1">$M$606*$Z$606</f>
        <v>7478.3205503999998</v>
      </c>
      <c r="AG606" s="6">
        <f ca="1">$O$606*$AA$606</f>
        <v>5572.7570247999993</v>
      </c>
    </row>
    <row r="607" spans="1:33" ht="11.25" customHeight="1" x14ac:dyDescent="0.3">
      <c r="A607" s="4" t="s">
        <v>21</v>
      </c>
      <c r="B607" s="4" t="s">
        <v>43</v>
      </c>
      <c r="C607" s="4" t="s">
        <v>23</v>
      </c>
      <c r="D607" s="4" t="s">
        <v>44</v>
      </c>
      <c r="E607" s="4" t="s">
        <v>53</v>
      </c>
      <c r="F607" s="4" t="s">
        <v>54</v>
      </c>
      <c r="G607" s="4" t="s">
        <v>25</v>
      </c>
      <c r="H607" s="4" t="s">
        <v>25</v>
      </c>
      <c r="I607" s="5">
        <v>44531</v>
      </c>
      <c r="J607" s="6">
        <v>0</v>
      </c>
      <c r="K607" s="6">
        <v>0</v>
      </c>
      <c r="L607" s="6">
        <v>6.3330000000000002</v>
      </c>
      <c r="M607" s="6">
        <v>6.3330000000000002</v>
      </c>
      <c r="N607" s="6">
        <v>6.3330000000000002</v>
      </c>
      <c r="O607" s="6">
        <v>6.3330000000000002</v>
      </c>
      <c r="P607" s="6">
        <v>0</v>
      </c>
      <c r="Q607" s="4" t="s">
        <v>26</v>
      </c>
      <c r="R607" s="4">
        <v>0</v>
      </c>
      <c r="S607" s="6">
        <v>0</v>
      </c>
      <c r="T607" s="6">
        <v>43</v>
      </c>
      <c r="U607" s="6">
        <v>84</v>
      </c>
      <c r="V607" s="6">
        <f>IF(ISERROR(VLOOKUP($S$607,'TAR FIN'!$A$1:$O$103,15,0)),0,VLOOKUP($S$607,'TAR FIN'!$A$1:$O$103,15,0))</f>
        <v>0</v>
      </c>
      <c r="W607" s="6">
        <f>IF(ISERROR(VLOOKUP($T$607,'TAR FIN'!$A$1:$O$103,15,0)),0,VLOOKUP($T$607,'TAR FIN'!$A$1:$O$103,15,0))</f>
        <v>334.07</v>
      </c>
      <c r="X607" s="6">
        <f>IF(ISERROR(VLOOKUP($U$607,'TAR FIN'!$A$1:$O$103,15,0)),0,VLOOKUP($U$607,'TAR FIN'!$A$1:$O$103,15,0))</f>
        <v>224.55</v>
      </c>
      <c r="Y607" s="6"/>
      <c r="Z607" s="6">
        <f ca="1">('TUSD BE'!$AM$45+'TUSD BF_350'!$AM$45+'TUSD CVA'!$AM$45)*(1-CUSTOS!$M$38)</f>
        <v>361.41120000000001</v>
      </c>
      <c r="AA607" s="6">
        <f ca="1">('TE BE'!$AB$26+'TE BF_350'!$AB$26+'TE CVA'!$AB$26)*(1-CUSTOS!$M$38)</f>
        <v>269.31939999999997</v>
      </c>
      <c r="AB607" s="6">
        <f>$K$607*$V$607</f>
        <v>0</v>
      </c>
      <c r="AC607" s="6">
        <f>$M$607*$W$607</f>
        <v>2115.6653099999999</v>
      </c>
      <c r="AD607" s="6">
        <f>$O$607*$X$607</f>
        <v>1422.0751500000001</v>
      </c>
      <c r="AE607" s="6">
        <f>$K$607*$Y$607</f>
        <v>0</v>
      </c>
      <c r="AF607" s="6">
        <f ca="1">$M$607*$Z$607</f>
        <v>2288.8171296</v>
      </c>
      <c r="AG607" s="6">
        <f ca="1">$O$607*$AA$607</f>
        <v>1705.5997602</v>
      </c>
    </row>
    <row r="608" spans="1:33" ht="11.25" customHeight="1" x14ac:dyDescent="0.3">
      <c r="A608" s="4" t="s">
        <v>21</v>
      </c>
      <c r="B608" s="4" t="s">
        <v>43</v>
      </c>
      <c r="C608" s="4" t="s">
        <v>23</v>
      </c>
      <c r="D608" s="4" t="s">
        <v>44</v>
      </c>
      <c r="E608" s="4" t="s">
        <v>53</v>
      </c>
      <c r="F608" s="4" t="s">
        <v>54</v>
      </c>
      <c r="G608" s="4" t="s">
        <v>25</v>
      </c>
      <c r="H608" s="4" t="s">
        <v>25</v>
      </c>
      <c r="I608" s="5">
        <v>44562</v>
      </c>
      <c r="J608" s="6">
        <v>0</v>
      </c>
      <c r="K608" s="6">
        <v>0</v>
      </c>
      <c r="L608" s="6">
        <v>3.2189999999999999</v>
      </c>
      <c r="M608" s="6">
        <v>3.2189999999999999</v>
      </c>
      <c r="N608" s="6">
        <v>3.2189999999999999</v>
      </c>
      <c r="O608" s="6">
        <v>3.2189999999999999</v>
      </c>
      <c r="P608" s="6">
        <v>0</v>
      </c>
      <c r="Q608" s="4" t="s">
        <v>26</v>
      </c>
      <c r="R608" s="4">
        <v>0</v>
      </c>
      <c r="S608" s="6">
        <v>0</v>
      </c>
      <c r="T608" s="6">
        <v>43</v>
      </c>
      <c r="U608" s="6">
        <v>84</v>
      </c>
      <c r="V608" s="6">
        <f>IF(ISERROR(VLOOKUP($S$608,'TAR FIN'!$A$1:$O$103,15,0)),0,VLOOKUP($S$608,'TAR FIN'!$A$1:$O$103,15,0))</f>
        <v>0</v>
      </c>
      <c r="W608" s="6">
        <f>IF(ISERROR(VLOOKUP($T$608,'TAR FIN'!$A$1:$O$103,15,0)),0,VLOOKUP($T$608,'TAR FIN'!$A$1:$O$103,15,0))</f>
        <v>334.07</v>
      </c>
      <c r="X608" s="6">
        <f>IF(ISERROR(VLOOKUP($U$608,'TAR FIN'!$A$1:$O$103,15,0)),0,VLOOKUP($U$608,'TAR FIN'!$A$1:$O$103,15,0))</f>
        <v>224.55</v>
      </c>
      <c r="Y608" s="6"/>
      <c r="Z608" s="6">
        <f ca="1">('TUSD BE'!$AM$45+'TUSD BF_350'!$AM$45+'TUSD CVA'!$AM$45)*(1-CUSTOS!$M$38)</f>
        <v>361.41120000000001</v>
      </c>
      <c r="AA608" s="6">
        <f ca="1">('TE BE'!$AB$26+'TE BF_350'!$AB$26+'TE CVA'!$AB$26)*(1-CUSTOS!$M$38)</f>
        <v>269.31939999999997</v>
      </c>
      <c r="AB608" s="6">
        <f>$K$608*$V$608</f>
        <v>0</v>
      </c>
      <c r="AC608" s="6">
        <f>$M$608*$W$608</f>
        <v>1075.3713299999999</v>
      </c>
      <c r="AD608" s="6">
        <f>$O$608*$X$608</f>
        <v>722.82645000000002</v>
      </c>
      <c r="AE608" s="6">
        <f>$K$608*$Y$608</f>
        <v>0</v>
      </c>
      <c r="AF608" s="6">
        <f ca="1">$M$608*$Z$608</f>
        <v>1163.3826528</v>
      </c>
      <c r="AG608" s="6">
        <f ca="1">$O$608*$AA$608</f>
        <v>866.93914859999984</v>
      </c>
    </row>
    <row r="609" spans="1:33" ht="11.25" customHeight="1" x14ac:dyDescent="0.3">
      <c r="A609" s="4" t="s">
        <v>21</v>
      </c>
      <c r="B609" s="4" t="s">
        <v>43</v>
      </c>
      <c r="C609" s="4" t="s">
        <v>23</v>
      </c>
      <c r="D609" s="4" t="s">
        <v>44</v>
      </c>
      <c r="E609" s="4" t="s">
        <v>53</v>
      </c>
      <c r="F609" s="4" t="s">
        <v>54</v>
      </c>
      <c r="G609" s="4" t="s">
        <v>25</v>
      </c>
      <c r="H609" s="4" t="s">
        <v>25</v>
      </c>
      <c r="I609" s="5">
        <v>44593</v>
      </c>
      <c r="J609" s="6">
        <v>0</v>
      </c>
      <c r="K609" s="6">
        <v>0</v>
      </c>
      <c r="L609" s="6">
        <v>7.2119999999999997</v>
      </c>
      <c r="M609" s="6">
        <v>7.2119999999999997</v>
      </c>
      <c r="N609" s="6">
        <v>7.2119999999999997</v>
      </c>
      <c r="O609" s="6">
        <v>7.2119999999999997</v>
      </c>
      <c r="P609" s="6">
        <v>0</v>
      </c>
      <c r="Q609" s="4" t="s">
        <v>26</v>
      </c>
      <c r="R609" s="4">
        <v>0</v>
      </c>
      <c r="S609" s="6">
        <v>0</v>
      </c>
      <c r="T609" s="6">
        <v>43</v>
      </c>
      <c r="U609" s="6">
        <v>84</v>
      </c>
      <c r="V609" s="6">
        <f>IF(ISERROR(VLOOKUP($S$609,'TAR FIN'!$A$1:$O$103,15,0)),0,VLOOKUP($S$609,'TAR FIN'!$A$1:$O$103,15,0))</f>
        <v>0</v>
      </c>
      <c r="W609" s="6">
        <f>IF(ISERROR(VLOOKUP($T$609,'TAR FIN'!$A$1:$O$103,15,0)),0,VLOOKUP($T$609,'TAR FIN'!$A$1:$O$103,15,0))</f>
        <v>334.07</v>
      </c>
      <c r="X609" s="6">
        <f>IF(ISERROR(VLOOKUP($U$609,'TAR FIN'!$A$1:$O$103,15,0)),0,VLOOKUP($U$609,'TAR FIN'!$A$1:$O$103,15,0))</f>
        <v>224.55</v>
      </c>
      <c r="Y609" s="6"/>
      <c r="Z609" s="6">
        <f ca="1">('TUSD BE'!$AM$45+'TUSD BF_350'!$AM$45+'TUSD CVA'!$AM$45)*(1-CUSTOS!$M$38)</f>
        <v>361.41120000000001</v>
      </c>
      <c r="AA609" s="6">
        <f ca="1">('TE BE'!$AB$26+'TE BF_350'!$AB$26+'TE CVA'!$AB$26)*(1-CUSTOS!$M$38)</f>
        <v>269.31939999999997</v>
      </c>
      <c r="AB609" s="6">
        <f>$K$609*$V$609</f>
        <v>0</v>
      </c>
      <c r="AC609" s="6">
        <f>$M$609*$W$609</f>
        <v>2409.3128400000001</v>
      </c>
      <c r="AD609" s="6">
        <f>$O$609*$X$609</f>
        <v>1619.4546</v>
      </c>
      <c r="AE609" s="6">
        <f>$K$609*$Y$609</f>
        <v>0</v>
      </c>
      <c r="AF609" s="6">
        <f ca="1">$M$609*$Z$609</f>
        <v>2606.4975743999998</v>
      </c>
      <c r="AG609" s="6">
        <f ca="1">$O$609*$AA$609</f>
        <v>1942.3315127999997</v>
      </c>
    </row>
    <row r="610" spans="1:33" ht="11.25" customHeight="1" x14ac:dyDescent="0.3">
      <c r="A610" s="4" t="s">
        <v>21</v>
      </c>
      <c r="B610" s="4" t="s">
        <v>43</v>
      </c>
      <c r="C610" s="4" t="s">
        <v>23</v>
      </c>
      <c r="D610" s="4" t="s">
        <v>44</v>
      </c>
      <c r="E610" s="4" t="s">
        <v>53</v>
      </c>
      <c r="F610" s="4" t="s">
        <v>54</v>
      </c>
      <c r="G610" s="4" t="s">
        <v>25</v>
      </c>
      <c r="H610" s="4" t="s">
        <v>25</v>
      </c>
      <c r="I610" s="5">
        <v>44621</v>
      </c>
      <c r="J610" s="6">
        <v>0</v>
      </c>
      <c r="K610" s="6">
        <v>0</v>
      </c>
      <c r="L610" s="6">
        <v>16.541</v>
      </c>
      <c r="M610" s="6">
        <v>16.541</v>
      </c>
      <c r="N610" s="6">
        <v>16.541</v>
      </c>
      <c r="O610" s="6">
        <v>16.541</v>
      </c>
      <c r="P610" s="6">
        <v>0</v>
      </c>
      <c r="Q610" s="4" t="s">
        <v>26</v>
      </c>
      <c r="R610" s="4">
        <v>0</v>
      </c>
      <c r="S610" s="6">
        <v>0</v>
      </c>
      <c r="T610" s="6">
        <v>43</v>
      </c>
      <c r="U610" s="6">
        <v>84</v>
      </c>
      <c r="V610" s="6">
        <f>IF(ISERROR(VLOOKUP($S$610,'TAR FIN'!$A$1:$O$103,15,0)),0,VLOOKUP($S$610,'TAR FIN'!$A$1:$O$103,15,0))</f>
        <v>0</v>
      </c>
      <c r="W610" s="6">
        <f>IF(ISERROR(VLOOKUP($T$610,'TAR FIN'!$A$1:$O$103,15,0)),0,VLOOKUP($T$610,'TAR FIN'!$A$1:$O$103,15,0))</f>
        <v>334.07</v>
      </c>
      <c r="X610" s="6">
        <f>IF(ISERROR(VLOOKUP($U$610,'TAR FIN'!$A$1:$O$103,15,0)),0,VLOOKUP($U$610,'TAR FIN'!$A$1:$O$103,15,0))</f>
        <v>224.55</v>
      </c>
      <c r="Y610" s="6"/>
      <c r="Z610" s="6">
        <f ca="1">('TUSD BE'!$AM$45+'TUSD BF_350'!$AM$45+'TUSD CVA'!$AM$45)*(1-CUSTOS!$M$38)</f>
        <v>361.41120000000001</v>
      </c>
      <c r="AA610" s="6">
        <f ca="1">('TE BE'!$AB$26+'TE BF_350'!$AB$26+'TE CVA'!$AB$26)*(1-CUSTOS!$M$38)</f>
        <v>269.31939999999997</v>
      </c>
      <c r="AB610" s="6">
        <f>$K$610*$V$610</f>
        <v>0</v>
      </c>
      <c r="AC610" s="6">
        <f>$M$610*$W$610</f>
        <v>5525.8518700000004</v>
      </c>
      <c r="AD610" s="6">
        <f>$O$610*$X$610</f>
        <v>3714.2815500000002</v>
      </c>
      <c r="AE610" s="6">
        <f>$K$610*$Y$610</f>
        <v>0</v>
      </c>
      <c r="AF610" s="6">
        <f ca="1">$M$610*$Z$610</f>
        <v>5978.1026591999998</v>
      </c>
      <c r="AG610" s="6">
        <f ca="1">$O$610*$AA$610</f>
        <v>4454.8121953999998</v>
      </c>
    </row>
    <row r="611" spans="1:33" ht="11.25" customHeight="1" x14ac:dyDescent="0.3">
      <c r="A611" s="4" t="s">
        <v>21</v>
      </c>
      <c r="B611" s="4" t="s">
        <v>43</v>
      </c>
      <c r="C611" s="4" t="s">
        <v>23</v>
      </c>
      <c r="D611" s="4" t="s">
        <v>44</v>
      </c>
      <c r="E611" s="4" t="s">
        <v>53</v>
      </c>
      <c r="F611" s="4" t="s">
        <v>54</v>
      </c>
      <c r="G611" s="4" t="s">
        <v>25</v>
      </c>
      <c r="H611" s="4" t="s">
        <v>25</v>
      </c>
      <c r="I611" s="5">
        <v>44652</v>
      </c>
      <c r="J611" s="6">
        <v>0</v>
      </c>
      <c r="K611" s="6">
        <v>0</v>
      </c>
      <c r="L611" s="6">
        <v>78.981999999999999</v>
      </c>
      <c r="M611" s="6">
        <v>78.981999999999999</v>
      </c>
      <c r="N611" s="6">
        <v>78.981999999999999</v>
      </c>
      <c r="O611" s="6">
        <v>78.981999999999999</v>
      </c>
      <c r="P611" s="6">
        <v>0</v>
      </c>
      <c r="Q611" s="4" t="s">
        <v>26</v>
      </c>
      <c r="R611" s="4">
        <v>0</v>
      </c>
      <c r="S611" s="6">
        <v>0</v>
      </c>
      <c r="T611" s="6">
        <v>43</v>
      </c>
      <c r="U611" s="6">
        <v>84</v>
      </c>
      <c r="V611" s="6">
        <f>IF(ISERROR(VLOOKUP($S$611,'TAR FIN'!$A$1:$O$103,15,0)),0,VLOOKUP($S$611,'TAR FIN'!$A$1:$O$103,15,0))</f>
        <v>0</v>
      </c>
      <c r="W611" s="6">
        <f>IF(ISERROR(VLOOKUP($T$611,'TAR FIN'!$A$1:$O$103,15,0)),0,VLOOKUP($T$611,'TAR FIN'!$A$1:$O$103,15,0))</f>
        <v>334.07</v>
      </c>
      <c r="X611" s="6">
        <f>IF(ISERROR(VLOOKUP($U$611,'TAR FIN'!$A$1:$O$103,15,0)),0,VLOOKUP($U$611,'TAR FIN'!$A$1:$O$103,15,0))</f>
        <v>224.55</v>
      </c>
      <c r="Y611" s="6"/>
      <c r="Z611" s="6">
        <f ca="1">('TUSD BE'!$AM$45+'TUSD BF_350'!$AM$45+'TUSD CVA'!$AM$45)*(1-CUSTOS!$M$38)</f>
        <v>361.41120000000001</v>
      </c>
      <c r="AA611" s="6">
        <f ca="1">('TE BE'!$AB$26+'TE BF_350'!$AB$26+'TE CVA'!$AB$26)*(1-CUSTOS!$M$38)</f>
        <v>269.31939999999997</v>
      </c>
      <c r="AB611" s="6">
        <f>$K$611*$V$611</f>
        <v>0</v>
      </c>
      <c r="AC611" s="6">
        <f>$M$611*$W$611</f>
        <v>26385.516739999999</v>
      </c>
      <c r="AD611" s="6">
        <f>$O$611*$X$611</f>
        <v>17735.408100000001</v>
      </c>
      <c r="AE611" s="6">
        <f>$K$611*$Y$611</f>
        <v>0</v>
      </c>
      <c r="AF611" s="6">
        <f ca="1">$M$611*$Z$611</f>
        <v>28544.979398399999</v>
      </c>
      <c r="AG611" s="6">
        <f ca="1">$O$611*$AA$611</f>
        <v>21271.384850799997</v>
      </c>
    </row>
    <row r="612" spans="1:33" ht="11.25" customHeight="1" x14ac:dyDescent="0.3">
      <c r="A612" s="4" t="s">
        <v>21</v>
      </c>
      <c r="B612" s="4" t="s">
        <v>43</v>
      </c>
      <c r="C612" s="4" t="s">
        <v>23</v>
      </c>
      <c r="D612" s="4" t="s">
        <v>44</v>
      </c>
      <c r="E612" s="4" t="s">
        <v>53</v>
      </c>
      <c r="F612" s="4" t="s">
        <v>54</v>
      </c>
      <c r="G612" s="4" t="s">
        <v>25</v>
      </c>
      <c r="H612" s="4" t="s">
        <v>25</v>
      </c>
      <c r="I612" s="5">
        <v>44682</v>
      </c>
      <c r="J612" s="6">
        <v>0</v>
      </c>
      <c r="K612" s="6">
        <v>0</v>
      </c>
      <c r="L612" s="6">
        <v>107.337</v>
      </c>
      <c r="M612" s="6">
        <v>107.337</v>
      </c>
      <c r="N612" s="6">
        <v>107.337</v>
      </c>
      <c r="O612" s="6">
        <v>107.337</v>
      </c>
      <c r="P612" s="6">
        <v>0</v>
      </c>
      <c r="Q612" s="4" t="s">
        <v>26</v>
      </c>
      <c r="R612" s="4">
        <v>0</v>
      </c>
      <c r="S612" s="6">
        <v>0</v>
      </c>
      <c r="T612" s="6">
        <v>43</v>
      </c>
      <c r="U612" s="6">
        <v>84</v>
      </c>
      <c r="V612" s="6">
        <f>IF(ISERROR(VLOOKUP($S$612,'TAR FIN'!$A$1:$O$103,15,0)),0,VLOOKUP($S$612,'TAR FIN'!$A$1:$O$103,15,0))</f>
        <v>0</v>
      </c>
      <c r="W612" s="6">
        <f>IF(ISERROR(VLOOKUP($T$612,'TAR FIN'!$A$1:$O$103,15,0)),0,VLOOKUP($T$612,'TAR FIN'!$A$1:$O$103,15,0))</f>
        <v>334.07</v>
      </c>
      <c r="X612" s="6">
        <f>IF(ISERROR(VLOOKUP($U$612,'TAR FIN'!$A$1:$O$103,15,0)),0,VLOOKUP($U$612,'TAR FIN'!$A$1:$O$103,15,0))</f>
        <v>224.55</v>
      </c>
      <c r="Y612" s="6"/>
      <c r="Z612" s="6">
        <f ca="1">('TUSD BE'!$AM$45+'TUSD BF_350'!$AM$45+'TUSD CVA'!$AM$45)*(1-CUSTOS!$M$38)</f>
        <v>361.41120000000001</v>
      </c>
      <c r="AA612" s="6">
        <f ca="1">('TE BE'!$AB$26+'TE BF_350'!$AB$26+'TE CVA'!$AB$26)*(1-CUSTOS!$M$38)</f>
        <v>269.31939999999997</v>
      </c>
      <c r="AB612" s="6">
        <f>$K$612*$V$612</f>
        <v>0</v>
      </c>
      <c r="AC612" s="6">
        <f>$M$612*$W$612</f>
        <v>35858.07159</v>
      </c>
      <c r="AD612" s="6">
        <f>$O$612*$X$612</f>
        <v>24102.523350000003</v>
      </c>
      <c r="AE612" s="6">
        <f>$K$612*$Y$612</f>
        <v>0</v>
      </c>
      <c r="AF612" s="6">
        <f ca="1">$M$612*$Z$612</f>
        <v>38792.793974400003</v>
      </c>
      <c r="AG612" s="6">
        <f ca="1">$O$612*$AA$612</f>
        <v>28907.936437799999</v>
      </c>
    </row>
    <row r="613" spans="1:33" ht="11.25" customHeight="1" x14ac:dyDescent="0.3">
      <c r="A613" s="4" t="s">
        <v>21</v>
      </c>
      <c r="B613" s="4" t="s">
        <v>43</v>
      </c>
      <c r="C613" s="4" t="s">
        <v>23</v>
      </c>
      <c r="D613" s="4" t="s">
        <v>44</v>
      </c>
      <c r="E613" s="4" t="s">
        <v>53</v>
      </c>
      <c r="F613" s="4" t="s">
        <v>54</v>
      </c>
      <c r="G613" s="4" t="s">
        <v>25</v>
      </c>
      <c r="H613" s="4" t="s">
        <v>25</v>
      </c>
      <c r="I613" s="5">
        <v>44713</v>
      </c>
      <c r="J613" s="6">
        <v>0</v>
      </c>
      <c r="K613" s="6">
        <v>0</v>
      </c>
      <c r="L613" s="6">
        <v>101.113</v>
      </c>
      <c r="M613" s="6">
        <v>101.113</v>
      </c>
      <c r="N613" s="6">
        <v>101.113</v>
      </c>
      <c r="O613" s="6">
        <v>101.113</v>
      </c>
      <c r="P613" s="6">
        <v>0</v>
      </c>
      <c r="Q613" s="4" t="s">
        <v>26</v>
      </c>
      <c r="R613" s="4">
        <v>0</v>
      </c>
      <c r="S613" s="6">
        <v>0</v>
      </c>
      <c r="T613" s="6">
        <v>43</v>
      </c>
      <c r="U613" s="6">
        <v>84</v>
      </c>
      <c r="V613" s="6">
        <f>IF(ISERROR(VLOOKUP($S$613,'TAR FIN'!$A$1:$O$103,15,0)),0,VLOOKUP($S$613,'TAR FIN'!$A$1:$O$103,15,0))</f>
        <v>0</v>
      </c>
      <c r="W613" s="6">
        <f>IF(ISERROR(VLOOKUP($T$613,'TAR FIN'!$A$1:$O$103,15,0)),0,VLOOKUP($T$613,'TAR FIN'!$A$1:$O$103,15,0))</f>
        <v>334.07</v>
      </c>
      <c r="X613" s="6">
        <f>IF(ISERROR(VLOOKUP($U$613,'TAR FIN'!$A$1:$O$103,15,0)),0,VLOOKUP($U$613,'TAR FIN'!$A$1:$O$103,15,0))</f>
        <v>224.55</v>
      </c>
      <c r="Y613" s="6"/>
      <c r="Z613" s="6">
        <f ca="1">('TUSD BE'!$AM$45+'TUSD BF_350'!$AM$45+'TUSD CVA'!$AM$45)*(1-CUSTOS!$M$38)</f>
        <v>361.41120000000001</v>
      </c>
      <c r="AA613" s="6">
        <f ca="1">('TE BE'!$AB$26+'TE BF_350'!$AB$26+'TE CVA'!$AB$26)*(1-CUSTOS!$M$38)</f>
        <v>269.31939999999997</v>
      </c>
      <c r="AB613" s="6">
        <f>$K$613*$V$613</f>
        <v>0</v>
      </c>
      <c r="AC613" s="6">
        <f>$M$613*$W$613</f>
        <v>33778.819909999998</v>
      </c>
      <c r="AD613" s="6">
        <f>$O$613*$X$613</f>
        <v>22704.924150000003</v>
      </c>
      <c r="AE613" s="6">
        <f>$K$613*$Y$613</f>
        <v>0</v>
      </c>
      <c r="AF613" s="6">
        <f ca="1">$M$613*$Z$613</f>
        <v>36543.370665599999</v>
      </c>
      <c r="AG613" s="6">
        <f ca="1">$O$613*$AA$613</f>
        <v>27231.692492199996</v>
      </c>
    </row>
    <row r="614" spans="1:33" ht="11.25" customHeight="1" x14ac:dyDescent="0.3">
      <c r="A614" s="4" t="s">
        <v>21</v>
      </c>
      <c r="B614" s="4" t="s">
        <v>43</v>
      </c>
      <c r="C614" s="4" t="s">
        <v>23</v>
      </c>
      <c r="D614" s="4" t="s">
        <v>44</v>
      </c>
      <c r="E614" s="4" t="s">
        <v>53</v>
      </c>
      <c r="F614" s="4" t="s">
        <v>54</v>
      </c>
      <c r="G614" s="4" t="s">
        <v>25</v>
      </c>
      <c r="H614" s="4" t="s">
        <v>25</v>
      </c>
      <c r="I614" s="5">
        <v>44743</v>
      </c>
      <c r="J614" s="6">
        <v>0</v>
      </c>
      <c r="K614" s="6">
        <v>0</v>
      </c>
      <c r="L614" s="6">
        <v>103.361</v>
      </c>
      <c r="M614" s="6">
        <v>103.361</v>
      </c>
      <c r="N614" s="6">
        <v>103.361</v>
      </c>
      <c r="O614" s="6">
        <v>103.361</v>
      </c>
      <c r="P614" s="6">
        <v>0</v>
      </c>
      <c r="Q614" s="4" t="s">
        <v>26</v>
      </c>
      <c r="R614" s="4">
        <v>0</v>
      </c>
      <c r="S614" s="6">
        <v>0</v>
      </c>
      <c r="T614" s="6">
        <v>43</v>
      </c>
      <c r="U614" s="6">
        <v>84</v>
      </c>
      <c r="V614" s="6">
        <f>IF(ISERROR(VLOOKUP($S$614,'TAR FIN'!$A$1:$O$103,15,0)),0,VLOOKUP($S$614,'TAR FIN'!$A$1:$O$103,15,0))</f>
        <v>0</v>
      </c>
      <c r="W614" s="6">
        <f>IF(ISERROR(VLOOKUP($T$614,'TAR FIN'!$A$1:$O$103,15,0)),0,VLOOKUP($T$614,'TAR FIN'!$A$1:$O$103,15,0))</f>
        <v>334.07</v>
      </c>
      <c r="X614" s="6">
        <f>IF(ISERROR(VLOOKUP($U$614,'TAR FIN'!$A$1:$O$103,15,0)),0,VLOOKUP($U$614,'TAR FIN'!$A$1:$O$103,15,0))</f>
        <v>224.55</v>
      </c>
      <c r="Y614" s="6"/>
      <c r="Z614" s="6">
        <f ca="1">('TUSD BE'!$AM$45+'TUSD BF_350'!$AM$45+'TUSD CVA'!$AM$45)*(1-CUSTOS!$M$38)</f>
        <v>361.41120000000001</v>
      </c>
      <c r="AA614" s="6">
        <f ca="1">('TE BE'!$AB$26+'TE BF_350'!$AB$26+'TE CVA'!$AB$26)*(1-CUSTOS!$M$38)</f>
        <v>269.31939999999997</v>
      </c>
      <c r="AB614" s="6">
        <f>$K$614*$V$614</f>
        <v>0</v>
      </c>
      <c r="AC614" s="6">
        <f>$M$614*$W$614</f>
        <v>34529.809269999998</v>
      </c>
      <c r="AD614" s="6">
        <f>$O$614*$X$614</f>
        <v>23209.712550000004</v>
      </c>
      <c r="AE614" s="6">
        <f>$K$614*$Y$614</f>
        <v>0</v>
      </c>
      <c r="AF614" s="6">
        <f ca="1">$M$614*$Z$614</f>
        <v>37355.823043200005</v>
      </c>
      <c r="AG614" s="6">
        <f ca="1">$O$614*$AA$614</f>
        <v>27837.122503399998</v>
      </c>
    </row>
    <row r="615" spans="1:33" ht="11.25" customHeight="1" x14ac:dyDescent="0.3">
      <c r="A615" s="4" t="s">
        <v>21</v>
      </c>
      <c r="B615" s="4" t="s">
        <v>43</v>
      </c>
      <c r="C615" s="4" t="s">
        <v>23</v>
      </c>
      <c r="D615" s="4" t="s">
        <v>44</v>
      </c>
      <c r="E615" s="4" t="s">
        <v>53</v>
      </c>
      <c r="F615" s="4" t="s">
        <v>54</v>
      </c>
      <c r="G615" s="4" t="s">
        <v>25</v>
      </c>
      <c r="H615" s="4" t="s">
        <v>25</v>
      </c>
      <c r="I615" s="5">
        <v>44774</v>
      </c>
      <c r="J615" s="6">
        <v>0</v>
      </c>
      <c r="K615" s="6">
        <v>0</v>
      </c>
      <c r="L615" s="6">
        <v>103.392</v>
      </c>
      <c r="M615" s="6">
        <v>103.392</v>
      </c>
      <c r="N615" s="6">
        <v>103.392</v>
      </c>
      <c r="O615" s="6">
        <v>103.392</v>
      </c>
      <c r="P615" s="6">
        <v>0</v>
      </c>
      <c r="Q615" s="4" t="s">
        <v>26</v>
      </c>
      <c r="R615" s="4">
        <v>0</v>
      </c>
      <c r="S615" s="6">
        <v>0</v>
      </c>
      <c r="T615" s="6">
        <v>43</v>
      </c>
      <c r="U615" s="6">
        <v>84</v>
      </c>
      <c r="V615" s="6">
        <f>IF(ISERROR(VLOOKUP($S$615,'TAR FIN'!$A$1:$O$103,15,0)),0,VLOOKUP($S$615,'TAR FIN'!$A$1:$O$103,15,0))</f>
        <v>0</v>
      </c>
      <c r="W615" s="6">
        <f>IF(ISERROR(VLOOKUP($T$615,'TAR FIN'!$A$1:$O$103,15,0)),0,VLOOKUP($T$615,'TAR FIN'!$A$1:$O$103,15,0))</f>
        <v>334.07</v>
      </c>
      <c r="X615" s="6">
        <f>IF(ISERROR(VLOOKUP($U$615,'TAR FIN'!$A$1:$O$103,15,0)),0,VLOOKUP($U$615,'TAR FIN'!$A$1:$O$103,15,0))</f>
        <v>224.55</v>
      </c>
      <c r="Y615" s="6"/>
      <c r="Z615" s="6">
        <f ca="1">('TUSD BE'!$AM$45+'TUSD BF_350'!$AM$45+'TUSD CVA'!$AM$45)*(1-CUSTOS!$M$38)</f>
        <v>361.41120000000001</v>
      </c>
      <c r="AA615" s="6">
        <f ca="1">('TE BE'!$AB$26+'TE BF_350'!$AB$26+'TE CVA'!$AB$26)*(1-CUSTOS!$M$38)</f>
        <v>269.31939999999997</v>
      </c>
      <c r="AB615" s="6">
        <f>$K$615*$V$615</f>
        <v>0</v>
      </c>
      <c r="AC615" s="6">
        <f>$M$615*$W$615</f>
        <v>34540.165439999997</v>
      </c>
      <c r="AD615" s="6">
        <f>$O$615*$X$615</f>
        <v>23216.673600000002</v>
      </c>
      <c r="AE615" s="6">
        <f>$K$615*$Y$615</f>
        <v>0</v>
      </c>
      <c r="AF615" s="6">
        <f ca="1">$M$615*$Z$615</f>
        <v>37367.026790399999</v>
      </c>
      <c r="AG615" s="6">
        <f ca="1">$O$615*$AA$615</f>
        <v>27845.471404799995</v>
      </c>
    </row>
    <row r="616" spans="1:33" ht="11.25" customHeight="1" x14ac:dyDescent="0.3">
      <c r="A616" s="4" t="s">
        <v>28</v>
      </c>
      <c r="B616" s="4" t="s">
        <v>43</v>
      </c>
      <c r="C616" s="4" t="s">
        <v>23</v>
      </c>
      <c r="D616" s="4" t="s">
        <v>44</v>
      </c>
      <c r="E616" s="4" t="s">
        <v>53</v>
      </c>
      <c r="F616" s="4" t="s">
        <v>54</v>
      </c>
      <c r="G616" s="4" t="s">
        <v>25</v>
      </c>
      <c r="H616" s="4" t="s">
        <v>25</v>
      </c>
      <c r="I616" s="5">
        <v>44774</v>
      </c>
      <c r="J616" s="6">
        <v>0</v>
      </c>
      <c r="K616" s="6">
        <v>0</v>
      </c>
      <c r="L616" s="6">
        <v>27.16</v>
      </c>
      <c r="M616" s="6">
        <v>27.16</v>
      </c>
      <c r="N616" s="6">
        <v>27.16</v>
      </c>
      <c r="O616" s="6">
        <v>27.16</v>
      </c>
      <c r="P616" s="6">
        <v>0</v>
      </c>
      <c r="Q616" s="4" t="s">
        <v>26</v>
      </c>
      <c r="R616" s="4">
        <v>0</v>
      </c>
      <c r="S616" s="6">
        <v>0</v>
      </c>
      <c r="T616" s="6">
        <v>43</v>
      </c>
      <c r="U616" s="6">
        <v>84</v>
      </c>
      <c r="V616" s="6">
        <f>IF(ISERROR(VLOOKUP($S$616,'TAR FIN'!$A$1:$O$103,15,0)),0,VLOOKUP($S$616,'TAR FIN'!$A$1:$O$103,15,0))</f>
        <v>0</v>
      </c>
      <c r="W616" s="6">
        <f>IF(ISERROR(VLOOKUP($T$616,'TAR FIN'!$A$1:$O$103,15,0)),0,VLOOKUP($T$616,'TAR FIN'!$A$1:$O$103,15,0))</f>
        <v>334.07</v>
      </c>
      <c r="X616" s="6">
        <f>IF(ISERROR(VLOOKUP($U$616,'TAR FIN'!$A$1:$O$103,15,0)),0,VLOOKUP($U$616,'TAR FIN'!$A$1:$O$103,15,0))</f>
        <v>224.55</v>
      </c>
      <c r="Y616" s="6"/>
      <c r="Z616" s="6">
        <f ca="1">('TUSD BE'!$AM$45+'TUSD BF_350'!$AM$45+'TUSD CVA'!$AM$45)*(1-CUSTOS!$M$38)</f>
        <v>361.41120000000001</v>
      </c>
      <c r="AA616" s="6">
        <f ca="1">('TE BE'!$AB$26+'TE BF_350'!$AB$26+'TE CVA'!$AB$26)*(1-CUSTOS!$M$38)</f>
        <v>269.31939999999997</v>
      </c>
      <c r="AB616" s="6">
        <f>$K$616*$V$616</f>
        <v>0</v>
      </c>
      <c r="AC616" s="6">
        <f>$M$616*$W$616</f>
        <v>9073.3412000000008</v>
      </c>
      <c r="AD616" s="6">
        <f>$O$616*$X$616</f>
        <v>6098.7780000000002</v>
      </c>
      <c r="AE616" s="6">
        <f>$K$616*$Y$616</f>
        <v>0</v>
      </c>
      <c r="AF616" s="6">
        <f ca="1">$M$616*$Z$616</f>
        <v>9815.9281919999994</v>
      </c>
      <c r="AG616" s="6">
        <f ca="1">$O$616*$AA$616</f>
        <v>7314.7149039999995</v>
      </c>
    </row>
    <row r="617" spans="1:33" ht="11.25" customHeight="1" x14ac:dyDescent="0.3">
      <c r="A617" s="4" t="s">
        <v>21</v>
      </c>
      <c r="B617" s="4" t="s">
        <v>43</v>
      </c>
      <c r="C617" s="4" t="s">
        <v>23</v>
      </c>
      <c r="D617" s="4" t="s">
        <v>44</v>
      </c>
      <c r="E617" s="4" t="s">
        <v>53</v>
      </c>
      <c r="F617" s="4" t="s">
        <v>54</v>
      </c>
      <c r="G617" s="4" t="s">
        <v>25</v>
      </c>
      <c r="H617" s="4" t="s">
        <v>25</v>
      </c>
      <c r="I617" s="5">
        <v>44805</v>
      </c>
      <c r="J617" s="6">
        <v>0</v>
      </c>
      <c r="K617" s="6">
        <v>0</v>
      </c>
      <c r="L617" s="6">
        <v>130.322</v>
      </c>
      <c r="M617" s="6">
        <v>130.322</v>
      </c>
      <c r="N617" s="6">
        <v>130.322</v>
      </c>
      <c r="O617" s="6">
        <v>130.322</v>
      </c>
      <c r="P617" s="6">
        <v>0</v>
      </c>
      <c r="Q617" s="4" t="s">
        <v>26</v>
      </c>
      <c r="R617" s="4">
        <v>0</v>
      </c>
      <c r="S617" s="6">
        <v>0</v>
      </c>
      <c r="T617" s="6">
        <v>43</v>
      </c>
      <c r="U617" s="6">
        <v>84</v>
      </c>
      <c r="V617" s="6">
        <f>IF(ISERROR(VLOOKUP($S$617,'TAR FIN'!$A$1:$O$103,15,0)),0,VLOOKUP($S$617,'TAR FIN'!$A$1:$O$103,15,0))</f>
        <v>0</v>
      </c>
      <c r="W617" s="6">
        <f>IF(ISERROR(VLOOKUP($T$617,'TAR FIN'!$A$1:$O$103,15,0)),0,VLOOKUP($T$617,'TAR FIN'!$A$1:$O$103,15,0))</f>
        <v>334.07</v>
      </c>
      <c r="X617" s="6">
        <f>IF(ISERROR(VLOOKUP($U$617,'TAR FIN'!$A$1:$O$103,15,0)),0,VLOOKUP($U$617,'TAR FIN'!$A$1:$O$103,15,0))</f>
        <v>224.55</v>
      </c>
      <c r="Y617" s="6"/>
      <c r="Z617" s="6">
        <f ca="1">('TUSD BE'!$AM$45+'TUSD BF_350'!$AM$45+'TUSD CVA'!$AM$45)*(1-CUSTOS!$M$38)</f>
        <v>361.41120000000001</v>
      </c>
      <c r="AA617" s="6">
        <f ca="1">('TE BE'!$AB$26+'TE BF_350'!$AB$26+'TE CVA'!$AB$26)*(1-CUSTOS!$M$38)</f>
        <v>269.31939999999997</v>
      </c>
      <c r="AB617" s="6">
        <f>$K$617*$V$617</f>
        <v>0</v>
      </c>
      <c r="AC617" s="6">
        <f>$M$617*$W$617</f>
        <v>43536.670539999999</v>
      </c>
      <c r="AD617" s="6">
        <f>$O$617*$X$617</f>
        <v>29263.805100000001</v>
      </c>
      <c r="AE617" s="6">
        <f>$K$617*$Y$617</f>
        <v>0</v>
      </c>
      <c r="AF617" s="6">
        <f ca="1">$M$617*$Z$617</f>
        <v>47099.830406400004</v>
      </c>
      <c r="AG617" s="6">
        <f ca="1">$O$617*$AA$617</f>
        <v>35098.2428468</v>
      </c>
    </row>
    <row r="618" spans="1:33" ht="11.25" customHeight="1" x14ac:dyDescent="0.3">
      <c r="A618" s="4" t="s">
        <v>28</v>
      </c>
      <c r="B618" s="4" t="s">
        <v>43</v>
      </c>
      <c r="C618" s="4" t="s">
        <v>23</v>
      </c>
      <c r="D618" s="4" t="s">
        <v>44</v>
      </c>
      <c r="E618" s="4" t="s">
        <v>53</v>
      </c>
      <c r="F618" s="4" t="s">
        <v>54</v>
      </c>
      <c r="G618" s="4" t="s">
        <v>25</v>
      </c>
      <c r="H618" s="4" t="s">
        <v>25</v>
      </c>
      <c r="I618" s="5">
        <v>44805</v>
      </c>
      <c r="J618" s="6">
        <v>0</v>
      </c>
      <c r="K618" s="6">
        <v>0</v>
      </c>
      <c r="L618" s="6">
        <v>7.8</v>
      </c>
      <c r="M618" s="6">
        <v>7.8</v>
      </c>
      <c r="N618" s="6">
        <v>7.8</v>
      </c>
      <c r="O618" s="6">
        <v>7.8</v>
      </c>
      <c r="P618" s="6">
        <v>0</v>
      </c>
      <c r="Q618" s="4" t="s">
        <v>26</v>
      </c>
      <c r="R618" s="4">
        <v>0</v>
      </c>
      <c r="S618" s="6">
        <v>0</v>
      </c>
      <c r="T618" s="6">
        <v>43</v>
      </c>
      <c r="U618" s="6">
        <v>84</v>
      </c>
      <c r="V618" s="6">
        <f>IF(ISERROR(VLOOKUP($S$618,'TAR FIN'!$A$1:$O$103,15,0)),0,VLOOKUP($S$618,'TAR FIN'!$A$1:$O$103,15,0))</f>
        <v>0</v>
      </c>
      <c r="W618" s="6">
        <f>IF(ISERROR(VLOOKUP($T$618,'TAR FIN'!$A$1:$O$103,15,0)),0,VLOOKUP($T$618,'TAR FIN'!$A$1:$O$103,15,0))</f>
        <v>334.07</v>
      </c>
      <c r="X618" s="6">
        <f>IF(ISERROR(VLOOKUP($U$618,'TAR FIN'!$A$1:$O$103,15,0)),0,VLOOKUP($U$618,'TAR FIN'!$A$1:$O$103,15,0))</f>
        <v>224.55</v>
      </c>
      <c r="Y618" s="6"/>
      <c r="Z618" s="6">
        <f ca="1">('TUSD BE'!$AM$45+'TUSD BF_350'!$AM$45+'TUSD CVA'!$AM$45)*(1-CUSTOS!$M$38)</f>
        <v>361.41120000000001</v>
      </c>
      <c r="AA618" s="6">
        <f ca="1">('TE BE'!$AB$26+'TE BF_350'!$AB$26+'TE CVA'!$AB$26)*(1-CUSTOS!$M$38)</f>
        <v>269.31939999999997</v>
      </c>
      <c r="AB618" s="6">
        <f>$K$618*$V$618</f>
        <v>0</v>
      </c>
      <c r="AC618" s="6">
        <f>$M$618*$W$618</f>
        <v>2605.7460000000001</v>
      </c>
      <c r="AD618" s="6">
        <f>$O$618*$X$618</f>
        <v>1751.49</v>
      </c>
      <c r="AE618" s="6">
        <f>$K$618*$Y$618</f>
        <v>0</v>
      </c>
      <c r="AF618" s="6">
        <f ca="1">$M$618*$Z$618</f>
        <v>2819.0073600000001</v>
      </c>
      <c r="AG618" s="6">
        <f ca="1">$O$618*$AA$618</f>
        <v>2100.6913199999999</v>
      </c>
    </row>
    <row r="619" spans="1:33" ht="11.25" customHeight="1" x14ac:dyDescent="0.3">
      <c r="A619" s="4" t="s">
        <v>57</v>
      </c>
      <c r="B619" s="4" t="s">
        <v>43</v>
      </c>
      <c r="C619" s="4" t="s">
        <v>23</v>
      </c>
      <c r="D619" s="4" t="s">
        <v>44</v>
      </c>
      <c r="E619" s="4" t="s">
        <v>53</v>
      </c>
      <c r="F619" s="4" t="s">
        <v>54</v>
      </c>
      <c r="G619" s="4" t="s">
        <v>25</v>
      </c>
      <c r="H619" s="4" t="s">
        <v>25</v>
      </c>
      <c r="I619" s="5">
        <v>44835</v>
      </c>
      <c r="J619" s="6">
        <v>0</v>
      </c>
      <c r="K619" s="6">
        <v>0</v>
      </c>
      <c r="L619" s="6">
        <v>130.322</v>
      </c>
      <c r="M619" s="6">
        <v>130.322</v>
      </c>
      <c r="N619" s="6">
        <v>130.322</v>
      </c>
      <c r="O619" s="6">
        <v>130.322</v>
      </c>
      <c r="P619" s="6">
        <v>0</v>
      </c>
      <c r="Q619" s="4" t="s">
        <v>26</v>
      </c>
      <c r="R619" s="4">
        <v>0</v>
      </c>
      <c r="S619" s="6">
        <v>0</v>
      </c>
      <c r="T619" s="6">
        <v>43</v>
      </c>
      <c r="U619" s="6">
        <v>84</v>
      </c>
      <c r="V619" s="6">
        <f>IF(ISERROR(VLOOKUP($S$619,'TAR FIN'!$A$1:$O$103,15,0)),0,VLOOKUP($S$619,'TAR FIN'!$A$1:$O$103,15,0))</f>
        <v>0</v>
      </c>
      <c r="W619" s="6">
        <f>IF(ISERROR(VLOOKUP($T$619,'TAR FIN'!$A$1:$O$103,15,0)),0,VLOOKUP($T$619,'TAR FIN'!$A$1:$O$103,15,0))</f>
        <v>334.07</v>
      </c>
      <c r="X619" s="6">
        <f>IF(ISERROR(VLOOKUP($U$619,'TAR FIN'!$A$1:$O$103,15,0)),0,VLOOKUP($U$619,'TAR FIN'!$A$1:$O$103,15,0))</f>
        <v>224.55</v>
      </c>
      <c r="Y619" s="6"/>
      <c r="Z619" s="6">
        <f ca="1">('TUSD BE'!$AM$45+'TUSD BF_350'!$AM$45+'TUSD CVA'!$AM$45)*(1-CUSTOS!$M$38)</f>
        <v>361.41120000000001</v>
      </c>
      <c r="AA619" s="6">
        <f ca="1">('TE BE'!$AB$26+'TE BF_350'!$AB$26+'TE CVA'!$AB$26)*(1-CUSTOS!$M$38)</f>
        <v>269.31939999999997</v>
      </c>
      <c r="AB619" s="6">
        <f>$K$619*$V$619</f>
        <v>0</v>
      </c>
      <c r="AC619" s="6">
        <f>$M$619*$W$619</f>
        <v>43536.670539999999</v>
      </c>
      <c r="AD619" s="6">
        <f>$O$619*$X$619</f>
        <v>29263.805100000001</v>
      </c>
      <c r="AE619" s="6">
        <f>$K$619*$Y$619</f>
        <v>0</v>
      </c>
      <c r="AF619" s="6">
        <f ca="1">$M$619*$Z$619</f>
        <v>47099.830406400004</v>
      </c>
      <c r="AG619" s="6">
        <f ca="1">$O$619*$AA$619</f>
        <v>35098.2428468</v>
      </c>
    </row>
    <row r="620" spans="1:33" ht="11.25" customHeight="1" x14ac:dyDescent="0.3">
      <c r="A620" s="4" t="s">
        <v>57</v>
      </c>
      <c r="B620" s="4" t="s">
        <v>43</v>
      </c>
      <c r="C620" s="4" t="s">
        <v>23</v>
      </c>
      <c r="D620" s="4" t="s">
        <v>44</v>
      </c>
      <c r="E620" s="4" t="s">
        <v>53</v>
      </c>
      <c r="F620" s="4" t="s">
        <v>54</v>
      </c>
      <c r="G620" s="4" t="s">
        <v>25</v>
      </c>
      <c r="H620" s="4" t="s">
        <v>25</v>
      </c>
      <c r="I620" s="5">
        <v>44835</v>
      </c>
      <c r="J620" s="6">
        <v>0</v>
      </c>
      <c r="K620" s="6">
        <v>0</v>
      </c>
      <c r="L620" s="6">
        <v>7.8</v>
      </c>
      <c r="M620" s="6">
        <v>7.8</v>
      </c>
      <c r="N620" s="6">
        <v>7.8</v>
      </c>
      <c r="O620" s="6">
        <v>7.8</v>
      </c>
      <c r="P620" s="6">
        <v>0</v>
      </c>
      <c r="Q620" s="4" t="s">
        <v>26</v>
      </c>
      <c r="R620" s="4">
        <v>0</v>
      </c>
      <c r="S620" s="6">
        <v>0</v>
      </c>
      <c r="T620" s="6">
        <v>43</v>
      </c>
      <c r="U620" s="6">
        <v>84</v>
      </c>
      <c r="V620" s="6">
        <f>IF(ISERROR(VLOOKUP($S$620,'TAR FIN'!$A$1:$O$103,15,0)),0,VLOOKUP($S$620,'TAR FIN'!$A$1:$O$103,15,0))</f>
        <v>0</v>
      </c>
      <c r="W620" s="6">
        <f>IF(ISERROR(VLOOKUP($T$620,'TAR FIN'!$A$1:$O$103,15,0)),0,VLOOKUP($T$620,'TAR FIN'!$A$1:$O$103,15,0))</f>
        <v>334.07</v>
      </c>
      <c r="X620" s="6">
        <f>IF(ISERROR(VLOOKUP($U$620,'TAR FIN'!$A$1:$O$103,15,0)),0,VLOOKUP($U$620,'TAR FIN'!$A$1:$O$103,15,0))</f>
        <v>224.55</v>
      </c>
      <c r="Y620" s="6"/>
      <c r="Z620" s="6">
        <f ca="1">('TUSD BE'!$AM$45+'TUSD BF_350'!$AM$45+'TUSD CVA'!$AM$45)*(1-CUSTOS!$M$38)</f>
        <v>361.41120000000001</v>
      </c>
      <c r="AA620" s="6">
        <f ca="1">('TE BE'!$AB$26+'TE BF_350'!$AB$26+'TE CVA'!$AB$26)*(1-CUSTOS!$M$38)</f>
        <v>269.31939999999997</v>
      </c>
      <c r="AB620" s="6">
        <f>$K$620*$V$620</f>
        <v>0</v>
      </c>
      <c r="AC620" s="6">
        <f>$M$620*$W$620</f>
        <v>2605.7460000000001</v>
      </c>
      <c r="AD620" s="6">
        <f>$O$620*$X$620</f>
        <v>1751.49</v>
      </c>
      <c r="AE620" s="6">
        <f>$K$620*$Y$620</f>
        <v>0</v>
      </c>
      <c r="AF620" s="6">
        <f ca="1">$M$620*$Z$620</f>
        <v>2819.0073600000001</v>
      </c>
      <c r="AG620" s="6">
        <f ca="1">$O$620*$AA$620</f>
        <v>2100.6913199999999</v>
      </c>
    </row>
    <row r="621" spans="1:33" ht="11.25" customHeight="1" x14ac:dyDescent="0.3">
      <c r="A621" s="4" t="s">
        <v>21</v>
      </c>
      <c r="B621" s="4" t="s">
        <v>43</v>
      </c>
      <c r="C621" s="4" t="s">
        <v>23</v>
      </c>
      <c r="D621" s="4" t="s">
        <v>44</v>
      </c>
      <c r="E621" s="4" t="s">
        <v>53</v>
      </c>
      <c r="F621" s="4" t="s">
        <v>55</v>
      </c>
      <c r="G621" s="4" t="s">
        <v>25</v>
      </c>
      <c r="H621" s="4" t="s">
        <v>25</v>
      </c>
      <c r="I621" s="5">
        <v>44501</v>
      </c>
      <c r="J621" s="6">
        <v>0</v>
      </c>
      <c r="K621" s="6">
        <v>0</v>
      </c>
      <c r="L621" s="6">
        <v>17.97</v>
      </c>
      <c r="M621" s="6">
        <v>5.9301000000000004</v>
      </c>
      <c r="N621" s="6">
        <v>17.97</v>
      </c>
      <c r="O621" s="6">
        <v>5.9301000000000004</v>
      </c>
      <c r="P621" s="6">
        <v>0</v>
      </c>
      <c r="Q621" s="4" t="s">
        <v>26</v>
      </c>
      <c r="R621" s="4">
        <v>0</v>
      </c>
      <c r="S621" s="6">
        <v>0</v>
      </c>
      <c r="T621" s="6">
        <v>43</v>
      </c>
      <c r="U621" s="6">
        <v>84</v>
      </c>
      <c r="V621" s="6">
        <f>IF(ISERROR(VLOOKUP($S$621,'TAR FIN'!$A$1:$O$103,15,0)),0,VLOOKUP($S$621,'TAR FIN'!$A$1:$O$103,15,0))</f>
        <v>0</v>
      </c>
      <c r="W621" s="6">
        <f>IF(ISERROR(VLOOKUP($T$621,'TAR FIN'!$A$1:$O$103,15,0)),0,VLOOKUP($T$621,'TAR FIN'!$A$1:$O$103,15,0))</f>
        <v>334.07</v>
      </c>
      <c r="X621" s="6">
        <f>IF(ISERROR(VLOOKUP($U$621,'TAR FIN'!$A$1:$O$103,15,0)),0,VLOOKUP($U$621,'TAR FIN'!$A$1:$O$103,15,0))</f>
        <v>224.55</v>
      </c>
      <c r="Y621" s="6"/>
      <c r="Z621" s="6">
        <f ca="1">('TUSD BE'!$AM$45+'TUSD BF_350'!$AM$45+'TUSD CVA'!$AM$45)*(1-CUSTOS!$M$38)</f>
        <v>361.41120000000001</v>
      </c>
      <c r="AA621" s="6">
        <f ca="1">('TE BE'!$AB$26+'TE BF_350'!$AB$26+'TE CVA'!$AB$26)*(1-CUSTOS!$M$38)</f>
        <v>269.31939999999997</v>
      </c>
      <c r="AB621" s="6">
        <f>$K$621*$V$621</f>
        <v>0</v>
      </c>
      <c r="AC621" s="6">
        <f>$M$621*$W$621</f>
        <v>1981.0685070000002</v>
      </c>
      <c r="AD621" s="6">
        <f>$O$621*$X$621</f>
        <v>1331.603955</v>
      </c>
      <c r="AE621" s="6">
        <f>$K$621*$Y$621</f>
        <v>0</v>
      </c>
      <c r="AF621" s="6">
        <f ca="1">$M$621*$Z$621</f>
        <v>2143.2045571200001</v>
      </c>
      <c r="AG621" s="6">
        <f ca="1">$O$621*$AA$621</f>
        <v>1597.0909739399999</v>
      </c>
    </row>
    <row r="622" spans="1:33" ht="11.25" customHeight="1" x14ac:dyDescent="0.3">
      <c r="A622" s="4" t="s">
        <v>21</v>
      </c>
      <c r="B622" s="4" t="s">
        <v>43</v>
      </c>
      <c r="C622" s="4" t="s">
        <v>23</v>
      </c>
      <c r="D622" s="4" t="s">
        <v>44</v>
      </c>
      <c r="E622" s="4" t="s">
        <v>53</v>
      </c>
      <c r="F622" s="4" t="s">
        <v>55</v>
      </c>
      <c r="G622" s="4" t="s">
        <v>25</v>
      </c>
      <c r="H622" s="4" t="s">
        <v>25</v>
      </c>
      <c r="I622" s="5">
        <v>44531</v>
      </c>
      <c r="J622" s="6">
        <v>0</v>
      </c>
      <c r="K622" s="6">
        <v>0</v>
      </c>
      <c r="L622" s="6">
        <v>6.3819999999999997</v>
      </c>
      <c r="M622" s="6">
        <v>2.1060599999999998</v>
      </c>
      <c r="N622" s="6">
        <v>6.3819999999999997</v>
      </c>
      <c r="O622" s="6">
        <v>2.1060599999999998</v>
      </c>
      <c r="P622" s="6">
        <v>0</v>
      </c>
      <c r="Q622" s="4" t="s">
        <v>26</v>
      </c>
      <c r="R622" s="4">
        <v>0</v>
      </c>
      <c r="S622" s="6">
        <v>0</v>
      </c>
      <c r="T622" s="6">
        <v>43</v>
      </c>
      <c r="U622" s="6">
        <v>84</v>
      </c>
      <c r="V622" s="6">
        <f>IF(ISERROR(VLOOKUP($S$622,'TAR FIN'!$A$1:$O$103,15,0)),0,VLOOKUP($S$622,'TAR FIN'!$A$1:$O$103,15,0))</f>
        <v>0</v>
      </c>
      <c r="W622" s="6">
        <f>IF(ISERROR(VLOOKUP($T$622,'TAR FIN'!$A$1:$O$103,15,0)),0,VLOOKUP($T$622,'TAR FIN'!$A$1:$O$103,15,0))</f>
        <v>334.07</v>
      </c>
      <c r="X622" s="6">
        <f>IF(ISERROR(VLOOKUP($U$622,'TAR FIN'!$A$1:$O$103,15,0)),0,VLOOKUP($U$622,'TAR FIN'!$A$1:$O$103,15,0))</f>
        <v>224.55</v>
      </c>
      <c r="Y622" s="6"/>
      <c r="Z622" s="6">
        <f ca="1">('TUSD BE'!$AM$45+'TUSD BF_350'!$AM$45+'TUSD CVA'!$AM$45)*(1-CUSTOS!$M$38)</f>
        <v>361.41120000000001</v>
      </c>
      <c r="AA622" s="6">
        <f ca="1">('TE BE'!$AB$26+'TE BF_350'!$AB$26+'TE CVA'!$AB$26)*(1-CUSTOS!$M$38)</f>
        <v>269.31939999999997</v>
      </c>
      <c r="AB622" s="6">
        <f>$K$622*$V$622</f>
        <v>0</v>
      </c>
      <c r="AC622" s="6">
        <f>$M$622*$W$622</f>
        <v>703.57146419999992</v>
      </c>
      <c r="AD622" s="6">
        <f>$O$622*$X$622</f>
        <v>472.915773</v>
      </c>
      <c r="AE622" s="6">
        <f>$K$622*$Y$622</f>
        <v>0</v>
      </c>
      <c r="AF622" s="6">
        <f ca="1">$M$622*$Z$622</f>
        <v>761.1536718719999</v>
      </c>
      <c r="AG622" s="6">
        <f ca="1">$O$622*$AA$622</f>
        <v>567.20281556399993</v>
      </c>
    </row>
    <row r="623" spans="1:33" ht="11.25" customHeight="1" x14ac:dyDescent="0.3">
      <c r="A623" s="4" t="s">
        <v>21</v>
      </c>
      <c r="B623" s="4" t="s">
        <v>43</v>
      </c>
      <c r="C623" s="4" t="s">
        <v>23</v>
      </c>
      <c r="D623" s="4" t="s">
        <v>44</v>
      </c>
      <c r="E623" s="4" t="s">
        <v>53</v>
      </c>
      <c r="F623" s="4" t="s">
        <v>55</v>
      </c>
      <c r="G623" s="4" t="s">
        <v>25</v>
      </c>
      <c r="H623" s="4" t="s">
        <v>25</v>
      </c>
      <c r="I623" s="5">
        <v>44562</v>
      </c>
      <c r="J623" s="6">
        <v>0</v>
      </c>
      <c r="K623" s="6">
        <v>0</v>
      </c>
      <c r="L623" s="6">
        <v>0.55400000000000005</v>
      </c>
      <c r="M623" s="6">
        <v>0.18282000000000001</v>
      </c>
      <c r="N623" s="6">
        <v>0.55400000000000005</v>
      </c>
      <c r="O623" s="6">
        <v>0.18282000000000001</v>
      </c>
      <c r="P623" s="6">
        <v>0</v>
      </c>
      <c r="Q623" s="4" t="s">
        <v>26</v>
      </c>
      <c r="R623" s="4">
        <v>0</v>
      </c>
      <c r="S623" s="6">
        <v>0</v>
      </c>
      <c r="T623" s="6">
        <v>43</v>
      </c>
      <c r="U623" s="6">
        <v>84</v>
      </c>
      <c r="V623" s="6">
        <f>IF(ISERROR(VLOOKUP($S$623,'TAR FIN'!$A$1:$O$103,15,0)),0,VLOOKUP($S$623,'TAR FIN'!$A$1:$O$103,15,0))</f>
        <v>0</v>
      </c>
      <c r="W623" s="6">
        <f>IF(ISERROR(VLOOKUP($T$623,'TAR FIN'!$A$1:$O$103,15,0)),0,VLOOKUP($T$623,'TAR FIN'!$A$1:$O$103,15,0))</f>
        <v>334.07</v>
      </c>
      <c r="X623" s="6">
        <f>IF(ISERROR(VLOOKUP($U$623,'TAR FIN'!$A$1:$O$103,15,0)),0,VLOOKUP($U$623,'TAR FIN'!$A$1:$O$103,15,0))</f>
        <v>224.55</v>
      </c>
      <c r="Y623" s="6"/>
      <c r="Z623" s="6">
        <f ca="1">('TUSD BE'!$AM$45+'TUSD BF_350'!$AM$45+'TUSD CVA'!$AM$45)*(1-CUSTOS!$M$38)</f>
        <v>361.41120000000001</v>
      </c>
      <c r="AA623" s="6">
        <f ca="1">('TE BE'!$AB$26+'TE BF_350'!$AB$26+'TE CVA'!$AB$26)*(1-CUSTOS!$M$38)</f>
        <v>269.31939999999997</v>
      </c>
      <c r="AB623" s="6">
        <f>$K$623*$V$623</f>
        <v>0</v>
      </c>
      <c r="AC623" s="6">
        <f>$M$623*$W$623</f>
        <v>61.074677399999999</v>
      </c>
      <c r="AD623" s="6">
        <f>$O$623*$X$623</f>
        <v>41.052231000000006</v>
      </c>
      <c r="AE623" s="6">
        <f>$K$623*$Y$623</f>
        <v>0</v>
      </c>
      <c r="AF623" s="6">
        <f ca="1">$M$623*$Z$623</f>
        <v>66.073195584000004</v>
      </c>
      <c r="AG623" s="6">
        <f ca="1">$O$623*$AA$623</f>
        <v>49.236972707999996</v>
      </c>
    </row>
    <row r="624" spans="1:33" ht="11.25" customHeight="1" x14ac:dyDescent="0.3">
      <c r="A624" s="4" t="s">
        <v>21</v>
      </c>
      <c r="B624" s="4" t="s">
        <v>43</v>
      </c>
      <c r="C624" s="4" t="s">
        <v>23</v>
      </c>
      <c r="D624" s="4" t="s">
        <v>44</v>
      </c>
      <c r="E624" s="4" t="s">
        <v>53</v>
      </c>
      <c r="F624" s="4" t="s">
        <v>55</v>
      </c>
      <c r="G624" s="4" t="s">
        <v>25</v>
      </c>
      <c r="H624" s="4" t="s">
        <v>25</v>
      </c>
      <c r="I624" s="5">
        <v>44593</v>
      </c>
      <c r="J624" s="6">
        <v>0</v>
      </c>
      <c r="K624" s="6">
        <v>0</v>
      </c>
      <c r="L624" s="6">
        <v>5.9119999999999999</v>
      </c>
      <c r="M624" s="6">
        <v>1.95096</v>
      </c>
      <c r="N624" s="6">
        <v>5.9119999999999999</v>
      </c>
      <c r="O624" s="6">
        <v>1.95096</v>
      </c>
      <c r="P624" s="6">
        <v>0</v>
      </c>
      <c r="Q624" s="4" t="s">
        <v>26</v>
      </c>
      <c r="R624" s="4">
        <v>0</v>
      </c>
      <c r="S624" s="6">
        <v>0</v>
      </c>
      <c r="T624" s="6">
        <v>43</v>
      </c>
      <c r="U624" s="6">
        <v>84</v>
      </c>
      <c r="V624" s="6">
        <f>IF(ISERROR(VLOOKUP($S$624,'TAR FIN'!$A$1:$O$103,15,0)),0,VLOOKUP($S$624,'TAR FIN'!$A$1:$O$103,15,0))</f>
        <v>0</v>
      </c>
      <c r="W624" s="6">
        <f>IF(ISERROR(VLOOKUP($T$624,'TAR FIN'!$A$1:$O$103,15,0)),0,VLOOKUP($T$624,'TAR FIN'!$A$1:$O$103,15,0))</f>
        <v>334.07</v>
      </c>
      <c r="X624" s="6">
        <f>IF(ISERROR(VLOOKUP($U$624,'TAR FIN'!$A$1:$O$103,15,0)),0,VLOOKUP($U$624,'TAR FIN'!$A$1:$O$103,15,0))</f>
        <v>224.55</v>
      </c>
      <c r="Y624" s="6"/>
      <c r="Z624" s="6">
        <f ca="1">('TUSD BE'!$AM$45+'TUSD BF_350'!$AM$45+'TUSD CVA'!$AM$45)*(1-CUSTOS!$M$38)</f>
        <v>361.41120000000001</v>
      </c>
      <c r="AA624" s="6">
        <f ca="1">('TE BE'!$AB$26+'TE BF_350'!$AB$26+'TE CVA'!$AB$26)*(1-CUSTOS!$M$38)</f>
        <v>269.31939999999997</v>
      </c>
      <c r="AB624" s="6">
        <f>$K$624*$V$624</f>
        <v>0</v>
      </c>
      <c r="AC624" s="6">
        <f>$M$624*$W$624</f>
        <v>651.75720720000004</v>
      </c>
      <c r="AD624" s="6">
        <f>$O$624*$X$624</f>
        <v>438.08806800000002</v>
      </c>
      <c r="AE624" s="6">
        <f>$K$624*$Y$624</f>
        <v>0</v>
      </c>
      <c r="AF624" s="6">
        <f ca="1">$M$624*$Z$624</f>
        <v>705.098794752</v>
      </c>
      <c r="AG624" s="6">
        <f ca="1">$O$624*$AA$624</f>
        <v>525.43137662399999</v>
      </c>
    </row>
    <row r="625" spans="1:33" ht="11.25" customHeight="1" x14ac:dyDescent="0.3">
      <c r="A625" s="4" t="s">
        <v>21</v>
      </c>
      <c r="B625" s="4" t="s">
        <v>43</v>
      </c>
      <c r="C625" s="4" t="s">
        <v>23</v>
      </c>
      <c r="D625" s="4" t="s">
        <v>44</v>
      </c>
      <c r="E625" s="4" t="s">
        <v>53</v>
      </c>
      <c r="F625" s="4" t="s">
        <v>55</v>
      </c>
      <c r="G625" s="4" t="s">
        <v>25</v>
      </c>
      <c r="H625" s="4" t="s">
        <v>25</v>
      </c>
      <c r="I625" s="5">
        <v>44621</v>
      </c>
      <c r="J625" s="6">
        <v>0</v>
      </c>
      <c r="K625" s="6">
        <v>0</v>
      </c>
      <c r="L625" s="6">
        <v>11.507999999999999</v>
      </c>
      <c r="M625" s="6">
        <v>3.7976399999999999</v>
      </c>
      <c r="N625" s="6">
        <v>11.507999999999999</v>
      </c>
      <c r="O625" s="6">
        <v>3.7976399999999999</v>
      </c>
      <c r="P625" s="6">
        <v>0</v>
      </c>
      <c r="Q625" s="4" t="s">
        <v>26</v>
      </c>
      <c r="R625" s="4">
        <v>0</v>
      </c>
      <c r="S625" s="6">
        <v>0</v>
      </c>
      <c r="T625" s="6">
        <v>43</v>
      </c>
      <c r="U625" s="6">
        <v>84</v>
      </c>
      <c r="V625" s="6">
        <f>IF(ISERROR(VLOOKUP($S$625,'TAR FIN'!$A$1:$O$103,15,0)),0,VLOOKUP($S$625,'TAR FIN'!$A$1:$O$103,15,0))</f>
        <v>0</v>
      </c>
      <c r="W625" s="6">
        <f>IF(ISERROR(VLOOKUP($T$625,'TAR FIN'!$A$1:$O$103,15,0)),0,VLOOKUP($T$625,'TAR FIN'!$A$1:$O$103,15,0))</f>
        <v>334.07</v>
      </c>
      <c r="X625" s="6">
        <f>IF(ISERROR(VLOOKUP($U$625,'TAR FIN'!$A$1:$O$103,15,0)),0,VLOOKUP($U$625,'TAR FIN'!$A$1:$O$103,15,0))</f>
        <v>224.55</v>
      </c>
      <c r="Y625" s="6"/>
      <c r="Z625" s="6">
        <f ca="1">('TUSD BE'!$AM$45+'TUSD BF_350'!$AM$45+'TUSD CVA'!$AM$45)*(1-CUSTOS!$M$38)</f>
        <v>361.41120000000001</v>
      </c>
      <c r="AA625" s="6">
        <f ca="1">('TE BE'!$AB$26+'TE BF_350'!$AB$26+'TE CVA'!$AB$26)*(1-CUSTOS!$M$38)</f>
        <v>269.31939999999997</v>
      </c>
      <c r="AB625" s="6">
        <f>$K$625*$V$625</f>
        <v>0</v>
      </c>
      <c r="AC625" s="6">
        <f>$M$625*$W$625</f>
        <v>1268.6775948</v>
      </c>
      <c r="AD625" s="6">
        <f>$O$625*$X$625</f>
        <v>852.76006200000006</v>
      </c>
      <c r="AE625" s="6">
        <f>$K$625*$Y$625</f>
        <v>0</v>
      </c>
      <c r="AF625" s="6">
        <f ca="1">$M$625*$Z$625</f>
        <v>1372.509629568</v>
      </c>
      <c r="AG625" s="6">
        <f ca="1">$O$625*$AA$625</f>
        <v>1022.7781262159999</v>
      </c>
    </row>
    <row r="626" spans="1:33" ht="11.25" customHeight="1" x14ac:dyDescent="0.3">
      <c r="A626" s="4" t="s">
        <v>21</v>
      </c>
      <c r="B626" s="4" t="s">
        <v>43</v>
      </c>
      <c r="C626" s="4" t="s">
        <v>23</v>
      </c>
      <c r="D626" s="4" t="s">
        <v>44</v>
      </c>
      <c r="E626" s="4" t="s">
        <v>53</v>
      </c>
      <c r="F626" s="4" t="s">
        <v>55</v>
      </c>
      <c r="G626" s="4" t="s">
        <v>25</v>
      </c>
      <c r="H626" s="4" t="s">
        <v>25</v>
      </c>
      <c r="I626" s="5">
        <v>44652</v>
      </c>
      <c r="J626" s="6">
        <v>0</v>
      </c>
      <c r="K626" s="6">
        <v>0</v>
      </c>
      <c r="L626" s="6">
        <v>83.4</v>
      </c>
      <c r="M626" s="6">
        <v>27.521999999999998</v>
      </c>
      <c r="N626" s="6">
        <v>83.4</v>
      </c>
      <c r="O626" s="6">
        <v>27.521999999999998</v>
      </c>
      <c r="P626" s="6">
        <v>0</v>
      </c>
      <c r="Q626" s="4" t="s">
        <v>26</v>
      </c>
      <c r="R626" s="4">
        <v>0</v>
      </c>
      <c r="S626" s="6">
        <v>0</v>
      </c>
      <c r="T626" s="6">
        <v>43</v>
      </c>
      <c r="U626" s="6">
        <v>84</v>
      </c>
      <c r="V626" s="6">
        <f>IF(ISERROR(VLOOKUP($S$626,'TAR FIN'!$A$1:$O$103,15,0)),0,VLOOKUP($S$626,'TAR FIN'!$A$1:$O$103,15,0))</f>
        <v>0</v>
      </c>
      <c r="W626" s="6">
        <f>IF(ISERROR(VLOOKUP($T$626,'TAR FIN'!$A$1:$O$103,15,0)),0,VLOOKUP($T$626,'TAR FIN'!$A$1:$O$103,15,0))</f>
        <v>334.07</v>
      </c>
      <c r="X626" s="6">
        <f>IF(ISERROR(VLOOKUP($U$626,'TAR FIN'!$A$1:$O$103,15,0)),0,VLOOKUP($U$626,'TAR FIN'!$A$1:$O$103,15,0))</f>
        <v>224.55</v>
      </c>
      <c r="Y626" s="6"/>
      <c r="Z626" s="6">
        <f ca="1">('TUSD BE'!$AM$45+'TUSD BF_350'!$AM$45+'TUSD CVA'!$AM$45)*(1-CUSTOS!$M$38)</f>
        <v>361.41120000000001</v>
      </c>
      <c r="AA626" s="6">
        <f ca="1">('TE BE'!$AB$26+'TE BF_350'!$AB$26+'TE CVA'!$AB$26)*(1-CUSTOS!$M$38)</f>
        <v>269.31939999999997</v>
      </c>
      <c r="AB626" s="6">
        <f>$K$626*$V$626</f>
        <v>0</v>
      </c>
      <c r="AC626" s="6">
        <f>$M$626*$W$626</f>
        <v>9194.2745399999985</v>
      </c>
      <c r="AD626" s="6">
        <f>$O$626*$X$626</f>
        <v>6180.0650999999998</v>
      </c>
      <c r="AE626" s="6">
        <f>$K$626*$Y$626</f>
        <v>0</v>
      </c>
      <c r="AF626" s="6">
        <f ca="1">$M$626*$Z$626</f>
        <v>9946.7590464000004</v>
      </c>
      <c r="AG626" s="6">
        <f ca="1">$O$626*$AA$626</f>
        <v>7412.2085267999992</v>
      </c>
    </row>
    <row r="627" spans="1:33" ht="11.25" customHeight="1" x14ac:dyDescent="0.3">
      <c r="A627" s="4" t="s">
        <v>21</v>
      </c>
      <c r="B627" s="4" t="s">
        <v>43</v>
      </c>
      <c r="C627" s="4" t="s">
        <v>23</v>
      </c>
      <c r="D627" s="4" t="s">
        <v>44</v>
      </c>
      <c r="E627" s="4" t="s">
        <v>53</v>
      </c>
      <c r="F627" s="4" t="s">
        <v>55</v>
      </c>
      <c r="G627" s="4" t="s">
        <v>25</v>
      </c>
      <c r="H627" s="4" t="s">
        <v>25</v>
      </c>
      <c r="I627" s="5">
        <v>44682</v>
      </c>
      <c r="J627" s="6">
        <v>0</v>
      </c>
      <c r="K627" s="6">
        <v>0</v>
      </c>
      <c r="L627" s="6">
        <v>105.05800000000001</v>
      </c>
      <c r="M627" s="6">
        <v>34.669139999999999</v>
      </c>
      <c r="N627" s="6">
        <v>105.05800000000001</v>
      </c>
      <c r="O627" s="6">
        <v>34.669139999999999</v>
      </c>
      <c r="P627" s="6">
        <v>0</v>
      </c>
      <c r="Q627" s="4" t="s">
        <v>26</v>
      </c>
      <c r="R627" s="4">
        <v>0</v>
      </c>
      <c r="S627" s="6">
        <v>0</v>
      </c>
      <c r="T627" s="6">
        <v>43</v>
      </c>
      <c r="U627" s="6">
        <v>84</v>
      </c>
      <c r="V627" s="6">
        <f>IF(ISERROR(VLOOKUP($S$627,'TAR FIN'!$A$1:$O$103,15,0)),0,VLOOKUP($S$627,'TAR FIN'!$A$1:$O$103,15,0))</f>
        <v>0</v>
      </c>
      <c r="W627" s="6">
        <f>IF(ISERROR(VLOOKUP($T$627,'TAR FIN'!$A$1:$O$103,15,0)),0,VLOOKUP($T$627,'TAR FIN'!$A$1:$O$103,15,0))</f>
        <v>334.07</v>
      </c>
      <c r="X627" s="6">
        <f>IF(ISERROR(VLOOKUP($U$627,'TAR FIN'!$A$1:$O$103,15,0)),0,VLOOKUP($U$627,'TAR FIN'!$A$1:$O$103,15,0))</f>
        <v>224.55</v>
      </c>
      <c r="Y627" s="6"/>
      <c r="Z627" s="6">
        <f ca="1">('TUSD BE'!$AM$45+'TUSD BF_350'!$AM$45+'TUSD CVA'!$AM$45)*(1-CUSTOS!$M$38)</f>
        <v>361.41120000000001</v>
      </c>
      <c r="AA627" s="6">
        <f ca="1">('TE BE'!$AB$26+'TE BF_350'!$AB$26+'TE CVA'!$AB$26)*(1-CUSTOS!$M$38)</f>
        <v>269.31939999999997</v>
      </c>
      <c r="AB627" s="6">
        <f>$K$627*$V$627</f>
        <v>0</v>
      </c>
      <c r="AC627" s="6">
        <f>$M$627*$W$627</f>
        <v>11581.9195998</v>
      </c>
      <c r="AD627" s="6">
        <f>$O$627*$X$627</f>
        <v>7784.955387</v>
      </c>
      <c r="AE627" s="6">
        <f>$K$627*$Y$627</f>
        <v>0</v>
      </c>
      <c r="AF627" s="6">
        <f ca="1">$M$627*$Z$627</f>
        <v>12529.815490368001</v>
      </c>
      <c r="AG627" s="6">
        <f ca="1">$O$627*$AA$627</f>
        <v>9337.0719833159983</v>
      </c>
    </row>
    <row r="628" spans="1:33" ht="11.25" customHeight="1" x14ac:dyDescent="0.3">
      <c r="A628" s="4" t="s">
        <v>21</v>
      </c>
      <c r="B628" s="4" t="s">
        <v>43</v>
      </c>
      <c r="C628" s="4" t="s">
        <v>23</v>
      </c>
      <c r="D628" s="4" t="s">
        <v>44</v>
      </c>
      <c r="E628" s="4" t="s">
        <v>53</v>
      </c>
      <c r="F628" s="4" t="s">
        <v>55</v>
      </c>
      <c r="G628" s="4" t="s">
        <v>25</v>
      </c>
      <c r="H628" s="4" t="s">
        <v>25</v>
      </c>
      <c r="I628" s="5">
        <v>44713</v>
      </c>
      <c r="J628" s="6">
        <v>0</v>
      </c>
      <c r="K628" s="6">
        <v>0</v>
      </c>
      <c r="L628" s="6">
        <v>106.611</v>
      </c>
      <c r="M628" s="6">
        <v>35.181629999999998</v>
      </c>
      <c r="N628" s="6">
        <v>106.611</v>
      </c>
      <c r="O628" s="6">
        <v>35.181629999999998</v>
      </c>
      <c r="P628" s="6">
        <v>0</v>
      </c>
      <c r="Q628" s="4" t="s">
        <v>26</v>
      </c>
      <c r="R628" s="4">
        <v>0</v>
      </c>
      <c r="S628" s="6">
        <v>0</v>
      </c>
      <c r="T628" s="6">
        <v>43</v>
      </c>
      <c r="U628" s="6">
        <v>84</v>
      </c>
      <c r="V628" s="6">
        <f>IF(ISERROR(VLOOKUP($S$628,'TAR FIN'!$A$1:$O$103,15,0)),0,VLOOKUP($S$628,'TAR FIN'!$A$1:$O$103,15,0))</f>
        <v>0</v>
      </c>
      <c r="W628" s="6">
        <f>IF(ISERROR(VLOOKUP($T$628,'TAR FIN'!$A$1:$O$103,15,0)),0,VLOOKUP($T$628,'TAR FIN'!$A$1:$O$103,15,0))</f>
        <v>334.07</v>
      </c>
      <c r="X628" s="6">
        <f>IF(ISERROR(VLOOKUP($U$628,'TAR FIN'!$A$1:$O$103,15,0)),0,VLOOKUP($U$628,'TAR FIN'!$A$1:$O$103,15,0))</f>
        <v>224.55</v>
      </c>
      <c r="Y628" s="6"/>
      <c r="Z628" s="6">
        <f ca="1">('TUSD BE'!$AM$45+'TUSD BF_350'!$AM$45+'TUSD CVA'!$AM$45)*(1-CUSTOS!$M$38)</f>
        <v>361.41120000000001</v>
      </c>
      <c r="AA628" s="6">
        <f ca="1">('TE BE'!$AB$26+'TE BF_350'!$AB$26+'TE CVA'!$AB$26)*(1-CUSTOS!$M$38)</f>
        <v>269.31939999999997</v>
      </c>
      <c r="AB628" s="6">
        <f>$K$628*$V$628</f>
        <v>0</v>
      </c>
      <c r="AC628" s="6">
        <f>$M$628*$W$628</f>
        <v>11753.127134099999</v>
      </c>
      <c r="AD628" s="6">
        <f>$O$628*$X$628</f>
        <v>7900.0350165</v>
      </c>
      <c r="AE628" s="6">
        <f>$K$628*$Y$628</f>
        <v>0</v>
      </c>
      <c r="AF628" s="6">
        <f ca="1">$M$628*$Z$628</f>
        <v>12715.035116256</v>
      </c>
      <c r="AG628" s="6">
        <f ca="1">$O$628*$AA$628</f>
        <v>9475.0954826219986</v>
      </c>
    </row>
    <row r="629" spans="1:33" ht="11.25" customHeight="1" x14ac:dyDescent="0.3">
      <c r="A629" s="4" t="s">
        <v>21</v>
      </c>
      <c r="B629" s="4" t="s">
        <v>43</v>
      </c>
      <c r="C629" s="4" t="s">
        <v>23</v>
      </c>
      <c r="D629" s="4" t="s">
        <v>44</v>
      </c>
      <c r="E629" s="4" t="s">
        <v>53</v>
      </c>
      <c r="F629" s="4" t="s">
        <v>55</v>
      </c>
      <c r="G629" s="4" t="s">
        <v>25</v>
      </c>
      <c r="H629" s="4" t="s">
        <v>25</v>
      </c>
      <c r="I629" s="5">
        <v>44743</v>
      </c>
      <c r="J629" s="6">
        <v>0</v>
      </c>
      <c r="K629" s="6">
        <v>0</v>
      </c>
      <c r="L629" s="6">
        <v>115.55500000000001</v>
      </c>
      <c r="M629" s="6">
        <v>38.133150000000001</v>
      </c>
      <c r="N629" s="6">
        <v>115.55500000000001</v>
      </c>
      <c r="O629" s="6">
        <v>38.133150000000001</v>
      </c>
      <c r="P629" s="6">
        <v>0</v>
      </c>
      <c r="Q629" s="4" t="s">
        <v>26</v>
      </c>
      <c r="R629" s="4">
        <v>0</v>
      </c>
      <c r="S629" s="6">
        <v>0</v>
      </c>
      <c r="T629" s="6">
        <v>43</v>
      </c>
      <c r="U629" s="6">
        <v>84</v>
      </c>
      <c r="V629" s="6">
        <f>IF(ISERROR(VLOOKUP($S$629,'TAR FIN'!$A$1:$O$103,15,0)),0,VLOOKUP($S$629,'TAR FIN'!$A$1:$O$103,15,0))</f>
        <v>0</v>
      </c>
      <c r="W629" s="6">
        <f>IF(ISERROR(VLOOKUP($T$629,'TAR FIN'!$A$1:$O$103,15,0)),0,VLOOKUP($T$629,'TAR FIN'!$A$1:$O$103,15,0))</f>
        <v>334.07</v>
      </c>
      <c r="X629" s="6">
        <f>IF(ISERROR(VLOOKUP($U$629,'TAR FIN'!$A$1:$O$103,15,0)),0,VLOOKUP($U$629,'TAR FIN'!$A$1:$O$103,15,0))</f>
        <v>224.55</v>
      </c>
      <c r="Y629" s="6"/>
      <c r="Z629" s="6">
        <f ca="1">('TUSD BE'!$AM$45+'TUSD BF_350'!$AM$45+'TUSD CVA'!$AM$45)*(1-CUSTOS!$M$38)</f>
        <v>361.41120000000001</v>
      </c>
      <c r="AA629" s="6">
        <f ca="1">('TE BE'!$AB$26+'TE BF_350'!$AB$26+'TE CVA'!$AB$26)*(1-CUSTOS!$M$38)</f>
        <v>269.31939999999997</v>
      </c>
      <c r="AB629" s="6">
        <f>$K$629*$V$629</f>
        <v>0</v>
      </c>
      <c r="AC629" s="6">
        <f>$M$629*$W$629</f>
        <v>12739.1414205</v>
      </c>
      <c r="AD629" s="6">
        <f>$O$629*$X$629</f>
        <v>8562.7988325000006</v>
      </c>
      <c r="AE629" s="6">
        <f>$K$629*$Y$629</f>
        <v>0</v>
      </c>
      <c r="AF629" s="6">
        <f ca="1">$M$629*$Z$629</f>
        <v>13781.747501280001</v>
      </c>
      <c r="AG629" s="6">
        <f ca="1">$O$629*$AA$629</f>
        <v>10269.997078109998</v>
      </c>
    </row>
    <row r="630" spans="1:33" ht="11.25" customHeight="1" x14ac:dyDescent="0.3">
      <c r="A630" s="4" t="s">
        <v>21</v>
      </c>
      <c r="B630" s="4" t="s">
        <v>43</v>
      </c>
      <c r="C630" s="4" t="s">
        <v>23</v>
      </c>
      <c r="D630" s="4" t="s">
        <v>44</v>
      </c>
      <c r="E630" s="4" t="s">
        <v>53</v>
      </c>
      <c r="F630" s="4" t="s">
        <v>55</v>
      </c>
      <c r="G630" s="4" t="s">
        <v>25</v>
      </c>
      <c r="H630" s="4" t="s">
        <v>25</v>
      </c>
      <c r="I630" s="5">
        <v>44774</v>
      </c>
      <c r="J630" s="6">
        <v>0</v>
      </c>
      <c r="K630" s="6">
        <v>0</v>
      </c>
      <c r="L630" s="6">
        <v>97.406000000000006</v>
      </c>
      <c r="M630" s="6">
        <v>32.143979999999999</v>
      </c>
      <c r="N630" s="6">
        <v>97.406000000000006</v>
      </c>
      <c r="O630" s="6">
        <v>32.143979999999999</v>
      </c>
      <c r="P630" s="6">
        <v>0</v>
      </c>
      <c r="Q630" s="4" t="s">
        <v>26</v>
      </c>
      <c r="R630" s="4">
        <v>0</v>
      </c>
      <c r="S630" s="6">
        <v>0</v>
      </c>
      <c r="T630" s="6">
        <v>43</v>
      </c>
      <c r="U630" s="6">
        <v>84</v>
      </c>
      <c r="V630" s="6">
        <f>IF(ISERROR(VLOOKUP($S$630,'TAR FIN'!$A$1:$O$103,15,0)),0,VLOOKUP($S$630,'TAR FIN'!$A$1:$O$103,15,0))</f>
        <v>0</v>
      </c>
      <c r="W630" s="6">
        <f>IF(ISERROR(VLOOKUP($T$630,'TAR FIN'!$A$1:$O$103,15,0)),0,VLOOKUP($T$630,'TAR FIN'!$A$1:$O$103,15,0))</f>
        <v>334.07</v>
      </c>
      <c r="X630" s="6">
        <f>IF(ISERROR(VLOOKUP($U$630,'TAR FIN'!$A$1:$O$103,15,0)),0,VLOOKUP($U$630,'TAR FIN'!$A$1:$O$103,15,0))</f>
        <v>224.55</v>
      </c>
      <c r="Y630" s="6"/>
      <c r="Z630" s="6">
        <f ca="1">('TUSD BE'!$AM$45+'TUSD BF_350'!$AM$45+'TUSD CVA'!$AM$45)*(1-CUSTOS!$M$38)</f>
        <v>361.41120000000001</v>
      </c>
      <c r="AA630" s="6">
        <f ca="1">('TE BE'!$AB$26+'TE BF_350'!$AB$26+'TE CVA'!$AB$26)*(1-CUSTOS!$M$38)</f>
        <v>269.31939999999997</v>
      </c>
      <c r="AB630" s="6">
        <f>$K$630*$V$630</f>
        <v>0</v>
      </c>
      <c r="AC630" s="6">
        <f>$M$630*$W$630</f>
        <v>10738.339398599999</v>
      </c>
      <c r="AD630" s="6">
        <f>$O$630*$X$630</f>
        <v>7217.9307090000002</v>
      </c>
      <c r="AE630" s="6">
        <f>$K$630*$Y$630</f>
        <v>0</v>
      </c>
      <c r="AF630" s="6">
        <f ca="1">$M$630*$Z$630</f>
        <v>11617.194384576</v>
      </c>
      <c r="AG630" s="6">
        <f ca="1">$O$630*$AA$630</f>
        <v>8656.9974072119985</v>
      </c>
    </row>
    <row r="631" spans="1:33" ht="11.25" customHeight="1" x14ac:dyDescent="0.3">
      <c r="A631" s="4" t="s">
        <v>28</v>
      </c>
      <c r="B631" s="4" t="s">
        <v>43</v>
      </c>
      <c r="C631" s="4" t="s">
        <v>23</v>
      </c>
      <c r="D631" s="4" t="s">
        <v>44</v>
      </c>
      <c r="E631" s="4" t="s">
        <v>53</v>
      </c>
      <c r="F631" s="4" t="s">
        <v>55</v>
      </c>
      <c r="G631" s="4" t="s">
        <v>25</v>
      </c>
      <c r="H631" s="4" t="s">
        <v>25</v>
      </c>
      <c r="I631" s="5">
        <v>44774</v>
      </c>
      <c r="J631" s="6">
        <v>0</v>
      </c>
      <c r="K631" s="6">
        <v>0</v>
      </c>
      <c r="L631" s="6">
        <v>18.099</v>
      </c>
      <c r="M631" s="6">
        <v>5.9726699999999999</v>
      </c>
      <c r="N631" s="6">
        <v>18.099</v>
      </c>
      <c r="O631" s="6">
        <v>5.9726699999999999</v>
      </c>
      <c r="P631" s="6">
        <v>0</v>
      </c>
      <c r="Q631" s="4" t="s">
        <v>26</v>
      </c>
      <c r="R631" s="4">
        <v>0</v>
      </c>
      <c r="S631" s="6">
        <v>0</v>
      </c>
      <c r="T631" s="6">
        <v>43</v>
      </c>
      <c r="U631" s="6">
        <v>84</v>
      </c>
      <c r="V631" s="6">
        <f>IF(ISERROR(VLOOKUP($S$631,'TAR FIN'!$A$1:$O$103,15,0)),0,VLOOKUP($S$631,'TAR FIN'!$A$1:$O$103,15,0))</f>
        <v>0</v>
      </c>
      <c r="W631" s="6">
        <f>IF(ISERROR(VLOOKUP($T$631,'TAR FIN'!$A$1:$O$103,15,0)),0,VLOOKUP($T$631,'TAR FIN'!$A$1:$O$103,15,0))</f>
        <v>334.07</v>
      </c>
      <c r="X631" s="6">
        <f>IF(ISERROR(VLOOKUP($U$631,'TAR FIN'!$A$1:$O$103,15,0)),0,VLOOKUP($U$631,'TAR FIN'!$A$1:$O$103,15,0))</f>
        <v>224.55</v>
      </c>
      <c r="Y631" s="6"/>
      <c r="Z631" s="6">
        <f ca="1">('TUSD BE'!$AM$45+'TUSD BF_350'!$AM$45+'TUSD CVA'!$AM$45)*(1-CUSTOS!$M$38)</f>
        <v>361.41120000000001</v>
      </c>
      <c r="AA631" s="6">
        <f ca="1">('TE BE'!$AB$26+'TE BF_350'!$AB$26+'TE CVA'!$AB$26)*(1-CUSTOS!$M$38)</f>
        <v>269.31939999999997</v>
      </c>
      <c r="AB631" s="6">
        <f>$K$631*$V$631</f>
        <v>0</v>
      </c>
      <c r="AC631" s="6">
        <f>$M$631*$W$631</f>
        <v>1995.2898668999999</v>
      </c>
      <c r="AD631" s="6">
        <f>$O$631*$X$631</f>
        <v>1341.1630485000001</v>
      </c>
      <c r="AE631" s="6">
        <f>$K$631*$Y$631</f>
        <v>0</v>
      </c>
      <c r="AF631" s="6">
        <f ca="1">$M$631*$Z$631</f>
        <v>2158.5898319040002</v>
      </c>
      <c r="AG631" s="6">
        <f ca="1">$O$631*$AA$631</f>
        <v>1608.5559007979998</v>
      </c>
    </row>
    <row r="632" spans="1:33" ht="11.25" customHeight="1" x14ac:dyDescent="0.3">
      <c r="A632" s="4" t="s">
        <v>21</v>
      </c>
      <c r="B632" s="4" t="s">
        <v>43</v>
      </c>
      <c r="C632" s="4" t="s">
        <v>23</v>
      </c>
      <c r="D632" s="4" t="s">
        <v>44</v>
      </c>
      <c r="E632" s="4" t="s">
        <v>53</v>
      </c>
      <c r="F632" s="4" t="s">
        <v>55</v>
      </c>
      <c r="G632" s="4" t="s">
        <v>25</v>
      </c>
      <c r="H632" s="4" t="s">
        <v>25</v>
      </c>
      <c r="I632" s="5">
        <v>44805</v>
      </c>
      <c r="J632" s="6">
        <v>0</v>
      </c>
      <c r="K632" s="6">
        <v>0</v>
      </c>
      <c r="L632" s="6">
        <v>116.042</v>
      </c>
      <c r="M632" s="6">
        <v>38.293860000000002</v>
      </c>
      <c r="N632" s="6">
        <v>116.042</v>
      </c>
      <c r="O632" s="6">
        <v>38.293860000000002</v>
      </c>
      <c r="P632" s="6">
        <v>0</v>
      </c>
      <c r="Q632" s="4" t="s">
        <v>26</v>
      </c>
      <c r="R632" s="4">
        <v>0</v>
      </c>
      <c r="S632" s="6">
        <v>0</v>
      </c>
      <c r="T632" s="6">
        <v>43</v>
      </c>
      <c r="U632" s="6">
        <v>84</v>
      </c>
      <c r="V632" s="6">
        <f>IF(ISERROR(VLOOKUP($S$632,'TAR FIN'!$A$1:$O$103,15,0)),0,VLOOKUP($S$632,'TAR FIN'!$A$1:$O$103,15,0))</f>
        <v>0</v>
      </c>
      <c r="W632" s="6">
        <f>IF(ISERROR(VLOOKUP($T$632,'TAR FIN'!$A$1:$O$103,15,0)),0,VLOOKUP($T$632,'TAR FIN'!$A$1:$O$103,15,0))</f>
        <v>334.07</v>
      </c>
      <c r="X632" s="6">
        <f>IF(ISERROR(VLOOKUP($U$632,'TAR FIN'!$A$1:$O$103,15,0)),0,VLOOKUP($U$632,'TAR FIN'!$A$1:$O$103,15,0))</f>
        <v>224.55</v>
      </c>
      <c r="Y632" s="6"/>
      <c r="Z632" s="6">
        <f ca="1">('TUSD BE'!$AM$45+'TUSD BF_350'!$AM$45+'TUSD CVA'!$AM$45)*(1-CUSTOS!$M$38)</f>
        <v>361.41120000000001</v>
      </c>
      <c r="AA632" s="6">
        <f ca="1">('TE BE'!$AB$26+'TE BF_350'!$AB$26+'TE CVA'!$AB$26)*(1-CUSTOS!$M$38)</f>
        <v>269.31939999999997</v>
      </c>
      <c r="AB632" s="6">
        <f>$K$632*$V$632</f>
        <v>0</v>
      </c>
      <c r="AC632" s="6">
        <f>$M$632*$W$632</f>
        <v>12792.829810200001</v>
      </c>
      <c r="AD632" s="6">
        <f>$O$632*$X$632</f>
        <v>8598.8862630000003</v>
      </c>
      <c r="AE632" s="6">
        <f>$K$632*$Y$632</f>
        <v>0</v>
      </c>
      <c r="AF632" s="6">
        <f ca="1">$M$632*$Z$632</f>
        <v>13839.829895232002</v>
      </c>
      <c r="AG632" s="6">
        <f ca="1">$O$632*$AA$632</f>
        <v>10313.279398884</v>
      </c>
    </row>
    <row r="633" spans="1:33" ht="11.25" customHeight="1" x14ac:dyDescent="0.3">
      <c r="A633" s="4" t="s">
        <v>28</v>
      </c>
      <c r="B633" s="4" t="s">
        <v>43</v>
      </c>
      <c r="C633" s="4" t="s">
        <v>23</v>
      </c>
      <c r="D633" s="4" t="s">
        <v>44</v>
      </c>
      <c r="E633" s="4" t="s">
        <v>53</v>
      </c>
      <c r="F633" s="4" t="s">
        <v>55</v>
      </c>
      <c r="G633" s="4" t="s">
        <v>25</v>
      </c>
      <c r="H633" s="4" t="s">
        <v>25</v>
      </c>
      <c r="I633" s="5">
        <v>44805</v>
      </c>
      <c r="J633" s="6">
        <v>0</v>
      </c>
      <c r="K633" s="6">
        <v>0</v>
      </c>
      <c r="L633" s="6">
        <v>16.12</v>
      </c>
      <c r="M633" s="6">
        <v>5.3196000000000003</v>
      </c>
      <c r="N633" s="6">
        <v>16.12</v>
      </c>
      <c r="O633" s="6">
        <v>5.3196000000000003</v>
      </c>
      <c r="P633" s="6">
        <v>0</v>
      </c>
      <c r="Q633" s="4" t="s">
        <v>26</v>
      </c>
      <c r="R633" s="4">
        <v>0</v>
      </c>
      <c r="S633" s="6">
        <v>0</v>
      </c>
      <c r="T633" s="6">
        <v>43</v>
      </c>
      <c r="U633" s="6">
        <v>84</v>
      </c>
      <c r="V633" s="6">
        <f>IF(ISERROR(VLOOKUP($S$633,'TAR FIN'!$A$1:$O$103,15,0)),0,VLOOKUP($S$633,'TAR FIN'!$A$1:$O$103,15,0))</f>
        <v>0</v>
      </c>
      <c r="W633" s="6">
        <f>IF(ISERROR(VLOOKUP($T$633,'TAR FIN'!$A$1:$O$103,15,0)),0,VLOOKUP($T$633,'TAR FIN'!$A$1:$O$103,15,0))</f>
        <v>334.07</v>
      </c>
      <c r="X633" s="6">
        <f>IF(ISERROR(VLOOKUP($U$633,'TAR FIN'!$A$1:$O$103,15,0)),0,VLOOKUP($U$633,'TAR FIN'!$A$1:$O$103,15,0))</f>
        <v>224.55</v>
      </c>
      <c r="Y633" s="6"/>
      <c r="Z633" s="6">
        <f ca="1">('TUSD BE'!$AM$45+'TUSD BF_350'!$AM$45+'TUSD CVA'!$AM$45)*(1-CUSTOS!$M$38)</f>
        <v>361.41120000000001</v>
      </c>
      <c r="AA633" s="6">
        <f ca="1">('TE BE'!$AB$26+'TE BF_350'!$AB$26+'TE CVA'!$AB$26)*(1-CUSTOS!$M$38)</f>
        <v>269.31939999999997</v>
      </c>
      <c r="AB633" s="6">
        <f>$K$633*$V$633</f>
        <v>0</v>
      </c>
      <c r="AC633" s="6">
        <f>$M$633*$W$633</f>
        <v>1777.118772</v>
      </c>
      <c r="AD633" s="6">
        <f>$O$633*$X$633</f>
        <v>1194.5161800000001</v>
      </c>
      <c r="AE633" s="6">
        <f>$K$633*$Y$633</f>
        <v>0</v>
      </c>
      <c r="AF633" s="6">
        <f ca="1">$M$633*$Z$633</f>
        <v>1922.5630195200001</v>
      </c>
      <c r="AG633" s="6">
        <f ca="1">$O$633*$AA$633</f>
        <v>1432.6714802399999</v>
      </c>
    </row>
    <row r="634" spans="1:33" ht="11.25" customHeight="1" x14ac:dyDescent="0.3">
      <c r="A634" s="4" t="s">
        <v>57</v>
      </c>
      <c r="B634" s="4" t="s">
        <v>43</v>
      </c>
      <c r="C634" s="4" t="s">
        <v>23</v>
      </c>
      <c r="D634" s="4" t="s">
        <v>44</v>
      </c>
      <c r="E634" s="4" t="s">
        <v>53</v>
      </c>
      <c r="F634" s="4" t="s">
        <v>55</v>
      </c>
      <c r="G634" s="4" t="s">
        <v>25</v>
      </c>
      <c r="H634" s="4" t="s">
        <v>25</v>
      </c>
      <c r="I634" s="5">
        <v>44835</v>
      </c>
      <c r="J634" s="6">
        <v>0</v>
      </c>
      <c r="K634" s="6">
        <v>0</v>
      </c>
      <c r="L634" s="6">
        <v>116.042</v>
      </c>
      <c r="M634" s="6">
        <v>38.293860000000002</v>
      </c>
      <c r="N634" s="6">
        <v>116.042</v>
      </c>
      <c r="O634" s="6">
        <v>38.293860000000002</v>
      </c>
      <c r="P634" s="6">
        <v>0</v>
      </c>
      <c r="Q634" s="4" t="s">
        <v>26</v>
      </c>
      <c r="R634" s="4">
        <v>0</v>
      </c>
      <c r="S634" s="6">
        <v>0</v>
      </c>
      <c r="T634" s="6">
        <v>43</v>
      </c>
      <c r="U634" s="6">
        <v>84</v>
      </c>
      <c r="V634" s="6">
        <f>IF(ISERROR(VLOOKUP($S$634,'TAR FIN'!$A$1:$O$103,15,0)),0,VLOOKUP($S$634,'TAR FIN'!$A$1:$O$103,15,0))</f>
        <v>0</v>
      </c>
      <c r="W634" s="6">
        <f>IF(ISERROR(VLOOKUP($T$634,'TAR FIN'!$A$1:$O$103,15,0)),0,VLOOKUP($T$634,'TAR FIN'!$A$1:$O$103,15,0))</f>
        <v>334.07</v>
      </c>
      <c r="X634" s="6">
        <f>IF(ISERROR(VLOOKUP($U$634,'TAR FIN'!$A$1:$O$103,15,0)),0,VLOOKUP($U$634,'TAR FIN'!$A$1:$O$103,15,0))</f>
        <v>224.55</v>
      </c>
      <c r="Y634" s="6"/>
      <c r="Z634" s="6">
        <f ca="1">('TUSD BE'!$AM$45+'TUSD BF_350'!$AM$45+'TUSD CVA'!$AM$45)*(1-CUSTOS!$M$38)</f>
        <v>361.41120000000001</v>
      </c>
      <c r="AA634" s="6">
        <f ca="1">('TE BE'!$AB$26+'TE BF_350'!$AB$26+'TE CVA'!$AB$26)*(1-CUSTOS!$M$38)</f>
        <v>269.31939999999997</v>
      </c>
      <c r="AB634" s="6">
        <f>$K$634*$V$634</f>
        <v>0</v>
      </c>
      <c r="AC634" s="6">
        <f>$M$634*$W$634</f>
        <v>12792.829810200001</v>
      </c>
      <c r="AD634" s="6">
        <f>$O$634*$X$634</f>
        <v>8598.8862630000003</v>
      </c>
      <c r="AE634" s="6">
        <f>$K$634*$Y$634</f>
        <v>0</v>
      </c>
      <c r="AF634" s="6">
        <f ca="1">$M$634*$Z$634</f>
        <v>13839.829895232002</v>
      </c>
      <c r="AG634" s="6">
        <f ca="1">$O$634*$AA$634</f>
        <v>10313.279398884</v>
      </c>
    </row>
    <row r="635" spans="1:33" ht="11.25" customHeight="1" x14ac:dyDescent="0.3">
      <c r="A635" s="4" t="s">
        <v>57</v>
      </c>
      <c r="B635" s="4" t="s">
        <v>43</v>
      </c>
      <c r="C635" s="4" t="s">
        <v>23</v>
      </c>
      <c r="D635" s="4" t="s">
        <v>44</v>
      </c>
      <c r="E635" s="4" t="s">
        <v>53</v>
      </c>
      <c r="F635" s="4" t="s">
        <v>55</v>
      </c>
      <c r="G635" s="4" t="s">
        <v>25</v>
      </c>
      <c r="H635" s="4" t="s">
        <v>25</v>
      </c>
      <c r="I635" s="5">
        <v>44835</v>
      </c>
      <c r="J635" s="6">
        <v>0</v>
      </c>
      <c r="K635" s="6">
        <v>0</v>
      </c>
      <c r="L635" s="6">
        <v>16.12</v>
      </c>
      <c r="M635" s="6">
        <v>5.3196000000000003</v>
      </c>
      <c r="N635" s="6">
        <v>16.12</v>
      </c>
      <c r="O635" s="6">
        <v>5.3196000000000003</v>
      </c>
      <c r="P635" s="6">
        <v>0</v>
      </c>
      <c r="Q635" s="4" t="s">
        <v>26</v>
      </c>
      <c r="R635" s="4">
        <v>0</v>
      </c>
      <c r="S635" s="6">
        <v>0</v>
      </c>
      <c r="T635" s="6">
        <v>43</v>
      </c>
      <c r="U635" s="6">
        <v>84</v>
      </c>
      <c r="V635" s="6">
        <f>IF(ISERROR(VLOOKUP($S$635,'TAR FIN'!$A$1:$O$103,15,0)),0,VLOOKUP($S$635,'TAR FIN'!$A$1:$O$103,15,0))</f>
        <v>0</v>
      </c>
      <c r="W635" s="6">
        <f>IF(ISERROR(VLOOKUP($T$635,'TAR FIN'!$A$1:$O$103,15,0)),0,VLOOKUP($T$635,'TAR FIN'!$A$1:$O$103,15,0))</f>
        <v>334.07</v>
      </c>
      <c r="X635" s="6">
        <f>IF(ISERROR(VLOOKUP($U$635,'TAR FIN'!$A$1:$O$103,15,0)),0,VLOOKUP($U$635,'TAR FIN'!$A$1:$O$103,15,0))</f>
        <v>224.55</v>
      </c>
      <c r="Y635" s="6"/>
      <c r="Z635" s="6">
        <f ca="1">('TUSD BE'!$AM$45+'TUSD BF_350'!$AM$45+'TUSD CVA'!$AM$45)*(1-CUSTOS!$M$38)</f>
        <v>361.41120000000001</v>
      </c>
      <c r="AA635" s="6">
        <f ca="1">('TE BE'!$AB$26+'TE BF_350'!$AB$26+'TE CVA'!$AB$26)*(1-CUSTOS!$M$38)</f>
        <v>269.31939999999997</v>
      </c>
      <c r="AB635" s="6">
        <f>$K$635*$V$635</f>
        <v>0</v>
      </c>
      <c r="AC635" s="6">
        <f>$M$635*$W$635</f>
        <v>1777.118772</v>
      </c>
      <c r="AD635" s="6">
        <f>$O$635*$X$635</f>
        <v>1194.5161800000001</v>
      </c>
      <c r="AE635" s="6">
        <f>$K$635*$Y$635</f>
        <v>0</v>
      </c>
      <c r="AF635" s="6">
        <f ca="1">$M$635*$Z$635</f>
        <v>1922.5630195200001</v>
      </c>
      <c r="AG635" s="6">
        <f ca="1">$O$635*$AA$635</f>
        <v>1432.6714802399999</v>
      </c>
    </row>
    <row r="636" spans="1:33" ht="11.25" customHeight="1" x14ac:dyDescent="0.3">
      <c r="A636" s="4" t="s">
        <v>21</v>
      </c>
      <c r="B636" s="4" t="s">
        <v>43</v>
      </c>
      <c r="C636" s="4" t="s">
        <v>23</v>
      </c>
      <c r="D636" s="4" t="s">
        <v>44</v>
      </c>
      <c r="E636" s="4" t="s">
        <v>56</v>
      </c>
      <c r="F636" s="4" t="s">
        <v>54</v>
      </c>
      <c r="G636" s="4" t="s">
        <v>25</v>
      </c>
      <c r="H636" s="4" t="s">
        <v>25</v>
      </c>
      <c r="I636" s="5">
        <v>44501</v>
      </c>
      <c r="J636" s="6">
        <v>0</v>
      </c>
      <c r="K636" s="6">
        <v>0</v>
      </c>
      <c r="L636" s="6">
        <v>8.7739999999999991</v>
      </c>
      <c r="M636" s="6">
        <v>8.7739999999999991</v>
      </c>
      <c r="N636" s="6">
        <v>8.7739999999999991</v>
      </c>
      <c r="O636" s="6">
        <v>8.7739999999999991</v>
      </c>
      <c r="P636" s="6">
        <v>0</v>
      </c>
      <c r="Q636" s="4" t="s">
        <v>26</v>
      </c>
      <c r="R636" s="4">
        <v>0</v>
      </c>
      <c r="S636" s="6">
        <v>0</v>
      </c>
      <c r="T636" s="6">
        <v>43</v>
      </c>
      <c r="U636" s="6">
        <v>84</v>
      </c>
      <c r="V636" s="6">
        <f>IF(ISERROR(VLOOKUP($S$636,'TAR FIN'!$A$1:$O$103,15,0)),0,VLOOKUP($S$636,'TAR FIN'!$A$1:$O$103,15,0))</f>
        <v>0</v>
      </c>
      <c r="W636" s="6">
        <f>IF(ISERROR(VLOOKUP($T$636,'TAR FIN'!$A$1:$O$103,15,0)),0,VLOOKUP($T$636,'TAR FIN'!$A$1:$O$103,15,0))</f>
        <v>334.07</v>
      </c>
      <c r="X636" s="6">
        <f>IF(ISERROR(VLOOKUP($U$636,'TAR FIN'!$A$1:$O$103,15,0)),0,VLOOKUP($U$636,'TAR FIN'!$A$1:$O$103,15,0))</f>
        <v>224.55</v>
      </c>
      <c r="Y636" s="6"/>
      <c r="Z636" s="6">
        <f ca="1">('TUSD BE'!$AM$45+'TUSD BF_350'!$AM$45+'TUSD CVA'!$AM$45)*(1-CUSTOS!$M$38)</f>
        <v>361.41120000000001</v>
      </c>
      <c r="AA636" s="6">
        <f ca="1">('TE BE'!$AB$26+'TE BF_350'!$AB$26+'TE CVA'!$AB$26)*(1-CUSTOS!$M$38)</f>
        <v>269.31939999999997</v>
      </c>
      <c r="AB636" s="6">
        <f>$K$636*$V$636</f>
        <v>0</v>
      </c>
      <c r="AC636" s="6">
        <f>$M$636*$W$636</f>
        <v>2931.1301799999997</v>
      </c>
      <c r="AD636" s="6">
        <f>$O$636*$X$636</f>
        <v>1970.2016999999998</v>
      </c>
      <c r="AE636" s="6">
        <f>$K$636*$Y$636</f>
        <v>0</v>
      </c>
      <c r="AF636" s="6">
        <f ca="1">$M$636*$Z$636</f>
        <v>3171.0218687999995</v>
      </c>
      <c r="AG636" s="6">
        <f ca="1">$O$636*$AA$636</f>
        <v>2363.0084155999994</v>
      </c>
    </row>
    <row r="637" spans="1:33" ht="11.25" customHeight="1" x14ac:dyDescent="0.3">
      <c r="A637" s="4" t="s">
        <v>28</v>
      </c>
      <c r="B637" s="4" t="s">
        <v>43</v>
      </c>
      <c r="C637" s="4" t="s">
        <v>23</v>
      </c>
      <c r="D637" s="4" t="s">
        <v>44</v>
      </c>
      <c r="E637" s="4" t="s">
        <v>56</v>
      </c>
      <c r="F637" s="4" t="s">
        <v>54</v>
      </c>
      <c r="G637" s="4" t="s">
        <v>25</v>
      </c>
      <c r="H637" s="4" t="s">
        <v>25</v>
      </c>
      <c r="I637" s="5">
        <v>44501</v>
      </c>
      <c r="J637" s="6">
        <v>0</v>
      </c>
      <c r="K637" s="6">
        <v>0</v>
      </c>
      <c r="L637" s="6">
        <v>0.38200000000000001</v>
      </c>
      <c r="M637" s="6">
        <v>0.38200000000000001</v>
      </c>
      <c r="N637" s="6">
        <v>0.38200000000000001</v>
      </c>
      <c r="O637" s="6">
        <v>0.38200000000000001</v>
      </c>
      <c r="P637" s="6">
        <v>0</v>
      </c>
      <c r="Q637" s="4" t="s">
        <v>26</v>
      </c>
      <c r="R637" s="4">
        <v>0</v>
      </c>
      <c r="S637" s="6">
        <v>0</v>
      </c>
      <c r="T637" s="6">
        <v>43</v>
      </c>
      <c r="U637" s="6">
        <v>84</v>
      </c>
      <c r="V637" s="6">
        <f>IF(ISERROR(VLOOKUP($S$637,'TAR FIN'!$A$1:$O$103,15,0)),0,VLOOKUP($S$637,'TAR FIN'!$A$1:$O$103,15,0))</f>
        <v>0</v>
      </c>
      <c r="W637" s="6">
        <f>IF(ISERROR(VLOOKUP($T$637,'TAR FIN'!$A$1:$O$103,15,0)),0,VLOOKUP($T$637,'TAR FIN'!$A$1:$O$103,15,0))</f>
        <v>334.07</v>
      </c>
      <c r="X637" s="6">
        <f>IF(ISERROR(VLOOKUP($U$637,'TAR FIN'!$A$1:$O$103,15,0)),0,VLOOKUP($U$637,'TAR FIN'!$A$1:$O$103,15,0))</f>
        <v>224.55</v>
      </c>
      <c r="Y637" s="6"/>
      <c r="Z637" s="6">
        <f ca="1">('TUSD BE'!$AM$45+'TUSD BF_350'!$AM$45+'TUSD CVA'!$AM$45)*(1-CUSTOS!$M$38)</f>
        <v>361.41120000000001</v>
      </c>
      <c r="AA637" s="6">
        <f ca="1">('TE BE'!$AB$26+'TE BF_350'!$AB$26+'TE CVA'!$AB$26)*(1-CUSTOS!$M$38)</f>
        <v>269.31939999999997</v>
      </c>
      <c r="AB637" s="6">
        <f>$K$637*$V$637</f>
        <v>0</v>
      </c>
      <c r="AC637" s="6">
        <f>$M$637*$W$637</f>
        <v>127.61474</v>
      </c>
      <c r="AD637" s="6">
        <f>$O$637*$X$637</f>
        <v>85.778100000000009</v>
      </c>
      <c r="AE637" s="6">
        <f>$K$637*$Y$637</f>
        <v>0</v>
      </c>
      <c r="AF637" s="6">
        <f ca="1">$M$637*$Z$637</f>
        <v>138.0590784</v>
      </c>
      <c r="AG637" s="6">
        <f ca="1">$O$637*$AA$637</f>
        <v>102.88001079999999</v>
      </c>
    </row>
    <row r="638" spans="1:33" ht="11.25" customHeight="1" x14ac:dyDescent="0.3">
      <c r="A638" s="4" t="s">
        <v>21</v>
      </c>
      <c r="B638" s="4" t="s">
        <v>43</v>
      </c>
      <c r="C638" s="4" t="s">
        <v>23</v>
      </c>
      <c r="D638" s="4" t="s">
        <v>44</v>
      </c>
      <c r="E638" s="4" t="s">
        <v>56</v>
      </c>
      <c r="F638" s="4" t="s">
        <v>54</v>
      </c>
      <c r="G638" s="4" t="s">
        <v>25</v>
      </c>
      <c r="H638" s="4" t="s">
        <v>25</v>
      </c>
      <c r="I638" s="5">
        <v>44531</v>
      </c>
      <c r="J638" s="6">
        <v>0</v>
      </c>
      <c r="K638" s="6">
        <v>0</v>
      </c>
      <c r="L638" s="6">
        <v>7.7729999999999997</v>
      </c>
      <c r="M638" s="6">
        <v>7.7729999999999997</v>
      </c>
      <c r="N638" s="6">
        <v>7.7729999999999997</v>
      </c>
      <c r="O638" s="6">
        <v>7.7729999999999997</v>
      </c>
      <c r="P638" s="6">
        <v>0</v>
      </c>
      <c r="Q638" s="4" t="s">
        <v>26</v>
      </c>
      <c r="R638" s="4">
        <v>0</v>
      </c>
      <c r="S638" s="6">
        <v>0</v>
      </c>
      <c r="T638" s="6">
        <v>43</v>
      </c>
      <c r="U638" s="6">
        <v>84</v>
      </c>
      <c r="V638" s="6">
        <f>IF(ISERROR(VLOOKUP($S$638,'TAR FIN'!$A$1:$O$103,15,0)),0,VLOOKUP($S$638,'TAR FIN'!$A$1:$O$103,15,0))</f>
        <v>0</v>
      </c>
      <c r="W638" s="6">
        <f>IF(ISERROR(VLOOKUP($T$638,'TAR FIN'!$A$1:$O$103,15,0)),0,VLOOKUP($T$638,'TAR FIN'!$A$1:$O$103,15,0))</f>
        <v>334.07</v>
      </c>
      <c r="X638" s="6">
        <f>IF(ISERROR(VLOOKUP($U$638,'TAR FIN'!$A$1:$O$103,15,0)),0,VLOOKUP($U$638,'TAR FIN'!$A$1:$O$103,15,0))</f>
        <v>224.55</v>
      </c>
      <c r="Y638" s="6"/>
      <c r="Z638" s="6">
        <f ca="1">('TUSD BE'!$AM$45+'TUSD BF_350'!$AM$45+'TUSD CVA'!$AM$45)*(1-CUSTOS!$M$38)</f>
        <v>361.41120000000001</v>
      </c>
      <c r="AA638" s="6">
        <f ca="1">('TE BE'!$AB$26+'TE BF_350'!$AB$26+'TE CVA'!$AB$26)*(1-CUSTOS!$M$38)</f>
        <v>269.31939999999997</v>
      </c>
      <c r="AB638" s="6">
        <f>$K$638*$V$638</f>
        <v>0</v>
      </c>
      <c r="AC638" s="6">
        <f>$M$638*$W$638</f>
        <v>2596.7261100000001</v>
      </c>
      <c r="AD638" s="6">
        <f>$O$638*$X$638</f>
        <v>1745.42715</v>
      </c>
      <c r="AE638" s="6">
        <f>$K$638*$Y$638</f>
        <v>0</v>
      </c>
      <c r="AF638" s="6">
        <f ca="1">$M$638*$Z$638</f>
        <v>2809.2492576</v>
      </c>
      <c r="AG638" s="6">
        <f ca="1">$O$638*$AA$638</f>
        <v>2093.4196961999996</v>
      </c>
    </row>
    <row r="639" spans="1:33" ht="11.25" customHeight="1" x14ac:dyDescent="0.3">
      <c r="A639" s="4" t="s">
        <v>28</v>
      </c>
      <c r="B639" s="4" t="s">
        <v>43</v>
      </c>
      <c r="C639" s="4" t="s">
        <v>23</v>
      </c>
      <c r="D639" s="4" t="s">
        <v>44</v>
      </c>
      <c r="E639" s="4" t="s">
        <v>56</v>
      </c>
      <c r="F639" s="4" t="s">
        <v>54</v>
      </c>
      <c r="G639" s="4" t="s">
        <v>25</v>
      </c>
      <c r="H639" s="4" t="s">
        <v>25</v>
      </c>
      <c r="I639" s="5">
        <v>44531</v>
      </c>
      <c r="J639" s="6">
        <v>0</v>
      </c>
      <c r="K639" s="6">
        <v>0</v>
      </c>
      <c r="L639" s="6">
        <v>0.65700000000000003</v>
      </c>
      <c r="M639" s="6">
        <v>0.65700000000000003</v>
      </c>
      <c r="N639" s="6">
        <v>0.65700000000000003</v>
      </c>
      <c r="O639" s="6">
        <v>0.65700000000000003</v>
      </c>
      <c r="P639" s="6">
        <v>0</v>
      </c>
      <c r="Q639" s="4" t="s">
        <v>26</v>
      </c>
      <c r="R639" s="4">
        <v>0</v>
      </c>
      <c r="S639" s="6">
        <v>0</v>
      </c>
      <c r="T639" s="6">
        <v>43</v>
      </c>
      <c r="U639" s="6">
        <v>84</v>
      </c>
      <c r="V639" s="6">
        <f>IF(ISERROR(VLOOKUP($S$639,'TAR FIN'!$A$1:$O$103,15,0)),0,VLOOKUP($S$639,'TAR FIN'!$A$1:$O$103,15,0))</f>
        <v>0</v>
      </c>
      <c r="W639" s="6">
        <f>IF(ISERROR(VLOOKUP($T$639,'TAR FIN'!$A$1:$O$103,15,0)),0,VLOOKUP($T$639,'TAR FIN'!$A$1:$O$103,15,0))</f>
        <v>334.07</v>
      </c>
      <c r="X639" s="6">
        <f>IF(ISERROR(VLOOKUP($U$639,'TAR FIN'!$A$1:$O$103,15,0)),0,VLOOKUP($U$639,'TAR FIN'!$A$1:$O$103,15,0))</f>
        <v>224.55</v>
      </c>
      <c r="Y639" s="6"/>
      <c r="Z639" s="6">
        <f ca="1">('TUSD BE'!$AM$45+'TUSD BF_350'!$AM$45+'TUSD CVA'!$AM$45)*(1-CUSTOS!$M$38)</f>
        <v>361.41120000000001</v>
      </c>
      <c r="AA639" s="6">
        <f ca="1">('TE BE'!$AB$26+'TE BF_350'!$AB$26+'TE CVA'!$AB$26)*(1-CUSTOS!$M$38)</f>
        <v>269.31939999999997</v>
      </c>
      <c r="AB639" s="6">
        <f>$K$639*$V$639</f>
        <v>0</v>
      </c>
      <c r="AC639" s="6">
        <f>$M$639*$W$639</f>
        <v>219.48399000000001</v>
      </c>
      <c r="AD639" s="6">
        <f>$O$639*$X$639</f>
        <v>147.52935000000002</v>
      </c>
      <c r="AE639" s="6">
        <f>$K$639*$Y$639</f>
        <v>0</v>
      </c>
      <c r="AF639" s="6">
        <f ca="1">$M$639*$Z$639</f>
        <v>237.44715840000001</v>
      </c>
      <c r="AG639" s="6">
        <f ca="1">$O$639*$AA$639</f>
        <v>176.94284579999999</v>
      </c>
    </row>
    <row r="640" spans="1:33" ht="11.25" customHeight="1" x14ac:dyDescent="0.3">
      <c r="A640" s="4" t="s">
        <v>21</v>
      </c>
      <c r="B640" s="4" t="s">
        <v>43</v>
      </c>
      <c r="C640" s="4" t="s">
        <v>23</v>
      </c>
      <c r="D640" s="4" t="s">
        <v>44</v>
      </c>
      <c r="E640" s="4" t="s">
        <v>56</v>
      </c>
      <c r="F640" s="4" t="s">
        <v>54</v>
      </c>
      <c r="G640" s="4" t="s">
        <v>25</v>
      </c>
      <c r="H640" s="4" t="s">
        <v>25</v>
      </c>
      <c r="I640" s="5">
        <v>44562</v>
      </c>
      <c r="J640" s="6">
        <v>0</v>
      </c>
      <c r="K640" s="6">
        <v>0</v>
      </c>
      <c r="L640" s="6">
        <v>8.7479999999999993</v>
      </c>
      <c r="M640" s="6">
        <v>8.7479999999999993</v>
      </c>
      <c r="N640" s="6">
        <v>8.7479999999999993</v>
      </c>
      <c r="O640" s="6">
        <v>8.7479999999999993</v>
      </c>
      <c r="P640" s="6">
        <v>0</v>
      </c>
      <c r="Q640" s="4" t="s">
        <v>26</v>
      </c>
      <c r="R640" s="4">
        <v>0</v>
      </c>
      <c r="S640" s="6">
        <v>0</v>
      </c>
      <c r="T640" s="6">
        <v>43</v>
      </c>
      <c r="U640" s="6">
        <v>84</v>
      </c>
      <c r="V640" s="6">
        <f>IF(ISERROR(VLOOKUP($S$640,'TAR FIN'!$A$1:$O$103,15,0)),0,VLOOKUP($S$640,'TAR FIN'!$A$1:$O$103,15,0))</f>
        <v>0</v>
      </c>
      <c r="W640" s="6">
        <f>IF(ISERROR(VLOOKUP($T$640,'TAR FIN'!$A$1:$O$103,15,0)),0,VLOOKUP($T$640,'TAR FIN'!$A$1:$O$103,15,0))</f>
        <v>334.07</v>
      </c>
      <c r="X640" s="6">
        <f>IF(ISERROR(VLOOKUP($U$640,'TAR FIN'!$A$1:$O$103,15,0)),0,VLOOKUP($U$640,'TAR FIN'!$A$1:$O$103,15,0))</f>
        <v>224.55</v>
      </c>
      <c r="Y640" s="6"/>
      <c r="Z640" s="6">
        <f ca="1">('TUSD BE'!$AM$45+'TUSD BF_350'!$AM$45+'TUSD CVA'!$AM$45)*(1-CUSTOS!$M$38)</f>
        <v>361.41120000000001</v>
      </c>
      <c r="AA640" s="6">
        <f ca="1">('TE BE'!$AB$26+'TE BF_350'!$AB$26+'TE CVA'!$AB$26)*(1-CUSTOS!$M$38)</f>
        <v>269.31939999999997</v>
      </c>
      <c r="AB640" s="6">
        <f>$K$640*$V$640</f>
        <v>0</v>
      </c>
      <c r="AC640" s="6">
        <f>$M$640*$W$640</f>
        <v>2922.4443599999995</v>
      </c>
      <c r="AD640" s="6">
        <f>$O$640*$X$640</f>
        <v>1964.3634</v>
      </c>
      <c r="AE640" s="6">
        <f>$K$640*$Y$640</f>
        <v>0</v>
      </c>
      <c r="AF640" s="6">
        <f ca="1">$M$640*$Z$640</f>
        <v>3161.6251775999999</v>
      </c>
      <c r="AG640" s="6">
        <f ca="1">$O$640*$AA$640</f>
        <v>2356.0061111999994</v>
      </c>
    </row>
    <row r="641" spans="1:33" ht="11.25" customHeight="1" x14ac:dyDescent="0.3">
      <c r="A641" s="4" t="s">
        <v>28</v>
      </c>
      <c r="B641" s="4" t="s">
        <v>43</v>
      </c>
      <c r="C641" s="4" t="s">
        <v>23</v>
      </c>
      <c r="D641" s="4" t="s">
        <v>44</v>
      </c>
      <c r="E641" s="4" t="s">
        <v>56</v>
      </c>
      <c r="F641" s="4" t="s">
        <v>54</v>
      </c>
      <c r="G641" s="4" t="s">
        <v>25</v>
      </c>
      <c r="H641" s="4" t="s">
        <v>25</v>
      </c>
      <c r="I641" s="5">
        <v>44562</v>
      </c>
      <c r="J641" s="6">
        <v>0</v>
      </c>
      <c r="K641" s="6">
        <v>0</v>
      </c>
      <c r="L641" s="6">
        <v>0.95899999999999996</v>
      </c>
      <c r="M641" s="6">
        <v>0.95899999999999996</v>
      </c>
      <c r="N641" s="6">
        <v>0.95899999999999996</v>
      </c>
      <c r="O641" s="6">
        <v>0.95899999999999996</v>
      </c>
      <c r="P641" s="6">
        <v>0</v>
      </c>
      <c r="Q641" s="4" t="s">
        <v>26</v>
      </c>
      <c r="R641" s="4">
        <v>0</v>
      </c>
      <c r="S641" s="6">
        <v>0</v>
      </c>
      <c r="T641" s="6">
        <v>43</v>
      </c>
      <c r="U641" s="6">
        <v>84</v>
      </c>
      <c r="V641" s="6">
        <f>IF(ISERROR(VLOOKUP($S$641,'TAR FIN'!$A$1:$O$103,15,0)),0,VLOOKUP($S$641,'TAR FIN'!$A$1:$O$103,15,0))</f>
        <v>0</v>
      </c>
      <c r="W641" s="6">
        <f>IF(ISERROR(VLOOKUP($T$641,'TAR FIN'!$A$1:$O$103,15,0)),0,VLOOKUP($T$641,'TAR FIN'!$A$1:$O$103,15,0))</f>
        <v>334.07</v>
      </c>
      <c r="X641" s="6">
        <f>IF(ISERROR(VLOOKUP($U$641,'TAR FIN'!$A$1:$O$103,15,0)),0,VLOOKUP($U$641,'TAR FIN'!$A$1:$O$103,15,0))</f>
        <v>224.55</v>
      </c>
      <c r="Y641" s="6"/>
      <c r="Z641" s="6">
        <f ca="1">('TUSD BE'!$AM$45+'TUSD BF_350'!$AM$45+'TUSD CVA'!$AM$45)*(1-CUSTOS!$M$38)</f>
        <v>361.41120000000001</v>
      </c>
      <c r="AA641" s="6">
        <f ca="1">('TE BE'!$AB$26+'TE BF_350'!$AB$26+'TE CVA'!$AB$26)*(1-CUSTOS!$M$38)</f>
        <v>269.31939999999997</v>
      </c>
      <c r="AB641" s="6">
        <f>$K$641*$V$641</f>
        <v>0</v>
      </c>
      <c r="AC641" s="6">
        <f>$M$641*$W$641</f>
        <v>320.37313</v>
      </c>
      <c r="AD641" s="6">
        <f>$O$641*$X$641</f>
        <v>215.34344999999999</v>
      </c>
      <c r="AE641" s="6">
        <f>$K$641*$Y$641</f>
        <v>0</v>
      </c>
      <c r="AF641" s="6">
        <f ca="1">$M$641*$Z$641</f>
        <v>346.59334080000002</v>
      </c>
      <c r="AG641" s="6">
        <f ca="1">$O$641*$AA$641</f>
        <v>258.27730459999998</v>
      </c>
    </row>
    <row r="642" spans="1:33" ht="11.25" customHeight="1" x14ac:dyDescent="0.3">
      <c r="A642" s="4" t="s">
        <v>21</v>
      </c>
      <c r="B642" s="4" t="s">
        <v>43</v>
      </c>
      <c r="C642" s="4" t="s">
        <v>23</v>
      </c>
      <c r="D642" s="4" t="s">
        <v>44</v>
      </c>
      <c r="E642" s="4" t="s">
        <v>56</v>
      </c>
      <c r="F642" s="4" t="s">
        <v>54</v>
      </c>
      <c r="G642" s="4" t="s">
        <v>25</v>
      </c>
      <c r="H642" s="4" t="s">
        <v>25</v>
      </c>
      <c r="I642" s="5">
        <v>44593</v>
      </c>
      <c r="J642" s="6">
        <v>0</v>
      </c>
      <c r="K642" s="6">
        <v>0</v>
      </c>
      <c r="L642" s="6">
        <v>9.0630000000000006</v>
      </c>
      <c r="M642" s="6">
        <v>9.0630000000000006</v>
      </c>
      <c r="N642" s="6">
        <v>9.0630000000000006</v>
      </c>
      <c r="O642" s="6">
        <v>9.0630000000000006</v>
      </c>
      <c r="P642" s="6">
        <v>0</v>
      </c>
      <c r="Q642" s="4" t="s">
        <v>26</v>
      </c>
      <c r="R642" s="4">
        <v>0</v>
      </c>
      <c r="S642" s="6">
        <v>0</v>
      </c>
      <c r="T642" s="6">
        <v>43</v>
      </c>
      <c r="U642" s="6">
        <v>84</v>
      </c>
      <c r="V642" s="6">
        <f>IF(ISERROR(VLOOKUP($S$642,'TAR FIN'!$A$1:$O$103,15,0)),0,VLOOKUP($S$642,'TAR FIN'!$A$1:$O$103,15,0))</f>
        <v>0</v>
      </c>
      <c r="W642" s="6">
        <f>IF(ISERROR(VLOOKUP($T$642,'TAR FIN'!$A$1:$O$103,15,0)),0,VLOOKUP($T$642,'TAR FIN'!$A$1:$O$103,15,0))</f>
        <v>334.07</v>
      </c>
      <c r="X642" s="6">
        <f>IF(ISERROR(VLOOKUP($U$642,'TAR FIN'!$A$1:$O$103,15,0)),0,VLOOKUP($U$642,'TAR FIN'!$A$1:$O$103,15,0))</f>
        <v>224.55</v>
      </c>
      <c r="Y642" s="6"/>
      <c r="Z642" s="6">
        <f ca="1">('TUSD BE'!$AM$45+'TUSD BF_350'!$AM$45+'TUSD CVA'!$AM$45)*(1-CUSTOS!$M$38)</f>
        <v>361.41120000000001</v>
      </c>
      <c r="AA642" s="6">
        <f ca="1">('TE BE'!$AB$26+'TE BF_350'!$AB$26+'TE CVA'!$AB$26)*(1-CUSTOS!$M$38)</f>
        <v>269.31939999999997</v>
      </c>
      <c r="AB642" s="6">
        <f>$K$642*$V$642</f>
        <v>0</v>
      </c>
      <c r="AC642" s="6">
        <f>$M$642*$W$642</f>
        <v>3027.67641</v>
      </c>
      <c r="AD642" s="6">
        <f>$O$642*$X$642</f>
        <v>2035.0966500000002</v>
      </c>
      <c r="AE642" s="6">
        <f>$K$642*$Y$642</f>
        <v>0</v>
      </c>
      <c r="AF642" s="6">
        <f ca="1">$M$642*$Z$642</f>
        <v>3275.4697056000005</v>
      </c>
      <c r="AG642" s="6">
        <f ca="1">$O$642*$AA$642</f>
        <v>2440.8417221999998</v>
      </c>
    </row>
    <row r="643" spans="1:33" ht="11.25" customHeight="1" x14ac:dyDescent="0.3">
      <c r="A643" s="4" t="s">
        <v>28</v>
      </c>
      <c r="B643" s="4" t="s">
        <v>43</v>
      </c>
      <c r="C643" s="4" t="s">
        <v>23</v>
      </c>
      <c r="D643" s="4" t="s">
        <v>44</v>
      </c>
      <c r="E643" s="4" t="s">
        <v>56</v>
      </c>
      <c r="F643" s="4" t="s">
        <v>54</v>
      </c>
      <c r="G643" s="4" t="s">
        <v>25</v>
      </c>
      <c r="H643" s="4" t="s">
        <v>25</v>
      </c>
      <c r="I643" s="5">
        <v>44593</v>
      </c>
      <c r="J643" s="6">
        <v>0</v>
      </c>
      <c r="K643" s="6">
        <v>0</v>
      </c>
      <c r="L643" s="6">
        <v>0.318</v>
      </c>
      <c r="M643" s="6">
        <v>0.318</v>
      </c>
      <c r="N643" s="6">
        <v>0.318</v>
      </c>
      <c r="O643" s="6">
        <v>0.318</v>
      </c>
      <c r="P643" s="6">
        <v>0</v>
      </c>
      <c r="Q643" s="4" t="s">
        <v>26</v>
      </c>
      <c r="R643" s="4">
        <v>0</v>
      </c>
      <c r="S643" s="6">
        <v>0</v>
      </c>
      <c r="T643" s="6">
        <v>43</v>
      </c>
      <c r="U643" s="6">
        <v>84</v>
      </c>
      <c r="V643" s="6">
        <f>IF(ISERROR(VLOOKUP($S$643,'TAR FIN'!$A$1:$O$103,15,0)),0,VLOOKUP($S$643,'TAR FIN'!$A$1:$O$103,15,0))</f>
        <v>0</v>
      </c>
      <c r="W643" s="6">
        <f>IF(ISERROR(VLOOKUP($T$643,'TAR FIN'!$A$1:$O$103,15,0)),0,VLOOKUP($T$643,'TAR FIN'!$A$1:$O$103,15,0))</f>
        <v>334.07</v>
      </c>
      <c r="X643" s="6">
        <f>IF(ISERROR(VLOOKUP($U$643,'TAR FIN'!$A$1:$O$103,15,0)),0,VLOOKUP($U$643,'TAR FIN'!$A$1:$O$103,15,0))</f>
        <v>224.55</v>
      </c>
      <c r="Y643" s="6"/>
      <c r="Z643" s="6">
        <f ca="1">('TUSD BE'!$AM$45+'TUSD BF_350'!$AM$45+'TUSD CVA'!$AM$45)*(1-CUSTOS!$M$38)</f>
        <v>361.41120000000001</v>
      </c>
      <c r="AA643" s="6">
        <f ca="1">('TE BE'!$AB$26+'TE BF_350'!$AB$26+'TE CVA'!$AB$26)*(1-CUSTOS!$M$38)</f>
        <v>269.31939999999997</v>
      </c>
      <c r="AB643" s="6">
        <f>$K$643*$V$643</f>
        <v>0</v>
      </c>
      <c r="AC643" s="6">
        <f>$M$643*$W$643</f>
        <v>106.23426000000001</v>
      </c>
      <c r="AD643" s="6">
        <f>$O$643*$X$643</f>
        <v>71.406900000000007</v>
      </c>
      <c r="AE643" s="6">
        <f>$K$643*$Y$643</f>
        <v>0</v>
      </c>
      <c r="AF643" s="6">
        <f ca="1">$M$643*$Z$643</f>
        <v>114.9287616</v>
      </c>
      <c r="AG643" s="6">
        <f ca="1">$O$643*$AA$643</f>
        <v>85.643569199999988</v>
      </c>
    </row>
    <row r="644" spans="1:33" ht="11.25" customHeight="1" x14ac:dyDescent="0.3">
      <c r="A644" s="4" t="s">
        <v>21</v>
      </c>
      <c r="B644" s="4" t="s">
        <v>43</v>
      </c>
      <c r="C644" s="4" t="s">
        <v>23</v>
      </c>
      <c r="D644" s="4" t="s">
        <v>44</v>
      </c>
      <c r="E644" s="4" t="s">
        <v>56</v>
      </c>
      <c r="F644" s="4" t="s">
        <v>54</v>
      </c>
      <c r="G644" s="4" t="s">
        <v>25</v>
      </c>
      <c r="H644" s="4" t="s">
        <v>25</v>
      </c>
      <c r="I644" s="5">
        <v>44621</v>
      </c>
      <c r="J644" s="6">
        <v>0</v>
      </c>
      <c r="K644" s="6">
        <v>0</v>
      </c>
      <c r="L644" s="6">
        <v>8.8219999999999992</v>
      </c>
      <c r="M644" s="6">
        <v>8.8219999999999992</v>
      </c>
      <c r="N644" s="6">
        <v>8.8219999999999992</v>
      </c>
      <c r="O644" s="6">
        <v>8.8219999999999992</v>
      </c>
      <c r="P644" s="6">
        <v>0</v>
      </c>
      <c r="Q644" s="4" t="s">
        <v>26</v>
      </c>
      <c r="R644" s="4">
        <v>0</v>
      </c>
      <c r="S644" s="6">
        <v>0</v>
      </c>
      <c r="T644" s="6">
        <v>43</v>
      </c>
      <c r="U644" s="6">
        <v>84</v>
      </c>
      <c r="V644" s="6">
        <f>IF(ISERROR(VLOOKUP($S$644,'TAR FIN'!$A$1:$O$103,15,0)),0,VLOOKUP($S$644,'TAR FIN'!$A$1:$O$103,15,0))</f>
        <v>0</v>
      </c>
      <c r="W644" s="6">
        <f>IF(ISERROR(VLOOKUP($T$644,'TAR FIN'!$A$1:$O$103,15,0)),0,VLOOKUP($T$644,'TAR FIN'!$A$1:$O$103,15,0))</f>
        <v>334.07</v>
      </c>
      <c r="X644" s="6">
        <f>IF(ISERROR(VLOOKUP($U$644,'TAR FIN'!$A$1:$O$103,15,0)),0,VLOOKUP($U$644,'TAR FIN'!$A$1:$O$103,15,0))</f>
        <v>224.55</v>
      </c>
      <c r="Y644" s="6"/>
      <c r="Z644" s="6">
        <f ca="1">('TUSD BE'!$AM$45+'TUSD BF_350'!$AM$45+'TUSD CVA'!$AM$45)*(1-CUSTOS!$M$38)</f>
        <v>361.41120000000001</v>
      </c>
      <c r="AA644" s="6">
        <f ca="1">('TE BE'!$AB$26+'TE BF_350'!$AB$26+'TE CVA'!$AB$26)*(1-CUSTOS!$M$38)</f>
        <v>269.31939999999997</v>
      </c>
      <c r="AB644" s="6">
        <f>$K$644*$V$644</f>
        <v>0</v>
      </c>
      <c r="AC644" s="6">
        <f>$M$644*$W$644</f>
        <v>2947.1655399999995</v>
      </c>
      <c r="AD644" s="6">
        <f>$O$644*$X$644</f>
        <v>1980.9801</v>
      </c>
      <c r="AE644" s="6">
        <f>$K$644*$Y$644</f>
        <v>0</v>
      </c>
      <c r="AF644" s="6">
        <f ca="1">$M$644*$Z$644</f>
        <v>3188.3696063999996</v>
      </c>
      <c r="AG644" s="6">
        <f ca="1">$O$644*$AA$644</f>
        <v>2375.9357467999994</v>
      </c>
    </row>
    <row r="645" spans="1:33" ht="11.25" customHeight="1" x14ac:dyDescent="0.3">
      <c r="A645" s="4" t="s">
        <v>28</v>
      </c>
      <c r="B645" s="4" t="s">
        <v>43</v>
      </c>
      <c r="C645" s="4" t="s">
        <v>23</v>
      </c>
      <c r="D645" s="4" t="s">
        <v>44</v>
      </c>
      <c r="E645" s="4" t="s">
        <v>56</v>
      </c>
      <c r="F645" s="4" t="s">
        <v>54</v>
      </c>
      <c r="G645" s="4" t="s">
        <v>25</v>
      </c>
      <c r="H645" s="4" t="s">
        <v>25</v>
      </c>
      <c r="I645" s="5">
        <v>44621</v>
      </c>
      <c r="J645" s="6">
        <v>0</v>
      </c>
      <c r="K645" s="6">
        <v>0</v>
      </c>
      <c r="L645" s="6">
        <v>0.71099999999999997</v>
      </c>
      <c r="M645" s="6">
        <v>0.71099999999999997</v>
      </c>
      <c r="N645" s="6">
        <v>0.71099999999999997</v>
      </c>
      <c r="O645" s="6">
        <v>0.71099999999999997</v>
      </c>
      <c r="P645" s="6">
        <v>0</v>
      </c>
      <c r="Q645" s="4" t="s">
        <v>26</v>
      </c>
      <c r="R645" s="4">
        <v>0</v>
      </c>
      <c r="S645" s="6">
        <v>0</v>
      </c>
      <c r="T645" s="6">
        <v>43</v>
      </c>
      <c r="U645" s="6">
        <v>84</v>
      </c>
      <c r="V645" s="6">
        <f>IF(ISERROR(VLOOKUP($S$645,'TAR FIN'!$A$1:$O$103,15,0)),0,VLOOKUP($S$645,'TAR FIN'!$A$1:$O$103,15,0))</f>
        <v>0</v>
      </c>
      <c r="W645" s="6">
        <f>IF(ISERROR(VLOOKUP($T$645,'TAR FIN'!$A$1:$O$103,15,0)),0,VLOOKUP($T$645,'TAR FIN'!$A$1:$O$103,15,0))</f>
        <v>334.07</v>
      </c>
      <c r="X645" s="6">
        <f>IF(ISERROR(VLOOKUP($U$645,'TAR FIN'!$A$1:$O$103,15,0)),0,VLOOKUP($U$645,'TAR FIN'!$A$1:$O$103,15,0))</f>
        <v>224.55</v>
      </c>
      <c r="Y645" s="6"/>
      <c r="Z645" s="6">
        <f ca="1">('TUSD BE'!$AM$45+'TUSD BF_350'!$AM$45+'TUSD CVA'!$AM$45)*(1-CUSTOS!$M$38)</f>
        <v>361.41120000000001</v>
      </c>
      <c r="AA645" s="6">
        <f ca="1">('TE BE'!$AB$26+'TE BF_350'!$AB$26+'TE CVA'!$AB$26)*(1-CUSTOS!$M$38)</f>
        <v>269.31939999999997</v>
      </c>
      <c r="AB645" s="6">
        <f>$K$645*$V$645</f>
        <v>0</v>
      </c>
      <c r="AC645" s="6">
        <f>$M$645*$W$645</f>
        <v>237.52376999999998</v>
      </c>
      <c r="AD645" s="6">
        <f>$O$645*$X$645</f>
        <v>159.65504999999999</v>
      </c>
      <c r="AE645" s="6">
        <f>$K$645*$Y$645</f>
        <v>0</v>
      </c>
      <c r="AF645" s="6">
        <f ca="1">$M$645*$Z$645</f>
        <v>256.9633632</v>
      </c>
      <c r="AG645" s="6">
        <f ca="1">$O$645*$AA$645</f>
        <v>191.48609339999996</v>
      </c>
    </row>
    <row r="646" spans="1:33" ht="11.25" customHeight="1" x14ac:dyDescent="0.3">
      <c r="A646" s="4" t="s">
        <v>21</v>
      </c>
      <c r="B646" s="4" t="s">
        <v>43</v>
      </c>
      <c r="C646" s="4" t="s">
        <v>23</v>
      </c>
      <c r="D646" s="4" t="s">
        <v>44</v>
      </c>
      <c r="E646" s="4" t="s">
        <v>56</v>
      </c>
      <c r="F646" s="4" t="s">
        <v>54</v>
      </c>
      <c r="G646" s="4" t="s">
        <v>25</v>
      </c>
      <c r="H646" s="4" t="s">
        <v>25</v>
      </c>
      <c r="I646" s="5">
        <v>44652</v>
      </c>
      <c r="J646" s="6">
        <v>0</v>
      </c>
      <c r="K646" s="6">
        <v>0</v>
      </c>
      <c r="L646" s="6">
        <v>17.407</v>
      </c>
      <c r="M646" s="6">
        <v>17.407</v>
      </c>
      <c r="N646" s="6">
        <v>17.407</v>
      </c>
      <c r="O646" s="6">
        <v>17.407</v>
      </c>
      <c r="P646" s="6">
        <v>0</v>
      </c>
      <c r="Q646" s="4" t="s">
        <v>26</v>
      </c>
      <c r="R646" s="4">
        <v>0</v>
      </c>
      <c r="S646" s="6">
        <v>0</v>
      </c>
      <c r="T646" s="6">
        <v>43</v>
      </c>
      <c r="U646" s="6">
        <v>84</v>
      </c>
      <c r="V646" s="6">
        <f>IF(ISERROR(VLOOKUP($S$646,'TAR FIN'!$A$1:$O$103,15,0)),0,VLOOKUP($S$646,'TAR FIN'!$A$1:$O$103,15,0))</f>
        <v>0</v>
      </c>
      <c r="W646" s="6">
        <f>IF(ISERROR(VLOOKUP($T$646,'TAR FIN'!$A$1:$O$103,15,0)),0,VLOOKUP($T$646,'TAR FIN'!$A$1:$O$103,15,0))</f>
        <v>334.07</v>
      </c>
      <c r="X646" s="6">
        <f>IF(ISERROR(VLOOKUP($U$646,'TAR FIN'!$A$1:$O$103,15,0)),0,VLOOKUP($U$646,'TAR FIN'!$A$1:$O$103,15,0))</f>
        <v>224.55</v>
      </c>
      <c r="Y646" s="6"/>
      <c r="Z646" s="6">
        <f ca="1">('TUSD BE'!$AM$45+'TUSD BF_350'!$AM$45+'TUSD CVA'!$AM$45)*(1-CUSTOS!$M$38)</f>
        <v>361.41120000000001</v>
      </c>
      <c r="AA646" s="6">
        <f ca="1">('TE BE'!$AB$26+'TE BF_350'!$AB$26+'TE CVA'!$AB$26)*(1-CUSTOS!$M$38)</f>
        <v>269.31939999999997</v>
      </c>
      <c r="AB646" s="6">
        <f>$K$646*$V$646</f>
        <v>0</v>
      </c>
      <c r="AC646" s="6">
        <f>$M$646*$W$646</f>
        <v>5815.1564900000003</v>
      </c>
      <c r="AD646" s="6">
        <f>$O$646*$X$646</f>
        <v>3908.7418500000003</v>
      </c>
      <c r="AE646" s="6">
        <f>$K$646*$Y$646</f>
        <v>0</v>
      </c>
      <c r="AF646" s="6">
        <f ca="1">$M$646*$Z$646</f>
        <v>6291.0847584000003</v>
      </c>
      <c r="AG646" s="6">
        <f ca="1">$O$646*$AA$646</f>
        <v>4688.0427957999991</v>
      </c>
    </row>
    <row r="647" spans="1:33" ht="11.25" customHeight="1" x14ac:dyDescent="0.3">
      <c r="A647" s="4" t="s">
        <v>28</v>
      </c>
      <c r="B647" s="4" t="s">
        <v>43</v>
      </c>
      <c r="C647" s="4" t="s">
        <v>23</v>
      </c>
      <c r="D647" s="4" t="s">
        <v>44</v>
      </c>
      <c r="E647" s="4" t="s">
        <v>56</v>
      </c>
      <c r="F647" s="4" t="s">
        <v>54</v>
      </c>
      <c r="G647" s="4" t="s">
        <v>25</v>
      </c>
      <c r="H647" s="4" t="s">
        <v>25</v>
      </c>
      <c r="I647" s="5">
        <v>44652</v>
      </c>
      <c r="J647" s="6">
        <v>0</v>
      </c>
      <c r="K647" s="6">
        <v>0</v>
      </c>
      <c r="L647" s="6">
        <v>0.83199999999999996</v>
      </c>
      <c r="M647" s="6">
        <v>0.83199999999999996</v>
      </c>
      <c r="N647" s="6">
        <v>0.83199999999999996</v>
      </c>
      <c r="O647" s="6">
        <v>0.83199999999999996</v>
      </c>
      <c r="P647" s="6">
        <v>0</v>
      </c>
      <c r="Q647" s="4" t="s">
        <v>26</v>
      </c>
      <c r="R647" s="4">
        <v>0</v>
      </c>
      <c r="S647" s="6">
        <v>0</v>
      </c>
      <c r="T647" s="6">
        <v>43</v>
      </c>
      <c r="U647" s="6">
        <v>84</v>
      </c>
      <c r="V647" s="6">
        <f>IF(ISERROR(VLOOKUP($S$647,'TAR FIN'!$A$1:$O$103,15,0)),0,VLOOKUP($S$647,'TAR FIN'!$A$1:$O$103,15,0))</f>
        <v>0</v>
      </c>
      <c r="W647" s="6">
        <f>IF(ISERROR(VLOOKUP($T$647,'TAR FIN'!$A$1:$O$103,15,0)),0,VLOOKUP($T$647,'TAR FIN'!$A$1:$O$103,15,0))</f>
        <v>334.07</v>
      </c>
      <c r="X647" s="6">
        <f>IF(ISERROR(VLOOKUP($U$647,'TAR FIN'!$A$1:$O$103,15,0)),0,VLOOKUP($U$647,'TAR FIN'!$A$1:$O$103,15,0))</f>
        <v>224.55</v>
      </c>
      <c r="Y647" s="6"/>
      <c r="Z647" s="6">
        <f ca="1">('TUSD BE'!$AM$45+'TUSD BF_350'!$AM$45+'TUSD CVA'!$AM$45)*(1-CUSTOS!$M$38)</f>
        <v>361.41120000000001</v>
      </c>
      <c r="AA647" s="6">
        <f ca="1">('TE BE'!$AB$26+'TE BF_350'!$AB$26+'TE CVA'!$AB$26)*(1-CUSTOS!$M$38)</f>
        <v>269.31939999999997</v>
      </c>
      <c r="AB647" s="6">
        <f>$K$647*$V$647</f>
        <v>0</v>
      </c>
      <c r="AC647" s="6">
        <f>$M$647*$W$647</f>
        <v>277.94623999999999</v>
      </c>
      <c r="AD647" s="6">
        <f>$O$647*$X$647</f>
        <v>186.82560000000001</v>
      </c>
      <c r="AE647" s="6">
        <f>$K$647*$Y$647</f>
        <v>0</v>
      </c>
      <c r="AF647" s="6">
        <f ca="1">$M$647*$Z$647</f>
        <v>300.69411839999998</v>
      </c>
      <c r="AG647" s="6">
        <f ca="1">$O$647*$AA$647</f>
        <v>224.07374079999997</v>
      </c>
    </row>
    <row r="648" spans="1:33" ht="11.25" customHeight="1" x14ac:dyDescent="0.3">
      <c r="A648" s="4" t="s">
        <v>21</v>
      </c>
      <c r="B648" s="4" t="s">
        <v>43</v>
      </c>
      <c r="C648" s="4" t="s">
        <v>23</v>
      </c>
      <c r="D648" s="4" t="s">
        <v>44</v>
      </c>
      <c r="E648" s="4" t="s">
        <v>56</v>
      </c>
      <c r="F648" s="4" t="s">
        <v>54</v>
      </c>
      <c r="G648" s="4" t="s">
        <v>25</v>
      </c>
      <c r="H648" s="4" t="s">
        <v>25</v>
      </c>
      <c r="I648" s="5">
        <v>44682</v>
      </c>
      <c r="J648" s="6">
        <v>0</v>
      </c>
      <c r="K648" s="6">
        <v>0</v>
      </c>
      <c r="L648" s="6">
        <v>9.9469999999999992</v>
      </c>
      <c r="M648" s="6">
        <v>9.9469999999999992</v>
      </c>
      <c r="N648" s="6">
        <v>9.9469999999999992</v>
      </c>
      <c r="O648" s="6">
        <v>9.9469999999999992</v>
      </c>
      <c r="P648" s="6">
        <v>0</v>
      </c>
      <c r="Q648" s="4" t="s">
        <v>26</v>
      </c>
      <c r="R648" s="4">
        <v>0</v>
      </c>
      <c r="S648" s="6">
        <v>0</v>
      </c>
      <c r="T648" s="6">
        <v>43</v>
      </c>
      <c r="U648" s="6">
        <v>84</v>
      </c>
      <c r="V648" s="6">
        <f>IF(ISERROR(VLOOKUP($S$648,'TAR FIN'!$A$1:$O$103,15,0)),0,VLOOKUP($S$648,'TAR FIN'!$A$1:$O$103,15,0))</f>
        <v>0</v>
      </c>
      <c r="W648" s="6">
        <f>IF(ISERROR(VLOOKUP($T$648,'TAR FIN'!$A$1:$O$103,15,0)),0,VLOOKUP($T$648,'TAR FIN'!$A$1:$O$103,15,0))</f>
        <v>334.07</v>
      </c>
      <c r="X648" s="6">
        <f>IF(ISERROR(VLOOKUP($U$648,'TAR FIN'!$A$1:$O$103,15,0)),0,VLOOKUP($U$648,'TAR FIN'!$A$1:$O$103,15,0))</f>
        <v>224.55</v>
      </c>
      <c r="Y648" s="6"/>
      <c r="Z648" s="6">
        <f ca="1">('TUSD BE'!$AM$45+'TUSD BF_350'!$AM$45+'TUSD CVA'!$AM$45)*(1-CUSTOS!$M$38)</f>
        <v>361.41120000000001</v>
      </c>
      <c r="AA648" s="6">
        <f ca="1">('TE BE'!$AB$26+'TE BF_350'!$AB$26+'TE CVA'!$AB$26)*(1-CUSTOS!$M$38)</f>
        <v>269.31939999999997</v>
      </c>
      <c r="AB648" s="6">
        <f>$K$648*$V$648</f>
        <v>0</v>
      </c>
      <c r="AC648" s="6">
        <f>$M$648*$W$648</f>
        <v>3322.9942899999996</v>
      </c>
      <c r="AD648" s="6">
        <f>$O$648*$X$648</f>
        <v>2233.5988499999999</v>
      </c>
      <c r="AE648" s="6">
        <f>$K$648*$Y$648</f>
        <v>0</v>
      </c>
      <c r="AF648" s="6">
        <f ca="1">$M$648*$Z$648</f>
        <v>3594.9572063999999</v>
      </c>
      <c r="AG648" s="6">
        <f ca="1">$O$648*$AA$648</f>
        <v>2678.9200717999997</v>
      </c>
    </row>
    <row r="649" spans="1:33" ht="11.25" customHeight="1" x14ac:dyDescent="0.3">
      <c r="A649" s="4" t="s">
        <v>28</v>
      </c>
      <c r="B649" s="4" t="s">
        <v>43</v>
      </c>
      <c r="C649" s="4" t="s">
        <v>23</v>
      </c>
      <c r="D649" s="4" t="s">
        <v>44</v>
      </c>
      <c r="E649" s="4" t="s">
        <v>56</v>
      </c>
      <c r="F649" s="4" t="s">
        <v>54</v>
      </c>
      <c r="G649" s="4" t="s">
        <v>25</v>
      </c>
      <c r="H649" s="4" t="s">
        <v>25</v>
      </c>
      <c r="I649" s="5">
        <v>44682</v>
      </c>
      <c r="J649" s="6">
        <v>0</v>
      </c>
      <c r="K649" s="6">
        <v>0</v>
      </c>
      <c r="L649" s="6">
        <v>4.1079999999999997</v>
      </c>
      <c r="M649" s="6">
        <v>4.1079999999999997</v>
      </c>
      <c r="N649" s="6">
        <v>4.1079999999999997</v>
      </c>
      <c r="O649" s="6">
        <v>4.1079999999999997</v>
      </c>
      <c r="P649" s="6">
        <v>0</v>
      </c>
      <c r="Q649" s="4" t="s">
        <v>26</v>
      </c>
      <c r="R649" s="4">
        <v>0</v>
      </c>
      <c r="S649" s="6">
        <v>0</v>
      </c>
      <c r="T649" s="6">
        <v>43</v>
      </c>
      <c r="U649" s="6">
        <v>84</v>
      </c>
      <c r="V649" s="6">
        <f>IF(ISERROR(VLOOKUP($S$649,'TAR FIN'!$A$1:$O$103,15,0)),0,VLOOKUP($S$649,'TAR FIN'!$A$1:$O$103,15,0))</f>
        <v>0</v>
      </c>
      <c r="W649" s="6">
        <f>IF(ISERROR(VLOOKUP($T$649,'TAR FIN'!$A$1:$O$103,15,0)),0,VLOOKUP($T$649,'TAR FIN'!$A$1:$O$103,15,0))</f>
        <v>334.07</v>
      </c>
      <c r="X649" s="6">
        <f>IF(ISERROR(VLOOKUP($U$649,'TAR FIN'!$A$1:$O$103,15,0)),0,VLOOKUP($U$649,'TAR FIN'!$A$1:$O$103,15,0))</f>
        <v>224.55</v>
      </c>
      <c r="Y649" s="6"/>
      <c r="Z649" s="6">
        <f ca="1">('TUSD BE'!$AM$45+'TUSD BF_350'!$AM$45+'TUSD CVA'!$AM$45)*(1-CUSTOS!$M$38)</f>
        <v>361.41120000000001</v>
      </c>
      <c r="AA649" s="6">
        <f ca="1">('TE BE'!$AB$26+'TE BF_350'!$AB$26+'TE CVA'!$AB$26)*(1-CUSTOS!$M$38)</f>
        <v>269.31939999999997</v>
      </c>
      <c r="AB649" s="6">
        <f>$K$649*$V$649</f>
        <v>0</v>
      </c>
      <c r="AC649" s="6">
        <f>$M$649*$W$649</f>
        <v>1372.3595599999999</v>
      </c>
      <c r="AD649" s="6">
        <f>$O$649*$X$649</f>
        <v>922.45139999999992</v>
      </c>
      <c r="AE649" s="6">
        <f>$K$649*$Y$649</f>
        <v>0</v>
      </c>
      <c r="AF649" s="6">
        <f ca="1">$M$649*$Z$649</f>
        <v>1484.6772096</v>
      </c>
      <c r="AG649" s="6">
        <f ca="1">$O$649*$AA$649</f>
        <v>1106.3640951999998</v>
      </c>
    </row>
    <row r="650" spans="1:33" ht="11.25" customHeight="1" x14ac:dyDescent="0.3">
      <c r="A650" s="4" t="s">
        <v>21</v>
      </c>
      <c r="B650" s="4" t="s">
        <v>43</v>
      </c>
      <c r="C650" s="4" t="s">
        <v>23</v>
      </c>
      <c r="D650" s="4" t="s">
        <v>44</v>
      </c>
      <c r="E650" s="4" t="s">
        <v>56</v>
      </c>
      <c r="F650" s="4" t="s">
        <v>54</v>
      </c>
      <c r="G650" s="4" t="s">
        <v>25</v>
      </c>
      <c r="H650" s="4" t="s">
        <v>25</v>
      </c>
      <c r="I650" s="5">
        <v>44713</v>
      </c>
      <c r="J650" s="6">
        <v>0</v>
      </c>
      <c r="K650" s="6">
        <v>0</v>
      </c>
      <c r="L650" s="6">
        <v>9.6579999999999995</v>
      </c>
      <c r="M650" s="6">
        <v>9.6579999999999995</v>
      </c>
      <c r="N650" s="6">
        <v>9.6579999999999995</v>
      </c>
      <c r="O650" s="6">
        <v>9.6579999999999995</v>
      </c>
      <c r="P650" s="6">
        <v>0</v>
      </c>
      <c r="Q650" s="4" t="s">
        <v>26</v>
      </c>
      <c r="R650" s="4">
        <v>0</v>
      </c>
      <c r="S650" s="6">
        <v>0</v>
      </c>
      <c r="T650" s="6">
        <v>43</v>
      </c>
      <c r="U650" s="6">
        <v>84</v>
      </c>
      <c r="V650" s="6">
        <f>IF(ISERROR(VLOOKUP($S$650,'TAR FIN'!$A$1:$O$103,15,0)),0,VLOOKUP($S$650,'TAR FIN'!$A$1:$O$103,15,0))</f>
        <v>0</v>
      </c>
      <c r="W650" s="6">
        <f>IF(ISERROR(VLOOKUP($T$650,'TAR FIN'!$A$1:$O$103,15,0)),0,VLOOKUP($T$650,'TAR FIN'!$A$1:$O$103,15,0))</f>
        <v>334.07</v>
      </c>
      <c r="X650" s="6">
        <f>IF(ISERROR(VLOOKUP($U$650,'TAR FIN'!$A$1:$O$103,15,0)),0,VLOOKUP($U$650,'TAR FIN'!$A$1:$O$103,15,0))</f>
        <v>224.55</v>
      </c>
      <c r="Y650" s="6"/>
      <c r="Z650" s="6">
        <f ca="1">('TUSD BE'!$AM$45+'TUSD BF_350'!$AM$45+'TUSD CVA'!$AM$45)*(1-CUSTOS!$M$38)</f>
        <v>361.41120000000001</v>
      </c>
      <c r="AA650" s="6">
        <f ca="1">('TE BE'!$AB$26+'TE BF_350'!$AB$26+'TE CVA'!$AB$26)*(1-CUSTOS!$M$38)</f>
        <v>269.31939999999997</v>
      </c>
      <c r="AB650" s="6">
        <f>$K$650*$V$650</f>
        <v>0</v>
      </c>
      <c r="AC650" s="6">
        <f>$M$650*$W$650</f>
        <v>3226.4480599999997</v>
      </c>
      <c r="AD650" s="6">
        <f>$O$650*$X$650</f>
        <v>2168.7039</v>
      </c>
      <c r="AE650" s="6">
        <f>$K$650*$Y$650</f>
        <v>0</v>
      </c>
      <c r="AF650" s="6">
        <f ca="1">$M$650*$Z$650</f>
        <v>3490.5093695999999</v>
      </c>
      <c r="AG650" s="6">
        <f ca="1">$O$650*$AA$650</f>
        <v>2601.0867651999997</v>
      </c>
    </row>
    <row r="651" spans="1:33" ht="11.25" customHeight="1" x14ac:dyDescent="0.3">
      <c r="A651" s="4" t="s">
        <v>28</v>
      </c>
      <c r="B651" s="4" t="s">
        <v>43</v>
      </c>
      <c r="C651" s="4" t="s">
        <v>23</v>
      </c>
      <c r="D651" s="4" t="s">
        <v>44</v>
      </c>
      <c r="E651" s="4" t="s">
        <v>56</v>
      </c>
      <c r="F651" s="4" t="s">
        <v>54</v>
      </c>
      <c r="G651" s="4" t="s">
        <v>25</v>
      </c>
      <c r="H651" s="4" t="s">
        <v>25</v>
      </c>
      <c r="I651" s="5">
        <v>44713</v>
      </c>
      <c r="J651" s="6">
        <v>0</v>
      </c>
      <c r="K651" s="6">
        <v>0</v>
      </c>
      <c r="L651" s="6">
        <v>1.2729999999999999</v>
      </c>
      <c r="M651" s="6">
        <v>1.2729999999999999</v>
      </c>
      <c r="N651" s="6">
        <v>1.2729999999999999</v>
      </c>
      <c r="O651" s="6">
        <v>1.2729999999999999</v>
      </c>
      <c r="P651" s="6">
        <v>0</v>
      </c>
      <c r="Q651" s="4" t="s">
        <v>26</v>
      </c>
      <c r="R651" s="4">
        <v>0</v>
      </c>
      <c r="S651" s="6">
        <v>0</v>
      </c>
      <c r="T651" s="6">
        <v>43</v>
      </c>
      <c r="U651" s="6">
        <v>84</v>
      </c>
      <c r="V651" s="6">
        <f>IF(ISERROR(VLOOKUP($S$651,'TAR FIN'!$A$1:$O$103,15,0)),0,VLOOKUP($S$651,'TAR FIN'!$A$1:$O$103,15,0))</f>
        <v>0</v>
      </c>
      <c r="W651" s="6">
        <f>IF(ISERROR(VLOOKUP($T$651,'TAR FIN'!$A$1:$O$103,15,0)),0,VLOOKUP($T$651,'TAR FIN'!$A$1:$O$103,15,0))</f>
        <v>334.07</v>
      </c>
      <c r="X651" s="6">
        <f>IF(ISERROR(VLOOKUP($U$651,'TAR FIN'!$A$1:$O$103,15,0)),0,VLOOKUP($U$651,'TAR FIN'!$A$1:$O$103,15,0))</f>
        <v>224.55</v>
      </c>
      <c r="Y651" s="6"/>
      <c r="Z651" s="6">
        <f ca="1">('TUSD BE'!$AM$45+'TUSD BF_350'!$AM$45+'TUSD CVA'!$AM$45)*(1-CUSTOS!$M$38)</f>
        <v>361.41120000000001</v>
      </c>
      <c r="AA651" s="6">
        <f ca="1">('TE BE'!$AB$26+'TE BF_350'!$AB$26+'TE CVA'!$AB$26)*(1-CUSTOS!$M$38)</f>
        <v>269.31939999999997</v>
      </c>
      <c r="AB651" s="6">
        <f>$K$651*$V$651</f>
        <v>0</v>
      </c>
      <c r="AC651" s="6">
        <f>$M$651*$W$651</f>
        <v>425.27110999999996</v>
      </c>
      <c r="AD651" s="6">
        <f>$O$651*$X$651</f>
        <v>285.85214999999999</v>
      </c>
      <c r="AE651" s="6">
        <f>$K$651*$Y$651</f>
        <v>0</v>
      </c>
      <c r="AF651" s="6">
        <f ca="1">$M$651*$Z$651</f>
        <v>460.07645759999997</v>
      </c>
      <c r="AG651" s="6">
        <f ca="1">$O$651*$AA$651</f>
        <v>342.84359619999992</v>
      </c>
    </row>
    <row r="652" spans="1:33" ht="11.25" customHeight="1" x14ac:dyDescent="0.3">
      <c r="A652" s="4" t="s">
        <v>21</v>
      </c>
      <c r="B652" s="4" t="s">
        <v>43</v>
      </c>
      <c r="C652" s="4" t="s">
        <v>23</v>
      </c>
      <c r="D652" s="4" t="s">
        <v>44</v>
      </c>
      <c r="E652" s="4" t="s">
        <v>56</v>
      </c>
      <c r="F652" s="4" t="s">
        <v>54</v>
      </c>
      <c r="G652" s="4" t="s">
        <v>25</v>
      </c>
      <c r="H652" s="4" t="s">
        <v>25</v>
      </c>
      <c r="I652" s="5">
        <v>44743</v>
      </c>
      <c r="J652" s="6">
        <v>0</v>
      </c>
      <c r="K652" s="6">
        <v>0</v>
      </c>
      <c r="L652" s="6">
        <v>12.952</v>
      </c>
      <c r="M652" s="6">
        <v>12.952</v>
      </c>
      <c r="N652" s="6">
        <v>12.952</v>
      </c>
      <c r="O652" s="6">
        <v>12.952</v>
      </c>
      <c r="P652" s="6">
        <v>0</v>
      </c>
      <c r="Q652" s="4" t="s">
        <v>26</v>
      </c>
      <c r="R652" s="4">
        <v>0</v>
      </c>
      <c r="S652" s="6">
        <v>0</v>
      </c>
      <c r="T652" s="6">
        <v>43</v>
      </c>
      <c r="U652" s="6">
        <v>84</v>
      </c>
      <c r="V652" s="6">
        <f>IF(ISERROR(VLOOKUP($S$652,'TAR FIN'!$A$1:$O$103,15,0)),0,VLOOKUP($S$652,'TAR FIN'!$A$1:$O$103,15,0))</f>
        <v>0</v>
      </c>
      <c r="W652" s="6">
        <f>IF(ISERROR(VLOOKUP($T$652,'TAR FIN'!$A$1:$O$103,15,0)),0,VLOOKUP($T$652,'TAR FIN'!$A$1:$O$103,15,0))</f>
        <v>334.07</v>
      </c>
      <c r="X652" s="6">
        <f>IF(ISERROR(VLOOKUP($U$652,'TAR FIN'!$A$1:$O$103,15,0)),0,VLOOKUP($U$652,'TAR FIN'!$A$1:$O$103,15,0))</f>
        <v>224.55</v>
      </c>
      <c r="Y652" s="6"/>
      <c r="Z652" s="6">
        <f ca="1">('TUSD BE'!$AM$45+'TUSD BF_350'!$AM$45+'TUSD CVA'!$AM$45)*(1-CUSTOS!$M$38)</f>
        <v>361.41120000000001</v>
      </c>
      <c r="AA652" s="6">
        <f ca="1">('TE BE'!$AB$26+'TE BF_350'!$AB$26+'TE CVA'!$AB$26)*(1-CUSTOS!$M$38)</f>
        <v>269.31939999999997</v>
      </c>
      <c r="AB652" s="6">
        <f>$K$652*$V$652</f>
        <v>0</v>
      </c>
      <c r="AC652" s="6">
        <f>$M$652*$W$652</f>
        <v>4326.87464</v>
      </c>
      <c r="AD652" s="6">
        <f>$O$652*$X$652</f>
        <v>2908.3715999999999</v>
      </c>
      <c r="AE652" s="6">
        <f>$K$652*$Y$652</f>
        <v>0</v>
      </c>
      <c r="AF652" s="6">
        <f ca="1">$M$652*$Z$652</f>
        <v>4680.9978624000005</v>
      </c>
      <c r="AG652" s="6">
        <f ca="1">$O$652*$AA$652</f>
        <v>3488.2248687999995</v>
      </c>
    </row>
    <row r="653" spans="1:33" ht="11.25" customHeight="1" x14ac:dyDescent="0.3">
      <c r="A653" s="4" t="s">
        <v>28</v>
      </c>
      <c r="B653" s="4" t="s">
        <v>43</v>
      </c>
      <c r="C653" s="4" t="s">
        <v>23</v>
      </c>
      <c r="D653" s="4" t="s">
        <v>44</v>
      </c>
      <c r="E653" s="4" t="s">
        <v>56</v>
      </c>
      <c r="F653" s="4" t="s">
        <v>54</v>
      </c>
      <c r="G653" s="4" t="s">
        <v>25</v>
      </c>
      <c r="H653" s="4" t="s">
        <v>25</v>
      </c>
      <c r="I653" s="5">
        <v>44743</v>
      </c>
      <c r="J653" s="6">
        <v>0</v>
      </c>
      <c r="K653" s="6">
        <v>0</v>
      </c>
      <c r="L653" s="6">
        <v>0.16300000000000001</v>
      </c>
      <c r="M653" s="6">
        <v>0.16300000000000001</v>
      </c>
      <c r="N653" s="6">
        <v>0.16300000000000001</v>
      </c>
      <c r="O653" s="6">
        <v>0.16300000000000001</v>
      </c>
      <c r="P653" s="6">
        <v>0</v>
      </c>
      <c r="Q653" s="4" t="s">
        <v>26</v>
      </c>
      <c r="R653" s="4">
        <v>0</v>
      </c>
      <c r="S653" s="6">
        <v>0</v>
      </c>
      <c r="T653" s="6">
        <v>43</v>
      </c>
      <c r="U653" s="6">
        <v>84</v>
      </c>
      <c r="V653" s="6">
        <f>IF(ISERROR(VLOOKUP($S$653,'TAR FIN'!$A$1:$O$103,15,0)),0,VLOOKUP($S$653,'TAR FIN'!$A$1:$O$103,15,0))</f>
        <v>0</v>
      </c>
      <c r="W653" s="6">
        <f>IF(ISERROR(VLOOKUP($T$653,'TAR FIN'!$A$1:$O$103,15,0)),0,VLOOKUP($T$653,'TAR FIN'!$A$1:$O$103,15,0))</f>
        <v>334.07</v>
      </c>
      <c r="X653" s="6">
        <f>IF(ISERROR(VLOOKUP($U$653,'TAR FIN'!$A$1:$O$103,15,0)),0,VLOOKUP($U$653,'TAR FIN'!$A$1:$O$103,15,0))</f>
        <v>224.55</v>
      </c>
      <c r="Y653" s="6"/>
      <c r="Z653" s="6">
        <f ca="1">('TUSD BE'!$AM$45+'TUSD BF_350'!$AM$45+'TUSD CVA'!$AM$45)*(1-CUSTOS!$M$38)</f>
        <v>361.41120000000001</v>
      </c>
      <c r="AA653" s="6">
        <f ca="1">('TE BE'!$AB$26+'TE BF_350'!$AB$26+'TE CVA'!$AB$26)*(1-CUSTOS!$M$38)</f>
        <v>269.31939999999997</v>
      </c>
      <c r="AB653" s="6">
        <f>$K$653*$V$653</f>
        <v>0</v>
      </c>
      <c r="AC653" s="6">
        <f>$M$653*$W$653</f>
        <v>54.453409999999998</v>
      </c>
      <c r="AD653" s="6">
        <f>$O$653*$X$653</f>
        <v>36.601650000000006</v>
      </c>
      <c r="AE653" s="6">
        <f>$K$653*$Y$653</f>
        <v>0</v>
      </c>
      <c r="AF653" s="6">
        <f ca="1">$M$653*$Z$653</f>
        <v>58.910025600000004</v>
      </c>
      <c r="AG653" s="6">
        <f ca="1">$O$653*$AA$653</f>
        <v>43.899062199999996</v>
      </c>
    </row>
    <row r="654" spans="1:33" ht="11.25" customHeight="1" x14ac:dyDescent="0.3">
      <c r="A654" s="4" t="s">
        <v>21</v>
      </c>
      <c r="B654" s="4" t="s">
        <v>43</v>
      </c>
      <c r="C654" s="4" t="s">
        <v>23</v>
      </c>
      <c r="D654" s="4" t="s">
        <v>44</v>
      </c>
      <c r="E654" s="4" t="s">
        <v>56</v>
      </c>
      <c r="F654" s="4" t="s">
        <v>54</v>
      </c>
      <c r="G654" s="4" t="s">
        <v>25</v>
      </c>
      <c r="H654" s="4" t="s">
        <v>25</v>
      </c>
      <c r="I654" s="5">
        <v>44774</v>
      </c>
      <c r="J654" s="6">
        <v>0</v>
      </c>
      <c r="K654" s="6">
        <v>0</v>
      </c>
      <c r="L654" s="6">
        <v>8.8119999999999994</v>
      </c>
      <c r="M654" s="6">
        <v>8.8119999999999994</v>
      </c>
      <c r="N654" s="6">
        <v>8.8119999999999994</v>
      </c>
      <c r="O654" s="6">
        <v>8.8119999999999994</v>
      </c>
      <c r="P654" s="6">
        <v>0</v>
      </c>
      <c r="Q654" s="4" t="s">
        <v>26</v>
      </c>
      <c r="R654" s="4">
        <v>0</v>
      </c>
      <c r="S654" s="6">
        <v>0</v>
      </c>
      <c r="T654" s="6">
        <v>43</v>
      </c>
      <c r="U654" s="6">
        <v>84</v>
      </c>
      <c r="V654" s="6">
        <f>IF(ISERROR(VLOOKUP($S$654,'TAR FIN'!$A$1:$O$103,15,0)),0,VLOOKUP($S$654,'TAR FIN'!$A$1:$O$103,15,0))</f>
        <v>0</v>
      </c>
      <c r="W654" s="6">
        <f>IF(ISERROR(VLOOKUP($T$654,'TAR FIN'!$A$1:$O$103,15,0)),0,VLOOKUP($T$654,'TAR FIN'!$A$1:$O$103,15,0))</f>
        <v>334.07</v>
      </c>
      <c r="X654" s="6">
        <f>IF(ISERROR(VLOOKUP($U$654,'TAR FIN'!$A$1:$O$103,15,0)),0,VLOOKUP($U$654,'TAR FIN'!$A$1:$O$103,15,0))</f>
        <v>224.55</v>
      </c>
      <c r="Y654" s="6"/>
      <c r="Z654" s="6">
        <f ca="1">('TUSD BE'!$AM$45+'TUSD BF_350'!$AM$45+'TUSD CVA'!$AM$45)*(1-CUSTOS!$M$38)</f>
        <v>361.41120000000001</v>
      </c>
      <c r="AA654" s="6">
        <f ca="1">('TE BE'!$AB$26+'TE BF_350'!$AB$26+'TE CVA'!$AB$26)*(1-CUSTOS!$M$38)</f>
        <v>269.31939999999997</v>
      </c>
      <c r="AB654" s="6">
        <f>$K$654*$V$654</f>
        <v>0</v>
      </c>
      <c r="AC654" s="6">
        <f>$M$654*$W$654</f>
        <v>2943.8248399999998</v>
      </c>
      <c r="AD654" s="6">
        <f>$O$654*$X$654</f>
        <v>1978.7346</v>
      </c>
      <c r="AE654" s="6">
        <f>$K$654*$Y$654</f>
        <v>0</v>
      </c>
      <c r="AF654" s="6">
        <f ca="1">$M$654*$Z$654</f>
        <v>3184.7554943999999</v>
      </c>
      <c r="AG654" s="6">
        <f ca="1">$O$654*$AA$654</f>
        <v>2373.2425527999994</v>
      </c>
    </row>
    <row r="655" spans="1:33" ht="11.25" customHeight="1" x14ac:dyDescent="0.3">
      <c r="A655" s="4" t="s">
        <v>28</v>
      </c>
      <c r="B655" s="4" t="s">
        <v>43</v>
      </c>
      <c r="C655" s="4" t="s">
        <v>23</v>
      </c>
      <c r="D655" s="4" t="s">
        <v>44</v>
      </c>
      <c r="E655" s="4" t="s">
        <v>56</v>
      </c>
      <c r="F655" s="4" t="s">
        <v>54</v>
      </c>
      <c r="G655" s="4" t="s">
        <v>25</v>
      </c>
      <c r="H655" s="4" t="s">
        <v>25</v>
      </c>
      <c r="I655" s="5">
        <v>44774</v>
      </c>
      <c r="J655" s="6">
        <v>0</v>
      </c>
      <c r="K655" s="6">
        <v>0</v>
      </c>
      <c r="L655" s="6">
        <v>2.0569999999999999</v>
      </c>
      <c r="M655" s="6">
        <v>2.0569999999999999</v>
      </c>
      <c r="N655" s="6">
        <v>2.0569999999999999</v>
      </c>
      <c r="O655" s="6">
        <v>2.0569999999999999</v>
      </c>
      <c r="P655" s="6">
        <v>0</v>
      </c>
      <c r="Q655" s="4" t="s">
        <v>26</v>
      </c>
      <c r="R655" s="4">
        <v>0</v>
      </c>
      <c r="S655" s="6">
        <v>0</v>
      </c>
      <c r="T655" s="6">
        <v>43</v>
      </c>
      <c r="U655" s="6">
        <v>84</v>
      </c>
      <c r="V655" s="6">
        <f>IF(ISERROR(VLOOKUP($S$655,'TAR FIN'!$A$1:$O$103,15,0)),0,VLOOKUP($S$655,'TAR FIN'!$A$1:$O$103,15,0))</f>
        <v>0</v>
      </c>
      <c r="W655" s="6">
        <f>IF(ISERROR(VLOOKUP($T$655,'TAR FIN'!$A$1:$O$103,15,0)),0,VLOOKUP($T$655,'TAR FIN'!$A$1:$O$103,15,0))</f>
        <v>334.07</v>
      </c>
      <c r="X655" s="6">
        <f>IF(ISERROR(VLOOKUP($U$655,'TAR FIN'!$A$1:$O$103,15,0)),0,VLOOKUP($U$655,'TAR FIN'!$A$1:$O$103,15,0))</f>
        <v>224.55</v>
      </c>
      <c r="Y655" s="6"/>
      <c r="Z655" s="6">
        <f ca="1">('TUSD BE'!$AM$45+'TUSD BF_350'!$AM$45+'TUSD CVA'!$AM$45)*(1-CUSTOS!$M$38)</f>
        <v>361.41120000000001</v>
      </c>
      <c r="AA655" s="6">
        <f ca="1">('TE BE'!$AB$26+'TE BF_350'!$AB$26+'TE CVA'!$AB$26)*(1-CUSTOS!$M$38)</f>
        <v>269.31939999999997</v>
      </c>
      <c r="AB655" s="6">
        <f>$K$655*$V$655</f>
        <v>0</v>
      </c>
      <c r="AC655" s="6">
        <f>$M$655*$W$655</f>
        <v>687.18198999999993</v>
      </c>
      <c r="AD655" s="6">
        <f>$O$655*$X$655</f>
        <v>461.89935000000003</v>
      </c>
      <c r="AE655" s="6">
        <f>$K$655*$Y$655</f>
        <v>0</v>
      </c>
      <c r="AF655" s="6">
        <f ca="1">$M$655*$Z$655</f>
        <v>743.42283840000005</v>
      </c>
      <c r="AG655" s="6">
        <f ca="1">$O$655*$AA$655</f>
        <v>553.99000579999995</v>
      </c>
    </row>
    <row r="656" spans="1:33" ht="11.25" customHeight="1" x14ac:dyDescent="0.3">
      <c r="A656" s="4" t="s">
        <v>21</v>
      </c>
      <c r="B656" s="4" t="s">
        <v>43</v>
      </c>
      <c r="C656" s="4" t="s">
        <v>23</v>
      </c>
      <c r="D656" s="4" t="s">
        <v>44</v>
      </c>
      <c r="E656" s="4" t="s">
        <v>56</v>
      </c>
      <c r="F656" s="4" t="s">
        <v>54</v>
      </c>
      <c r="G656" s="4" t="s">
        <v>25</v>
      </c>
      <c r="H656" s="4" t="s">
        <v>25</v>
      </c>
      <c r="I656" s="5">
        <v>44805</v>
      </c>
      <c r="J656" s="6">
        <v>0</v>
      </c>
      <c r="K656" s="6">
        <v>0</v>
      </c>
      <c r="L656" s="6">
        <v>10.707000000000001</v>
      </c>
      <c r="M656" s="6">
        <v>10.707000000000001</v>
      </c>
      <c r="N656" s="6">
        <v>10.707000000000001</v>
      </c>
      <c r="O656" s="6">
        <v>10.707000000000001</v>
      </c>
      <c r="P656" s="6">
        <v>0</v>
      </c>
      <c r="Q656" s="4" t="s">
        <v>26</v>
      </c>
      <c r="R656" s="4">
        <v>0</v>
      </c>
      <c r="S656" s="6">
        <v>0</v>
      </c>
      <c r="T656" s="6">
        <v>43</v>
      </c>
      <c r="U656" s="6">
        <v>84</v>
      </c>
      <c r="V656" s="6">
        <f>IF(ISERROR(VLOOKUP($S$656,'TAR FIN'!$A$1:$O$103,15,0)),0,VLOOKUP($S$656,'TAR FIN'!$A$1:$O$103,15,0))</f>
        <v>0</v>
      </c>
      <c r="W656" s="6">
        <f>IF(ISERROR(VLOOKUP($T$656,'TAR FIN'!$A$1:$O$103,15,0)),0,VLOOKUP($T$656,'TAR FIN'!$A$1:$O$103,15,0))</f>
        <v>334.07</v>
      </c>
      <c r="X656" s="6">
        <f>IF(ISERROR(VLOOKUP($U$656,'TAR FIN'!$A$1:$O$103,15,0)),0,VLOOKUP($U$656,'TAR FIN'!$A$1:$O$103,15,0))</f>
        <v>224.55</v>
      </c>
      <c r="Y656" s="6"/>
      <c r="Z656" s="6">
        <f ca="1">('TUSD BE'!$AM$45+'TUSD BF_350'!$AM$45+'TUSD CVA'!$AM$45)*(1-CUSTOS!$M$38)</f>
        <v>361.41120000000001</v>
      </c>
      <c r="AA656" s="6">
        <f ca="1">('TE BE'!$AB$26+'TE BF_350'!$AB$26+'TE CVA'!$AB$26)*(1-CUSTOS!$M$38)</f>
        <v>269.31939999999997</v>
      </c>
      <c r="AB656" s="6">
        <f>$K$656*$V$656</f>
        <v>0</v>
      </c>
      <c r="AC656" s="6">
        <f>$M$656*$W$656</f>
        <v>3576.8874900000001</v>
      </c>
      <c r="AD656" s="6">
        <f>$O$656*$X$656</f>
        <v>2404.2568500000002</v>
      </c>
      <c r="AE656" s="6">
        <f>$K$656*$Y$656</f>
        <v>0</v>
      </c>
      <c r="AF656" s="6">
        <f ca="1">$M$656*$Z$656</f>
        <v>3869.6297184000005</v>
      </c>
      <c r="AG656" s="6">
        <f ca="1">$O$656*$AA$656</f>
        <v>2883.6028157999999</v>
      </c>
    </row>
    <row r="657" spans="1:33" ht="11.25" customHeight="1" x14ac:dyDescent="0.3">
      <c r="A657" s="4" t="s">
        <v>28</v>
      </c>
      <c r="B657" s="4" t="s">
        <v>43</v>
      </c>
      <c r="C657" s="4" t="s">
        <v>23</v>
      </c>
      <c r="D657" s="4" t="s">
        <v>44</v>
      </c>
      <c r="E657" s="4" t="s">
        <v>56</v>
      </c>
      <c r="F657" s="4" t="s">
        <v>54</v>
      </c>
      <c r="G657" s="4" t="s">
        <v>25</v>
      </c>
      <c r="H657" s="4" t="s">
        <v>25</v>
      </c>
      <c r="I657" s="5">
        <v>44805</v>
      </c>
      <c r="J657" s="6">
        <v>0</v>
      </c>
      <c r="K657" s="6">
        <v>0</v>
      </c>
      <c r="L657" s="6">
        <v>6.9749999999999996</v>
      </c>
      <c r="M657" s="6">
        <v>6.9749999999999996</v>
      </c>
      <c r="N657" s="6">
        <v>6.9749999999999996</v>
      </c>
      <c r="O657" s="6">
        <v>6.9749999999999996</v>
      </c>
      <c r="P657" s="6">
        <v>0</v>
      </c>
      <c r="Q657" s="4" t="s">
        <v>26</v>
      </c>
      <c r="R657" s="4">
        <v>0</v>
      </c>
      <c r="S657" s="6">
        <v>0</v>
      </c>
      <c r="T657" s="6">
        <v>43</v>
      </c>
      <c r="U657" s="6">
        <v>84</v>
      </c>
      <c r="V657" s="6">
        <f>IF(ISERROR(VLOOKUP($S$657,'TAR FIN'!$A$1:$O$103,15,0)),0,VLOOKUP($S$657,'TAR FIN'!$A$1:$O$103,15,0))</f>
        <v>0</v>
      </c>
      <c r="W657" s="6">
        <f>IF(ISERROR(VLOOKUP($T$657,'TAR FIN'!$A$1:$O$103,15,0)),0,VLOOKUP($T$657,'TAR FIN'!$A$1:$O$103,15,0))</f>
        <v>334.07</v>
      </c>
      <c r="X657" s="6">
        <f>IF(ISERROR(VLOOKUP($U$657,'TAR FIN'!$A$1:$O$103,15,0)),0,VLOOKUP($U$657,'TAR FIN'!$A$1:$O$103,15,0))</f>
        <v>224.55</v>
      </c>
      <c r="Y657" s="6"/>
      <c r="Z657" s="6">
        <f ca="1">('TUSD BE'!$AM$45+'TUSD BF_350'!$AM$45+'TUSD CVA'!$AM$45)*(1-CUSTOS!$M$38)</f>
        <v>361.41120000000001</v>
      </c>
      <c r="AA657" s="6">
        <f ca="1">('TE BE'!$AB$26+'TE BF_350'!$AB$26+'TE CVA'!$AB$26)*(1-CUSTOS!$M$38)</f>
        <v>269.31939999999997</v>
      </c>
      <c r="AB657" s="6">
        <f>$K$657*$V$657</f>
        <v>0</v>
      </c>
      <c r="AC657" s="6">
        <f>$M$657*$W$657</f>
        <v>2330.13825</v>
      </c>
      <c r="AD657" s="6">
        <f>$O$657*$X$657</f>
        <v>1566.2362499999999</v>
      </c>
      <c r="AE657" s="6">
        <f>$K$657*$Y$657</f>
        <v>0</v>
      </c>
      <c r="AF657" s="6">
        <f ca="1">$M$657*$Z$657</f>
        <v>2520.84312</v>
      </c>
      <c r="AG657" s="6">
        <f ca="1">$O$657*$AA$657</f>
        <v>1878.5028149999998</v>
      </c>
    </row>
    <row r="658" spans="1:33" ht="11.25" customHeight="1" x14ac:dyDescent="0.3">
      <c r="A658" s="4" t="s">
        <v>57</v>
      </c>
      <c r="B658" s="4" t="s">
        <v>43</v>
      </c>
      <c r="C658" s="4" t="s">
        <v>23</v>
      </c>
      <c r="D658" s="4" t="s">
        <v>44</v>
      </c>
      <c r="E658" s="4" t="s">
        <v>56</v>
      </c>
      <c r="F658" s="4" t="s">
        <v>54</v>
      </c>
      <c r="G658" s="4" t="s">
        <v>25</v>
      </c>
      <c r="H658" s="4" t="s">
        <v>25</v>
      </c>
      <c r="I658" s="5">
        <v>44835</v>
      </c>
      <c r="J658" s="6">
        <v>0</v>
      </c>
      <c r="K658" s="6">
        <v>0</v>
      </c>
      <c r="L658" s="6">
        <v>10.707000000000001</v>
      </c>
      <c r="M658" s="6">
        <v>10.707000000000001</v>
      </c>
      <c r="N658" s="6">
        <v>10.707000000000001</v>
      </c>
      <c r="O658" s="6">
        <v>10.707000000000001</v>
      </c>
      <c r="P658" s="6">
        <v>0</v>
      </c>
      <c r="Q658" s="4" t="s">
        <v>26</v>
      </c>
      <c r="R658" s="4">
        <v>0</v>
      </c>
      <c r="S658" s="6">
        <v>0</v>
      </c>
      <c r="T658" s="6">
        <v>43</v>
      </c>
      <c r="U658" s="6">
        <v>84</v>
      </c>
      <c r="V658" s="6">
        <f>IF(ISERROR(VLOOKUP($S$658,'TAR FIN'!$A$1:$O$103,15,0)),0,VLOOKUP($S$658,'TAR FIN'!$A$1:$O$103,15,0))</f>
        <v>0</v>
      </c>
      <c r="W658" s="6">
        <f>IF(ISERROR(VLOOKUP($T$658,'TAR FIN'!$A$1:$O$103,15,0)),0,VLOOKUP($T$658,'TAR FIN'!$A$1:$O$103,15,0))</f>
        <v>334.07</v>
      </c>
      <c r="X658" s="6">
        <f>IF(ISERROR(VLOOKUP($U$658,'TAR FIN'!$A$1:$O$103,15,0)),0,VLOOKUP($U$658,'TAR FIN'!$A$1:$O$103,15,0))</f>
        <v>224.55</v>
      </c>
      <c r="Y658" s="6"/>
      <c r="Z658" s="6">
        <f ca="1">('TUSD BE'!$AM$45+'TUSD BF_350'!$AM$45+'TUSD CVA'!$AM$45)*(1-CUSTOS!$M$38)</f>
        <v>361.41120000000001</v>
      </c>
      <c r="AA658" s="6">
        <f ca="1">('TE BE'!$AB$26+'TE BF_350'!$AB$26+'TE CVA'!$AB$26)*(1-CUSTOS!$M$38)</f>
        <v>269.31939999999997</v>
      </c>
      <c r="AB658" s="6">
        <f>$K$658*$V$658</f>
        <v>0</v>
      </c>
      <c r="AC658" s="6">
        <f>$M$658*$W$658</f>
        <v>3576.8874900000001</v>
      </c>
      <c r="AD658" s="6">
        <f>$O$658*$X$658</f>
        <v>2404.2568500000002</v>
      </c>
      <c r="AE658" s="6">
        <f>$K$658*$Y$658</f>
        <v>0</v>
      </c>
      <c r="AF658" s="6">
        <f ca="1">$M$658*$Z$658</f>
        <v>3869.6297184000005</v>
      </c>
      <c r="AG658" s="6">
        <f ca="1">$O$658*$AA$658</f>
        <v>2883.6028157999999</v>
      </c>
    </row>
    <row r="659" spans="1:33" ht="11.25" customHeight="1" x14ac:dyDescent="0.3">
      <c r="A659" s="4" t="s">
        <v>57</v>
      </c>
      <c r="B659" s="4" t="s">
        <v>43</v>
      </c>
      <c r="C659" s="4" t="s">
        <v>23</v>
      </c>
      <c r="D659" s="4" t="s">
        <v>44</v>
      </c>
      <c r="E659" s="4" t="s">
        <v>56</v>
      </c>
      <c r="F659" s="4" t="s">
        <v>54</v>
      </c>
      <c r="G659" s="4" t="s">
        <v>25</v>
      </c>
      <c r="H659" s="4" t="s">
        <v>25</v>
      </c>
      <c r="I659" s="5">
        <v>44835</v>
      </c>
      <c r="J659" s="6">
        <v>0</v>
      </c>
      <c r="K659" s="6">
        <v>0</v>
      </c>
      <c r="L659" s="6">
        <v>6.9749999999999996</v>
      </c>
      <c r="M659" s="6">
        <v>6.9749999999999996</v>
      </c>
      <c r="N659" s="6">
        <v>6.9749999999999996</v>
      </c>
      <c r="O659" s="6">
        <v>6.9749999999999996</v>
      </c>
      <c r="P659" s="6">
        <v>0</v>
      </c>
      <c r="Q659" s="4" t="s">
        <v>26</v>
      </c>
      <c r="R659" s="4">
        <v>0</v>
      </c>
      <c r="S659" s="6">
        <v>0</v>
      </c>
      <c r="T659" s="6">
        <v>43</v>
      </c>
      <c r="U659" s="6">
        <v>84</v>
      </c>
      <c r="V659" s="6">
        <f>IF(ISERROR(VLOOKUP($S$659,'TAR FIN'!$A$1:$O$103,15,0)),0,VLOOKUP($S$659,'TAR FIN'!$A$1:$O$103,15,0))</f>
        <v>0</v>
      </c>
      <c r="W659" s="6">
        <f>IF(ISERROR(VLOOKUP($T$659,'TAR FIN'!$A$1:$O$103,15,0)),0,VLOOKUP($T$659,'TAR FIN'!$A$1:$O$103,15,0))</f>
        <v>334.07</v>
      </c>
      <c r="X659" s="6">
        <f>IF(ISERROR(VLOOKUP($U$659,'TAR FIN'!$A$1:$O$103,15,0)),0,VLOOKUP($U$659,'TAR FIN'!$A$1:$O$103,15,0))</f>
        <v>224.55</v>
      </c>
      <c r="Y659" s="6"/>
      <c r="Z659" s="6">
        <f ca="1">('TUSD BE'!$AM$45+'TUSD BF_350'!$AM$45+'TUSD CVA'!$AM$45)*(1-CUSTOS!$M$38)</f>
        <v>361.41120000000001</v>
      </c>
      <c r="AA659" s="6">
        <f ca="1">('TE BE'!$AB$26+'TE BF_350'!$AB$26+'TE CVA'!$AB$26)*(1-CUSTOS!$M$38)</f>
        <v>269.31939999999997</v>
      </c>
      <c r="AB659" s="6">
        <f>$K$659*$V$659</f>
        <v>0</v>
      </c>
      <c r="AC659" s="6">
        <f>$M$659*$W$659</f>
        <v>2330.13825</v>
      </c>
      <c r="AD659" s="6">
        <f>$O$659*$X$659</f>
        <v>1566.2362499999999</v>
      </c>
      <c r="AE659" s="6">
        <f>$K$659*$Y$659</f>
        <v>0</v>
      </c>
      <c r="AF659" s="6">
        <f ca="1">$M$659*$Z$659</f>
        <v>2520.84312</v>
      </c>
      <c r="AG659" s="6">
        <f ca="1">$O$659*$AA$659</f>
        <v>1878.5028149999998</v>
      </c>
    </row>
    <row r="660" spans="1:33" ht="11.25" customHeight="1" x14ac:dyDescent="0.3">
      <c r="A660" s="4" t="s">
        <v>21</v>
      </c>
      <c r="B660" s="4" t="s">
        <v>43</v>
      </c>
      <c r="C660" s="4" t="s">
        <v>23</v>
      </c>
      <c r="D660" s="4" t="s">
        <v>44</v>
      </c>
      <c r="E660" s="4" t="s">
        <v>56</v>
      </c>
      <c r="F660" s="4" t="s">
        <v>55</v>
      </c>
      <c r="G660" s="4" t="s">
        <v>25</v>
      </c>
      <c r="H660" s="4" t="s">
        <v>25</v>
      </c>
      <c r="I660" s="5">
        <v>44501</v>
      </c>
      <c r="J660" s="6">
        <v>0</v>
      </c>
      <c r="K660" s="6">
        <v>0</v>
      </c>
      <c r="L660" s="6">
        <v>16.626000000000001</v>
      </c>
      <c r="M660" s="6">
        <v>5.48658</v>
      </c>
      <c r="N660" s="6">
        <v>16.626000000000001</v>
      </c>
      <c r="O660" s="6">
        <v>5.48658</v>
      </c>
      <c r="P660" s="6">
        <v>0</v>
      </c>
      <c r="Q660" s="4" t="s">
        <v>26</v>
      </c>
      <c r="R660" s="4">
        <v>0</v>
      </c>
      <c r="S660" s="6">
        <v>0</v>
      </c>
      <c r="T660" s="6">
        <v>43</v>
      </c>
      <c r="U660" s="6">
        <v>84</v>
      </c>
      <c r="V660" s="6">
        <f>IF(ISERROR(VLOOKUP($S$660,'TAR FIN'!$A$1:$O$103,15,0)),0,VLOOKUP($S$660,'TAR FIN'!$A$1:$O$103,15,0))</f>
        <v>0</v>
      </c>
      <c r="W660" s="6">
        <f>IF(ISERROR(VLOOKUP($T$660,'TAR FIN'!$A$1:$O$103,15,0)),0,VLOOKUP($T$660,'TAR FIN'!$A$1:$O$103,15,0))</f>
        <v>334.07</v>
      </c>
      <c r="X660" s="6">
        <f>IF(ISERROR(VLOOKUP($U$660,'TAR FIN'!$A$1:$O$103,15,0)),0,VLOOKUP($U$660,'TAR FIN'!$A$1:$O$103,15,0))</f>
        <v>224.55</v>
      </c>
      <c r="Y660" s="6"/>
      <c r="Z660" s="6">
        <f ca="1">('TUSD BE'!$AM$45+'TUSD BF_350'!$AM$45+'TUSD CVA'!$AM$45)*(1-CUSTOS!$M$38)</f>
        <v>361.41120000000001</v>
      </c>
      <c r="AA660" s="6">
        <f ca="1">('TE BE'!$AB$26+'TE BF_350'!$AB$26+'TE CVA'!$AB$26)*(1-CUSTOS!$M$38)</f>
        <v>269.31939999999997</v>
      </c>
      <c r="AB660" s="6">
        <f>$K$660*$V$660</f>
        <v>0</v>
      </c>
      <c r="AC660" s="6">
        <f>$M$660*$W$660</f>
        <v>1832.9017805999999</v>
      </c>
      <c r="AD660" s="6">
        <f>$O$660*$X$660</f>
        <v>1232.0115390000001</v>
      </c>
      <c r="AE660" s="6">
        <f>$K$660*$Y$660</f>
        <v>0</v>
      </c>
      <c r="AF660" s="6">
        <f ca="1">$M$660*$Z$660</f>
        <v>1982.9114616960001</v>
      </c>
      <c r="AG660" s="6">
        <f ca="1">$O$660*$AA$660</f>
        <v>1477.6424336519999</v>
      </c>
    </row>
    <row r="661" spans="1:33" ht="11.25" customHeight="1" x14ac:dyDescent="0.3">
      <c r="A661" s="4" t="s">
        <v>28</v>
      </c>
      <c r="B661" s="4" t="s">
        <v>43</v>
      </c>
      <c r="C661" s="4" t="s">
        <v>23</v>
      </c>
      <c r="D661" s="4" t="s">
        <v>44</v>
      </c>
      <c r="E661" s="4" t="s">
        <v>56</v>
      </c>
      <c r="F661" s="4" t="s">
        <v>55</v>
      </c>
      <c r="G661" s="4" t="s">
        <v>25</v>
      </c>
      <c r="H661" s="4" t="s">
        <v>25</v>
      </c>
      <c r="I661" s="5">
        <v>44501</v>
      </c>
      <c r="J661" s="6">
        <v>0</v>
      </c>
      <c r="K661" s="6">
        <v>0</v>
      </c>
      <c r="L661" s="6">
        <v>2.2549999999999999</v>
      </c>
      <c r="M661" s="6">
        <v>2.2549999999999999</v>
      </c>
      <c r="N661" s="6">
        <v>2.2549999999999999</v>
      </c>
      <c r="O661" s="6">
        <v>2.2549999999999999</v>
      </c>
      <c r="P661" s="6">
        <v>0</v>
      </c>
      <c r="Q661" s="4" t="s">
        <v>26</v>
      </c>
      <c r="R661" s="4">
        <v>0</v>
      </c>
      <c r="S661" s="6">
        <v>0</v>
      </c>
      <c r="T661" s="6">
        <v>43</v>
      </c>
      <c r="U661" s="6">
        <v>84</v>
      </c>
      <c r="V661" s="6">
        <f>IF(ISERROR(VLOOKUP($S$661,'TAR FIN'!$A$1:$O$103,15,0)),0,VLOOKUP($S$661,'TAR FIN'!$A$1:$O$103,15,0))</f>
        <v>0</v>
      </c>
      <c r="W661" s="6">
        <f>IF(ISERROR(VLOOKUP($T$661,'TAR FIN'!$A$1:$O$103,15,0)),0,VLOOKUP($T$661,'TAR FIN'!$A$1:$O$103,15,0))</f>
        <v>334.07</v>
      </c>
      <c r="X661" s="6">
        <f>IF(ISERROR(VLOOKUP($U$661,'TAR FIN'!$A$1:$O$103,15,0)),0,VLOOKUP($U$661,'TAR FIN'!$A$1:$O$103,15,0))</f>
        <v>224.55</v>
      </c>
      <c r="Y661" s="6"/>
      <c r="Z661" s="6">
        <f ca="1">('TUSD BE'!$AM$45+'TUSD BF_350'!$AM$45+'TUSD CVA'!$AM$45)*(1-CUSTOS!$M$38)</f>
        <v>361.41120000000001</v>
      </c>
      <c r="AA661" s="6">
        <f ca="1">('TE BE'!$AB$26+'TE BF_350'!$AB$26+'TE CVA'!$AB$26)*(1-CUSTOS!$M$38)</f>
        <v>269.31939999999997</v>
      </c>
      <c r="AB661" s="6">
        <f>$K$661*$V$661</f>
        <v>0</v>
      </c>
      <c r="AC661" s="6">
        <f>$M$661*$W$661</f>
        <v>753.3278499999999</v>
      </c>
      <c r="AD661" s="6">
        <f>$O$661*$X$661</f>
        <v>506.36025000000001</v>
      </c>
      <c r="AE661" s="6">
        <f>$K$661*$Y$661</f>
        <v>0</v>
      </c>
      <c r="AF661" s="6">
        <f ca="1">$M$661*$Z$661</f>
        <v>814.98225600000001</v>
      </c>
      <c r="AG661" s="6">
        <f ca="1">$O$661*$AA$661</f>
        <v>607.31524699999989</v>
      </c>
    </row>
    <row r="662" spans="1:33" ht="11.25" customHeight="1" x14ac:dyDescent="0.3">
      <c r="A662" s="4" t="s">
        <v>21</v>
      </c>
      <c r="B662" s="4" t="s">
        <v>43</v>
      </c>
      <c r="C662" s="4" t="s">
        <v>23</v>
      </c>
      <c r="D662" s="4" t="s">
        <v>44</v>
      </c>
      <c r="E662" s="4" t="s">
        <v>56</v>
      </c>
      <c r="F662" s="4" t="s">
        <v>55</v>
      </c>
      <c r="G662" s="4" t="s">
        <v>25</v>
      </c>
      <c r="H662" s="4" t="s">
        <v>25</v>
      </c>
      <c r="I662" s="5">
        <v>44531</v>
      </c>
      <c r="J662" s="6">
        <v>0</v>
      </c>
      <c r="K662" s="6">
        <v>0</v>
      </c>
      <c r="L662" s="6">
        <v>19.251999999999999</v>
      </c>
      <c r="M662" s="6">
        <v>6.3531599999999999</v>
      </c>
      <c r="N662" s="6">
        <v>19.251999999999999</v>
      </c>
      <c r="O662" s="6">
        <v>6.3531599999999999</v>
      </c>
      <c r="P662" s="6">
        <v>0</v>
      </c>
      <c r="Q662" s="4" t="s">
        <v>26</v>
      </c>
      <c r="R662" s="4">
        <v>0</v>
      </c>
      <c r="S662" s="6">
        <v>0</v>
      </c>
      <c r="T662" s="6">
        <v>43</v>
      </c>
      <c r="U662" s="6">
        <v>84</v>
      </c>
      <c r="V662" s="6">
        <f>IF(ISERROR(VLOOKUP($S$662,'TAR FIN'!$A$1:$O$103,15,0)),0,VLOOKUP($S$662,'TAR FIN'!$A$1:$O$103,15,0))</f>
        <v>0</v>
      </c>
      <c r="W662" s="6">
        <f>IF(ISERROR(VLOOKUP($T$662,'TAR FIN'!$A$1:$O$103,15,0)),0,VLOOKUP($T$662,'TAR FIN'!$A$1:$O$103,15,0))</f>
        <v>334.07</v>
      </c>
      <c r="X662" s="6">
        <f>IF(ISERROR(VLOOKUP($U$662,'TAR FIN'!$A$1:$O$103,15,0)),0,VLOOKUP($U$662,'TAR FIN'!$A$1:$O$103,15,0))</f>
        <v>224.55</v>
      </c>
      <c r="Y662" s="6"/>
      <c r="Z662" s="6">
        <f ca="1">('TUSD BE'!$AM$45+'TUSD BF_350'!$AM$45+'TUSD CVA'!$AM$45)*(1-CUSTOS!$M$38)</f>
        <v>361.41120000000001</v>
      </c>
      <c r="AA662" s="6">
        <f ca="1">('TE BE'!$AB$26+'TE BF_350'!$AB$26+'TE CVA'!$AB$26)*(1-CUSTOS!$M$38)</f>
        <v>269.31939999999997</v>
      </c>
      <c r="AB662" s="6">
        <f>$K$662*$V$662</f>
        <v>0</v>
      </c>
      <c r="AC662" s="6">
        <f>$M$662*$W$662</f>
        <v>2122.4001611999997</v>
      </c>
      <c r="AD662" s="6">
        <f>$O$662*$X$662</f>
        <v>1426.6020780000001</v>
      </c>
      <c r="AE662" s="6">
        <f>$K$662*$Y$662</f>
        <v>0</v>
      </c>
      <c r="AF662" s="6">
        <f ca="1">$M$662*$Z$662</f>
        <v>2296.1031793920001</v>
      </c>
      <c r="AG662" s="6">
        <f ca="1">$O$662*$AA$662</f>
        <v>1711.0292393039997</v>
      </c>
    </row>
    <row r="663" spans="1:33" ht="11.25" customHeight="1" x14ac:dyDescent="0.3">
      <c r="A663" s="4" t="s">
        <v>28</v>
      </c>
      <c r="B663" s="4" t="s">
        <v>43</v>
      </c>
      <c r="C663" s="4" t="s">
        <v>23</v>
      </c>
      <c r="D663" s="4" t="s">
        <v>44</v>
      </c>
      <c r="E663" s="4" t="s">
        <v>56</v>
      </c>
      <c r="F663" s="4" t="s">
        <v>55</v>
      </c>
      <c r="G663" s="4" t="s">
        <v>25</v>
      </c>
      <c r="H663" s="4" t="s">
        <v>25</v>
      </c>
      <c r="I663" s="5">
        <v>44531</v>
      </c>
      <c r="J663" s="6">
        <v>0</v>
      </c>
      <c r="K663" s="6">
        <v>0</v>
      </c>
      <c r="L663" s="6">
        <v>2.0499999999999998</v>
      </c>
      <c r="M663" s="6">
        <v>0.67649999999999999</v>
      </c>
      <c r="N663" s="6">
        <v>2.0499999999999998</v>
      </c>
      <c r="O663" s="6">
        <v>0.67649999999999999</v>
      </c>
      <c r="P663" s="6">
        <v>0</v>
      </c>
      <c r="Q663" s="4" t="s">
        <v>26</v>
      </c>
      <c r="R663" s="4">
        <v>0</v>
      </c>
      <c r="S663" s="6">
        <v>0</v>
      </c>
      <c r="T663" s="6">
        <v>43</v>
      </c>
      <c r="U663" s="6">
        <v>84</v>
      </c>
      <c r="V663" s="6">
        <f>IF(ISERROR(VLOOKUP($S$663,'TAR FIN'!$A$1:$O$103,15,0)),0,VLOOKUP($S$663,'TAR FIN'!$A$1:$O$103,15,0))</f>
        <v>0</v>
      </c>
      <c r="W663" s="6">
        <f>IF(ISERROR(VLOOKUP($T$663,'TAR FIN'!$A$1:$O$103,15,0)),0,VLOOKUP($T$663,'TAR FIN'!$A$1:$O$103,15,0))</f>
        <v>334.07</v>
      </c>
      <c r="X663" s="6">
        <f>IF(ISERROR(VLOOKUP($U$663,'TAR FIN'!$A$1:$O$103,15,0)),0,VLOOKUP($U$663,'TAR FIN'!$A$1:$O$103,15,0))</f>
        <v>224.55</v>
      </c>
      <c r="Y663" s="6"/>
      <c r="Z663" s="6">
        <f ca="1">('TUSD BE'!$AM$45+'TUSD BF_350'!$AM$45+'TUSD CVA'!$AM$45)*(1-CUSTOS!$M$38)</f>
        <v>361.41120000000001</v>
      </c>
      <c r="AA663" s="6">
        <f ca="1">('TE BE'!$AB$26+'TE BF_350'!$AB$26+'TE CVA'!$AB$26)*(1-CUSTOS!$M$38)</f>
        <v>269.31939999999997</v>
      </c>
      <c r="AB663" s="6">
        <f>$K$663*$V$663</f>
        <v>0</v>
      </c>
      <c r="AC663" s="6">
        <f>$M$663*$W$663</f>
        <v>225.998355</v>
      </c>
      <c r="AD663" s="6">
        <f>$O$663*$X$663</f>
        <v>151.908075</v>
      </c>
      <c r="AE663" s="6">
        <f>$K$663*$Y$663</f>
        <v>0</v>
      </c>
      <c r="AF663" s="6">
        <f ca="1">$M$663*$Z$663</f>
        <v>244.49467680000001</v>
      </c>
      <c r="AG663" s="6">
        <f ca="1">$O$663*$AA$663</f>
        <v>182.19457409999998</v>
      </c>
    </row>
    <row r="664" spans="1:33" ht="11.25" customHeight="1" x14ac:dyDescent="0.3">
      <c r="A664" s="4" t="s">
        <v>21</v>
      </c>
      <c r="B664" s="4" t="s">
        <v>43</v>
      </c>
      <c r="C664" s="4" t="s">
        <v>23</v>
      </c>
      <c r="D664" s="4" t="s">
        <v>44</v>
      </c>
      <c r="E664" s="4" t="s">
        <v>56</v>
      </c>
      <c r="F664" s="4" t="s">
        <v>55</v>
      </c>
      <c r="G664" s="4" t="s">
        <v>25</v>
      </c>
      <c r="H664" s="4" t="s">
        <v>25</v>
      </c>
      <c r="I664" s="5">
        <v>44562</v>
      </c>
      <c r="J664" s="6">
        <v>0</v>
      </c>
      <c r="K664" s="6">
        <v>0</v>
      </c>
      <c r="L664" s="6">
        <v>18.866</v>
      </c>
      <c r="M664" s="6">
        <v>6.2257800000000003</v>
      </c>
      <c r="N664" s="6">
        <v>18.866</v>
      </c>
      <c r="O664" s="6">
        <v>6.2257800000000003</v>
      </c>
      <c r="P664" s="6">
        <v>0</v>
      </c>
      <c r="Q664" s="4" t="s">
        <v>26</v>
      </c>
      <c r="R664" s="4">
        <v>0</v>
      </c>
      <c r="S664" s="6">
        <v>0</v>
      </c>
      <c r="T664" s="6">
        <v>43</v>
      </c>
      <c r="U664" s="6">
        <v>84</v>
      </c>
      <c r="V664" s="6">
        <f>IF(ISERROR(VLOOKUP($S$664,'TAR FIN'!$A$1:$O$103,15,0)),0,VLOOKUP($S$664,'TAR FIN'!$A$1:$O$103,15,0))</f>
        <v>0</v>
      </c>
      <c r="W664" s="6">
        <f>IF(ISERROR(VLOOKUP($T$664,'TAR FIN'!$A$1:$O$103,15,0)),0,VLOOKUP($T$664,'TAR FIN'!$A$1:$O$103,15,0))</f>
        <v>334.07</v>
      </c>
      <c r="X664" s="6">
        <f>IF(ISERROR(VLOOKUP($U$664,'TAR FIN'!$A$1:$O$103,15,0)),0,VLOOKUP($U$664,'TAR FIN'!$A$1:$O$103,15,0))</f>
        <v>224.55</v>
      </c>
      <c r="Y664" s="6"/>
      <c r="Z664" s="6">
        <f ca="1">('TUSD BE'!$AM$45+'TUSD BF_350'!$AM$45+'TUSD CVA'!$AM$45)*(1-CUSTOS!$M$38)</f>
        <v>361.41120000000001</v>
      </c>
      <c r="AA664" s="6">
        <f ca="1">('TE BE'!$AB$26+'TE BF_350'!$AB$26+'TE CVA'!$AB$26)*(1-CUSTOS!$M$38)</f>
        <v>269.31939999999997</v>
      </c>
      <c r="AB664" s="6">
        <f>$K$664*$V$664</f>
        <v>0</v>
      </c>
      <c r="AC664" s="6">
        <f>$M$664*$W$664</f>
        <v>2079.8463246000001</v>
      </c>
      <c r="AD664" s="6">
        <f>$O$664*$X$664</f>
        <v>1397.9988990000002</v>
      </c>
      <c r="AE664" s="6">
        <f>$K$664*$Y$664</f>
        <v>0</v>
      </c>
      <c r="AF664" s="6">
        <f ca="1">$M$664*$Z$664</f>
        <v>2250.066620736</v>
      </c>
      <c r="AG664" s="6">
        <f ca="1">$O$664*$AA$664</f>
        <v>1676.723334132</v>
      </c>
    </row>
    <row r="665" spans="1:33" ht="11.25" customHeight="1" x14ac:dyDescent="0.3">
      <c r="A665" s="4" t="s">
        <v>28</v>
      </c>
      <c r="B665" s="4" t="s">
        <v>43</v>
      </c>
      <c r="C665" s="4" t="s">
        <v>23</v>
      </c>
      <c r="D665" s="4" t="s">
        <v>44</v>
      </c>
      <c r="E665" s="4" t="s">
        <v>56</v>
      </c>
      <c r="F665" s="4" t="s">
        <v>55</v>
      </c>
      <c r="G665" s="4" t="s">
        <v>25</v>
      </c>
      <c r="H665" s="4" t="s">
        <v>25</v>
      </c>
      <c r="I665" s="5">
        <v>44562</v>
      </c>
      <c r="J665" s="6">
        <v>0</v>
      </c>
      <c r="K665" s="6">
        <v>0</v>
      </c>
      <c r="L665" s="6">
        <v>2.2549999999999999</v>
      </c>
      <c r="M665" s="6">
        <v>0.74414999999999998</v>
      </c>
      <c r="N665" s="6">
        <v>2.2549999999999999</v>
      </c>
      <c r="O665" s="6">
        <v>0.74414999999999998</v>
      </c>
      <c r="P665" s="6">
        <v>0</v>
      </c>
      <c r="Q665" s="4" t="s">
        <v>26</v>
      </c>
      <c r="R665" s="4">
        <v>0</v>
      </c>
      <c r="S665" s="6">
        <v>0</v>
      </c>
      <c r="T665" s="6">
        <v>43</v>
      </c>
      <c r="U665" s="6">
        <v>84</v>
      </c>
      <c r="V665" s="6">
        <f>IF(ISERROR(VLOOKUP($S$665,'TAR FIN'!$A$1:$O$103,15,0)),0,VLOOKUP($S$665,'TAR FIN'!$A$1:$O$103,15,0))</f>
        <v>0</v>
      </c>
      <c r="W665" s="6">
        <f>IF(ISERROR(VLOOKUP($T$665,'TAR FIN'!$A$1:$O$103,15,0)),0,VLOOKUP($T$665,'TAR FIN'!$A$1:$O$103,15,0))</f>
        <v>334.07</v>
      </c>
      <c r="X665" s="6">
        <f>IF(ISERROR(VLOOKUP($U$665,'TAR FIN'!$A$1:$O$103,15,0)),0,VLOOKUP($U$665,'TAR FIN'!$A$1:$O$103,15,0))</f>
        <v>224.55</v>
      </c>
      <c r="Y665" s="6"/>
      <c r="Z665" s="6">
        <f ca="1">('TUSD BE'!$AM$45+'TUSD BF_350'!$AM$45+'TUSD CVA'!$AM$45)*(1-CUSTOS!$M$38)</f>
        <v>361.41120000000001</v>
      </c>
      <c r="AA665" s="6">
        <f ca="1">('TE BE'!$AB$26+'TE BF_350'!$AB$26+'TE CVA'!$AB$26)*(1-CUSTOS!$M$38)</f>
        <v>269.31939999999997</v>
      </c>
      <c r="AB665" s="6">
        <f>$K$665*$V$665</f>
        <v>0</v>
      </c>
      <c r="AC665" s="6">
        <f>$M$665*$W$665</f>
        <v>248.59819049999999</v>
      </c>
      <c r="AD665" s="6">
        <f>$O$665*$X$665</f>
        <v>167.0988825</v>
      </c>
      <c r="AE665" s="6">
        <f>$K$665*$Y$665</f>
        <v>0</v>
      </c>
      <c r="AF665" s="6">
        <f ca="1">$M$665*$Z$665</f>
        <v>268.94414447999998</v>
      </c>
      <c r="AG665" s="6">
        <f ca="1">$O$665*$AA$665</f>
        <v>200.41403150999997</v>
      </c>
    </row>
    <row r="666" spans="1:33" ht="11.25" customHeight="1" x14ac:dyDescent="0.3">
      <c r="A666" s="4" t="s">
        <v>21</v>
      </c>
      <c r="B666" s="4" t="s">
        <v>43</v>
      </c>
      <c r="C666" s="4" t="s">
        <v>23</v>
      </c>
      <c r="D666" s="4" t="s">
        <v>44</v>
      </c>
      <c r="E666" s="4" t="s">
        <v>56</v>
      </c>
      <c r="F666" s="4" t="s">
        <v>55</v>
      </c>
      <c r="G666" s="4" t="s">
        <v>25</v>
      </c>
      <c r="H666" s="4" t="s">
        <v>25</v>
      </c>
      <c r="I666" s="5">
        <v>44593</v>
      </c>
      <c r="J666" s="6">
        <v>0</v>
      </c>
      <c r="K666" s="6">
        <v>0</v>
      </c>
      <c r="L666" s="6">
        <v>17.338000000000001</v>
      </c>
      <c r="M666" s="6">
        <v>5.7215400000000001</v>
      </c>
      <c r="N666" s="6">
        <v>17.338000000000001</v>
      </c>
      <c r="O666" s="6">
        <v>5.7215400000000001</v>
      </c>
      <c r="P666" s="6">
        <v>0</v>
      </c>
      <c r="Q666" s="4" t="s">
        <v>26</v>
      </c>
      <c r="R666" s="4">
        <v>0</v>
      </c>
      <c r="S666" s="6">
        <v>0</v>
      </c>
      <c r="T666" s="6">
        <v>43</v>
      </c>
      <c r="U666" s="6">
        <v>84</v>
      </c>
      <c r="V666" s="6">
        <f>IF(ISERROR(VLOOKUP($S$666,'TAR FIN'!$A$1:$O$103,15,0)),0,VLOOKUP($S$666,'TAR FIN'!$A$1:$O$103,15,0))</f>
        <v>0</v>
      </c>
      <c r="W666" s="6">
        <f>IF(ISERROR(VLOOKUP($T$666,'TAR FIN'!$A$1:$O$103,15,0)),0,VLOOKUP($T$666,'TAR FIN'!$A$1:$O$103,15,0))</f>
        <v>334.07</v>
      </c>
      <c r="X666" s="6">
        <f>IF(ISERROR(VLOOKUP($U$666,'TAR FIN'!$A$1:$O$103,15,0)),0,VLOOKUP($U$666,'TAR FIN'!$A$1:$O$103,15,0))</f>
        <v>224.55</v>
      </c>
      <c r="Y666" s="6"/>
      <c r="Z666" s="6">
        <f ca="1">('TUSD BE'!$AM$45+'TUSD BF_350'!$AM$45+'TUSD CVA'!$AM$45)*(1-CUSTOS!$M$38)</f>
        <v>361.41120000000001</v>
      </c>
      <c r="AA666" s="6">
        <f ca="1">('TE BE'!$AB$26+'TE BF_350'!$AB$26+'TE CVA'!$AB$26)*(1-CUSTOS!$M$38)</f>
        <v>269.31939999999997</v>
      </c>
      <c r="AB666" s="6">
        <f>$K$666*$V$666</f>
        <v>0</v>
      </c>
      <c r="AC666" s="6">
        <f>$M$666*$W$666</f>
        <v>1911.3948677999999</v>
      </c>
      <c r="AD666" s="6">
        <f>$O$666*$X$666</f>
        <v>1284.7718070000001</v>
      </c>
      <c r="AE666" s="6">
        <f>$K$666*$Y$666</f>
        <v>0</v>
      </c>
      <c r="AF666" s="6">
        <f ca="1">$M$666*$Z$666</f>
        <v>2067.8286372480002</v>
      </c>
      <c r="AG666" s="6">
        <f ca="1">$O$666*$AA$666</f>
        <v>1540.9217198759998</v>
      </c>
    </row>
    <row r="667" spans="1:33" ht="11.25" customHeight="1" x14ac:dyDescent="0.3">
      <c r="A667" s="4" t="s">
        <v>28</v>
      </c>
      <c r="B667" s="4" t="s">
        <v>43</v>
      </c>
      <c r="C667" s="4" t="s">
        <v>23</v>
      </c>
      <c r="D667" s="4" t="s">
        <v>44</v>
      </c>
      <c r="E667" s="4" t="s">
        <v>56</v>
      </c>
      <c r="F667" s="4" t="s">
        <v>55</v>
      </c>
      <c r="G667" s="4" t="s">
        <v>25</v>
      </c>
      <c r="H667" s="4" t="s">
        <v>25</v>
      </c>
      <c r="I667" s="5">
        <v>44593</v>
      </c>
      <c r="J667" s="6">
        <v>0</v>
      </c>
      <c r="K667" s="6">
        <v>0</v>
      </c>
      <c r="L667" s="6">
        <v>1.968</v>
      </c>
      <c r="M667" s="6">
        <v>0.64944000000000002</v>
      </c>
      <c r="N667" s="6">
        <v>1.968</v>
      </c>
      <c r="O667" s="6">
        <v>0.64944000000000002</v>
      </c>
      <c r="P667" s="6">
        <v>0</v>
      </c>
      <c r="Q667" s="4" t="s">
        <v>26</v>
      </c>
      <c r="R667" s="4">
        <v>0</v>
      </c>
      <c r="S667" s="6">
        <v>0</v>
      </c>
      <c r="T667" s="6">
        <v>43</v>
      </c>
      <c r="U667" s="6">
        <v>84</v>
      </c>
      <c r="V667" s="6">
        <f>IF(ISERROR(VLOOKUP($S$667,'TAR FIN'!$A$1:$O$103,15,0)),0,VLOOKUP($S$667,'TAR FIN'!$A$1:$O$103,15,0))</f>
        <v>0</v>
      </c>
      <c r="W667" s="6">
        <f>IF(ISERROR(VLOOKUP($T$667,'TAR FIN'!$A$1:$O$103,15,0)),0,VLOOKUP($T$667,'TAR FIN'!$A$1:$O$103,15,0))</f>
        <v>334.07</v>
      </c>
      <c r="X667" s="6">
        <f>IF(ISERROR(VLOOKUP($U$667,'TAR FIN'!$A$1:$O$103,15,0)),0,VLOOKUP($U$667,'TAR FIN'!$A$1:$O$103,15,0))</f>
        <v>224.55</v>
      </c>
      <c r="Y667" s="6"/>
      <c r="Z667" s="6">
        <f ca="1">('TUSD BE'!$AM$45+'TUSD BF_350'!$AM$45+'TUSD CVA'!$AM$45)*(1-CUSTOS!$M$38)</f>
        <v>361.41120000000001</v>
      </c>
      <c r="AA667" s="6">
        <f ca="1">('TE BE'!$AB$26+'TE BF_350'!$AB$26+'TE CVA'!$AB$26)*(1-CUSTOS!$M$38)</f>
        <v>269.31939999999997</v>
      </c>
      <c r="AB667" s="6">
        <f>$K$667*$V$667</f>
        <v>0</v>
      </c>
      <c r="AC667" s="6">
        <f>$M$667*$W$667</f>
        <v>216.9584208</v>
      </c>
      <c r="AD667" s="6">
        <f>$O$667*$X$667</f>
        <v>145.83175200000002</v>
      </c>
      <c r="AE667" s="6">
        <f>$K$667*$Y$667</f>
        <v>0</v>
      </c>
      <c r="AF667" s="6">
        <f ca="1">$M$667*$Z$667</f>
        <v>234.714889728</v>
      </c>
      <c r="AG667" s="6">
        <f ca="1">$O$667*$AA$667</f>
        <v>174.90679113599998</v>
      </c>
    </row>
    <row r="668" spans="1:33" ht="11.25" customHeight="1" x14ac:dyDescent="0.3">
      <c r="A668" s="4" t="s">
        <v>21</v>
      </c>
      <c r="B668" s="4" t="s">
        <v>43</v>
      </c>
      <c r="C668" s="4" t="s">
        <v>23</v>
      </c>
      <c r="D668" s="4" t="s">
        <v>44</v>
      </c>
      <c r="E668" s="4" t="s">
        <v>56</v>
      </c>
      <c r="F668" s="4" t="s">
        <v>55</v>
      </c>
      <c r="G668" s="4" t="s">
        <v>25</v>
      </c>
      <c r="H668" s="4" t="s">
        <v>25</v>
      </c>
      <c r="I668" s="5">
        <v>44621</v>
      </c>
      <c r="J668" s="6">
        <v>0</v>
      </c>
      <c r="K668" s="6">
        <v>0</v>
      </c>
      <c r="L668" s="6">
        <v>17.251999999999999</v>
      </c>
      <c r="M668" s="6">
        <v>5.6931599999999998</v>
      </c>
      <c r="N668" s="6">
        <v>17.251999999999999</v>
      </c>
      <c r="O668" s="6">
        <v>5.6931599999999998</v>
      </c>
      <c r="P668" s="6">
        <v>0</v>
      </c>
      <c r="Q668" s="4" t="s">
        <v>26</v>
      </c>
      <c r="R668" s="4">
        <v>0</v>
      </c>
      <c r="S668" s="6">
        <v>0</v>
      </c>
      <c r="T668" s="6">
        <v>43</v>
      </c>
      <c r="U668" s="6">
        <v>84</v>
      </c>
      <c r="V668" s="6">
        <f>IF(ISERROR(VLOOKUP($S$668,'TAR FIN'!$A$1:$O$103,15,0)),0,VLOOKUP($S$668,'TAR FIN'!$A$1:$O$103,15,0))</f>
        <v>0</v>
      </c>
      <c r="W668" s="6">
        <f>IF(ISERROR(VLOOKUP($T$668,'TAR FIN'!$A$1:$O$103,15,0)),0,VLOOKUP($T$668,'TAR FIN'!$A$1:$O$103,15,0))</f>
        <v>334.07</v>
      </c>
      <c r="X668" s="6">
        <f>IF(ISERROR(VLOOKUP($U$668,'TAR FIN'!$A$1:$O$103,15,0)),0,VLOOKUP($U$668,'TAR FIN'!$A$1:$O$103,15,0))</f>
        <v>224.55</v>
      </c>
      <c r="Y668" s="6"/>
      <c r="Z668" s="6">
        <f ca="1">('TUSD BE'!$AM$45+'TUSD BF_350'!$AM$45+'TUSD CVA'!$AM$45)*(1-CUSTOS!$M$38)</f>
        <v>361.41120000000001</v>
      </c>
      <c r="AA668" s="6">
        <f ca="1">('TE BE'!$AB$26+'TE BF_350'!$AB$26+'TE CVA'!$AB$26)*(1-CUSTOS!$M$38)</f>
        <v>269.31939999999997</v>
      </c>
      <c r="AB668" s="6">
        <f>$K$668*$V$668</f>
        <v>0</v>
      </c>
      <c r="AC668" s="6">
        <f>$M$668*$W$668</f>
        <v>1901.9139611999999</v>
      </c>
      <c r="AD668" s="6">
        <f>$O$668*$X$668</f>
        <v>1278.3990779999999</v>
      </c>
      <c r="AE668" s="6">
        <f>$K$668*$Y$668</f>
        <v>0</v>
      </c>
      <c r="AF668" s="6">
        <f ca="1">$M$668*$Z$668</f>
        <v>2057.5717873919998</v>
      </c>
      <c r="AG668" s="6">
        <f ca="1">$O$668*$AA$668</f>
        <v>1533.2784353039997</v>
      </c>
    </row>
    <row r="669" spans="1:33" ht="11.25" customHeight="1" x14ac:dyDescent="0.3">
      <c r="A669" s="4" t="s">
        <v>28</v>
      </c>
      <c r="B669" s="4" t="s">
        <v>43</v>
      </c>
      <c r="C669" s="4" t="s">
        <v>23</v>
      </c>
      <c r="D669" s="4" t="s">
        <v>44</v>
      </c>
      <c r="E669" s="4" t="s">
        <v>56</v>
      </c>
      <c r="F669" s="4" t="s">
        <v>55</v>
      </c>
      <c r="G669" s="4" t="s">
        <v>25</v>
      </c>
      <c r="H669" s="4" t="s">
        <v>25</v>
      </c>
      <c r="I669" s="5">
        <v>44621</v>
      </c>
      <c r="J669" s="6">
        <v>0</v>
      </c>
      <c r="K669" s="6">
        <v>0</v>
      </c>
      <c r="L669" s="6">
        <v>1.64</v>
      </c>
      <c r="M669" s="6">
        <v>0.54120000000000001</v>
      </c>
      <c r="N669" s="6">
        <v>1.64</v>
      </c>
      <c r="O669" s="6">
        <v>0.54120000000000001</v>
      </c>
      <c r="P669" s="6">
        <v>0</v>
      </c>
      <c r="Q669" s="4" t="s">
        <v>26</v>
      </c>
      <c r="R669" s="4">
        <v>0</v>
      </c>
      <c r="S669" s="6">
        <v>0</v>
      </c>
      <c r="T669" s="6">
        <v>43</v>
      </c>
      <c r="U669" s="6">
        <v>84</v>
      </c>
      <c r="V669" s="6">
        <f>IF(ISERROR(VLOOKUP($S$669,'TAR FIN'!$A$1:$O$103,15,0)),0,VLOOKUP($S$669,'TAR FIN'!$A$1:$O$103,15,0))</f>
        <v>0</v>
      </c>
      <c r="W669" s="6">
        <f>IF(ISERROR(VLOOKUP($T$669,'TAR FIN'!$A$1:$O$103,15,0)),0,VLOOKUP($T$669,'TAR FIN'!$A$1:$O$103,15,0))</f>
        <v>334.07</v>
      </c>
      <c r="X669" s="6">
        <f>IF(ISERROR(VLOOKUP($U$669,'TAR FIN'!$A$1:$O$103,15,0)),0,VLOOKUP($U$669,'TAR FIN'!$A$1:$O$103,15,0))</f>
        <v>224.55</v>
      </c>
      <c r="Y669" s="6"/>
      <c r="Z669" s="6">
        <f ca="1">('TUSD BE'!$AM$45+'TUSD BF_350'!$AM$45+'TUSD CVA'!$AM$45)*(1-CUSTOS!$M$38)</f>
        <v>361.41120000000001</v>
      </c>
      <c r="AA669" s="6">
        <f ca="1">('TE BE'!$AB$26+'TE BF_350'!$AB$26+'TE CVA'!$AB$26)*(1-CUSTOS!$M$38)</f>
        <v>269.31939999999997</v>
      </c>
      <c r="AB669" s="6">
        <f>$K$669*$V$669</f>
        <v>0</v>
      </c>
      <c r="AC669" s="6">
        <f>$M$669*$W$669</f>
        <v>180.79868400000001</v>
      </c>
      <c r="AD669" s="6">
        <f>$O$669*$X$669</f>
        <v>121.52646000000001</v>
      </c>
      <c r="AE669" s="6">
        <f>$K$669*$Y$669</f>
        <v>0</v>
      </c>
      <c r="AF669" s="6">
        <f ca="1">$M$669*$Z$669</f>
        <v>195.59574144000001</v>
      </c>
      <c r="AG669" s="6">
        <f ca="1">$O$669*$AA$669</f>
        <v>145.75565928</v>
      </c>
    </row>
    <row r="670" spans="1:33" ht="11.25" customHeight="1" x14ac:dyDescent="0.3">
      <c r="A670" s="4" t="s">
        <v>21</v>
      </c>
      <c r="B670" s="4" t="s">
        <v>43</v>
      </c>
      <c r="C670" s="4" t="s">
        <v>23</v>
      </c>
      <c r="D670" s="4" t="s">
        <v>44</v>
      </c>
      <c r="E670" s="4" t="s">
        <v>56</v>
      </c>
      <c r="F670" s="4" t="s">
        <v>55</v>
      </c>
      <c r="G670" s="4" t="s">
        <v>25</v>
      </c>
      <c r="H670" s="4" t="s">
        <v>25</v>
      </c>
      <c r="I670" s="5">
        <v>44652</v>
      </c>
      <c r="J670" s="6">
        <v>0</v>
      </c>
      <c r="K670" s="6">
        <v>0</v>
      </c>
      <c r="L670" s="6">
        <v>18.675999999999998</v>
      </c>
      <c r="M670" s="6">
        <v>6.1630799999999999</v>
      </c>
      <c r="N670" s="6">
        <v>18.675999999999998</v>
      </c>
      <c r="O670" s="6">
        <v>6.1630799999999999</v>
      </c>
      <c r="P670" s="6">
        <v>0</v>
      </c>
      <c r="Q670" s="4" t="s">
        <v>26</v>
      </c>
      <c r="R670" s="4">
        <v>0</v>
      </c>
      <c r="S670" s="6">
        <v>0</v>
      </c>
      <c r="T670" s="6">
        <v>43</v>
      </c>
      <c r="U670" s="6">
        <v>84</v>
      </c>
      <c r="V670" s="6">
        <f>IF(ISERROR(VLOOKUP($S$670,'TAR FIN'!$A$1:$O$103,15,0)),0,VLOOKUP($S$670,'TAR FIN'!$A$1:$O$103,15,0))</f>
        <v>0</v>
      </c>
      <c r="W670" s="6">
        <f>IF(ISERROR(VLOOKUP($T$670,'TAR FIN'!$A$1:$O$103,15,0)),0,VLOOKUP($T$670,'TAR FIN'!$A$1:$O$103,15,0))</f>
        <v>334.07</v>
      </c>
      <c r="X670" s="6">
        <f>IF(ISERROR(VLOOKUP($U$670,'TAR FIN'!$A$1:$O$103,15,0)),0,VLOOKUP($U$670,'TAR FIN'!$A$1:$O$103,15,0))</f>
        <v>224.55</v>
      </c>
      <c r="Y670" s="6"/>
      <c r="Z670" s="6">
        <f ca="1">('TUSD BE'!$AM$45+'TUSD BF_350'!$AM$45+'TUSD CVA'!$AM$45)*(1-CUSTOS!$M$38)</f>
        <v>361.41120000000001</v>
      </c>
      <c r="AA670" s="6">
        <f ca="1">('TE BE'!$AB$26+'TE BF_350'!$AB$26+'TE CVA'!$AB$26)*(1-CUSTOS!$M$38)</f>
        <v>269.31939999999997</v>
      </c>
      <c r="AB670" s="6">
        <f>$K$670*$V$670</f>
        <v>0</v>
      </c>
      <c r="AC670" s="6">
        <f>$M$670*$W$670</f>
        <v>2058.9001355999999</v>
      </c>
      <c r="AD670" s="6">
        <f>$O$670*$X$670</f>
        <v>1383.9196140000001</v>
      </c>
      <c r="AE670" s="6">
        <f>$K$670*$Y$670</f>
        <v>0</v>
      </c>
      <c r="AF670" s="6">
        <f ca="1">$M$670*$Z$670</f>
        <v>2227.406138496</v>
      </c>
      <c r="AG670" s="6">
        <f ca="1">$O$670*$AA$670</f>
        <v>1659.8370077519999</v>
      </c>
    </row>
    <row r="671" spans="1:33" ht="11.25" customHeight="1" x14ac:dyDescent="0.3">
      <c r="A671" s="4" t="s">
        <v>28</v>
      </c>
      <c r="B671" s="4" t="s">
        <v>43</v>
      </c>
      <c r="C671" s="4" t="s">
        <v>23</v>
      </c>
      <c r="D671" s="4" t="s">
        <v>44</v>
      </c>
      <c r="E671" s="4" t="s">
        <v>56</v>
      </c>
      <c r="F671" s="4" t="s">
        <v>55</v>
      </c>
      <c r="G671" s="4" t="s">
        <v>25</v>
      </c>
      <c r="H671" s="4" t="s">
        <v>25</v>
      </c>
      <c r="I671" s="5">
        <v>44652</v>
      </c>
      <c r="J671" s="6">
        <v>0</v>
      </c>
      <c r="K671" s="6">
        <v>0</v>
      </c>
      <c r="L671" s="6">
        <v>2.0499999999999998</v>
      </c>
      <c r="M671" s="6">
        <v>0.67649999999999999</v>
      </c>
      <c r="N671" s="6">
        <v>2.0499999999999998</v>
      </c>
      <c r="O671" s="6">
        <v>0.67649999999999999</v>
      </c>
      <c r="P671" s="6">
        <v>0</v>
      </c>
      <c r="Q671" s="4" t="s">
        <v>26</v>
      </c>
      <c r="R671" s="4">
        <v>0</v>
      </c>
      <c r="S671" s="6">
        <v>0</v>
      </c>
      <c r="T671" s="6">
        <v>43</v>
      </c>
      <c r="U671" s="6">
        <v>84</v>
      </c>
      <c r="V671" s="6">
        <f>IF(ISERROR(VLOOKUP($S$671,'TAR FIN'!$A$1:$O$103,15,0)),0,VLOOKUP($S$671,'TAR FIN'!$A$1:$O$103,15,0))</f>
        <v>0</v>
      </c>
      <c r="W671" s="6">
        <f>IF(ISERROR(VLOOKUP($T$671,'TAR FIN'!$A$1:$O$103,15,0)),0,VLOOKUP($T$671,'TAR FIN'!$A$1:$O$103,15,0))</f>
        <v>334.07</v>
      </c>
      <c r="X671" s="6">
        <f>IF(ISERROR(VLOOKUP($U$671,'TAR FIN'!$A$1:$O$103,15,0)),0,VLOOKUP($U$671,'TAR FIN'!$A$1:$O$103,15,0))</f>
        <v>224.55</v>
      </c>
      <c r="Y671" s="6"/>
      <c r="Z671" s="6">
        <f ca="1">('TUSD BE'!$AM$45+'TUSD BF_350'!$AM$45+'TUSD CVA'!$AM$45)*(1-CUSTOS!$M$38)</f>
        <v>361.41120000000001</v>
      </c>
      <c r="AA671" s="6">
        <f ca="1">('TE BE'!$AB$26+'TE BF_350'!$AB$26+'TE CVA'!$AB$26)*(1-CUSTOS!$M$38)</f>
        <v>269.31939999999997</v>
      </c>
      <c r="AB671" s="6">
        <f>$K$671*$V$671</f>
        <v>0</v>
      </c>
      <c r="AC671" s="6">
        <f>$M$671*$W$671</f>
        <v>225.998355</v>
      </c>
      <c r="AD671" s="6">
        <f>$O$671*$X$671</f>
        <v>151.908075</v>
      </c>
      <c r="AE671" s="6">
        <f>$K$671*$Y$671</f>
        <v>0</v>
      </c>
      <c r="AF671" s="6">
        <f ca="1">$M$671*$Z$671</f>
        <v>244.49467680000001</v>
      </c>
      <c r="AG671" s="6">
        <f ca="1">$O$671*$AA$671</f>
        <v>182.19457409999998</v>
      </c>
    </row>
    <row r="672" spans="1:33" ht="11.25" customHeight="1" x14ac:dyDescent="0.3">
      <c r="A672" s="4" t="s">
        <v>21</v>
      </c>
      <c r="B672" s="4" t="s">
        <v>43</v>
      </c>
      <c r="C672" s="4" t="s">
        <v>23</v>
      </c>
      <c r="D672" s="4" t="s">
        <v>44</v>
      </c>
      <c r="E672" s="4" t="s">
        <v>56</v>
      </c>
      <c r="F672" s="4" t="s">
        <v>55</v>
      </c>
      <c r="G672" s="4" t="s">
        <v>25</v>
      </c>
      <c r="H672" s="4" t="s">
        <v>25</v>
      </c>
      <c r="I672" s="5">
        <v>44682</v>
      </c>
      <c r="J672" s="6">
        <v>0</v>
      </c>
      <c r="K672" s="6">
        <v>0</v>
      </c>
      <c r="L672" s="6">
        <v>17.824999999999999</v>
      </c>
      <c r="M672" s="6">
        <v>5.88225</v>
      </c>
      <c r="N672" s="6">
        <v>17.824999999999999</v>
      </c>
      <c r="O672" s="6">
        <v>5.88225</v>
      </c>
      <c r="P672" s="6">
        <v>0</v>
      </c>
      <c r="Q672" s="4" t="s">
        <v>26</v>
      </c>
      <c r="R672" s="4">
        <v>0</v>
      </c>
      <c r="S672" s="6">
        <v>0</v>
      </c>
      <c r="T672" s="6">
        <v>43</v>
      </c>
      <c r="U672" s="6">
        <v>84</v>
      </c>
      <c r="V672" s="6">
        <f>IF(ISERROR(VLOOKUP($S$672,'TAR FIN'!$A$1:$O$103,15,0)),0,VLOOKUP($S$672,'TAR FIN'!$A$1:$O$103,15,0))</f>
        <v>0</v>
      </c>
      <c r="W672" s="6">
        <f>IF(ISERROR(VLOOKUP($T$672,'TAR FIN'!$A$1:$O$103,15,0)),0,VLOOKUP($T$672,'TAR FIN'!$A$1:$O$103,15,0))</f>
        <v>334.07</v>
      </c>
      <c r="X672" s="6">
        <f>IF(ISERROR(VLOOKUP($U$672,'TAR FIN'!$A$1:$O$103,15,0)),0,VLOOKUP($U$672,'TAR FIN'!$A$1:$O$103,15,0))</f>
        <v>224.55</v>
      </c>
      <c r="Y672" s="6"/>
      <c r="Z672" s="6">
        <f ca="1">('TUSD BE'!$AM$45+'TUSD BF_350'!$AM$45+'TUSD CVA'!$AM$45)*(1-CUSTOS!$M$38)</f>
        <v>361.41120000000001</v>
      </c>
      <c r="AA672" s="6">
        <f ca="1">('TE BE'!$AB$26+'TE BF_350'!$AB$26+'TE CVA'!$AB$26)*(1-CUSTOS!$M$38)</f>
        <v>269.31939999999997</v>
      </c>
      <c r="AB672" s="6">
        <f>$K$672*$V$672</f>
        <v>0</v>
      </c>
      <c r="AC672" s="6">
        <f>$M$672*$W$672</f>
        <v>1965.0832574999999</v>
      </c>
      <c r="AD672" s="6">
        <f>$O$672*$X$672</f>
        <v>1320.8592375000001</v>
      </c>
      <c r="AE672" s="6">
        <f>$K$672*$Y$672</f>
        <v>0</v>
      </c>
      <c r="AF672" s="6">
        <f ca="1">$M$672*$Z$672</f>
        <v>2125.9110312000003</v>
      </c>
      <c r="AG672" s="6">
        <f ca="1">$O$672*$AA$672</f>
        <v>1584.2040406499998</v>
      </c>
    </row>
    <row r="673" spans="1:33" ht="11.25" customHeight="1" x14ac:dyDescent="0.3">
      <c r="A673" s="4" t="s">
        <v>28</v>
      </c>
      <c r="B673" s="4" t="s">
        <v>43</v>
      </c>
      <c r="C673" s="4" t="s">
        <v>23</v>
      </c>
      <c r="D673" s="4" t="s">
        <v>44</v>
      </c>
      <c r="E673" s="4" t="s">
        <v>56</v>
      </c>
      <c r="F673" s="4" t="s">
        <v>55</v>
      </c>
      <c r="G673" s="4" t="s">
        <v>25</v>
      </c>
      <c r="H673" s="4" t="s">
        <v>25</v>
      </c>
      <c r="I673" s="5">
        <v>44682</v>
      </c>
      <c r="J673" s="6">
        <v>0</v>
      </c>
      <c r="K673" s="6">
        <v>0</v>
      </c>
      <c r="L673" s="6">
        <v>2.7469999999999999</v>
      </c>
      <c r="M673" s="6">
        <v>0.90651000000000004</v>
      </c>
      <c r="N673" s="6">
        <v>2.7469999999999999</v>
      </c>
      <c r="O673" s="6">
        <v>0.90651000000000004</v>
      </c>
      <c r="P673" s="6">
        <v>0</v>
      </c>
      <c r="Q673" s="4" t="s">
        <v>26</v>
      </c>
      <c r="R673" s="4">
        <v>0</v>
      </c>
      <c r="S673" s="6">
        <v>0</v>
      </c>
      <c r="T673" s="6">
        <v>43</v>
      </c>
      <c r="U673" s="6">
        <v>84</v>
      </c>
      <c r="V673" s="6">
        <f>IF(ISERROR(VLOOKUP($S$673,'TAR FIN'!$A$1:$O$103,15,0)),0,VLOOKUP($S$673,'TAR FIN'!$A$1:$O$103,15,0))</f>
        <v>0</v>
      </c>
      <c r="W673" s="6">
        <f>IF(ISERROR(VLOOKUP($T$673,'TAR FIN'!$A$1:$O$103,15,0)),0,VLOOKUP($T$673,'TAR FIN'!$A$1:$O$103,15,0))</f>
        <v>334.07</v>
      </c>
      <c r="X673" s="6">
        <f>IF(ISERROR(VLOOKUP($U$673,'TAR FIN'!$A$1:$O$103,15,0)),0,VLOOKUP($U$673,'TAR FIN'!$A$1:$O$103,15,0))</f>
        <v>224.55</v>
      </c>
      <c r="Y673" s="6"/>
      <c r="Z673" s="6">
        <f ca="1">('TUSD BE'!$AM$45+'TUSD BF_350'!$AM$45+'TUSD CVA'!$AM$45)*(1-CUSTOS!$M$38)</f>
        <v>361.41120000000001</v>
      </c>
      <c r="AA673" s="6">
        <f ca="1">('TE BE'!$AB$26+'TE BF_350'!$AB$26+'TE CVA'!$AB$26)*(1-CUSTOS!$M$38)</f>
        <v>269.31939999999997</v>
      </c>
      <c r="AB673" s="6">
        <f>$K$673*$V$673</f>
        <v>0</v>
      </c>
      <c r="AC673" s="6">
        <f>$M$673*$W$673</f>
        <v>302.83779570000002</v>
      </c>
      <c r="AD673" s="6">
        <f>$O$673*$X$673</f>
        <v>203.55682050000001</v>
      </c>
      <c r="AE673" s="6">
        <f>$K$673*$Y$673</f>
        <v>0</v>
      </c>
      <c r="AF673" s="6">
        <f ca="1">$M$673*$Z$673</f>
        <v>327.62286691200001</v>
      </c>
      <c r="AG673" s="6">
        <f ca="1">$O$673*$AA$673</f>
        <v>244.14072929399998</v>
      </c>
    </row>
    <row r="674" spans="1:33" ht="11.25" customHeight="1" x14ac:dyDescent="0.3">
      <c r="A674" s="4" t="s">
        <v>21</v>
      </c>
      <c r="B674" s="4" t="s">
        <v>43</v>
      </c>
      <c r="C674" s="4" t="s">
        <v>23</v>
      </c>
      <c r="D674" s="4" t="s">
        <v>44</v>
      </c>
      <c r="E674" s="4" t="s">
        <v>56</v>
      </c>
      <c r="F674" s="4" t="s">
        <v>55</v>
      </c>
      <c r="G674" s="4" t="s">
        <v>25</v>
      </c>
      <c r="H674" s="4" t="s">
        <v>25</v>
      </c>
      <c r="I674" s="5">
        <v>44713</v>
      </c>
      <c r="J674" s="6">
        <v>0</v>
      </c>
      <c r="K674" s="6">
        <v>0</v>
      </c>
      <c r="L674" s="6">
        <v>16.347999999999999</v>
      </c>
      <c r="M674" s="6">
        <v>5.3948400000000003</v>
      </c>
      <c r="N674" s="6">
        <v>16.347999999999999</v>
      </c>
      <c r="O674" s="6">
        <v>5.3948400000000003</v>
      </c>
      <c r="P674" s="6">
        <v>0</v>
      </c>
      <c r="Q674" s="4" t="s">
        <v>26</v>
      </c>
      <c r="R674" s="4">
        <v>0</v>
      </c>
      <c r="S674" s="6">
        <v>0</v>
      </c>
      <c r="T674" s="6">
        <v>43</v>
      </c>
      <c r="U674" s="6">
        <v>84</v>
      </c>
      <c r="V674" s="6">
        <f>IF(ISERROR(VLOOKUP($S$674,'TAR FIN'!$A$1:$O$103,15,0)),0,VLOOKUP($S$674,'TAR FIN'!$A$1:$O$103,15,0))</f>
        <v>0</v>
      </c>
      <c r="W674" s="6">
        <f>IF(ISERROR(VLOOKUP($T$674,'TAR FIN'!$A$1:$O$103,15,0)),0,VLOOKUP($T$674,'TAR FIN'!$A$1:$O$103,15,0))</f>
        <v>334.07</v>
      </c>
      <c r="X674" s="6">
        <f>IF(ISERROR(VLOOKUP($U$674,'TAR FIN'!$A$1:$O$103,15,0)),0,VLOOKUP($U$674,'TAR FIN'!$A$1:$O$103,15,0))</f>
        <v>224.55</v>
      </c>
      <c r="Y674" s="6"/>
      <c r="Z674" s="6">
        <f ca="1">('TUSD BE'!$AM$45+'TUSD BF_350'!$AM$45+'TUSD CVA'!$AM$45)*(1-CUSTOS!$M$38)</f>
        <v>361.41120000000001</v>
      </c>
      <c r="AA674" s="6">
        <f ca="1">('TE BE'!$AB$26+'TE BF_350'!$AB$26+'TE CVA'!$AB$26)*(1-CUSTOS!$M$38)</f>
        <v>269.31939999999997</v>
      </c>
      <c r="AB674" s="6">
        <f>$K$674*$V$674</f>
        <v>0</v>
      </c>
      <c r="AC674" s="6">
        <f>$M$674*$W$674</f>
        <v>1802.2541988</v>
      </c>
      <c r="AD674" s="6">
        <f>$O$674*$X$674</f>
        <v>1211.4113220000002</v>
      </c>
      <c r="AE674" s="6">
        <f>$K$674*$Y$674</f>
        <v>0</v>
      </c>
      <c r="AF674" s="6">
        <f ca="1">$M$674*$Z$674</f>
        <v>1949.7555982080003</v>
      </c>
      <c r="AG674" s="6">
        <f ca="1">$O$674*$AA$674</f>
        <v>1452.935071896</v>
      </c>
    </row>
    <row r="675" spans="1:33" ht="11.25" customHeight="1" x14ac:dyDescent="0.3">
      <c r="A675" s="4" t="s">
        <v>28</v>
      </c>
      <c r="B675" s="4" t="s">
        <v>43</v>
      </c>
      <c r="C675" s="4" t="s">
        <v>23</v>
      </c>
      <c r="D675" s="4" t="s">
        <v>44</v>
      </c>
      <c r="E675" s="4" t="s">
        <v>56</v>
      </c>
      <c r="F675" s="4" t="s">
        <v>55</v>
      </c>
      <c r="G675" s="4" t="s">
        <v>25</v>
      </c>
      <c r="H675" s="4" t="s">
        <v>25</v>
      </c>
      <c r="I675" s="5">
        <v>44713</v>
      </c>
      <c r="J675" s="6">
        <v>0</v>
      </c>
      <c r="K675" s="6">
        <v>0</v>
      </c>
      <c r="L675" s="6">
        <v>2.0910000000000002</v>
      </c>
      <c r="M675" s="6">
        <v>0.69003000000000003</v>
      </c>
      <c r="N675" s="6">
        <v>2.0910000000000002</v>
      </c>
      <c r="O675" s="6">
        <v>0.69003000000000003</v>
      </c>
      <c r="P675" s="6">
        <v>0</v>
      </c>
      <c r="Q675" s="4" t="s">
        <v>26</v>
      </c>
      <c r="R675" s="4">
        <v>0</v>
      </c>
      <c r="S675" s="6">
        <v>0</v>
      </c>
      <c r="T675" s="6">
        <v>43</v>
      </c>
      <c r="U675" s="6">
        <v>84</v>
      </c>
      <c r="V675" s="6">
        <f>IF(ISERROR(VLOOKUP($S$675,'TAR FIN'!$A$1:$O$103,15,0)),0,VLOOKUP($S$675,'TAR FIN'!$A$1:$O$103,15,0))</f>
        <v>0</v>
      </c>
      <c r="W675" s="6">
        <f>IF(ISERROR(VLOOKUP($T$675,'TAR FIN'!$A$1:$O$103,15,0)),0,VLOOKUP($T$675,'TAR FIN'!$A$1:$O$103,15,0))</f>
        <v>334.07</v>
      </c>
      <c r="X675" s="6">
        <f>IF(ISERROR(VLOOKUP($U$675,'TAR FIN'!$A$1:$O$103,15,0)),0,VLOOKUP($U$675,'TAR FIN'!$A$1:$O$103,15,0))</f>
        <v>224.55</v>
      </c>
      <c r="Y675" s="6"/>
      <c r="Z675" s="6">
        <f ca="1">('TUSD BE'!$AM$45+'TUSD BF_350'!$AM$45+'TUSD CVA'!$AM$45)*(1-CUSTOS!$M$38)</f>
        <v>361.41120000000001</v>
      </c>
      <c r="AA675" s="6">
        <f ca="1">('TE BE'!$AB$26+'TE BF_350'!$AB$26+'TE CVA'!$AB$26)*(1-CUSTOS!$M$38)</f>
        <v>269.31939999999997</v>
      </c>
      <c r="AB675" s="6">
        <f>$K$675*$V$675</f>
        <v>0</v>
      </c>
      <c r="AC675" s="6">
        <f>$M$675*$W$675</f>
        <v>230.51832210000001</v>
      </c>
      <c r="AD675" s="6">
        <f>$O$675*$X$675</f>
        <v>154.94623650000003</v>
      </c>
      <c r="AE675" s="6">
        <f>$K$675*$Y$675</f>
        <v>0</v>
      </c>
      <c r="AF675" s="6">
        <f ca="1">$M$675*$Z$675</f>
        <v>249.38457033600002</v>
      </c>
      <c r="AG675" s="6">
        <f ca="1">$O$675*$AA$675</f>
        <v>185.838465582</v>
      </c>
    </row>
    <row r="676" spans="1:33" ht="11.25" customHeight="1" x14ac:dyDescent="0.3">
      <c r="A676" s="4" t="s">
        <v>21</v>
      </c>
      <c r="B676" s="4" t="s">
        <v>43</v>
      </c>
      <c r="C676" s="4" t="s">
        <v>23</v>
      </c>
      <c r="D676" s="4" t="s">
        <v>44</v>
      </c>
      <c r="E676" s="4" t="s">
        <v>56</v>
      </c>
      <c r="F676" s="4" t="s">
        <v>55</v>
      </c>
      <c r="G676" s="4" t="s">
        <v>25</v>
      </c>
      <c r="H676" s="4" t="s">
        <v>25</v>
      </c>
      <c r="I676" s="5">
        <v>44743</v>
      </c>
      <c r="J676" s="6">
        <v>0</v>
      </c>
      <c r="K676" s="6">
        <v>0</v>
      </c>
      <c r="L676" s="6">
        <v>17.5</v>
      </c>
      <c r="M676" s="6">
        <v>5.7750000000000004</v>
      </c>
      <c r="N676" s="6">
        <v>17.5</v>
      </c>
      <c r="O676" s="6">
        <v>5.7750000000000004</v>
      </c>
      <c r="P676" s="6">
        <v>0</v>
      </c>
      <c r="Q676" s="4" t="s">
        <v>26</v>
      </c>
      <c r="R676" s="4">
        <v>0</v>
      </c>
      <c r="S676" s="6">
        <v>0</v>
      </c>
      <c r="T676" s="6">
        <v>43</v>
      </c>
      <c r="U676" s="6">
        <v>84</v>
      </c>
      <c r="V676" s="6">
        <f>IF(ISERROR(VLOOKUP($S$676,'TAR FIN'!$A$1:$O$103,15,0)),0,VLOOKUP($S$676,'TAR FIN'!$A$1:$O$103,15,0))</f>
        <v>0</v>
      </c>
      <c r="W676" s="6">
        <f>IF(ISERROR(VLOOKUP($T$676,'TAR FIN'!$A$1:$O$103,15,0)),0,VLOOKUP($T$676,'TAR FIN'!$A$1:$O$103,15,0))</f>
        <v>334.07</v>
      </c>
      <c r="X676" s="6">
        <f>IF(ISERROR(VLOOKUP($U$676,'TAR FIN'!$A$1:$O$103,15,0)),0,VLOOKUP($U$676,'TAR FIN'!$A$1:$O$103,15,0))</f>
        <v>224.55</v>
      </c>
      <c r="Y676" s="6"/>
      <c r="Z676" s="6">
        <f ca="1">('TUSD BE'!$AM$45+'TUSD BF_350'!$AM$45+'TUSD CVA'!$AM$45)*(1-CUSTOS!$M$38)</f>
        <v>361.41120000000001</v>
      </c>
      <c r="AA676" s="6">
        <f ca="1">('TE BE'!$AB$26+'TE BF_350'!$AB$26+'TE CVA'!$AB$26)*(1-CUSTOS!$M$38)</f>
        <v>269.31939999999997</v>
      </c>
      <c r="AB676" s="6">
        <f>$K$676*$V$676</f>
        <v>0</v>
      </c>
      <c r="AC676" s="6">
        <f>$M$676*$W$676</f>
        <v>1929.2542500000002</v>
      </c>
      <c r="AD676" s="6">
        <f>$O$676*$X$676</f>
        <v>1296.7762500000001</v>
      </c>
      <c r="AE676" s="6">
        <f>$K$676*$Y$676</f>
        <v>0</v>
      </c>
      <c r="AF676" s="6">
        <f ca="1">$M$676*$Z$676</f>
        <v>2087.14968</v>
      </c>
      <c r="AG676" s="6">
        <f ca="1">$O$676*$AA$676</f>
        <v>1555.3195349999999</v>
      </c>
    </row>
    <row r="677" spans="1:33" ht="11.25" customHeight="1" x14ac:dyDescent="0.3">
      <c r="A677" s="4" t="s">
        <v>28</v>
      </c>
      <c r="B677" s="4" t="s">
        <v>43</v>
      </c>
      <c r="C677" s="4" t="s">
        <v>23</v>
      </c>
      <c r="D677" s="4" t="s">
        <v>44</v>
      </c>
      <c r="E677" s="4" t="s">
        <v>56</v>
      </c>
      <c r="F677" s="4" t="s">
        <v>55</v>
      </c>
      <c r="G677" s="4" t="s">
        <v>25</v>
      </c>
      <c r="H677" s="4" t="s">
        <v>25</v>
      </c>
      <c r="I677" s="5">
        <v>44743</v>
      </c>
      <c r="J677" s="6">
        <v>0</v>
      </c>
      <c r="K677" s="6">
        <v>0</v>
      </c>
      <c r="L677" s="6">
        <v>0.877</v>
      </c>
      <c r="M677" s="6">
        <v>0.28941</v>
      </c>
      <c r="N677" s="6">
        <v>0.877</v>
      </c>
      <c r="O677" s="6">
        <v>0.28941</v>
      </c>
      <c r="P677" s="6">
        <v>0</v>
      </c>
      <c r="Q677" s="4" t="s">
        <v>26</v>
      </c>
      <c r="R677" s="4">
        <v>0</v>
      </c>
      <c r="S677" s="6">
        <v>0</v>
      </c>
      <c r="T677" s="6">
        <v>43</v>
      </c>
      <c r="U677" s="6">
        <v>84</v>
      </c>
      <c r="V677" s="6">
        <f>IF(ISERROR(VLOOKUP($S$677,'TAR FIN'!$A$1:$O$103,15,0)),0,VLOOKUP($S$677,'TAR FIN'!$A$1:$O$103,15,0))</f>
        <v>0</v>
      </c>
      <c r="W677" s="6">
        <f>IF(ISERROR(VLOOKUP($T$677,'TAR FIN'!$A$1:$O$103,15,0)),0,VLOOKUP($T$677,'TAR FIN'!$A$1:$O$103,15,0))</f>
        <v>334.07</v>
      </c>
      <c r="X677" s="6">
        <f>IF(ISERROR(VLOOKUP($U$677,'TAR FIN'!$A$1:$O$103,15,0)),0,VLOOKUP($U$677,'TAR FIN'!$A$1:$O$103,15,0))</f>
        <v>224.55</v>
      </c>
      <c r="Y677" s="6"/>
      <c r="Z677" s="6">
        <f ca="1">('TUSD BE'!$AM$45+'TUSD BF_350'!$AM$45+'TUSD CVA'!$AM$45)*(1-CUSTOS!$M$38)</f>
        <v>361.41120000000001</v>
      </c>
      <c r="AA677" s="6">
        <f ca="1">('TE BE'!$AB$26+'TE BF_350'!$AB$26+'TE CVA'!$AB$26)*(1-CUSTOS!$M$38)</f>
        <v>269.31939999999997</v>
      </c>
      <c r="AB677" s="6">
        <f>$K$677*$V$677</f>
        <v>0</v>
      </c>
      <c r="AC677" s="6">
        <f>$M$677*$W$677</f>
        <v>96.683198699999991</v>
      </c>
      <c r="AD677" s="6">
        <f>$O$677*$X$677</f>
        <v>64.987015499999998</v>
      </c>
      <c r="AE677" s="6">
        <f>$K$677*$Y$677</f>
        <v>0</v>
      </c>
      <c r="AF677" s="6">
        <f ca="1">$M$677*$Z$677</f>
        <v>104.596015392</v>
      </c>
      <c r="AG677" s="6">
        <f ca="1">$O$677*$AA$677</f>
        <v>77.943727553999992</v>
      </c>
    </row>
    <row r="678" spans="1:33" ht="11.25" customHeight="1" x14ac:dyDescent="0.3">
      <c r="A678" s="4" t="s">
        <v>21</v>
      </c>
      <c r="B678" s="4" t="s">
        <v>43</v>
      </c>
      <c r="C678" s="4" t="s">
        <v>23</v>
      </c>
      <c r="D678" s="4" t="s">
        <v>44</v>
      </c>
      <c r="E678" s="4" t="s">
        <v>56</v>
      </c>
      <c r="F678" s="4" t="s">
        <v>55</v>
      </c>
      <c r="G678" s="4" t="s">
        <v>25</v>
      </c>
      <c r="H678" s="4" t="s">
        <v>25</v>
      </c>
      <c r="I678" s="5">
        <v>44774</v>
      </c>
      <c r="J678" s="6">
        <v>0</v>
      </c>
      <c r="K678" s="6">
        <v>0</v>
      </c>
      <c r="L678" s="6">
        <v>12.945</v>
      </c>
      <c r="M678" s="6">
        <v>4.2718499999999997</v>
      </c>
      <c r="N678" s="6">
        <v>12.945</v>
      </c>
      <c r="O678" s="6">
        <v>4.2718499999999997</v>
      </c>
      <c r="P678" s="6">
        <v>0</v>
      </c>
      <c r="Q678" s="4" t="s">
        <v>26</v>
      </c>
      <c r="R678" s="4">
        <v>0</v>
      </c>
      <c r="S678" s="6">
        <v>0</v>
      </c>
      <c r="T678" s="6">
        <v>43</v>
      </c>
      <c r="U678" s="6">
        <v>84</v>
      </c>
      <c r="V678" s="6">
        <f>IF(ISERROR(VLOOKUP($S$678,'TAR FIN'!$A$1:$O$103,15,0)),0,VLOOKUP($S$678,'TAR FIN'!$A$1:$O$103,15,0))</f>
        <v>0</v>
      </c>
      <c r="W678" s="6">
        <f>IF(ISERROR(VLOOKUP($T$678,'TAR FIN'!$A$1:$O$103,15,0)),0,VLOOKUP($T$678,'TAR FIN'!$A$1:$O$103,15,0))</f>
        <v>334.07</v>
      </c>
      <c r="X678" s="6">
        <f>IF(ISERROR(VLOOKUP($U$678,'TAR FIN'!$A$1:$O$103,15,0)),0,VLOOKUP($U$678,'TAR FIN'!$A$1:$O$103,15,0))</f>
        <v>224.55</v>
      </c>
      <c r="Y678" s="6"/>
      <c r="Z678" s="6">
        <f ca="1">('TUSD BE'!$AM$45+'TUSD BF_350'!$AM$45+'TUSD CVA'!$AM$45)*(1-CUSTOS!$M$38)</f>
        <v>361.41120000000001</v>
      </c>
      <c r="AA678" s="6">
        <f ca="1">('TE BE'!$AB$26+'TE BF_350'!$AB$26+'TE CVA'!$AB$26)*(1-CUSTOS!$M$38)</f>
        <v>269.31939999999997</v>
      </c>
      <c r="AB678" s="6">
        <f>$K$678*$V$678</f>
        <v>0</v>
      </c>
      <c r="AC678" s="6">
        <f>$M$678*$W$678</f>
        <v>1427.0969294999998</v>
      </c>
      <c r="AD678" s="6">
        <f>$O$678*$X$678</f>
        <v>959.24391749999995</v>
      </c>
      <c r="AE678" s="6">
        <f>$K$678*$Y$678</f>
        <v>0</v>
      </c>
      <c r="AF678" s="6">
        <f ca="1">$M$678*$Z$678</f>
        <v>1543.8944347199999</v>
      </c>
      <c r="AG678" s="6">
        <f ca="1">$O$678*$AA$678</f>
        <v>1150.4920788899999</v>
      </c>
    </row>
    <row r="679" spans="1:33" ht="11.25" customHeight="1" x14ac:dyDescent="0.3">
      <c r="A679" s="4" t="s">
        <v>28</v>
      </c>
      <c r="B679" s="4" t="s">
        <v>43</v>
      </c>
      <c r="C679" s="4" t="s">
        <v>23</v>
      </c>
      <c r="D679" s="4" t="s">
        <v>44</v>
      </c>
      <c r="E679" s="4" t="s">
        <v>56</v>
      </c>
      <c r="F679" s="4" t="s">
        <v>55</v>
      </c>
      <c r="G679" s="4" t="s">
        <v>25</v>
      </c>
      <c r="H679" s="4" t="s">
        <v>25</v>
      </c>
      <c r="I679" s="5">
        <v>44774</v>
      </c>
      <c r="J679" s="6">
        <v>0</v>
      </c>
      <c r="K679" s="6">
        <v>0</v>
      </c>
      <c r="L679" s="6">
        <v>1.337</v>
      </c>
      <c r="M679" s="6">
        <v>0.44120999999999999</v>
      </c>
      <c r="N679" s="6">
        <v>1.337</v>
      </c>
      <c r="O679" s="6">
        <v>0.44120999999999999</v>
      </c>
      <c r="P679" s="6">
        <v>0</v>
      </c>
      <c r="Q679" s="4" t="s">
        <v>26</v>
      </c>
      <c r="R679" s="4">
        <v>0</v>
      </c>
      <c r="S679" s="6">
        <v>0</v>
      </c>
      <c r="T679" s="6">
        <v>43</v>
      </c>
      <c r="U679" s="6">
        <v>84</v>
      </c>
      <c r="V679" s="6">
        <f>IF(ISERROR(VLOOKUP($S$679,'TAR FIN'!$A$1:$O$103,15,0)),0,VLOOKUP($S$679,'TAR FIN'!$A$1:$O$103,15,0))</f>
        <v>0</v>
      </c>
      <c r="W679" s="6">
        <f>IF(ISERROR(VLOOKUP($T$679,'TAR FIN'!$A$1:$O$103,15,0)),0,VLOOKUP($T$679,'TAR FIN'!$A$1:$O$103,15,0))</f>
        <v>334.07</v>
      </c>
      <c r="X679" s="6">
        <f>IF(ISERROR(VLOOKUP($U$679,'TAR FIN'!$A$1:$O$103,15,0)),0,VLOOKUP($U$679,'TAR FIN'!$A$1:$O$103,15,0))</f>
        <v>224.55</v>
      </c>
      <c r="Y679" s="6"/>
      <c r="Z679" s="6">
        <f ca="1">('TUSD BE'!$AM$45+'TUSD BF_350'!$AM$45+'TUSD CVA'!$AM$45)*(1-CUSTOS!$M$38)</f>
        <v>361.41120000000001</v>
      </c>
      <c r="AA679" s="6">
        <f ca="1">('TE BE'!$AB$26+'TE BF_350'!$AB$26+'TE CVA'!$AB$26)*(1-CUSTOS!$M$38)</f>
        <v>269.31939999999997</v>
      </c>
      <c r="AB679" s="6">
        <f>$K$679*$V$679</f>
        <v>0</v>
      </c>
      <c r="AC679" s="6">
        <f>$M$679*$W$679</f>
        <v>147.39502469999999</v>
      </c>
      <c r="AD679" s="6">
        <f>$O$679*$X$679</f>
        <v>99.073705500000003</v>
      </c>
      <c r="AE679" s="6">
        <f>$K$679*$Y$679</f>
        <v>0</v>
      </c>
      <c r="AF679" s="6">
        <f ca="1">$M$679*$Z$679</f>
        <v>159.45823555199999</v>
      </c>
      <c r="AG679" s="6">
        <f ca="1">$O$679*$AA$679</f>
        <v>118.82641247399998</v>
      </c>
    </row>
    <row r="680" spans="1:33" ht="11.25" customHeight="1" x14ac:dyDescent="0.3">
      <c r="A680" s="4" t="s">
        <v>21</v>
      </c>
      <c r="B680" s="4" t="s">
        <v>43</v>
      </c>
      <c r="C680" s="4" t="s">
        <v>23</v>
      </c>
      <c r="D680" s="4" t="s">
        <v>44</v>
      </c>
      <c r="E680" s="4" t="s">
        <v>56</v>
      </c>
      <c r="F680" s="4" t="s">
        <v>55</v>
      </c>
      <c r="G680" s="4" t="s">
        <v>25</v>
      </c>
      <c r="H680" s="4" t="s">
        <v>25</v>
      </c>
      <c r="I680" s="5">
        <v>44805</v>
      </c>
      <c r="J680" s="6">
        <v>0</v>
      </c>
      <c r="K680" s="6">
        <v>0</v>
      </c>
      <c r="L680" s="6">
        <v>14.973000000000001</v>
      </c>
      <c r="M680" s="6">
        <v>4.94109</v>
      </c>
      <c r="N680" s="6">
        <v>14.973000000000001</v>
      </c>
      <c r="O680" s="6">
        <v>4.94109</v>
      </c>
      <c r="P680" s="6">
        <v>0</v>
      </c>
      <c r="Q680" s="4" t="s">
        <v>26</v>
      </c>
      <c r="R680" s="4">
        <v>0</v>
      </c>
      <c r="S680" s="6">
        <v>0</v>
      </c>
      <c r="T680" s="6">
        <v>43</v>
      </c>
      <c r="U680" s="6">
        <v>84</v>
      </c>
      <c r="V680" s="6">
        <f>IF(ISERROR(VLOOKUP($S$680,'TAR FIN'!$A$1:$O$103,15,0)),0,VLOOKUP($S$680,'TAR FIN'!$A$1:$O$103,15,0))</f>
        <v>0</v>
      </c>
      <c r="W680" s="6">
        <f>IF(ISERROR(VLOOKUP($T$680,'TAR FIN'!$A$1:$O$103,15,0)),0,VLOOKUP($T$680,'TAR FIN'!$A$1:$O$103,15,0))</f>
        <v>334.07</v>
      </c>
      <c r="X680" s="6">
        <f>IF(ISERROR(VLOOKUP($U$680,'TAR FIN'!$A$1:$O$103,15,0)),0,VLOOKUP($U$680,'TAR FIN'!$A$1:$O$103,15,0))</f>
        <v>224.55</v>
      </c>
      <c r="Y680" s="6"/>
      <c r="Z680" s="6">
        <f ca="1">('TUSD BE'!$AM$45+'TUSD BF_350'!$AM$45+'TUSD CVA'!$AM$45)*(1-CUSTOS!$M$38)</f>
        <v>361.41120000000001</v>
      </c>
      <c r="AA680" s="6">
        <f ca="1">('TE BE'!$AB$26+'TE BF_350'!$AB$26+'TE CVA'!$AB$26)*(1-CUSTOS!$M$38)</f>
        <v>269.31939999999997</v>
      </c>
      <c r="AB680" s="6">
        <f>$K$680*$V$680</f>
        <v>0</v>
      </c>
      <c r="AC680" s="6">
        <f>$M$680*$W$680</f>
        <v>1650.6699363</v>
      </c>
      <c r="AD680" s="6">
        <f>$O$680*$X$680</f>
        <v>1109.5217595000001</v>
      </c>
      <c r="AE680" s="6">
        <f>$K$680*$Y$680</f>
        <v>0</v>
      </c>
      <c r="AF680" s="6">
        <f ca="1">$M$680*$Z$680</f>
        <v>1785.765266208</v>
      </c>
      <c r="AG680" s="6">
        <f ca="1">$O$680*$AA$680</f>
        <v>1330.731394146</v>
      </c>
    </row>
    <row r="681" spans="1:33" ht="11.25" customHeight="1" x14ac:dyDescent="0.3">
      <c r="A681" s="4" t="s">
        <v>28</v>
      </c>
      <c r="B681" s="4" t="s">
        <v>43</v>
      </c>
      <c r="C681" s="4" t="s">
        <v>23</v>
      </c>
      <c r="D681" s="4" t="s">
        <v>44</v>
      </c>
      <c r="E681" s="4" t="s">
        <v>56</v>
      </c>
      <c r="F681" s="4" t="s">
        <v>55</v>
      </c>
      <c r="G681" s="4" t="s">
        <v>25</v>
      </c>
      <c r="H681" s="4" t="s">
        <v>25</v>
      </c>
      <c r="I681" s="5">
        <v>44805</v>
      </c>
      <c r="J681" s="6">
        <v>0</v>
      </c>
      <c r="K681" s="6">
        <v>0</v>
      </c>
      <c r="L681" s="6">
        <v>0.85499999999999998</v>
      </c>
      <c r="M681" s="6">
        <v>0.28215000000000001</v>
      </c>
      <c r="N681" s="6">
        <v>0.85499999999999998</v>
      </c>
      <c r="O681" s="6">
        <v>0.28215000000000001</v>
      </c>
      <c r="P681" s="6">
        <v>0</v>
      </c>
      <c r="Q681" s="4" t="s">
        <v>26</v>
      </c>
      <c r="R681" s="4">
        <v>0</v>
      </c>
      <c r="S681" s="6">
        <v>0</v>
      </c>
      <c r="T681" s="6">
        <v>43</v>
      </c>
      <c r="U681" s="6">
        <v>84</v>
      </c>
      <c r="V681" s="6">
        <f>IF(ISERROR(VLOOKUP($S$681,'TAR FIN'!$A$1:$O$103,15,0)),0,VLOOKUP($S$681,'TAR FIN'!$A$1:$O$103,15,0))</f>
        <v>0</v>
      </c>
      <c r="W681" s="6">
        <f>IF(ISERROR(VLOOKUP($T$681,'TAR FIN'!$A$1:$O$103,15,0)),0,VLOOKUP($T$681,'TAR FIN'!$A$1:$O$103,15,0))</f>
        <v>334.07</v>
      </c>
      <c r="X681" s="6">
        <f>IF(ISERROR(VLOOKUP($U$681,'TAR FIN'!$A$1:$O$103,15,0)),0,VLOOKUP($U$681,'TAR FIN'!$A$1:$O$103,15,0))</f>
        <v>224.55</v>
      </c>
      <c r="Y681" s="6"/>
      <c r="Z681" s="6">
        <f ca="1">('TUSD BE'!$AM$45+'TUSD BF_350'!$AM$45+'TUSD CVA'!$AM$45)*(1-CUSTOS!$M$38)</f>
        <v>361.41120000000001</v>
      </c>
      <c r="AA681" s="6">
        <f ca="1">('TE BE'!$AB$26+'TE BF_350'!$AB$26+'TE CVA'!$AB$26)*(1-CUSTOS!$M$38)</f>
        <v>269.31939999999997</v>
      </c>
      <c r="AB681" s="6">
        <f>$K$681*$V$681</f>
        <v>0</v>
      </c>
      <c r="AC681" s="6">
        <f>$M$681*$W$681</f>
        <v>94.257850500000004</v>
      </c>
      <c r="AD681" s="6">
        <f>$O$681*$X$681</f>
        <v>63.356782500000008</v>
      </c>
      <c r="AE681" s="6">
        <f>$K$681*$Y$681</f>
        <v>0</v>
      </c>
      <c r="AF681" s="6">
        <f ca="1">$M$681*$Z$681</f>
        <v>101.97217008000001</v>
      </c>
      <c r="AG681" s="6">
        <f ca="1">$O$681*$AA$681</f>
        <v>75.988468709999992</v>
      </c>
    </row>
    <row r="682" spans="1:33" ht="11.25" customHeight="1" x14ac:dyDescent="0.3">
      <c r="A682" s="4" t="s">
        <v>57</v>
      </c>
      <c r="B682" s="4" t="s">
        <v>43</v>
      </c>
      <c r="C682" s="4" t="s">
        <v>23</v>
      </c>
      <c r="D682" s="4" t="s">
        <v>44</v>
      </c>
      <c r="E682" s="4" t="s">
        <v>56</v>
      </c>
      <c r="F682" s="4" t="s">
        <v>55</v>
      </c>
      <c r="G682" s="4" t="s">
        <v>25</v>
      </c>
      <c r="H682" s="4" t="s">
        <v>25</v>
      </c>
      <c r="I682" s="5">
        <v>44835</v>
      </c>
      <c r="J682" s="6">
        <v>0</v>
      </c>
      <c r="K682" s="6">
        <v>0</v>
      </c>
      <c r="L682" s="6">
        <v>14.973000000000001</v>
      </c>
      <c r="M682" s="6">
        <v>4.94109</v>
      </c>
      <c r="N682" s="6">
        <v>14.973000000000001</v>
      </c>
      <c r="O682" s="6">
        <v>4.94109</v>
      </c>
      <c r="P682" s="6">
        <v>0</v>
      </c>
      <c r="Q682" s="4" t="s">
        <v>26</v>
      </c>
      <c r="R682" s="4">
        <v>0</v>
      </c>
      <c r="S682" s="6">
        <v>0</v>
      </c>
      <c r="T682" s="6">
        <v>43</v>
      </c>
      <c r="U682" s="6">
        <v>84</v>
      </c>
      <c r="V682" s="6">
        <f>IF(ISERROR(VLOOKUP($S$682,'TAR FIN'!$A$1:$O$103,15,0)),0,VLOOKUP($S$682,'TAR FIN'!$A$1:$O$103,15,0))</f>
        <v>0</v>
      </c>
      <c r="W682" s="6">
        <f>IF(ISERROR(VLOOKUP($T$682,'TAR FIN'!$A$1:$O$103,15,0)),0,VLOOKUP($T$682,'TAR FIN'!$A$1:$O$103,15,0))</f>
        <v>334.07</v>
      </c>
      <c r="X682" s="6">
        <f>IF(ISERROR(VLOOKUP($U$682,'TAR FIN'!$A$1:$O$103,15,0)),0,VLOOKUP($U$682,'TAR FIN'!$A$1:$O$103,15,0))</f>
        <v>224.55</v>
      </c>
      <c r="Y682" s="6"/>
      <c r="Z682" s="6">
        <f ca="1">('TUSD BE'!$AM$45+'TUSD BF_350'!$AM$45+'TUSD CVA'!$AM$45)*(1-CUSTOS!$M$38)</f>
        <v>361.41120000000001</v>
      </c>
      <c r="AA682" s="6">
        <f ca="1">('TE BE'!$AB$26+'TE BF_350'!$AB$26+'TE CVA'!$AB$26)*(1-CUSTOS!$M$38)</f>
        <v>269.31939999999997</v>
      </c>
      <c r="AB682" s="6">
        <f>$K$682*$V$682</f>
        <v>0</v>
      </c>
      <c r="AC682" s="6">
        <f>$M$682*$W$682</f>
        <v>1650.6699363</v>
      </c>
      <c r="AD682" s="6">
        <f>$O$682*$X$682</f>
        <v>1109.5217595000001</v>
      </c>
      <c r="AE682" s="6">
        <f>$K$682*$Y$682</f>
        <v>0</v>
      </c>
      <c r="AF682" s="6">
        <f ca="1">$M$682*$Z$682</f>
        <v>1785.765266208</v>
      </c>
      <c r="AG682" s="6">
        <f ca="1">$O$682*$AA$682</f>
        <v>1330.731394146</v>
      </c>
    </row>
    <row r="683" spans="1:33" ht="11.25" customHeight="1" x14ac:dyDescent="0.3">
      <c r="A683" s="4" t="s">
        <v>57</v>
      </c>
      <c r="B683" s="4" t="s">
        <v>43</v>
      </c>
      <c r="C683" s="4" t="s">
        <v>23</v>
      </c>
      <c r="D683" s="4" t="s">
        <v>44</v>
      </c>
      <c r="E683" s="4" t="s">
        <v>56</v>
      </c>
      <c r="F683" s="4" t="s">
        <v>55</v>
      </c>
      <c r="G683" s="4" t="s">
        <v>25</v>
      </c>
      <c r="H683" s="4" t="s">
        <v>25</v>
      </c>
      <c r="I683" s="5">
        <v>44835</v>
      </c>
      <c r="J683" s="6">
        <v>0</v>
      </c>
      <c r="K683" s="6">
        <v>0</v>
      </c>
      <c r="L683" s="6">
        <v>0.85499999999999998</v>
      </c>
      <c r="M683" s="6">
        <v>0.28215000000000001</v>
      </c>
      <c r="N683" s="6">
        <v>0.85499999999999998</v>
      </c>
      <c r="O683" s="6">
        <v>0.28215000000000001</v>
      </c>
      <c r="P683" s="6">
        <v>0</v>
      </c>
      <c r="Q683" s="4" t="s">
        <v>26</v>
      </c>
      <c r="R683" s="4">
        <v>0</v>
      </c>
      <c r="S683" s="6">
        <v>0</v>
      </c>
      <c r="T683" s="6">
        <v>43</v>
      </c>
      <c r="U683" s="6">
        <v>84</v>
      </c>
      <c r="V683" s="6">
        <f>IF(ISERROR(VLOOKUP($S$683,'TAR FIN'!$A$1:$O$103,15,0)),0,VLOOKUP($S$683,'TAR FIN'!$A$1:$O$103,15,0))</f>
        <v>0</v>
      </c>
      <c r="W683" s="6">
        <f>IF(ISERROR(VLOOKUP($T$683,'TAR FIN'!$A$1:$O$103,15,0)),0,VLOOKUP($T$683,'TAR FIN'!$A$1:$O$103,15,0))</f>
        <v>334.07</v>
      </c>
      <c r="X683" s="6">
        <f>IF(ISERROR(VLOOKUP($U$683,'TAR FIN'!$A$1:$O$103,15,0)),0,VLOOKUP($U$683,'TAR FIN'!$A$1:$O$103,15,0))</f>
        <v>224.55</v>
      </c>
      <c r="Y683" s="6"/>
      <c r="Z683" s="6">
        <f ca="1">('TUSD BE'!$AM$45+'TUSD BF_350'!$AM$45+'TUSD CVA'!$AM$45)*(1-CUSTOS!$M$38)</f>
        <v>361.41120000000001</v>
      </c>
      <c r="AA683" s="6">
        <f ca="1">('TE BE'!$AB$26+'TE BF_350'!$AB$26+'TE CVA'!$AB$26)*(1-CUSTOS!$M$38)</f>
        <v>269.31939999999997</v>
      </c>
      <c r="AB683" s="6">
        <f>$K$683*$V$683</f>
        <v>0</v>
      </c>
      <c r="AC683" s="6">
        <f>$M$683*$W$683</f>
        <v>94.257850500000004</v>
      </c>
      <c r="AD683" s="6">
        <f>$O$683*$X$683</f>
        <v>63.356782500000008</v>
      </c>
      <c r="AE683" s="6">
        <f>$K$683*$Y$683</f>
        <v>0</v>
      </c>
      <c r="AF683" s="6">
        <f ca="1">$M$683*$Z$683</f>
        <v>101.97217008000001</v>
      </c>
      <c r="AG683" s="6">
        <f ca="1">$O$683*$AA$683</f>
        <v>75.988468709999992</v>
      </c>
    </row>
    <row r="684" spans="1:33" ht="11.25" customHeight="1" x14ac:dyDescent="0.3">
      <c r="A684" s="4" t="s">
        <v>21</v>
      </c>
      <c r="B684" s="4" t="s">
        <v>43</v>
      </c>
      <c r="C684" s="4" t="s">
        <v>23</v>
      </c>
      <c r="D684" s="4" t="s">
        <v>44</v>
      </c>
      <c r="E684" s="4" t="s">
        <v>25</v>
      </c>
      <c r="F684" s="4" t="s">
        <v>25</v>
      </c>
      <c r="G684" s="4" t="s">
        <v>25</v>
      </c>
      <c r="H684" s="4" t="s">
        <v>25</v>
      </c>
      <c r="I684" s="5">
        <v>44501</v>
      </c>
      <c r="J684" s="6">
        <v>0</v>
      </c>
      <c r="K684" s="6">
        <v>0</v>
      </c>
      <c r="L684" s="6">
        <v>1381.0450000000001</v>
      </c>
      <c r="M684" s="6">
        <v>1381.0450000000001</v>
      </c>
      <c r="N684" s="6">
        <v>1381.0450000000001</v>
      </c>
      <c r="O684" s="6">
        <v>1381.0450000000001</v>
      </c>
      <c r="P684" s="6">
        <v>4522</v>
      </c>
      <c r="Q684" s="4" t="s">
        <v>26</v>
      </c>
      <c r="R684" s="4">
        <v>0</v>
      </c>
      <c r="S684" s="6">
        <v>0</v>
      </c>
      <c r="T684" s="6">
        <v>43</v>
      </c>
      <c r="U684" s="6">
        <v>84</v>
      </c>
      <c r="V684" s="6">
        <f>IF(ISERROR(VLOOKUP($S$684,'TAR FIN'!$A$1:$O$103,15,0)),0,VLOOKUP($S$684,'TAR FIN'!$A$1:$O$103,15,0))</f>
        <v>0</v>
      </c>
      <c r="W684" s="6">
        <f>IF(ISERROR(VLOOKUP($T$684,'TAR FIN'!$A$1:$O$103,15,0)),0,VLOOKUP($T$684,'TAR FIN'!$A$1:$O$103,15,0))</f>
        <v>334.07</v>
      </c>
      <c r="X684" s="6">
        <f>IF(ISERROR(VLOOKUP($U$684,'TAR FIN'!$A$1:$O$103,15,0)),0,VLOOKUP($U$684,'TAR FIN'!$A$1:$O$103,15,0))</f>
        <v>224.55</v>
      </c>
      <c r="Y684" s="6"/>
      <c r="Z684" s="6">
        <f ca="1">('TUSD BE'!$AM$45+'TUSD BF_350'!$AM$45+'TUSD CVA'!$AM$45)*(1-CUSTOS!$M$38)</f>
        <v>361.41120000000001</v>
      </c>
      <c r="AA684" s="6">
        <f ca="1">('TE BE'!$AB$26+'TE BF_350'!$AB$26+'TE CVA'!$AB$26)*(1-CUSTOS!$M$38)</f>
        <v>269.31939999999997</v>
      </c>
      <c r="AB684" s="6">
        <f>$K$684*$V$684</f>
        <v>0</v>
      </c>
      <c r="AC684" s="6">
        <f>$M$684*$W$684</f>
        <v>461365.70315000002</v>
      </c>
      <c r="AD684" s="6">
        <f>$O$684*$X$684</f>
        <v>310113.65475000005</v>
      </c>
      <c r="AE684" s="6">
        <f>$K$684*$Y$684</f>
        <v>0</v>
      </c>
      <c r="AF684" s="6">
        <f ca="1">$M$684*$Z$684</f>
        <v>499125.13070400001</v>
      </c>
      <c r="AG684" s="6">
        <f ca="1">$O$684*$AA$684</f>
        <v>371942.21077299997</v>
      </c>
    </row>
    <row r="685" spans="1:33" ht="11.25" customHeight="1" x14ac:dyDescent="0.3">
      <c r="A685" s="4" t="s">
        <v>28</v>
      </c>
      <c r="B685" s="4" t="s">
        <v>43</v>
      </c>
      <c r="C685" s="4" t="s">
        <v>23</v>
      </c>
      <c r="D685" s="4" t="s">
        <v>44</v>
      </c>
      <c r="E685" s="4" t="s">
        <v>25</v>
      </c>
      <c r="F685" s="4" t="s">
        <v>25</v>
      </c>
      <c r="G685" s="4" t="s">
        <v>25</v>
      </c>
      <c r="H685" s="4" t="s">
        <v>25</v>
      </c>
      <c r="I685" s="5">
        <v>44501</v>
      </c>
      <c r="J685" s="6">
        <v>0</v>
      </c>
      <c r="K685" s="6">
        <v>0</v>
      </c>
      <c r="L685" s="6">
        <v>11.712</v>
      </c>
      <c r="M685" s="6">
        <v>11.712</v>
      </c>
      <c r="N685" s="6">
        <v>11.712</v>
      </c>
      <c r="O685" s="6">
        <v>11.712</v>
      </c>
      <c r="P685" s="6">
        <v>61</v>
      </c>
      <c r="Q685" s="4" t="s">
        <v>26</v>
      </c>
      <c r="R685" s="4">
        <v>0</v>
      </c>
      <c r="S685" s="6">
        <v>0</v>
      </c>
      <c r="T685" s="6">
        <v>43</v>
      </c>
      <c r="U685" s="6">
        <v>84</v>
      </c>
      <c r="V685" s="6">
        <f>IF(ISERROR(VLOOKUP($S$685,'TAR FIN'!$A$1:$O$103,15,0)),0,VLOOKUP($S$685,'TAR FIN'!$A$1:$O$103,15,0))</f>
        <v>0</v>
      </c>
      <c r="W685" s="6">
        <f>IF(ISERROR(VLOOKUP($T$685,'TAR FIN'!$A$1:$O$103,15,0)),0,VLOOKUP($T$685,'TAR FIN'!$A$1:$O$103,15,0))</f>
        <v>334.07</v>
      </c>
      <c r="X685" s="6">
        <f>IF(ISERROR(VLOOKUP($U$685,'TAR FIN'!$A$1:$O$103,15,0)),0,VLOOKUP($U$685,'TAR FIN'!$A$1:$O$103,15,0))</f>
        <v>224.55</v>
      </c>
      <c r="Y685" s="6"/>
      <c r="Z685" s="6">
        <f ca="1">('TUSD BE'!$AM$45+'TUSD BF_350'!$AM$45+'TUSD CVA'!$AM$45)*(1-CUSTOS!$M$38)</f>
        <v>361.41120000000001</v>
      </c>
      <c r="AA685" s="6">
        <f ca="1">('TE BE'!$AB$26+'TE BF_350'!$AB$26+'TE CVA'!$AB$26)*(1-CUSTOS!$M$38)</f>
        <v>269.31939999999997</v>
      </c>
      <c r="AB685" s="6">
        <f>$K$685*$V$685</f>
        <v>0</v>
      </c>
      <c r="AC685" s="6">
        <f>$M$685*$W$685</f>
        <v>3912.6278399999997</v>
      </c>
      <c r="AD685" s="6">
        <f>$O$685*$X$685</f>
        <v>2629.9295999999999</v>
      </c>
      <c r="AE685" s="6">
        <f>$K$685*$Y$685</f>
        <v>0</v>
      </c>
      <c r="AF685" s="6">
        <f ca="1">$M$685*$Z$685</f>
        <v>4232.8479743999997</v>
      </c>
      <c r="AG685" s="6">
        <f ca="1">$O$685*$AA$685</f>
        <v>3154.2688127999995</v>
      </c>
    </row>
    <row r="686" spans="1:33" ht="11.25" customHeight="1" x14ac:dyDescent="0.3">
      <c r="A686" s="4" t="s">
        <v>21</v>
      </c>
      <c r="B686" s="4" t="s">
        <v>43</v>
      </c>
      <c r="C686" s="4" t="s">
        <v>23</v>
      </c>
      <c r="D686" s="4" t="s">
        <v>44</v>
      </c>
      <c r="E686" s="4" t="s">
        <v>25</v>
      </c>
      <c r="F686" s="4" t="s">
        <v>25</v>
      </c>
      <c r="G686" s="4" t="s">
        <v>25</v>
      </c>
      <c r="H686" s="4" t="s">
        <v>25</v>
      </c>
      <c r="I686" s="5">
        <v>44531</v>
      </c>
      <c r="J686" s="6">
        <v>0</v>
      </c>
      <c r="K686" s="6">
        <v>0</v>
      </c>
      <c r="L686" s="6">
        <v>1271.596</v>
      </c>
      <c r="M686" s="6">
        <v>1271.596</v>
      </c>
      <c r="N686" s="6">
        <v>1271.596</v>
      </c>
      <c r="O686" s="6">
        <v>1271.596</v>
      </c>
      <c r="P686" s="6">
        <v>4519</v>
      </c>
      <c r="Q686" s="4" t="s">
        <v>26</v>
      </c>
      <c r="R686" s="4">
        <v>0</v>
      </c>
      <c r="S686" s="6">
        <v>0</v>
      </c>
      <c r="T686" s="6">
        <v>43</v>
      </c>
      <c r="U686" s="6">
        <v>84</v>
      </c>
      <c r="V686" s="6">
        <f>IF(ISERROR(VLOOKUP($S$686,'TAR FIN'!$A$1:$O$103,15,0)),0,VLOOKUP($S$686,'TAR FIN'!$A$1:$O$103,15,0))</f>
        <v>0</v>
      </c>
      <c r="W686" s="6">
        <f>IF(ISERROR(VLOOKUP($T$686,'TAR FIN'!$A$1:$O$103,15,0)),0,VLOOKUP($T$686,'TAR FIN'!$A$1:$O$103,15,0))</f>
        <v>334.07</v>
      </c>
      <c r="X686" s="6">
        <f>IF(ISERROR(VLOOKUP($U$686,'TAR FIN'!$A$1:$O$103,15,0)),0,VLOOKUP($U$686,'TAR FIN'!$A$1:$O$103,15,0))</f>
        <v>224.55</v>
      </c>
      <c r="Y686" s="6"/>
      <c r="Z686" s="6">
        <f ca="1">('TUSD BE'!$AM$45+'TUSD BF_350'!$AM$45+'TUSD CVA'!$AM$45)*(1-CUSTOS!$M$38)</f>
        <v>361.41120000000001</v>
      </c>
      <c r="AA686" s="6">
        <f ca="1">('TE BE'!$AB$26+'TE BF_350'!$AB$26+'TE CVA'!$AB$26)*(1-CUSTOS!$M$38)</f>
        <v>269.31939999999997</v>
      </c>
      <c r="AB686" s="6">
        <f>$K$686*$V$686</f>
        <v>0</v>
      </c>
      <c r="AC686" s="6">
        <f>$M$686*$W$686</f>
        <v>424802.07571999996</v>
      </c>
      <c r="AD686" s="6">
        <f>$O$686*$X$686</f>
        <v>285536.88180000003</v>
      </c>
      <c r="AE686" s="6">
        <f>$K$686*$Y$686</f>
        <v>0</v>
      </c>
      <c r="AF686" s="6">
        <f ca="1">$M$686*$Z$686</f>
        <v>459569.03627520002</v>
      </c>
      <c r="AG686" s="6">
        <f ca="1">$O$686*$AA$686</f>
        <v>342465.47176239995</v>
      </c>
    </row>
    <row r="687" spans="1:33" ht="11.25" customHeight="1" x14ac:dyDescent="0.3">
      <c r="A687" s="4" t="s">
        <v>28</v>
      </c>
      <c r="B687" s="4" t="s">
        <v>43</v>
      </c>
      <c r="C687" s="4" t="s">
        <v>23</v>
      </c>
      <c r="D687" s="4" t="s">
        <v>44</v>
      </c>
      <c r="E687" s="4" t="s">
        <v>25</v>
      </c>
      <c r="F687" s="4" t="s">
        <v>25</v>
      </c>
      <c r="G687" s="4" t="s">
        <v>25</v>
      </c>
      <c r="H687" s="4" t="s">
        <v>25</v>
      </c>
      <c r="I687" s="5">
        <v>44531</v>
      </c>
      <c r="J687" s="6">
        <v>0</v>
      </c>
      <c r="K687" s="6">
        <v>0</v>
      </c>
      <c r="L687" s="6">
        <v>12.464</v>
      </c>
      <c r="M687" s="6">
        <v>12.464</v>
      </c>
      <c r="N687" s="6">
        <v>12.464</v>
      </c>
      <c r="O687" s="6">
        <v>12.464</v>
      </c>
      <c r="P687" s="6">
        <v>66</v>
      </c>
      <c r="Q687" s="4" t="s">
        <v>26</v>
      </c>
      <c r="R687" s="4">
        <v>0</v>
      </c>
      <c r="S687" s="6">
        <v>0</v>
      </c>
      <c r="T687" s="6">
        <v>43</v>
      </c>
      <c r="U687" s="6">
        <v>84</v>
      </c>
      <c r="V687" s="6">
        <f>IF(ISERROR(VLOOKUP($S$687,'TAR FIN'!$A$1:$O$103,15,0)),0,VLOOKUP($S$687,'TAR FIN'!$A$1:$O$103,15,0))</f>
        <v>0</v>
      </c>
      <c r="W687" s="6">
        <f>IF(ISERROR(VLOOKUP($T$687,'TAR FIN'!$A$1:$O$103,15,0)),0,VLOOKUP($T$687,'TAR FIN'!$A$1:$O$103,15,0))</f>
        <v>334.07</v>
      </c>
      <c r="X687" s="6">
        <f>IF(ISERROR(VLOOKUP($U$687,'TAR FIN'!$A$1:$O$103,15,0)),0,VLOOKUP($U$687,'TAR FIN'!$A$1:$O$103,15,0))</f>
        <v>224.55</v>
      </c>
      <c r="Y687" s="6"/>
      <c r="Z687" s="6">
        <f ca="1">('TUSD BE'!$AM$45+'TUSD BF_350'!$AM$45+'TUSD CVA'!$AM$45)*(1-CUSTOS!$M$38)</f>
        <v>361.41120000000001</v>
      </c>
      <c r="AA687" s="6">
        <f ca="1">('TE BE'!$AB$26+'TE BF_350'!$AB$26+'TE CVA'!$AB$26)*(1-CUSTOS!$M$38)</f>
        <v>269.31939999999997</v>
      </c>
      <c r="AB687" s="6">
        <f>$K$687*$V$687</f>
        <v>0</v>
      </c>
      <c r="AC687" s="6">
        <f>$M$687*$W$687</f>
        <v>4163.8484799999997</v>
      </c>
      <c r="AD687" s="6">
        <f>$O$687*$X$687</f>
        <v>2798.7912000000001</v>
      </c>
      <c r="AE687" s="6">
        <f>$K$687*$Y$687</f>
        <v>0</v>
      </c>
      <c r="AF687" s="6">
        <f ca="1">$M$687*$Z$687</f>
        <v>4504.6291968000005</v>
      </c>
      <c r="AG687" s="6">
        <f ca="1">$O$687*$AA$687</f>
        <v>3356.7970015999999</v>
      </c>
    </row>
    <row r="688" spans="1:33" ht="11.25" customHeight="1" x14ac:dyDescent="0.3">
      <c r="A688" s="4" t="s">
        <v>21</v>
      </c>
      <c r="B688" s="4" t="s">
        <v>43</v>
      </c>
      <c r="C688" s="4" t="s">
        <v>23</v>
      </c>
      <c r="D688" s="4" t="s">
        <v>44</v>
      </c>
      <c r="E688" s="4" t="s">
        <v>25</v>
      </c>
      <c r="F688" s="4" t="s">
        <v>25</v>
      </c>
      <c r="G688" s="4" t="s">
        <v>25</v>
      </c>
      <c r="H688" s="4" t="s">
        <v>25</v>
      </c>
      <c r="I688" s="5">
        <v>44562</v>
      </c>
      <c r="J688" s="6">
        <v>0</v>
      </c>
      <c r="K688" s="6">
        <v>0</v>
      </c>
      <c r="L688" s="6">
        <v>1167.3910000000001</v>
      </c>
      <c r="M688" s="6">
        <v>1167.3910000000001</v>
      </c>
      <c r="N688" s="6">
        <v>1167.3910000000001</v>
      </c>
      <c r="O688" s="6">
        <v>1167.3910000000001</v>
      </c>
      <c r="P688" s="6">
        <v>4510</v>
      </c>
      <c r="Q688" s="4" t="s">
        <v>26</v>
      </c>
      <c r="R688" s="4">
        <v>0</v>
      </c>
      <c r="S688" s="6">
        <v>0</v>
      </c>
      <c r="T688" s="6">
        <v>43</v>
      </c>
      <c r="U688" s="6">
        <v>84</v>
      </c>
      <c r="V688" s="6">
        <f>IF(ISERROR(VLOOKUP($S$688,'TAR FIN'!$A$1:$O$103,15,0)),0,VLOOKUP($S$688,'TAR FIN'!$A$1:$O$103,15,0))</f>
        <v>0</v>
      </c>
      <c r="W688" s="6">
        <f>IF(ISERROR(VLOOKUP($T$688,'TAR FIN'!$A$1:$O$103,15,0)),0,VLOOKUP($T$688,'TAR FIN'!$A$1:$O$103,15,0))</f>
        <v>334.07</v>
      </c>
      <c r="X688" s="6">
        <f>IF(ISERROR(VLOOKUP($U$688,'TAR FIN'!$A$1:$O$103,15,0)),0,VLOOKUP($U$688,'TAR FIN'!$A$1:$O$103,15,0))</f>
        <v>224.55</v>
      </c>
      <c r="Y688" s="6"/>
      <c r="Z688" s="6">
        <f ca="1">('TUSD BE'!$AM$45+'TUSD BF_350'!$AM$45+'TUSD CVA'!$AM$45)*(1-CUSTOS!$M$38)</f>
        <v>361.41120000000001</v>
      </c>
      <c r="AA688" s="6">
        <f ca="1">('TE BE'!$AB$26+'TE BF_350'!$AB$26+'TE CVA'!$AB$26)*(1-CUSTOS!$M$38)</f>
        <v>269.31939999999997</v>
      </c>
      <c r="AB688" s="6">
        <f>$K$688*$V$688</f>
        <v>0</v>
      </c>
      <c r="AC688" s="6">
        <f>$M$688*$W$688</f>
        <v>389990.31137000001</v>
      </c>
      <c r="AD688" s="6">
        <f>$O$688*$X$688</f>
        <v>262137.64905000004</v>
      </c>
      <c r="AE688" s="6">
        <f>$K$688*$Y$688</f>
        <v>0</v>
      </c>
      <c r="AF688" s="6">
        <f ca="1">$M$688*$Z$688</f>
        <v>421908.18217920006</v>
      </c>
      <c r="AG688" s="6">
        <f ca="1">$O$688*$AA$688</f>
        <v>314401.04368539999</v>
      </c>
    </row>
    <row r="689" spans="1:33" ht="11.25" customHeight="1" x14ac:dyDescent="0.3">
      <c r="A689" s="4" t="s">
        <v>28</v>
      </c>
      <c r="B689" s="4" t="s">
        <v>43</v>
      </c>
      <c r="C689" s="4" t="s">
        <v>23</v>
      </c>
      <c r="D689" s="4" t="s">
        <v>44</v>
      </c>
      <c r="E689" s="4" t="s">
        <v>25</v>
      </c>
      <c r="F689" s="4" t="s">
        <v>25</v>
      </c>
      <c r="G689" s="4" t="s">
        <v>25</v>
      </c>
      <c r="H689" s="4" t="s">
        <v>25</v>
      </c>
      <c r="I689" s="5">
        <v>44562</v>
      </c>
      <c r="J689" s="6">
        <v>0</v>
      </c>
      <c r="K689" s="6">
        <v>0</v>
      </c>
      <c r="L689" s="6">
        <v>17.41</v>
      </c>
      <c r="M689" s="6">
        <v>17.41</v>
      </c>
      <c r="N689" s="6">
        <v>17.41</v>
      </c>
      <c r="O689" s="6">
        <v>17.41</v>
      </c>
      <c r="P689" s="6">
        <v>70</v>
      </c>
      <c r="Q689" s="4" t="s">
        <v>26</v>
      </c>
      <c r="R689" s="4">
        <v>0</v>
      </c>
      <c r="S689" s="6">
        <v>0</v>
      </c>
      <c r="T689" s="6">
        <v>43</v>
      </c>
      <c r="U689" s="6">
        <v>84</v>
      </c>
      <c r="V689" s="6">
        <f>IF(ISERROR(VLOOKUP($S$689,'TAR FIN'!$A$1:$O$103,15,0)),0,VLOOKUP($S$689,'TAR FIN'!$A$1:$O$103,15,0))</f>
        <v>0</v>
      </c>
      <c r="W689" s="6">
        <f>IF(ISERROR(VLOOKUP($T$689,'TAR FIN'!$A$1:$O$103,15,0)),0,VLOOKUP($T$689,'TAR FIN'!$A$1:$O$103,15,0))</f>
        <v>334.07</v>
      </c>
      <c r="X689" s="6">
        <f>IF(ISERROR(VLOOKUP($U$689,'TAR FIN'!$A$1:$O$103,15,0)),0,VLOOKUP($U$689,'TAR FIN'!$A$1:$O$103,15,0))</f>
        <v>224.55</v>
      </c>
      <c r="Y689" s="6"/>
      <c r="Z689" s="6">
        <f ca="1">('TUSD BE'!$AM$45+'TUSD BF_350'!$AM$45+'TUSD CVA'!$AM$45)*(1-CUSTOS!$M$38)</f>
        <v>361.41120000000001</v>
      </c>
      <c r="AA689" s="6">
        <f ca="1">('TE BE'!$AB$26+'TE BF_350'!$AB$26+'TE CVA'!$AB$26)*(1-CUSTOS!$M$38)</f>
        <v>269.31939999999997</v>
      </c>
      <c r="AB689" s="6">
        <f>$K$689*$V$689</f>
        <v>0</v>
      </c>
      <c r="AC689" s="6">
        <f>$M$689*$W$689</f>
        <v>5816.1587</v>
      </c>
      <c r="AD689" s="6">
        <f>$O$689*$X$689</f>
        <v>3909.4155000000001</v>
      </c>
      <c r="AE689" s="6">
        <f>$K$689*$Y$689</f>
        <v>0</v>
      </c>
      <c r="AF689" s="6">
        <f ca="1">$M$689*$Z$689</f>
        <v>6292.1689919999999</v>
      </c>
      <c r="AG689" s="6">
        <f ca="1">$O$689*$AA$689</f>
        <v>4688.8507539999991</v>
      </c>
    </row>
    <row r="690" spans="1:33" ht="11.25" customHeight="1" x14ac:dyDescent="0.3">
      <c r="A690" s="4" t="s">
        <v>21</v>
      </c>
      <c r="B690" s="4" t="s">
        <v>43</v>
      </c>
      <c r="C690" s="4" t="s">
        <v>23</v>
      </c>
      <c r="D690" s="4" t="s">
        <v>44</v>
      </c>
      <c r="E690" s="4" t="s">
        <v>25</v>
      </c>
      <c r="F690" s="4" t="s">
        <v>25</v>
      </c>
      <c r="G690" s="4" t="s">
        <v>25</v>
      </c>
      <c r="H690" s="4" t="s">
        <v>25</v>
      </c>
      <c r="I690" s="5">
        <v>44593</v>
      </c>
      <c r="J690" s="6">
        <v>0</v>
      </c>
      <c r="K690" s="6">
        <v>0</v>
      </c>
      <c r="L690" s="6">
        <v>1228.2760000000001</v>
      </c>
      <c r="M690" s="6">
        <v>1228.2760000000001</v>
      </c>
      <c r="N690" s="6">
        <v>1228.2760000000001</v>
      </c>
      <c r="O690" s="6">
        <v>1228.2760000000001</v>
      </c>
      <c r="P690" s="6">
        <v>4501</v>
      </c>
      <c r="Q690" s="4" t="s">
        <v>26</v>
      </c>
      <c r="R690" s="4">
        <v>0</v>
      </c>
      <c r="S690" s="6">
        <v>0</v>
      </c>
      <c r="T690" s="6">
        <v>43</v>
      </c>
      <c r="U690" s="6">
        <v>84</v>
      </c>
      <c r="V690" s="6">
        <f>IF(ISERROR(VLOOKUP($S$690,'TAR FIN'!$A$1:$O$103,15,0)),0,VLOOKUP($S$690,'TAR FIN'!$A$1:$O$103,15,0))</f>
        <v>0</v>
      </c>
      <c r="W690" s="6">
        <f>IF(ISERROR(VLOOKUP($T$690,'TAR FIN'!$A$1:$O$103,15,0)),0,VLOOKUP($T$690,'TAR FIN'!$A$1:$O$103,15,0))</f>
        <v>334.07</v>
      </c>
      <c r="X690" s="6">
        <f>IF(ISERROR(VLOOKUP($U$690,'TAR FIN'!$A$1:$O$103,15,0)),0,VLOOKUP($U$690,'TAR FIN'!$A$1:$O$103,15,0))</f>
        <v>224.55</v>
      </c>
      <c r="Y690" s="6"/>
      <c r="Z690" s="6">
        <f ca="1">('TUSD BE'!$AM$45+'TUSD BF_350'!$AM$45+'TUSD CVA'!$AM$45)*(1-CUSTOS!$M$38)</f>
        <v>361.41120000000001</v>
      </c>
      <c r="AA690" s="6">
        <f ca="1">('TE BE'!$AB$26+'TE BF_350'!$AB$26+'TE CVA'!$AB$26)*(1-CUSTOS!$M$38)</f>
        <v>269.31939999999997</v>
      </c>
      <c r="AB690" s="6">
        <f>$K$690*$V$690</f>
        <v>0</v>
      </c>
      <c r="AC690" s="6">
        <f>$M$690*$W$690</f>
        <v>410330.16331999999</v>
      </c>
      <c r="AD690" s="6">
        <f>$O$690*$X$690</f>
        <v>275809.37580000004</v>
      </c>
      <c r="AE690" s="6">
        <f>$K$690*$Y$690</f>
        <v>0</v>
      </c>
      <c r="AF690" s="6">
        <f ca="1">$M$690*$Z$690</f>
        <v>443912.70309120003</v>
      </c>
      <c r="AG690" s="6">
        <f ca="1">$O$690*$AA$690</f>
        <v>330798.55535440001</v>
      </c>
    </row>
    <row r="691" spans="1:33" ht="11.25" customHeight="1" x14ac:dyDescent="0.3">
      <c r="A691" s="4" t="s">
        <v>28</v>
      </c>
      <c r="B691" s="4" t="s">
        <v>43</v>
      </c>
      <c r="C691" s="4" t="s">
        <v>23</v>
      </c>
      <c r="D691" s="4" t="s">
        <v>44</v>
      </c>
      <c r="E691" s="4" t="s">
        <v>25</v>
      </c>
      <c r="F691" s="4" t="s">
        <v>25</v>
      </c>
      <c r="G691" s="4" t="s">
        <v>25</v>
      </c>
      <c r="H691" s="4" t="s">
        <v>25</v>
      </c>
      <c r="I691" s="5">
        <v>44593</v>
      </c>
      <c r="J691" s="6">
        <v>0</v>
      </c>
      <c r="K691" s="6">
        <v>0</v>
      </c>
      <c r="L691" s="6">
        <v>12.071999999999999</v>
      </c>
      <c r="M691" s="6">
        <v>12.071999999999999</v>
      </c>
      <c r="N691" s="6">
        <v>12.071999999999999</v>
      </c>
      <c r="O691" s="6">
        <v>12.071999999999999</v>
      </c>
      <c r="P691" s="6">
        <v>72</v>
      </c>
      <c r="Q691" s="4" t="s">
        <v>26</v>
      </c>
      <c r="R691" s="4">
        <v>0</v>
      </c>
      <c r="S691" s="6">
        <v>0</v>
      </c>
      <c r="T691" s="6">
        <v>43</v>
      </c>
      <c r="U691" s="6">
        <v>84</v>
      </c>
      <c r="V691" s="6">
        <f>IF(ISERROR(VLOOKUP($S$691,'TAR FIN'!$A$1:$O$103,15,0)),0,VLOOKUP($S$691,'TAR FIN'!$A$1:$O$103,15,0))</f>
        <v>0</v>
      </c>
      <c r="W691" s="6">
        <f>IF(ISERROR(VLOOKUP($T$691,'TAR FIN'!$A$1:$O$103,15,0)),0,VLOOKUP($T$691,'TAR FIN'!$A$1:$O$103,15,0))</f>
        <v>334.07</v>
      </c>
      <c r="X691" s="6">
        <f>IF(ISERROR(VLOOKUP($U$691,'TAR FIN'!$A$1:$O$103,15,0)),0,VLOOKUP($U$691,'TAR FIN'!$A$1:$O$103,15,0))</f>
        <v>224.55</v>
      </c>
      <c r="Y691" s="6"/>
      <c r="Z691" s="6">
        <f ca="1">('TUSD BE'!$AM$45+'TUSD BF_350'!$AM$45+'TUSD CVA'!$AM$45)*(1-CUSTOS!$M$38)</f>
        <v>361.41120000000001</v>
      </c>
      <c r="AA691" s="6">
        <f ca="1">('TE BE'!$AB$26+'TE BF_350'!$AB$26+'TE CVA'!$AB$26)*(1-CUSTOS!$M$38)</f>
        <v>269.31939999999997</v>
      </c>
      <c r="AB691" s="6">
        <f>$K$691*$V$691</f>
        <v>0</v>
      </c>
      <c r="AC691" s="6">
        <f>$M$691*$W$691</f>
        <v>4032.8930399999995</v>
      </c>
      <c r="AD691" s="6">
        <f>$O$691*$X$691</f>
        <v>2710.7676000000001</v>
      </c>
      <c r="AE691" s="6">
        <f>$K$691*$Y$691</f>
        <v>0</v>
      </c>
      <c r="AF691" s="6">
        <f ca="1">$M$691*$Z$691</f>
        <v>4362.9560063999998</v>
      </c>
      <c r="AG691" s="6">
        <f ca="1">$O$691*$AA$691</f>
        <v>3251.2237967999995</v>
      </c>
    </row>
    <row r="692" spans="1:33" ht="11.25" customHeight="1" x14ac:dyDescent="0.3">
      <c r="A692" s="4" t="s">
        <v>21</v>
      </c>
      <c r="B692" s="4" t="s">
        <v>43</v>
      </c>
      <c r="C692" s="4" t="s">
        <v>23</v>
      </c>
      <c r="D692" s="4" t="s">
        <v>44</v>
      </c>
      <c r="E692" s="4" t="s">
        <v>25</v>
      </c>
      <c r="F692" s="4" t="s">
        <v>25</v>
      </c>
      <c r="G692" s="4" t="s">
        <v>25</v>
      </c>
      <c r="H692" s="4" t="s">
        <v>25</v>
      </c>
      <c r="I692" s="5">
        <v>44621</v>
      </c>
      <c r="J692" s="6">
        <v>0</v>
      </c>
      <c r="K692" s="6">
        <v>0</v>
      </c>
      <c r="L692" s="6">
        <v>1114.348</v>
      </c>
      <c r="M692" s="6">
        <v>1114.348</v>
      </c>
      <c r="N692" s="6">
        <v>1114.348</v>
      </c>
      <c r="O692" s="6">
        <v>1114.348</v>
      </c>
      <c r="P692" s="6">
        <v>4482</v>
      </c>
      <c r="Q692" s="4" t="s">
        <v>26</v>
      </c>
      <c r="R692" s="4">
        <v>0</v>
      </c>
      <c r="S692" s="6">
        <v>0</v>
      </c>
      <c r="T692" s="6">
        <v>43</v>
      </c>
      <c r="U692" s="6">
        <v>84</v>
      </c>
      <c r="V692" s="6">
        <f>IF(ISERROR(VLOOKUP($S$692,'TAR FIN'!$A$1:$O$103,15,0)),0,VLOOKUP($S$692,'TAR FIN'!$A$1:$O$103,15,0))</f>
        <v>0</v>
      </c>
      <c r="W692" s="6">
        <f>IF(ISERROR(VLOOKUP($T$692,'TAR FIN'!$A$1:$O$103,15,0)),0,VLOOKUP($T$692,'TAR FIN'!$A$1:$O$103,15,0))</f>
        <v>334.07</v>
      </c>
      <c r="X692" s="6">
        <f>IF(ISERROR(VLOOKUP($U$692,'TAR FIN'!$A$1:$O$103,15,0)),0,VLOOKUP($U$692,'TAR FIN'!$A$1:$O$103,15,0))</f>
        <v>224.55</v>
      </c>
      <c r="Y692" s="6"/>
      <c r="Z692" s="6">
        <f ca="1">('TUSD BE'!$AM$45+'TUSD BF_350'!$AM$45+'TUSD CVA'!$AM$45)*(1-CUSTOS!$M$38)</f>
        <v>361.41120000000001</v>
      </c>
      <c r="AA692" s="6">
        <f ca="1">('TE BE'!$AB$26+'TE BF_350'!$AB$26+'TE CVA'!$AB$26)*(1-CUSTOS!$M$38)</f>
        <v>269.31939999999997</v>
      </c>
      <c r="AB692" s="6">
        <f>$K$692*$V$692</f>
        <v>0</v>
      </c>
      <c r="AC692" s="6">
        <f>$M$692*$W$692</f>
        <v>372270.23635999998</v>
      </c>
      <c r="AD692" s="6">
        <f>$O$692*$X$692</f>
        <v>250226.84340000001</v>
      </c>
      <c r="AE692" s="6">
        <f>$K$692*$Y$692</f>
        <v>0</v>
      </c>
      <c r="AF692" s="6">
        <f ca="1">$M$692*$Z$692</f>
        <v>402737.84789759998</v>
      </c>
      <c r="AG692" s="6">
        <f ca="1">$O$692*$AA$692</f>
        <v>300115.53475119994</v>
      </c>
    </row>
    <row r="693" spans="1:33" ht="11.25" customHeight="1" x14ac:dyDescent="0.3">
      <c r="A693" s="4" t="s">
        <v>28</v>
      </c>
      <c r="B693" s="4" t="s">
        <v>43</v>
      </c>
      <c r="C693" s="4" t="s">
        <v>23</v>
      </c>
      <c r="D693" s="4" t="s">
        <v>44</v>
      </c>
      <c r="E693" s="4" t="s">
        <v>25</v>
      </c>
      <c r="F693" s="4" t="s">
        <v>25</v>
      </c>
      <c r="G693" s="4" t="s">
        <v>25</v>
      </c>
      <c r="H693" s="4" t="s">
        <v>25</v>
      </c>
      <c r="I693" s="5">
        <v>44621</v>
      </c>
      <c r="J693" s="6">
        <v>0</v>
      </c>
      <c r="K693" s="6">
        <v>0</v>
      </c>
      <c r="L693" s="6">
        <v>11.337</v>
      </c>
      <c r="M693" s="6">
        <v>11.337</v>
      </c>
      <c r="N693" s="6">
        <v>11.337</v>
      </c>
      <c r="O693" s="6">
        <v>11.337</v>
      </c>
      <c r="P693" s="6">
        <v>82</v>
      </c>
      <c r="Q693" s="4" t="s">
        <v>26</v>
      </c>
      <c r="R693" s="4">
        <v>0</v>
      </c>
      <c r="S693" s="6">
        <v>0</v>
      </c>
      <c r="T693" s="6">
        <v>43</v>
      </c>
      <c r="U693" s="6">
        <v>84</v>
      </c>
      <c r="V693" s="6">
        <f>IF(ISERROR(VLOOKUP($S$693,'TAR FIN'!$A$1:$O$103,15,0)),0,VLOOKUP($S$693,'TAR FIN'!$A$1:$O$103,15,0))</f>
        <v>0</v>
      </c>
      <c r="W693" s="6">
        <f>IF(ISERROR(VLOOKUP($T$693,'TAR FIN'!$A$1:$O$103,15,0)),0,VLOOKUP($T$693,'TAR FIN'!$A$1:$O$103,15,0))</f>
        <v>334.07</v>
      </c>
      <c r="X693" s="6">
        <f>IF(ISERROR(VLOOKUP($U$693,'TAR FIN'!$A$1:$O$103,15,0)),0,VLOOKUP($U$693,'TAR FIN'!$A$1:$O$103,15,0))</f>
        <v>224.55</v>
      </c>
      <c r="Y693" s="6"/>
      <c r="Z693" s="6">
        <f ca="1">('TUSD BE'!$AM$45+'TUSD BF_350'!$AM$45+'TUSD CVA'!$AM$45)*(1-CUSTOS!$M$38)</f>
        <v>361.41120000000001</v>
      </c>
      <c r="AA693" s="6">
        <f ca="1">('TE BE'!$AB$26+'TE BF_350'!$AB$26+'TE CVA'!$AB$26)*(1-CUSTOS!$M$38)</f>
        <v>269.31939999999997</v>
      </c>
      <c r="AB693" s="6">
        <f>$K$693*$V$693</f>
        <v>0</v>
      </c>
      <c r="AC693" s="6">
        <f>$M$693*$W$693</f>
        <v>3787.3515899999998</v>
      </c>
      <c r="AD693" s="6">
        <f>$O$693*$X$693</f>
        <v>2545.7233500000002</v>
      </c>
      <c r="AE693" s="6">
        <f>$K$693*$Y$693</f>
        <v>0</v>
      </c>
      <c r="AF693" s="6">
        <f ca="1">$M$693*$Z$693</f>
        <v>4097.3187743999997</v>
      </c>
      <c r="AG693" s="6">
        <f ca="1">$O$693*$AA$693</f>
        <v>3053.2740377999994</v>
      </c>
    </row>
    <row r="694" spans="1:33" ht="11.25" customHeight="1" x14ac:dyDescent="0.3">
      <c r="A694" s="4" t="s">
        <v>21</v>
      </c>
      <c r="B694" s="4" t="s">
        <v>43</v>
      </c>
      <c r="C694" s="4" t="s">
        <v>23</v>
      </c>
      <c r="D694" s="4" t="s">
        <v>44</v>
      </c>
      <c r="E694" s="4" t="s">
        <v>25</v>
      </c>
      <c r="F694" s="4" t="s">
        <v>25</v>
      </c>
      <c r="G694" s="4" t="s">
        <v>25</v>
      </c>
      <c r="H694" s="4" t="s">
        <v>25</v>
      </c>
      <c r="I694" s="5">
        <v>44652</v>
      </c>
      <c r="J694" s="6">
        <v>0</v>
      </c>
      <c r="K694" s="6">
        <v>0</v>
      </c>
      <c r="L694" s="6">
        <v>1176.8989999999999</v>
      </c>
      <c r="M694" s="6">
        <v>1176.8989999999999</v>
      </c>
      <c r="N694" s="6">
        <v>1176.8989999999999</v>
      </c>
      <c r="O694" s="6">
        <v>1176.8989999999999</v>
      </c>
      <c r="P694" s="6">
        <v>4469</v>
      </c>
      <c r="Q694" s="4" t="s">
        <v>26</v>
      </c>
      <c r="R694" s="4">
        <v>0</v>
      </c>
      <c r="S694" s="6">
        <v>0</v>
      </c>
      <c r="T694" s="6">
        <v>43</v>
      </c>
      <c r="U694" s="6">
        <v>84</v>
      </c>
      <c r="V694" s="6">
        <f>IF(ISERROR(VLOOKUP($S$694,'TAR FIN'!$A$1:$O$103,15,0)),0,VLOOKUP($S$694,'TAR FIN'!$A$1:$O$103,15,0))</f>
        <v>0</v>
      </c>
      <c r="W694" s="6">
        <f>IF(ISERROR(VLOOKUP($T$694,'TAR FIN'!$A$1:$O$103,15,0)),0,VLOOKUP($T$694,'TAR FIN'!$A$1:$O$103,15,0))</f>
        <v>334.07</v>
      </c>
      <c r="X694" s="6">
        <f>IF(ISERROR(VLOOKUP($U$694,'TAR FIN'!$A$1:$O$103,15,0)),0,VLOOKUP($U$694,'TAR FIN'!$A$1:$O$103,15,0))</f>
        <v>224.55</v>
      </c>
      <c r="Y694" s="6"/>
      <c r="Z694" s="6">
        <f ca="1">('TUSD BE'!$AM$45+'TUSD BF_350'!$AM$45+'TUSD CVA'!$AM$45)*(1-CUSTOS!$M$38)</f>
        <v>361.41120000000001</v>
      </c>
      <c r="AA694" s="6">
        <f ca="1">('TE BE'!$AB$26+'TE BF_350'!$AB$26+'TE CVA'!$AB$26)*(1-CUSTOS!$M$38)</f>
        <v>269.31939999999997</v>
      </c>
      <c r="AB694" s="6">
        <f>$K$694*$V$694</f>
        <v>0</v>
      </c>
      <c r="AC694" s="6">
        <f>$M$694*$W$694</f>
        <v>393166.64892999997</v>
      </c>
      <c r="AD694" s="6">
        <f>$O$694*$X$694</f>
        <v>264272.67044999998</v>
      </c>
      <c r="AE694" s="6">
        <f>$K$694*$Y$694</f>
        <v>0</v>
      </c>
      <c r="AF694" s="6">
        <f ca="1">$M$694*$Z$694</f>
        <v>425344.47986879997</v>
      </c>
      <c r="AG694" s="6">
        <f ca="1">$O$694*$AA$694</f>
        <v>316961.73254059994</v>
      </c>
    </row>
    <row r="695" spans="1:33" ht="11.25" customHeight="1" x14ac:dyDescent="0.3">
      <c r="A695" s="4" t="s">
        <v>28</v>
      </c>
      <c r="B695" s="4" t="s">
        <v>43</v>
      </c>
      <c r="C695" s="4" t="s">
        <v>23</v>
      </c>
      <c r="D695" s="4" t="s">
        <v>44</v>
      </c>
      <c r="E695" s="4" t="s">
        <v>25</v>
      </c>
      <c r="F695" s="4" t="s">
        <v>25</v>
      </c>
      <c r="G695" s="4" t="s">
        <v>25</v>
      </c>
      <c r="H695" s="4" t="s">
        <v>25</v>
      </c>
      <c r="I695" s="5">
        <v>44652</v>
      </c>
      <c r="J695" s="6">
        <v>0</v>
      </c>
      <c r="K695" s="6">
        <v>0</v>
      </c>
      <c r="L695" s="6">
        <v>27.274000000000001</v>
      </c>
      <c r="M695" s="6">
        <v>27.274000000000001</v>
      </c>
      <c r="N695" s="6">
        <v>27.274000000000001</v>
      </c>
      <c r="O695" s="6">
        <v>27.274000000000001</v>
      </c>
      <c r="P695" s="6">
        <v>91</v>
      </c>
      <c r="Q695" s="4" t="s">
        <v>26</v>
      </c>
      <c r="R695" s="4">
        <v>0</v>
      </c>
      <c r="S695" s="6">
        <v>0</v>
      </c>
      <c r="T695" s="6">
        <v>43</v>
      </c>
      <c r="U695" s="6">
        <v>84</v>
      </c>
      <c r="V695" s="6">
        <f>IF(ISERROR(VLOOKUP($S$695,'TAR FIN'!$A$1:$O$103,15,0)),0,VLOOKUP($S$695,'TAR FIN'!$A$1:$O$103,15,0))</f>
        <v>0</v>
      </c>
      <c r="W695" s="6">
        <f>IF(ISERROR(VLOOKUP($T$695,'TAR FIN'!$A$1:$O$103,15,0)),0,VLOOKUP($T$695,'TAR FIN'!$A$1:$O$103,15,0))</f>
        <v>334.07</v>
      </c>
      <c r="X695" s="6">
        <f>IF(ISERROR(VLOOKUP($U$695,'TAR FIN'!$A$1:$O$103,15,0)),0,VLOOKUP($U$695,'TAR FIN'!$A$1:$O$103,15,0))</f>
        <v>224.55</v>
      </c>
      <c r="Y695" s="6"/>
      <c r="Z695" s="6">
        <f ca="1">('TUSD BE'!$AM$45+'TUSD BF_350'!$AM$45+'TUSD CVA'!$AM$45)*(1-CUSTOS!$M$38)</f>
        <v>361.41120000000001</v>
      </c>
      <c r="AA695" s="6">
        <f ca="1">('TE BE'!$AB$26+'TE BF_350'!$AB$26+'TE CVA'!$AB$26)*(1-CUSTOS!$M$38)</f>
        <v>269.31939999999997</v>
      </c>
      <c r="AB695" s="6">
        <f>$K$695*$V$695</f>
        <v>0</v>
      </c>
      <c r="AC695" s="6">
        <f>$M$695*$W$695</f>
        <v>9111.4251800000002</v>
      </c>
      <c r="AD695" s="6">
        <f>$O$695*$X$695</f>
        <v>6124.3767000000007</v>
      </c>
      <c r="AE695" s="6">
        <f>$K$695*$Y$695</f>
        <v>0</v>
      </c>
      <c r="AF695" s="6">
        <f ca="1">$M$695*$Z$695</f>
        <v>9857.1290688000008</v>
      </c>
      <c r="AG695" s="6">
        <f ca="1">$O$695*$AA$695</f>
        <v>7345.4173155999997</v>
      </c>
    </row>
    <row r="696" spans="1:33" ht="11.25" customHeight="1" x14ac:dyDescent="0.3">
      <c r="A696" s="4" t="s">
        <v>21</v>
      </c>
      <c r="B696" s="4" t="s">
        <v>43</v>
      </c>
      <c r="C696" s="4" t="s">
        <v>23</v>
      </c>
      <c r="D696" s="4" t="s">
        <v>44</v>
      </c>
      <c r="E696" s="4" t="s">
        <v>25</v>
      </c>
      <c r="F696" s="4" t="s">
        <v>25</v>
      </c>
      <c r="G696" s="4" t="s">
        <v>25</v>
      </c>
      <c r="H696" s="4" t="s">
        <v>25</v>
      </c>
      <c r="I696" s="5">
        <v>44682</v>
      </c>
      <c r="J696" s="6">
        <v>0</v>
      </c>
      <c r="K696" s="6">
        <v>0</v>
      </c>
      <c r="L696" s="6">
        <v>1273.9549999999999</v>
      </c>
      <c r="M696" s="6">
        <v>1273.9549999999999</v>
      </c>
      <c r="N696" s="6">
        <v>1273.9549999999999</v>
      </c>
      <c r="O696" s="6">
        <v>1273.9549999999999</v>
      </c>
      <c r="P696" s="6">
        <v>4481</v>
      </c>
      <c r="Q696" s="4" t="s">
        <v>26</v>
      </c>
      <c r="R696" s="4">
        <v>0</v>
      </c>
      <c r="S696" s="6">
        <v>0</v>
      </c>
      <c r="T696" s="6">
        <v>43</v>
      </c>
      <c r="U696" s="6">
        <v>84</v>
      </c>
      <c r="V696" s="6">
        <f>IF(ISERROR(VLOOKUP($S$696,'TAR FIN'!$A$1:$O$103,15,0)),0,VLOOKUP($S$696,'TAR FIN'!$A$1:$O$103,15,0))</f>
        <v>0</v>
      </c>
      <c r="W696" s="6">
        <f>IF(ISERROR(VLOOKUP($T$696,'TAR FIN'!$A$1:$O$103,15,0)),0,VLOOKUP($T$696,'TAR FIN'!$A$1:$O$103,15,0))</f>
        <v>334.07</v>
      </c>
      <c r="X696" s="6">
        <f>IF(ISERROR(VLOOKUP($U$696,'TAR FIN'!$A$1:$O$103,15,0)),0,VLOOKUP($U$696,'TAR FIN'!$A$1:$O$103,15,0))</f>
        <v>224.55</v>
      </c>
      <c r="Y696" s="6"/>
      <c r="Z696" s="6">
        <f ca="1">('TUSD BE'!$AM$45+'TUSD BF_350'!$AM$45+'TUSD CVA'!$AM$45)*(1-CUSTOS!$M$38)</f>
        <v>361.41120000000001</v>
      </c>
      <c r="AA696" s="6">
        <f ca="1">('TE BE'!$AB$26+'TE BF_350'!$AB$26+'TE CVA'!$AB$26)*(1-CUSTOS!$M$38)</f>
        <v>269.31939999999997</v>
      </c>
      <c r="AB696" s="6">
        <f>$K$696*$V$696</f>
        <v>0</v>
      </c>
      <c r="AC696" s="6">
        <f>$M$696*$W$696</f>
        <v>425590.14684999996</v>
      </c>
      <c r="AD696" s="6">
        <f>$O$696*$X$696</f>
        <v>286066.59525000001</v>
      </c>
      <c r="AE696" s="6">
        <f>$K$696*$Y$696</f>
        <v>0</v>
      </c>
      <c r="AF696" s="6">
        <f ca="1">$M$696*$Z$696</f>
        <v>460421.60529599997</v>
      </c>
      <c r="AG696" s="6">
        <f ca="1">$O$696*$AA$696</f>
        <v>343100.79622699996</v>
      </c>
    </row>
    <row r="697" spans="1:33" ht="11.25" customHeight="1" x14ac:dyDescent="0.3">
      <c r="A697" s="4" t="s">
        <v>28</v>
      </c>
      <c r="B697" s="4" t="s">
        <v>43</v>
      </c>
      <c r="C697" s="4" t="s">
        <v>23</v>
      </c>
      <c r="D697" s="4" t="s">
        <v>44</v>
      </c>
      <c r="E697" s="4" t="s">
        <v>25</v>
      </c>
      <c r="F697" s="4" t="s">
        <v>25</v>
      </c>
      <c r="G697" s="4" t="s">
        <v>25</v>
      </c>
      <c r="H697" s="4" t="s">
        <v>25</v>
      </c>
      <c r="I697" s="5">
        <v>44682</v>
      </c>
      <c r="J697" s="6">
        <v>0</v>
      </c>
      <c r="K697" s="6">
        <v>0</v>
      </c>
      <c r="L697" s="6">
        <v>24.559000000000001</v>
      </c>
      <c r="M697" s="6">
        <v>24.559000000000001</v>
      </c>
      <c r="N697" s="6">
        <v>24.559000000000001</v>
      </c>
      <c r="O697" s="6">
        <v>24.559000000000001</v>
      </c>
      <c r="P697" s="6">
        <v>100</v>
      </c>
      <c r="Q697" s="4" t="s">
        <v>26</v>
      </c>
      <c r="R697" s="4">
        <v>0</v>
      </c>
      <c r="S697" s="6">
        <v>0</v>
      </c>
      <c r="T697" s="6">
        <v>43</v>
      </c>
      <c r="U697" s="6">
        <v>84</v>
      </c>
      <c r="V697" s="6">
        <f>IF(ISERROR(VLOOKUP($S$697,'TAR FIN'!$A$1:$O$103,15,0)),0,VLOOKUP($S$697,'TAR FIN'!$A$1:$O$103,15,0))</f>
        <v>0</v>
      </c>
      <c r="W697" s="6">
        <f>IF(ISERROR(VLOOKUP($T$697,'TAR FIN'!$A$1:$O$103,15,0)),0,VLOOKUP($T$697,'TAR FIN'!$A$1:$O$103,15,0))</f>
        <v>334.07</v>
      </c>
      <c r="X697" s="6">
        <f>IF(ISERROR(VLOOKUP($U$697,'TAR FIN'!$A$1:$O$103,15,0)),0,VLOOKUP($U$697,'TAR FIN'!$A$1:$O$103,15,0))</f>
        <v>224.55</v>
      </c>
      <c r="Y697" s="6"/>
      <c r="Z697" s="6">
        <f ca="1">('TUSD BE'!$AM$45+'TUSD BF_350'!$AM$45+'TUSD CVA'!$AM$45)*(1-CUSTOS!$M$38)</f>
        <v>361.41120000000001</v>
      </c>
      <c r="AA697" s="6">
        <f ca="1">('TE BE'!$AB$26+'TE BF_350'!$AB$26+'TE CVA'!$AB$26)*(1-CUSTOS!$M$38)</f>
        <v>269.31939999999997</v>
      </c>
      <c r="AB697" s="6">
        <f>$K$697*$V$697</f>
        <v>0</v>
      </c>
      <c r="AC697" s="6">
        <f>$M$697*$W$697</f>
        <v>8204.4251299999996</v>
      </c>
      <c r="AD697" s="6">
        <f>$O$697*$X$697</f>
        <v>5514.7234500000004</v>
      </c>
      <c r="AE697" s="6">
        <f>$K$697*$Y$697</f>
        <v>0</v>
      </c>
      <c r="AF697" s="6">
        <f ca="1">$M$697*$Z$697</f>
        <v>8875.8976608000012</v>
      </c>
      <c r="AG697" s="6">
        <f ca="1">$O$697*$AA$697</f>
        <v>6614.2151445999998</v>
      </c>
    </row>
    <row r="698" spans="1:33" ht="11.25" customHeight="1" x14ac:dyDescent="0.3">
      <c r="A698" s="4" t="s">
        <v>21</v>
      </c>
      <c r="B698" s="4" t="s">
        <v>43</v>
      </c>
      <c r="C698" s="4" t="s">
        <v>23</v>
      </c>
      <c r="D698" s="4" t="s">
        <v>44</v>
      </c>
      <c r="E698" s="4" t="s">
        <v>25</v>
      </c>
      <c r="F698" s="4" t="s">
        <v>25</v>
      </c>
      <c r="G698" s="4" t="s">
        <v>25</v>
      </c>
      <c r="H698" s="4" t="s">
        <v>25</v>
      </c>
      <c r="I698" s="5">
        <v>44713</v>
      </c>
      <c r="J698" s="6">
        <v>0</v>
      </c>
      <c r="K698" s="6">
        <v>0</v>
      </c>
      <c r="L698" s="6">
        <v>1163.0940000000001</v>
      </c>
      <c r="M698" s="6">
        <v>1163.0940000000001</v>
      </c>
      <c r="N698" s="6">
        <v>1163.0940000000001</v>
      </c>
      <c r="O698" s="6">
        <v>1163.0940000000001</v>
      </c>
      <c r="P698" s="6">
        <v>4476</v>
      </c>
      <c r="Q698" s="4" t="s">
        <v>26</v>
      </c>
      <c r="R698" s="4">
        <v>0</v>
      </c>
      <c r="S698" s="6">
        <v>0</v>
      </c>
      <c r="T698" s="6">
        <v>43</v>
      </c>
      <c r="U698" s="6">
        <v>84</v>
      </c>
      <c r="V698" s="6">
        <f>IF(ISERROR(VLOOKUP($S$698,'TAR FIN'!$A$1:$O$103,15,0)),0,VLOOKUP($S$698,'TAR FIN'!$A$1:$O$103,15,0))</f>
        <v>0</v>
      </c>
      <c r="W698" s="6">
        <f>IF(ISERROR(VLOOKUP($T$698,'TAR FIN'!$A$1:$O$103,15,0)),0,VLOOKUP($T$698,'TAR FIN'!$A$1:$O$103,15,0))</f>
        <v>334.07</v>
      </c>
      <c r="X698" s="6">
        <f>IF(ISERROR(VLOOKUP($U$698,'TAR FIN'!$A$1:$O$103,15,0)),0,VLOOKUP($U$698,'TAR FIN'!$A$1:$O$103,15,0))</f>
        <v>224.55</v>
      </c>
      <c r="Y698" s="6"/>
      <c r="Z698" s="6">
        <f ca="1">('TUSD BE'!$AM$45+'TUSD BF_350'!$AM$45+'TUSD CVA'!$AM$45)*(1-CUSTOS!$M$38)</f>
        <v>361.41120000000001</v>
      </c>
      <c r="AA698" s="6">
        <f ca="1">('TE BE'!$AB$26+'TE BF_350'!$AB$26+'TE CVA'!$AB$26)*(1-CUSTOS!$M$38)</f>
        <v>269.31939999999997</v>
      </c>
      <c r="AB698" s="6">
        <f>$K$698*$V$698</f>
        <v>0</v>
      </c>
      <c r="AC698" s="6">
        <f>$M$698*$W$698</f>
        <v>388554.81258000003</v>
      </c>
      <c r="AD698" s="6">
        <f>$O$698*$X$698</f>
        <v>261172.75770000002</v>
      </c>
      <c r="AE698" s="6">
        <f>$K$698*$Y$698</f>
        <v>0</v>
      </c>
      <c r="AF698" s="6">
        <f ca="1">$M$698*$Z$698</f>
        <v>420355.19825280004</v>
      </c>
      <c r="AG698" s="6">
        <f ca="1">$O$698*$AA$698</f>
        <v>313243.77822360001</v>
      </c>
    </row>
    <row r="699" spans="1:33" ht="11.25" customHeight="1" x14ac:dyDescent="0.3">
      <c r="A699" s="4" t="s">
        <v>28</v>
      </c>
      <c r="B699" s="4" t="s">
        <v>43</v>
      </c>
      <c r="C699" s="4" t="s">
        <v>23</v>
      </c>
      <c r="D699" s="4" t="s">
        <v>44</v>
      </c>
      <c r="E699" s="4" t="s">
        <v>25</v>
      </c>
      <c r="F699" s="4" t="s">
        <v>25</v>
      </c>
      <c r="G699" s="4" t="s">
        <v>25</v>
      </c>
      <c r="H699" s="4" t="s">
        <v>25</v>
      </c>
      <c r="I699" s="5">
        <v>44713</v>
      </c>
      <c r="J699" s="6">
        <v>0</v>
      </c>
      <c r="K699" s="6">
        <v>0</v>
      </c>
      <c r="L699" s="6">
        <v>23.04</v>
      </c>
      <c r="M699" s="6">
        <v>23.04</v>
      </c>
      <c r="N699" s="6">
        <v>23.04</v>
      </c>
      <c r="O699" s="6">
        <v>23.04</v>
      </c>
      <c r="P699" s="6">
        <v>105</v>
      </c>
      <c r="Q699" s="4" t="s">
        <v>26</v>
      </c>
      <c r="R699" s="4">
        <v>0</v>
      </c>
      <c r="S699" s="6">
        <v>0</v>
      </c>
      <c r="T699" s="6">
        <v>43</v>
      </c>
      <c r="U699" s="6">
        <v>84</v>
      </c>
      <c r="V699" s="6">
        <f>IF(ISERROR(VLOOKUP($S$699,'TAR FIN'!$A$1:$O$103,15,0)),0,VLOOKUP($S$699,'TAR FIN'!$A$1:$O$103,15,0))</f>
        <v>0</v>
      </c>
      <c r="W699" s="6">
        <f>IF(ISERROR(VLOOKUP($T$699,'TAR FIN'!$A$1:$O$103,15,0)),0,VLOOKUP($T$699,'TAR FIN'!$A$1:$O$103,15,0))</f>
        <v>334.07</v>
      </c>
      <c r="X699" s="6">
        <f>IF(ISERROR(VLOOKUP($U$699,'TAR FIN'!$A$1:$O$103,15,0)),0,VLOOKUP($U$699,'TAR FIN'!$A$1:$O$103,15,0))</f>
        <v>224.55</v>
      </c>
      <c r="Y699" s="6"/>
      <c r="Z699" s="6">
        <f ca="1">('TUSD BE'!$AM$45+'TUSD BF_350'!$AM$45+'TUSD CVA'!$AM$45)*(1-CUSTOS!$M$38)</f>
        <v>361.41120000000001</v>
      </c>
      <c r="AA699" s="6">
        <f ca="1">('TE BE'!$AB$26+'TE BF_350'!$AB$26+'TE CVA'!$AB$26)*(1-CUSTOS!$M$38)</f>
        <v>269.31939999999997</v>
      </c>
      <c r="AB699" s="6">
        <f>$K$699*$V$699</f>
        <v>0</v>
      </c>
      <c r="AC699" s="6">
        <f>$M$699*$W$699</f>
        <v>7696.9727999999996</v>
      </c>
      <c r="AD699" s="6">
        <f>$O$699*$X$699</f>
        <v>5173.6320000000005</v>
      </c>
      <c r="AE699" s="6">
        <f>$K$699*$Y$699</f>
        <v>0</v>
      </c>
      <c r="AF699" s="6">
        <f ca="1">$M$699*$Z$699</f>
        <v>8326.9140480000005</v>
      </c>
      <c r="AG699" s="6">
        <f ca="1">$O$699*$AA$699</f>
        <v>6205.1189759999988</v>
      </c>
    </row>
    <row r="700" spans="1:33" ht="11.25" customHeight="1" x14ac:dyDescent="0.3">
      <c r="A700" s="4" t="s">
        <v>21</v>
      </c>
      <c r="B700" s="4" t="s">
        <v>43</v>
      </c>
      <c r="C700" s="4" t="s">
        <v>23</v>
      </c>
      <c r="D700" s="4" t="s">
        <v>44</v>
      </c>
      <c r="E700" s="4" t="s">
        <v>25</v>
      </c>
      <c r="F700" s="4" t="s">
        <v>25</v>
      </c>
      <c r="G700" s="4" t="s">
        <v>25</v>
      </c>
      <c r="H700" s="4" t="s">
        <v>25</v>
      </c>
      <c r="I700" s="5">
        <v>44743</v>
      </c>
      <c r="J700" s="6">
        <v>0</v>
      </c>
      <c r="K700" s="6">
        <v>0</v>
      </c>
      <c r="L700" s="6">
        <v>1133.1010000000001</v>
      </c>
      <c r="M700" s="6">
        <v>1133.1010000000001</v>
      </c>
      <c r="N700" s="6">
        <v>1133.1010000000001</v>
      </c>
      <c r="O700" s="6">
        <v>1133.1010000000001</v>
      </c>
      <c r="P700" s="6">
        <v>4468</v>
      </c>
      <c r="Q700" s="4" t="s">
        <v>26</v>
      </c>
      <c r="R700" s="4">
        <v>0</v>
      </c>
      <c r="S700" s="6">
        <v>0</v>
      </c>
      <c r="T700" s="6">
        <v>43</v>
      </c>
      <c r="U700" s="6">
        <v>84</v>
      </c>
      <c r="V700" s="6">
        <f>IF(ISERROR(VLOOKUP($S$700,'TAR FIN'!$A$1:$O$103,15,0)),0,VLOOKUP($S$700,'TAR FIN'!$A$1:$O$103,15,0))</f>
        <v>0</v>
      </c>
      <c r="W700" s="6">
        <f>IF(ISERROR(VLOOKUP($T$700,'TAR FIN'!$A$1:$O$103,15,0)),0,VLOOKUP($T$700,'TAR FIN'!$A$1:$O$103,15,0))</f>
        <v>334.07</v>
      </c>
      <c r="X700" s="6">
        <f>IF(ISERROR(VLOOKUP($U$700,'TAR FIN'!$A$1:$O$103,15,0)),0,VLOOKUP($U$700,'TAR FIN'!$A$1:$O$103,15,0))</f>
        <v>224.55</v>
      </c>
      <c r="Y700" s="6"/>
      <c r="Z700" s="6">
        <f ca="1">('TUSD BE'!$AM$45+'TUSD BF_350'!$AM$45+'TUSD CVA'!$AM$45)*(1-CUSTOS!$M$38)</f>
        <v>361.41120000000001</v>
      </c>
      <c r="AA700" s="6">
        <f ca="1">('TE BE'!$AB$26+'TE BF_350'!$AB$26+'TE CVA'!$AB$26)*(1-CUSTOS!$M$38)</f>
        <v>269.31939999999997</v>
      </c>
      <c r="AB700" s="6">
        <f>$K$700*$V$700</f>
        <v>0</v>
      </c>
      <c r="AC700" s="6">
        <f>$M$700*$W$700</f>
        <v>378535.05107000005</v>
      </c>
      <c r="AD700" s="6">
        <f>$O$700*$X$700</f>
        <v>254437.82955000002</v>
      </c>
      <c r="AE700" s="6">
        <f>$K$700*$Y$700</f>
        <v>0</v>
      </c>
      <c r="AF700" s="6">
        <f ca="1">$M$700*$Z$700</f>
        <v>409515.39213120006</v>
      </c>
      <c r="AG700" s="6">
        <f ca="1">$O$700*$AA$700</f>
        <v>305166.08145940001</v>
      </c>
    </row>
    <row r="701" spans="1:33" ht="11.25" customHeight="1" x14ac:dyDescent="0.3">
      <c r="A701" s="4" t="s">
        <v>28</v>
      </c>
      <c r="B701" s="4" t="s">
        <v>43</v>
      </c>
      <c r="C701" s="4" t="s">
        <v>23</v>
      </c>
      <c r="D701" s="4" t="s">
        <v>44</v>
      </c>
      <c r="E701" s="4" t="s">
        <v>25</v>
      </c>
      <c r="F701" s="4" t="s">
        <v>25</v>
      </c>
      <c r="G701" s="4" t="s">
        <v>25</v>
      </c>
      <c r="H701" s="4" t="s">
        <v>25</v>
      </c>
      <c r="I701" s="5">
        <v>44743</v>
      </c>
      <c r="J701" s="6">
        <v>0</v>
      </c>
      <c r="K701" s="6">
        <v>0</v>
      </c>
      <c r="L701" s="6">
        <v>25.085000000000001</v>
      </c>
      <c r="M701" s="6">
        <v>25.085000000000001</v>
      </c>
      <c r="N701" s="6">
        <v>25.085000000000001</v>
      </c>
      <c r="O701" s="6">
        <v>25.085000000000001</v>
      </c>
      <c r="P701" s="6">
        <v>109</v>
      </c>
      <c r="Q701" s="4" t="s">
        <v>26</v>
      </c>
      <c r="R701" s="4">
        <v>0</v>
      </c>
      <c r="S701" s="6">
        <v>0</v>
      </c>
      <c r="T701" s="6">
        <v>43</v>
      </c>
      <c r="U701" s="6">
        <v>84</v>
      </c>
      <c r="V701" s="6">
        <f>IF(ISERROR(VLOOKUP($S$701,'TAR FIN'!$A$1:$O$103,15,0)),0,VLOOKUP($S$701,'TAR FIN'!$A$1:$O$103,15,0))</f>
        <v>0</v>
      </c>
      <c r="W701" s="6">
        <f>IF(ISERROR(VLOOKUP($T$701,'TAR FIN'!$A$1:$O$103,15,0)),0,VLOOKUP($T$701,'TAR FIN'!$A$1:$O$103,15,0))</f>
        <v>334.07</v>
      </c>
      <c r="X701" s="6">
        <f>IF(ISERROR(VLOOKUP($U$701,'TAR FIN'!$A$1:$O$103,15,0)),0,VLOOKUP($U$701,'TAR FIN'!$A$1:$O$103,15,0))</f>
        <v>224.55</v>
      </c>
      <c r="Y701" s="6"/>
      <c r="Z701" s="6">
        <f ca="1">('TUSD BE'!$AM$45+'TUSD BF_350'!$AM$45+'TUSD CVA'!$AM$45)*(1-CUSTOS!$M$38)</f>
        <v>361.41120000000001</v>
      </c>
      <c r="AA701" s="6">
        <f ca="1">('TE BE'!$AB$26+'TE BF_350'!$AB$26+'TE CVA'!$AB$26)*(1-CUSTOS!$M$38)</f>
        <v>269.31939999999997</v>
      </c>
      <c r="AB701" s="6">
        <f>$K$701*$V$701</f>
        <v>0</v>
      </c>
      <c r="AC701" s="6">
        <f>$M$701*$W$701</f>
        <v>8380.1459500000001</v>
      </c>
      <c r="AD701" s="6">
        <f>$O$701*$X$701</f>
        <v>5632.8367500000004</v>
      </c>
      <c r="AE701" s="6">
        <f>$K$701*$Y$701</f>
        <v>0</v>
      </c>
      <c r="AF701" s="6">
        <f ca="1">$M$701*$Z$701</f>
        <v>9065.9999520000001</v>
      </c>
      <c r="AG701" s="6">
        <f ca="1">$O$701*$AA$701</f>
        <v>6755.8771489999999</v>
      </c>
    </row>
    <row r="702" spans="1:33" ht="11.25" customHeight="1" x14ac:dyDescent="0.3">
      <c r="A702" s="4" t="s">
        <v>21</v>
      </c>
      <c r="B702" s="4" t="s">
        <v>43</v>
      </c>
      <c r="C702" s="4" t="s">
        <v>23</v>
      </c>
      <c r="D702" s="4" t="s">
        <v>44</v>
      </c>
      <c r="E702" s="4" t="s">
        <v>25</v>
      </c>
      <c r="F702" s="4" t="s">
        <v>25</v>
      </c>
      <c r="G702" s="4" t="s">
        <v>25</v>
      </c>
      <c r="H702" s="4" t="s">
        <v>25</v>
      </c>
      <c r="I702" s="5">
        <v>44774</v>
      </c>
      <c r="J702" s="6">
        <v>0</v>
      </c>
      <c r="K702" s="6">
        <v>0</v>
      </c>
      <c r="L702" s="6">
        <v>1323.0640000000001</v>
      </c>
      <c r="M702" s="6">
        <v>1323.0640000000001</v>
      </c>
      <c r="N702" s="6">
        <v>1323.0640000000001</v>
      </c>
      <c r="O702" s="6">
        <v>1323.0640000000001</v>
      </c>
      <c r="P702" s="6">
        <v>4459</v>
      </c>
      <c r="Q702" s="4" t="s">
        <v>26</v>
      </c>
      <c r="R702" s="4">
        <v>0</v>
      </c>
      <c r="S702" s="6">
        <v>0</v>
      </c>
      <c r="T702" s="6">
        <v>43</v>
      </c>
      <c r="U702" s="6">
        <v>84</v>
      </c>
      <c r="V702" s="6">
        <f>IF(ISERROR(VLOOKUP($S$702,'TAR FIN'!$A$1:$O$103,15,0)),0,VLOOKUP($S$702,'TAR FIN'!$A$1:$O$103,15,0))</f>
        <v>0</v>
      </c>
      <c r="W702" s="6">
        <f>IF(ISERROR(VLOOKUP($T$702,'TAR FIN'!$A$1:$O$103,15,0)),0,VLOOKUP($T$702,'TAR FIN'!$A$1:$O$103,15,0))</f>
        <v>334.07</v>
      </c>
      <c r="X702" s="6">
        <f>IF(ISERROR(VLOOKUP($U$702,'TAR FIN'!$A$1:$O$103,15,0)),0,VLOOKUP($U$702,'TAR FIN'!$A$1:$O$103,15,0))</f>
        <v>224.55</v>
      </c>
      <c r="Y702" s="6"/>
      <c r="Z702" s="6">
        <f ca="1">('TUSD BE'!$AM$45+'TUSD BF_350'!$AM$45+'TUSD CVA'!$AM$45)*(1-CUSTOS!$M$38)</f>
        <v>361.41120000000001</v>
      </c>
      <c r="AA702" s="6">
        <f ca="1">('TE BE'!$AB$26+'TE BF_350'!$AB$26+'TE CVA'!$AB$26)*(1-CUSTOS!$M$38)</f>
        <v>269.31939999999997</v>
      </c>
      <c r="AB702" s="6">
        <f>$K$702*$V$702</f>
        <v>0</v>
      </c>
      <c r="AC702" s="6">
        <f>$M$702*$W$702</f>
        <v>441995.99048000004</v>
      </c>
      <c r="AD702" s="6">
        <f>$O$702*$X$702</f>
        <v>297094.02120000002</v>
      </c>
      <c r="AE702" s="6">
        <f>$K$702*$Y$702</f>
        <v>0</v>
      </c>
      <c r="AF702" s="6">
        <f ca="1">$M$702*$Z$702</f>
        <v>478170.14791680005</v>
      </c>
      <c r="AG702" s="6">
        <f ca="1">$O$702*$AA$702</f>
        <v>356326.80264159996</v>
      </c>
    </row>
    <row r="703" spans="1:33" ht="11.25" customHeight="1" x14ac:dyDescent="0.3">
      <c r="A703" s="4" t="s">
        <v>28</v>
      </c>
      <c r="B703" s="4" t="s">
        <v>43</v>
      </c>
      <c r="C703" s="4" t="s">
        <v>23</v>
      </c>
      <c r="D703" s="4" t="s">
        <v>44</v>
      </c>
      <c r="E703" s="4" t="s">
        <v>25</v>
      </c>
      <c r="F703" s="4" t="s">
        <v>25</v>
      </c>
      <c r="G703" s="4" t="s">
        <v>25</v>
      </c>
      <c r="H703" s="4" t="s">
        <v>25</v>
      </c>
      <c r="I703" s="5">
        <v>44774</v>
      </c>
      <c r="J703" s="6">
        <v>0</v>
      </c>
      <c r="K703" s="6">
        <v>0</v>
      </c>
      <c r="L703" s="6">
        <v>24.838999999999999</v>
      </c>
      <c r="M703" s="6">
        <v>24.838999999999999</v>
      </c>
      <c r="N703" s="6">
        <v>24.838999999999999</v>
      </c>
      <c r="O703" s="6">
        <v>24.838999999999999</v>
      </c>
      <c r="P703" s="6">
        <v>117</v>
      </c>
      <c r="Q703" s="4" t="s">
        <v>26</v>
      </c>
      <c r="R703" s="4">
        <v>0</v>
      </c>
      <c r="S703" s="6">
        <v>0</v>
      </c>
      <c r="T703" s="6">
        <v>43</v>
      </c>
      <c r="U703" s="6">
        <v>84</v>
      </c>
      <c r="V703" s="6">
        <f>IF(ISERROR(VLOOKUP($S$703,'TAR FIN'!$A$1:$O$103,15,0)),0,VLOOKUP($S$703,'TAR FIN'!$A$1:$O$103,15,0))</f>
        <v>0</v>
      </c>
      <c r="W703" s="6">
        <f>IF(ISERROR(VLOOKUP($T$703,'TAR FIN'!$A$1:$O$103,15,0)),0,VLOOKUP($T$703,'TAR FIN'!$A$1:$O$103,15,0))</f>
        <v>334.07</v>
      </c>
      <c r="X703" s="6">
        <f>IF(ISERROR(VLOOKUP($U$703,'TAR FIN'!$A$1:$O$103,15,0)),0,VLOOKUP($U$703,'TAR FIN'!$A$1:$O$103,15,0))</f>
        <v>224.55</v>
      </c>
      <c r="Y703" s="6"/>
      <c r="Z703" s="6">
        <f ca="1">('TUSD BE'!$AM$45+'TUSD BF_350'!$AM$45+'TUSD CVA'!$AM$45)*(1-CUSTOS!$M$38)</f>
        <v>361.41120000000001</v>
      </c>
      <c r="AA703" s="6">
        <f ca="1">('TE BE'!$AB$26+'TE BF_350'!$AB$26+'TE CVA'!$AB$26)*(1-CUSTOS!$M$38)</f>
        <v>269.31939999999997</v>
      </c>
      <c r="AB703" s="6">
        <f>$K$703*$V$703</f>
        <v>0</v>
      </c>
      <c r="AC703" s="6">
        <f>$M$703*$W$703</f>
        <v>8297.9647299999997</v>
      </c>
      <c r="AD703" s="6">
        <f>$O$703*$X$703</f>
        <v>5577.5974500000002</v>
      </c>
      <c r="AE703" s="6">
        <f>$K$703*$Y$703</f>
        <v>0</v>
      </c>
      <c r="AF703" s="6">
        <f ca="1">$M$703*$Z$703</f>
        <v>8977.0927967999996</v>
      </c>
      <c r="AG703" s="6">
        <f ca="1">$O$703*$AA$703</f>
        <v>6689.6245765999993</v>
      </c>
    </row>
    <row r="704" spans="1:33" ht="11.25" customHeight="1" x14ac:dyDescent="0.3">
      <c r="A704" s="4" t="s">
        <v>21</v>
      </c>
      <c r="B704" s="4" t="s">
        <v>43</v>
      </c>
      <c r="C704" s="4" t="s">
        <v>23</v>
      </c>
      <c r="D704" s="4" t="s">
        <v>44</v>
      </c>
      <c r="E704" s="4" t="s">
        <v>25</v>
      </c>
      <c r="F704" s="4" t="s">
        <v>25</v>
      </c>
      <c r="G704" s="4" t="s">
        <v>25</v>
      </c>
      <c r="H704" s="4" t="s">
        <v>25</v>
      </c>
      <c r="I704" s="5">
        <v>44805</v>
      </c>
      <c r="J704" s="6">
        <v>0</v>
      </c>
      <c r="K704" s="6">
        <v>0</v>
      </c>
      <c r="L704" s="6">
        <v>1539.942</v>
      </c>
      <c r="M704" s="6">
        <v>1539.942</v>
      </c>
      <c r="N704" s="6">
        <v>1539.942</v>
      </c>
      <c r="O704" s="6">
        <v>1539.942</v>
      </c>
      <c r="P704" s="6">
        <v>4452</v>
      </c>
      <c r="Q704" s="4" t="s">
        <v>26</v>
      </c>
      <c r="R704" s="4">
        <v>0</v>
      </c>
      <c r="S704" s="6">
        <v>0</v>
      </c>
      <c r="T704" s="6">
        <v>43</v>
      </c>
      <c r="U704" s="6">
        <v>84</v>
      </c>
      <c r="V704" s="6">
        <f>IF(ISERROR(VLOOKUP($S$704,'TAR FIN'!$A$1:$O$103,15,0)),0,VLOOKUP($S$704,'TAR FIN'!$A$1:$O$103,15,0))</f>
        <v>0</v>
      </c>
      <c r="W704" s="6">
        <f>IF(ISERROR(VLOOKUP($T$704,'TAR FIN'!$A$1:$O$103,15,0)),0,VLOOKUP($T$704,'TAR FIN'!$A$1:$O$103,15,0))</f>
        <v>334.07</v>
      </c>
      <c r="X704" s="6">
        <f>IF(ISERROR(VLOOKUP($U$704,'TAR FIN'!$A$1:$O$103,15,0)),0,VLOOKUP($U$704,'TAR FIN'!$A$1:$O$103,15,0))</f>
        <v>224.55</v>
      </c>
      <c r="Y704" s="6"/>
      <c r="Z704" s="6">
        <f ca="1">('TUSD BE'!$AM$45+'TUSD BF_350'!$AM$45+'TUSD CVA'!$AM$45)*(1-CUSTOS!$M$38)</f>
        <v>361.41120000000001</v>
      </c>
      <c r="AA704" s="6">
        <f ca="1">('TE BE'!$AB$26+'TE BF_350'!$AB$26+'TE CVA'!$AB$26)*(1-CUSTOS!$M$38)</f>
        <v>269.31939999999997</v>
      </c>
      <c r="AB704" s="6">
        <f>$K$704*$V$704</f>
        <v>0</v>
      </c>
      <c r="AC704" s="6">
        <f>$M$704*$W$704</f>
        <v>514448.42394000001</v>
      </c>
      <c r="AD704" s="6">
        <f>$O$704*$X$704</f>
        <v>345793.97610000003</v>
      </c>
      <c r="AE704" s="6">
        <f>$K$704*$Y$704</f>
        <v>0</v>
      </c>
      <c r="AF704" s="6">
        <f ca="1">$M$704*$Z$704</f>
        <v>556552.28615040006</v>
      </c>
      <c r="AG704" s="6">
        <f ca="1">$O$704*$AA$704</f>
        <v>414736.25547479995</v>
      </c>
    </row>
    <row r="705" spans="1:33" ht="11.25" customHeight="1" x14ac:dyDescent="0.3">
      <c r="A705" s="4" t="s">
        <v>28</v>
      </c>
      <c r="B705" s="4" t="s">
        <v>43</v>
      </c>
      <c r="C705" s="4" t="s">
        <v>23</v>
      </c>
      <c r="D705" s="4" t="s">
        <v>44</v>
      </c>
      <c r="E705" s="4" t="s">
        <v>25</v>
      </c>
      <c r="F705" s="4" t="s">
        <v>25</v>
      </c>
      <c r="G705" s="4" t="s">
        <v>25</v>
      </c>
      <c r="H705" s="4" t="s">
        <v>25</v>
      </c>
      <c r="I705" s="5">
        <v>44805</v>
      </c>
      <c r="J705" s="6">
        <v>0</v>
      </c>
      <c r="K705" s="6">
        <v>0</v>
      </c>
      <c r="L705" s="6">
        <v>27.417000000000002</v>
      </c>
      <c r="M705" s="6">
        <v>27.417000000000002</v>
      </c>
      <c r="N705" s="6">
        <v>27.417000000000002</v>
      </c>
      <c r="O705" s="6">
        <v>27.417000000000002</v>
      </c>
      <c r="P705" s="6">
        <v>125</v>
      </c>
      <c r="Q705" s="4" t="s">
        <v>26</v>
      </c>
      <c r="R705" s="4">
        <v>0</v>
      </c>
      <c r="S705" s="6">
        <v>0</v>
      </c>
      <c r="T705" s="6">
        <v>43</v>
      </c>
      <c r="U705" s="6">
        <v>84</v>
      </c>
      <c r="V705" s="6">
        <f>IF(ISERROR(VLOOKUP($S$705,'TAR FIN'!$A$1:$O$103,15,0)),0,VLOOKUP($S$705,'TAR FIN'!$A$1:$O$103,15,0))</f>
        <v>0</v>
      </c>
      <c r="W705" s="6">
        <f>IF(ISERROR(VLOOKUP($T$705,'TAR FIN'!$A$1:$O$103,15,0)),0,VLOOKUP($T$705,'TAR FIN'!$A$1:$O$103,15,0))</f>
        <v>334.07</v>
      </c>
      <c r="X705" s="6">
        <f>IF(ISERROR(VLOOKUP($U$705,'TAR FIN'!$A$1:$O$103,15,0)),0,VLOOKUP($U$705,'TAR FIN'!$A$1:$O$103,15,0))</f>
        <v>224.55</v>
      </c>
      <c r="Y705" s="6"/>
      <c r="Z705" s="6">
        <f ca="1">('TUSD BE'!$AM$45+'TUSD BF_350'!$AM$45+'TUSD CVA'!$AM$45)*(1-CUSTOS!$M$38)</f>
        <v>361.41120000000001</v>
      </c>
      <c r="AA705" s="6">
        <f ca="1">('TE BE'!$AB$26+'TE BF_350'!$AB$26+'TE CVA'!$AB$26)*(1-CUSTOS!$M$38)</f>
        <v>269.31939999999997</v>
      </c>
      <c r="AB705" s="6">
        <f>$K$705*$V$705</f>
        <v>0</v>
      </c>
      <c r="AC705" s="6">
        <f>$M$705*$W$705</f>
        <v>9159.1971900000008</v>
      </c>
      <c r="AD705" s="6">
        <f>$O$705*$X$705</f>
        <v>6156.4873500000003</v>
      </c>
      <c r="AE705" s="6">
        <f>$K$705*$Y$705</f>
        <v>0</v>
      </c>
      <c r="AF705" s="6">
        <f ca="1">$M$705*$Z$705</f>
        <v>9908.8108704000006</v>
      </c>
      <c r="AG705" s="6">
        <f ca="1">$O$705*$AA$705</f>
        <v>7383.9299897999999</v>
      </c>
    </row>
    <row r="706" spans="1:33" ht="11.25" customHeight="1" x14ac:dyDescent="0.3">
      <c r="A706" s="4" t="s">
        <v>57</v>
      </c>
      <c r="B706" s="4" t="s">
        <v>43</v>
      </c>
      <c r="C706" s="4" t="s">
        <v>23</v>
      </c>
      <c r="D706" s="4" t="s">
        <v>44</v>
      </c>
      <c r="E706" s="4" t="s">
        <v>25</v>
      </c>
      <c r="F706" s="4" t="s">
        <v>25</v>
      </c>
      <c r="G706" s="4" t="s">
        <v>25</v>
      </c>
      <c r="H706" s="4" t="s">
        <v>25</v>
      </c>
      <c r="I706" s="5">
        <v>44835</v>
      </c>
      <c r="J706" s="6">
        <v>0</v>
      </c>
      <c r="K706" s="6">
        <v>0</v>
      </c>
      <c r="L706" s="6">
        <v>1539.942</v>
      </c>
      <c r="M706" s="6">
        <v>1539.942</v>
      </c>
      <c r="N706" s="6">
        <v>1539.942</v>
      </c>
      <c r="O706" s="6">
        <v>1539.942</v>
      </c>
      <c r="P706" s="6">
        <v>4452</v>
      </c>
      <c r="Q706" s="4" t="s">
        <v>26</v>
      </c>
      <c r="R706" s="4">
        <v>0</v>
      </c>
      <c r="S706" s="6">
        <v>0</v>
      </c>
      <c r="T706" s="6">
        <v>43</v>
      </c>
      <c r="U706" s="6">
        <v>84</v>
      </c>
      <c r="V706" s="6">
        <f>IF(ISERROR(VLOOKUP($S$706,'TAR FIN'!$A$1:$O$103,15,0)),0,VLOOKUP($S$706,'TAR FIN'!$A$1:$O$103,15,0))</f>
        <v>0</v>
      </c>
      <c r="W706" s="6">
        <f>IF(ISERROR(VLOOKUP($T$706,'TAR FIN'!$A$1:$O$103,15,0)),0,VLOOKUP($T$706,'TAR FIN'!$A$1:$O$103,15,0))</f>
        <v>334.07</v>
      </c>
      <c r="X706" s="6">
        <f>IF(ISERROR(VLOOKUP($U$706,'TAR FIN'!$A$1:$O$103,15,0)),0,VLOOKUP($U$706,'TAR FIN'!$A$1:$O$103,15,0))</f>
        <v>224.55</v>
      </c>
      <c r="Y706" s="6"/>
      <c r="Z706" s="6">
        <f ca="1">('TUSD BE'!$AM$45+'TUSD BF_350'!$AM$45+'TUSD CVA'!$AM$45)*(1-CUSTOS!$M$38)</f>
        <v>361.41120000000001</v>
      </c>
      <c r="AA706" s="6">
        <f ca="1">('TE BE'!$AB$26+'TE BF_350'!$AB$26+'TE CVA'!$AB$26)*(1-CUSTOS!$M$38)</f>
        <v>269.31939999999997</v>
      </c>
      <c r="AB706" s="6">
        <f>$K$706*$V$706</f>
        <v>0</v>
      </c>
      <c r="AC706" s="6">
        <f>$M$706*$W$706</f>
        <v>514448.42394000001</v>
      </c>
      <c r="AD706" s="6">
        <f>$O$706*$X$706</f>
        <v>345793.97610000003</v>
      </c>
      <c r="AE706" s="6">
        <f>$K$706*$Y$706</f>
        <v>0</v>
      </c>
      <c r="AF706" s="6">
        <f ca="1">$M$706*$Z$706</f>
        <v>556552.28615040006</v>
      </c>
      <c r="AG706" s="6">
        <f ca="1">$O$706*$AA$706</f>
        <v>414736.25547479995</v>
      </c>
    </row>
    <row r="707" spans="1:33" ht="11.25" customHeight="1" x14ac:dyDescent="0.3">
      <c r="A707" s="4" t="s">
        <v>57</v>
      </c>
      <c r="B707" s="4" t="s">
        <v>43</v>
      </c>
      <c r="C707" s="4" t="s">
        <v>23</v>
      </c>
      <c r="D707" s="4" t="s">
        <v>44</v>
      </c>
      <c r="E707" s="4" t="s">
        <v>25</v>
      </c>
      <c r="F707" s="4" t="s">
        <v>25</v>
      </c>
      <c r="G707" s="4" t="s">
        <v>25</v>
      </c>
      <c r="H707" s="4" t="s">
        <v>25</v>
      </c>
      <c r="I707" s="5">
        <v>44835</v>
      </c>
      <c r="J707" s="6">
        <v>0</v>
      </c>
      <c r="K707" s="6">
        <v>0</v>
      </c>
      <c r="L707" s="6">
        <v>27.417000000000002</v>
      </c>
      <c r="M707" s="6">
        <v>27.417000000000002</v>
      </c>
      <c r="N707" s="6">
        <v>27.417000000000002</v>
      </c>
      <c r="O707" s="6">
        <v>27.417000000000002</v>
      </c>
      <c r="P707" s="6">
        <v>125</v>
      </c>
      <c r="Q707" s="4" t="s">
        <v>26</v>
      </c>
      <c r="R707" s="4">
        <v>0</v>
      </c>
      <c r="S707" s="6">
        <v>0</v>
      </c>
      <c r="T707" s="6">
        <v>43</v>
      </c>
      <c r="U707" s="6">
        <v>84</v>
      </c>
      <c r="V707" s="6">
        <f>IF(ISERROR(VLOOKUP($S$707,'TAR FIN'!$A$1:$O$103,15,0)),0,VLOOKUP($S$707,'TAR FIN'!$A$1:$O$103,15,0))</f>
        <v>0</v>
      </c>
      <c r="W707" s="6">
        <f>IF(ISERROR(VLOOKUP($T$707,'TAR FIN'!$A$1:$O$103,15,0)),0,VLOOKUP($T$707,'TAR FIN'!$A$1:$O$103,15,0))</f>
        <v>334.07</v>
      </c>
      <c r="X707" s="6">
        <f>IF(ISERROR(VLOOKUP($U$707,'TAR FIN'!$A$1:$O$103,15,0)),0,VLOOKUP($U$707,'TAR FIN'!$A$1:$O$103,15,0))</f>
        <v>224.55</v>
      </c>
      <c r="Y707" s="6"/>
      <c r="Z707" s="6">
        <f ca="1">('TUSD BE'!$AM$45+'TUSD BF_350'!$AM$45+'TUSD CVA'!$AM$45)*(1-CUSTOS!$M$38)</f>
        <v>361.41120000000001</v>
      </c>
      <c r="AA707" s="6">
        <f ca="1">('TE BE'!$AB$26+'TE BF_350'!$AB$26+'TE CVA'!$AB$26)*(1-CUSTOS!$M$38)</f>
        <v>269.31939999999997</v>
      </c>
      <c r="AB707" s="6">
        <f>$K$707*$V$707</f>
        <v>0</v>
      </c>
      <c r="AC707" s="6">
        <f>$M$707*$W$707</f>
        <v>9159.1971900000008</v>
      </c>
      <c r="AD707" s="6">
        <f>$O$707*$X$707</f>
        <v>6156.4873500000003</v>
      </c>
      <c r="AE707" s="6">
        <f>$K$707*$Y$707</f>
        <v>0</v>
      </c>
      <c r="AF707" s="6">
        <f ca="1">$M$707*$Z$707</f>
        <v>9908.8108704000006</v>
      </c>
      <c r="AG707" s="6">
        <f ca="1">$O$707*$AA$707</f>
        <v>7383.9299897999999</v>
      </c>
    </row>
    <row r="708" spans="1:33" ht="11.25" customHeight="1" x14ac:dyDescent="0.3">
      <c r="A708" s="4" t="s">
        <v>21</v>
      </c>
      <c r="B708" s="4" t="s">
        <v>37</v>
      </c>
      <c r="C708" s="4" t="s">
        <v>33</v>
      </c>
      <c r="D708" s="4" t="s">
        <v>41</v>
      </c>
      <c r="E708" s="4" t="s">
        <v>25</v>
      </c>
      <c r="F708" s="4" t="s">
        <v>25</v>
      </c>
      <c r="G708" s="4" t="s">
        <v>25</v>
      </c>
      <c r="H708" s="4" t="s">
        <v>35</v>
      </c>
      <c r="I708" s="5">
        <v>44501</v>
      </c>
      <c r="J708" s="6">
        <v>0</v>
      </c>
      <c r="K708" s="6">
        <v>0</v>
      </c>
      <c r="L708" s="6">
        <v>7.7889999999999997</v>
      </c>
      <c r="M708" s="6">
        <v>7.7889999999999997</v>
      </c>
      <c r="N708" s="6">
        <v>7.7889999999999997</v>
      </c>
      <c r="O708" s="6">
        <v>7.7889999999999997</v>
      </c>
      <c r="P708" s="6">
        <v>0</v>
      </c>
      <c r="Q708" s="4" t="s">
        <v>26</v>
      </c>
      <c r="R708" s="4">
        <v>0</v>
      </c>
      <c r="S708" s="6">
        <v>0</v>
      </c>
      <c r="T708" s="6">
        <v>57</v>
      </c>
      <c r="U708" s="6">
        <v>98</v>
      </c>
      <c r="V708" s="6">
        <f>IF(ISERROR(VLOOKUP($S$708,'TAR FIN'!$A$1:$O$103,15,0)),0,VLOOKUP($S$708,'TAR FIN'!$A$1:$O$103,15,0))</f>
        <v>0</v>
      </c>
      <c r="W708" s="6">
        <f>IF(ISERROR(VLOOKUP($T$708,'TAR FIN'!$A$1:$O$103,15,0)),0,VLOOKUP($T$708,'TAR FIN'!$A$1:$O$103,15,0))</f>
        <v>295.61</v>
      </c>
      <c r="X708" s="6">
        <f>IF(ISERROR(VLOOKUP($U$708,'TAR FIN'!$A$1:$O$103,15,0)),0,VLOOKUP($U$708,'TAR FIN'!$A$1:$O$103,15,0))</f>
        <v>242.77</v>
      </c>
      <c r="Y708" s="6"/>
      <c r="Z708" s="6">
        <f ca="1">('TUSD BE'!$AM$59+'TUSD BF_350'!$AM$59+'TUSD CVA'!$AM$59)*1</f>
        <v>311.74000000000007</v>
      </c>
      <c r="AA708" s="6">
        <f ca="1">('TE BE'!$AB$40+'TE BF_350'!$AB$40+'TE CVA'!$AB$40)*1</f>
        <v>272.81999999999994</v>
      </c>
      <c r="AB708" s="6">
        <f>$K$708*$V$708</f>
        <v>0</v>
      </c>
      <c r="AC708" s="6">
        <f>$M$708*$W$708</f>
        <v>2302.5062899999998</v>
      </c>
      <c r="AD708" s="6">
        <f>$O$708*$X$708</f>
        <v>1890.93553</v>
      </c>
      <c r="AE708" s="6">
        <f>$K$708*$Y$708</f>
        <v>0</v>
      </c>
      <c r="AF708" s="6">
        <f ca="1">$M$708*$Z$708</f>
        <v>2428.1428600000004</v>
      </c>
      <c r="AG708" s="6">
        <f ca="1">$O$708*$AA$708</f>
        <v>2124.9949799999995</v>
      </c>
    </row>
    <row r="709" spans="1:33" ht="11.25" customHeight="1" x14ac:dyDescent="0.3">
      <c r="A709" s="4" t="s">
        <v>21</v>
      </c>
      <c r="B709" s="4" t="s">
        <v>37</v>
      </c>
      <c r="C709" s="4" t="s">
        <v>33</v>
      </c>
      <c r="D709" s="4" t="s">
        <v>41</v>
      </c>
      <c r="E709" s="4" t="s">
        <v>25</v>
      </c>
      <c r="F709" s="4" t="s">
        <v>25</v>
      </c>
      <c r="G709" s="4" t="s">
        <v>25</v>
      </c>
      <c r="H709" s="4" t="s">
        <v>35</v>
      </c>
      <c r="I709" s="5">
        <v>44531</v>
      </c>
      <c r="J709" s="6">
        <v>0</v>
      </c>
      <c r="K709" s="6">
        <v>0</v>
      </c>
      <c r="L709" s="6">
        <v>6.8789999999999996</v>
      </c>
      <c r="M709" s="6">
        <v>6.8789999999999996</v>
      </c>
      <c r="N709" s="6">
        <v>6.8789999999999996</v>
      </c>
      <c r="O709" s="6">
        <v>6.8789999999999996</v>
      </c>
      <c r="P709" s="6">
        <v>0</v>
      </c>
      <c r="Q709" s="4" t="s">
        <v>26</v>
      </c>
      <c r="R709" s="4">
        <v>0</v>
      </c>
      <c r="S709" s="6">
        <v>0</v>
      </c>
      <c r="T709" s="6">
        <v>57</v>
      </c>
      <c r="U709" s="6">
        <v>98</v>
      </c>
      <c r="V709" s="6">
        <f>IF(ISERROR(VLOOKUP($S$709,'TAR FIN'!$A$1:$O$103,15,0)),0,VLOOKUP($S$709,'TAR FIN'!$A$1:$O$103,15,0))</f>
        <v>0</v>
      </c>
      <c r="W709" s="6">
        <f>IF(ISERROR(VLOOKUP($T$709,'TAR FIN'!$A$1:$O$103,15,0)),0,VLOOKUP($T$709,'TAR FIN'!$A$1:$O$103,15,0))</f>
        <v>295.61</v>
      </c>
      <c r="X709" s="6">
        <f>IF(ISERROR(VLOOKUP($U$709,'TAR FIN'!$A$1:$O$103,15,0)),0,VLOOKUP($U$709,'TAR FIN'!$A$1:$O$103,15,0))</f>
        <v>242.77</v>
      </c>
      <c r="Y709" s="6"/>
      <c r="Z709" s="6">
        <f ca="1">('TUSD BE'!$AM$59+'TUSD BF_350'!$AM$59+'TUSD CVA'!$AM$59)*1</f>
        <v>311.74000000000007</v>
      </c>
      <c r="AA709" s="6">
        <f ca="1">('TE BE'!$AB$40+'TE BF_350'!$AB$40+'TE CVA'!$AB$40)*1</f>
        <v>272.81999999999994</v>
      </c>
      <c r="AB709" s="6">
        <f>$K$709*$V$709</f>
        <v>0</v>
      </c>
      <c r="AC709" s="6">
        <f>$M$709*$W$709</f>
        <v>2033.50119</v>
      </c>
      <c r="AD709" s="6">
        <f>$O$709*$X$709</f>
        <v>1670.0148300000001</v>
      </c>
      <c r="AE709" s="6">
        <f>$K$709*$Y$709</f>
        <v>0</v>
      </c>
      <c r="AF709" s="6">
        <f ca="1">$M$709*$Z$709</f>
        <v>2144.4594600000005</v>
      </c>
      <c r="AG709" s="6">
        <f ca="1">$O$709*$AA$709</f>
        <v>1876.7287799999995</v>
      </c>
    </row>
    <row r="710" spans="1:33" ht="11.25" customHeight="1" x14ac:dyDescent="0.3">
      <c r="A710" s="4" t="s">
        <v>21</v>
      </c>
      <c r="B710" s="4" t="s">
        <v>37</v>
      </c>
      <c r="C710" s="4" t="s">
        <v>33</v>
      </c>
      <c r="D710" s="4" t="s">
        <v>41</v>
      </c>
      <c r="E710" s="4" t="s">
        <v>25</v>
      </c>
      <c r="F710" s="4" t="s">
        <v>25</v>
      </c>
      <c r="G710" s="4" t="s">
        <v>25</v>
      </c>
      <c r="H710" s="4" t="s">
        <v>35</v>
      </c>
      <c r="I710" s="5">
        <v>44562</v>
      </c>
      <c r="J710" s="6">
        <v>0</v>
      </c>
      <c r="K710" s="6">
        <v>0</v>
      </c>
      <c r="L710" s="6">
        <v>7.7439999999999998</v>
      </c>
      <c r="M710" s="6">
        <v>7.7439999999999998</v>
      </c>
      <c r="N710" s="6">
        <v>7.7439999999999998</v>
      </c>
      <c r="O710" s="6">
        <v>7.7439999999999998</v>
      </c>
      <c r="P710" s="6">
        <v>0</v>
      </c>
      <c r="Q710" s="4" t="s">
        <v>26</v>
      </c>
      <c r="R710" s="4">
        <v>0</v>
      </c>
      <c r="S710" s="6">
        <v>0</v>
      </c>
      <c r="T710" s="6">
        <v>57</v>
      </c>
      <c r="U710" s="6">
        <v>98</v>
      </c>
      <c r="V710" s="6">
        <f>IF(ISERROR(VLOOKUP($S$710,'TAR FIN'!$A$1:$O$103,15,0)),0,VLOOKUP($S$710,'TAR FIN'!$A$1:$O$103,15,0))</f>
        <v>0</v>
      </c>
      <c r="W710" s="6">
        <f>IF(ISERROR(VLOOKUP($T$710,'TAR FIN'!$A$1:$O$103,15,0)),0,VLOOKUP($T$710,'TAR FIN'!$A$1:$O$103,15,0))</f>
        <v>295.61</v>
      </c>
      <c r="X710" s="6">
        <f>IF(ISERROR(VLOOKUP($U$710,'TAR FIN'!$A$1:$O$103,15,0)),0,VLOOKUP($U$710,'TAR FIN'!$A$1:$O$103,15,0))</f>
        <v>242.77</v>
      </c>
      <c r="Y710" s="6"/>
      <c r="Z710" s="6">
        <f ca="1">('TUSD BE'!$AM$59+'TUSD BF_350'!$AM$59+'TUSD CVA'!$AM$59)*1</f>
        <v>311.74000000000007</v>
      </c>
      <c r="AA710" s="6">
        <f ca="1">('TE BE'!$AB$40+'TE BF_350'!$AB$40+'TE CVA'!$AB$40)*1</f>
        <v>272.81999999999994</v>
      </c>
      <c r="AB710" s="6">
        <f>$K$710*$V$710</f>
        <v>0</v>
      </c>
      <c r="AC710" s="6">
        <f>$M$710*$W$710</f>
        <v>2289.2038400000001</v>
      </c>
      <c r="AD710" s="6">
        <f>$O$710*$X$710</f>
        <v>1880.01088</v>
      </c>
      <c r="AE710" s="6">
        <f>$K$710*$Y$710</f>
        <v>0</v>
      </c>
      <c r="AF710" s="6">
        <f ca="1">$M$710*$Z$710</f>
        <v>2414.1145600000004</v>
      </c>
      <c r="AG710" s="6">
        <f ca="1">$O$710*$AA$710</f>
        <v>2112.7180799999996</v>
      </c>
    </row>
    <row r="711" spans="1:33" ht="11.25" customHeight="1" x14ac:dyDescent="0.3">
      <c r="A711" s="4" t="s">
        <v>21</v>
      </c>
      <c r="B711" s="4" t="s">
        <v>37</v>
      </c>
      <c r="C711" s="4" t="s">
        <v>33</v>
      </c>
      <c r="D711" s="4" t="s">
        <v>41</v>
      </c>
      <c r="E711" s="4" t="s">
        <v>25</v>
      </c>
      <c r="F711" s="4" t="s">
        <v>25</v>
      </c>
      <c r="G711" s="4" t="s">
        <v>25</v>
      </c>
      <c r="H711" s="4" t="s">
        <v>35</v>
      </c>
      <c r="I711" s="5">
        <v>44593</v>
      </c>
      <c r="J711" s="6">
        <v>0</v>
      </c>
      <c r="K711" s="6">
        <v>0</v>
      </c>
      <c r="L711" s="6">
        <v>7.1369999999999996</v>
      </c>
      <c r="M711" s="6">
        <v>7.1369999999999996</v>
      </c>
      <c r="N711" s="6">
        <v>7.1369999999999996</v>
      </c>
      <c r="O711" s="6">
        <v>7.1369999999999996</v>
      </c>
      <c r="P711" s="6">
        <v>0</v>
      </c>
      <c r="Q711" s="4" t="s">
        <v>26</v>
      </c>
      <c r="R711" s="4">
        <v>0</v>
      </c>
      <c r="S711" s="6">
        <v>0</v>
      </c>
      <c r="T711" s="6">
        <v>57</v>
      </c>
      <c r="U711" s="6">
        <v>98</v>
      </c>
      <c r="V711" s="6">
        <f>IF(ISERROR(VLOOKUP($S$711,'TAR FIN'!$A$1:$O$103,15,0)),0,VLOOKUP($S$711,'TAR FIN'!$A$1:$O$103,15,0))</f>
        <v>0</v>
      </c>
      <c r="W711" s="6">
        <f>IF(ISERROR(VLOOKUP($T$711,'TAR FIN'!$A$1:$O$103,15,0)),0,VLOOKUP($T$711,'TAR FIN'!$A$1:$O$103,15,0))</f>
        <v>295.61</v>
      </c>
      <c r="X711" s="6">
        <f>IF(ISERROR(VLOOKUP($U$711,'TAR FIN'!$A$1:$O$103,15,0)),0,VLOOKUP($U$711,'TAR FIN'!$A$1:$O$103,15,0))</f>
        <v>242.77</v>
      </c>
      <c r="Y711" s="6"/>
      <c r="Z711" s="6">
        <f ca="1">('TUSD BE'!$AM$59+'TUSD BF_350'!$AM$59+'TUSD CVA'!$AM$59)*1</f>
        <v>311.74000000000007</v>
      </c>
      <c r="AA711" s="6">
        <f ca="1">('TE BE'!$AB$40+'TE BF_350'!$AB$40+'TE CVA'!$AB$40)*1</f>
        <v>272.81999999999994</v>
      </c>
      <c r="AB711" s="6">
        <f>$K$711*$V$711</f>
        <v>0</v>
      </c>
      <c r="AC711" s="6">
        <f>$M$711*$W$711</f>
        <v>2109.7685700000002</v>
      </c>
      <c r="AD711" s="6">
        <f>$O$711*$X$711</f>
        <v>1732.64949</v>
      </c>
      <c r="AE711" s="6">
        <f>$K$711*$Y$711</f>
        <v>0</v>
      </c>
      <c r="AF711" s="6">
        <f ca="1">$M$711*$Z$711</f>
        <v>2224.8883800000003</v>
      </c>
      <c r="AG711" s="6">
        <f ca="1">$O$711*$AA$711</f>
        <v>1947.1163399999994</v>
      </c>
    </row>
    <row r="712" spans="1:33" ht="11.25" customHeight="1" x14ac:dyDescent="0.3">
      <c r="A712" s="4" t="s">
        <v>21</v>
      </c>
      <c r="B712" s="4" t="s">
        <v>37</v>
      </c>
      <c r="C712" s="4" t="s">
        <v>33</v>
      </c>
      <c r="D712" s="4" t="s">
        <v>41</v>
      </c>
      <c r="E712" s="4" t="s">
        <v>25</v>
      </c>
      <c r="F712" s="4" t="s">
        <v>25</v>
      </c>
      <c r="G712" s="4" t="s">
        <v>25</v>
      </c>
      <c r="H712" s="4" t="s">
        <v>35</v>
      </c>
      <c r="I712" s="5">
        <v>44621</v>
      </c>
      <c r="J712" s="6">
        <v>0</v>
      </c>
      <c r="K712" s="6">
        <v>0</v>
      </c>
      <c r="L712" s="6">
        <v>6.2789999999999999</v>
      </c>
      <c r="M712" s="6">
        <v>6.2789999999999999</v>
      </c>
      <c r="N712" s="6">
        <v>6.2789999999999999</v>
      </c>
      <c r="O712" s="6">
        <v>6.2789999999999999</v>
      </c>
      <c r="P712" s="6">
        <v>0</v>
      </c>
      <c r="Q712" s="4" t="s">
        <v>26</v>
      </c>
      <c r="R712" s="4">
        <v>0</v>
      </c>
      <c r="S712" s="6">
        <v>0</v>
      </c>
      <c r="T712" s="6">
        <v>57</v>
      </c>
      <c r="U712" s="6">
        <v>98</v>
      </c>
      <c r="V712" s="6">
        <f>IF(ISERROR(VLOOKUP($S$712,'TAR FIN'!$A$1:$O$103,15,0)),0,VLOOKUP($S$712,'TAR FIN'!$A$1:$O$103,15,0))</f>
        <v>0</v>
      </c>
      <c r="W712" s="6">
        <f>IF(ISERROR(VLOOKUP($T$712,'TAR FIN'!$A$1:$O$103,15,0)),0,VLOOKUP($T$712,'TAR FIN'!$A$1:$O$103,15,0))</f>
        <v>295.61</v>
      </c>
      <c r="X712" s="6">
        <f>IF(ISERROR(VLOOKUP($U$712,'TAR FIN'!$A$1:$O$103,15,0)),0,VLOOKUP($U$712,'TAR FIN'!$A$1:$O$103,15,0))</f>
        <v>242.77</v>
      </c>
      <c r="Y712" s="6"/>
      <c r="Z712" s="6">
        <f ca="1">('TUSD BE'!$AM$59+'TUSD BF_350'!$AM$59+'TUSD CVA'!$AM$59)*1</f>
        <v>311.74000000000007</v>
      </c>
      <c r="AA712" s="6">
        <f ca="1">('TE BE'!$AB$40+'TE BF_350'!$AB$40+'TE CVA'!$AB$40)*1</f>
        <v>272.81999999999994</v>
      </c>
      <c r="AB712" s="6">
        <f>$K$712*$V$712</f>
        <v>0</v>
      </c>
      <c r="AC712" s="6">
        <f>$M$712*$W$712</f>
        <v>1856.13519</v>
      </c>
      <c r="AD712" s="6">
        <f>$O$712*$X$712</f>
        <v>1524.35283</v>
      </c>
      <c r="AE712" s="6">
        <f>$K$712*$Y$712</f>
        <v>0</v>
      </c>
      <c r="AF712" s="6">
        <f ca="1">$M$712*$Z$712</f>
        <v>1957.4154600000004</v>
      </c>
      <c r="AG712" s="6">
        <f ca="1">$O$712*$AA$712</f>
        <v>1713.0367799999997</v>
      </c>
    </row>
    <row r="713" spans="1:33" ht="11.25" customHeight="1" x14ac:dyDescent="0.3">
      <c r="A713" s="4" t="s">
        <v>21</v>
      </c>
      <c r="B713" s="4" t="s">
        <v>37</v>
      </c>
      <c r="C713" s="4" t="s">
        <v>33</v>
      </c>
      <c r="D713" s="4" t="s">
        <v>41</v>
      </c>
      <c r="E713" s="4" t="s">
        <v>25</v>
      </c>
      <c r="F713" s="4" t="s">
        <v>25</v>
      </c>
      <c r="G713" s="4" t="s">
        <v>25</v>
      </c>
      <c r="H713" s="4" t="s">
        <v>35</v>
      </c>
      <c r="I713" s="5">
        <v>44652</v>
      </c>
      <c r="J713" s="6">
        <v>0</v>
      </c>
      <c r="K713" s="6">
        <v>0</v>
      </c>
      <c r="L713" s="6">
        <v>7.7119999999999997</v>
      </c>
      <c r="M713" s="6">
        <v>7.7119999999999997</v>
      </c>
      <c r="N713" s="6">
        <v>7.7119999999999997</v>
      </c>
      <c r="O713" s="6">
        <v>7.7119999999999997</v>
      </c>
      <c r="P713" s="6">
        <v>0</v>
      </c>
      <c r="Q713" s="4" t="s">
        <v>26</v>
      </c>
      <c r="R713" s="4">
        <v>0</v>
      </c>
      <c r="S713" s="6">
        <v>0</v>
      </c>
      <c r="T713" s="6">
        <v>57</v>
      </c>
      <c r="U713" s="6">
        <v>98</v>
      </c>
      <c r="V713" s="6">
        <f>IF(ISERROR(VLOOKUP($S$713,'TAR FIN'!$A$1:$O$103,15,0)),0,VLOOKUP($S$713,'TAR FIN'!$A$1:$O$103,15,0))</f>
        <v>0</v>
      </c>
      <c r="W713" s="6">
        <f>IF(ISERROR(VLOOKUP($T$713,'TAR FIN'!$A$1:$O$103,15,0)),0,VLOOKUP($T$713,'TAR FIN'!$A$1:$O$103,15,0))</f>
        <v>295.61</v>
      </c>
      <c r="X713" s="6">
        <f>IF(ISERROR(VLOOKUP($U$713,'TAR FIN'!$A$1:$O$103,15,0)),0,VLOOKUP($U$713,'TAR FIN'!$A$1:$O$103,15,0))</f>
        <v>242.77</v>
      </c>
      <c r="Y713" s="6"/>
      <c r="Z713" s="6">
        <f ca="1">('TUSD BE'!$AM$59+'TUSD BF_350'!$AM$59+'TUSD CVA'!$AM$59)*1</f>
        <v>311.74000000000007</v>
      </c>
      <c r="AA713" s="6">
        <f ca="1">('TE BE'!$AB$40+'TE BF_350'!$AB$40+'TE CVA'!$AB$40)*1</f>
        <v>272.81999999999994</v>
      </c>
      <c r="AB713" s="6">
        <f>$K$713*$V$713</f>
        <v>0</v>
      </c>
      <c r="AC713" s="6">
        <f>$M$713*$W$713</f>
        <v>2279.7443200000002</v>
      </c>
      <c r="AD713" s="6">
        <f>$O$713*$X$713</f>
        <v>1872.24224</v>
      </c>
      <c r="AE713" s="6">
        <f>$K$713*$Y$713</f>
        <v>0</v>
      </c>
      <c r="AF713" s="6">
        <f ca="1">$M$713*$Z$713</f>
        <v>2404.1388800000004</v>
      </c>
      <c r="AG713" s="6">
        <f ca="1">$O$713*$AA$713</f>
        <v>2103.9878399999993</v>
      </c>
    </row>
    <row r="714" spans="1:33" ht="11.25" customHeight="1" x14ac:dyDescent="0.3">
      <c r="A714" s="4" t="s">
        <v>21</v>
      </c>
      <c r="B714" s="4" t="s">
        <v>37</v>
      </c>
      <c r="C714" s="4" t="s">
        <v>33</v>
      </c>
      <c r="D714" s="4" t="s">
        <v>41</v>
      </c>
      <c r="E714" s="4" t="s">
        <v>25</v>
      </c>
      <c r="F714" s="4" t="s">
        <v>25</v>
      </c>
      <c r="G714" s="4" t="s">
        <v>25</v>
      </c>
      <c r="H714" s="4" t="s">
        <v>35</v>
      </c>
      <c r="I714" s="5">
        <v>44682</v>
      </c>
      <c r="J714" s="6">
        <v>0</v>
      </c>
      <c r="K714" s="6">
        <v>0</v>
      </c>
      <c r="L714" s="6">
        <v>8.8460000000000001</v>
      </c>
      <c r="M714" s="6">
        <v>8.8460000000000001</v>
      </c>
      <c r="N714" s="6">
        <v>8.8460000000000001</v>
      </c>
      <c r="O714" s="6">
        <v>8.8460000000000001</v>
      </c>
      <c r="P714" s="6">
        <v>0</v>
      </c>
      <c r="Q714" s="4" t="s">
        <v>26</v>
      </c>
      <c r="R714" s="4">
        <v>0</v>
      </c>
      <c r="S714" s="6">
        <v>0</v>
      </c>
      <c r="T714" s="6">
        <v>57</v>
      </c>
      <c r="U714" s="6">
        <v>98</v>
      </c>
      <c r="V714" s="6">
        <f>IF(ISERROR(VLOOKUP($S$714,'TAR FIN'!$A$1:$O$103,15,0)),0,VLOOKUP($S$714,'TAR FIN'!$A$1:$O$103,15,0))</f>
        <v>0</v>
      </c>
      <c r="W714" s="6">
        <f>IF(ISERROR(VLOOKUP($T$714,'TAR FIN'!$A$1:$O$103,15,0)),0,VLOOKUP($T$714,'TAR FIN'!$A$1:$O$103,15,0))</f>
        <v>295.61</v>
      </c>
      <c r="X714" s="6">
        <f>IF(ISERROR(VLOOKUP($U$714,'TAR FIN'!$A$1:$O$103,15,0)),0,VLOOKUP($U$714,'TAR FIN'!$A$1:$O$103,15,0))</f>
        <v>242.77</v>
      </c>
      <c r="Y714" s="6"/>
      <c r="Z714" s="6">
        <f ca="1">('TUSD BE'!$AM$59+'TUSD BF_350'!$AM$59+'TUSD CVA'!$AM$59)*1</f>
        <v>311.74000000000007</v>
      </c>
      <c r="AA714" s="6">
        <f ca="1">('TE BE'!$AB$40+'TE BF_350'!$AB$40+'TE CVA'!$AB$40)*1</f>
        <v>272.81999999999994</v>
      </c>
      <c r="AB714" s="6">
        <f>$K$714*$V$714</f>
        <v>0</v>
      </c>
      <c r="AC714" s="6">
        <f>$M$714*$W$714</f>
        <v>2614.9660600000002</v>
      </c>
      <c r="AD714" s="6">
        <f>$O$714*$X$714</f>
        <v>2147.54342</v>
      </c>
      <c r="AE714" s="6">
        <f>$K$714*$Y$714</f>
        <v>0</v>
      </c>
      <c r="AF714" s="6">
        <f ca="1">$M$714*$Z$714</f>
        <v>2757.6520400000004</v>
      </c>
      <c r="AG714" s="6">
        <f ca="1">$O$714*$AA$714</f>
        <v>2413.3657199999993</v>
      </c>
    </row>
    <row r="715" spans="1:33" ht="11.25" customHeight="1" x14ac:dyDescent="0.3">
      <c r="A715" s="4" t="s">
        <v>21</v>
      </c>
      <c r="B715" s="4" t="s">
        <v>37</v>
      </c>
      <c r="C715" s="4" t="s">
        <v>33</v>
      </c>
      <c r="D715" s="4" t="s">
        <v>41</v>
      </c>
      <c r="E715" s="4" t="s">
        <v>25</v>
      </c>
      <c r="F715" s="4" t="s">
        <v>25</v>
      </c>
      <c r="G715" s="4" t="s">
        <v>25</v>
      </c>
      <c r="H715" s="4" t="s">
        <v>35</v>
      </c>
      <c r="I715" s="5">
        <v>44713</v>
      </c>
      <c r="J715" s="6">
        <v>0</v>
      </c>
      <c r="K715" s="6">
        <v>0</v>
      </c>
      <c r="L715" s="6">
        <v>5.734</v>
      </c>
      <c r="M715" s="6">
        <v>5.734</v>
      </c>
      <c r="N715" s="6">
        <v>5.734</v>
      </c>
      <c r="O715" s="6">
        <v>5.734</v>
      </c>
      <c r="P715" s="6">
        <v>0</v>
      </c>
      <c r="Q715" s="4" t="s">
        <v>26</v>
      </c>
      <c r="R715" s="4">
        <v>0</v>
      </c>
      <c r="S715" s="6">
        <v>0</v>
      </c>
      <c r="T715" s="6">
        <v>57</v>
      </c>
      <c r="U715" s="6">
        <v>98</v>
      </c>
      <c r="V715" s="6">
        <f>IF(ISERROR(VLOOKUP($S$715,'TAR FIN'!$A$1:$O$103,15,0)),0,VLOOKUP($S$715,'TAR FIN'!$A$1:$O$103,15,0))</f>
        <v>0</v>
      </c>
      <c r="W715" s="6">
        <f>IF(ISERROR(VLOOKUP($T$715,'TAR FIN'!$A$1:$O$103,15,0)),0,VLOOKUP($T$715,'TAR FIN'!$A$1:$O$103,15,0))</f>
        <v>295.61</v>
      </c>
      <c r="X715" s="6">
        <f>IF(ISERROR(VLOOKUP($U$715,'TAR FIN'!$A$1:$O$103,15,0)),0,VLOOKUP($U$715,'TAR FIN'!$A$1:$O$103,15,0))</f>
        <v>242.77</v>
      </c>
      <c r="Y715" s="6"/>
      <c r="Z715" s="6">
        <f ca="1">('TUSD BE'!$AM$59+'TUSD BF_350'!$AM$59+'TUSD CVA'!$AM$59)*1</f>
        <v>311.74000000000007</v>
      </c>
      <c r="AA715" s="6">
        <f ca="1">('TE BE'!$AB$40+'TE BF_350'!$AB$40+'TE CVA'!$AB$40)*1</f>
        <v>272.81999999999994</v>
      </c>
      <c r="AB715" s="6">
        <f>$K$715*$V$715</f>
        <v>0</v>
      </c>
      <c r="AC715" s="6">
        <f>$M$715*$W$715</f>
        <v>1695.02774</v>
      </c>
      <c r="AD715" s="6">
        <f>$O$715*$X$715</f>
        <v>1392.0431800000001</v>
      </c>
      <c r="AE715" s="6">
        <f>$K$715*$Y$715</f>
        <v>0</v>
      </c>
      <c r="AF715" s="6">
        <f ca="1">$M$715*$Z$715</f>
        <v>1787.5171600000003</v>
      </c>
      <c r="AG715" s="6">
        <f ca="1">$O$715*$AA$715</f>
        <v>1564.3498799999995</v>
      </c>
    </row>
    <row r="716" spans="1:33" ht="11.25" customHeight="1" x14ac:dyDescent="0.3">
      <c r="A716" s="4" t="s">
        <v>28</v>
      </c>
      <c r="B716" s="4" t="s">
        <v>37</v>
      </c>
      <c r="C716" s="4" t="s">
        <v>33</v>
      </c>
      <c r="D716" s="4" t="s">
        <v>41</v>
      </c>
      <c r="E716" s="4" t="s">
        <v>25</v>
      </c>
      <c r="F716" s="4" t="s">
        <v>25</v>
      </c>
      <c r="G716" s="4" t="s">
        <v>25</v>
      </c>
      <c r="H716" s="4" t="s">
        <v>35</v>
      </c>
      <c r="I716" s="5">
        <v>44713</v>
      </c>
      <c r="J716" s="6">
        <v>0</v>
      </c>
      <c r="K716" s="6">
        <v>0</v>
      </c>
      <c r="L716" s="6">
        <v>0.309</v>
      </c>
      <c r="M716" s="6">
        <v>0.309</v>
      </c>
      <c r="N716" s="6">
        <v>0.309</v>
      </c>
      <c r="O716" s="6">
        <v>0.309</v>
      </c>
      <c r="P716" s="6">
        <v>0</v>
      </c>
      <c r="Q716" s="4" t="s">
        <v>26</v>
      </c>
      <c r="R716" s="4">
        <v>0</v>
      </c>
      <c r="S716" s="6">
        <v>0</v>
      </c>
      <c r="T716" s="6">
        <v>57</v>
      </c>
      <c r="U716" s="6">
        <v>98</v>
      </c>
      <c r="V716" s="6">
        <f>IF(ISERROR(VLOOKUP($S$716,'TAR FIN'!$A$1:$O$103,15,0)),0,VLOOKUP($S$716,'TAR FIN'!$A$1:$O$103,15,0))</f>
        <v>0</v>
      </c>
      <c r="W716" s="6">
        <f>IF(ISERROR(VLOOKUP($T$716,'TAR FIN'!$A$1:$O$103,15,0)),0,VLOOKUP($T$716,'TAR FIN'!$A$1:$O$103,15,0))</f>
        <v>295.61</v>
      </c>
      <c r="X716" s="6">
        <f>IF(ISERROR(VLOOKUP($U$716,'TAR FIN'!$A$1:$O$103,15,0)),0,VLOOKUP($U$716,'TAR FIN'!$A$1:$O$103,15,0))</f>
        <v>242.77</v>
      </c>
      <c r="Y716" s="6"/>
      <c r="Z716" s="6">
        <f ca="1">('TUSD BE'!$AM$59+'TUSD BF_350'!$AM$59+'TUSD CVA'!$AM$59)*1</f>
        <v>311.74000000000007</v>
      </c>
      <c r="AA716" s="6">
        <f ca="1">('TE BE'!$AB$40+'TE BF_350'!$AB$40+'TE CVA'!$AB$40)*1</f>
        <v>272.81999999999994</v>
      </c>
      <c r="AB716" s="6">
        <f>$K$716*$V$716</f>
        <v>0</v>
      </c>
      <c r="AC716" s="6">
        <f>$M$716*$W$716</f>
        <v>91.343490000000003</v>
      </c>
      <c r="AD716" s="6">
        <f>$O$716*$X$716</f>
        <v>75.015929999999997</v>
      </c>
      <c r="AE716" s="6">
        <f>$K$716*$Y$716</f>
        <v>0</v>
      </c>
      <c r="AF716" s="6">
        <f ca="1">$M$716*$Z$716</f>
        <v>96.327660000000023</v>
      </c>
      <c r="AG716" s="6">
        <f ca="1">$O$716*$AA$716</f>
        <v>84.30137999999998</v>
      </c>
    </row>
    <row r="717" spans="1:33" ht="11.25" customHeight="1" x14ac:dyDescent="0.3">
      <c r="A717" s="4" t="s">
        <v>21</v>
      </c>
      <c r="B717" s="4" t="s">
        <v>37</v>
      </c>
      <c r="C717" s="4" t="s">
        <v>33</v>
      </c>
      <c r="D717" s="4" t="s">
        <v>41</v>
      </c>
      <c r="E717" s="4" t="s">
        <v>25</v>
      </c>
      <c r="F717" s="4" t="s">
        <v>25</v>
      </c>
      <c r="G717" s="4" t="s">
        <v>25</v>
      </c>
      <c r="H717" s="4" t="s">
        <v>35</v>
      </c>
      <c r="I717" s="5">
        <v>44743</v>
      </c>
      <c r="J717" s="6">
        <v>0</v>
      </c>
      <c r="K717" s="6">
        <v>0</v>
      </c>
      <c r="L717" s="6">
        <v>6.3289999999999997</v>
      </c>
      <c r="M717" s="6">
        <v>6.3289999999999997</v>
      </c>
      <c r="N717" s="6">
        <v>6.3289999999999997</v>
      </c>
      <c r="O717" s="6">
        <v>6.3289999999999997</v>
      </c>
      <c r="P717" s="6">
        <v>0</v>
      </c>
      <c r="Q717" s="4" t="s">
        <v>26</v>
      </c>
      <c r="R717" s="4">
        <v>0</v>
      </c>
      <c r="S717" s="6">
        <v>0</v>
      </c>
      <c r="T717" s="6">
        <v>57</v>
      </c>
      <c r="U717" s="6">
        <v>98</v>
      </c>
      <c r="V717" s="6">
        <f>IF(ISERROR(VLOOKUP($S$717,'TAR FIN'!$A$1:$O$103,15,0)),0,VLOOKUP($S$717,'TAR FIN'!$A$1:$O$103,15,0))</f>
        <v>0</v>
      </c>
      <c r="W717" s="6">
        <f>IF(ISERROR(VLOOKUP($T$717,'TAR FIN'!$A$1:$O$103,15,0)),0,VLOOKUP($T$717,'TAR FIN'!$A$1:$O$103,15,0))</f>
        <v>295.61</v>
      </c>
      <c r="X717" s="6">
        <f>IF(ISERROR(VLOOKUP($U$717,'TAR FIN'!$A$1:$O$103,15,0)),0,VLOOKUP($U$717,'TAR FIN'!$A$1:$O$103,15,0))</f>
        <v>242.77</v>
      </c>
      <c r="Y717" s="6"/>
      <c r="Z717" s="6">
        <f ca="1">('TUSD BE'!$AM$59+'TUSD BF_350'!$AM$59+'TUSD CVA'!$AM$59)*1</f>
        <v>311.74000000000007</v>
      </c>
      <c r="AA717" s="6">
        <f ca="1">('TE BE'!$AB$40+'TE BF_350'!$AB$40+'TE CVA'!$AB$40)*1</f>
        <v>272.81999999999994</v>
      </c>
      <c r="AB717" s="6">
        <f>$K$717*$V$717</f>
        <v>0</v>
      </c>
      <c r="AC717" s="6">
        <f>$M$717*$W$717</f>
        <v>1870.91569</v>
      </c>
      <c r="AD717" s="6">
        <f>$O$717*$X$717</f>
        <v>1536.4913300000001</v>
      </c>
      <c r="AE717" s="6">
        <f>$K$717*$Y$717</f>
        <v>0</v>
      </c>
      <c r="AF717" s="6">
        <f ca="1">$M$717*$Z$717</f>
        <v>1973.0024600000004</v>
      </c>
      <c r="AG717" s="6">
        <f ca="1">$O$717*$AA$717</f>
        <v>1726.6777799999995</v>
      </c>
    </row>
    <row r="718" spans="1:33" ht="11.25" customHeight="1" x14ac:dyDescent="0.3">
      <c r="A718" s="4" t="s">
        <v>21</v>
      </c>
      <c r="B718" s="4" t="s">
        <v>37</v>
      </c>
      <c r="C718" s="4" t="s">
        <v>33</v>
      </c>
      <c r="D718" s="4" t="s">
        <v>41</v>
      </c>
      <c r="E718" s="4" t="s">
        <v>25</v>
      </c>
      <c r="F718" s="4" t="s">
        <v>25</v>
      </c>
      <c r="G718" s="4" t="s">
        <v>25</v>
      </c>
      <c r="H718" s="4" t="s">
        <v>35</v>
      </c>
      <c r="I718" s="5">
        <v>44774</v>
      </c>
      <c r="J718" s="6">
        <v>0</v>
      </c>
      <c r="K718" s="6">
        <v>0</v>
      </c>
      <c r="L718" s="6">
        <v>5.601</v>
      </c>
      <c r="M718" s="6">
        <v>5.601</v>
      </c>
      <c r="N718" s="6">
        <v>5.601</v>
      </c>
      <c r="O718" s="6">
        <v>5.601</v>
      </c>
      <c r="P718" s="6">
        <v>0</v>
      </c>
      <c r="Q718" s="4" t="s">
        <v>26</v>
      </c>
      <c r="R718" s="4">
        <v>0</v>
      </c>
      <c r="S718" s="6">
        <v>0</v>
      </c>
      <c r="T718" s="6">
        <v>57</v>
      </c>
      <c r="U718" s="6">
        <v>98</v>
      </c>
      <c r="V718" s="6">
        <f>IF(ISERROR(VLOOKUP($S$718,'TAR FIN'!$A$1:$O$103,15,0)),0,VLOOKUP($S$718,'TAR FIN'!$A$1:$O$103,15,0))</f>
        <v>0</v>
      </c>
      <c r="W718" s="6">
        <f>IF(ISERROR(VLOOKUP($T$718,'TAR FIN'!$A$1:$O$103,15,0)),0,VLOOKUP($T$718,'TAR FIN'!$A$1:$O$103,15,0))</f>
        <v>295.61</v>
      </c>
      <c r="X718" s="6">
        <f>IF(ISERROR(VLOOKUP($U$718,'TAR FIN'!$A$1:$O$103,15,0)),0,VLOOKUP($U$718,'TAR FIN'!$A$1:$O$103,15,0))</f>
        <v>242.77</v>
      </c>
      <c r="Y718" s="6"/>
      <c r="Z718" s="6">
        <f ca="1">('TUSD BE'!$AM$59+'TUSD BF_350'!$AM$59+'TUSD CVA'!$AM$59)*1</f>
        <v>311.74000000000007</v>
      </c>
      <c r="AA718" s="6">
        <f ca="1">('TE BE'!$AB$40+'TE BF_350'!$AB$40+'TE CVA'!$AB$40)*1</f>
        <v>272.81999999999994</v>
      </c>
      <c r="AB718" s="6">
        <f>$K$718*$V$718</f>
        <v>0</v>
      </c>
      <c r="AC718" s="6">
        <f>$M$718*$W$718</f>
        <v>1655.7116100000001</v>
      </c>
      <c r="AD718" s="6">
        <f>$O$718*$X$718</f>
        <v>1359.75477</v>
      </c>
      <c r="AE718" s="6">
        <f>$K$718*$Y$718</f>
        <v>0</v>
      </c>
      <c r="AF718" s="6">
        <f ca="1">$M$718*$Z$718</f>
        <v>1746.0557400000005</v>
      </c>
      <c r="AG718" s="6">
        <f ca="1">$O$718*$AA$718</f>
        <v>1528.0648199999996</v>
      </c>
    </row>
    <row r="719" spans="1:33" ht="11.25" customHeight="1" x14ac:dyDescent="0.3">
      <c r="A719" s="4" t="s">
        <v>21</v>
      </c>
      <c r="B719" s="4" t="s">
        <v>37</v>
      </c>
      <c r="C719" s="4" t="s">
        <v>33</v>
      </c>
      <c r="D719" s="4" t="s">
        <v>41</v>
      </c>
      <c r="E719" s="4" t="s">
        <v>25</v>
      </c>
      <c r="F719" s="4" t="s">
        <v>25</v>
      </c>
      <c r="G719" s="4" t="s">
        <v>25</v>
      </c>
      <c r="H719" s="4" t="s">
        <v>35</v>
      </c>
      <c r="I719" s="5">
        <v>44805</v>
      </c>
      <c r="J719" s="6">
        <v>0</v>
      </c>
      <c r="K719" s="6">
        <v>0</v>
      </c>
      <c r="L719" s="6">
        <v>6.96</v>
      </c>
      <c r="M719" s="6">
        <v>6.96</v>
      </c>
      <c r="N719" s="6">
        <v>6.96</v>
      </c>
      <c r="O719" s="6">
        <v>6.96</v>
      </c>
      <c r="P719" s="6">
        <v>0</v>
      </c>
      <c r="Q719" s="4" t="s">
        <v>26</v>
      </c>
      <c r="R719" s="4">
        <v>0</v>
      </c>
      <c r="S719" s="6">
        <v>0</v>
      </c>
      <c r="T719" s="6">
        <v>57</v>
      </c>
      <c r="U719" s="6">
        <v>98</v>
      </c>
      <c r="V719" s="6">
        <f>IF(ISERROR(VLOOKUP($S$719,'TAR FIN'!$A$1:$O$103,15,0)),0,VLOOKUP($S$719,'TAR FIN'!$A$1:$O$103,15,0))</f>
        <v>0</v>
      </c>
      <c r="W719" s="6">
        <f>IF(ISERROR(VLOOKUP($T$719,'TAR FIN'!$A$1:$O$103,15,0)),0,VLOOKUP($T$719,'TAR FIN'!$A$1:$O$103,15,0))</f>
        <v>295.61</v>
      </c>
      <c r="X719" s="6">
        <f>IF(ISERROR(VLOOKUP($U$719,'TAR FIN'!$A$1:$O$103,15,0)),0,VLOOKUP($U$719,'TAR FIN'!$A$1:$O$103,15,0))</f>
        <v>242.77</v>
      </c>
      <c r="Y719" s="6"/>
      <c r="Z719" s="6">
        <f ca="1">('TUSD BE'!$AM$59+'TUSD BF_350'!$AM$59+'TUSD CVA'!$AM$59)*1</f>
        <v>311.74000000000007</v>
      </c>
      <c r="AA719" s="6">
        <f ca="1">('TE BE'!$AB$40+'TE BF_350'!$AB$40+'TE CVA'!$AB$40)*1</f>
        <v>272.81999999999994</v>
      </c>
      <c r="AB719" s="6">
        <f>$K$719*$V$719</f>
        <v>0</v>
      </c>
      <c r="AC719" s="6">
        <f>$M$719*$W$719</f>
        <v>2057.4456</v>
      </c>
      <c r="AD719" s="6">
        <f>$O$719*$X$719</f>
        <v>1689.6792</v>
      </c>
      <c r="AE719" s="6">
        <f>$K$719*$Y$719</f>
        <v>0</v>
      </c>
      <c r="AF719" s="6">
        <f ca="1">$M$719*$Z$719</f>
        <v>2169.7104000000004</v>
      </c>
      <c r="AG719" s="6">
        <f ca="1">$O$719*$AA$719</f>
        <v>1898.8271999999995</v>
      </c>
    </row>
    <row r="720" spans="1:33" ht="11.25" customHeight="1" x14ac:dyDescent="0.3">
      <c r="A720" s="4" t="s">
        <v>57</v>
      </c>
      <c r="B720" s="4" t="s">
        <v>37</v>
      </c>
      <c r="C720" s="4" t="s">
        <v>33</v>
      </c>
      <c r="D720" s="4" t="s">
        <v>41</v>
      </c>
      <c r="E720" s="4" t="s">
        <v>25</v>
      </c>
      <c r="F720" s="4" t="s">
        <v>25</v>
      </c>
      <c r="G720" s="4" t="s">
        <v>25</v>
      </c>
      <c r="H720" s="4" t="s">
        <v>35</v>
      </c>
      <c r="I720" s="5">
        <v>44835</v>
      </c>
      <c r="J720" s="6">
        <v>0</v>
      </c>
      <c r="K720" s="6">
        <v>0</v>
      </c>
      <c r="L720" s="6">
        <v>6.96</v>
      </c>
      <c r="M720" s="6">
        <v>6.96</v>
      </c>
      <c r="N720" s="6">
        <v>6.96</v>
      </c>
      <c r="O720" s="6">
        <v>6.96</v>
      </c>
      <c r="P720" s="6">
        <v>0</v>
      </c>
      <c r="Q720" s="4" t="s">
        <v>26</v>
      </c>
      <c r="R720" s="4">
        <v>0</v>
      </c>
      <c r="S720" s="6">
        <v>0</v>
      </c>
      <c r="T720" s="6">
        <v>57</v>
      </c>
      <c r="U720" s="6">
        <v>98</v>
      </c>
      <c r="V720" s="6">
        <f>IF(ISERROR(VLOOKUP($S$720,'TAR FIN'!$A$1:$O$103,15,0)),0,VLOOKUP($S$720,'TAR FIN'!$A$1:$O$103,15,0))</f>
        <v>0</v>
      </c>
      <c r="W720" s="6">
        <f>IF(ISERROR(VLOOKUP($T$720,'TAR FIN'!$A$1:$O$103,15,0)),0,VLOOKUP($T$720,'TAR FIN'!$A$1:$O$103,15,0))</f>
        <v>295.61</v>
      </c>
      <c r="X720" s="6">
        <f>IF(ISERROR(VLOOKUP($U$720,'TAR FIN'!$A$1:$O$103,15,0)),0,VLOOKUP($U$720,'TAR FIN'!$A$1:$O$103,15,0))</f>
        <v>242.77</v>
      </c>
      <c r="Y720" s="6"/>
      <c r="Z720" s="6">
        <f ca="1">('TUSD BE'!$AM$59+'TUSD BF_350'!$AM$59+'TUSD CVA'!$AM$59)*1</f>
        <v>311.74000000000007</v>
      </c>
      <c r="AA720" s="6">
        <f ca="1">('TE BE'!$AB$40+'TE BF_350'!$AB$40+'TE CVA'!$AB$40)*1</f>
        <v>272.81999999999994</v>
      </c>
      <c r="AB720" s="6">
        <f>$K$720*$V$720</f>
        <v>0</v>
      </c>
      <c r="AC720" s="6">
        <f>$M$720*$W$720</f>
        <v>2057.4456</v>
      </c>
      <c r="AD720" s="6">
        <f>$O$720*$X$720</f>
        <v>1689.6792</v>
      </c>
      <c r="AE720" s="6">
        <f>$K$720*$Y$720</f>
        <v>0</v>
      </c>
      <c r="AF720" s="6">
        <f ca="1">$M$720*$Z$720</f>
        <v>2169.7104000000004</v>
      </c>
      <c r="AG720" s="6">
        <f ca="1">$O$720*$AA$720</f>
        <v>1898.8271999999995</v>
      </c>
    </row>
    <row r="721" spans="1:33" ht="11.25" customHeight="1" x14ac:dyDescent="0.3">
      <c r="A721" s="4" t="s">
        <v>21</v>
      </c>
      <c r="B721" s="4" t="s">
        <v>37</v>
      </c>
      <c r="C721" s="4" t="s">
        <v>33</v>
      </c>
      <c r="D721" s="4" t="s">
        <v>41</v>
      </c>
      <c r="E721" s="4" t="s">
        <v>25</v>
      </c>
      <c r="F721" s="4" t="s">
        <v>25</v>
      </c>
      <c r="G721" s="4" t="s">
        <v>25</v>
      </c>
      <c r="H721" s="4" t="s">
        <v>36</v>
      </c>
      <c r="I721" s="5">
        <v>44501</v>
      </c>
      <c r="J721" s="6">
        <v>0</v>
      </c>
      <c r="K721" s="6">
        <v>0</v>
      </c>
      <c r="L721" s="6">
        <v>0.53500000000000003</v>
      </c>
      <c r="M721" s="6">
        <v>0.53500000000000003</v>
      </c>
      <c r="N721" s="6">
        <v>0.53500000000000003</v>
      </c>
      <c r="O721" s="6">
        <v>0.53500000000000003</v>
      </c>
      <c r="P721" s="6">
        <v>0</v>
      </c>
      <c r="Q721" s="4" t="s">
        <v>26</v>
      </c>
      <c r="R721" s="4">
        <v>0</v>
      </c>
      <c r="S721" s="6">
        <v>0</v>
      </c>
      <c r="T721" s="6">
        <v>56</v>
      </c>
      <c r="U721" s="6">
        <v>97</v>
      </c>
      <c r="V721" s="6">
        <f>IF(ISERROR(VLOOKUP($S$721,'TAR FIN'!$A$1:$O$103,15,0)),0,VLOOKUP($S$721,'TAR FIN'!$A$1:$O$103,15,0))</f>
        <v>0</v>
      </c>
      <c r="W721" s="6">
        <f>IF(ISERROR(VLOOKUP($T$721,'TAR FIN'!$A$1:$O$103,15,0)),0,VLOOKUP($T$721,'TAR FIN'!$A$1:$O$103,15,0))</f>
        <v>669.59</v>
      </c>
      <c r="X721" s="6">
        <f>IF(ISERROR(VLOOKUP($U$721,'TAR FIN'!$A$1:$O$103,15,0)),0,VLOOKUP($U$721,'TAR FIN'!$A$1:$O$103,15,0))</f>
        <v>242.77</v>
      </c>
      <c r="Y721" s="6"/>
      <c r="Z721" s="6">
        <f ca="1">('TUSD BE'!$AM$58+'TUSD BF_350'!$AM$58+'TUSD CVA'!$AM$58)*1</f>
        <v>570.4</v>
      </c>
      <c r="AA721" s="6">
        <f ca="1">('TE BE'!$AB$39+'TE BF_350'!$AB$39+'TE CVA'!$AB$39)*1</f>
        <v>272.81999999999994</v>
      </c>
      <c r="AB721" s="6">
        <f>$K$721*$V$721</f>
        <v>0</v>
      </c>
      <c r="AC721" s="6">
        <f>$M$721*$W$721</f>
        <v>358.23065000000003</v>
      </c>
      <c r="AD721" s="6">
        <f>$O$721*$X$721</f>
        <v>129.88195000000002</v>
      </c>
      <c r="AE721" s="6">
        <f>$K$721*$Y$721</f>
        <v>0</v>
      </c>
      <c r="AF721" s="6">
        <f ca="1">$M$721*$Z$721</f>
        <v>305.16399999999999</v>
      </c>
      <c r="AG721" s="6">
        <f ca="1">$O$721*$AA$721</f>
        <v>145.95869999999996</v>
      </c>
    </row>
    <row r="722" spans="1:33" ht="11.25" customHeight="1" x14ac:dyDescent="0.3">
      <c r="A722" s="4" t="s">
        <v>21</v>
      </c>
      <c r="B722" s="4" t="s">
        <v>37</v>
      </c>
      <c r="C722" s="4" t="s">
        <v>33</v>
      </c>
      <c r="D722" s="4" t="s">
        <v>41</v>
      </c>
      <c r="E722" s="4" t="s">
        <v>25</v>
      </c>
      <c r="F722" s="4" t="s">
        <v>25</v>
      </c>
      <c r="G722" s="4" t="s">
        <v>25</v>
      </c>
      <c r="H722" s="4" t="s">
        <v>36</v>
      </c>
      <c r="I722" s="5">
        <v>44531</v>
      </c>
      <c r="J722" s="6">
        <v>0</v>
      </c>
      <c r="K722" s="6">
        <v>0</v>
      </c>
      <c r="L722" s="6">
        <v>0.47199999999999998</v>
      </c>
      <c r="M722" s="6">
        <v>0.47199999999999998</v>
      </c>
      <c r="N722" s="6">
        <v>0.47199999999999998</v>
      </c>
      <c r="O722" s="6">
        <v>0.47199999999999998</v>
      </c>
      <c r="P722" s="6">
        <v>0</v>
      </c>
      <c r="Q722" s="4" t="s">
        <v>26</v>
      </c>
      <c r="R722" s="4">
        <v>0</v>
      </c>
      <c r="S722" s="6">
        <v>0</v>
      </c>
      <c r="T722" s="6">
        <v>56</v>
      </c>
      <c r="U722" s="6">
        <v>97</v>
      </c>
      <c r="V722" s="6">
        <f>IF(ISERROR(VLOOKUP($S$722,'TAR FIN'!$A$1:$O$103,15,0)),0,VLOOKUP($S$722,'TAR FIN'!$A$1:$O$103,15,0))</f>
        <v>0</v>
      </c>
      <c r="W722" s="6">
        <f>IF(ISERROR(VLOOKUP($T$722,'TAR FIN'!$A$1:$O$103,15,0)),0,VLOOKUP($T$722,'TAR FIN'!$A$1:$O$103,15,0))</f>
        <v>669.59</v>
      </c>
      <c r="X722" s="6">
        <f>IF(ISERROR(VLOOKUP($U$722,'TAR FIN'!$A$1:$O$103,15,0)),0,VLOOKUP($U$722,'TAR FIN'!$A$1:$O$103,15,0))</f>
        <v>242.77</v>
      </c>
      <c r="Y722" s="6"/>
      <c r="Z722" s="6">
        <f ca="1">('TUSD BE'!$AM$58+'TUSD BF_350'!$AM$58+'TUSD CVA'!$AM$58)*1</f>
        <v>570.4</v>
      </c>
      <c r="AA722" s="6">
        <f ca="1">('TE BE'!$AB$39+'TE BF_350'!$AB$39+'TE CVA'!$AB$39)*1</f>
        <v>272.81999999999994</v>
      </c>
      <c r="AB722" s="6">
        <f>$K$722*$V$722</f>
        <v>0</v>
      </c>
      <c r="AC722" s="6">
        <f>$M$722*$W$722</f>
        <v>316.04647999999997</v>
      </c>
      <c r="AD722" s="6">
        <f>$O$722*$X$722</f>
        <v>114.58744</v>
      </c>
      <c r="AE722" s="6">
        <f>$K$722*$Y$722</f>
        <v>0</v>
      </c>
      <c r="AF722" s="6">
        <f ca="1">$M$722*$Z$722</f>
        <v>269.22879999999998</v>
      </c>
      <c r="AG722" s="6">
        <f ca="1">$O$722*$AA$722</f>
        <v>128.77103999999997</v>
      </c>
    </row>
    <row r="723" spans="1:33" ht="11.25" customHeight="1" x14ac:dyDescent="0.3">
      <c r="A723" s="4" t="s">
        <v>21</v>
      </c>
      <c r="B723" s="4" t="s">
        <v>37</v>
      </c>
      <c r="C723" s="4" t="s">
        <v>33</v>
      </c>
      <c r="D723" s="4" t="s">
        <v>41</v>
      </c>
      <c r="E723" s="4" t="s">
        <v>25</v>
      </c>
      <c r="F723" s="4" t="s">
        <v>25</v>
      </c>
      <c r="G723" s="4" t="s">
        <v>25</v>
      </c>
      <c r="H723" s="4" t="s">
        <v>36</v>
      </c>
      <c r="I723" s="5">
        <v>44562</v>
      </c>
      <c r="J723" s="6">
        <v>0</v>
      </c>
      <c r="K723" s="6">
        <v>0</v>
      </c>
      <c r="L723" s="6">
        <v>0.58599999999999997</v>
      </c>
      <c r="M723" s="6">
        <v>0.58599999999999997</v>
      </c>
      <c r="N723" s="6">
        <v>0.58599999999999997</v>
      </c>
      <c r="O723" s="6">
        <v>0.58599999999999997</v>
      </c>
      <c r="P723" s="6">
        <v>0</v>
      </c>
      <c r="Q723" s="4" t="s">
        <v>26</v>
      </c>
      <c r="R723" s="4">
        <v>0</v>
      </c>
      <c r="S723" s="6">
        <v>0</v>
      </c>
      <c r="T723" s="6">
        <v>56</v>
      </c>
      <c r="U723" s="6">
        <v>97</v>
      </c>
      <c r="V723" s="6">
        <f>IF(ISERROR(VLOOKUP($S$723,'TAR FIN'!$A$1:$O$103,15,0)),0,VLOOKUP($S$723,'TAR FIN'!$A$1:$O$103,15,0))</f>
        <v>0</v>
      </c>
      <c r="W723" s="6">
        <f>IF(ISERROR(VLOOKUP($T$723,'TAR FIN'!$A$1:$O$103,15,0)),0,VLOOKUP($T$723,'TAR FIN'!$A$1:$O$103,15,0))</f>
        <v>669.59</v>
      </c>
      <c r="X723" s="6">
        <f>IF(ISERROR(VLOOKUP($U$723,'TAR FIN'!$A$1:$O$103,15,0)),0,VLOOKUP($U$723,'TAR FIN'!$A$1:$O$103,15,0))</f>
        <v>242.77</v>
      </c>
      <c r="Y723" s="6"/>
      <c r="Z723" s="6">
        <f ca="1">('TUSD BE'!$AM$58+'TUSD BF_350'!$AM$58+'TUSD CVA'!$AM$58)*1</f>
        <v>570.4</v>
      </c>
      <c r="AA723" s="6">
        <f ca="1">('TE BE'!$AB$39+'TE BF_350'!$AB$39+'TE CVA'!$AB$39)*1</f>
        <v>272.81999999999994</v>
      </c>
      <c r="AB723" s="6">
        <f>$K$723*$V$723</f>
        <v>0</v>
      </c>
      <c r="AC723" s="6">
        <f>$M$723*$W$723</f>
        <v>392.37973999999997</v>
      </c>
      <c r="AD723" s="6">
        <f>$O$723*$X$723</f>
        <v>142.26321999999999</v>
      </c>
      <c r="AE723" s="6">
        <f>$K$723*$Y$723</f>
        <v>0</v>
      </c>
      <c r="AF723" s="6">
        <f ca="1">$M$723*$Z$723</f>
        <v>334.25439999999998</v>
      </c>
      <c r="AG723" s="6">
        <f ca="1">$O$723*$AA$723</f>
        <v>159.87251999999995</v>
      </c>
    </row>
    <row r="724" spans="1:33" ht="11.25" customHeight="1" x14ac:dyDescent="0.3">
      <c r="A724" s="4" t="s">
        <v>21</v>
      </c>
      <c r="B724" s="4" t="s">
        <v>37</v>
      </c>
      <c r="C724" s="4" t="s">
        <v>33</v>
      </c>
      <c r="D724" s="4" t="s">
        <v>41</v>
      </c>
      <c r="E724" s="4" t="s">
        <v>25</v>
      </c>
      <c r="F724" s="4" t="s">
        <v>25</v>
      </c>
      <c r="G724" s="4" t="s">
        <v>25</v>
      </c>
      <c r="H724" s="4" t="s">
        <v>36</v>
      </c>
      <c r="I724" s="5">
        <v>44593</v>
      </c>
      <c r="J724" s="6">
        <v>0</v>
      </c>
      <c r="K724" s="6">
        <v>0</v>
      </c>
      <c r="L724" s="6">
        <v>0.57399999999999995</v>
      </c>
      <c r="M724" s="6">
        <v>0.57399999999999995</v>
      </c>
      <c r="N724" s="6">
        <v>0.57399999999999995</v>
      </c>
      <c r="O724" s="6">
        <v>0.57399999999999995</v>
      </c>
      <c r="P724" s="6">
        <v>0</v>
      </c>
      <c r="Q724" s="4" t="s">
        <v>26</v>
      </c>
      <c r="R724" s="4">
        <v>0</v>
      </c>
      <c r="S724" s="6">
        <v>0</v>
      </c>
      <c r="T724" s="6">
        <v>56</v>
      </c>
      <c r="U724" s="6">
        <v>97</v>
      </c>
      <c r="V724" s="6">
        <f>IF(ISERROR(VLOOKUP($S$724,'TAR FIN'!$A$1:$O$103,15,0)),0,VLOOKUP($S$724,'TAR FIN'!$A$1:$O$103,15,0))</f>
        <v>0</v>
      </c>
      <c r="W724" s="6">
        <f>IF(ISERROR(VLOOKUP($T$724,'TAR FIN'!$A$1:$O$103,15,0)),0,VLOOKUP($T$724,'TAR FIN'!$A$1:$O$103,15,0))</f>
        <v>669.59</v>
      </c>
      <c r="X724" s="6">
        <f>IF(ISERROR(VLOOKUP($U$724,'TAR FIN'!$A$1:$O$103,15,0)),0,VLOOKUP($U$724,'TAR FIN'!$A$1:$O$103,15,0))</f>
        <v>242.77</v>
      </c>
      <c r="Y724" s="6"/>
      <c r="Z724" s="6">
        <f ca="1">('TUSD BE'!$AM$58+'TUSD BF_350'!$AM$58+'TUSD CVA'!$AM$58)*1</f>
        <v>570.4</v>
      </c>
      <c r="AA724" s="6">
        <f ca="1">('TE BE'!$AB$39+'TE BF_350'!$AB$39+'TE CVA'!$AB$39)*1</f>
        <v>272.81999999999994</v>
      </c>
      <c r="AB724" s="6">
        <f>$K$724*$V$724</f>
        <v>0</v>
      </c>
      <c r="AC724" s="6">
        <f>$M$724*$W$724</f>
        <v>384.34465999999998</v>
      </c>
      <c r="AD724" s="6">
        <f>$O$724*$X$724</f>
        <v>139.34997999999999</v>
      </c>
      <c r="AE724" s="6">
        <f>$K$724*$Y$724</f>
        <v>0</v>
      </c>
      <c r="AF724" s="6">
        <f ca="1">$M$724*$Z$724</f>
        <v>327.40959999999995</v>
      </c>
      <c r="AG724" s="6">
        <f ca="1">$O$724*$AA$724</f>
        <v>156.59867999999994</v>
      </c>
    </row>
    <row r="725" spans="1:33" ht="11.25" customHeight="1" x14ac:dyDescent="0.3">
      <c r="A725" s="4" t="s">
        <v>21</v>
      </c>
      <c r="B725" s="4" t="s">
        <v>37</v>
      </c>
      <c r="C725" s="4" t="s">
        <v>33</v>
      </c>
      <c r="D725" s="4" t="s">
        <v>41</v>
      </c>
      <c r="E725" s="4" t="s">
        <v>25</v>
      </c>
      <c r="F725" s="4" t="s">
        <v>25</v>
      </c>
      <c r="G725" s="4" t="s">
        <v>25</v>
      </c>
      <c r="H725" s="4" t="s">
        <v>36</v>
      </c>
      <c r="I725" s="5">
        <v>44621</v>
      </c>
      <c r="J725" s="6">
        <v>0</v>
      </c>
      <c r="K725" s="6">
        <v>0</v>
      </c>
      <c r="L725" s="6">
        <v>0.436</v>
      </c>
      <c r="M725" s="6">
        <v>0.436</v>
      </c>
      <c r="N725" s="6">
        <v>0.436</v>
      </c>
      <c r="O725" s="6">
        <v>0.436</v>
      </c>
      <c r="P725" s="6">
        <v>0</v>
      </c>
      <c r="Q725" s="4" t="s">
        <v>26</v>
      </c>
      <c r="R725" s="4">
        <v>0</v>
      </c>
      <c r="S725" s="6">
        <v>0</v>
      </c>
      <c r="T725" s="6">
        <v>56</v>
      </c>
      <c r="U725" s="6">
        <v>97</v>
      </c>
      <c r="V725" s="6">
        <f>IF(ISERROR(VLOOKUP($S$725,'TAR FIN'!$A$1:$O$103,15,0)),0,VLOOKUP($S$725,'TAR FIN'!$A$1:$O$103,15,0))</f>
        <v>0</v>
      </c>
      <c r="W725" s="6">
        <f>IF(ISERROR(VLOOKUP($T$725,'TAR FIN'!$A$1:$O$103,15,0)),0,VLOOKUP($T$725,'TAR FIN'!$A$1:$O$103,15,0))</f>
        <v>669.59</v>
      </c>
      <c r="X725" s="6">
        <f>IF(ISERROR(VLOOKUP($U$725,'TAR FIN'!$A$1:$O$103,15,0)),0,VLOOKUP($U$725,'TAR FIN'!$A$1:$O$103,15,0))</f>
        <v>242.77</v>
      </c>
      <c r="Y725" s="6"/>
      <c r="Z725" s="6">
        <f ca="1">('TUSD BE'!$AM$58+'TUSD BF_350'!$AM$58+'TUSD CVA'!$AM$58)*1</f>
        <v>570.4</v>
      </c>
      <c r="AA725" s="6">
        <f ca="1">('TE BE'!$AB$39+'TE BF_350'!$AB$39+'TE CVA'!$AB$39)*1</f>
        <v>272.81999999999994</v>
      </c>
      <c r="AB725" s="6">
        <f>$K$725*$V$725</f>
        <v>0</v>
      </c>
      <c r="AC725" s="6">
        <f>$M$725*$W$725</f>
        <v>291.94123999999999</v>
      </c>
      <c r="AD725" s="6">
        <f>$O$725*$X$725</f>
        <v>105.84772000000001</v>
      </c>
      <c r="AE725" s="6">
        <f>$K$725*$Y$725</f>
        <v>0</v>
      </c>
      <c r="AF725" s="6">
        <f ca="1">$M$725*$Z$725</f>
        <v>248.6944</v>
      </c>
      <c r="AG725" s="6">
        <f ca="1">$O$725*$AA$725</f>
        <v>118.94951999999998</v>
      </c>
    </row>
    <row r="726" spans="1:33" ht="11.25" customHeight="1" x14ac:dyDescent="0.3">
      <c r="A726" s="4" t="s">
        <v>21</v>
      </c>
      <c r="B726" s="4" t="s">
        <v>37</v>
      </c>
      <c r="C726" s="4" t="s">
        <v>33</v>
      </c>
      <c r="D726" s="4" t="s">
        <v>41</v>
      </c>
      <c r="E726" s="4" t="s">
        <v>25</v>
      </c>
      <c r="F726" s="4" t="s">
        <v>25</v>
      </c>
      <c r="G726" s="4" t="s">
        <v>25</v>
      </c>
      <c r="H726" s="4" t="s">
        <v>36</v>
      </c>
      <c r="I726" s="5">
        <v>44652</v>
      </c>
      <c r="J726" s="6">
        <v>0</v>
      </c>
      <c r="K726" s="6">
        <v>0</v>
      </c>
      <c r="L726" s="6">
        <v>0.61299999999999999</v>
      </c>
      <c r="M726" s="6">
        <v>0.61299999999999999</v>
      </c>
      <c r="N726" s="6">
        <v>0.61299999999999999</v>
      </c>
      <c r="O726" s="6">
        <v>0.61299999999999999</v>
      </c>
      <c r="P726" s="6">
        <v>0</v>
      </c>
      <c r="Q726" s="4" t="s">
        <v>26</v>
      </c>
      <c r="R726" s="4">
        <v>0</v>
      </c>
      <c r="S726" s="6">
        <v>0</v>
      </c>
      <c r="T726" s="6">
        <v>56</v>
      </c>
      <c r="U726" s="6">
        <v>97</v>
      </c>
      <c r="V726" s="6">
        <f>IF(ISERROR(VLOOKUP($S$726,'TAR FIN'!$A$1:$O$103,15,0)),0,VLOOKUP($S$726,'TAR FIN'!$A$1:$O$103,15,0))</f>
        <v>0</v>
      </c>
      <c r="W726" s="6">
        <f>IF(ISERROR(VLOOKUP($T$726,'TAR FIN'!$A$1:$O$103,15,0)),0,VLOOKUP($T$726,'TAR FIN'!$A$1:$O$103,15,0))</f>
        <v>669.59</v>
      </c>
      <c r="X726" s="6">
        <f>IF(ISERROR(VLOOKUP($U$726,'TAR FIN'!$A$1:$O$103,15,0)),0,VLOOKUP($U$726,'TAR FIN'!$A$1:$O$103,15,0))</f>
        <v>242.77</v>
      </c>
      <c r="Y726" s="6"/>
      <c r="Z726" s="6">
        <f ca="1">('TUSD BE'!$AM$58+'TUSD BF_350'!$AM$58+'TUSD CVA'!$AM$58)*1</f>
        <v>570.4</v>
      </c>
      <c r="AA726" s="6">
        <f ca="1">('TE BE'!$AB$39+'TE BF_350'!$AB$39+'TE CVA'!$AB$39)*1</f>
        <v>272.81999999999994</v>
      </c>
      <c r="AB726" s="6">
        <f>$K$726*$V$726</f>
        <v>0</v>
      </c>
      <c r="AC726" s="6">
        <f>$M$726*$W$726</f>
        <v>410.45867000000004</v>
      </c>
      <c r="AD726" s="6">
        <f>$O$726*$X$726</f>
        <v>148.81801000000002</v>
      </c>
      <c r="AE726" s="6">
        <f>$K$726*$Y$726</f>
        <v>0</v>
      </c>
      <c r="AF726" s="6">
        <f ca="1">$M$726*$Z$726</f>
        <v>349.65519999999998</v>
      </c>
      <c r="AG726" s="6">
        <f ca="1">$O$726*$AA$726</f>
        <v>167.23865999999995</v>
      </c>
    </row>
    <row r="727" spans="1:33" ht="11.25" customHeight="1" x14ac:dyDescent="0.3">
      <c r="A727" s="4" t="s">
        <v>21</v>
      </c>
      <c r="B727" s="4" t="s">
        <v>37</v>
      </c>
      <c r="C727" s="4" t="s">
        <v>33</v>
      </c>
      <c r="D727" s="4" t="s">
        <v>41</v>
      </c>
      <c r="E727" s="4" t="s">
        <v>25</v>
      </c>
      <c r="F727" s="4" t="s">
        <v>25</v>
      </c>
      <c r="G727" s="4" t="s">
        <v>25</v>
      </c>
      <c r="H727" s="4" t="s">
        <v>36</v>
      </c>
      <c r="I727" s="5">
        <v>44682</v>
      </c>
      <c r="J727" s="6">
        <v>0</v>
      </c>
      <c r="K727" s="6">
        <v>0</v>
      </c>
      <c r="L727" s="6">
        <v>0.56599999999999995</v>
      </c>
      <c r="M727" s="6">
        <v>0.56599999999999995</v>
      </c>
      <c r="N727" s="6">
        <v>0.56599999999999995</v>
      </c>
      <c r="O727" s="6">
        <v>0.56599999999999995</v>
      </c>
      <c r="P727" s="6">
        <v>0</v>
      </c>
      <c r="Q727" s="4" t="s">
        <v>26</v>
      </c>
      <c r="R727" s="4">
        <v>0</v>
      </c>
      <c r="S727" s="6">
        <v>0</v>
      </c>
      <c r="T727" s="6">
        <v>56</v>
      </c>
      <c r="U727" s="6">
        <v>97</v>
      </c>
      <c r="V727" s="6">
        <f>IF(ISERROR(VLOOKUP($S$727,'TAR FIN'!$A$1:$O$103,15,0)),0,VLOOKUP($S$727,'TAR FIN'!$A$1:$O$103,15,0))</f>
        <v>0</v>
      </c>
      <c r="W727" s="6">
        <f>IF(ISERROR(VLOOKUP($T$727,'TAR FIN'!$A$1:$O$103,15,0)),0,VLOOKUP($T$727,'TAR FIN'!$A$1:$O$103,15,0))</f>
        <v>669.59</v>
      </c>
      <c r="X727" s="6">
        <f>IF(ISERROR(VLOOKUP($U$727,'TAR FIN'!$A$1:$O$103,15,0)),0,VLOOKUP($U$727,'TAR FIN'!$A$1:$O$103,15,0))</f>
        <v>242.77</v>
      </c>
      <c r="Y727" s="6"/>
      <c r="Z727" s="6">
        <f ca="1">('TUSD BE'!$AM$58+'TUSD BF_350'!$AM$58+'TUSD CVA'!$AM$58)*1</f>
        <v>570.4</v>
      </c>
      <c r="AA727" s="6">
        <f ca="1">('TE BE'!$AB$39+'TE BF_350'!$AB$39+'TE CVA'!$AB$39)*1</f>
        <v>272.81999999999994</v>
      </c>
      <c r="AB727" s="6">
        <f>$K$727*$V$727</f>
        <v>0</v>
      </c>
      <c r="AC727" s="6">
        <f>$M$727*$W$727</f>
        <v>378.98793999999998</v>
      </c>
      <c r="AD727" s="6">
        <f>$O$727*$X$727</f>
        <v>137.40781999999999</v>
      </c>
      <c r="AE727" s="6">
        <f>$K$727*$Y$727</f>
        <v>0</v>
      </c>
      <c r="AF727" s="6">
        <f ca="1">$M$727*$Z$727</f>
        <v>322.84639999999996</v>
      </c>
      <c r="AG727" s="6">
        <f ca="1">$O$727*$AA$727</f>
        <v>154.41611999999995</v>
      </c>
    </row>
    <row r="728" spans="1:33" ht="11.25" customHeight="1" x14ac:dyDescent="0.3">
      <c r="A728" s="4" t="s">
        <v>21</v>
      </c>
      <c r="B728" s="4" t="s">
        <v>37</v>
      </c>
      <c r="C728" s="4" t="s">
        <v>33</v>
      </c>
      <c r="D728" s="4" t="s">
        <v>41</v>
      </c>
      <c r="E728" s="4" t="s">
        <v>25</v>
      </c>
      <c r="F728" s="4" t="s">
        <v>25</v>
      </c>
      <c r="G728" s="4" t="s">
        <v>25</v>
      </c>
      <c r="H728" s="4" t="s">
        <v>36</v>
      </c>
      <c r="I728" s="5">
        <v>44713</v>
      </c>
      <c r="J728" s="6">
        <v>0</v>
      </c>
      <c r="K728" s="6">
        <v>0</v>
      </c>
      <c r="L728" s="6">
        <v>0.42499999999999999</v>
      </c>
      <c r="M728" s="6">
        <v>0.42499999999999999</v>
      </c>
      <c r="N728" s="6">
        <v>0.42499999999999999</v>
      </c>
      <c r="O728" s="6">
        <v>0.42499999999999999</v>
      </c>
      <c r="P728" s="6">
        <v>0</v>
      </c>
      <c r="Q728" s="4" t="s">
        <v>26</v>
      </c>
      <c r="R728" s="4">
        <v>0</v>
      </c>
      <c r="S728" s="6">
        <v>0</v>
      </c>
      <c r="T728" s="6">
        <v>56</v>
      </c>
      <c r="U728" s="6">
        <v>97</v>
      </c>
      <c r="V728" s="6">
        <f>IF(ISERROR(VLOOKUP($S$728,'TAR FIN'!$A$1:$O$103,15,0)),0,VLOOKUP($S$728,'TAR FIN'!$A$1:$O$103,15,0))</f>
        <v>0</v>
      </c>
      <c r="W728" s="6">
        <f>IF(ISERROR(VLOOKUP($T$728,'TAR FIN'!$A$1:$O$103,15,0)),0,VLOOKUP($T$728,'TAR FIN'!$A$1:$O$103,15,0))</f>
        <v>669.59</v>
      </c>
      <c r="X728" s="6">
        <f>IF(ISERROR(VLOOKUP($U$728,'TAR FIN'!$A$1:$O$103,15,0)),0,VLOOKUP($U$728,'TAR FIN'!$A$1:$O$103,15,0))</f>
        <v>242.77</v>
      </c>
      <c r="Y728" s="6"/>
      <c r="Z728" s="6">
        <f ca="1">('TUSD BE'!$AM$58+'TUSD BF_350'!$AM$58+'TUSD CVA'!$AM$58)*1</f>
        <v>570.4</v>
      </c>
      <c r="AA728" s="6">
        <f ca="1">('TE BE'!$AB$39+'TE BF_350'!$AB$39+'TE CVA'!$AB$39)*1</f>
        <v>272.81999999999994</v>
      </c>
      <c r="AB728" s="6">
        <f>$K$728*$V$728</f>
        <v>0</v>
      </c>
      <c r="AC728" s="6">
        <f>$M$728*$W$728</f>
        <v>284.57575000000003</v>
      </c>
      <c r="AD728" s="6">
        <f>$O$728*$X$728</f>
        <v>103.17725</v>
      </c>
      <c r="AE728" s="6">
        <f>$K$728*$Y$728</f>
        <v>0</v>
      </c>
      <c r="AF728" s="6">
        <f ca="1">$M$728*$Z$728</f>
        <v>242.42</v>
      </c>
      <c r="AG728" s="6">
        <f ca="1">$O$728*$AA$728</f>
        <v>115.94849999999997</v>
      </c>
    </row>
    <row r="729" spans="1:33" ht="11.25" customHeight="1" x14ac:dyDescent="0.3">
      <c r="A729" s="4" t="s">
        <v>28</v>
      </c>
      <c r="B729" s="4" t="s">
        <v>37</v>
      </c>
      <c r="C729" s="4" t="s">
        <v>33</v>
      </c>
      <c r="D729" s="4" t="s">
        <v>41</v>
      </c>
      <c r="E729" s="4" t="s">
        <v>25</v>
      </c>
      <c r="F729" s="4" t="s">
        <v>25</v>
      </c>
      <c r="G729" s="4" t="s">
        <v>25</v>
      </c>
      <c r="H729" s="4" t="s">
        <v>36</v>
      </c>
      <c r="I729" s="5">
        <v>44713</v>
      </c>
      <c r="J729" s="6">
        <v>0</v>
      </c>
      <c r="K729" s="6">
        <v>0</v>
      </c>
      <c r="L729" s="6">
        <v>0.05</v>
      </c>
      <c r="M729" s="6">
        <v>0.05</v>
      </c>
      <c r="N729" s="6">
        <v>0.05</v>
      </c>
      <c r="O729" s="6">
        <v>0.05</v>
      </c>
      <c r="P729" s="6">
        <v>0</v>
      </c>
      <c r="Q729" s="4" t="s">
        <v>26</v>
      </c>
      <c r="R729" s="4">
        <v>0</v>
      </c>
      <c r="S729" s="6">
        <v>0</v>
      </c>
      <c r="T729" s="6">
        <v>56</v>
      </c>
      <c r="U729" s="6">
        <v>97</v>
      </c>
      <c r="V729" s="6">
        <f>IF(ISERROR(VLOOKUP($S$729,'TAR FIN'!$A$1:$O$103,15,0)),0,VLOOKUP($S$729,'TAR FIN'!$A$1:$O$103,15,0))</f>
        <v>0</v>
      </c>
      <c r="W729" s="6">
        <f>IF(ISERROR(VLOOKUP($T$729,'TAR FIN'!$A$1:$O$103,15,0)),0,VLOOKUP($T$729,'TAR FIN'!$A$1:$O$103,15,0))</f>
        <v>669.59</v>
      </c>
      <c r="X729" s="6">
        <f>IF(ISERROR(VLOOKUP($U$729,'TAR FIN'!$A$1:$O$103,15,0)),0,VLOOKUP($U$729,'TAR FIN'!$A$1:$O$103,15,0))</f>
        <v>242.77</v>
      </c>
      <c r="Y729" s="6"/>
      <c r="Z729" s="6">
        <f ca="1">('TUSD BE'!$AM$58+'TUSD BF_350'!$AM$58+'TUSD CVA'!$AM$58)*1</f>
        <v>570.4</v>
      </c>
      <c r="AA729" s="6">
        <f ca="1">('TE BE'!$AB$39+'TE BF_350'!$AB$39+'TE CVA'!$AB$39)*1</f>
        <v>272.81999999999994</v>
      </c>
      <c r="AB729" s="6">
        <f>$K$729*$V$729</f>
        <v>0</v>
      </c>
      <c r="AC729" s="6">
        <f>$M$729*$W$729</f>
        <v>33.479500000000002</v>
      </c>
      <c r="AD729" s="6">
        <f>$O$729*$X$729</f>
        <v>12.138500000000001</v>
      </c>
      <c r="AE729" s="6">
        <f>$K$729*$Y$729</f>
        <v>0</v>
      </c>
      <c r="AF729" s="6">
        <f ca="1">$M$729*$Z$729</f>
        <v>28.52</v>
      </c>
      <c r="AG729" s="6">
        <f ca="1">$O$729*$AA$729</f>
        <v>13.640999999999998</v>
      </c>
    </row>
    <row r="730" spans="1:33" ht="11.25" customHeight="1" x14ac:dyDescent="0.3">
      <c r="A730" s="4" t="s">
        <v>21</v>
      </c>
      <c r="B730" s="4" t="s">
        <v>37</v>
      </c>
      <c r="C730" s="4" t="s">
        <v>33</v>
      </c>
      <c r="D730" s="4" t="s">
        <v>41</v>
      </c>
      <c r="E730" s="4" t="s">
        <v>25</v>
      </c>
      <c r="F730" s="4" t="s">
        <v>25</v>
      </c>
      <c r="G730" s="4" t="s">
        <v>25</v>
      </c>
      <c r="H730" s="4" t="s">
        <v>36</v>
      </c>
      <c r="I730" s="5">
        <v>44743</v>
      </c>
      <c r="J730" s="6">
        <v>0</v>
      </c>
      <c r="K730" s="6">
        <v>0</v>
      </c>
      <c r="L730" s="6">
        <v>0.41899999999999998</v>
      </c>
      <c r="M730" s="6">
        <v>0.41899999999999998</v>
      </c>
      <c r="N730" s="6">
        <v>0.41899999999999998</v>
      </c>
      <c r="O730" s="6">
        <v>0.41899999999999998</v>
      </c>
      <c r="P730" s="6">
        <v>0</v>
      </c>
      <c r="Q730" s="4" t="s">
        <v>26</v>
      </c>
      <c r="R730" s="4">
        <v>0</v>
      </c>
      <c r="S730" s="6">
        <v>0</v>
      </c>
      <c r="T730" s="6">
        <v>56</v>
      </c>
      <c r="U730" s="6">
        <v>97</v>
      </c>
      <c r="V730" s="6">
        <f>IF(ISERROR(VLOOKUP($S$730,'TAR FIN'!$A$1:$O$103,15,0)),0,VLOOKUP($S$730,'TAR FIN'!$A$1:$O$103,15,0))</f>
        <v>0</v>
      </c>
      <c r="W730" s="6">
        <f>IF(ISERROR(VLOOKUP($T$730,'TAR FIN'!$A$1:$O$103,15,0)),0,VLOOKUP($T$730,'TAR FIN'!$A$1:$O$103,15,0))</f>
        <v>669.59</v>
      </c>
      <c r="X730" s="6">
        <f>IF(ISERROR(VLOOKUP($U$730,'TAR FIN'!$A$1:$O$103,15,0)),0,VLOOKUP($U$730,'TAR FIN'!$A$1:$O$103,15,0))</f>
        <v>242.77</v>
      </c>
      <c r="Y730" s="6"/>
      <c r="Z730" s="6">
        <f ca="1">('TUSD BE'!$AM$58+'TUSD BF_350'!$AM$58+'TUSD CVA'!$AM$58)*1</f>
        <v>570.4</v>
      </c>
      <c r="AA730" s="6">
        <f ca="1">('TE BE'!$AB$39+'TE BF_350'!$AB$39+'TE CVA'!$AB$39)*1</f>
        <v>272.81999999999994</v>
      </c>
      <c r="AB730" s="6">
        <f>$K$730*$V$730</f>
        <v>0</v>
      </c>
      <c r="AC730" s="6">
        <f>$M$730*$W$730</f>
        <v>280.55820999999997</v>
      </c>
      <c r="AD730" s="6">
        <f>$O$730*$X$730</f>
        <v>101.72063</v>
      </c>
      <c r="AE730" s="6">
        <f>$K$730*$Y$730</f>
        <v>0</v>
      </c>
      <c r="AF730" s="6">
        <f ca="1">$M$730*$Z$730</f>
        <v>238.99759999999998</v>
      </c>
      <c r="AG730" s="6">
        <f ca="1">$O$730*$AA$730</f>
        <v>114.31157999999996</v>
      </c>
    </row>
    <row r="731" spans="1:33" ht="11.25" customHeight="1" x14ac:dyDescent="0.3">
      <c r="A731" s="4" t="s">
        <v>28</v>
      </c>
      <c r="B731" s="4" t="s">
        <v>37</v>
      </c>
      <c r="C731" s="4" t="s">
        <v>33</v>
      </c>
      <c r="D731" s="4" t="s">
        <v>41</v>
      </c>
      <c r="E731" s="4" t="s">
        <v>25</v>
      </c>
      <c r="F731" s="4" t="s">
        <v>25</v>
      </c>
      <c r="G731" s="4" t="s">
        <v>25</v>
      </c>
      <c r="H731" s="4" t="s">
        <v>36</v>
      </c>
      <c r="I731" s="5">
        <v>44743</v>
      </c>
      <c r="J731" s="6">
        <v>0</v>
      </c>
      <c r="K731" s="6">
        <v>0</v>
      </c>
      <c r="L731" s="6">
        <v>4.7E-2</v>
      </c>
      <c r="M731" s="6">
        <v>4.7E-2</v>
      </c>
      <c r="N731" s="6">
        <v>4.7E-2</v>
      </c>
      <c r="O731" s="6">
        <v>4.7E-2</v>
      </c>
      <c r="P731" s="6">
        <v>0</v>
      </c>
      <c r="Q731" s="4" t="s">
        <v>26</v>
      </c>
      <c r="R731" s="4">
        <v>0</v>
      </c>
      <c r="S731" s="6">
        <v>0</v>
      </c>
      <c r="T731" s="6">
        <v>56</v>
      </c>
      <c r="U731" s="6">
        <v>97</v>
      </c>
      <c r="V731" s="6">
        <f>IF(ISERROR(VLOOKUP($S$731,'TAR FIN'!$A$1:$O$103,15,0)),0,VLOOKUP($S$731,'TAR FIN'!$A$1:$O$103,15,0))</f>
        <v>0</v>
      </c>
      <c r="W731" s="6">
        <f>IF(ISERROR(VLOOKUP($T$731,'TAR FIN'!$A$1:$O$103,15,0)),0,VLOOKUP($T$731,'TAR FIN'!$A$1:$O$103,15,0))</f>
        <v>669.59</v>
      </c>
      <c r="X731" s="6">
        <f>IF(ISERROR(VLOOKUP($U$731,'TAR FIN'!$A$1:$O$103,15,0)),0,VLOOKUP($U$731,'TAR FIN'!$A$1:$O$103,15,0))</f>
        <v>242.77</v>
      </c>
      <c r="Y731" s="6"/>
      <c r="Z731" s="6">
        <f ca="1">('TUSD BE'!$AM$58+'TUSD BF_350'!$AM$58+'TUSD CVA'!$AM$58)*1</f>
        <v>570.4</v>
      </c>
      <c r="AA731" s="6">
        <f ca="1">('TE BE'!$AB$39+'TE BF_350'!$AB$39+'TE CVA'!$AB$39)*1</f>
        <v>272.81999999999994</v>
      </c>
      <c r="AB731" s="6">
        <f>$K$731*$V$731</f>
        <v>0</v>
      </c>
      <c r="AC731" s="6">
        <f>$M$731*$W$731</f>
        <v>31.470730000000003</v>
      </c>
      <c r="AD731" s="6">
        <f>$O$731*$X$731</f>
        <v>11.41019</v>
      </c>
      <c r="AE731" s="6">
        <f>$K$731*$Y$731</f>
        <v>0</v>
      </c>
      <c r="AF731" s="6">
        <f ca="1">$M$731*$Z$731</f>
        <v>26.808799999999998</v>
      </c>
      <c r="AG731" s="6">
        <f ca="1">$O$731*$AA$731</f>
        <v>12.822539999999996</v>
      </c>
    </row>
    <row r="732" spans="1:33" ht="11.25" customHeight="1" x14ac:dyDescent="0.3">
      <c r="A732" s="4" t="s">
        <v>21</v>
      </c>
      <c r="B732" s="4" t="s">
        <v>37</v>
      </c>
      <c r="C732" s="4" t="s">
        <v>33</v>
      </c>
      <c r="D732" s="4" t="s">
        <v>41</v>
      </c>
      <c r="E732" s="4" t="s">
        <v>25</v>
      </c>
      <c r="F732" s="4" t="s">
        <v>25</v>
      </c>
      <c r="G732" s="4" t="s">
        <v>25</v>
      </c>
      <c r="H732" s="4" t="s">
        <v>36</v>
      </c>
      <c r="I732" s="5">
        <v>44774</v>
      </c>
      <c r="J732" s="6">
        <v>0</v>
      </c>
      <c r="K732" s="6">
        <v>0</v>
      </c>
      <c r="L732" s="6">
        <v>0.39400000000000002</v>
      </c>
      <c r="M732" s="6">
        <v>0.39400000000000002</v>
      </c>
      <c r="N732" s="6">
        <v>0.39400000000000002</v>
      </c>
      <c r="O732" s="6">
        <v>0.39400000000000002</v>
      </c>
      <c r="P732" s="6">
        <v>0</v>
      </c>
      <c r="Q732" s="4" t="s">
        <v>26</v>
      </c>
      <c r="R732" s="4">
        <v>0</v>
      </c>
      <c r="S732" s="6">
        <v>0</v>
      </c>
      <c r="T732" s="6">
        <v>56</v>
      </c>
      <c r="U732" s="6">
        <v>97</v>
      </c>
      <c r="V732" s="6">
        <f>IF(ISERROR(VLOOKUP($S$732,'TAR FIN'!$A$1:$O$103,15,0)),0,VLOOKUP($S$732,'TAR FIN'!$A$1:$O$103,15,0))</f>
        <v>0</v>
      </c>
      <c r="W732" s="6">
        <f>IF(ISERROR(VLOOKUP($T$732,'TAR FIN'!$A$1:$O$103,15,0)),0,VLOOKUP($T$732,'TAR FIN'!$A$1:$O$103,15,0))</f>
        <v>669.59</v>
      </c>
      <c r="X732" s="6">
        <f>IF(ISERROR(VLOOKUP($U$732,'TAR FIN'!$A$1:$O$103,15,0)),0,VLOOKUP($U$732,'TAR FIN'!$A$1:$O$103,15,0))</f>
        <v>242.77</v>
      </c>
      <c r="Y732" s="6"/>
      <c r="Z732" s="6">
        <f ca="1">('TUSD BE'!$AM$58+'TUSD BF_350'!$AM$58+'TUSD CVA'!$AM$58)*1</f>
        <v>570.4</v>
      </c>
      <c r="AA732" s="6">
        <f ca="1">('TE BE'!$AB$39+'TE BF_350'!$AB$39+'TE CVA'!$AB$39)*1</f>
        <v>272.81999999999994</v>
      </c>
      <c r="AB732" s="6">
        <f>$K$732*$V$732</f>
        <v>0</v>
      </c>
      <c r="AC732" s="6">
        <f>$M$732*$W$732</f>
        <v>263.81846000000002</v>
      </c>
      <c r="AD732" s="6">
        <f>$O$732*$X$732</f>
        <v>95.651380000000003</v>
      </c>
      <c r="AE732" s="6">
        <f>$K$732*$Y$732</f>
        <v>0</v>
      </c>
      <c r="AF732" s="6">
        <f ca="1">$M$732*$Z$732</f>
        <v>224.73760000000001</v>
      </c>
      <c r="AG732" s="6">
        <f ca="1">$O$732*$AA$732</f>
        <v>107.49107999999998</v>
      </c>
    </row>
    <row r="733" spans="1:33" ht="11.25" customHeight="1" x14ac:dyDescent="0.3">
      <c r="A733" s="4" t="s">
        <v>21</v>
      </c>
      <c r="B733" s="4" t="s">
        <v>37</v>
      </c>
      <c r="C733" s="4" t="s">
        <v>33</v>
      </c>
      <c r="D733" s="4" t="s">
        <v>41</v>
      </c>
      <c r="E733" s="4" t="s">
        <v>25</v>
      </c>
      <c r="F733" s="4" t="s">
        <v>25</v>
      </c>
      <c r="G733" s="4" t="s">
        <v>25</v>
      </c>
      <c r="H733" s="4" t="s">
        <v>36</v>
      </c>
      <c r="I733" s="5">
        <v>44805</v>
      </c>
      <c r="J733" s="6">
        <v>0</v>
      </c>
      <c r="K733" s="6">
        <v>0</v>
      </c>
      <c r="L733" s="6">
        <v>0.496</v>
      </c>
      <c r="M733" s="6">
        <v>0.496</v>
      </c>
      <c r="N733" s="6">
        <v>0.496</v>
      </c>
      <c r="O733" s="6">
        <v>0.496</v>
      </c>
      <c r="P733" s="6">
        <v>0</v>
      </c>
      <c r="Q733" s="4" t="s">
        <v>26</v>
      </c>
      <c r="R733" s="4">
        <v>0</v>
      </c>
      <c r="S733" s="6">
        <v>0</v>
      </c>
      <c r="T733" s="6">
        <v>56</v>
      </c>
      <c r="U733" s="6">
        <v>97</v>
      </c>
      <c r="V733" s="6">
        <f>IF(ISERROR(VLOOKUP($S$733,'TAR FIN'!$A$1:$O$103,15,0)),0,VLOOKUP($S$733,'TAR FIN'!$A$1:$O$103,15,0))</f>
        <v>0</v>
      </c>
      <c r="W733" s="6">
        <f>IF(ISERROR(VLOOKUP($T$733,'TAR FIN'!$A$1:$O$103,15,0)),0,VLOOKUP($T$733,'TAR FIN'!$A$1:$O$103,15,0))</f>
        <v>669.59</v>
      </c>
      <c r="X733" s="6">
        <f>IF(ISERROR(VLOOKUP($U$733,'TAR FIN'!$A$1:$O$103,15,0)),0,VLOOKUP($U$733,'TAR FIN'!$A$1:$O$103,15,0))</f>
        <v>242.77</v>
      </c>
      <c r="Y733" s="6"/>
      <c r="Z733" s="6">
        <f ca="1">('TUSD BE'!$AM$58+'TUSD BF_350'!$AM$58+'TUSD CVA'!$AM$58)*1</f>
        <v>570.4</v>
      </c>
      <c r="AA733" s="6">
        <f ca="1">('TE BE'!$AB$39+'TE BF_350'!$AB$39+'TE CVA'!$AB$39)*1</f>
        <v>272.81999999999994</v>
      </c>
      <c r="AB733" s="6">
        <f>$K$733*$V$733</f>
        <v>0</v>
      </c>
      <c r="AC733" s="6">
        <f>$M$733*$W$733</f>
        <v>332.11664000000002</v>
      </c>
      <c r="AD733" s="6">
        <f>$O$733*$X$733</f>
        <v>120.41392</v>
      </c>
      <c r="AE733" s="6">
        <f>$K$733*$Y$733</f>
        <v>0</v>
      </c>
      <c r="AF733" s="6">
        <f ca="1">$M$733*$Z$733</f>
        <v>282.91839999999996</v>
      </c>
      <c r="AG733" s="6">
        <f ca="1">$O$733*$AA$733</f>
        <v>135.31871999999996</v>
      </c>
    </row>
    <row r="734" spans="1:33" ht="11.25" customHeight="1" x14ac:dyDescent="0.3">
      <c r="A734" s="4" t="s">
        <v>57</v>
      </c>
      <c r="B734" s="4" t="s">
        <v>37</v>
      </c>
      <c r="C734" s="4" t="s">
        <v>33</v>
      </c>
      <c r="D734" s="4" t="s">
        <v>41</v>
      </c>
      <c r="E734" s="4" t="s">
        <v>25</v>
      </c>
      <c r="F734" s="4" t="s">
        <v>25</v>
      </c>
      <c r="G734" s="4" t="s">
        <v>25</v>
      </c>
      <c r="H734" s="4" t="s">
        <v>36</v>
      </c>
      <c r="I734" s="5">
        <v>44835</v>
      </c>
      <c r="J734" s="6">
        <v>0</v>
      </c>
      <c r="K734" s="6">
        <v>0</v>
      </c>
      <c r="L734" s="6">
        <v>0.496</v>
      </c>
      <c r="M734" s="6">
        <v>0.496</v>
      </c>
      <c r="N734" s="6">
        <v>0.496</v>
      </c>
      <c r="O734" s="6">
        <v>0.496</v>
      </c>
      <c r="P734" s="6">
        <v>0</v>
      </c>
      <c r="Q734" s="4" t="s">
        <v>26</v>
      </c>
      <c r="R734" s="4">
        <v>0</v>
      </c>
      <c r="S734" s="6">
        <v>0</v>
      </c>
      <c r="T734" s="6">
        <v>56</v>
      </c>
      <c r="U734" s="6">
        <v>97</v>
      </c>
      <c r="V734" s="6">
        <f>IF(ISERROR(VLOOKUP($S$734,'TAR FIN'!$A$1:$O$103,15,0)),0,VLOOKUP($S$734,'TAR FIN'!$A$1:$O$103,15,0))</f>
        <v>0</v>
      </c>
      <c r="W734" s="6">
        <f>IF(ISERROR(VLOOKUP($T$734,'TAR FIN'!$A$1:$O$103,15,0)),0,VLOOKUP($T$734,'TAR FIN'!$A$1:$O$103,15,0))</f>
        <v>669.59</v>
      </c>
      <c r="X734" s="6">
        <f>IF(ISERROR(VLOOKUP($U$734,'TAR FIN'!$A$1:$O$103,15,0)),0,VLOOKUP($U$734,'TAR FIN'!$A$1:$O$103,15,0))</f>
        <v>242.77</v>
      </c>
      <c r="Y734" s="6"/>
      <c r="Z734" s="6">
        <f ca="1">('TUSD BE'!$AM$58+'TUSD BF_350'!$AM$58+'TUSD CVA'!$AM$58)*1</f>
        <v>570.4</v>
      </c>
      <c r="AA734" s="6">
        <f ca="1">('TE BE'!$AB$39+'TE BF_350'!$AB$39+'TE CVA'!$AB$39)*1</f>
        <v>272.81999999999994</v>
      </c>
      <c r="AB734" s="6">
        <f>$K$734*$V$734</f>
        <v>0</v>
      </c>
      <c r="AC734" s="6">
        <f>$M$734*$W$734</f>
        <v>332.11664000000002</v>
      </c>
      <c r="AD734" s="6">
        <f>$O$734*$X$734</f>
        <v>120.41392</v>
      </c>
      <c r="AE734" s="6">
        <f>$K$734*$Y$734</f>
        <v>0</v>
      </c>
      <c r="AF734" s="6">
        <f ca="1">$M$734*$Z$734</f>
        <v>282.91839999999996</v>
      </c>
      <c r="AG734" s="6">
        <f ca="1">$O$734*$AA$734</f>
        <v>135.31871999999996</v>
      </c>
    </row>
    <row r="735" spans="1:33" ht="11.25" customHeight="1" x14ac:dyDescent="0.3">
      <c r="A735" s="4" t="s">
        <v>21</v>
      </c>
      <c r="B735" s="4" t="s">
        <v>37</v>
      </c>
      <c r="C735" s="4" t="s">
        <v>33</v>
      </c>
      <c r="D735" s="4" t="s">
        <v>41</v>
      </c>
      <c r="E735" s="4" t="s">
        <v>25</v>
      </c>
      <c r="F735" s="4" t="s">
        <v>25</v>
      </c>
      <c r="G735" s="4" t="s">
        <v>25</v>
      </c>
      <c r="H735" s="4" t="s">
        <v>34</v>
      </c>
      <c r="I735" s="5">
        <v>44501</v>
      </c>
      <c r="J735" s="6">
        <v>0</v>
      </c>
      <c r="K735" s="6">
        <v>0</v>
      </c>
      <c r="L735" s="6">
        <v>0.64600000000000002</v>
      </c>
      <c r="M735" s="6">
        <v>0.64600000000000002</v>
      </c>
      <c r="N735" s="6">
        <v>0.64600000000000002</v>
      </c>
      <c r="O735" s="6">
        <v>0.64600000000000002</v>
      </c>
      <c r="P735" s="6">
        <v>0</v>
      </c>
      <c r="Q735" s="4" t="s">
        <v>26</v>
      </c>
      <c r="R735" s="4">
        <v>0</v>
      </c>
      <c r="S735" s="6">
        <v>0</v>
      </c>
      <c r="T735" s="6">
        <v>55</v>
      </c>
      <c r="U735" s="6">
        <v>96</v>
      </c>
      <c r="V735" s="6">
        <f>IF(ISERROR(VLOOKUP($S$735,'TAR FIN'!$A$1:$O$103,15,0)),0,VLOOKUP($S$735,'TAR FIN'!$A$1:$O$103,15,0))</f>
        <v>0</v>
      </c>
      <c r="W735" s="6">
        <f>IF(ISERROR(VLOOKUP($T$735,'TAR FIN'!$A$1:$O$103,15,0)),0,VLOOKUP($T$735,'TAR FIN'!$A$1:$O$103,15,0))</f>
        <v>1043.57</v>
      </c>
      <c r="X735" s="6">
        <f>IF(ISERROR(VLOOKUP($U$735,'TAR FIN'!$A$1:$O$103,15,0)),0,VLOOKUP($U$735,'TAR FIN'!$A$1:$O$103,15,0))</f>
        <v>391.54</v>
      </c>
      <c r="Y735" s="6"/>
      <c r="Z735" s="6">
        <f ca="1">('TUSD BE'!$AM$57+'TUSD BF_350'!$AM$57+'TUSD CVA'!$AM$57)*1</f>
        <v>829.05</v>
      </c>
      <c r="AA735" s="6">
        <f ca="1">('TE BE'!$AB$38+'TE BF_350'!$AB$38+'TE CVA'!$AB$38)*1</f>
        <v>437.01</v>
      </c>
      <c r="AB735" s="6">
        <f>$K$735*$V$735</f>
        <v>0</v>
      </c>
      <c r="AC735" s="6">
        <f>$M$735*$W$735</f>
        <v>674.14621999999997</v>
      </c>
      <c r="AD735" s="6">
        <f>$O$735*$X$735</f>
        <v>252.93484000000001</v>
      </c>
      <c r="AE735" s="6">
        <f>$K$735*$Y$735</f>
        <v>0</v>
      </c>
      <c r="AF735" s="6">
        <f ca="1">$M$735*$Z$735</f>
        <v>535.56629999999996</v>
      </c>
      <c r="AG735" s="6">
        <f ca="1">$O$735*$AA$735</f>
        <v>282.30846000000003</v>
      </c>
    </row>
    <row r="736" spans="1:33" ht="11.25" customHeight="1" x14ac:dyDescent="0.3">
      <c r="A736" s="4" t="s">
        <v>21</v>
      </c>
      <c r="B736" s="4" t="s">
        <v>37</v>
      </c>
      <c r="C736" s="4" t="s">
        <v>33</v>
      </c>
      <c r="D736" s="4" t="s">
        <v>41</v>
      </c>
      <c r="E736" s="4" t="s">
        <v>25</v>
      </c>
      <c r="F736" s="4" t="s">
        <v>25</v>
      </c>
      <c r="G736" s="4" t="s">
        <v>25</v>
      </c>
      <c r="H736" s="4" t="s">
        <v>34</v>
      </c>
      <c r="I736" s="5">
        <v>44531</v>
      </c>
      <c r="J736" s="6">
        <v>0</v>
      </c>
      <c r="K736" s="6">
        <v>0</v>
      </c>
      <c r="L736" s="6">
        <v>0.60799999999999998</v>
      </c>
      <c r="M736" s="6">
        <v>0.60799999999999998</v>
      </c>
      <c r="N736" s="6">
        <v>0.60799999999999998</v>
      </c>
      <c r="O736" s="6">
        <v>0.60799999999999998</v>
      </c>
      <c r="P736" s="6">
        <v>0</v>
      </c>
      <c r="Q736" s="4" t="s">
        <v>26</v>
      </c>
      <c r="R736" s="4">
        <v>0</v>
      </c>
      <c r="S736" s="6">
        <v>0</v>
      </c>
      <c r="T736" s="6">
        <v>55</v>
      </c>
      <c r="U736" s="6">
        <v>96</v>
      </c>
      <c r="V736" s="6">
        <f>IF(ISERROR(VLOOKUP($S$736,'TAR FIN'!$A$1:$O$103,15,0)),0,VLOOKUP($S$736,'TAR FIN'!$A$1:$O$103,15,0))</f>
        <v>0</v>
      </c>
      <c r="W736" s="6">
        <f>IF(ISERROR(VLOOKUP($T$736,'TAR FIN'!$A$1:$O$103,15,0)),0,VLOOKUP($T$736,'TAR FIN'!$A$1:$O$103,15,0))</f>
        <v>1043.57</v>
      </c>
      <c r="X736" s="6">
        <f>IF(ISERROR(VLOOKUP($U$736,'TAR FIN'!$A$1:$O$103,15,0)),0,VLOOKUP($U$736,'TAR FIN'!$A$1:$O$103,15,0))</f>
        <v>391.54</v>
      </c>
      <c r="Y736" s="6"/>
      <c r="Z736" s="6">
        <f ca="1">('TUSD BE'!$AM$57+'TUSD BF_350'!$AM$57+'TUSD CVA'!$AM$57)*1</f>
        <v>829.05</v>
      </c>
      <c r="AA736" s="6">
        <f ca="1">('TE BE'!$AB$38+'TE BF_350'!$AB$38+'TE CVA'!$AB$38)*1</f>
        <v>437.01</v>
      </c>
      <c r="AB736" s="6">
        <f>$K$736*$V$736</f>
        <v>0</v>
      </c>
      <c r="AC736" s="6">
        <f>$M$736*$W$736</f>
        <v>634.49055999999996</v>
      </c>
      <c r="AD736" s="6">
        <f>$O$736*$X$736</f>
        <v>238.05632</v>
      </c>
      <c r="AE736" s="6">
        <f>$K$736*$Y$736</f>
        <v>0</v>
      </c>
      <c r="AF736" s="6">
        <f ca="1">$M$736*$Z$736</f>
        <v>504.06239999999997</v>
      </c>
      <c r="AG736" s="6">
        <f ca="1">$O$736*$AA$736</f>
        <v>265.70207999999997</v>
      </c>
    </row>
    <row r="737" spans="1:33" ht="11.25" customHeight="1" x14ac:dyDescent="0.3">
      <c r="A737" s="4" t="s">
        <v>21</v>
      </c>
      <c r="B737" s="4" t="s">
        <v>37</v>
      </c>
      <c r="C737" s="4" t="s">
        <v>33</v>
      </c>
      <c r="D737" s="4" t="s">
        <v>41</v>
      </c>
      <c r="E737" s="4" t="s">
        <v>25</v>
      </c>
      <c r="F737" s="4" t="s">
        <v>25</v>
      </c>
      <c r="G737" s="4" t="s">
        <v>25</v>
      </c>
      <c r="H737" s="4" t="s">
        <v>34</v>
      </c>
      <c r="I737" s="5">
        <v>44562</v>
      </c>
      <c r="J737" s="6">
        <v>0</v>
      </c>
      <c r="K737" s="6">
        <v>0</v>
      </c>
      <c r="L737" s="6">
        <v>0.73899999999999999</v>
      </c>
      <c r="M737" s="6">
        <v>0.73899999999999999</v>
      </c>
      <c r="N737" s="6">
        <v>0.73899999999999999</v>
      </c>
      <c r="O737" s="6">
        <v>0.73899999999999999</v>
      </c>
      <c r="P737" s="6">
        <v>0</v>
      </c>
      <c r="Q737" s="4" t="s">
        <v>26</v>
      </c>
      <c r="R737" s="4">
        <v>0</v>
      </c>
      <c r="S737" s="6">
        <v>0</v>
      </c>
      <c r="T737" s="6">
        <v>55</v>
      </c>
      <c r="U737" s="6">
        <v>96</v>
      </c>
      <c r="V737" s="6">
        <f>IF(ISERROR(VLOOKUP($S$737,'TAR FIN'!$A$1:$O$103,15,0)),0,VLOOKUP($S$737,'TAR FIN'!$A$1:$O$103,15,0))</f>
        <v>0</v>
      </c>
      <c r="W737" s="6">
        <f>IF(ISERROR(VLOOKUP($T$737,'TAR FIN'!$A$1:$O$103,15,0)),0,VLOOKUP($T$737,'TAR FIN'!$A$1:$O$103,15,0))</f>
        <v>1043.57</v>
      </c>
      <c r="X737" s="6">
        <f>IF(ISERROR(VLOOKUP($U$737,'TAR FIN'!$A$1:$O$103,15,0)),0,VLOOKUP($U$737,'TAR FIN'!$A$1:$O$103,15,0))</f>
        <v>391.54</v>
      </c>
      <c r="Y737" s="6"/>
      <c r="Z737" s="6">
        <f ca="1">('TUSD BE'!$AM$57+'TUSD BF_350'!$AM$57+'TUSD CVA'!$AM$57)*1</f>
        <v>829.05</v>
      </c>
      <c r="AA737" s="6">
        <f ca="1">('TE BE'!$AB$38+'TE BF_350'!$AB$38+'TE CVA'!$AB$38)*1</f>
        <v>437.01</v>
      </c>
      <c r="AB737" s="6">
        <f>$K$737*$V$737</f>
        <v>0</v>
      </c>
      <c r="AC737" s="6">
        <f>$M$737*$W$737</f>
        <v>771.19822999999997</v>
      </c>
      <c r="AD737" s="6">
        <f>$O$737*$X$737</f>
        <v>289.34806000000003</v>
      </c>
      <c r="AE737" s="6">
        <f>$K$737*$Y$737</f>
        <v>0</v>
      </c>
      <c r="AF737" s="6">
        <f ca="1">$M$737*$Z$737</f>
        <v>612.66794999999991</v>
      </c>
      <c r="AG737" s="6">
        <f ca="1">$O$737*$AA$737</f>
        <v>322.95038999999997</v>
      </c>
    </row>
    <row r="738" spans="1:33" ht="11.25" customHeight="1" x14ac:dyDescent="0.3">
      <c r="A738" s="4" t="s">
        <v>21</v>
      </c>
      <c r="B738" s="4" t="s">
        <v>37</v>
      </c>
      <c r="C738" s="4" t="s">
        <v>33</v>
      </c>
      <c r="D738" s="4" t="s">
        <v>41</v>
      </c>
      <c r="E738" s="4" t="s">
        <v>25</v>
      </c>
      <c r="F738" s="4" t="s">
        <v>25</v>
      </c>
      <c r="G738" s="4" t="s">
        <v>25</v>
      </c>
      <c r="H738" s="4" t="s">
        <v>34</v>
      </c>
      <c r="I738" s="5">
        <v>44593</v>
      </c>
      <c r="J738" s="6">
        <v>0</v>
      </c>
      <c r="K738" s="6">
        <v>0</v>
      </c>
      <c r="L738" s="6">
        <v>0.72</v>
      </c>
      <c r="M738" s="6">
        <v>0.72</v>
      </c>
      <c r="N738" s="6">
        <v>0.72</v>
      </c>
      <c r="O738" s="6">
        <v>0.72</v>
      </c>
      <c r="P738" s="6">
        <v>0</v>
      </c>
      <c r="Q738" s="4" t="s">
        <v>26</v>
      </c>
      <c r="R738" s="4">
        <v>0</v>
      </c>
      <c r="S738" s="6">
        <v>0</v>
      </c>
      <c r="T738" s="6">
        <v>55</v>
      </c>
      <c r="U738" s="6">
        <v>96</v>
      </c>
      <c r="V738" s="6">
        <f>IF(ISERROR(VLOOKUP($S$738,'TAR FIN'!$A$1:$O$103,15,0)),0,VLOOKUP($S$738,'TAR FIN'!$A$1:$O$103,15,0))</f>
        <v>0</v>
      </c>
      <c r="W738" s="6">
        <f>IF(ISERROR(VLOOKUP($T$738,'TAR FIN'!$A$1:$O$103,15,0)),0,VLOOKUP($T$738,'TAR FIN'!$A$1:$O$103,15,0))</f>
        <v>1043.57</v>
      </c>
      <c r="X738" s="6">
        <f>IF(ISERROR(VLOOKUP($U$738,'TAR FIN'!$A$1:$O$103,15,0)),0,VLOOKUP($U$738,'TAR FIN'!$A$1:$O$103,15,0))</f>
        <v>391.54</v>
      </c>
      <c r="Y738" s="6"/>
      <c r="Z738" s="6">
        <f ca="1">('TUSD BE'!$AM$57+'TUSD BF_350'!$AM$57+'TUSD CVA'!$AM$57)*1</f>
        <v>829.05</v>
      </c>
      <c r="AA738" s="6">
        <f ca="1">('TE BE'!$AB$38+'TE BF_350'!$AB$38+'TE CVA'!$AB$38)*1</f>
        <v>437.01</v>
      </c>
      <c r="AB738" s="6">
        <f>$K$738*$V$738</f>
        <v>0</v>
      </c>
      <c r="AC738" s="6">
        <f>$M$738*$W$738</f>
        <v>751.3703999999999</v>
      </c>
      <c r="AD738" s="6">
        <f>$O$738*$X$738</f>
        <v>281.90879999999999</v>
      </c>
      <c r="AE738" s="6">
        <f>$K$738*$Y$738</f>
        <v>0</v>
      </c>
      <c r="AF738" s="6">
        <f ca="1">$M$738*$Z$738</f>
        <v>596.91599999999994</v>
      </c>
      <c r="AG738" s="6">
        <f ca="1">$O$738*$AA$738</f>
        <v>314.6472</v>
      </c>
    </row>
    <row r="739" spans="1:33" ht="11.25" customHeight="1" x14ac:dyDescent="0.3">
      <c r="A739" s="4" t="s">
        <v>21</v>
      </c>
      <c r="B739" s="4" t="s">
        <v>37</v>
      </c>
      <c r="C739" s="4" t="s">
        <v>33</v>
      </c>
      <c r="D739" s="4" t="s">
        <v>41</v>
      </c>
      <c r="E739" s="4" t="s">
        <v>25</v>
      </c>
      <c r="F739" s="4" t="s">
        <v>25</v>
      </c>
      <c r="G739" s="4" t="s">
        <v>25</v>
      </c>
      <c r="H739" s="4" t="s">
        <v>34</v>
      </c>
      <c r="I739" s="5">
        <v>44621</v>
      </c>
      <c r="J739" s="6">
        <v>0</v>
      </c>
      <c r="K739" s="6">
        <v>0</v>
      </c>
      <c r="L739" s="6">
        <v>0.59799999999999998</v>
      </c>
      <c r="M739" s="6">
        <v>0.59799999999999998</v>
      </c>
      <c r="N739" s="6">
        <v>0.59799999999999998</v>
      </c>
      <c r="O739" s="6">
        <v>0.59799999999999998</v>
      </c>
      <c r="P739" s="6">
        <v>0</v>
      </c>
      <c r="Q739" s="4" t="s">
        <v>26</v>
      </c>
      <c r="R739" s="4">
        <v>0</v>
      </c>
      <c r="S739" s="6">
        <v>0</v>
      </c>
      <c r="T739" s="6">
        <v>55</v>
      </c>
      <c r="U739" s="6">
        <v>96</v>
      </c>
      <c r="V739" s="6">
        <f>IF(ISERROR(VLOOKUP($S$739,'TAR FIN'!$A$1:$O$103,15,0)),0,VLOOKUP($S$739,'TAR FIN'!$A$1:$O$103,15,0))</f>
        <v>0</v>
      </c>
      <c r="W739" s="6">
        <f>IF(ISERROR(VLOOKUP($T$739,'TAR FIN'!$A$1:$O$103,15,0)),0,VLOOKUP($T$739,'TAR FIN'!$A$1:$O$103,15,0))</f>
        <v>1043.57</v>
      </c>
      <c r="X739" s="6">
        <f>IF(ISERROR(VLOOKUP($U$739,'TAR FIN'!$A$1:$O$103,15,0)),0,VLOOKUP($U$739,'TAR FIN'!$A$1:$O$103,15,0))</f>
        <v>391.54</v>
      </c>
      <c r="Y739" s="6"/>
      <c r="Z739" s="6">
        <f ca="1">('TUSD BE'!$AM$57+'TUSD BF_350'!$AM$57+'TUSD CVA'!$AM$57)*1</f>
        <v>829.05</v>
      </c>
      <c r="AA739" s="6">
        <f ca="1">('TE BE'!$AB$38+'TE BF_350'!$AB$38+'TE CVA'!$AB$38)*1</f>
        <v>437.01</v>
      </c>
      <c r="AB739" s="6">
        <f>$K$739*$V$739</f>
        <v>0</v>
      </c>
      <c r="AC739" s="6">
        <f>$M$739*$W$739</f>
        <v>624.05485999999996</v>
      </c>
      <c r="AD739" s="6">
        <f>$O$739*$X$739</f>
        <v>234.14091999999999</v>
      </c>
      <c r="AE739" s="6">
        <f>$K$739*$Y$739</f>
        <v>0</v>
      </c>
      <c r="AF739" s="6">
        <f ca="1">$M$739*$Z$739</f>
        <v>495.77189999999996</v>
      </c>
      <c r="AG739" s="6">
        <f ca="1">$O$739*$AA$739</f>
        <v>261.33197999999999</v>
      </c>
    </row>
    <row r="740" spans="1:33" ht="11.25" customHeight="1" x14ac:dyDescent="0.3">
      <c r="A740" s="4" t="s">
        <v>21</v>
      </c>
      <c r="B740" s="4" t="s">
        <v>37</v>
      </c>
      <c r="C740" s="4" t="s">
        <v>33</v>
      </c>
      <c r="D740" s="4" t="s">
        <v>41</v>
      </c>
      <c r="E740" s="4" t="s">
        <v>25</v>
      </c>
      <c r="F740" s="4" t="s">
        <v>25</v>
      </c>
      <c r="G740" s="4" t="s">
        <v>25</v>
      </c>
      <c r="H740" s="4" t="s">
        <v>34</v>
      </c>
      <c r="I740" s="5">
        <v>44652</v>
      </c>
      <c r="J740" s="6">
        <v>0</v>
      </c>
      <c r="K740" s="6">
        <v>0</v>
      </c>
      <c r="L740" s="6">
        <v>0.82699999999999996</v>
      </c>
      <c r="M740" s="6">
        <v>0.82699999999999996</v>
      </c>
      <c r="N740" s="6">
        <v>0.82699999999999996</v>
      </c>
      <c r="O740" s="6">
        <v>0.82699999999999996</v>
      </c>
      <c r="P740" s="6">
        <v>0</v>
      </c>
      <c r="Q740" s="4" t="s">
        <v>26</v>
      </c>
      <c r="R740" s="4">
        <v>0</v>
      </c>
      <c r="S740" s="6">
        <v>0</v>
      </c>
      <c r="T740" s="6">
        <v>55</v>
      </c>
      <c r="U740" s="6">
        <v>96</v>
      </c>
      <c r="V740" s="6">
        <f>IF(ISERROR(VLOOKUP($S$740,'TAR FIN'!$A$1:$O$103,15,0)),0,VLOOKUP($S$740,'TAR FIN'!$A$1:$O$103,15,0))</f>
        <v>0</v>
      </c>
      <c r="W740" s="6">
        <f>IF(ISERROR(VLOOKUP($T$740,'TAR FIN'!$A$1:$O$103,15,0)),0,VLOOKUP($T$740,'TAR FIN'!$A$1:$O$103,15,0))</f>
        <v>1043.57</v>
      </c>
      <c r="X740" s="6">
        <f>IF(ISERROR(VLOOKUP($U$740,'TAR FIN'!$A$1:$O$103,15,0)),0,VLOOKUP($U$740,'TAR FIN'!$A$1:$O$103,15,0))</f>
        <v>391.54</v>
      </c>
      <c r="Y740" s="6"/>
      <c r="Z740" s="6">
        <f ca="1">('TUSD BE'!$AM$57+'TUSD BF_350'!$AM$57+'TUSD CVA'!$AM$57)*1</f>
        <v>829.05</v>
      </c>
      <c r="AA740" s="6">
        <f ca="1">('TE BE'!$AB$38+'TE BF_350'!$AB$38+'TE CVA'!$AB$38)*1</f>
        <v>437.01</v>
      </c>
      <c r="AB740" s="6">
        <f>$K$740*$V$740</f>
        <v>0</v>
      </c>
      <c r="AC740" s="6">
        <f>$M$740*$W$740</f>
        <v>863.03238999999985</v>
      </c>
      <c r="AD740" s="6">
        <f>$O$740*$X$740</f>
        <v>323.80358000000001</v>
      </c>
      <c r="AE740" s="6">
        <f>$K$740*$Y$740</f>
        <v>0</v>
      </c>
      <c r="AF740" s="6">
        <f ca="1">$M$740*$Z$740</f>
        <v>685.62434999999994</v>
      </c>
      <c r="AG740" s="6">
        <f ca="1">$O$740*$AA$740</f>
        <v>361.40726999999998</v>
      </c>
    </row>
    <row r="741" spans="1:33" ht="11.25" customHeight="1" x14ac:dyDescent="0.3">
      <c r="A741" s="4" t="s">
        <v>21</v>
      </c>
      <c r="B741" s="4" t="s">
        <v>37</v>
      </c>
      <c r="C741" s="4" t="s">
        <v>33</v>
      </c>
      <c r="D741" s="4" t="s">
        <v>41</v>
      </c>
      <c r="E741" s="4" t="s">
        <v>25</v>
      </c>
      <c r="F741" s="4" t="s">
        <v>25</v>
      </c>
      <c r="G741" s="4" t="s">
        <v>25</v>
      </c>
      <c r="H741" s="4" t="s">
        <v>34</v>
      </c>
      <c r="I741" s="5">
        <v>44682</v>
      </c>
      <c r="J741" s="6">
        <v>0</v>
      </c>
      <c r="K741" s="6">
        <v>0</v>
      </c>
      <c r="L741" s="6">
        <v>0.752</v>
      </c>
      <c r="M741" s="6">
        <v>0.752</v>
      </c>
      <c r="N741" s="6">
        <v>0.752</v>
      </c>
      <c r="O741" s="6">
        <v>0.752</v>
      </c>
      <c r="P741" s="6">
        <v>0</v>
      </c>
      <c r="Q741" s="4" t="s">
        <v>26</v>
      </c>
      <c r="R741" s="4">
        <v>0</v>
      </c>
      <c r="S741" s="6">
        <v>0</v>
      </c>
      <c r="T741" s="6">
        <v>55</v>
      </c>
      <c r="U741" s="6">
        <v>96</v>
      </c>
      <c r="V741" s="6">
        <f>IF(ISERROR(VLOOKUP($S$741,'TAR FIN'!$A$1:$O$103,15,0)),0,VLOOKUP($S$741,'TAR FIN'!$A$1:$O$103,15,0))</f>
        <v>0</v>
      </c>
      <c r="W741" s="6">
        <f>IF(ISERROR(VLOOKUP($T$741,'TAR FIN'!$A$1:$O$103,15,0)),0,VLOOKUP($T$741,'TAR FIN'!$A$1:$O$103,15,0))</f>
        <v>1043.57</v>
      </c>
      <c r="X741" s="6">
        <f>IF(ISERROR(VLOOKUP($U$741,'TAR FIN'!$A$1:$O$103,15,0)),0,VLOOKUP($U$741,'TAR FIN'!$A$1:$O$103,15,0))</f>
        <v>391.54</v>
      </c>
      <c r="Y741" s="6"/>
      <c r="Z741" s="6">
        <f ca="1">('TUSD BE'!$AM$57+'TUSD BF_350'!$AM$57+'TUSD CVA'!$AM$57)*1</f>
        <v>829.05</v>
      </c>
      <c r="AA741" s="6">
        <f ca="1">('TE BE'!$AB$38+'TE BF_350'!$AB$38+'TE CVA'!$AB$38)*1</f>
        <v>437.01</v>
      </c>
      <c r="AB741" s="6">
        <f>$K$741*$V$741</f>
        <v>0</v>
      </c>
      <c r="AC741" s="6">
        <f>$M$741*$W$741</f>
        <v>784.76463999999999</v>
      </c>
      <c r="AD741" s="6">
        <f>$O$741*$X$741</f>
        <v>294.43808000000001</v>
      </c>
      <c r="AE741" s="6">
        <f>$K$741*$Y$741</f>
        <v>0</v>
      </c>
      <c r="AF741" s="6">
        <f ca="1">$M$741*$Z$741</f>
        <v>623.44560000000001</v>
      </c>
      <c r="AG741" s="6">
        <f ca="1">$O$741*$AA$741</f>
        <v>328.63151999999997</v>
      </c>
    </row>
    <row r="742" spans="1:33" ht="11.25" customHeight="1" x14ac:dyDescent="0.3">
      <c r="A742" s="4" t="s">
        <v>21</v>
      </c>
      <c r="B742" s="4" t="s">
        <v>37</v>
      </c>
      <c r="C742" s="4" t="s">
        <v>33</v>
      </c>
      <c r="D742" s="4" t="s">
        <v>41</v>
      </c>
      <c r="E742" s="4" t="s">
        <v>25</v>
      </c>
      <c r="F742" s="4" t="s">
        <v>25</v>
      </c>
      <c r="G742" s="4" t="s">
        <v>25</v>
      </c>
      <c r="H742" s="4" t="s">
        <v>34</v>
      </c>
      <c r="I742" s="5">
        <v>44713</v>
      </c>
      <c r="J742" s="6">
        <v>0</v>
      </c>
      <c r="K742" s="6">
        <v>0</v>
      </c>
      <c r="L742" s="6">
        <v>0.59899999999999998</v>
      </c>
      <c r="M742" s="6">
        <v>0.59899999999999998</v>
      </c>
      <c r="N742" s="6">
        <v>0.59899999999999998</v>
      </c>
      <c r="O742" s="6">
        <v>0.59899999999999998</v>
      </c>
      <c r="P742" s="6">
        <v>0</v>
      </c>
      <c r="Q742" s="4" t="s">
        <v>26</v>
      </c>
      <c r="R742" s="4">
        <v>0</v>
      </c>
      <c r="S742" s="6">
        <v>0</v>
      </c>
      <c r="T742" s="6">
        <v>55</v>
      </c>
      <c r="U742" s="6">
        <v>96</v>
      </c>
      <c r="V742" s="6">
        <f>IF(ISERROR(VLOOKUP($S$742,'TAR FIN'!$A$1:$O$103,15,0)),0,VLOOKUP($S$742,'TAR FIN'!$A$1:$O$103,15,0))</f>
        <v>0</v>
      </c>
      <c r="W742" s="6">
        <f>IF(ISERROR(VLOOKUP($T$742,'TAR FIN'!$A$1:$O$103,15,0)),0,VLOOKUP($T$742,'TAR FIN'!$A$1:$O$103,15,0))</f>
        <v>1043.57</v>
      </c>
      <c r="X742" s="6">
        <f>IF(ISERROR(VLOOKUP($U$742,'TAR FIN'!$A$1:$O$103,15,0)),0,VLOOKUP($U$742,'TAR FIN'!$A$1:$O$103,15,0))</f>
        <v>391.54</v>
      </c>
      <c r="Y742" s="6"/>
      <c r="Z742" s="6">
        <f ca="1">('TUSD BE'!$AM$57+'TUSD BF_350'!$AM$57+'TUSD CVA'!$AM$57)*1</f>
        <v>829.05</v>
      </c>
      <c r="AA742" s="6">
        <f ca="1">('TE BE'!$AB$38+'TE BF_350'!$AB$38+'TE CVA'!$AB$38)*1</f>
        <v>437.01</v>
      </c>
      <c r="AB742" s="6">
        <f>$K$742*$V$742</f>
        <v>0</v>
      </c>
      <c r="AC742" s="6">
        <f>$M$742*$W$742</f>
        <v>625.09842999999989</v>
      </c>
      <c r="AD742" s="6">
        <f>$O$742*$X$742</f>
        <v>234.53246000000001</v>
      </c>
      <c r="AE742" s="6">
        <f>$K$742*$Y$742</f>
        <v>0</v>
      </c>
      <c r="AF742" s="6">
        <f ca="1">$M$742*$Z$742</f>
        <v>496.60094999999995</v>
      </c>
      <c r="AG742" s="6">
        <f ca="1">$O$742*$AA$742</f>
        <v>261.76898999999997</v>
      </c>
    </row>
    <row r="743" spans="1:33" ht="11.25" customHeight="1" x14ac:dyDescent="0.3">
      <c r="A743" s="4" t="s">
        <v>28</v>
      </c>
      <c r="B743" s="4" t="s">
        <v>37</v>
      </c>
      <c r="C743" s="4" t="s">
        <v>33</v>
      </c>
      <c r="D743" s="4" t="s">
        <v>41</v>
      </c>
      <c r="E743" s="4" t="s">
        <v>25</v>
      </c>
      <c r="F743" s="4" t="s">
        <v>25</v>
      </c>
      <c r="G743" s="4" t="s">
        <v>25</v>
      </c>
      <c r="H743" s="4" t="s">
        <v>34</v>
      </c>
      <c r="I743" s="5">
        <v>44713</v>
      </c>
      <c r="J743" s="6">
        <v>0</v>
      </c>
      <c r="K743" s="6">
        <v>0</v>
      </c>
      <c r="L743" s="6">
        <v>6.4000000000000001E-2</v>
      </c>
      <c r="M743" s="6">
        <v>6.4000000000000001E-2</v>
      </c>
      <c r="N743" s="6">
        <v>6.4000000000000001E-2</v>
      </c>
      <c r="O743" s="6">
        <v>6.4000000000000001E-2</v>
      </c>
      <c r="P743" s="6">
        <v>0</v>
      </c>
      <c r="Q743" s="4" t="s">
        <v>26</v>
      </c>
      <c r="R743" s="4">
        <v>0</v>
      </c>
      <c r="S743" s="6">
        <v>0</v>
      </c>
      <c r="T743" s="6">
        <v>55</v>
      </c>
      <c r="U743" s="6">
        <v>96</v>
      </c>
      <c r="V743" s="6">
        <f>IF(ISERROR(VLOOKUP($S$743,'TAR FIN'!$A$1:$O$103,15,0)),0,VLOOKUP($S$743,'TAR FIN'!$A$1:$O$103,15,0))</f>
        <v>0</v>
      </c>
      <c r="W743" s="6">
        <f>IF(ISERROR(VLOOKUP($T$743,'TAR FIN'!$A$1:$O$103,15,0)),0,VLOOKUP($T$743,'TAR FIN'!$A$1:$O$103,15,0))</f>
        <v>1043.57</v>
      </c>
      <c r="X743" s="6">
        <f>IF(ISERROR(VLOOKUP($U$743,'TAR FIN'!$A$1:$O$103,15,0)),0,VLOOKUP($U$743,'TAR FIN'!$A$1:$O$103,15,0))</f>
        <v>391.54</v>
      </c>
      <c r="Y743" s="6"/>
      <c r="Z743" s="6">
        <f ca="1">('TUSD BE'!$AM$57+'TUSD BF_350'!$AM$57+'TUSD CVA'!$AM$57)*1</f>
        <v>829.05</v>
      </c>
      <c r="AA743" s="6">
        <f ca="1">('TE BE'!$AB$38+'TE BF_350'!$AB$38+'TE CVA'!$AB$38)*1</f>
        <v>437.01</v>
      </c>
      <c r="AB743" s="6">
        <f>$K$743*$V$743</f>
        <v>0</v>
      </c>
      <c r="AC743" s="6">
        <f>$M$743*$W$743</f>
        <v>66.788479999999993</v>
      </c>
      <c r="AD743" s="6">
        <f>$O$743*$X$743</f>
        <v>25.058560000000003</v>
      </c>
      <c r="AE743" s="6">
        <f>$K$743*$Y$743</f>
        <v>0</v>
      </c>
      <c r="AF743" s="6">
        <f ca="1">$M$743*$Z$743</f>
        <v>53.059199999999997</v>
      </c>
      <c r="AG743" s="6">
        <f ca="1">$O$743*$AA$743</f>
        <v>27.968640000000001</v>
      </c>
    </row>
    <row r="744" spans="1:33" ht="11.25" customHeight="1" x14ac:dyDescent="0.3">
      <c r="A744" s="4" t="s">
        <v>21</v>
      </c>
      <c r="B744" s="4" t="s">
        <v>37</v>
      </c>
      <c r="C744" s="4" t="s">
        <v>33</v>
      </c>
      <c r="D744" s="4" t="s">
        <v>41</v>
      </c>
      <c r="E744" s="4" t="s">
        <v>25</v>
      </c>
      <c r="F744" s="4" t="s">
        <v>25</v>
      </c>
      <c r="G744" s="4" t="s">
        <v>25</v>
      </c>
      <c r="H744" s="4" t="s">
        <v>34</v>
      </c>
      <c r="I744" s="5">
        <v>44743</v>
      </c>
      <c r="J744" s="6">
        <v>0</v>
      </c>
      <c r="K744" s="6">
        <v>0</v>
      </c>
      <c r="L744" s="6">
        <v>0.56699999999999995</v>
      </c>
      <c r="M744" s="6">
        <v>0.56699999999999995</v>
      </c>
      <c r="N744" s="6">
        <v>0.56699999999999995</v>
      </c>
      <c r="O744" s="6">
        <v>0.56699999999999995</v>
      </c>
      <c r="P744" s="6">
        <v>0</v>
      </c>
      <c r="Q744" s="4" t="s">
        <v>26</v>
      </c>
      <c r="R744" s="4">
        <v>0</v>
      </c>
      <c r="S744" s="6">
        <v>0</v>
      </c>
      <c r="T744" s="6">
        <v>55</v>
      </c>
      <c r="U744" s="6">
        <v>96</v>
      </c>
      <c r="V744" s="6">
        <f>IF(ISERROR(VLOOKUP($S$744,'TAR FIN'!$A$1:$O$103,15,0)),0,VLOOKUP($S$744,'TAR FIN'!$A$1:$O$103,15,0))</f>
        <v>0</v>
      </c>
      <c r="W744" s="6">
        <f>IF(ISERROR(VLOOKUP($T$744,'TAR FIN'!$A$1:$O$103,15,0)),0,VLOOKUP($T$744,'TAR FIN'!$A$1:$O$103,15,0))</f>
        <v>1043.57</v>
      </c>
      <c r="X744" s="6">
        <f>IF(ISERROR(VLOOKUP($U$744,'TAR FIN'!$A$1:$O$103,15,0)),0,VLOOKUP($U$744,'TAR FIN'!$A$1:$O$103,15,0))</f>
        <v>391.54</v>
      </c>
      <c r="Y744" s="6"/>
      <c r="Z744" s="6">
        <f ca="1">('TUSD BE'!$AM$57+'TUSD BF_350'!$AM$57+'TUSD CVA'!$AM$57)*1</f>
        <v>829.05</v>
      </c>
      <c r="AA744" s="6">
        <f ca="1">('TE BE'!$AB$38+'TE BF_350'!$AB$38+'TE CVA'!$AB$38)*1</f>
        <v>437.01</v>
      </c>
      <c r="AB744" s="6">
        <f>$K$744*$V$744</f>
        <v>0</v>
      </c>
      <c r="AC744" s="6">
        <f>$M$744*$W$744</f>
        <v>591.70418999999993</v>
      </c>
      <c r="AD744" s="6">
        <f>$O$744*$X$744</f>
        <v>222.00317999999999</v>
      </c>
      <c r="AE744" s="6">
        <f>$K$744*$Y$744</f>
        <v>0</v>
      </c>
      <c r="AF744" s="6">
        <f ca="1">$M$744*$Z$744</f>
        <v>470.07134999999994</v>
      </c>
      <c r="AG744" s="6">
        <f ca="1">$O$744*$AA$744</f>
        <v>247.78466999999998</v>
      </c>
    </row>
    <row r="745" spans="1:33" ht="11.25" customHeight="1" x14ac:dyDescent="0.3">
      <c r="A745" s="4" t="s">
        <v>28</v>
      </c>
      <c r="B745" s="4" t="s">
        <v>37</v>
      </c>
      <c r="C745" s="4" t="s">
        <v>33</v>
      </c>
      <c r="D745" s="4" t="s">
        <v>41</v>
      </c>
      <c r="E745" s="4" t="s">
        <v>25</v>
      </c>
      <c r="F745" s="4" t="s">
        <v>25</v>
      </c>
      <c r="G745" s="4" t="s">
        <v>25</v>
      </c>
      <c r="H745" s="4" t="s">
        <v>34</v>
      </c>
      <c r="I745" s="5">
        <v>44743</v>
      </c>
      <c r="J745" s="6">
        <v>0</v>
      </c>
      <c r="K745" s="6">
        <v>0</v>
      </c>
      <c r="L745" s="6">
        <v>3.2000000000000001E-2</v>
      </c>
      <c r="M745" s="6">
        <v>3.2000000000000001E-2</v>
      </c>
      <c r="N745" s="6">
        <v>3.2000000000000001E-2</v>
      </c>
      <c r="O745" s="6">
        <v>3.2000000000000001E-2</v>
      </c>
      <c r="P745" s="6">
        <v>0</v>
      </c>
      <c r="Q745" s="4" t="s">
        <v>26</v>
      </c>
      <c r="R745" s="4">
        <v>0</v>
      </c>
      <c r="S745" s="6">
        <v>0</v>
      </c>
      <c r="T745" s="6">
        <v>55</v>
      </c>
      <c r="U745" s="6">
        <v>96</v>
      </c>
      <c r="V745" s="6">
        <f>IF(ISERROR(VLOOKUP($S$745,'TAR FIN'!$A$1:$O$103,15,0)),0,VLOOKUP($S$745,'TAR FIN'!$A$1:$O$103,15,0))</f>
        <v>0</v>
      </c>
      <c r="W745" s="6">
        <f>IF(ISERROR(VLOOKUP($T$745,'TAR FIN'!$A$1:$O$103,15,0)),0,VLOOKUP($T$745,'TAR FIN'!$A$1:$O$103,15,0))</f>
        <v>1043.57</v>
      </c>
      <c r="X745" s="6">
        <f>IF(ISERROR(VLOOKUP($U$745,'TAR FIN'!$A$1:$O$103,15,0)),0,VLOOKUP($U$745,'TAR FIN'!$A$1:$O$103,15,0))</f>
        <v>391.54</v>
      </c>
      <c r="Y745" s="6"/>
      <c r="Z745" s="6">
        <f ca="1">('TUSD BE'!$AM$57+'TUSD BF_350'!$AM$57+'TUSD CVA'!$AM$57)*1</f>
        <v>829.05</v>
      </c>
      <c r="AA745" s="6">
        <f ca="1">('TE BE'!$AB$38+'TE BF_350'!$AB$38+'TE CVA'!$AB$38)*1</f>
        <v>437.01</v>
      </c>
      <c r="AB745" s="6">
        <f>$K$745*$V$745</f>
        <v>0</v>
      </c>
      <c r="AC745" s="6">
        <f>$M$745*$W$745</f>
        <v>33.394239999999996</v>
      </c>
      <c r="AD745" s="6">
        <f>$O$745*$X$745</f>
        <v>12.529280000000002</v>
      </c>
      <c r="AE745" s="6">
        <f>$K$745*$Y$745</f>
        <v>0</v>
      </c>
      <c r="AF745" s="6">
        <f ca="1">$M$745*$Z$745</f>
        <v>26.529599999999999</v>
      </c>
      <c r="AG745" s="6">
        <f ca="1">$O$745*$AA$745</f>
        <v>13.98432</v>
      </c>
    </row>
    <row r="746" spans="1:33" ht="11.25" customHeight="1" x14ac:dyDescent="0.3">
      <c r="A746" s="4" t="s">
        <v>21</v>
      </c>
      <c r="B746" s="4" t="s">
        <v>37</v>
      </c>
      <c r="C746" s="4" t="s">
        <v>33</v>
      </c>
      <c r="D746" s="4" t="s">
        <v>41</v>
      </c>
      <c r="E746" s="4" t="s">
        <v>25</v>
      </c>
      <c r="F746" s="4" t="s">
        <v>25</v>
      </c>
      <c r="G746" s="4" t="s">
        <v>25</v>
      </c>
      <c r="H746" s="4" t="s">
        <v>34</v>
      </c>
      <c r="I746" s="5">
        <v>44774</v>
      </c>
      <c r="J746" s="6">
        <v>0</v>
      </c>
      <c r="K746" s="6">
        <v>0</v>
      </c>
      <c r="L746" s="6">
        <v>0.52400000000000002</v>
      </c>
      <c r="M746" s="6">
        <v>0.52400000000000002</v>
      </c>
      <c r="N746" s="6">
        <v>0.52400000000000002</v>
      </c>
      <c r="O746" s="6">
        <v>0.52400000000000002</v>
      </c>
      <c r="P746" s="6">
        <v>0</v>
      </c>
      <c r="Q746" s="4" t="s">
        <v>26</v>
      </c>
      <c r="R746" s="4">
        <v>0</v>
      </c>
      <c r="S746" s="6">
        <v>0</v>
      </c>
      <c r="T746" s="6">
        <v>55</v>
      </c>
      <c r="U746" s="6">
        <v>96</v>
      </c>
      <c r="V746" s="6">
        <f>IF(ISERROR(VLOOKUP($S$746,'TAR FIN'!$A$1:$O$103,15,0)),0,VLOOKUP($S$746,'TAR FIN'!$A$1:$O$103,15,0))</f>
        <v>0</v>
      </c>
      <c r="W746" s="6">
        <f>IF(ISERROR(VLOOKUP($T$746,'TAR FIN'!$A$1:$O$103,15,0)),0,VLOOKUP($T$746,'TAR FIN'!$A$1:$O$103,15,0))</f>
        <v>1043.57</v>
      </c>
      <c r="X746" s="6">
        <f>IF(ISERROR(VLOOKUP($U$746,'TAR FIN'!$A$1:$O$103,15,0)),0,VLOOKUP($U$746,'TAR FIN'!$A$1:$O$103,15,0))</f>
        <v>391.54</v>
      </c>
      <c r="Y746" s="6"/>
      <c r="Z746" s="6">
        <f ca="1">('TUSD BE'!$AM$57+'TUSD BF_350'!$AM$57+'TUSD CVA'!$AM$57)*1</f>
        <v>829.05</v>
      </c>
      <c r="AA746" s="6">
        <f ca="1">('TE BE'!$AB$38+'TE BF_350'!$AB$38+'TE CVA'!$AB$38)*1</f>
        <v>437.01</v>
      </c>
      <c r="AB746" s="6">
        <f>$K$746*$V$746</f>
        <v>0</v>
      </c>
      <c r="AC746" s="6">
        <f>$M$746*$W$746</f>
        <v>546.83068000000003</v>
      </c>
      <c r="AD746" s="6">
        <f>$O$746*$X$746</f>
        <v>205.16696000000002</v>
      </c>
      <c r="AE746" s="6">
        <f>$K$746*$Y$746</f>
        <v>0</v>
      </c>
      <c r="AF746" s="6">
        <f ca="1">$M$746*$Z$746</f>
        <v>434.42219999999998</v>
      </c>
      <c r="AG746" s="6">
        <f ca="1">$O$746*$AA$746</f>
        <v>228.99324000000001</v>
      </c>
    </row>
    <row r="747" spans="1:33" ht="11.25" customHeight="1" x14ac:dyDescent="0.3">
      <c r="A747" s="4" t="s">
        <v>21</v>
      </c>
      <c r="B747" s="4" t="s">
        <v>37</v>
      </c>
      <c r="C747" s="4" t="s">
        <v>33</v>
      </c>
      <c r="D747" s="4" t="s">
        <v>41</v>
      </c>
      <c r="E747" s="4" t="s">
        <v>25</v>
      </c>
      <c r="F747" s="4" t="s">
        <v>25</v>
      </c>
      <c r="G747" s="4" t="s">
        <v>25</v>
      </c>
      <c r="H747" s="4" t="s">
        <v>34</v>
      </c>
      <c r="I747" s="5">
        <v>44805</v>
      </c>
      <c r="J747" s="6">
        <v>0</v>
      </c>
      <c r="K747" s="6">
        <v>0</v>
      </c>
      <c r="L747" s="6">
        <v>0.65200000000000002</v>
      </c>
      <c r="M747" s="6">
        <v>0.65200000000000002</v>
      </c>
      <c r="N747" s="6">
        <v>0.65200000000000002</v>
      </c>
      <c r="O747" s="6">
        <v>0.65200000000000002</v>
      </c>
      <c r="P747" s="6">
        <v>0</v>
      </c>
      <c r="Q747" s="4" t="s">
        <v>26</v>
      </c>
      <c r="R747" s="4">
        <v>0</v>
      </c>
      <c r="S747" s="6">
        <v>0</v>
      </c>
      <c r="T747" s="6">
        <v>55</v>
      </c>
      <c r="U747" s="6">
        <v>96</v>
      </c>
      <c r="V747" s="6">
        <f>IF(ISERROR(VLOOKUP($S$747,'TAR FIN'!$A$1:$O$103,15,0)),0,VLOOKUP($S$747,'TAR FIN'!$A$1:$O$103,15,0))</f>
        <v>0</v>
      </c>
      <c r="W747" s="6">
        <f>IF(ISERROR(VLOOKUP($T$747,'TAR FIN'!$A$1:$O$103,15,0)),0,VLOOKUP($T$747,'TAR FIN'!$A$1:$O$103,15,0))</f>
        <v>1043.57</v>
      </c>
      <c r="X747" s="6">
        <f>IF(ISERROR(VLOOKUP($U$747,'TAR FIN'!$A$1:$O$103,15,0)),0,VLOOKUP($U$747,'TAR FIN'!$A$1:$O$103,15,0))</f>
        <v>391.54</v>
      </c>
      <c r="Y747" s="6"/>
      <c r="Z747" s="6">
        <f ca="1">('TUSD BE'!$AM$57+'TUSD BF_350'!$AM$57+'TUSD CVA'!$AM$57)*1</f>
        <v>829.05</v>
      </c>
      <c r="AA747" s="6">
        <f ca="1">('TE BE'!$AB$38+'TE BF_350'!$AB$38+'TE CVA'!$AB$38)*1</f>
        <v>437.01</v>
      </c>
      <c r="AB747" s="6">
        <f>$K$747*$V$747</f>
        <v>0</v>
      </c>
      <c r="AC747" s="6">
        <f>$M$747*$W$747</f>
        <v>680.40764000000001</v>
      </c>
      <c r="AD747" s="6">
        <f>$O$747*$X$747</f>
        <v>255.28408000000002</v>
      </c>
      <c r="AE747" s="6">
        <f>$K$747*$Y$747</f>
        <v>0</v>
      </c>
      <c r="AF747" s="6">
        <f ca="1">$M$747*$Z$747</f>
        <v>540.54060000000004</v>
      </c>
      <c r="AG747" s="6">
        <f ca="1">$O$747*$AA$747</f>
        <v>284.93052</v>
      </c>
    </row>
    <row r="748" spans="1:33" ht="11.25" customHeight="1" x14ac:dyDescent="0.3">
      <c r="A748" s="4" t="s">
        <v>57</v>
      </c>
      <c r="B748" s="4" t="s">
        <v>37</v>
      </c>
      <c r="C748" s="4" t="s">
        <v>33</v>
      </c>
      <c r="D748" s="4" t="s">
        <v>41</v>
      </c>
      <c r="E748" s="4" t="s">
        <v>25</v>
      </c>
      <c r="F748" s="4" t="s">
        <v>25</v>
      </c>
      <c r="G748" s="4" t="s">
        <v>25</v>
      </c>
      <c r="H748" s="4" t="s">
        <v>34</v>
      </c>
      <c r="I748" s="5">
        <v>44835</v>
      </c>
      <c r="J748" s="6">
        <v>0</v>
      </c>
      <c r="K748" s="6">
        <v>0</v>
      </c>
      <c r="L748" s="6">
        <v>0.65200000000000002</v>
      </c>
      <c r="M748" s="6">
        <v>0.65200000000000002</v>
      </c>
      <c r="N748" s="6">
        <v>0.65200000000000002</v>
      </c>
      <c r="O748" s="6">
        <v>0.65200000000000002</v>
      </c>
      <c r="P748" s="6">
        <v>0</v>
      </c>
      <c r="Q748" s="4" t="s">
        <v>26</v>
      </c>
      <c r="R748" s="4">
        <v>0</v>
      </c>
      <c r="S748" s="6">
        <v>0</v>
      </c>
      <c r="T748" s="6">
        <v>55</v>
      </c>
      <c r="U748" s="6">
        <v>96</v>
      </c>
      <c r="V748" s="6">
        <f>IF(ISERROR(VLOOKUP($S$748,'TAR FIN'!$A$1:$O$103,15,0)),0,VLOOKUP($S$748,'TAR FIN'!$A$1:$O$103,15,0))</f>
        <v>0</v>
      </c>
      <c r="W748" s="6">
        <f>IF(ISERROR(VLOOKUP($T$748,'TAR FIN'!$A$1:$O$103,15,0)),0,VLOOKUP($T$748,'TAR FIN'!$A$1:$O$103,15,0))</f>
        <v>1043.57</v>
      </c>
      <c r="X748" s="6">
        <f>IF(ISERROR(VLOOKUP($U$748,'TAR FIN'!$A$1:$O$103,15,0)),0,VLOOKUP($U$748,'TAR FIN'!$A$1:$O$103,15,0))</f>
        <v>391.54</v>
      </c>
      <c r="Y748" s="6"/>
      <c r="Z748" s="6">
        <f ca="1">('TUSD BE'!$AM$57+'TUSD BF_350'!$AM$57+'TUSD CVA'!$AM$57)*1</f>
        <v>829.05</v>
      </c>
      <c r="AA748" s="6">
        <f ca="1">('TE BE'!$AB$38+'TE BF_350'!$AB$38+'TE CVA'!$AB$38)*1</f>
        <v>437.01</v>
      </c>
      <c r="AB748" s="6">
        <f>$K$748*$V$748</f>
        <v>0</v>
      </c>
      <c r="AC748" s="6">
        <f>$M$748*$W$748</f>
        <v>680.40764000000001</v>
      </c>
      <c r="AD748" s="6">
        <f>$O$748*$X$748</f>
        <v>255.28408000000002</v>
      </c>
      <c r="AE748" s="6">
        <f>$K$748*$Y$748</f>
        <v>0</v>
      </c>
      <c r="AF748" s="6">
        <f ca="1">$M$748*$Z$748</f>
        <v>540.54060000000004</v>
      </c>
      <c r="AG748" s="6">
        <f ca="1">$O$748*$AA$748</f>
        <v>284.93052</v>
      </c>
    </row>
    <row r="749" spans="1:33" ht="11.25" customHeight="1" x14ac:dyDescent="0.3">
      <c r="A749" s="4" t="s">
        <v>21</v>
      </c>
      <c r="B749" s="4" t="s">
        <v>37</v>
      </c>
      <c r="C749" s="4" t="s">
        <v>33</v>
      </c>
      <c r="D749" s="4" t="s">
        <v>46</v>
      </c>
      <c r="E749" s="4" t="s">
        <v>25</v>
      </c>
      <c r="F749" s="4" t="s">
        <v>25</v>
      </c>
      <c r="G749" s="4" t="s">
        <v>25</v>
      </c>
      <c r="H749" s="4" t="s">
        <v>35</v>
      </c>
      <c r="I749" s="5">
        <v>44501</v>
      </c>
      <c r="J749" s="6">
        <v>0</v>
      </c>
      <c r="K749" s="6">
        <v>0</v>
      </c>
      <c r="L749" s="6">
        <v>6.8019999999999996</v>
      </c>
      <c r="M749" s="6">
        <v>6.8019999999999996</v>
      </c>
      <c r="N749" s="6">
        <v>6.8019999999999996</v>
      </c>
      <c r="O749" s="6">
        <v>6.8019999999999996</v>
      </c>
      <c r="P749" s="6">
        <v>0</v>
      </c>
      <c r="Q749" s="4" t="s">
        <v>26</v>
      </c>
      <c r="R749" s="4">
        <v>0</v>
      </c>
      <c r="S749" s="6">
        <v>0</v>
      </c>
      <c r="T749" s="6">
        <v>57</v>
      </c>
      <c r="U749" s="6">
        <v>98</v>
      </c>
      <c r="V749" s="6">
        <f>IF(ISERROR(VLOOKUP($S$749,'TAR FIN'!$A$1:$O$103,15,0)),0,VLOOKUP($S$749,'TAR FIN'!$A$1:$O$103,15,0))</f>
        <v>0</v>
      </c>
      <c r="W749" s="6">
        <f>IF(ISERROR(VLOOKUP($T$749,'TAR FIN'!$A$1:$O$103,15,0)),0,VLOOKUP($T$749,'TAR FIN'!$A$1:$O$103,15,0))</f>
        <v>295.61</v>
      </c>
      <c r="X749" s="6">
        <f>IF(ISERROR(VLOOKUP($U$749,'TAR FIN'!$A$1:$O$103,15,0)),0,VLOOKUP($U$749,'TAR FIN'!$A$1:$O$103,15,0))</f>
        <v>242.77</v>
      </c>
      <c r="Y749" s="6"/>
      <c r="Z749" s="6">
        <f ca="1">('TUSD BE'!$AM$59+'TUSD BF_350'!$AM$59+'TUSD CVA'!$AM$59)*1</f>
        <v>311.74000000000007</v>
      </c>
      <c r="AA749" s="6">
        <f ca="1">('TE BE'!$AB$40+'TE BF_350'!$AB$40+'TE CVA'!$AB$40)*1</f>
        <v>272.81999999999994</v>
      </c>
      <c r="AB749" s="6">
        <f>$K$749*$V$749</f>
        <v>0</v>
      </c>
      <c r="AC749" s="6">
        <f>$M$749*$W$749</f>
        <v>2010.7392199999999</v>
      </c>
      <c r="AD749" s="6">
        <f>$O$749*$X$749</f>
        <v>1651.3215399999999</v>
      </c>
      <c r="AE749" s="6">
        <f>$K$749*$Y$749</f>
        <v>0</v>
      </c>
      <c r="AF749" s="6">
        <f ca="1">$M$749*$Z$749</f>
        <v>2120.4554800000005</v>
      </c>
      <c r="AG749" s="6">
        <f ca="1">$O$749*$AA$749</f>
        <v>1855.7216399999995</v>
      </c>
    </row>
    <row r="750" spans="1:33" ht="11.25" customHeight="1" x14ac:dyDescent="0.3">
      <c r="A750" s="4" t="s">
        <v>21</v>
      </c>
      <c r="B750" s="4" t="s">
        <v>37</v>
      </c>
      <c r="C750" s="4" t="s">
        <v>33</v>
      </c>
      <c r="D750" s="4" t="s">
        <v>46</v>
      </c>
      <c r="E750" s="4" t="s">
        <v>25</v>
      </c>
      <c r="F750" s="4" t="s">
        <v>25</v>
      </c>
      <c r="G750" s="4" t="s">
        <v>25</v>
      </c>
      <c r="H750" s="4" t="s">
        <v>35</v>
      </c>
      <c r="I750" s="5">
        <v>44531</v>
      </c>
      <c r="J750" s="6">
        <v>0</v>
      </c>
      <c r="K750" s="6">
        <v>0</v>
      </c>
      <c r="L750" s="6">
        <v>6.032</v>
      </c>
      <c r="M750" s="6">
        <v>6.032</v>
      </c>
      <c r="N750" s="6">
        <v>6.032</v>
      </c>
      <c r="O750" s="6">
        <v>6.032</v>
      </c>
      <c r="P750" s="6">
        <v>0</v>
      </c>
      <c r="Q750" s="4" t="s">
        <v>26</v>
      </c>
      <c r="R750" s="4">
        <v>0</v>
      </c>
      <c r="S750" s="6">
        <v>0</v>
      </c>
      <c r="T750" s="6">
        <v>57</v>
      </c>
      <c r="U750" s="6">
        <v>98</v>
      </c>
      <c r="V750" s="6">
        <f>IF(ISERROR(VLOOKUP($S$750,'TAR FIN'!$A$1:$O$103,15,0)),0,VLOOKUP($S$750,'TAR FIN'!$A$1:$O$103,15,0))</f>
        <v>0</v>
      </c>
      <c r="W750" s="6">
        <f>IF(ISERROR(VLOOKUP($T$750,'TAR FIN'!$A$1:$O$103,15,0)),0,VLOOKUP($T$750,'TAR FIN'!$A$1:$O$103,15,0))</f>
        <v>295.61</v>
      </c>
      <c r="X750" s="6">
        <f>IF(ISERROR(VLOOKUP($U$750,'TAR FIN'!$A$1:$O$103,15,0)),0,VLOOKUP($U$750,'TAR FIN'!$A$1:$O$103,15,0))</f>
        <v>242.77</v>
      </c>
      <c r="Y750" s="6"/>
      <c r="Z750" s="6">
        <f ca="1">('TUSD BE'!$AM$59+'TUSD BF_350'!$AM$59+'TUSD CVA'!$AM$59)*1</f>
        <v>311.74000000000007</v>
      </c>
      <c r="AA750" s="6">
        <f ca="1">('TE BE'!$AB$40+'TE BF_350'!$AB$40+'TE CVA'!$AB$40)*1</f>
        <v>272.81999999999994</v>
      </c>
      <c r="AB750" s="6">
        <f>$K$750*$V$750</f>
        <v>0</v>
      </c>
      <c r="AC750" s="6">
        <f>$M$750*$W$750</f>
        <v>1783.1195200000002</v>
      </c>
      <c r="AD750" s="6">
        <f>$O$750*$X$750</f>
        <v>1464.3886400000001</v>
      </c>
      <c r="AE750" s="6">
        <f>$K$750*$Y$750</f>
        <v>0</v>
      </c>
      <c r="AF750" s="6">
        <f ca="1">$M$750*$Z$750</f>
        <v>1880.4156800000003</v>
      </c>
      <c r="AG750" s="6">
        <f ca="1">$O$750*$AA$750</f>
        <v>1645.6502399999997</v>
      </c>
    </row>
    <row r="751" spans="1:33" ht="11.25" customHeight="1" x14ac:dyDescent="0.3">
      <c r="A751" s="4" t="s">
        <v>21</v>
      </c>
      <c r="B751" s="4" t="s">
        <v>37</v>
      </c>
      <c r="C751" s="4" t="s">
        <v>33</v>
      </c>
      <c r="D751" s="4" t="s">
        <v>46</v>
      </c>
      <c r="E751" s="4" t="s">
        <v>25</v>
      </c>
      <c r="F751" s="4" t="s">
        <v>25</v>
      </c>
      <c r="G751" s="4" t="s">
        <v>25</v>
      </c>
      <c r="H751" s="4" t="s">
        <v>35</v>
      </c>
      <c r="I751" s="5">
        <v>44562</v>
      </c>
      <c r="J751" s="6">
        <v>0</v>
      </c>
      <c r="K751" s="6">
        <v>0</v>
      </c>
      <c r="L751" s="6">
        <v>6.2839999999999998</v>
      </c>
      <c r="M751" s="6">
        <v>6.2839999999999998</v>
      </c>
      <c r="N751" s="6">
        <v>6.2839999999999998</v>
      </c>
      <c r="O751" s="6">
        <v>6.2839999999999998</v>
      </c>
      <c r="P751" s="6">
        <v>0</v>
      </c>
      <c r="Q751" s="4" t="s">
        <v>26</v>
      </c>
      <c r="R751" s="4">
        <v>0</v>
      </c>
      <c r="S751" s="6">
        <v>0</v>
      </c>
      <c r="T751" s="6">
        <v>57</v>
      </c>
      <c r="U751" s="6">
        <v>98</v>
      </c>
      <c r="V751" s="6">
        <f>IF(ISERROR(VLOOKUP($S$751,'TAR FIN'!$A$1:$O$103,15,0)),0,VLOOKUP($S$751,'TAR FIN'!$A$1:$O$103,15,0))</f>
        <v>0</v>
      </c>
      <c r="W751" s="6">
        <f>IF(ISERROR(VLOOKUP($T$751,'TAR FIN'!$A$1:$O$103,15,0)),0,VLOOKUP($T$751,'TAR FIN'!$A$1:$O$103,15,0))</f>
        <v>295.61</v>
      </c>
      <c r="X751" s="6">
        <f>IF(ISERROR(VLOOKUP($U$751,'TAR FIN'!$A$1:$O$103,15,0)),0,VLOOKUP($U$751,'TAR FIN'!$A$1:$O$103,15,0))</f>
        <v>242.77</v>
      </c>
      <c r="Y751" s="6"/>
      <c r="Z751" s="6">
        <f ca="1">('TUSD BE'!$AM$59+'TUSD BF_350'!$AM$59+'TUSD CVA'!$AM$59)*1</f>
        <v>311.74000000000007</v>
      </c>
      <c r="AA751" s="6">
        <f ca="1">('TE BE'!$AB$40+'TE BF_350'!$AB$40+'TE CVA'!$AB$40)*1</f>
        <v>272.81999999999994</v>
      </c>
      <c r="AB751" s="6">
        <f>$K$751*$V$751</f>
        <v>0</v>
      </c>
      <c r="AC751" s="6">
        <f>$M$751*$W$751</f>
        <v>1857.6132400000001</v>
      </c>
      <c r="AD751" s="6">
        <f>$O$751*$X$751</f>
        <v>1525.5666799999999</v>
      </c>
      <c r="AE751" s="6">
        <f>$K$751*$Y$751</f>
        <v>0</v>
      </c>
      <c r="AF751" s="6">
        <f ca="1">$M$751*$Z$751</f>
        <v>1958.9741600000004</v>
      </c>
      <c r="AG751" s="6">
        <f ca="1">$O$751*$AA$751</f>
        <v>1714.4008799999995</v>
      </c>
    </row>
    <row r="752" spans="1:33" ht="11.25" customHeight="1" x14ac:dyDescent="0.3">
      <c r="A752" s="4" t="s">
        <v>21</v>
      </c>
      <c r="B752" s="4" t="s">
        <v>37</v>
      </c>
      <c r="C752" s="4" t="s">
        <v>33</v>
      </c>
      <c r="D752" s="4" t="s">
        <v>46</v>
      </c>
      <c r="E752" s="4" t="s">
        <v>25</v>
      </c>
      <c r="F752" s="4" t="s">
        <v>25</v>
      </c>
      <c r="G752" s="4" t="s">
        <v>25</v>
      </c>
      <c r="H752" s="4" t="s">
        <v>35</v>
      </c>
      <c r="I752" s="5">
        <v>44593</v>
      </c>
      <c r="J752" s="6">
        <v>0</v>
      </c>
      <c r="K752" s="6">
        <v>0</v>
      </c>
      <c r="L752" s="6">
        <v>5.7450000000000001</v>
      </c>
      <c r="M752" s="6">
        <v>5.7450000000000001</v>
      </c>
      <c r="N752" s="6">
        <v>5.7450000000000001</v>
      </c>
      <c r="O752" s="6">
        <v>5.7450000000000001</v>
      </c>
      <c r="P752" s="6">
        <v>0</v>
      </c>
      <c r="Q752" s="4" t="s">
        <v>26</v>
      </c>
      <c r="R752" s="4">
        <v>0</v>
      </c>
      <c r="S752" s="6">
        <v>0</v>
      </c>
      <c r="T752" s="6">
        <v>57</v>
      </c>
      <c r="U752" s="6">
        <v>98</v>
      </c>
      <c r="V752" s="6">
        <f>IF(ISERROR(VLOOKUP($S$752,'TAR FIN'!$A$1:$O$103,15,0)),0,VLOOKUP($S$752,'TAR FIN'!$A$1:$O$103,15,0))</f>
        <v>0</v>
      </c>
      <c r="W752" s="6">
        <f>IF(ISERROR(VLOOKUP($T$752,'TAR FIN'!$A$1:$O$103,15,0)),0,VLOOKUP($T$752,'TAR FIN'!$A$1:$O$103,15,0))</f>
        <v>295.61</v>
      </c>
      <c r="X752" s="6">
        <f>IF(ISERROR(VLOOKUP($U$752,'TAR FIN'!$A$1:$O$103,15,0)),0,VLOOKUP($U$752,'TAR FIN'!$A$1:$O$103,15,0))</f>
        <v>242.77</v>
      </c>
      <c r="Y752" s="6"/>
      <c r="Z752" s="6">
        <f ca="1">('TUSD BE'!$AM$59+'TUSD BF_350'!$AM$59+'TUSD CVA'!$AM$59)*1</f>
        <v>311.74000000000007</v>
      </c>
      <c r="AA752" s="6">
        <f ca="1">('TE BE'!$AB$40+'TE BF_350'!$AB$40+'TE CVA'!$AB$40)*1</f>
        <v>272.81999999999994</v>
      </c>
      <c r="AB752" s="6">
        <f>$K$752*$V$752</f>
        <v>0</v>
      </c>
      <c r="AC752" s="6">
        <f>$M$752*$W$752</f>
        <v>1698.27945</v>
      </c>
      <c r="AD752" s="6">
        <f>$O$752*$X$752</f>
        <v>1394.7136500000001</v>
      </c>
      <c r="AE752" s="6">
        <f>$K$752*$Y$752</f>
        <v>0</v>
      </c>
      <c r="AF752" s="6">
        <f ca="1">$M$752*$Z$752</f>
        <v>1790.9463000000005</v>
      </c>
      <c r="AG752" s="6">
        <f ca="1">$O$752*$AA$752</f>
        <v>1567.3508999999997</v>
      </c>
    </row>
    <row r="753" spans="1:33" ht="11.25" customHeight="1" x14ac:dyDescent="0.3">
      <c r="A753" s="4" t="s">
        <v>21</v>
      </c>
      <c r="B753" s="4" t="s">
        <v>37</v>
      </c>
      <c r="C753" s="4" t="s">
        <v>33</v>
      </c>
      <c r="D753" s="4" t="s">
        <v>46</v>
      </c>
      <c r="E753" s="4" t="s">
        <v>25</v>
      </c>
      <c r="F753" s="4" t="s">
        <v>25</v>
      </c>
      <c r="G753" s="4" t="s">
        <v>25</v>
      </c>
      <c r="H753" s="4" t="s">
        <v>35</v>
      </c>
      <c r="I753" s="5">
        <v>44621</v>
      </c>
      <c r="J753" s="6">
        <v>0</v>
      </c>
      <c r="K753" s="6">
        <v>0</v>
      </c>
      <c r="L753" s="6">
        <v>4.883</v>
      </c>
      <c r="M753" s="6">
        <v>4.883</v>
      </c>
      <c r="N753" s="6">
        <v>4.883</v>
      </c>
      <c r="O753" s="6">
        <v>4.883</v>
      </c>
      <c r="P753" s="6">
        <v>0</v>
      </c>
      <c r="Q753" s="4" t="s">
        <v>26</v>
      </c>
      <c r="R753" s="4">
        <v>0</v>
      </c>
      <c r="S753" s="6">
        <v>0</v>
      </c>
      <c r="T753" s="6">
        <v>57</v>
      </c>
      <c r="U753" s="6">
        <v>98</v>
      </c>
      <c r="V753" s="6">
        <f>IF(ISERROR(VLOOKUP($S$753,'TAR FIN'!$A$1:$O$103,15,0)),0,VLOOKUP($S$753,'TAR FIN'!$A$1:$O$103,15,0))</f>
        <v>0</v>
      </c>
      <c r="W753" s="6">
        <f>IF(ISERROR(VLOOKUP($T$753,'TAR FIN'!$A$1:$O$103,15,0)),0,VLOOKUP($T$753,'TAR FIN'!$A$1:$O$103,15,0))</f>
        <v>295.61</v>
      </c>
      <c r="X753" s="6">
        <f>IF(ISERROR(VLOOKUP($U$753,'TAR FIN'!$A$1:$O$103,15,0)),0,VLOOKUP($U$753,'TAR FIN'!$A$1:$O$103,15,0))</f>
        <v>242.77</v>
      </c>
      <c r="Y753" s="6"/>
      <c r="Z753" s="6">
        <f ca="1">('TUSD BE'!$AM$59+'TUSD BF_350'!$AM$59+'TUSD CVA'!$AM$59)*1</f>
        <v>311.74000000000007</v>
      </c>
      <c r="AA753" s="6">
        <f ca="1">('TE BE'!$AB$40+'TE BF_350'!$AB$40+'TE CVA'!$AB$40)*1</f>
        <v>272.81999999999994</v>
      </c>
      <c r="AB753" s="6">
        <f>$K$753*$V$753</f>
        <v>0</v>
      </c>
      <c r="AC753" s="6">
        <f>$M$753*$W$753</f>
        <v>1443.46363</v>
      </c>
      <c r="AD753" s="6">
        <f>$O$753*$X$753</f>
        <v>1185.4459100000001</v>
      </c>
      <c r="AE753" s="6">
        <f>$K$753*$Y$753</f>
        <v>0</v>
      </c>
      <c r="AF753" s="6">
        <f ca="1">$M$753*$Z$753</f>
        <v>1522.2264200000004</v>
      </c>
      <c r="AG753" s="6">
        <f ca="1">$O$753*$AA$753</f>
        <v>1332.1800599999997</v>
      </c>
    </row>
    <row r="754" spans="1:33" ht="11.25" customHeight="1" x14ac:dyDescent="0.3">
      <c r="A754" s="4" t="s">
        <v>21</v>
      </c>
      <c r="B754" s="4" t="s">
        <v>37</v>
      </c>
      <c r="C754" s="4" t="s">
        <v>33</v>
      </c>
      <c r="D754" s="4" t="s">
        <v>46</v>
      </c>
      <c r="E754" s="4" t="s">
        <v>25</v>
      </c>
      <c r="F754" s="4" t="s">
        <v>25</v>
      </c>
      <c r="G754" s="4" t="s">
        <v>25</v>
      </c>
      <c r="H754" s="4" t="s">
        <v>35</v>
      </c>
      <c r="I754" s="5">
        <v>44652</v>
      </c>
      <c r="J754" s="6">
        <v>0</v>
      </c>
      <c r="K754" s="6">
        <v>0</v>
      </c>
      <c r="L754" s="6">
        <v>6.9420000000000002</v>
      </c>
      <c r="M754" s="6">
        <v>6.9420000000000002</v>
      </c>
      <c r="N754" s="6">
        <v>6.9420000000000002</v>
      </c>
      <c r="O754" s="6">
        <v>6.9420000000000002</v>
      </c>
      <c r="P754" s="6">
        <v>0</v>
      </c>
      <c r="Q754" s="4" t="s">
        <v>26</v>
      </c>
      <c r="R754" s="4">
        <v>0</v>
      </c>
      <c r="S754" s="6">
        <v>0</v>
      </c>
      <c r="T754" s="6">
        <v>57</v>
      </c>
      <c r="U754" s="6">
        <v>98</v>
      </c>
      <c r="V754" s="6">
        <f>IF(ISERROR(VLOOKUP($S$754,'TAR FIN'!$A$1:$O$103,15,0)),0,VLOOKUP($S$754,'TAR FIN'!$A$1:$O$103,15,0))</f>
        <v>0</v>
      </c>
      <c r="W754" s="6">
        <f>IF(ISERROR(VLOOKUP($T$754,'TAR FIN'!$A$1:$O$103,15,0)),0,VLOOKUP($T$754,'TAR FIN'!$A$1:$O$103,15,0))</f>
        <v>295.61</v>
      </c>
      <c r="X754" s="6">
        <f>IF(ISERROR(VLOOKUP($U$754,'TAR FIN'!$A$1:$O$103,15,0)),0,VLOOKUP($U$754,'TAR FIN'!$A$1:$O$103,15,0))</f>
        <v>242.77</v>
      </c>
      <c r="Y754" s="6"/>
      <c r="Z754" s="6">
        <f ca="1">('TUSD BE'!$AM$59+'TUSD BF_350'!$AM$59+'TUSD CVA'!$AM$59)*1</f>
        <v>311.74000000000007</v>
      </c>
      <c r="AA754" s="6">
        <f ca="1">('TE BE'!$AB$40+'TE BF_350'!$AB$40+'TE CVA'!$AB$40)*1</f>
        <v>272.81999999999994</v>
      </c>
      <c r="AB754" s="6">
        <f>$K$754*$V$754</f>
        <v>0</v>
      </c>
      <c r="AC754" s="6">
        <f>$M$754*$W$754</f>
        <v>2052.12462</v>
      </c>
      <c r="AD754" s="6">
        <f>$O$754*$X$754</f>
        <v>1685.30934</v>
      </c>
      <c r="AE754" s="6">
        <f>$K$754*$Y$754</f>
        <v>0</v>
      </c>
      <c r="AF754" s="6">
        <f ca="1">$M$754*$Z$754</f>
        <v>2164.0990800000004</v>
      </c>
      <c r="AG754" s="6">
        <f ca="1">$O$754*$AA$754</f>
        <v>1893.9164399999995</v>
      </c>
    </row>
    <row r="755" spans="1:33" ht="11.25" customHeight="1" x14ac:dyDescent="0.3">
      <c r="A755" s="4" t="s">
        <v>21</v>
      </c>
      <c r="B755" s="4" t="s">
        <v>37</v>
      </c>
      <c r="C755" s="4" t="s">
        <v>33</v>
      </c>
      <c r="D755" s="4" t="s">
        <v>46</v>
      </c>
      <c r="E755" s="4" t="s">
        <v>25</v>
      </c>
      <c r="F755" s="4" t="s">
        <v>25</v>
      </c>
      <c r="G755" s="4" t="s">
        <v>25</v>
      </c>
      <c r="H755" s="4" t="s">
        <v>35</v>
      </c>
      <c r="I755" s="5">
        <v>44682</v>
      </c>
      <c r="J755" s="6">
        <v>0</v>
      </c>
      <c r="K755" s="6">
        <v>0</v>
      </c>
      <c r="L755" s="6">
        <v>6.66</v>
      </c>
      <c r="M755" s="6">
        <v>6.66</v>
      </c>
      <c r="N755" s="6">
        <v>6.66</v>
      </c>
      <c r="O755" s="6">
        <v>6.66</v>
      </c>
      <c r="P755" s="6">
        <v>0</v>
      </c>
      <c r="Q755" s="4" t="s">
        <v>26</v>
      </c>
      <c r="R755" s="4">
        <v>0</v>
      </c>
      <c r="S755" s="6">
        <v>0</v>
      </c>
      <c r="T755" s="6">
        <v>57</v>
      </c>
      <c r="U755" s="6">
        <v>98</v>
      </c>
      <c r="V755" s="6">
        <f>IF(ISERROR(VLOOKUP($S$755,'TAR FIN'!$A$1:$O$103,15,0)),0,VLOOKUP($S$755,'TAR FIN'!$A$1:$O$103,15,0))</f>
        <v>0</v>
      </c>
      <c r="W755" s="6">
        <f>IF(ISERROR(VLOOKUP($T$755,'TAR FIN'!$A$1:$O$103,15,0)),0,VLOOKUP($T$755,'TAR FIN'!$A$1:$O$103,15,0))</f>
        <v>295.61</v>
      </c>
      <c r="X755" s="6">
        <f>IF(ISERROR(VLOOKUP($U$755,'TAR FIN'!$A$1:$O$103,15,0)),0,VLOOKUP($U$755,'TAR FIN'!$A$1:$O$103,15,0))</f>
        <v>242.77</v>
      </c>
      <c r="Y755" s="6"/>
      <c r="Z755" s="6">
        <f ca="1">('TUSD BE'!$AM$59+'TUSD BF_350'!$AM$59+'TUSD CVA'!$AM$59)*1</f>
        <v>311.74000000000007</v>
      </c>
      <c r="AA755" s="6">
        <f ca="1">('TE BE'!$AB$40+'TE BF_350'!$AB$40+'TE CVA'!$AB$40)*1</f>
        <v>272.81999999999994</v>
      </c>
      <c r="AB755" s="6">
        <f>$K$755*$V$755</f>
        <v>0</v>
      </c>
      <c r="AC755" s="6">
        <f>$M$755*$W$755</f>
        <v>1968.7626</v>
      </c>
      <c r="AD755" s="6">
        <f>$O$755*$X$755</f>
        <v>1616.8482000000001</v>
      </c>
      <c r="AE755" s="6">
        <f>$K$755*$Y$755</f>
        <v>0</v>
      </c>
      <c r="AF755" s="6">
        <f ca="1">$M$755*$Z$755</f>
        <v>2076.1884000000005</v>
      </c>
      <c r="AG755" s="6">
        <f ca="1">$O$755*$AA$755</f>
        <v>1816.9811999999997</v>
      </c>
    </row>
    <row r="756" spans="1:33" ht="11.25" customHeight="1" x14ac:dyDescent="0.3">
      <c r="A756" s="4" t="s">
        <v>21</v>
      </c>
      <c r="B756" s="4" t="s">
        <v>37</v>
      </c>
      <c r="C756" s="4" t="s">
        <v>33</v>
      </c>
      <c r="D756" s="4" t="s">
        <v>46</v>
      </c>
      <c r="E756" s="4" t="s">
        <v>25</v>
      </c>
      <c r="F756" s="4" t="s">
        <v>25</v>
      </c>
      <c r="G756" s="4" t="s">
        <v>25</v>
      </c>
      <c r="H756" s="4" t="s">
        <v>35</v>
      </c>
      <c r="I756" s="5">
        <v>44713</v>
      </c>
      <c r="J756" s="6">
        <v>0</v>
      </c>
      <c r="K756" s="6">
        <v>0</v>
      </c>
      <c r="L756" s="6">
        <v>4.3639999999999999</v>
      </c>
      <c r="M756" s="6">
        <v>4.3639999999999999</v>
      </c>
      <c r="N756" s="6">
        <v>4.3639999999999999</v>
      </c>
      <c r="O756" s="6">
        <v>4.3639999999999999</v>
      </c>
      <c r="P756" s="6">
        <v>0</v>
      </c>
      <c r="Q756" s="4" t="s">
        <v>26</v>
      </c>
      <c r="R756" s="4">
        <v>0</v>
      </c>
      <c r="S756" s="6">
        <v>0</v>
      </c>
      <c r="T756" s="6">
        <v>57</v>
      </c>
      <c r="U756" s="6">
        <v>98</v>
      </c>
      <c r="V756" s="6">
        <f>IF(ISERROR(VLOOKUP($S$756,'TAR FIN'!$A$1:$O$103,15,0)),0,VLOOKUP($S$756,'TAR FIN'!$A$1:$O$103,15,0))</f>
        <v>0</v>
      </c>
      <c r="W756" s="6">
        <f>IF(ISERROR(VLOOKUP($T$756,'TAR FIN'!$A$1:$O$103,15,0)),0,VLOOKUP($T$756,'TAR FIN'!$A$1:$O$103,15,0))</f>
        <v>295.61</v>
      </c>
      <c r="X756" s="6">
        <f>IF(ISERROR(VLOOKUP($U$756,'TAR FIN'!$A$1:$O$103,15,0)),0,VLOOKUP($U$756,'TAR FIN'!$A$1:$O$103,15,0))</f>
        <v>242.77</v>
      </c>
      <c r="Y756" s="6"/>
      <c r="Z756" s="6">
        <f ca="1">('TUSD BE'!$AM$59+'TUSD BF_350'!$AM$59+'TUSD CVA'!$AM$59)*1</f>
        <v>311.74000000000007</v>
      </c>
      <c r="AA756" s="6">
        <f ca="1">('TE BE'!$AB$40+'TE BF_350'!$AB$40+'TE CVA'!$AB$40)*1</f>
        <v>272.81999999999994</v>
      </c>
      <c r="AB756" s="6">
        <f>$K$756*$V$756</f>
        <v>0</v>
      </c>
      <c r="AC756" s="6">
        <f>$M$756*$W$756</f>
        <v>1290.04204</v>
      </c>
      <c r="AD756" s="6">
        <f>$O$756*$X$756</f>
        <v>1059.4482800000001</v>
      </c>
      <c r="AE756" s="6">
        <f>$K$756*$Y$756</f>
        <v>0</v>
      </c>
      <c r="AF756" s="6">
        <f ca="1">$M$756*$Z$756</f>
        <v>1360.4333600000002</v>
      </c>
      <c r="AG756" s="6">
        <f ca="1">$O$756*$AA$756</f>
        <v>1190.5864799999997</v>
      </c>
    </row>
    <row r="757" spans="1:33" ht="11.25" customHeight="1" x14ac:dyDescent="0.3">
      <c r="A757" s="4" t="s">
        <v>21</v>
      </c>
      <c r="B757" s="4" t="s">
        <v>37</v>
      </c>
      <c r="C757" s="4" t="s">
        <v>33</v>
      </c>
      <c r="D757" s="4" t="s">
        <v>46</v>
      </c>
      <c r="E757" s="4" t="s">
        <v>25</v>
      </c>
      <c r="F757" s="4" t="s">
        <v>25</v>
      </c>
      <c r="G757" s="4" t="s">
        <v>25</v>
      </c>
      <c r="H757" s="4" t="s">
        <v>35</v>
      </c>
      <c r="I757" s="5">
        <v>44743</v>
      </c>
      <c r="J757" s="6">
        <v>0</v>
      </c>
      <c r="K757" s="6">
        <v>0</v>
      </c>
      <c r="L757" s="6">
        <v>4.2699999999999996</v>
      </c>
      <c r="M757" s="6">
        <v>4.2699999999999996</v>
      </c>
      <c r="N757" s="6">
        <v>4.2699999999999996</v>
      </c>
      <c r="O757" s="6">
        <v>4.2699999999999996</v>
      </c>
      <c r="P757" s="6">
        <v>0</v>
      </c>
      <c r="Q757" s="4" t="s">
        <v>26</v>
      </c>
      <c r="R757" s="4">
        <v>0</v>
      </c>
      <c r="S757" s="6">
        <v>0</v>
      </c>
      <c r="T757" s="6">
        <v>57</v>
      </c>
      <c r="U757" s="6">
        <v>98</v>
      </c>
      <c r="V757" s="6">
        <f>IF(ISERROR(VLOOKUP($S$757,'TAR FIN'!$A$1:$O$103,15,0)),0,VLOOKUP($S$757,'TAR FIN'!$A$1:$O$103,15,0))</f>
        <v>0</v>
      </c>
      <c r="W757" s="6">
        <f>IF(ISERROR(VLOOKUP($T$757,'TAR FIN'!$A$1:$O$103,15,0)),0,VLOOKUP($T$757,'TAR FIN'!$A$1:$O$103,15,0))</f>
        <v>295.61</v>
      </c>
      <c r="X757" s="6">
        <f>IF(ISERROR(VLOOKUP($U$757,'TAR FIN'!$A$1:$O$103,15,0)),0,VLOOKUP($U$757,'TAR FIN'!$A$1:$O$103,15,0))</f>
        <v>242.77</v>
      </c>
      <c r="Y757" s="6"/>
      <c r="Z757" s="6">
        <f ca="1">('TUSD BE'!$AM$59+'TUSD BF_350'!$AM$59+'TUSD CVA'!$AM$59)*1</f>
        <v>311.74000000000007</v>
      </c>
      <c r="AA757" s="6">
        <f ca="1">('TE BE'!$AB$40+'TE BF_350'!$AB$40+'TE CVA'!$AB$40)*1</f>
        <v>272.81999999999994</v>
      </c>
      <c r="AB757" s="6">
        <f>$K$757*$V$757</f>
        <v>0</v>
      </c>
      <c r="AC757" s="6">
        <f>$M$757*$W$757</f>
        <v>1262.2547</v>
      </c>
      <c r="AD757" s="6">
        <f>$O$757*$X$757</f>
        <v>1036.6279</v>
      </c>
      <c r="AE757" s="6">
        <f>$K$757*$Y$757</f>
        <v>0</v>
      </c>
      <c r="AF757" s="6">
        <f ca="1">$M$757*$Z$757</f>
        <v>1331.1298000000002</v>
      </c>
      <c r="AG757" s="6">
        <f ca="1">$O$757*$AA$757</f>
        <v>1164.9413999999997</v>
      </c>
    </row>
    <row r="758" spans="1:33" ht="11.25" customHeight="1" x14ac:dyDescent="0.3">
      <c r="A758" s="4" t="s">
        <v>21</v>
      </c>
      <c r="B758" s="4" t="s">
        <v>37</v>
      </c>
      <c r="C758" s="4" t="s">
        <v>33</v>
      </c>
      <c r="D758" s="4" t="s">
        <v>46</v>
      </c>
      <c r="E758" s="4" t="s">
        <v>25</v>
      </c>
      <c r="F758" s="4" t="s">
        <v>25</v>
      </c>
      <c r="G758" s="4" t="s">
        <v>25</v>
      </c>
      <c r="H758" s="4" t="s">
        <v>35</v>
      </c>
      <c r="I758" s="5">
        <v>44774</v>
      </c>
      <c r="J758" s="6">
        <v>0</v>
      </c>
      <c r="K758" s="6">
        <v>0</v>
      </c>
      <c r="L758" s="6">
        <v>3.8069999999999999</v>
      </c>
      <c r="M758" s="6">
        <v>3.8069999999999999</v>
      </c>
      <c r="N758" s="6">
        <v>3.8069999999999999</v>
      </c>
      <c r="O758" s="6">
        <v>3.8069999999999999</v>
      </c>
      <c r="P758" s="6">
        <v>0</v>
      </c>
      <c r="Q758" s="4" t="s">
        <v>26</v>
      </c>
      <c r="R758" s="4">
        <v>0</v>
      </c>
      <c r="S758" s="6">
        <v>0</v>
      </c>
      <c r="T758" s="6">
        <v>57</v>
      </c>
      <c r="U758" s="6">
        <v>98</v>
      </c>
      <c r="V758" s="6">
        <f>IF(ISERROR(VLOOKUP($S$758,'TAR FIN'!$A$1:$O$103,15,0)),0,VLOOKUP($S$758,'TAR FIN'!$A$1:$O$103,15,0))</f>
        <v>0</v>
      </c>
      <c r="W758" s="6">
        <f>IF(ISERROR(VLOOKUP($T$758,'TAR FIN'!$A$1:$O$103,15,0)),0,VLOOKUP($T$758,'TAR FIN'!$A$1:$O$103,15,0))</f>
        <v>295.61</v>
      </c>
      <c r="X758" s="6">
        <f>IF(ISERROR(VLOOKUP($U$758,'TAR FIN'!$A$1:$O$103,15,0)),0,VLOOKUP($U$758,'TAR FIN'!$A$1:$O$103,15,0))</f>
        <v>242.77</v>
      </c>
      <c r="Y758" s="6"/>
      <c r="Z758" s="6">
        <f ca="1">('TUSD BE'!$AM$59+'TUSD BF_350'!$AM$59+'TUSD CVA'!$AM$59)*1</f>
        <v>311.74000000000007</v>
      </c>
      <c r="AA758" s="6">
        <f ca="1">('TE BE'!$AB$40+'TE BF_350'!$AB$40+'TE CVA'!$AB$40)*1</f>
        <v>272.81999999999994</v>
      </c>
      <c r="AB758" s="6">
        <f>$K$758*$V$758</f>
        <v>0</v>
      </c>
      <c r="AC758" s="6">
        <f>$M$758*$W$758</f>
        <v>1125.3872699999999</v>
      </c>
      <c r="AD758" s="6">
        <f>$O$758*$X$758</f>
        <v>924.22539000000006</v>
      </c>
      <c r="AE758" s="6">
        <f>$K$758*$Y$758</f>
        <v>0</v>
      </c>
      <c r="AF758" s="6">
        <f ca="1">$M$758*$Z$758</f>
        <v>1186.7941800000003</v>
      </c>
      <c r="AG758" s="6">
        <f ca="1">$O$758*$AA$758</f>
        <v>1038.6257399999997</v>
      </c>
    </row>
    <row r="759" spans="1:33" ht="11.25" customHeight="1" x14ac:dyDescent="0.3">
      <c r="A759" s="4" t="s">
        <v>21</v>
      </c>
      <c r="B759" s="4" t="s">
        <v>37</v>
      </c>
      <c r="C759" s="4" t="s">
        <v>33</v>
      </c>
      <c r="D759" s="4" t="s">
        <v>46</v>
      </c>
      <c r="E759" s="4" t="s">
        <v>25</v>
      </c>
      <c r="F759" s="4" t="s">
        <v>25</v>
      </c>
      <c r="G759" s="4" t="s">
        <v>25</v>
      </c>
      <c r="H759" s="4" t="s">
        <v>35</v>
      </c>
      <c r="I759" s="5">
        <v>44805</v>
      </c>
      <c r="J759" s="6">
        <v>0</v>
      </c>
      <c r="K759" s="6">
        <v>0</v>
      </c>
      <c r="L759" s="6">
        <v>5.13</v>
      </c>
      <c r="M759" s="6">
        <v>5.13</v>
      </c>
      <c r="N759" s="6">
        <v>5.13</v>
      </c>
      <c r="O759" s="6">
        <v>5.13</v>
      </c>
      <c r="P759" s="6">
        <v>0</v>
      </c>
      <c r="Q759" s="4" t="s">
        <v>26</v>
      </c>
      <c r="R759" s="4">
        <v>0</v>
      </c>
      <c r="S759" s="6">
        <v>0</v>
      </c>
      <c r="T759" s="6">
        <v>57</v>
      </c>
      <c r="U759" s="6">
        <v>98</v>
      </c>
      <c r="V759" s="6">
        <f>IF(ISERROR(VLOOKUP($S$759,'TAR FIN'!$A$1:$O$103,15,0)),0,VLOOKUP($S$759,'TAR FIN'!$A$1:$O$103,15,0))</f>
        <v>0</v>
      </c>
      <c r="W759" s="6">
        <f>IF(ISERROR(VLOOKUP($T$759,'TAR FIN'!$A$1:$O$103,15,0)),0,VLOOKUP($T$759,'TAR FIN'!$A$1:$O$103,15,0))</f>
        <v>295.61</v>
      </c>
      <c r="X759" s="6">
        <f>IF(ISERROR(VLOOKUP($U$759,'TAR FIN'!$A$1:$O$103,15,0)),0,VLOOKUP($U$759,'TAR FIN'!$A$1:$O$103,15,0))</f>
        <v>242.77</v>
      </c>
      <c r="Y759" s="6"/>
      <c r="Z759" s="6">
        <f ca="1">('TUSD BE'!$AM$59+'TUSD BF_350'!$AM$59+'TUSD CVA'!$AM$59)*1</f>
        <v>311.74000000000007</v>
      </c>
      <c r="AA759" s="6">
        <f ca="1">('TE BE'!$AB$40+'TE BF_350'!$AB$40+'TE CVA'!$AB$40)*1</f>
        <v>272.81999999999994</v>
      </c>
      <c r="AB759" s="6">
        <f>$K$759*$V$759</f>
        <v>0</v>
      </c>
      <c r="AC759" s="6">
        <f>$M$759*$W$759</f>
        <v>1516.4793</v>
      </c>
      <c r="AD759" s="6">
        <f>$O$759*$X$759</f>
        <v>1245.4101000000001</v>
      </c>
      <c r="AE759" s="6">
        <f>$K$759*$Y$759</f>
        <v>0</v>
      </c>
      <c r="AF759" s="6">
        <f ca="1">$M$759*$Z$759</f>
        <v>1599.2262000000003</v>
      </c>
      <c r="AG759" s="6">
        <f ca="1">$O$759*$AA$759</f>
        <v>1399.5665999999997</v>
      </c>
    </row>
    <row r="760" spans="1:33" ht="11.25" customHeight="1" x14ac:dyDescent="0.3">
      <c r="A760" s="4" t="s">
        <v>57</v>
      </c>
      <c r="B760" s="4" t="s">
        <v>37</v>
      </c>
      <c r="C760" s="4" t="s">
        <v>33</v>
      </c>
      <c r="D760" s="4" t="s">
        <v>46</v>
      </c>
      <c r="E760" s="4" t="s">
        <v>25</v>
      </c>
      <c r="F760" s="4" t="s">
        <v>25</v>
      </c>
      <c r="G760" s="4" t="s">
        <v>25</v>
      </c>
      <c r="H760" s="4" t="s">
        <v>35</v>
      </c>
      <c r="I760" s="5">
        <v>44835</v>
      </c>
      <c r="J760" s="6">
        <v>0</v>
      </c>
      <c r="K760" s="6">
        <v>0</v>
      </c>
      <c r="L760" s="6">
        <v>5.13</v>
      </c>
      <c r="M760" s="6">
        <v>5.13</v>
      </c>
      <c r="N760" s="6">
        <v>5.13</v>
      </c>
      <c r="O760" s="6">
        <v>5.13</v>
      </c>
      <c r="P760" s="6">
        <v>0</v>
      </c>
      <c r="Q760" s="4" t="s">
        <v>26</v>
      </c>
      <c r="R760" s="4">
        <v>0</v>
      </c>
      <c r="S760" s="6">
        <v>0</v>
      </c>
      <c r="T760" s="6">
        <v>57</v>
      </c>
      <c r="U760" s="6">
        <v>98</v>
      </c>
      <c r="V760" s="6">
        <f>IF(ISERROR(VLOOKUP($S$760,'TAR FIN'!$A$1:$O$103,15,0)),0,VLOOKUP($S$760,'TAR FIN'!$A$1:$O$103,15,0))</f>
        <v>0</v>
      </c>
      <c r="W760" s="6">
        <f>IF(ISERROR(VLOOKUP($T$760,'TAR FIN'!$A$1:$O$103,15,0)),0,VLOOKUP($T$760,'TAR FIN'!$A$1:$O$103,15,0))</f>
        <v>295.61</v>
      </c>
      <c r="X760" s="6">
        <f>IF(ISERROR(VLOOKUP($U$760,'TAR FIN'!$A$1:$O$103,15,0)),0,VLOOKUP($U$760,'TAR FIN'!$A$1:$O$103,15,0))</f>
        <v>242.77</v>
      </c>
      <c r="Y760" s="6"/>
      <c r="Z760" s="6">
        <f ca="1">('TUSD BE'!$AM$59+'TUSD BF_350'!$AM$59+'TUSD CVA'!$AM$59)*1</f>
        <v>311.74000000000007</v>
      </c>
      <c r="AA760" s="6">
        <f ca="1">('TE BE'!$AB$40+'TE BF_350'!$AB$40+'TE CVA'!$AB$40)*1</f>
        <v>272.81999999999994</v>
      </c>
      <c r="AB760" s="6">
        <f>$K$760*$V$760</f>
        <v>0</v>
      </c>
      <c r="AC760" s="6">
        <f>$M$760*$W$760</f>
        <v>1516.4793</v>
      </c>
      <c r="AD760" s="6">
        <f>$O$760*$X$760</f>
        <v>1245.4101000000001</v>
      </c>
      <c r="AE760" s="6">
        <f>$K$760*$Y$760</f>
        <v>0</v>
      </c>
      <c r="AF760" s="6">
        <f ca="1">$M$760*$Z$760</f>
        <v>1599.2262000000003</v>
      </c>
      <c r="AG760" s="6">
        <f ca="1">$O$760*$AA$760</f>
        <v>1399.5665999999997</v>
      </c>
    </row>
    <row r="761" spans="1:33" ht="11.25" customHeight="1" x14ac:dyDescent="0.3">
      <c r="A761" s="4" t="s">
        <v>21</v>
      </c>
      <c r="B761" s="4" t="s">
        <v>37</v>
      </c>
      <c r="C761" s="4" t="s">
        <v>33</v>
      </c>
      <c r="D761" s="4" t="s">
        <v>46</v>
      </c>
      <c r="E761" s="4" t="s">
        <v>25</v>
      </c>
      <c r="F761" s="4" t="s">
        <v>25</v>
      </c>
      <c r="G761" s="4" t="s">
        <v>25</v>
      </c>
      <c r="H761" s="4" t="s">
        <v>36</v>
      </c>
      <c r="I761" s="5">
        <v>44501</v>
      </c>
      <c r="J761" s="6">
        <v>0</v>
      </c>
      <c r="K761" s="6">
        <v>0</v>
      </c>
      <c r="L761" s="6">
        <v>0.36099999999999999</v>
      </c>
      <c r="M761" s="6">
        <v>0.36099999999999999</v>
      </c>
      <c r="N761" s="6">
        <v>0.36099999999999999</v>
      </c>
      <c r="O761" s="6">
        <v>0.36099999999999999</v>
      </c>
      <c r="P761" s="6">
        <v>0</v>
      </c>
      <c r="Q761" s="4" t="s">
        <v>26</v>
      </c>
      <c r="R761" s="4">
        <v>0</v>
      </c>
      <c r="S761" s="6">
        <v>0</v>
      </c>
      <c r="T761" s="6">
        <v>56</v>
      </c>
      <c r="U761" s="6">
        <v>97</v>
      </c>
      <c r="V761" s="6">
        <f>IF(ISERROR(VLOOKUP($S$761,'TAR FIN'!$A$1:$O$103,15,0)),0,VLOOKUP($S$761,'TAR FIN'!$A$1:$O$103,15,0))</f>
        <v>0</v>
      </c>
      <c r="W761" s="6">
        <f>IF(ISERROR(VLOOKUP($T$761,'TAR FIN'!$A$1:$O$103,15,0)),0,VLOOKUP($T$761,'TAR FIN'!$A$1:$O$103,15,0))</f>
        <v>669.59</v>
      </c>
      <c r="X761" s="6">
        <f>IF(ISERROR(VLOOKUP($U$761,'TAR FIN'!$A$1:$O$103,15,0)),0,VLOOKUP($U$761,'TAR FIN'!$A$1:$O$103,15,0))</f>
        <v>242.77</v>
      </c>
      <c r="Y761" s="6"/>
      <c r="Z761" s="6">
        <f ca="1">('TUSD BE'!$AM$58+'TUSD BF_350'!$AM$58+'TUSD CVA'!$AM$58)*1</f>
        <v>570.4</v>
      </c>
      <c r="AA761" s="6">
        <f ca="1">('TE BE'!$AB$39+'TE BF_350'!$AB$39+'TE CVA'!$AB$39)*1</f>
        <v>272.81999999999994</v>
      </c>
      <c r="AB761" s="6">
        <f>$K$761*$V$761</f>
        <v>0</v>
      </c>
      <c r="AC761" s="6">
        <f>$M$761*$W$761</f>
        <v>241.72199000000001</v>
      </c>
      <c r="AD761" s="6">
        <f>$O$761*$X$761</f>
        <v>87.639970000000005</v>
      </c>
      <c r="AE761" s="6">
        <f>$K$761*$Y$761</f>
        <v>0</v>
      </c>
      <c r="AF761" s="6">
        <f ca="1">$M$761*$Z$761</f>
        <v>205.91439999999997</v>
      </c>
      <c r="AG761" s="6">
        <f ca="1">$O$761*$AA$761</f>
        <v>98.488019999999977</v>
      </c>
    </row>
    <row r="762" spans="1:33" ht="11.25" customHeight="1" x14ac:dyDescent="0.3">
      <c r="A762" s="4" t="s">
        <v>21</v>
      </c>
      <c r="B762" s="4" t="s">
        <v>37</v>
      </c>
      <c r="C762" s="4" t="s">
        <v>33</v>
      </c>
      <c r="D762" s="4" t="s">
        <v>46</v>
      </c>
      <c r="E762" s="4" t="s">
        <v>25</v>
      </c>
      <c r="F762" s="4" t="s">
        <v>25</v>
      </c>
      <c r="G762" s="4" t="s">
        <v>25</v>
      </c>
      <c r="H762" s="4" t="s">
        <v>36</v>
      </c>
      <c r="I762" s="5">
        <v>44531</v>
      </c>
      <c r="J762" s="6">
        <v>0</v>
      </c>
      <c r="K762" s="6">
        <v>0</v>
      </c>
      <c r="L762" s="6">
        <v>0.29699999999999999</v>
      </c>
      <c r="M762" s="6">
        <v>0.29699999999999999</v>
      </c>
      <c r="N762" s="6">
        <v>0.29699999999999999</v>
      </c>
      <c r="O762" s="6">
        <v>0.29699999999999999</v>
      </c>
      <c r="P762" s="6">
        <v>0</v>
      </c>
      <c r="Q762" s="4" t="s">
        <v>26</v>
      </c>
      <c r="R762" s="4">
        <v>0</v>
      </c>
      <c r="S762" s="6">
        <v>0</v>
      </c>
      <c r="T762" s="6">
        <v>56</v>
      </c>
      <c r="U762" s="6">
        <v>97</v>
      </c>
      <c r="V762" s="6">
        <f>IF(ISERROR(VLOOKUP($S$762,'TAR FIN'!$A$1:$O$103,15,0)),0,VLOOKUP($S$762,'TAR FIN'!$A$1:$O$103,15,0))</f>
        <v>0</v>
      </c>
      <c r="W762" s="6">
        <f>IF(ISERROR(VLOOKUP($T$762,'TAR FIN'!$A$1:$O$103,15,0)),0,VLOOKUP($T$762,'TAR FIN'!$A$1:$O$103,15,0))</f>
        <v>669.59</v>
      </c>
      <c r="X762" s="6">
        <f>IF(ISERROR(VLOOKUP($U$762,'TAR FIN'!$A$1:$O$103,15,0)),0,VLOOKUP($U$762,'TAR FIN'!$A$1:$O$103,15,0))</f>
        <v>242.77</v>
      </c>
      <c r="Y762" s="6"/>
      <c r="Z762" s="6">
        <f ca="1">('TUSD BE'!$AM$58+'TUSD BF_350'!$AM$58+'TUSD CVA'!$AM$58)*1</f>
        <v>570.4</v>
      </c>
      <c r="AA762" s="6">
        <f ca="1">('TE BE'!$AB$39+'TE BF_350'!$AB$39+'TE CVA'!$AB$39)*1</f>
        <v>272.81999999999994</v>
      </c>
      <c r="AB762" s="6">
        <f>$K$762*$V$762</f>
        <v>0</v>
      </c>
      <c r="AC762" s="6">
        <f>$M$762*$W$762</f>
        <v>198.86823000000001</v>
      </c>
      <c r="AD762" s="6">
        <f>$O$762*$X$762</f>
        <v>72.102689999999996</v>
      </c>
      <c r="AE762" s="6">
        <f>$K$762*$Y$762</f>
        <v>0</v>
      </c>
      <c r="AF762" s="6">
        <f ca="1">$M$762*$Z$762</f>
        <v>169.40879999999999</v>
      </c>
      <c r="AG762" s="6">
        <f ca="1">$O$762*$AA$762</f>
        <v>81.027539999999973</v>
      </c>
    </row>
    <row r="763" spans="1:33" ht="11.25" customHeight="1" x14ac:dyDescent="0.3">
      <c r="A763" s="4" t="s">
        <v>21</v>
      </c>
      <c r="B763" s="4" t="s">
        <v>37</v>
      </c>
      <c r="C763" s="4" t="s">
        <v>33</v>
      </c>
      <c r="D763" s="4" t="s">
        <v>46</v>
      </c>
      <c r="E763" s="4" t="s">
        <v>25</v>
      </c>
      <c r="F763" s="4" t="s">
        <v>25</v>
      </c>
      <c r="G763" s="4" t="s">
        <v>25</v>
      </c>
      <c r="H763" s="4" t="s">
        <v>36</v>
      </c>
      <c r="I763" s="5">
        <v>44562</v>
      </c>
      <c r="J763" s="6">
        <v>0</v>
      </c>
      <c r="K763" s="6">
        <v>0</v>
      </c>
      <c r="L763" s="6">
        <v>0.316</v>
      </c>
      <c r="M763" s="6">
        <v>0.316</v>
      </c>
      <c r="N763" s="6">
        <v>0.316</v>
      </c>
      <c r="O763" s="6">
        <v>0.316</v>
      </c>
      <c r="P763" s="6">
        <v>0</v>
      </c>
      <c r="Q763" s="4" t="s">
        <v>26</v>
      </c>
      <c r="R763" s="4">
        <v>0</v>
      </c>
      <c r="S763" s="6">
        <v>0</v>
      </c>
      <c r="T763" s="6">
        <v>56</v>
      </c>
      <c r="U763" s="6">
        <v>97</v>
      </c>
      <c r="V763" s="6">
        <f>IF(ISERROR(VLOOKUP($S$763,'TAR FIN'!$A$1:$O$103,15,0)),0,VLOOKUP($S$763,'TAR FIN'!$A$1:$O$103,15,0))</f>
        <v>0</v>
      </c>
      <c r="W763" s="6">
        <f>IF(ISERROR(VLOOKUP($T$763,'TAR FIN'!$A$1:$O$103,15,0)),0,VLOOKUP($T$763,'TAR FIN'!$A$1:$O$103,15,0))</f>
        <v>669.59</v>
      </c>
      <c r="X763" s="6">
        <f>IF(ISERROR(VLOOKUP($U$763,'TAR FIN'!$A$1:$O$103,15,0)),0,VLOOKUP($U$763,'TAR FIN'!$A$1:$O$103,15,0))</f>
        <v>242.77</v>
      </c>
      <c r="Y763" s="6"/>
      <c r="Z763" s="6">
        <f ca="1">('TUSD BE'!$AM$58+'TUSD BF_350'!$AM$58+'TUSD CVA'!$AM$58)*1</f>
        <v>570.4</v>
      </c>
      <c r="AA763" s="6">
        <f ca="1">('TE BE'!$AB$39+'TE BF_350'!$AB$39+'TE CVA'!$AB$39)*1</f>
        <v>272.81999999999994</v>
      </c>
      <c r="AB763" s="6">
        <f>$K$763*$V$763</f>
        <v>0</v>
      </c>
      <c r="AC763" s="6">
        <f>$M$763*$W$763</f>
        <v>211.59044</v>
      </c>
      <c r="AD763" s="6">
        <f>$O$763*$X$763</f>
        <v>76.715320000000006</v>
      </c>
      <c r="AE763" s="6">
        <f>$K$763*$Y$763</f>
        <v>0</v>
      </c>
      <c r="AF763" s="6">
        <f ca="1">$M$763*$Z$763</f>
        <v>180.24639999999999</v>
      </c>
      <c r="AG763" s="6">
        <f ca="1">$O$763*$AA$763</f>
        <v>86.21111999999998</v>
      </c>
    </row>
    <row r="764" spans="1:33" ht="11.25" customHeight="1" x14ac:dyDescent="0.3">
      <c r="A764" s="4" t="s">
        <v>21</v>
      </c>
      <c r="B764" s="4" t="s">
        <v>37</v>
      </c>
      <c r="C764" s="4" t="s">
        <v>33</v>
      </c>
      <c r="D764" s="4" t="s">
        <v>46</v>
      </c>
      <c r="E764" s="4" t="s">
        <v>25</v>
      </c>
      <c r="F764" s="4" t="s">
        <v>25</v>
      </c>
      <c r="G764" s="4" t="s">
        <v>25</v>
      </c>
      <c r="H764" s="4" t="s">
        <v>36</v>
      </c>
      <c r="I764" s="5">
        <v>44593</v>
      </c>
      <c r="J764" s="6">
        <v>0</v>
      </c>
      <c r="K764" s="6">
        <v>0</v>
      </c>
      <c r="L764" s="6">
        <v>0.31900000000000001</v>
      </c>
      <c r="M764" s="6">
        <v>0.31900000000000001</v>
      </c>
      <c r="N764" s="6">
        <v>0.31900000000000001</v>
      </c>
      <c r="O764" s="6">
        <v>0.31900000000000001</v>
      </c>
      <c r="P764" s="6">
        <v>0</v>
      </c>
      <c r="Q764" s="4" t="s">
        <v>26</v>
      </c>
      <c r="R764" s="4">
        <v>0</v>
      </c>
      <c r="S764" s="6">
        <v>0</v>
      </c>
      <c r="T764" s="6">
        <v>56</v>
      </c>
      <c r="U764" s="6">
        <v>97</v>
      </c>
      <c r="V764" s="6">
        <f>IF(ISERROR(VLOOKUP($S$764,'TAR FIN'!$A$1:$O$103,15,0)),0,VLOOKUP($S$764,'TAR FIN'!$A$1:$O$103,15,0))</f>
        <v>0</v>
      </c>
      <c r="W764" s="6">
        <f>IF(ISERROR(VLOOKUP($T$764,'TAR FIN'!$A$1:$O$103,15,0)),0,VLOOKUP($T$764,'TAR FIN'!$A$1:$O$103,15,0))</f>
        <v>669.59</v>
      </c>
      <c r="X764" s="6">
        <f>IF(ISERROR(VLOOKUP($U$764,'TAR FIN'!$A$1:$O$103,15,0)),0,VLOOKUP($U$764,'TAR FIN'!$A$1:$O$103,15,0))</f>
        <v>242.77</v>
      </c>
      <c r="Y764" s="6"/>
      <c r="Z764" s="6">
        <f ca="1">('TUSD BE'!$AM$58+'TUSD BF_350'!$AM$58+'TUSD CVA'!$AM$58)*1</f>
        <v>570.4</v>
      </c>
      <c r="AA764" s="6">
        <f ca="1">('TE BE'!$AB$39+'TE BF_350'!$AB$39+'TE CVA'!$AB$39)*1</f>
        <v>272.81999999999994</v>
      </c>
      <c r="AB764" s="6">
        <f>$K$764*$V$764</f>
        <v>0</v>
      </c>
      <c r="AC764" s="6">
        <f>$M$764*$W$764</f>
        <v>213.59921000000003</v>
      </c>
      <c r="AD764" s="6">
        <f>$O$764*$X$764</f>
        <v>77.443629999999999</v>
      </c>
      <c r="AE764" s="6">
        <f>$K$764*$Y$764</f>
        <v>0</v>
      </c>
      <c r="AF764" s="6">
        <f ca="1">$M$764*$Z$764</f>
        <v>181.95759999999999</v>
      </c>
      <c r="AG764" s="6">
        <f ca="1">$O$764*$AA$764</f>
        <v>87.029579999999982</v>
      </c>
    </row>
    <row r="765" spans="1:33" ht="11.25" customHeight="1" x14ac:dyDescent="0.3">
      <c r="A765" s="4" t="s">
        <v>21</v>
      </c>
      <c r="B765" s="4" t="s">
        <v>37</v>
      </c>
      <c r="C765" s="4" t="s">
        <v>33</v>
      </c>
      <c r="D765" s="4" t="s">
        <v>46</v>
      </c>
      <c r="E765" s="4" t="s">
        <v>25</v>
      </c>
      <c r="F765" s="4" t="s">
        <v>25</v>
      </c>
      <c r="G765" s="4" t="s">
        <v>25</v>
      </c>
      <c r="H765" s="4" t="s">
        <v>36</v>
      </c>
      <c r="I765" s="5">
        <v>44621</v>
      </c>
      <c r="J765" s="6">
        <v>0</v>
      </c>
      <c r="K765" s="6">
        <v>0</v>
      </c>
      <c r="L765" s="6">
        <v>0.27800000000000002</v>
      </c>
      <c r="M765" s="6">
        <v>0.27800000000000002</v>
      </c>
      <c r="N765" s="6">
        <v>0.27800000000000002</v>
      </c>
      <c r="O765" s="6">
        <v>0.27800000000000002</v>
      </c>
      <c r="P765" s="6">
        <v>0</v>
      </c>
      <c r="Q765" s="4" t="s">
        <v>26</v>
      </c>
      <c r="R765" s="4">
        <v>0</v>
      </c>
      <c r="S765" s="6">
        <v>0</v>
      </c>
      <c r="T765" s="6">
        <v>56</v>
      </c>
      <c r="U765" s="6">
        <v>97</v>
      </c>
      <c r="V765" s="6">
        <f>IF(ISERROR(VLOOKUP($S$765,'TAR FIN'!$A$1:$O$103,15,0)),0,VLOOKUP($S$765,'TAR FIN'!$A$1:$O$103,15,0))</f>
        <v>0</v>
      </c>
      <c r="W765" s="6">
        <f>IF(ISERROR(VLOOKUP($T$765,'TAR FIN'!$A$1:$O$103,15,0)),0,VLOOKUP($T$765,'TAR FIN'!$A$1:$O$103,15,0))</f>
        <v>669.59</v>
      </c>
      <c r="X765" s="6">
        <f>IF(ISERROR(VLOOKUP($U$765,'TAR FIN'!$A$1:$O$103,15,0)),0,VLOOKUP($U$765,'TAR FIN'!$A$1:$O$103,15,0))</f>
        <v>242.77</v>
      </c>
      <c r="Y765" s="6"/>
      <c r="Z765" s="6">
        <f ca="1">('TUSD BE'!$AM$58+'TUSD BF_350'!$AM$58+'TUSD CVA'!$AM$58)*1</f>
        <v>570.4</v>
      </c>
      <c r="AA765" s="6">
        <f ca="1">('TE BE'!$AB$39+'TE BF_350'!$AB$39+'TE CVA'!$AB$39)*1</f>
        <v>272.81999999999994</v>
      </c>
      <c r="AB765" s="6">
        <f>$K$765*$V$765</f>
        <v>0</v>
      </c>
      <c r="AC765" s="6">
        <f>$M$765*$W$765</f>
        <v>186.14602000000002</v>
      </c>
      <c r="AD765" s="6">
        <f>$O$765*$X$765</f>
        <v>67.490060000000014</v>
      </c>
      <c r="AE765" s="6">
        <f>$K$765*$Y$765</f>
        <v>0</v>
      </c>
      <c r="AF765" s="6">
        <f ca="1">$M$765*$Z$765</f>
        <v>158.5712</v>
      </c>
      <c r="AG765" s="6">
        <f ca="1">$O$765*$AA$765</f>
        <v>75.843959999999996</v>
      </c>
    </row>
    <row r="766" spans="1:33" ht="11.25" customHeight="1" x14ac:dyDescent="0.3">
      <c r="A766" s="4" t="s">
        <v>21</v>
      </c>
      <c r="B766" s="4" t="s">
        <v>37</v>
      </c>
      <c r="C766" s="4" t="s">
        <v>33</v>
      </c>
      <c r="D766" s="4" t="s">
        <v>46</v>
      </c>
      <c r="E766" s="4" t="s">
        <v>25</v>
      </c>
      <c r="F766" s="4" t="s">
        <v>25</v>
      </c>
      <c r="G766" s="4" t="s">
        <v>25</v>
      </c>
      <c r="H766" s="4" t="s">
        <v>36</v>
      </c>
      <c r="I766" s="5">
        <v>44652</v>
      </c>
      <c r="J766" s="6">
        <v>0</v>
      </c>
      <c r="K766" s="6">
        <v>0</v>
      </c>
      <c r="L766" s="6">
        <v>0.377</v>
      </c>
      <c r="M766" s="6">
        <v>0.377</v>
      </c>
      <c r="N766" s="6">
        <v>0.377</v>
      </c>
      <c r="O766" s="6">
        <v>0.377</v>
      </c>
      <c r="P766" s="6">
        <v>0</v>
      </c>
      <c r="Q766" s="4" t="s">
        <v>26</v>
      </c>
      <c r="R766" s="4">
        <v>0</v>
      </c>
      <c r="S766" s="6">
        <v>0</v>
      </c>
      <c r="T766" s="6">
        <v>56</v>
      </c>
      <c r="U766" s="6">
        <v>97</v>
      </c>
      <c r="V766" s="6">
        <f>IF(ISERROR(VLOOKUP($S$766,'TAR FIN'!$A$1:$O$103,15,0)),0,VLOOKUP($S$766,'TAR FIN'!$A$1:$O$103,15,0))</f>
        <v>0</v>
      </c>
      <c r="W766" s="6">
        <f>IF(ISERROR(VLOOKUP($T$766,'TAR FIN'!$A$1:$O$103,15,0)),0,VLOOKUP($T$766,'TAR FIN'!$A$1:$O$103,15,0))</f>
        <v>669.59</v>
      </c>
      <c r="X766" s="6">
        <f>IF(ISERROR(VLOOKUP($U$766,'TAR FIN'!$A$1:$O$103,15,0)),0,VLOOKUP($U$766,'TAR FIN'!$A$1:$O$103,15,0))</f>
        <v>242.77</v>
      </c>
      <c r="Y766" s="6"/>
      <c r="Z766" s="6">
        <f ca="1">('TUSD BE'!$AM$58+'TUSD BF_350'!$AM$58+'TUSD CVA'!$AM$58)*1</f>
        <v>570.4</v>
      </c>
      <c r="AA766" s="6">
        <f ca="1">('TE BE'!$AB$39+'TE BF_350'!$AB$39+'TE CVA'!$AB$39)*1</f>
        <v>272.81999999999994</v>
      </c>
      <c r="AB766" s="6">
        <f>$K$766*$V$766</f>
        <v>0</v>
      </c>
      <c r="AC766" s="6">
        <f>$M$766*$W$766</f>
        <v>252.43543000000003</v>
      </c>
      <c r="AD766" s="6">
        <f>$O$766*$X$766</f>
        <v>91.524290000000008</v>
      </c>
      <c r="AE766" s="6">
        <f>$K$766*$Y$766</f>
        <v>0</v>
      </c>
      <c r="AF766" s="6">
        <f ca="1">$M$766*$Z$766</f>
        <v>215.04079999999999</v>
      </c>
      <c r="AG766" s="6">
        <f ca="1">$O$766*$AA$766</f>
        <v>102.85313999999998</v>
      </c>
    </row>
    <row r="767" spans="1:33" ht="11.25" customHeight="1" x14ac:dyDescent="0.3">
      <c r="A767" s="4" t="s">
        <v>21</v>
      </c>
      <c r="B767" s="4" t="s">
        <v>37</v>
      </c>
      <c r="C767" s="4" t="s">
        <v>33</v>
      </c>
      <c r="D767" s="4" t="s">
        <v>46</v>
      </c>
      <c r="E767" s="4" t="s">
        <v>25</v>
      </c>
      <c r="F767" s="4" t="s">
        <v>25</v>
      </c>
      <c r="G767" s="4" t="s">
        <v>25</v>
      </c>
      <c r="H767" s="4" t="s">
        <v>36</v>
      </c>
      <c r="I767" s="5">
        <v>44682</v>
      </c>
      <c r="J767" s="6">
        <v>0</v>
      </c>
      <c r="K767" s="6">
        <v>0</v>
      </c>
      <c r="L767" s="6">
        <v>0.307</v>
      </c>
      <c r="M767" s="6">
        <v>0.307</v>
      </c>
      <c r="N767" s="6">
        <v>0.307</v>
      </c>
      <c r="O767" s="6">
        <v>0.307</v>
      </c>
      <c r="P767" s="6">
        <v>0</v>
      </c>
      <c r="Q767" s="4" t="s">
        <v>26</v>
      </c>
      <c r="R767" s="4">
        <v>0</v>
      </c>
      <c r="S767" s="6">
        <v>0</v>
      </c>
      <c r="T767" s="6">
        <v>56</v>
      </c>
      <c r="U767" s="6">
        <v>97</v>
      </c>
      <c r="V767" s="6">
        <f>IF(ISERROR(VLOOKUP($S$767,'TAR FIN'!$A$1:$O$103,15,0)),0,VLOOKUP($S$767,'TAR FIN'!$A$1:$O$103,15,0))</f>
        <v>0</v>
      </c>
      <c r="W767" s="6">
        <f>IF(ISERROR(VLOOKUP($T$767,'TAR FIN'!$A$1:$O$103,15,0)),0,VLOOKUP($T$767,'TAR FIN'!$A$1:$O$103,15,0))</f>
        <v>669.59</v>
      </c>
      <c r="X767" s="6">
        <f>IF(ISERROR(VLOOKUP($U$767,'TAR FIN'!$A$1:$O$103,15,0)),0,VLOOKUP($U$767,'TAR FIN'!$A$1:$O$103,15,0))</f>
        <v>242.77</v>
      </c>
      <c r="Y767" s="6"/>
      <c r="Z767" s="6">
        <f ca="1">('TUSD BE'!$AM$58+'TUSD BF_350'!$AM$58+'TUSD CVA'!$AM$58)*1</f>
        <v>570.4</v>
      </c>
      <c r="AA767" s="6">
        <f ca="1">('TE BE'!$AB$39+'TE BF_350'!$AB$39+'TE CVA'!$AB$39)*1</f>
        <v>272.81999999999994</v>
      </c>
      <c r="AB767" s="6">
        <f>$K$767*$V$767</f>
        <v>0</v>
      </c>
      <c r="AC767" s="6">
        <f>$M$767*$W$767</f>
        <v>205.56413000000001</v>
      </c>
      <c r="AD767" s="6">
        <f>$O$767*$X$767</f>
        <v>74.530389999999997</v>
      </c>
      <c r="AE767" s="6">
        <f>$K$767*$Y$767</f>
        <v>0</v>
      </c>
      <c r="AF767" s="6">
        <f ca="1">$M$767*$Z$767</f>
        <v>175.11279999999999</v>
      </c>
      <c r="AG767" s="6">
        <f ca="1">$O$767*$AA$767</f>
        <v>83.755739999999975</v>
      </c>
    </row>
    <row r="768" spans="1:33" ht="11.25" customHeight="1" x14ac:dyDescent="0.3">
      <c r="A768" s="4" t="s">
        <v>21</v>
      </c>
      <c r="B768" s="4" t="s">
        <v>37</v>
      </c>
      <c r="C768" s="4" t="s">
        <v>33</v>
      </c>
      <c r="D768" s="4" t="s">
        <v>46</v>
      </c>
      <c r="E768" s="4" t="s">
        <v>25</v>
      </c>
      <c r="F768" s="4" t="s">
        <v>25</v>
      </c>
      <c r="G768" s="4" t="s">
        <v>25</v>
      </c>
      <c r="H768" s="4" t="s">
        <v>36</v>
      </c>
      <c r="I768" s="5">
        <v>44713</v>
      </c>
      <c r="J768" s="6">
        <v>0</v>
      </c>
      <c r="K768" s="6">
        <v>0</v>
      </c>
      <c r="L768" s="6">
        <v>0.23899999999999999</v>
      </c>
      <c r="M768" s="6">
        <v>0.23899999999999999</v>
      </c>
      <c r="N768" s="6">
        <v>0.23899999999999999</v>
      </c>
      <c r="O768" s="6">
        <v>0.23899999999999999</v>
      </c>
      <c r="P768" s="6">
        <v>0</v>
      </c>
      <c r="Q768" s="4" t="s">
        <v>26</v>
      </c>
      <c r="R768" s="4">
        <v>0</v>
      </c>
      <c r="S768" s="6">
        <v>0</v>
      </c>
      <c r="T768" s="6">
        <v>56</v>
      </c>
      <c r="U768" s="6">
        <v>97</v>
      </c>
      <c r="V768" s="6">
        <f>IF(ISERROR(VLOOKUP($S$768,'TAR FIN'!$A$1:$O$103,15,0)),0,VLOOKUP($S$768,'TAR FIN'!$A$1:$O$103,15,0))</f>
        <v>0</v>
      </c>
      <c r="W768" s="6">
        <f>IF(ISERROR(VLOOKUP($T$768,'TAR FIN'!$A$1:$O$103,15,0)),0,VLOOKUP($T$768,'TAR FIN'!$A$1:$O$103,15,0))</f>
        <v>669.59</v>
      </c>
      <c r="X768" s="6">
        <f>IF(ISERROR(VLOOKUP($U$768,'TAR FIN'!$A$1:$O$103,15,0)),0,VLOOKUP($U$768,'TAR FIN'!$A$1:$O$103,15,0))</f>
        <v>242.77</v>
      </c>
      <c r="Y768" s="6"/>
      <c r="Z768" s="6">
        <f ca="1">('TUSD BE'!$AM$58+'TUSD BF_350'!$AM$58+'TUSD CVA'!$AM$58)*1</f>
        <v>570.4</v>
      </c>
      <c r="AA768" s="6">
        <f ca="1">('TE BE'!$AB$39+'TE BF_350'!$AB$39+'TE CVA'!$AB$39)*1</f>
        <v>272.81999999999994</v>
      </c>
      <c r="AB768" s="6">
        <f>$K$768*$V$768</f>
        <v>0</v>
      </c>
      <c r="AC768" s="6">
        <f>$M$768*$W$768</f>
        <v>160.03201000000001</v>
      </c>
      <c r="AD768" s="6">
        <f>$O$768*$X$768</f>
        <v>58.022030000000001</v>
      </c>
      <c r="AE768" s="6">
        <f>$K$768*$Y$768</f>
        <v>0</v>
      </c>
      <c r="AF768" s="6">
        <f ca="1">$M$768*$Z$768</f>
        <v>136.32559999999998</v>
      </c>
      <c r="AG768" s="6">
        <f ca="1">$O$768*$AA$768</f>
        <v>65.203979999999987</v>
      </c>
    </row>
    <row r="769" spans="1:33" ht="11.25" customHeight="1" x14ac:dyDescent="0.3">
      <c r="A769" s="4" t="s">
        <v>21</v>
      </c>
      <c r="B769" s="4" t="s">
        <v>37</v>
      </c>
      <c r="C769" s="4" t="s">
        <v>33</v>
      </c>
      <c r="D769" s="4" t="s">
        <v>46</v>
      </c>
      <c r="E769" s="4" t="s">
        <v>25</v>
      </c>
      <c r="F769" s="4" t="s">
        <v>25</v>
      </c>
      <c r="G769" s="4" t="s">
        <v>25</v>
      </c>
      <c r="H769" s="4" t="s">
        <v>36</v>
      </c>
      <c r="I769" s="5">
        <v>44743</v>
      </c>
      <c r="J769" s="6">
        <v>0</v>
      </c>
      <c r="K769" s="6">
        <v>0</v>
      </c>
      <c r="L769" s="6">
        <v>0.26900000000000002</v>
      </c>
      <c r="M769" s="6">
        <v>0.26900000000000002</v>
      </c>
      <c r="N769" s="6">
        <v>0.26900000000000002</v>
      </c>
      <c r="O769" s="6">
        <v>0.26900000000000002</v>
      </c>
      <c r="P769" s="6">
        <v>0</v>
      </c>
      <c r="Q769" s="4" t="s">
        <v>26</v>
      </c>
      <c r="R769" s="4">
        <v>0</v>
      </c>
      <c r="S769" s="6">
        <v>0</v>
      </c>
      <c r="T769" s="6">
        <v>56</v>
      </c>
      <c r="U769" s="6">
        <v>97</v>
      </c>
      <c r="V769" s="6">
        <f>IF(ISERROR(VLOOKUP($S$769,'TAR FIN'!$A$1:$O$103,15,0)),0,VLOOKUP($S$769,'TAR FIN'!$A$1:$O$103,15,0))</f>
        <v>0</v>
      </c>
      <c r="W769" s="6">
        <f>IF(ISERROR(VLOOKUP($T$769,'TAR FIN'!$A$1:$O$103,15,0)),0,VLOOKUP($T$769,'TAR FIN'!$A$1:$O$103,15,0))</f>
        <v>669.59</v>
      </c>
      <c r="X769" s="6">
        <f>IF(ISERROR(VLOOKUP($U$769,'TAR FIN'!$A$1:$O$103,15,0)),0,VLOOKUP($U$769,'TAR FIN'!$A$1:$O$103,15,0))</f>
        <v>242.77</v>
      </c>
      <c r="Y769" s="6"/>
      <c r="Z769" s="6">
        <f ca="1">('TUSD BE'!$AM$58+'TUSD BF_350'!$AM$58+'TUSD CVA'!$AM$58)*1</f>
        <v>570.4</v>
      </c>
      <c r="AA769" s="6">
        <f ca="1">('TE BE'!$AB$39+'TE BF_350'!$AB$39+'TE CVA'!$AB$39)*1</f>
        <v>272.81999999999994</v>
      </c>
      <c r="AB769" s="6">
        <f>$K$769*$V$769</f>
        <v>0</v>
      </c>
      <c r="AC769" s="6">
        <f>$M$769*$W$769</f>
        <v>180.11971000000003</v>
      </c>
      <c r="AD769" s="6">
        <f>$O$769*$X$769</f>
        <v>65.305130000000005</v>
      </c>
      <c r="AE769" s="6">
        <f>$K$769*$Y$769</f>
        <v>0</v>
      </c>
      <c r="AF769" s="6">
        <f ca="1">$M$769*$Z$769</f>
        <v>153.4376</v>
      </c>
      <c r="AG769" s="6">
        <f ca="1">$O$769*$AA$769</f>
        <v>73.38857999999999</v>
      </c>
    </row>
    <row r="770" spans="1:33" ht="11.25" customHeight="1" x14ac:dyDescent="0.3">
      <c r="A770" s="4" t="s">
        <v>21</v>
      </c>
      <c r="B770" s="4" t="s">
        <v>37</v>
      </c>
      <c r="C770" s="4" t="s">
        <v>33</v>
      </c>
      <c r="D770" s="4" t="s">
        <v>46</v>
      </c>
      <c r="E770" s="4" t="s">
        <v>25</v>
      </c>
      <c r="F770" s="4" t="s">
        <v>25</v>
      </c>
      <c r="G770" s="4" t="s">
        <v>25</v>
      </c>
      <c r="H770" s="4" t="s">
        <v>36</v>
      </c>
      <c r="I770" s="5">
        <v>44774</v>
      </c>
      <c r="J770" s="6">
        <v>0</v>
      </c>
      <c r="K770" s="6">
        <v>0</v>
      </c>
      <c r="L770" s="6">
        <v>0.26500000000000001</v>
      </c>
      <c r="M770" s="6">
        <v>0.26500000000000001</v>
      </c>
      <c r="N770" s="6">
        <v>0.26500000000000001</v>
      </c>
      <c r="O770" s="6">
        <v>0.26500000000000001</v>
      </c>
      <c r="P770" s="6">
        <v>0</v>
      </c>
      <c r="Q770" s="4" t="s">
        <v>26</v>
      </c>
      <c r="R770" s="4">
        <v>0</v>
      </c>
      <c r="S770" s="6">
        <v>0</v>
      </c>
      <c r="T770" s="6">
        <v>56</v>
      </c>
      <c r="U770" s="6">
        <v>97</v>
      </c>
      <c r="V770" s="6">
        <f>IF(ISERROR(VLOOKUP($S$770,'TAR FIN'!$A$1:$O$103,15,0)),0,VLOOKUP($S$770,'TAR FIN'!$A$1:$O$103,15,0))</f>
        <v>0</v>
      </c>
      <c r="W770" s="6">
        <f>IF(ISERROR(VLOOKUP($T$770,'TAR FIN'!$A$1:$O$103,15,0)),0,VLOOKUP($T$770,'TAR FIN'!$A$1:$O$103,15,0))</f>
        <v>669.59</v>
      </c>
      <c r="X770" s="6">
        <f>IF(ISERROR(VLOOKUP($U$770,'TAR FIN'!$A$1:$O$103,15,0)),0,VLOOKUP($U$770,'TAR FIN'!$A$1:$O$103,15,0))</f>
        <v>242.77</v>
      </c>
      <c r="Y770" s="6"/>
      <c r="Z770" s="6">
        <f ca="1">('TUSD BE'!$AM$58+'TUSD BF_350'!$AM$58+'TUSD CVA'!$AM$58)*1</f>
        <v>570.4</v>
      </c>
      <c r="AA770" s="6">
        <f ca="1">('TE BE'!$AB$39+'TE BF_350'!$AB$39+'TE CVA'!$AB$39)*1</f>
        <v>272.81999999999994</v>
      </c>
      <c r="AB770" s="6">
        <f>$K$770*$V$770</f>
        <v>0</v>
      </c>
      <c r="AC770" s="6">
        <f>$M$770*$W$770</f>
        <v>177.44135000000003</v>
      </c>
      <c r="AD770" s="6">
        <f>$O$770*$X$770</f>
        <v>64.334050000000005</v>
      </c>
      <c r="AE770" s="6">
        <f>$K$770*$Y$770</f>
        <v>0</v>
      </c>
      <c r="AF770" s="6">
        <f ca="1">$M$770*$Z$770</f>
        <v>151.15600000000001</v>
      </c>
      <c r="AG770" s="6">
        <f ca="1">$O$770*$AA$770</f>
        <v>72.297299999999993</v>
      </c>
    </row>
    <row r="771" spans="1:33" ht="11.25" customHeight="1" x14ac:dyDescent="0.3">
      <c r="A771" s="4" t="s">
        <v>21</v>
      </c>
      <c r="B771" s="4" t="s">
        <v>37</v>
      </c>
      <c r="C771" s="4" t="s">
        <v>33</v>
      </c>
      <c r="D771" s="4" t="s">
        <v>46</v>
      </c>
      <c r="E771" s="4" t="s">
        <v>25</v>
      </c>
      <c r="F771" s="4" t="s">
        <v>25</v>
      </c>
      <c r="G771" s="4" t="s">
        <v>25</v>
      </c>
      <c r="H771" s="4" t="s">
        <v>36</v>
      </c>
      <c r="I771" s="5">
        <v>44805</v>
      </c>
      <c r="J771" s="6">
        <v>0</v>
      </c>
      <c r="K771" s="6">
        <v>0</v>
      </c>
      <c r="L771" s="6">
        <v>0.27700000000000002</v>
      </c>
      <c r="M771" s="6">
        <v>0.27700000000000002</v>
      </c>
      <c r="N771" s="6">
        <v>0.27700000000000002</v>
      </c>
      <c r="O771" s="6">
        <v>0.27700000000000002</v>
      </c>
      <c r="P771" s="6">
        <v>0</v>
      </c>
      <c r="Q771" s="4" t="s">
        <v>26</v>
      </c>
      <c r="R771" s="4">
        <v>0</v>
      </c>
      <c r="S771" s="6">
        <v>0</v>
      </c>
      <c r="T771" s="6">
        <v>56</v>
      </c>
      <c r="U771" s="6">
        <v>97</v>
      </c>
      <c r="V771" s="6">
        <f>IF(ISERROR(VLOOKUP($S$771,'TAR FIN'!$A$1:$O$103,15,0)),0,VLOOKUP($S$771,'TAR FIN'!$A$1:$O$103,15,0))</f>
        <v>0</v>
      </c>
      <c r="W771" s="6">
        <f>IF(ISERROR(VLOOKUP($T$771,'TAR FIN'!$A$1:$O$103,15,0)),0,VLOOKUP($T$771,'TAR FIN'!$A$1:$O$103,15,0))</f>
        <v>669.59</v>
      </c>
      <c r="X771" s="6">
        <f>IF(ISERROR(VLOOKUP($U$771,'TAR FIN'!$A$1:$O$103,15,0)),0,VLOOKUP($U$771,'TAR FIN'!$A$1:$O$103,15,0))</f>
        <v>242.77</v>
      </c>
      <c r="Y771" s="6"/>
      <c r="Z771" s="6">
        <f ca="1">('TUSD BE'!$AM$58+'TUSD BF_350'!$AM$58+'TUSD CVA'!$AM$58)*1</f>
        <v>570.4</v>
      </c>
      <c r="AA771" s="6">
        <f ca="1">('TE BE'!$AB$39+'TE BF_350'!$AB$39+'TE CVA'!$AB$39)*1</f>
        <v>272.81999999999994</v>
      </c>
      <c r="AB771" s="6">
        <f>$K$771*$V$771</f>
        <v>0</v>
      </c>
      <c r="AC771" s="6">
        <f>$M$771*$W$771</f>
        <v>185.47643000000002</v>
      </c>
      <c r="AD771" s="6">
        <f>$O$771*$X$771</f>
        <v>67.247290000000007</v>
      </c>
      <c r="AE771" s="6">
        <f>$K$771*$Y$771</f>
        <v>0</v>
      </c>
      <c r="AF771" s="6">
        <f ca="1">$M$771*$Z$771</f>
        <v>158.0008</v>
      </c>
      <c r="AG771" s="6">
        <f ca="1">$O$771*$AA$771</f>
        <v>75.571139999999986</v>
      </c>
    </row>
    <row r="772" spans="1:33" ht="11.25" customHeight="1" x14ac:dyDescent="0.3">
      <c r="A772" s="4" t="s">
        <v>57</v>
      </c>
      <c r="B772" s="4" t="s">
        <v>37</v>
      </c>
      <c r="C772" s="4" t="s">
        <v>33</v>
      </c>
      <c r="D772" s="4" t="s">
        <v>46</v>
      </c>
      <c r="E772" s="4" t="s">
        <v>25</v>
      </c>
      <c r="F772" s="4" t="s">
        <v>25</v>
      </c>
      <c r="G772" s="4" t="s">
        <v>25</v>
      </c>
      <c r="H772" s="4" t="s">
        <v>36</v>
      </c>
      <c r="I772" s="5">
        <v>44835</v>
      </c>
      <c r="J772" s="6">
        <v>0</v>
      </c>
      <c r="K772" s="6">
        <v>0</v>
      </c>
      <c r="L772" s="6">
        <v>0.27700000000000002</v>
      </c>
      <c r="M772" s="6">
        <v>0.27700000000000002</v>
      </c>
      <c r="N772" s="6">
        <v>0.27700000000000002</v>
      </c>
      <c r="O772" s="6">
        <v>0.27700000000000002</v>
      </c>
      <c r="P772" s="6">
        <v>0</v>
      </c>
      <c r="Q772" s="4" t="s">
        <v>26</v>
      </c>
      <c r="R772" s="4">
        <v>0</v>
      </c>
      <c r="S772" s="6">
        <v>0</v>
      </c>
      <c r="T772" s="6">
        <v>56</v>
      </c>
      <c r="U772" s="6">
        <v>97</v>
      </c>
      <c r="V772" s="6">
        <f>IF(ISERROR(VLOOKUP($S$772,'TAR FIN'!$A$1:$O$103,15,0)),0,VLOOKUP($S$772,'TAR FIN'!$A$1:$O$103,15,0))</f>
        <v>0</v>
      </c>
      <c r="W772" s="6">
        <f>IF(ISERROR(VLOOKUP($T$772,'TAR FIN'!$A$1:$O$103,15,0)),0,VLOOKUP($T$772,'TAR FIN'!$A$1:$O$103,15,0))</f>
        <v>669.59</v>
      </c>
      <c r="X772" s="6">
        <f>IF(ISERROR(VLOOKUP($U$772,'TAR FIN'!$A$1:$O$103,15,0)),0,VLOOKUP($U$772,'TAR FIN'!$A$1:$O$103,15,0))</f>
        <v>242.77</v>
      </c>
      <c r="Y772" s="6"/>
      <c r="Z772" s="6">
        <f ca="1">('TUSD BE'!$AM$58+'TUSD BF_350'!$AM$58+'TUSD CVA'!$AM$58)*1</f>
        <v>570.4</v>
      </c>
      <c r="AA772" s="6">
        <f ca="1">('TE BE'!$AB$39+'TE BF_350'!$AB$39+'TE CVA'!$AB$39)*1</f>
        <v>272.81999999999994</v>
      </c>
      <c r="AB772" s="6">
        <f>$K$772*$V$772</f>
        <v>0</v>
      </c>
      <c r="AC772" s="6">
        <f>$M$772*$W$772</f>
        <v>185.47643000000002</v>
      </c>
      <c r="AD772" s="6">
        <f>$O$772*$X$772</f>
        <v>67.247290000000007</v>
      </c>
      <c r="AE772" s="6">
        <f>$K$772*$Y$772</f>
        <v>0</v>
      </c>
      <c r="AF772" s="6">
        <f ca="1">$M$772*$Z$772</f>
        <v>158.0008</v>
      </c>
      <c r="AG772" s="6">
        <f ca="1">$O$772*$AA$772</f>
        <v>75.571139999999986</v>
      </c>
    </row>
    <row r="773" spans="1:33" ht="11.25" customHeight="1" x14ac:dyDescent="0.3">
      <c r="A773" s="4" t="s">
        <v>21</v>
      </c>
      <c r="B773" s="4" t="s">
        <v>37</v>
      </c>
      <c r="C773" s="4" t="s">
        <v>33</v>
      </c>
      <c r="D773" s="4" t="s">
        <v>46</v>
      </c>
      <c r="E773" s="4" t="s">
        <v>25</v>
      </c>
      <c r="F773" s="4" t="s">
        <v>25</v>
      </c>
      <c r="G773" s="4" t="s">
        <v>25</v>
      </c>
      <c r="H773" s="4" t="s">
        <v>34</v>
      </c>
      <c r="I773" s="5">
        <v>44501</v>
      </c>
      <c r="J773" s="6">
        <v>0</v>
      </c>
      <c r="K773" s="6">
        <v>0</v>
      </c>
      <c r="L773" s="6">
        <v>0.21099999999999999</v>
      </c>
      <c r="M773" s="6">
        <v>0.21099999999999999</v>
      </c>
      <c r="N773" s="6">
        <v>0.21099999999999999</v>
      </c>
      <c r="O773" s="6">
        <v>0.21099999999999999</v>
      </c>
      <c r="P773" s="6">
        <v>0</v>
      </c>
      <c r="Q773" s="4" t="s">
        <v>26</v>
      </c>
      <c r="R773" s="4">
        <v>0</v>
      </c>
      <c r="S773" s="6">
        <v>0</v>
      </c>
      <c r="T773" s="6">
        <v>55</v>
      </c>
      <c r="U773" s="6">
        <v>96</v>
      </c>
      <c r="V773" s="6">
        <f>IF(ISERROR(VLOOKUP($S$773,'TAR FIN'!$A$1:$O$103,15,0)),0,VLOOKUP($S$773,'TAR FIN'!$A$1:$O$103,15,0))</f>
        <v>0</v>
      </c>
      <c r="W773" s="6">
        <f>IF(ISERROR(VLOOKUP($T$773,'TAR FIN'!$A$1:$O$103,15,0)),0,VLOOKUP($T$773,'TAR FIN'!$A$1:$O$103,15,0))</f>
        <v>1043.57</v>
      </c>
      <c r="X773" s="6">
        <f>IF(ISERROR(VLOOKUP($U$773,'TAR FIN'!$A$1:$O$103,15,0)),0,VLOOKUP($U$773,'TAR FIN'!$A$1:$O$103,15,0))</f>
        <v>391.54</v>
      </c>
      <c r="Y773" s="6"/>
      <c r="Z773" s="6">
        <f ca="1">('TUSD BE'!$AM$57+'TUSD BF_350'!$AM$57+'TUSD CVA'!$AM$57)*1</f>
        <v>829.05</v>
      </c>
      <c r="AA773" s="6">
        <f ca="1">('TE BE'!$AB$38+'TE BF_350'!$AB$38+'TE CVA'!$AB$38)*1</f>
        <v>437.01</v>
      </c>
      <c r="AB773" s="6">
        <f>$K$773*$V$773</f>
        <v>0</v>
      </c>
      <c r="AC773" s="6">
        <f>$M$773*$W$773</f>
        <v>220.19326999999998</v>
      </c>
      <c r="AD773" s="6">
        <f>$O$773*$X$773</f>
        <v>82.614940000000004</v>
      </c>
      <c r="AE773" s="6">
        <f>$K$773*$Y$773</f>
        <v>0</v>
      </c>
      <c r="AF773" s="6">
        <f ca="1">$M$773*$Z$773</f>
        <v>174.92954999999998</v>
      </c>
      <c r="AG773" s="6">
        <f ca="1">$O$773*$AA$773</f>
        <v>92.209109999999995</v>
      </c>
    </row>
    <row r="774" spans="1:33" ht="11.25" customHeight="1" x14ac:dyDescent="0.3">
      <c r="A774" s="4" t="s">
        <v>21</v>
      </c>
      <c r="B774" s="4" t="s">
        <v>37</v>
      </c>
      <c r="C774" s="4" t="s">
        <v>33</v>
      </c>
      <c r="D774" s="4" t="s">
        <v>46</v>
      </c>
      <c r="E774" s="4" t="s">
        <v>25</v>
      </c>
      <c r="F774" s="4" t="s">
        <v>25</v>
      </c>
      <c r="G774" s="4" t="s">
        <v>25</v>
      </c>
      <c r="H774" s="4" t="s">
        <v>34</v>
      </c>
      <c r="I774" s="5">
        <v>44531</v>
      </c>
      <c r="J774" s="6">
        <v>0</v>
      </c>
      <c r="K774" s="6">
        <v>0</v>
      </c>
      <c r="L774" s="6">
        <v>0.2</v>
      </c>
      <c r="M774" s="6">
        <v>0.2</v>
      </c>
      <c r="N774" s="6">
        <v>0.2</v>
      </c>
      <c r="O774" s="6">
        <v>0.2</v>
      </c>
      <c r="P774" s="6">
        <v>0</v>
      </c>
      <c r="Q774" s="4" t="s">
        <v>26</v>
      </c>
      <c r="R774" s="4">
        <v>0</v>
      </c>
      <c r="S774" s="6">
        <v>0</v>
      </c>
      <c r="T774" s="6">
        <v>55</v>
      </c>
      <c r="U774" s="6">
        <v>96</v>
      </c>
      <c r="V774" s="6">
        <f>IF(ISERROR(VLOOKUP($S$774,'TAR FIN'!$A$1:$O$103,15,0)),0,VLOOKUP($S$774,'TAR FIN'!$A$1:$O$103,15,0))</f>
        <v>0</v>
      </c>
      <c r="W774" s="6">
        <f>IF(ISERROR(VLOOKUP($T$774,'TAR FIN'!$A$1:$O$103,15,0)),0,VLOOKUP($T$774,'TAR FIN'!$A$1:$O$103,15,0))</f>
        <v>1043.57</v>
      </c>
      <c r="X774" s="6">
        <f>IF(ISERROR(VLOOKUP($U$774,'TAR FIN'!$A$1:$O$103,15,0)),0,VLOOKUP($U$774,'TAR FIN'!$A$1:$O$103,15,0))</f>
        <v>391.54</v>
      </c>
      <c r="Y774" s="6"/>
      <c r="Z774" s="6">
        <f ca="1">('TUSD BE'!$AM$57+'TUSD BF_350'!$AM$57+'TUSD CVA'!$AM$57)*1</f>
        <v>829.05</v>
      </c>
      <c r="AA774" s="6">
        <f ca="1">('TE BE'!$AB$38+'TE BF_350'!$AB$38+'TE CVA'!$AB$38)*1</f>
        <v>437.01</v>
      </c>
      <c r="AB774" s="6">
        <f>$K$774*$V$774</f>
        <v>0</v>
      </c>
      <c r="AC774" s="6">
        <f>$M$774*$W$774</f>
        <v>208.714</v>
      </c>
      <c r="AD774" s="6">
        <f>$O$774*$X$774</f>
        <v>78.308000000000007</v>
      </c>
      <c r="AE774" s="6">
        <f>$K$774*$Y$774</f>
        <v>0</v>
      </c>
      <c r="AF774" s="6">
        <f ca="1">$M$774*$Z$774</f>
        <v>165.81</v>
      </c>
      <c r="AG774" s="6">
        <f ca="1">$O$774*$AA$774</f>
        <v>87.402000000000001</v>
      </c>
    </row>
    <row r="775" spans="1:33" ht="11.25" customHeight="1" x14ac:dyDescent="0.3">
      <c r="A775" s="4" t="s">
        <v>21</v>
      </c>
      <c r="B775" s="4" t="s">
        <v>37</v>
      </c>
      <c r="C775" s="4" t="s">
        <v>33</v>
      </c>
      <c r="D775" s="4" t="s">
        <v>46</v>
      </c>
      <c r="E775" s="4" t="s">
        <v>25</v>
      </c>
      <c r="F775" s="4" t="s">
        <v>25</v>
      </c>
      <c r="G775" s="4" t="s">
        <v>25</v>
      </c>
      <c r="H775" s="4" t="s">
        <v>34</v>
      </c>
      <c r="I775" s="5">
        <v>44562</v>
      </c>
      <c r="J775" s="6">
        <v>0</v>
      </c>
      <c r="K775" s="6">
        <v>0</v>
      </c>
      <c r="L775" s="6">
        <v>0.21299999999999999</v>
      </c>
      <c r="M775" s="6">
        <v>0.21299999999999999</v>
      </c>
      <c r="N775" s="6">
        <v>0.21299999999999999</v>
      </c>
      <c r="O775" s="6">
        <v>0.21299999999999999</v>
      </c>
      <c r="P775" s="6">
        <v>0</v>
      </c>
      <c r="Q775" s="4" t="s">
        <v>26</v>
      </c>
      <c r="R775" s="4">
        <v>0</v>
      </c>
      <c r="S775" s="6">
        <v>0</v>
      </c>
      <c r="T775" s="6">
        <v>55</v>
      </c>
      <c r="U775" s="6">
        <v>96</v>
      </c>
      <c r="V775" s="6">
        <f>IF(ISERROR(VLOOKUP($S$775,'TAR FIN'!$A$1:$O$103,15,0)),0,VLOOKUP($S$775,'TAR FIN'!$A$1:$O$103,15,0))</f>
        <v>0</v>
      </c>
      <c r="W775" s="6">
        <f>IF(ISERROR(VLOOKUP($T$775,'TAR FIN'!$A$1:$O$103,15,0)),0,VLOOKUP($T$775,'TAR FIN'!$A$1:$O$103,15,0))</f>
        <v>1043.57</v>
      </c>
      <c r="X775" s="6">
        <f>IF(ISERROR(VLOOKUP($U$775,'TAR FIN'!$A$1:$O$103,15,0)),0,VLOOKUP($U$775,'TAR FIN'!$A$1:$O$103,15,0))</f>
        <v>391.54</v>
      </c>
      <c r="Y775" s="6"/>
      <c r="Z775" s="6">
        <f ca="1">('TUSD BE'!$AM$57+'TUSD BF_350'!$AM$57+'TUSD CVA'!$AM$57)*1</f>
        <v>829.05</v>
      </c>
      <c r="AA775" s="6">
        <f ca="1">('TE BE'!$AB$38+'TE BF_350'!$AB$38+'TE CVA'!$AB$38)*1</f>
        <v>437.01</v>
      </c>
      <c r="AB775" s="6">
        <f>$K$775*$V$775</f>
        <v>0</v>
      </c>
      <c r="AC775" s="6">
        <f>$M$775*$W$775</f>
        <v>222.28040999999999</v>
      </c>
      <c r="AD775" s="6">
        <f>$O$775*$X$775</f>
        <v>83.398020000000002</v>
      </c>
      <c r="AE775" s="6">
        <f>$K$775*$Y$775</f>
        <v>0</v>
      </c>
      <c r="AF775" s="6">
        <f ca="1">$M$775*$Z$775</f>
        <v>176.58765</v>
      </c>
      <c r="AG775" s="6">
        <f ca="1">$O$775*$AA$775</f>
        <v>93.083129999999997</v>
      </c>
    </row>
    <row r="776" spans="1:33" ht="11.25" customHeight="1" x14ac:dyDescent="0.3">
      <c r="A776" s="4" t="s">
        <v>21</v>
      </c>
      <c r="B776" s="4" t="s">
        <v>37</v>
      </c>
      <c r="C776" s="4" t="s">
        <v>33</v>
      </c>
      <c r="D776" s="4" t="s">
        <v>46</v>
      </c>
      <c r="E776" s="4" t="s">
        <v>25</v>
      </c>
      <c r="F776" s="4" t="s">
        <v>25</v>
      </c>
      <c r="G776" s="4" t="s">
        <v>25</v>
      </c>
      <c r="H776" s="4" t="s">
        <v>34</v>
      </c>
      <c r="I776" s="5">
        <v>44593</v>
      </c>
      <c r="J776" s="6">
        <v>0</v>
      </c>
      <c r="K776" s="6">
        <v>0</v>
      </c>
      <c r="L776" s="6">
        <v>0.28000000000000003</v>
      </c>
      <c r="M776" s="6">
        <v>0.28000000000000003</v>
      </c>
      <c r="N776" s="6">
        <v>0.28000000000000003</v>
      </c>
      <c r="O776" s="6">
        <v>0.28000000000000003</v>
      </c>
      <c r="P776" s="6">
        <v>0</v>
      </c>
      <c r="Q776" s="4" t="s">
        <v>26</v>
      </c>
      <c r="R776" s="4">
        <v>0</v>
      </c>
      <c r="S776" s="6">
        <v>0</v>
      </c>
      <c r="T776" s="6">
        <v>55</v>
      </c>
      <c r="U776" s="6">
        <v>96</v>
      </c>
      <c r="V776" s="6">
        <f>IF(ISERROR(VLOOKUP($S$776,'TAR FIN'!$A$1:$O$103,15,0)),0,VLOOKUP($S$776,'TAR FIN'!$A$1:$O$103,15,0))</f>
        <v>0</v>
      </c>
      <c r="W776" s="6">
        <f>IF(ISERROR(VLOOKUP($T$776,'TAR FIN'!$A$1:$O$103,15,0)),0,VLOOKUP($T$776,'TAR FIN'!$A$1:$O$103,15,0))</f>
        <v>1043.57</v>
      </c>
      <c r="X776" s="6">
        <f>IF(ISERROR(VLOOKUP($U$776,'TAR FIN'!$A$1:$O$103,15,0)),0,VLOOKUP($U$776,'TAR FIN'!$A$1:$O$103,15,0))</f>
        <v>391.54</v>
      </c>
      <c r="Y776" s="6"/>
      <c r="Z776" s="6">
        <f ca="1">('TUSD BE'!$AM$57+'TUSD BF_350'!$AM$57+'TUSD CVA'!$AM$57)*1</f>
        <v>829.05</v>
      </c>
      <c r="AA776" s="6">
        <f ca="1">('TE BE'!$AB$38+'TE BF_350'!$AB$38+'TE CVA'!$AB$38)*1</f>
        <v>437.01</v>
      </c>
      <c r="AB776" s="6">
        <f>$K$776*$V$776</f>
        <v>0</v>
      </c>
      <c r="AC776" s="6">
        <f>$M$776*$W$776</f>
        <v>292.19960000000003</v>
      </c>
      <c r="AD776" s="6">
        <f>$O$776*$X$776</f>
        <v>109.63120000000002</v>
      </c>
      <c r="AE776" s="6">
        <f>$K$776*$Y$776</f>
        <v>0</v>
      </c>
      <c r="AF776" s="6">
        <f ca="1">$M$776*$Z$776</f>
        <v>232.13400000000001</v>
      </c>
      <c r="AG776" s="6">
        <f ca="1">$O$776*$AA$776</f>
        <v>122.36280000000001</v>
      </c>
    </row>
    <row r="777" spans="1:33" ht="11.25" customHeight="1" x14ac:dyDescent="0.3">
      <c r="A777" s="4" t="s">
        <v>21</v>
      </c>
      <c r="B777" s="4" t="s">
        <v>37</v>
      </c>
      <c r="C777" s="4" t="s">
        <v>33</v>
      </c>
      <c r="D777" s="4" t="s">
        <v>46</v>
      </c>
      <c r="E777" s="4" t="s">
        <v>25</v>
      </c>
      <c r="F777" s="4" t="s">
        <v>25</v>
      </c>
      <c r="G777" s="4" t="s">
        <v>25</v>
      </c>
      <c r="H777" s="4" t="s">
        <v>34</v>
      </c>
      <c r="I777" s="5">
        <v>44621</v>
      </c>
      <c r="J777" s="6">
        <v>0</v>
      </c>
      <c r="K777" s="6">
        <v>0</v>
      </c>
      <c r="L777" s="6">
        <v>0.17699999999999999</v>
      </c>
      <c r="M777" s="6">
        <v>0.17699999999999999</v>
      </c>
      <c r="N777" s="6">
        <v>0.17699999999999999</v>
      </c>
      <c r="O777" s="6">
        <v>0.17699999999999999</v>
      </c>
      <c r="P777" s="6">
        <v>0</v>
      </c>
      <c r="Q777" s="4" t="s">
        <v>26</v>
      </c>
      <c r="R777" s="4">
        <v>0</v>
      </c>
      <c r="S777" s="6">
        <v>0</v>
      </c>
      <c r="T777" s="6">
        <v>55</v>
      </c>
      <c r="U777" s="6">
        <v>96</v>
      </c>
      <c r="V777" s="6">
        <f>IF(ISERROR(VLOOKUP($S$777,'TAR FIN'!$A$1:$O$103,15,0)),0,VLOOKUP($S$777,'TAR FIN'!$A$1:$O$103,15,0))</f>
        <v>0</v>
      </c>
      <c r="W777" s="6">
        <f>IF(ISERROR(VLOOKUP($T$777,'TAR FIN'!$A$1:$O$103,15,0)),0,VLOOKUP($T$777,'TAR FIN'!$A$1:$O$103,15,0))</f>
        <v>1043.57</v>
      </c>
      <c r="X777" s="6">
        <f>IF(ISERROR(VLOOKUP($U$777,'TAR FIN'!$A$1:$O$103,15,0)),0,VLOOKUP($U$777,'TAR FIN'!$A$1:$O$103,15,0))</f>
        <v>391.54</v>
      </c>
      <c r="Y777" s="6"/>
      <c r="Z777" s="6">
        <f ca="1">('TUSD BE'!$AM$57+'TUSD BF_350'!$AM$57+'TUSD CVA'!$AM$57)*1</f>
        <v>829.05</v>
      </c>
      <c r="AA777" s="6">
        <f ca="1">('TE BE'!$AB$38+'TE BF_350'!$AB$38+'TE CVA'!$AB$38)*1</f>
        <v>437.01</v>
      </c>
      <c r="AB777" s="6">
        <f>$K$777*$V$777</f>
        <v>0</v>
      </c>
      <c r="AC777" s="6">
        <f>$M$777*$W$777</f>
        <v>184.71188999999998</v>
      </c>
      <c r="AD777" s="6">
        <f>$O$777*$X$777</f>
        <v>69.302580000000006</v>
      </c>
      <c r="AE777" s="6">
        <f>$K$777*$Y$777</f>
        <v>0</v>
      </c>
      <c r="AF777" s="6">
        <f ca="1">$M$777*$Z$777</f>
        <v>146.74184999999997</v>
      </c>
      <c r="AG777" s="6">
        <f ca="1">$O$777*$AA$777</f>
        <v>77.350769999999997</v>
      </c>
    </row>
    <row r="778" spans="1:33" ht="11.25" customHeight="1" x14ac:dyDescent="0.3">
      <c r="A778" s="4" t="s">
        <v>21</v>
      </c>
      <c r="B778" s="4" t="s">
        <v>37</v>
      </c>
      <c r="C778" s="4" t="s">
        <v>33</v>
      </c>
      <c r="D778" s="4" t="s">
        <v>46</v>
      </c>
      <c r="E778" s="4" t="s">
        <v>25</v>
      </c>
      <c r="F778" s="4" t="s">
        <v>25</v>
      </c>
      <c r="G778" s="4" t="s">
        <v>25</v>
      </c>
      <c r="H778" s="4" t="s">
        <v>34</v>
      </c>
      <c r="I778" s="5">
        <v>44652</v>
      </c>
      <c r="J778" s="6">
        <v>0</v>
      </c>
      <c r="K778" s="6">
        <v>0</v>
      </c>
      <c r="L778" s="6">
        <v>0.20599999999999999</v>
      </c>
      <c r="M778" s="6">
        <v>0.20599999999999999</v>
      </c>
      <c r="N778" s="6">
        <v>0.20599999999999999</v>
      </c>
      <c r="O778" s="6">
        <v>0.20599999999999999</v>
      </c>
      <c r="P778" s="6">
        <v>0</v>
      </c>
      <c r="Q778" s="4" t="s">
        <v>26</v>
      </c>
      <c r="R778" s="4">
        <v>0</v>
      </c>
      <c r="S778" s="6">
        <v>0</v>
      </c>
      <c r="T778" s="6">
        <v>55</v>
      </c>
      <c r="U778" s="6">
        <v>96</v>
      </c>
      <c r="V778" s="6">
        <f>IF(ISERROR(VLOOKUP($S$778,'TAR FIN'!$A$1:$O$103,15,0)),0,VLOOKUP($S$778,'TAR FIN'!$A$1:$O$103,15,0))</f>
        <v>0</v>
      </c>
      <c r="W778" s="6">
        <f>IF(ISERROR(VLOOKUP($T$778,'TAR FIN'!$A$1:$O$103,15,0)),0,VLOOKUP($T$778,'TAR FIN'!$A$1:$O$103,15,0))</f>
        <v>1043.57</v>
      </c>
      <c r="X778" s="6">
        <f>IF(ISERROR(VLOOKUP($U$778,'TAR FIN'!$A$1:$O$103,15,0)),0,VLOOKUP($U$778,'TAR FIN'!$A$1:$O$103,15,0))</f>
        <v>391.54</v>
      </c>
      <c r="Y778" s="6"/>
      <c r="Z778" s="6">
        <f ca="1">('TUSD BE'!$AM$57+'TUSD BF_350'!$AM$57+'TUSD CVA'!$AM$57)*1</f>
        <v>829.05</v>
      </c>
      <c r="AA778" s="6">
        <f ca="1">('TE BE'!$AB$38+'TE BF_350'!$AB$38+'TE CVA'!$AB$38)*1</f>
        <v>437.01</v>
      </c>
      <c r="AB778" s="6">
        <f>$K$778*$V$778</f>
        <v>0</v>
      </c>
      <c r="AC778" s="6">
        <f>$M$778*$W$778</f>
        <v>214.97541999999999</v>
      </c>
      <c r="AD778" s="6">
        <f>$O$778*$X$778</f>
        <v>80.657240000000002</v>
      </c>
      <c r="AE778" s="6">
        <f>$K$778*$Y$778</f>
        <v>0</v>
      </c>
      <c r="AF778" s="6">
        <f ca="1">$M$778*$Z$778</f>
        <v>170.78429999999997</v>
      </c>
      <c r="AG778" s="6">
        <f ca="1">$O$778*$AA$778</f>
        <v>90.024059999999992</v>
      </c>
    </row>
    <row r="779" spans="1:33" ht="11.25" customHeight="1" x14ac:dyDescent="0.3">
      <c r="A779" s="4" t="s">
        <v>21</v>
      </c>
      <c r="B779" s="4" t="s">
        <v>37</v>
      </c>
      <c r="C779" s="4" t="s">
        <v>33</v>
      </c>
      <c r="D779" s="4" t="s">
        <v>46</v>
      </c>
      <c r="E779" s="4" t="s">
        <v>25</v>
      </c>
      <c r="F779" s="4" t="s">
        <v>25</v>
      </c>
      <c r="G779" s="4" t="s">
        <v>25</v>
      </c>
      <c r="H779" s="4" t="s">
        <v>34</v>
      </c>
      <c r="I779" s="5">
        <v>44682</v>
      </c>
      <c r="J779" s="6">
        <v>0</v>
      </c>
      <c r="K779" s="6">
        <v>0</v>
      </c>
      <c r="L779" s="6">
        <v>0.19600000000000001</v>
      </c>
      <c r="M779" s="6">
        <v>0.19600000000000001</v>
      </c>
      <c r="N779" s="6">
        <v>0.19600000000000001</v>
      </c>
      <c r="O779" s="6">
        <v>0.19600000000000001</v>
      </c>
      <c r="P779" s="6">
        <v>0</v>
      </c>
      <c r="Q779" s="4" t="s">
        <v>26</v>
      </c>
      <c r="R779" s="4">
        <v>0</v>
      </c>
      <c r="S779" s="6">
        <v>0</v>
      </c>
      <c r="T779" s="6">
        <v>55</v>
      </c>
      <c r="U779" s="6">
        <v>96</v>
      </c>
      <c r="V779" s="6">
        <f>IF(ISERROR(VLOOKUP($S$779,'TAR FIN'!$A$1:$O$103,15,0)),0,VLOOKUP($S$779,'TAR FIN'!$A$1:$O$103,15,0))</f>
        <v>0</v>
      </c>
      <c r="W779" s="6">
        <f>IF(ISERROR(VLOOKUP($T$779,'TAR FIN'!$A$1:$O$103,15,0)),0,VLOOKUP($T$779,'TAR FIN'!$A$1:$O$103,15,0))</f>
        <v>1043.57</v>
      </c>
      <c r="X779" s="6">
        <f>IF(ISERROR(VLOOKUP($U$779,'TAR FIN'!$A$1:$O$103,15,0)),0,VLOOKUP($U$779,'TAR FIN'!$A$1:$O$103,15,0))</f>
        <v>391.54</v>
      </c>
      <c r="Y779" s="6"/>
      <c r="Z779" s="6">
        <f ca="1">('TUSD BE'!$AM$57+'TUSD BF_350'!$AM$57+'TUSD CVA'!$AM$57)*1</f>
        <v>829.05</v>
      </c>
      <c r="AA779" s="6">
        <f ca="1">('TE BE'!$AB$38+'TE BF_350'!$AB$38+'TE CVA'!$AB$38)*1</f>
        <v>437.01</v>
      </c>
      <c r="AB779" s="6">
        <f>$K$779*$V$779</f>
        <v>0</v>
      </c>
      <c r="AC779" s="6">
        <f>$M$779*$W$779</f>
        <v>204.53971999999999</v>
      </c>
      <c r="AD779" s="6">
        <f>$O$779*$X$779</f>
        <v>76.74184000000001</v>
      </c>
      <c r="AE779" s="6">
        <f>$K$779*$Y$779</f>
        <v>0</v>
      </c>
      <c r="AF779" s="6">
        <f ca="1">$M$779*$Z$779</f>
        <v>162.49379999999999</v>
      </c>
      <c r="AG779" s="6">
        <f ca="1">$O$779*$AA$779</f>
        <v>85.653959999999998</v>
      </c>
    </row>
    <row r="780" spans="1:33" ht="11.25" customHeight="1" x14ac:dyDescent="0.3">
      <c r="A780" s="4" t="s">
        <v>21</v>
      </c>
      <c r="B780" s="4" t="s">
        <v>37</v>
      </c>
      <c r="C780" s="4" t="s">
        <v>33</v>
      </c>
      <c r="D780" s="4" t="s">
        <v>46</v>
      </c>
      <c r="E780" s="4" t="s">
        <v>25</v>
      </c>
      <c r="F780" s="4" t="s">
        <v>25</v>
      </c>
      <c r="G780" s="4" t="s">
        <v>25</v>
      </c>
      <c r="H780" s="4" t="s">
        <v>34</v>
      </c>
      <c r="I780" s="5">
        <v>44713</v>
      </c>
      <c r="J780" s="6">
        <v>0</v>
      </c>
      <c r="K780" s="6">
        <v>0</v>
      </c>
      <c r="L780" s="6">
        <v>0.183</v>
      </c>
      <c r="M780" s="6">
        <v>0.183</v>
      </c>
      <c r="N780" s="6">
        <v>0.183</v>
      </c>
      <c r="O780" s="6">
        <v>0.183</v>
      </c>
      <c r="P780" s="6">
        <v>0</v>
      </c>
      <c r="Q780" s="4" t="s">
        <v>26</v>
      </c>
      <c r="R780" s="4">
        <v>0</v>
      </c>
      <c r="S780" s="6">
        <v>0</v>
      </c>
      <c r="T780" s="6">
        <v>55</v>
      </c>
      <c r="U780" s="6">
        <v>96</v>
      </c>
      <c r="V780" s="6">
        <f>IF(ISERROR(VLOOKUP($S$780,'TAR FIN'!$A$1:$O$103,15,0)),0,VLOOKUP($S$780,'TAR FIN'!$A$1:$O$103,15,0))</f>
        <v>0</v>
      </c>
      <c r="W780" s="6">
        <f>IF(ISERROR(VLOOKUP($T$780,'TAR FIN'!$A$1:$O$103,15,0)),0,VLOOKUP($T$780,'TAR FIN'!$A$1:$O$103,15,0))</f>
        <v>1043.57</v>
      </c>
      <c r="X780" s="6">
        <f>IF(ISERROR(VLOOKUP($U$780,'TAR FIN'!$A$1:$O$103,15,0)),0,VLOOKUP($U$780,'TAR FIN'!$A$1:$O$103,15,0))</f>
        <v>391.54</v>
      </c>
      <c r="Y780" s="6"/>
      <c r="Z780" s="6">
        <f ca="1">('TUSD BE'!$AM$57+'TUSD BF_350'!$AM$57+'TUSD CVA'!$AM$57)*1</f>
        <v>829.05</v>
      </c>
      <c r="AA780" s="6">
        <f ca="1">('TE BE'!$AB$38+'TE BF_350'!$AB$38+'TE CVA'!$AB$38)*1</f>
        <v>437.01</v>
      </c>
      <c r="AB780" s="6">
        <f>$K$780*$V$780</f>
        <v>0</v>
      </c>
      <c r="AC780" s="6">
        <f>$M$780*$W$780</f>
        <v>190.97331</v>
      </c>
      <c r="AD780" s="6">
        <f>$O$780*$X$780</f>
        <v>71.651820000000001</v>
      </c>
      <c r="AE780" s="6">
        <f>$K$780*$Y$780</f>
        <v>0</v>
      </c>
      <c r="AF780" s="6">
        <f ca="1">$M$780*$Z$780</f>
        <v>151.71615</v>
      </c>
      <c r="AG780" s="6">
        <f ca="1">$O$780*$AA$780</f>
        <v>79.972830000000002</v>
      </c>
    </row>
    <row r="781" spans="1:33" ht="11.25" customHeight="1" x14ac:dyDescent="0.3">
      <c r="A781" s="4" t="s">
        <v>21</v>
      </c>
      <c r="B781" s="4" t="s">
        <v>37</v>
      </c>
      <c r="C781" s="4" t="s">
        <v>33</v>
      </c>
      <c r="D781" s="4" t="s">
        <v>46</v>
      </c>
      <c r="E781" s="4" t="s">
        <v>25</v>
      </c>
      <c r="F781" s="4" t="s">
        <v>25</v>
      </c>
      <c r="G781" s="4" t="s">
        <v>25</v>
      </c>
      <c r="H781" s="4" t="s">
        <v>34</v>
      </c>
      <c r="I781" s="5">
        <v>44743</v>
      </c>
      <c r="J781" s="6">
        <v>0</v>
      </c>
      <c r="K781" s="6">
        <v>0</v>
      </c>
      <c r="L781" s="6">
        <v>0.19500000000000001</v>
      </c>
      <c r="M781" s="6">
        <v>0.19500000000000001</v>
      </c>
      <c r="N781" s="6">
        <v>0.19500000000000001</v>
      </c>
      <c r="O781" s="6">
        <v>0.19500000000000001</v>
      </c>
      <c r="P781" s="6">
        <v>0</v>
      </c>
      <c r="Q781" s="4" t="s">
        <v>26</v>
      </c>
      <c r="R781" s="4">
        <v>0</v>
      </c>
      <c r="S781" s="6">
        <v>0</v>
      </c>
      <c r="T781" s="6">
        <v>55</v>
      </c>
      <c r="U781" s="6">
        <v>96</v>
      </c>
      <c r="V781" s="6">
        <f>IF(ISERROR(VLOOKUP($S$781,'TAR FIN'!$A$1:$O$103,15,0)),0,VLOOKUP($S$781,'TAR FIN'!$A$1:$O$103,15,0))</f>
        <v>0</v>
      </c>
      <c r="W781" s="6">
        <f>IF(ISERROR(VLOOKUP($T$781,'TAR FIN'!$A$1:$O$103,15,0)),0,VLOOKUP($T$781,'TAR FIN'!$A$1:$O$103,15,0))</f>
        <v>1043.57</v>
      </c>
      <c r="X781" s="6">
        <f>IF(ISERROR(VLOOKUP($U$781,'TAR FIN'!$A$1:$O$103,15,0)),0,VLOOKUP($U$781,'TAR FIN'!$A$1:$O$103,15,0))</f>
        <v>391.54</v>
      </c>
      <c r="Y781" s="6"/>
      <c r="Z781" s="6">
        <f ca="1">('TUSD BE'!$AM$57+'TUSD BF_350'!$AM$57+'TUSD CVA'!$AM$57)*1</f>
        <v>829.05</v>
      </c>
      <c r="AA781" s="6">
        <f ca="1">('TE BE'!$AB$38+'TE BF_350'!$AB$38+'TE CVA'!$AB$38)*1</f>
        <v>437.01</v>
      </c>
      <c r="AB781" s="6">
        <f>$K$781*$V$781</f>
        <v>0</v>
      </c>
      <c r="AC781" s="6">
        <f>$M$781*$W$781</f>
        <v>203.49615</v>
      </c>
      <c r="AD781" s="6">
        <f>$O$781*$X$781</f>
        <v>76.350300000000004</v>
      </c>
      <c r="AE781" s="6">
        <f>$K$781*$Y$781</f>
        <v>0</v>
      </c>
      <c r="AF781" s="6">
        <f ca="1">$M$781*$Z$781</f>
        <v>161.66475</v>
      </c>
      <c r="AG781" s="6">
        <f ca="1">$O$781*$AA$781</f>
        <v>85.216949999999997</v>
      </c>
    </row>
    <row r="782" spans="1:33" ht="11.25" customHeight="1" x14ac:dyDescent="0.3">
      <c r="A782" s="4" t="s">
        <v>21</v>
      </c>
      <c r="B782" s="4" t="s">
        <v>37</v>
      </c>
      <c r="C782" s="4" t="s">
        <v>33</v>
      </c>
      <c r="D782" s="4" t="s">
        <v>46</v>
      </c>
      <c r="E782" s="4" t="s">
        <v>25</v>
      </c>
      <c r="F782" s="4" t="s">
        <v>25</v>
      </c>
      <c r="G782" s="4" t="s">
        <v>25</v>
      </c>
      <c r="H782" s="4" t="s">
        <v>34</v>
      </c>
      <c r="I782" s="5">
        <v>44774</v>
      </c>
      <c r="J782" s="6">
        <v>0</v>
      </c>
      <c r="K782" s="6">
        <v>0</v>
      </c>
      <c r="L782" s="6">
        <v>0.223</v>
      </c>
      <c r="M782" s="6">
        <v>0.223</v>
      </c>
      <c r="N782" s="6">
        <v>0.223</v>
      </c>
      <c r="O782" s="6">
        <v>0.223</v>
      </c>
      <c r="P782" s="6">
        <v>0</v>
      </c>
      <c r="Q782" s="4" t="s">
        <v>26</v>
      </c>
      <c r="R782" s="4">
        <v>0</v>
      </c>
      <c r="S782" s="6">
        <v>0</v>
      </c>
      <c r="T782" s="6">
        <v>55</v>
      </c>
      <c r="U782" s="6">
        <v>96</v>
      </c>
      <c r="V782" s="6">
        <f>IF(ISERROR(VLOOKUP($S$782,'TAR FIN'!$A$1:$O$103,15,0)),0,VLOOKUP($S$782,'TAR FIN'!$A$1:$O$103,15,0))</f>
        <v>0</v>
      </c>
      <c r="W782" s="6">
        <f>IF(ISERROR(VLOOKUP($T$782,'TAR FIN'!$A$1:$O$103,15,0)),0,VLOOKUP($T$782,'TAR FIN'!$A$1:$O$103,15,0))</f>
        <v>1043.57</v>
      </c>
      <c r="X782" s="6">
        <f>IF(ISERROR(VLOOKUP($U$782,'TAR FIN'!$A$1:$O$103,15,0)),0,VLOOKUP($U$782,'TAR FIN'!$A$1:$O$103,15,0))</f>
        <v>391.54</v>
      </c>
      <c r="Y782" s="6"/>
      <c r="Z782" s="6">
        <f ca="1">('TUSD BE'!$AM$57+'TUSD BF_350'!$AM$57+'TUSD CVA'!$AM$57)*1</f>
        <v>829.05</v>
      </c>
      <c r="AA782" s="6">
        <f ca="1">('TE BE'!$AB$38+'TE BF_350'!$AB$38+'TE CVA'!$AB$38)*1</f>
        <v>437.01</v>
      </c>
      <c r="AB782" s="6">
        <f>$K$782*$V$782</f>
        <v>0</v>
      </c>
      <c r="AC782" s="6">
        <f>$M$782*$W$782</f>
        <v>232.71610999999999</v>
      </c>
      <c r="AD782" s="6">
        <f>$O$782*$X$782</f>
        <v>87.313420000000008</v>
      </c>
      <c r="AE782" s="6">
        <f>$K$782*$Y$782</f>
        <v>0</v>
      </c>
      <c r="AF782" s="6">
        <f ca="1">$M$782*$Z$782</f>
        <v>184.87815000000001</v>
      </c>
      <c r="AG782" s="6">
        <f ca="1">$O$782*$AA$782</f>
        <v>97.453230000000005</v>
      </c>
    </row>
    <row r="783" spans="1:33" ht="11.25" customHeight="1" x14ac:dyDescent="0.3">
      <c r="A783" s="4" t="s">
        <v>21</v>
      </c>
      <c r="B783" s="4" t="s">
        <v>37</v>
      </c>
      <c r="C783" s="4" t="s">
        <v>33</v>
      </c>
      <c r="D783" s="4" t="s">
        <v>46</v>
      </c>
      <c r="E783" s="4" t="s">
        <v>25</v>
      </c>
      <c r="F783" s="4" t="s">
        <v>25</v>
      </c>
      <c r="G783" s="4" t="s">
        <v>25</v>
      </c>
      <c r="H783" s="4" t="s">
        <v>34</v>
      </c>
      <c r="I783" s="5">
        <v>44805</v>
      </c>
      <c r="J783" s="6">
        <v>0</v>
      </c>
      <c r="K783" s="6">
        <v>0</v>
      </c>
      <c r="L783" s="6">
        <v>0.20200000000000001</v>
      </c>
      <c r="M783" s="6">
        <v>0.20200000000000001</v>
      </c>
      <c r="N783" s="6">
        <v>0.20200000000000001</v>
      </c>
      <c r="O783" s="6">
        <v>0.20200000000000001</v>
      </c>
      <c r="P783" s="6">
        <v>0</v>
      </c>
      <c r="Q783" s="4" t="s">
        <v>26</v>
      </c>
      <c r="R783" s="4">
        <v>0</v>
      </c>
      <c r="S783" s="6">
        <v>0</v>
      </c>
      <c r="T783" s="6">
        <v>55</v>
      </c>
      <c r="U783" s="6">
        <v>96</v>
      </c>
      <c r="V783" s="6">
        <f>IF(ISERROR(VLOOKUP($S$783,'TAR FIN'!$A$1:$O$103,15,0)),0,VLOOKUP($S$783,'TAR FIN'!$A$1:$O$103,15,0))</f>
        <v>0</v>
      </c>
      <c r="W783" s="6">
        <f>IF(ISERROR(VLOOKUP($T$783,'TAR FIN'!$A$1:$O$103,15,0)),0,VLOOKUP($T$783,'TAR FIN'!$A$1:$O$103,15,0))</f>
        <v>1043.57</v>
      </c>
      <c r="X783" s="6">
        <f>IF(ISERROR(VLOOKUP($U$783,'TAR FIN'!$A$1:$O$103,15,0)),0,VLOOKUP($U$783,'TAR FIN'!$A$1:$O$103,15,0))</f>
        <v>391.54</v>
      </c>
      <c r="Y783" s="6"/>
      <c r="Z783" s="6">
        <f ca="1">('TUSD BE'!$AM$57+'TUSD BF_350'!$AM$57+'TUSD CVA'!$AM$57)*1</f>
        <v>829.05</v>
      </c>
      <c r="AA783" s="6">
        <f ca="1">('TE BE'!$AB$38+'TE BF_350'!$AB$38+'TE CVA'!$AB$38)*1</f>
        <v>437.01</v>
      </c>
      <c r="AB783" s="6">
        <f>$K$783*$V$783</f>
        <v>0</v>
      </c>
      <c r="AC783" s="6">
        <f>$M$783*$W$783</f>
        <v>210.80114</v>
      </c>
      <c r="AD783" s="6">
        <f>$O$783*$X$783</f>
        <v>79.091080000000005</v>
      </c>
      <c r="AE783" s="6">
        <f>$K$783*$Y$783</f>
        <v>0</v>
      </c>
      <c r="AF783" s="6">
        <f ca="1">$M$783*$Z$783</f>
        <v>167.46809999999999</v>
      </c>
      <c r="AG783" s="6">
        <f ca="1">$O$783*$AA$783</f>
        <v>88.276020000000003</v>
      </c>
    </row>
    <row r="784" spans="1:33" ht="11.25" customHeight="1" x14ac:dyDescent="0.3">
      <c r="A784" s="4" t="s">
        <v>57</v>
      </c>
      <c r="B784" s="4" t="s">
        <v>37</v>
      </c>
      <c r="C784" s="4" t="s">
        <v>33</v>
      </c>
      <c r="D784" s="4" t="s">
        <v>46</v>
      </c>
      <c r="E784" s="4" t="s">
        <v>25</v>
      </c>
      <c r="F784" s="4" t="s">
        <v>25</v>
      </c>
      <c r="G784" s="4" t="s">
        <v>25</v>
      </c>
      <c r="H784" s="4" t="s">
        <v>34</v>
      </c>
      <c r="I784" s="5">
        <v>44835</v>
      </c>
      <c r="J784" s="6">
        <v>0</v>
      </c>
      <c r="K784" s="6">
        <v>0</v>
      </c>
      <c r="L784" s="6">
        <v>0.20200000000000001</v>
      </c>
      <c r="M784" s="6">
        <v>0.20200000000000001</v>
      </c>
      <c r="N784" s="6">
        <v>0.20200000000000001</v>
      </c>
      <c r="O784" s="6">
        <v>0.20200000000000001</v>
      </c>
      <c r="P784" s="6">
        <v>0</v>
      </c>
      <c r="Q784" s="4" t="s">
        <v>26</v>
      </c>
      <c r="R784" s="4">
        <v>0</v>
      </c>
      <c r="S784" s="6">
        <v>0</v>
      </c>
      <c r="T784" s="6">
        <v>55</v>
      </c>
      <c r="U784" s="6">
        <v>96</v>
      </c>
      <c r="V784" s="6">
        <f>IF(ISERROR(VLOOKUP($S$784,'TAR FIN'!$A$1:$O$103,15,0)),0,VLOOKUP($S$784,'TAR FIN'!$A$1:$O$103,15,0))</f>
        <v>0</v>
      </c>
      <c r="W784" s="6">
        <f>IF(ISERROR(VLOOKUP($T$784,'TAR FIN'!$A$1:$O$103,15,0)),0,VLOOKUP($T$784,'TAR FIN'!$A$1:$O$103,15,0))</f>
        <v>1043.57</v>
      </c>
      <c r="X784" s="6">
        <f>IF(ISERROR(VLOOKUP($U$784,'TAR FIN'!$A$1:$O$103,15,0)),0,VLOOKUP($U$784,'TAR FIN'!$A$1:$O$103,15,0))</f>
        <v>391.54</v>
      </c>
      <c r="Y784" s="6"/>
      <c r="Z784" s="6">
        <f ca="1">('TUSD BE'!$AM$57+'TUSD BF_350'!$AM$57+'TUSD CVA'!$AM$57)*1</f>
        <v>829.05</v>
      </c>
      <c r="AA784" s="6">
        <f ca="1">('TE BE'!$AB$38+'TE BF_350'!$AB$38+'TE CVA'!$AB$38)*1</f>
        <v>437.01</v>
      </c>
      <c r="AB784" s="6">
        <f>$K$784*$V$784</f>
        <v>0</v>
      </c>
      <c r="AC784" s="6">
        <f>$M$784*$W$784</f>
        <v>210.80114</v>
      </c>
      <c r="AD784" s="6">
        <f>$O$784*$X$784</f>
        <v>79.091080000000005</v>
      </c>
      <c r="AE784" s="6">
        <f>$K$784*$Y$784</f>
        <v>0</v>
      </c>
      <c r="AF784" s="6">
        <f ca="1">$M$784*$Z$784</f>
        <v>167.46809999999999</v>
      </c>
      <c r="AG784" s="6">
        <f ca="1">$O$784*$AA$784</f>
        <v>88.276020000000003</v>
      </c>
    </row>
    <row r="785" spans="1:33" ht="11.25" customHeight="1" x14ac:dyDescent="0.3">
      <c r="A785" s="4" t="s">
        <v>21</v>
      </c>
      <c r="B785" s="4" t="s">
        <v>37</v>
      </c>
      <c r="C785" s="4" t="s">
        <v>23</v>
      </c>
      <c r="D785" s="4" t="s">
        <v>41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44501</v>
      </c>
      <c r="J785" s="6">
        <v>0</v>
      </c>
      <c r="K785" s="6">
        <v>0</v>
      </c>
      <c r="L785" s="6">
        <v>1412.8710000000001</v>
      </c>
      <c r="M785" s="6">
        <v>1412.8710000000001</v>
      </c>
      <c r="N785" s="6">
        <v>1412.8710000000001</v>
      </c>
      <c r="O785" s="6">
        <v>1412.8710000000001</v>
      </c>
      <c r="P785" s="6">
        <v>3152</v>
      </c>
      <c r="Q785" s="4" t="s">
        <v>26</v>
      </c>
      <c r="R785" s="4">
        <v>0</v>
      </c>
      <c r="S785" s="6">
        <v>0</v>
      </c>
      <c r="T785" s="6">
        <v>58</v>
      </c>
      <c r="U785" s="6">
        <v>99</v>
      </c>
      <c r="V785" s="6">
        <f>IF(ISERROR(VLOOKUP($S$785,'TAR FIN'!$A$1:$O$103,15,0)),0,VLOOKUP($S$785,'TAR FIN'!$A$1:$O$103,15,0))</f>
        <v>0</v>
      </c>
      <c r="W785" s="6">
        <f>IF(ISERROR(VLOOKUP($T$785,'TAR FIN'!$A$1:$O$103,15,0)),0,VLOOKUP($T$785,'TAR FIN'!$A$1:$O$103,15,0))</f>
        <v>379.62</v>
      </c>
      <c r="X785" s="6">
        <f>IF(ISERROR(VLOOKUP($U$785,'TAR FIN'!$A$1:$O$103,15,0)),0,VLOOKUP($U$785,'TAR FIN'!$A$1:$O$103,15,0))</f>
        <v>255.17</v>
      </c>
      <c r="Y785" s="6"/>
      <c r="Z785" s="6">
        <f ca="1">('TUSD BE'!$AM$60+'TUSD BF_350'!$AM$60+'TUSD CVA'!$AM$60)*1</f>
        <v>384.48</v>
      </c>
      <c r="AA785" s="6">
        <f ca="1">('TE BE'!$AB$41+'TE BF_350'!$AB$41+'TE CVA'!$AB$41)*1</f>
        <v>286.51</v>
      </c>
      <c r="AB785" s="6">
        <f>$K$785*$V$785</f>
        <v>0</v>
      </c>
      <c r="AC785" s="6">
        <f>$M$785*$W$785</f>
        <v>536354.08902000007</v>
      </c>
      <c r="AD785" s="6">
        <f>$O$785*$X$785</f>
        <v>360522.29307000001</v>
      </c>
      <c r="AE785" s="6">
        <f>$K$785*$Y$785</f>
        <v>0</v>
      </c>
      <c r="AF785" s="6">
        <f ca="1">$M$785*$Z$785</f>
        <v>543220.64208000002</v>
      </c>
      <c r="AG785" s="6">
        <f ca="1">$O$785*$AA$785</f>
        <v>404801.67021000001</v>
      </c>
    </row>
    <row r="786" spans="1:33" ht="11.25" customHeight="1" x14ac:dyDescent="0.3">
      <c r="A786" s="4" t="s">
        <v>28</v>
      </c>
      <c r="B786" s="4" t="s">
        <v>37</v>
      </c>
      <c r="C786" s="4" t="s">
        <v>23</v>
      </c>
      <c r="D786" s="4" t="s">
        <v>41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44501</v>
      </c>
      <c r="J786" s="6">
        <v>0</v>
      </c>
      <c r="K786" s="6">
        <v>0</v>
      </c>
      <c r="L786" s="6">
        <v>127.961</v>
      </c>
      <c r="M786" s="6">
        <v>127.961</v>
      </c>
      <c r="N786" s="6">
        <v>127.961</v>
      </c>
      <c r="O786" s="6">
        <v>127.961</v>
      </c>
      <c r="P786" s="6">
        <v>172</v>
      </c>
      <c r="Q786" s="4" t="s">
        <v>26</v>
      </c>
      <c r="R786" s="4">
        <v>0</v>
      </c>
      <c r="S786" s="6">
        <v>0</v>
      </c>
      <c r="T786" s="6">
        <v>58</v>
      </c>
      <c r="U786" s="6">
        <v>99</v>
      </c>
      <c r="V786" s="6">
        <f>IF(ISERROR(VLOOKUP($S$786,'TAR FIN'!$A$1:$O$103,15,0)),0,VLOOKUP($S$786,'TAR FIN'!$A$1:$O$103,15,0))</f>
        <v>0</v>
      </c>
      <c r="W786" s="6">
        <f>IF(ISERROR(VLOOKUP($T$786,'TAR FIN'!$A$1:$O$103,15,0)),0,VLOOKUP($T$786,'TAR FIN'!$A$1:$O$103,15,0))</f>
        <v>379.62</v>
      </c>
      <c r="X786" s="6">
        <f>IF(ISERROR(VLOOKUP($U$786,'TAR FIN'!$A$1:$O$103,15,0)),0,VLOOKUP($U$786,'TAR FIN'!$A$1:$O$103,15,0))</f>
        <v>255.17</v>
      </c>
      <c r="Y786" s="6"/>
      <c r="Z786" s="6">
        <f ca="1">('TUSD BE'!$AM$60+'TUSD BF_350'!$AM$60+'TUSD CVA'!$AM$60)*1</f>
        <v>384.48</v>
      </c>
      <c r="AA786" s="6">
        <f ca="1">('TE BE'!$AB$41+'TE BF_350'!$AB$41+'TE CVA'!$AB$41)*1</f>
        <v>286.51</v>
      </c>
      <c r="AB786" s="6">
        <f>$K$786*$V$786</f>
        <v>0</v>
      </c>
      <c r="AC786" s="6">
        <f>$M$786*$W$786</f>
        <v>48576.554819999998</v>
      </c>
      <c r="AD786" s="6">
        <f>$O$786*$X$786</f>
        <v>32651.808369999999</v>
      </c>
      <c r="AE786" s="6">
        <f>$K$786*$Y$786</f>
        <v>0</v>
      </c>
      <c r="AF786" s="6">
        <f ca="1">$M$786*$Z$786</f>
        <v>49198.44528</v>
      </c>
      <c r="AG786" s="6">
        <f ca="1">$O$786*$AA$786</f>
        <v>36662.106110000001</v>
      </c>
    </row>
    <row r="787" spans="1:33" ht="11.25" customHeight="1" x14ac:dyDescent="0.3">
      <c r="A787" s="4" t="s">
        <v>21</v>
      </c>
      <c r="B787" s="4" t="s">
        <v>37</v>
      </c>
      <c r="C787" s="4" t="s">
        <v>23</v>
      </c>
      <c r="D787" s="4" t="s">
        <v>41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44531</v>
      </c>
      <c r="J787" s="6">
        <v>0</v>
      </c>
      <c r="K787" s="6">
        <v>0</v>
      </c>
      <c r="L787" s="6">
        <v>1341.183</v>
      </c>
      <c r="M787" s="6">
        <v>1341.183</v>
      </c>
      <c r="N787" s="6">
        <v>1341.183</v>
      </c>
      <c r="O787" s="6">
        <v>1341.183</v>
      </c>
      <c r="P787" s="6">
        <v>3157</v>
      </c>
      <c r="Q787" s="4" t="s">
        <v>26</v>
      </c>
      <c r="R787" s="4">
        <v>0</v>
      </c>
      <c r="S787" s="6">
        <v>0</v>
      </c>
      <c r="T787" s="6">
        <v>58</v>
      </c>
      <c r="U787" s="6">
        <v>99</v>
      </c>
      <c r="V787" s="6">
        <f>IF(ISERROR(VLOOKUP($S$787,'TAR FIN'!$A$1:$O$103,15,0)),0,VLOOKUP($S$787,'TAR FIN'!$A$1:$O$103,15,0))</f>
        <v>0</v>
      </c>
      <c r="W787" s="6">
        <f>IF(ISERROR(VLOOKUP($T$787,'TAR FIN'!$A$1:$O$103,15,0)),0,VLOOKUP($T$787,'TAR FIN'!$A$1:$O$103,15,0))</f>
        <v>379.62</v>
      </c>
      <c r="X787" s="6">
        <f>IF(ISERROR(VLOOKUP($U$787,'TAR FIN'!$A$1:$O$103,15,0)),0,VLOOKUP($U$787,'TAR FIN'!$A$1:$O$103,15,0))</f>
        <v>255.17</v>
      </c>
      <c r="Y787" s="6"/>
      <c r="Z787" s="6">
        <f ca="1">('TUSD BE'!$AM$60+'TUSD BF_350'!$AM$60+'TUSD CVA'!$AM$60)*1</f>
        <v>384.48</v>
      </c>
      <c r="AA787" s="6">
        <f ca="1">('TE BE'!$AB$41+'TE BF_350'!$AB$41+'TE CVA'!$AB$41)*1</f>
        <v>286.51</v>
      </c>
      <c r="AB787" s="6">
        <f>$K$787*$V$787</f>
        <v>0</v>
      </c>
      <c r="AC787" s="6">
        <f>$M$787*$W$787</f>
        <v>509139.89046000002</v>
      </c>
      <c r="AD787" s="6">
        <f>$O$787*$X$787</f>
        <v>342229.66610999999</v>
      </c>
      <c r="AE787" s="6">
        <f>$K$787*$Y$787</f>
        <v>0</v>
      </c>
      <c r="AF787" s="6">
        <f ca="1">$M$787*$Z$787</f>
        <v>515658.03984000004</v>
      </c>
      <c r="AG787" s="6">
        <f ca="1">$O$787*$AA$787</f>
        <v>384262.34132999997</v>
      </c>
    </row>
    <row r="788" spans="1:33" ht="11.25" customHeight="1" x14ac:dyDescent="0.3">
      <c r="A788" s="4" t="s">
        <v>28</v>
      </c>
      <c r="B788" s="4" t="s">
        <v>37</v>
      </c>
      <c r="C788" s="4" t="s">
        <v>23</v>
      </c>
      <c r="D788" s="4" t="s">
        <v>41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44531</v>
      </c>
      <c r="J788" s="6">
        <v>0</v>
      </c>
      <c r="K788" s="6">
        <v>0</v>
      </c>
      <c r="L788" s="6">
        <v>135.56899999999999</v>
      </c>
      <c r="M788" s="6">
        <v>135.56899999999999</v>
      </c>
      <c r="N788" s="6">
        <v>135.56899999999999</v>
      </c>
      <c r="O788" s="6">
        <v>135.56899999999999</v>
      </c>
      <c r="P788" s="6">
        <v>178</v>
      </c>
      <c r="Q788" s="4" t="s">
        <v>26</v>
      </c>
      <c r="R788" s="4">
        <v>0</v>
      </c>
      <c r="S788" s="6">
        <v>0</v>
      </c>
      <c r="T788" s="6">
        <v>58</v>
      </c>
      <c r="U788" s="6">
        <v>99</v>
      </c>
      <c r="V788" s="6">
        <f>IF(ISERROR(VLOOKUP($S$788,'TAR FIN'!$A$1:$O$103,15,0)),0,VLOOKUP($S$788,'TAR FIN'!$A$1:$O$103,15,0))</f>
        <v>0</v>
      </c>
      <c r="W788" s="6">
        <f>IF(ISERROR(VLOOKUP($T$788,'TAR FIN'!$A$1:$O$103,15,0)),0,VLOOKUP($T$788,'TAR FIN'!$A$1:$O$103,15,0))</f>
        <v>379.62</v>
      </c>
      <c r="X788" s="6">
        <f>IF(ISERROR(VLOOKUP($U$788,'TAR FIN'!$A$1:$O$103,15,0)),0,VLOOKUP($U$788,'TAR FIN'!$A$1:$O$103,15,0))</f>
        <v>255.17</v>
      </c>
      <c r="Y788" s="6"/>
      <c r="Z788" s="6">
        <f ca="1">('TUSD BE'!$AM$60+'TUSD BF_350'!$AM$60+'TUSD CVA'!$AM$60)*1</f>
        <v>384.48</v>
      </c>
      <c r="AA788" s="6">
        <f ca="1">('TE BE'!$AB$41+'TE BF_350'!$AB$41+'TE CVA'!$AB$41)*1</f>
        <v>286.51</v>
      </c>
      <c r="AB788" s="6">
        <f>$K$788*$V$788</f>
        <v>0</v>
      </c>
      <c r="AC788" s="6">
        <f>$M$788*$W$788</f>
        <v>51464.703779999996</v>
      </c>
      <c r="AD788" s="6">
        <f>$O$788*$X$788</f>
        <v>34593.141729999996</v>
      </c>
      <c r="AE788" s="6">
        <f>$K$788*$Y$788</f>
        <v>0</v>
      </c>
      <c r="AF788" s="6">
        <f ca="1">$M$788*$Z$788</f>
        <v>52123.56912</v>
      </c>
      <c r="AG788" s="6">
        <f ca="1">$O$788*$AA$788</f>
        <v>38841.874189999995</v>
      </c>
    </row>
    <row r="789" spans="1:33" ht="11.25" customHeight="1" x14ac:dyDescent="0.3">
      <c r="A789" s="4" t="s">
        <v>21</v>
      </c>
      <c r="B789" s="4" t="s">
        <v>37</v>
      </c>
      <c r="C789" s="4" t="s">
        <v>23</v>
      </c>
      <c r="D789" s="4" t="s">
        <v>41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44562</v>
      </c>
      <c r="J789" s="6">
        <v>0</v>
      </c>
      <c r="K789" s="6">
        <v>0</v>
      </c>
      <c r="L789" s="6">
        <v>1364.8309999999999</v>
      </c>
      <c r="M789" s="6">
        <v>1364.8309999999999</v>
      </c>
      <c r="N789" s="6">
        <v>1364.8309999999999</v>
      </c>
      <c r="O789" s="6">
        <v>1364.8309999999999</v>
      </c>
      <c r="P789" s="6">
        <v>3143</v>
      </c>
      <c r="Q789" s="4" t="s">
        <v>26</v>
      </c>
      <c r="R789" s="4">
        <v>0</v>
      </c>
      <c r="S789" s="6">
        <v>0</v>
      </c>
      <c r="T789" s="6">
        <v>58</v>
      </c>
      <c r="U789" s="6">
        <v>99</v>
      </c>
      <c r="V789" s="6">
        <f>IF(ISERROR(VLOOKUP($S$789,'TAR FIN'!$A$1:$O$103,15,0)),0,VLOOKUP($S$789,'TAR FIN'!$A$1:$O$103,15,0))</f>
        <v>0</v>
      </c>
      <c r="W789" s="6">
        <f>IF(ISERROR(VLOOKUP($T$789,'TAR FIN'!$A$1:$O$103,15,0)),0,VLOOKUP($T$789,'TAR FIN'!$A$1:$O$103,15,0))</f>
        <v>379.62</v>
      </c>
      <c r="X789" s="6">
        <f>IF(ISERROR(VLOOKUP($U$789,'TAR FIN'!$A$1:$O$103,15,0)),0,VLOOKUP($U$789,'TAR FIN'!$A$1:$O$103,15,0))</f>
        <v>255.17</v>
      </c>
      <c r="Y789" s="6"/>
      <c r="Z789" s="6">
        <f ca="1">('TUSD BE'!$AM$60+'TUSD BF_350'!$AM$60+'TUSD CVA'!$AM$60)*1</f>
        <v>384.48</v>
      </c>
      <c r="AA789" s="6">
        <f ca="1">('TE BE'!$AB$41+'TE BF_350'!$AB$41+'TE CVA'!$AB$41)*1</f>
        <v>286.51</v>
      </c>
      <c r="AB789" s="6">
        <f>$K$789*$V$789</f>
        <v>0</v>
      </c>
      <c r="AC789" s="6">
        <f>$M$789*$W$789</f>
        <v>518117.14421999996</v>
      </c>
      <c r="AD789" s="6">
        <f>$O$789*$X$789</f>
        <v>348263.92626999994</v>
      </c>
      <c r="AE789" s="6">
        <f>$K$789*$Y$789</f>
        <v>0</v>
      </c>
      <c r="AF789" s="6">
        <f ca="1">$M$789*$Z$789</f>
        <v>524750.22288000002</v>
      </c>
      <c r="AG789" s="6">
        <f ca="1">$O$789*$AA$789</f>
        <v>391037.72980999993</v>
      </c>
    </row>
    <row r="790" spans="1:33" ht="11.25" customHeight="1" x14ac:dyDescent="0.3">
      <c r="A790" s="4" t="s">
        <v>28</v>
      </c>
      <c r="B790" s="4" t="s">
        <v>37</v>
      </c>
      <c r="C790" s="4" t="s">
        <v>23</v>
      </c>
      <c r="D790" s="4" t="s">
        <v>41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44562</v>
      </c>
      <c r="J790" s="6">
        <v>0</v>
      </c>
      <c r="K790" s="6">
        <v>0</v>
      </c>
      <c r="L790" s="6">
        <v>143.53</v>
      </c>
      <c r="M790" s="6">
        <v>143.53</v>
      </c>
      <c r="N790" s="6">
        <v>143.53</v>
      </c>
      <c r="O790" s="6">
        <v>143.53</v>
      </c>
      <c r="P790" s="6">
        <v>190</v>
      </c>
      <c r="Q790" s="4" t="s">
        <v>26</v>
      </c>
      <c r="R790" s="4">
        <v>0</v>
      </c>
      <c r="S790" s="6">
        <v>0</v>
      </c>
      <c r="T790" s="6">
        <v>58</v>
      </c>
      <c r="U790" s="6">
        <v>99</v>
      </c>
      <c r="V790" s="6">
        <f>IF(ISERROR(VLOOKUP($S$790,'TAR FIN'!$A$1:$O$103,15,0)),0,VLOOKUP($S$790,'TAR FIN'!$A$1:$O$103,15,0))</f>
        <v>0</v>
      </c>
      <c r="W790" s="6">
        <f>IF(ISERROR(VLOOKUP($T$790,'TAR FIN'!$A$1:$O$103,15,0)),0,VLOOKUP($T$790,'TAR FIN'!$A$1:$O$103,15,0))</f>
        <v>379.62</v>
      </c>
      <c r="X790" s="6">
        <f>IF(ISERROR(VLOOKUP($U$790,'TAR FIN'!$A$1:$O$103,15,0)),0,VLOOKUP($U$790,'TAR FIN'!$A$1:$O$103,15,0))</f>
        <v>255.17</v>
      </c>
      <c r="Y790" s="6"/>
      <c r="Z790" s="6">
        <f ca="1">('TUSD BE'!$AM$60+'TUSD BF_350'!$AM$60+'TUSD CVA'!$AM$60)*1</f>
        <v>384.48</v>
      </c>
      <c r="AA790" s="6">
        <f ca="1">('TE BE'!$AB$41+'TE BF_350'!$AB$41+'TE CVA'!$AB$41)*1</f>
        <v>286.51</v>
      </c>
      <c r="AB790" s="6">
        <f>$K$790*$V$790</f>
        <v>0</v>
      </c>
      <c r="AC790" s="6">
        <f>$M$790*$W$790</f>
        <v>54486.8586</v>
      </c>
      <c r="AD790" s="6">
        <f>$O$790*$X$790</f>
        <v>36624.5501</v>
      </c>
      <c r="AE790" s="6">
        <f>$K$790*$Y$790</f>
        <v>0</v>
      </c>
      <c r="AF790" s="6">
        <f ca="1">$M$790*$Z$790</f>
        <v>55184.414400000001</v>
      </c>
      <c r="AG790" s="6">
        <f ca="1">$O$790*$AA$790</f>
        <v>41122.780299999999</v>
      </c>
    </row>
    <row r="791" spans="1:33" ht="11.25" customHeight="1" x14ac:dyDescent="0.3">
      <c r="A791" s="4" t="s">
        <v>21</v>
      </c>
      <c r="B791" s="4" t="s">
        <v>37</v>
      </c>
      <c r="C791" s="4" t="s">
        <v>23</v>
      </c>
      <c r="D791" s="4" t="s">
        <v>41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44593</v>
      </c>
      <c r="J791" s="6">
        <v>0</v>
      </c>
      <c r="K791" s="6">
        <v>0</v>
      </c>
      <c r="L791" s="6">
        <v>1338.837</v>
      </c>
      <c r="M791" s="6">
        <v>1338.837</v>
      </c>
      <c r="N791" s="6">
        <v>1338.837</v>
      </c>
      <c r="O791" s="6">
        <v>1338.837</v>
      </c>
      <c r="P791" s="6">
        <v>3126</v>
      </c>
      <c r="Q791" s="4" t="s">
        <v>26</v>
      </c>
      <c r="R791" s="4">
        <v>0</v>
      </c>
      <c r="S791" s="6">
        <v>0</v>
      </c>
      <c r="T791" s="6">
        <v>58</v>
      </c>
      <c r="U791" s="6">
        <v>99</v>
      </c>
      <c r="V791" s="6">
        <f>IF(ISERROR(VLOOKUP($S$791,'TAR FIN'!$A$1:$O$103,15,0)),0,VLOOKUP($S$791,'TAR FIN'!$A$1:$O$103,15,0))</f>
        <v>0</v>
      </c>
      <c r="W791" s="6">
        <f>IF(ISERROR(VLOOKUP($T$791,'TAR FIN'!$A$1:$O$103,15,0)),0,VLOOKUP($T$791,'TAR FIN'!$A$1:$O$103,15,0))</f>
        <v>379.62</v>
      </c>
      <c r="X791" s="6">
        <f>IF(ISERROR(VLOOKUP($U$791,'TAR FIN'!$A$1:$O$103,15,0)),0,VLOOKUP($U$791,'TAR FIN'!$A$1:$O$103,15,0))</f>
        <v>255.17</v>
      </c>
      <c r="Y791" s="6"/>
      <c r="Z791" s="6">
        <f ca="1">('TUSD BE'!$AM$60+'TUSD BF_350'!$AM$60+'TUSD CVA'!$AM$60)*1</f>
        <v>384.48</v>
      </c>
      <c r="AA791" s="6">
        <f ca="1">('TE BE'!$AB$41+'TE BF_350'!$AB$41+'TE CVA'!$AB$41)*1</f>
        <v>286.51</v>
      </c>
      <c r="AB791" s="6">
        <f>$K$791*$V$791</f>
        <v>0</v>
      </c>
      <c r="AC791" s="6">
        <f>$M$791*$W$791</f>
        <v>508249.30193999998</v>
      </c>
      <c r="AD791" s="6">
        <f>$O$791*$X$791</f>
        <v>341631.03729000001</v>
      </c>
      <c r="AE791" s="6">
        <f>$K$791*$Y$791</f>
        <v>0</v>
      </c>
      <c r="AF791" s="6">
        <f ca="1">$M$791*$Z$791</f>
        <v>514756.04976000002</v>
      </c>
      <c r="AG791" s="6">
        <f ca="1">$O$791*$AA$791</f>
        <v>383590.18887000001</v>
      </c>
    </row>
    <row r="792" spans="1:33" ht="11.25" customHeight="1" x14ac:dyDescent="0.3">
      <c r="A792" s="4" t="s">
        <v>28</v>
      </c>
      <c r="B792" s="4" t="s">
        <v>37</v>
      </c>
      <c r="C792" s="4" t="s">
        <v>23</v>
      </c>
      <c r="D792" s="4" t="s">
        <v>41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44593</v>
      </c>
      <c r="J792" s="6">
        <v>0</v>
      </c>
      <c r="K792" s="6">
        <v>0</v>
      </c>
      <c r="L792" s="6">
        <v>117.672</v>
      </c>
      <c r="M792" s="6">
        <v>117.672</v>
      </c>
      <c r="N792" s="6">
        <v>117.672</v>
      </c>
      <c r="O792" s="6">
        <v>117.672</v>
      </c>
      <c r="P792" s="6">
        <v>206</v>
      </c>
      <c r="Q792" s="4" t="s">
        <v>26</v>
      </c>
      <c r="R792" s="4">
        <v>0</v>
      </c>
      <c r="S792" s="6">
        <v>0</v>
      </c>
      <c r="T792" s="6">
        <v>58</v>
      </c>
      <c r="U792" s="6">
        <v>99</v>
      </c>
      <c r="V792" s="6">
        <f>IF(ISERROR(VLOOKUP($S$792,'TAR FIN'!$A$1:$O$103,15,0)),0,VLOOKUP($S$792,'TAR FIN'!$A$1:$O$103,15,0))</f>
        <v>0</v>
      </c>
      <c r="W792" s="6">
        <f>IF(ISERROR(VLOOKUP($T$792,'TAR FIN'!$A$1:$O$103,15,0)),0,VLOOKUP($T$792,'TAR FIN'!$A$1:$O$103,15,0))</f>
        <v>379.62</v>
      </c>
      <c r="X792" s="6">
        <f>IF(ISERROR(VLOOKUP($U$792,'TAR FIN'!$A$1:$O$103,15,0)),0,VLOOKUP($U$792,'TAR FIN'!$A$1:$O$103,15,0))</f>
        <v>255.17</v>
      </c>
      <c r="Y792" s="6"/>
      <c r="Z792" s="6">
        <f ca="1">('TUSD BE'!$AM$60+'TUSD BF_350'!$AM$60+'TUSD CVA'!$AM$60)*1</f>
        <v>384.48</v>
      </c>
      <c r="AA792" s="6">
        <f ca="1">('TE BE'!$AB$41+'TE BF_350'!$AB$41+'TE CVA'!$AB$41)*1</f>
        <v>286.51</v>
      </c>
      <c r="AB792" s="6">
        <f>$K$792*$V$792</f>
        <v>0</v>
      </c>
      <c r="AC792" s="6">
        <f>$M$792*$W$792</f>
        <v>44670.644639999999</v>
      </c>
      <c r="AD792" s="6">
        <f>$O$792*$X$792</f>
        <v>30026.364239999999</v>
      </c>
      <c r="AE792" s="6">
        <f>$K$792*$Y$792</f>
        <v>0</v>
      </c>
      <c r="AF792" s="6">
        <f ca="1">$M$792*$Z$792</f>
        <v>45242.530559999999</v>
      </c>
      <c r="AG792" s="6">
        <f ca="1">$O$792*$AA$792</f>
        <v>33714.204720000002</v>
      </c>
    </row>
    <row r="793" spans="1:33" ht="11.25" customHeight="1" x14ac:dyDescent="0.3">
      <c r="A793" s="4" t="s">
        <v>21</v>
      </c>
      <c r="B793" s="4" t="s">
        <v>37</v>
      </c>
      <c r="C793" s="4" t="s">
        <v>23</v>
      </c>
      <c r="D793" s="4" t="s">
        <v>41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44621</v>
      </c>
      <c r="J793" s="6">
        <v>0</v>
      </c>
      <c r="K793" s="6">
        <v>0</v>
      </c>
      <c r="L793" s="6">
        <v>1231.1179999999999</v>
      </c>
      <c r="M793" s="6">
        <v>1231.1179999999999</v>
      </c>
      <c r="N793" s="6">
        <v>1231.1179999999999</v>
      </c>
      <c r="O793" s="6">
        <v>1231.1179999999999</v>
      </c>
      <c r="P793" s="6">
        <v>3135</v>
      </c>
      <c r="Q793" s="4" t="s">
        <v>26</v>
      </c>
      <c r="R793" s="4">
        <v>0</v>
      </c>
      <c r="S793" s="6">
        <v>0</v>
      </c>
      <c r="T793" s="6">
        <v>58</v>
      </c>
      <c r="U793" s="6">
        <v>99</v>
      </c>
      <c r="V793" s="6">
        <f>IF(ISERROR(VLOOKUP($S$793,'TAR FIN'!$A$1:$O$103,15,0)),0,VLOOKUP($S$793,'TAR FIN'!$A$1:$O$103,15,0))</f>
        <v>0</v>
      </c>
      <c r="W793" s="6">
        <f>IF(ISERROR(VLOOKUP($T$793,'TAR FIN'!$A$1:$O$103,15,0)),0,VLOOKUP($T$793,'TAR FIN'!$A$1:$O$103,15,0))</f>
        <v>379.62</v>
      </c>
      <c r="X793" s="6">
        <f>IF(ISERROR(VLOOKUP($U$793,'TAR FIN'!$A$1:$O$103,15,0)),0,VLOOKUP($U$793,'TAR FIN'!$A$1:$O$103,15,0))</f>
        <v>255.17</v>
      </c>
      <c r="Y793" s="6"/>
      <c r="Z793" s="6">
        <f ca="1">('TUSD BE'!$AM$60+'TUSD BF_350'!$AM$60+'TUSD CVA'!$AM$60)*1</f>
        <v>384.48</v>
      </c>
      <c r="AA793" s="6">
        <f ca="1">('TE BE'!$AB$41+'TE BF_350'!$AB$41+'TE CVA'!$AB$41)*1</f>
        <v>286.51</v>
      </c>
      <c r="AB793" s="6">
        <f>$K$793*$V$793</f>
        <v>0</v>
      </c>
      <c r="AC793" s="6">
        <f>$M$793*$W$793</f>
        <v>467357.01516000001</v>
      </c>
      <c r="AD793" s="6">
        <f>$O$793*$X$793</f>
        <v>314144.38006</v>
      </c>
      <c r="AE793" s="6">
        <f>$K$793*$Y$793</f>
        <v>0</v>
      </c>
      <c r="AF793" s="6">
        <f ca="1">$M$793*$Z$793</f>
        <v>473340.24864000001</v>
      </c>
      <c r="AG793" s="6">
        <f ca="1">$O$793*$AA$793</f>
        <v>352727.61817999999</v>
      </c>
    </row>
    <row r="794" spans="1:33" ht="11.25" customHeight="1" x14ac:dyDescent="0.3">
      <c r="A794" s="4" t="s">
        <v>28</v>
      </c>
      <c r="B794" s="4" t="s">
        <v>37</v>
      </c>
      <c r="C794" s="4" t="s">
        <v>23</v>
      </c>
      <c r="D794" s="4" t="s">
        <v>41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44621</v>
      </c>
      <c r="J794" s="6">
        <v>0</v>
      </c>
      <c r="K794" s="6">
        <v>0</v>
      </c>
      <c r="L794" s="6">
        <v>114.151</v>
      </c>
      <c r="M794" s="6">
        <v>114.151</v>
      </c>
      <c r="N794" s="6">
        <v>114.151</v>
      </c>
      <c r="O794" s="6">
        <v>114.151</v>
      </c>
      <c r="P794" s="6">
        <v>213</v>
      </c>
      <c r="Q794" s="4" t="s">
        <v>26</v>
      </c>
      <c r="R794" s="4">
        <v>0</v>
      </c>
      <c r="S794" s="6">
        <v>0</v>
      </c>
      <c r="T794" s="6">
        <v>58</v>
      </c>
      <c r="U794" s="6">
        <v>99</v>
      </c>
      <c r="V794" s="6">
        <f>IF(ISERROR(VLOOKUP($S$794,'TAR FIN'!$A$1:$O$103,15,0)),0,VLOOKUP($S$794,'TAR FIN'!$A$1:$O$103,15,0))</f>
        <v>0</v>
      </c>
      <c r="W794" s="6">
        <f>IF(ISERROR(VLOOKUP($T$794,'TAR FIN'!$A$1:$O$103,15,0)),0,VLOOKUP($T$794,'TAR FIN'!$A$1:$O$103,15,0))</f>
        <v>379.62</v>
      </c>
      <c r="X794" s="6">
        <f>IF(ISERROR(VLOOKUP($U$794,'TAR FIN'!$A$1:$O$103,15,0)),0,VLOOKUP($U$794,'TAR FIN'!$A$1:$O$103,15,0))</f>
        <v>255.17</v>
      </c>
      <c r="Y794" s="6"/>
      <c r="Z794" s="6">
        <f ca="1">('TUSD BE'!$AM$60+'TUSD BF_350'!$AM$60+'TUSD CVA'!$AM$60)*1</f>
        <v>384.48</v>
      </c>
      <c r="AA794" s="6">
        <f ca="1">('TE BE'!$AB$41+'TE BF_350'!$AB$41+'TE CVA'!$AB$41)*1</f>
        <v>286.51</v>
      </c>
      <c r="AB794" s="6">
        <f>$K$794*$V$794</f>
        <v>0</v>
      </c>
      <c r="AC794" s="6">
        <f>$M$794*$W$794</f>
        <v>43334.002619999999</v>
      </c>
      <c r="AD794" s="6">
        <f>$O$794*$X$794</f>
        <v>29127.910669999997</v>
      </c>
      <c r="AE794" s="6">
        <f>$K$794*$Y$794</f>
        <v>0</v>
      </c>
      <c r="AF794" s="6">
        <f ca="1">$M$794*$Z$794</f>
        <v>43888.77648</v>
      </c>
      <c r="AG794" s="6">
        <f ca="1">$O$794*$AA$794</f>
        <v>32705.403009999998</v>
      </c>
    </row>
    <row r="795" spans="1:33" ht="11.25" customHeight="1" x14ac:dyDescent="0.3">
      <c r="A795" s="4" t="s">
        <v>21</v>
      </c>
      <c r="B795" s="4" t="s">
        <v>37</v>
      </c>
      <c r="C795" s="4" t="s">
        <v>23</v>
      </c>
      <c r="D795" s="4" t="s">
        <v>41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44652</v>
      </c>
      <c r="J795" s="6">
        <v>0</v>
      </c>
      <c r="K795" s="6">
        <v>0</v>
      </c>
      <c r="L795" s="6">
        <v>1489.4559999999999</v>
      </c>
      <c r="M795" s="6">
        <v>1489.4559999999999</v>
      </c>
      <c r="N795" s="6">
        <v>1489.4559999999999</v>
      </c>
      <c r="O795" s="6">
        <v>1489.4559999999999</v>
      </c>
      <c r="P795" s="6">
        <v>3121</v>
      </c>
      <c r="Q795" s="4" t="s">
        <v>26</v>
      </c>
      <c r="R795" s="4">
        <v>0</v>
      </c>
      <c r="S795" s="6">
        <v>0</v>
      </c>
      <c r="T795" s="6">
        <v>58</v>
      </c>
      <c r="U795" s="6">
        <v>99</v>
      </c>
      <c r="V795" s="6">
        <f>IF(ISERROR(VLOOKUP($S$795,'TAR FIN'!$A$1:$O$103,15,0)),0,VLOOKUP($S$795,'TAR FIN'!$A$1:$O$103,15,0))</f>
        <v>0</v>
      </c>
      <c r="W795" s="6">
        <f>IF(ISERROR(VLOOKUP($T$795,'TAR FIN'!$A$1:$O$103,15,0)),0,VLOOKUP($T$795,'TAR FIN'!$A$1:$O$103,15,0))</f>
        <v>379.62</v>
      </c>
      <c r="X795" s="6">
        <f>IF(ISERROR(VLOOKUP($U$795,'TAR FIN'!$A$1:$O$103,15,0)),0,VLOOKUP($U$795,'TAR FIN'!$A$1:$O$103,15,0))</f>
        <v>255.17</v>
      </c>
      <c r="Y795" s="6"/>
      <c r="Z795" s="6">
        <f ca="1">('TUSD BE'!$AM$60+'TUSD BF_350'!$AM$60+'TUSD CVA'!$AM$60)*1</f>
        <v>384.48</v>
      </c>
      <c r="AA795" s="6">
        <f ca="1">('TE BE'!$AB$41+'TE BF_350'!$AB$41+'TE CVA'!$AB$41)*1</f>
        <v>286.51</v>
      </c>
      <c r="AB795" s="6">
        <f>$K$795*$V$795</f>
        <v>0</v>
      </c>
      <c r="AC795" s="6">
        <f>$M$795*$W$795</f>
        <v>565427.28671999997</v>
      </c>
      <c r="AD795" s="6">
        <f>$O$795*$X$795</f>
        <v>380064.48751999997</v>
      </c>
      <c r="AE795" s="6">
        <f>$K$795*$Y$795</f>
        <v>0</v>
      </c>
      <c r="AF795" s="6">
        <f ca="1">$M$795*$Z$795</f>
        <v>572666.04287999996</v>
      </c>
      <c r="AG795" s="6">
        <f ca="1">$O$795*$AA$795</f>
        <v>426744.03855999996</v>
      </c>
    </row>
    <row r="796" spans="1:33" ht="11.25" customHeight="1" x14ac:dyDescent="0.3">
      <c r="A796" s="4" t="s">
        <v>28</v>
      </c>
      <c r="B796" s="4" t="s">
        <v>37</v>
      </c>
      <c r="C796" s="4" t="s">
        <v>23</v>
      </c>
      <c r="D796" s="4" t="s">
        <v>41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44652</v>
      </c>
      <c r="J796" s="6">
        <v>0</v>
      </c>
      <c r="K796" s="6">
        <v>0</v>
      </c>
      <c r="L796" s="6">
        <v>126.386</v>
      </c>
      <c r="M796" s="6">
        <v>126.386</v>
      </c>
      <c r="N796" s="6">
        <v>126.386</v>
      </c>
      <c r="O796" s="6">
        <v>126.386</v>
      </c>
      <c r="P796" s="6">
        <v>230</v>
      </c>
      <c r="Q796" s="4" t="s">
        <v>26</v>
      </c>
      <c r="R796" s="4">
        <v>0</v>
      </c>
      <c r="S796" s="6">
        <v>0</v>
      </c>
      <c r="T796" s="6">
        <v>58</v>
      </c>
      <c r="U796" s="6">
        <v>99</v>
      </c>
      <c r="V796" s="6">
        <f>IF(ISERROR(VLOOKUP($S$796,'TAR FIN'!$A$1:$O$103,15,0)),0,VLOOKUP($S$796,'TAR FIN'!$A$1:$O$103,15,0))</f>
        <v>0</v>
      </c>
      <c r="W796" s="6">
        <f>IF(ISERROR(VLOOKUP($T$796,'TAR FIN'!$A$1:$O$103,15,0)),0,VLOOKUP($T$796,'TAR FIN'!$A$1:$O$103,15,0))</f>
        <v>379.62</v>
      </c>
      <c r="X796" s="6">
        <f>IF(ISERROR(VLOOKUP($U$796,'TAR FIN'!$A$1:$O$103,15,0)),0,VLOOKUP($U$796,'TAR FIN'!$A$1:$O$103,15,0))</f>
        <v>255.17</v>
      </c>
      <c r="Y796" s="6"/>
      <c r="Z796" s="6">
        <f ca="1">('TUSD BE'!$AM$60+'TUSD BF_350'!$AM$60+'TUSD CVA'!$AM$60)*1</f>
        <v>384.48</v>
      </c>
      <c r="AA796" s="6">
        <f ca="1">('TE BE'!$AB$41+'TE BF_350'!$AB$41+'TE CVA'!$AB$41)*1</f>
        <v>286.51</v>
      </c>
      <c r="AB796" s="6">
        <f>$K$796*$V$796</f>
        <v>0</v>
      </c>
      <c r="AC796" s="6">
        <f>$M$796*$W$796</f>
        <v>47978.653319999998</v>
      </c>
      <c r="AD796" s="6">
        <f>$O$796*$X$796</f>
        <v>32249.915619999996</v>
      </c>
      <c r="AE796" s="6">
        <f>$K$796*$Y$796</f>
        <v>0</v>
      </c>
      <c r="AF796" s="6">
        <f ca="1">$M$796*$Z$796</f>
        <v>48592.889280000003</v>
      </c>
      <c r="AG796" s="6">
        <f ca="1">$O$796*$AA$796</f>
        <v>36210.852859999999</v>
      </c>
    </row>
    <row r="797" spans="1:33" ht="11.25" customHeight="1" x14ac:dyDescent="0.3">
      <c r="A797" s="4" t="s">
        <v>21</v>
      </c>
      <c r="B797" s="4" t="s">
        <v>37</v>
      </c>
      <c r="C797" s="4" t="s">
        <v>23</v>
      </c>
      <c r="D797" s="4" t="s">
        <v>41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44682</v>
      </c>
      <c r="J797" s="6">
        <v>0</v>
      </c>
      <c r="K797" s="6">
        <v>0</v>
      </c>
      <c r="L797" s="6">
        <v>1390.402</v>
      </c>
      <c r="M797" s="6">
        <v>1390.402</v>
      </c>
      <c r="N797" s="6">
        <v>1390.402</v>
      </c>
      <c r="O797" s="6">
        <v>1390.402</v>
      </c>
      <c r="P797" s="6">
        <v>3120</v>
      </c>
      <c r="Q797" s="4" t="s">
        <v>26</v>
      </c>
      <c r="R797" s="4">
        <v>0</v>
      </c>
      <c r="S797" s="6">
        <v>0</v>
      </c>
      <c r="T797" s="6">
        <v>58</v>
      </c>
      <c r="U797" s="6">
        <v>99</v>
      </c>
      <c r="V797" s="6">
        <f>IF(ISERROR(VLOOKUP($S$797,'TAR FIN'!$A$1:$O$103,15,0)),0,VLOOKUP($S$797,'TAR FIN'!$A$1:$O$103,15,0))</f>
        <v>0</v>
      </c>
      <c r="W797" s="6">
        <f>IF(ISERROR(VLOOKUP($T$797,'TAR FIN'!$A$1:$O$103,15,0)),0,VLOOKUP($T$797,'TAR FIN'!$A$1:$O$103,15,0))</f>
        <v>379.62</v>
      </c>
      <c r="X797" s="6">
        <f>IF(ISERROR(VLOOKUP($U$797,'TAR FIN'!$A$1:$O$103,15,0)),0,VLOOKUP($U$797,'TAR FIN'!$A$1:$O$103,15,0))</f>
        <v>255.17</v>
      </c>
      <c r="Y797" s="6"/>
      <c r="Z797" s="6">
        <f ca="1">('TUSD BE'!$AM$60+'TUSD BF_350'!$AM$60+'TUSD CVA'!$AM$60)*1</f>
        <v>384.48</v>
      </c>
      <c r="AA797" s="6">
        <f ca="1">('TE BE'!$AB$41+'TE BF_350'!$AB$41+'TE CVA'!$AB$41)*1</f>
        <v>286.51</v>
      </c>
      <c r="AB797" s="6">
        <f>$K$797*$V$797</f>
        <v>0</v>
      </c>
      <c r="AC797" s="6">
        <f>$M$797*$W$797</f>
        <v>527824.40723999997</v>
      </c>
      <c r="AD797" s="6">
        <f>$O$797*$X$797</f>
        <v>354788.87834</v>
      </c>
      <c r="AE797" s="6">
        <f>$K$797*$Y$797</f>
        <v>0</v>
      </c>
      <c r="AF797" s="6">
        <f ca="1">$M$797*$Z$797</f>
        <v>534581.76095999999</v>
      </c>
      <c r="AG797" s="6">
        <f ca="1">$O$797*$AA$797</f>
        <v>398364.07702000003</v>
      </c>
    </row>
    <row r="798" spans="1:33" ht="11.25" customHeight="1" x14ac:dyDescent="0.3">
      <c r="A798" s="4" t="s">
        <v>28</v>
      </c>
      <c r="B798" s="4" t="s">
        <v>37</v>
      </c>
      <c r="C798" s="4" t="s">
        <v>23</v>
      </c>
      <c r="D798" s="4" t="s">
        <v>41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44682</v>
      </c>
      <c r="J798" s="6">
        <v>0</v>
      </c>
      <c r="K798" s="6">
        <v>0</v>
      </c>
      <c r="L798" s="6">
        <v>144.86600000000001</v>
      </c>
      <c r="M798" s="6">
        <v>144.86600000000001</v>
      </c>
      <c r="N798" s="6">
        <v>144.86600000000001</v>
      </c>
      <c r="O798" s="6">
        <v>144.86600000000001</v>
      </c>
      <c r="P798" s="6">
        <v>233</v>
      </c>
      <c r="Q798" s="4" t="s">
        <v>26</v>
      </c>
      <c r="R798" s="4">
        <v>0</v>
      </c>
      <c r="S798" s="6">
        <v>0</v>
      </c>
      <c r="T798" s="6">
        <v>58</v>
      </c>
      <c r="U798" s="6">
        <v>99</v>
      </c>
      <c r="V798" s="6">
        <f>IF(ISERROR(VLOOKUP($S$798,'TAR FIN'!$A$1:$O$103,15,0)),0,VLOOKUP($S$798,'TAR FIN'!$A$1:$O$103,15,0))</f>
        <v>0</v>
      </c>
      <c r="W798" s="6">
        <f>IF(ISERROR(VLOOKUP($T$798,'TAR FIN'!$A$1:$O$103,15,0)),0,VLOOKUP($T$798,'TAR FIN'!$A$1:$O$103,15,0))</f>
        <v>379.62</v>
      </c>
      <c r="X798" s="6">
        <f>IF(ISERROR(VLOOKUP($U$798,'TAR FIN'!$A$1:$O$103,15,0)),0,VLOOKUP($U$798,'TAR FIN'!$A$1:$O$103,15,0))</f>
        <v>255.17</v>
      </c>
      <c r="Y798" s="6"/>
      <c r="Z798" s="6">
        <f ca="1">('TUSD BE'!$AM$60+'TUSD BF_350'!$AM$60+'TUSD CVA'!$AM$60)*1</f>
        <v>384.48</v>
      </c>
      <c r="AA798" s="6">
        <f ca="1">('TE BE'!$AB$41+'TE BF_350'!$AB$41+'TE CVA'!$AB$41)*1</f>
        <v>286.51</v>
      </c>
      <c r="AB798" s="6">
        <f>$K$798*$V$798</f>
        <v>0</v>
      </c>
      <c r="AC798" s="6">
        <f>$M$798*$W$798</f>
        <v>54994.030920000005</v>
      </c>
      <c r="AD798" s="6">
        <f>$O$798*$X$798</f>
        <v>36965.457220000004</v>
      </c>
      <c r="AE798" s="6">
        <f>$K$798*$Y$798</f>
        <v>0</v>
      </c>
      <c r="AF798" s="6">
        <f ca="1">$M$798*$Z$798</f>
        <v>55698.07968000001</v>
      </c>
      <c r="AG798" s="6">
        <f ca="1">$O$798*$AA$798</f>
        <v>41505.557660000006</v>
      </c>
    </row>
    <row r="799" spans="1:33" ht="11.25" customHeight="1" x14ac:dyDescent="0.3">
      <c r="A799" s="4" t="s">
        <v>21</v>
      </c>
      <c r="B799" s="4" t="s">
        <v>37</v>
      </c>
      <c r="C799" s="4" t="s">
        <v>23</v>
      </c>
      <c r="D799" s="4" t="s">
        <v>41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44713</v>
      </c>
      <c r="J799" s="6">
        <v>0</v>
      </c>
      <c r="K799" s="6">
        <v>0</v>
      </c>
      <c r="L799" s="6">
        <v>1191.5650000000001</v>
      </c>
      <c r="M799" s="6">
        <v>1191.5650000000001</v>
      </c>
      <c r="N799" s="6">
        <v>1191.5650000000001</v>
      </c>
      <c r="O799" s="6">
        <v>1191.5650000000001</v>
      </c>
      <c r="P799" s="6">
        <v>3116</v>
      </c>
      <c r="Q799" s="4" t="s">
        <v>26</v>
      </c>
      <c r="R799" s="4">
        <v>0</v>
      </c>
      <c r="S799" s="6">
        <v>0</v>
      </c>
      <c r="T799" s="6">
        <v>58</v>
      </c>
      <c r="U799" s="6">
        <v>99</v>
      </c>
      <c r="V799" s="6">
        <f>IF(ISERROR(VLOOKUP($S$799,'TAR FIN'!$A$1:$O$103,15,0)),0,VLOOKUP($S$799,'TAR FIN'!$A$1:$O$103,15,0))</f>
        <v>0</v>
      </c>
      <c r="W799" s="6">
        <f>IF(ISERROR(VLOOKUP($T$799,'TAR FIN'!$A$1:$O$103,15,0)),0,VLOOKUP($T$799,'TAR FIN'!$A$1:$O$103,15,0))</f>
        <v>379.62</v>
      </c>
      <c r="X799" s="6">
        <f>IF(ISERROR(VLOOKUP($U$799,'TAR FIN'!$A$1:$O$103,15,0)),0,VLOOKUP($U$799,'TAR FIN'!$A$1:$O$103,15,0))</f>
        <v>255.17</v>
      </c>
      <c r="Y799" s="6"/>
      <c r="Z799" s="6">
        <f ca="1">('TUSD BE'!$AM$60+'TUSD BF_350'!$AM$60+'TUSD CVA'!$AM$60)*1</f>
        <v>384.48</v>
      </c>
      <c r="AA799" s="6">
        <f ca="1">('TE BE'!$AB$41+'TE BF_350'!$AB$41+'TE CVA'!$AB$41)*1</f>
        <v>286.51</v>
      </c>
      <c r="AB799" s="6">
        <f>$K$799*$V$799</f>
        <v>0</v>
      </c>
      <c r="AC799" s="6">
        <f>$M$799*$W$799</f>
        <v>452341.90530000004</v>
      </c>
      <c r="AD799" s="6">
        <f>$O$799*$X$799</f>
        <v>304051.64104999998</v>
      </c>
      <c r="AE799" s="6">
        <f>$K$799*$Y$799</f>
        <v>0</v>
      </c>
      <c r="AF799" s="6">
        <f ca="1">$M$799*$Z$799</f>
        <v>458132.91120000003</v>
      </c>
      <c r="AG799" s="6">
        <f ca="1">$O$799*$AA$799</f>
        <v>341395.28814999998</v>
      </c>
    </row>
    <row r="800" spans="1:33" ht="11.25" customHeight="1" x14ac:dyDescent="0.3">
      <c r="A800" s="4" t="s">
        <v>28</v>
      </c>
      <c r="B800" s="4" t="s">
        <v>37</v>
      </c>
      <c r="C800" s="4" t="s">
        <v>23</v>
      </c>
      <c r="D800" s="4" t="s">
        <v>41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44713</v>
      </c>
      <c r="J800" s="6">
        <v>0</v>
      </c>
      <c r="K800" s="6">
        <v>0</v>
      </c>
      <c r="L800" s="6">
        <v>123.622</v>
      </c>
      <c r="M800" s="6">
        <v>123.622</v>
      </c>
      <c r="N800" s="6">
        <v>123.622</v>
      </c>
      <c r="O800" s="6">
        <v>123.622</v>
      </c>
      <c r="P800" s="6">
        <v>236</v>
      </c>
      <c r="Q800" s="4" t="s">
        <v>26</v>
      </c>
      <c r="R800" s="4">
        <v>0</v>
      </c>
      <c r="S800" s="6">
        <v>0</v>
      </c>
      <c r="T800" s="6">
        <v>58</v>
      </c>
      <c r="U800" s="6">
        <v>99</v>
      </c>
      <c r="V800" s="6">
        <f>IF(ISERROR(VLOOKUP($S$800,'TAR FIN'!$A$1:$O$103,15,0)),0,VLOOKUP($S$800,'TAR FIN'!$A$1:$O$103,15,0))</f>
        <v>0</v>
      </c>
      <c r="W800" s="6">
        <f>IF(ISERROR(VLOOKUP($T$800,'TAR FIN'!$A$1:$O$103,15,0)),0,VLOOKUP($T$800,'TAR FIN'!$A$1:$O$103,15,0))</f>
        <v>379.62</v>
      </c>
      <c r="X800" s="6">
        <f>IF(ISERROR(VLOOKUP($U$800,'TAR FIN'!$A$1:$O$103,15,0)),0,VLOOKUP($U$800,'TAR FIN'!$A$1:$O$103,15,0))</f>
        <v>255.17</v>
      </c>
      <c r="Y800" s="6"/>
      <c r="Z800" s="6">
        <f ca="1">('TUSD BE'!$AM$60+'TUSD BF_350'!$AM$60+'TUSD CVA'!$AM$60)*1</f>
        <v>384.48</v>
      </c>
      <c r="AA800" s="6">
        <f ca="1">('TE BE'!$AB$41+'TE BF_350'!$AB$41+'TE CVA'!$AB$41)*1</f>
        <v>286.51</v>
      </c>
      <c r="AB800" s="6">
        <f>$K$800*$V$800</f>
        <v>0</v>
      </c>
      <c r="AC800" s="6">
        <f>$M$800*$W$800</f>
        <v>46929.38364</v>
      </c>
      <c r="AD800" s="6">
        <f>$O$800*$X$800</f>
        <v>31544.625739999999</v>
      </c>
      <c r="AE800" s="6">
        <f>$K$800*$Y$800</f>
        <v>0</v>
      </c>
      <c r="AF800" s="6">
        <f ca="1">$M$800*$Z$800</f>
        <v>47530.186560000002</v>
      </c>
      <c r="AG800" s="6">
        <f ca="1">$O$800*$AA$800</f>
        <v>35418.93922</v>
      </c>
    </row>
    <row r="801" spans="1:33" ht="11.25" customHeight="1" x14ac:dyDescent="0.3">
      <c r="A801" s="4" t="s">
        <v>21</v>
      </c>
      <c r="B801" s="4" t="s">
        <v>37</v>
      </c>
      <c r="C801" s="4" t="s">
        <v>23</v>
      </c>
      <c r="D801" s="4" t="s">
        <v>41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44743</v>
      </c>
      <c r="J801" s="6">
        <v>0</v>
      </c>
      <c r="K801" s="6">
        <v>0</v>
      </c>
      <c r="L801" s="6">
        <v>1218.107</v>
      </c>
      <c r="M801" s="6">
        <v>1218.107</v>
      </c>
      <c r="N801" s="6">
        <v>1218.107</v>
      </c>
      <c r="O801" s="6">
        <v>1218.107</v>
      </c>
      <c r="P801" s="6">
        <v>3101</v>
      </c>
      <c r="Q801" s="4" t="s">
        <v>26</v>
      </c>
      <c r="R801" s="4">
        <v>0</v>
      </c>
      <c r="S801" s="6">
        <v>0</v>
      </c>
      <c r="T801" s="6">
        <v>58</v>
      </c>
      <c r="U801" s="6">
        <v>99</v>
      </c>
      <c r="V801" s="6">
        <f>IF(ISERROR(VLOOKUP($S$801,'TAR FIN'!$A$1:$O$103,15,0)),0,VLOOKUP($S$801,'TAR FIN'!$A$1:$O$103,15,0))</f>
        <v>0</v>
      </c>
      <c r="W801" s="6">
        <f>IF(ISERROR(VLOOKUP($T$801,'TAR FIN'!$A$1:$O$103,15,0)),0,VLOOKUP($T$801,'TAR FIN'!$A$1:$O$103,15,0))</f>
        <v>379.62</v>
      </c>
      <c r="X801" s="6">
        <f>IF(ISERROR(VLOOKUP($U$801,'TAR FIN'!$A$1:$O$103,15,0)),0,VLOOKUP($U$801,'TAR FIN'!$A$1:$O$103,15,0))</f>
        <v>255.17</v>
      </c>
      <c r="Y801" s="6"/>
      <c r="Z801" s="6">
        <f ca="1">('TUSD BE'!$AM$60+'TUSD BF_350'!$AM$60+'TUSD CVA'!$AM$60)*1</f>
        <v>384.48</v>
      </c>
      <c r="AA801" s="6">
        <f ca="1">('TE BE'!$AB$41+'TE BF_350'!$AB$41+'TE CVA'!$AB$41)*1</f>
        <v>286.51</v>
      </c>
      <c r="AB801" s="6">
        <f>$K$801*$V$801</f>
        <v>0</v>
      </c>
      <c r="AC801" s="6">
        <f>$M$801*$W$801</f>
        <v>462417.77934000001</v>
      </c>
      <c r="AD801" s="6">
        <f>$O$801*$X$801</f>
        <v>310824.36319</v>
      </c>
      <c r="AE801" s="6">
        <f>$K$801*$Y$801</f>
        <v>0</v>
      </c>
      <c r="AF801" s="6">
        <f ca="1">$M$801*$Z$801</f>
        <v>468337.77935999999</v>
      </c>
      <c r="AG801" s="6">
        <f ca="1">$O$801*$AA$801</f>
        <v>348999.83656999998</v>
      </c>
    </row>
    <row r="802" spans="1:33" ht="11.25" customHeight="1" x14ac:dyDescent="0.3">
      <c r="A802" s="4" t="s">
        <v>28</v>
      </c>
      <c r="B802" s="4" t="s">
        <v>37</v>
      </c>
      <c r="C802" s="4" t="s">
        <v>23</v>
      </c>
      <c r="D802" s="4" t="s">
        <v>41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44743</v>
      </c>
      <c r="J802" s="6">
        <v>0</v>
      </c>
      <c r="K802" s="6">
        <v>0</v>
      </c>
      <c r="L802" s="6">
        <v>133.83799999999999</v>
      </c>
      <c r="M802" s="6">
        <v>133.83799999999999</v>
      </c>
      <c r="N802" s="6">
        <v>133.83799999999999</v>
      </c>
      <c r="O802" s="6">
        <v>133.83799999999999</v>
      </c>
      <c r="P802" s="6">
        <v>257</v>
      </c>
      <c r="Q802" s="4" t="s">
        <v>26</v>
      </c>
      <c r="R802" s="4">
        <v>0</v>
      </c>
      <c r="S802" s="6">
        <v>0</v>
      </c>
      <c r="T802" s="6">
        <v>58</v>
      </c>
      <c r="U802" s="6">
        <v>99</v>
      </c>
      <c r="V802" s="6">
        <f>IF(ISERROR(VLOOKUP($S$802,'TAR FIN'!$A$1:$O$103,15,0)),0,VLOOKUP($S$802,'TAR FIN'!$A$1:$O$103,15,0))</f>
        <v>0</v>
      </c>
      <c r="W802" s="6">
        <f>IF(ISERROR(VLOOKUP($T$802,'TAR FIN'!$A$1:$O$103,15,0)),0,VLOOKUP($T$802,'TAR FIN'!$A$1:$O$103,15,0))</f>
        <v>379.62</v>
      </c>
      <c r="X802" s="6">
        <f>IF(ISERROR(VLOOKUP($U$802,'TAR FIN'!$A$1:$O$103,15,0)),0,VLOOKUP($U$802,'TAR FIN'!$A$1:$O$103,15,0))</f>
        <v>255.17</v>
      </c>
      <c r="Y802" s="6"/>
      <c r="Z802" s="6">
        <f ca="1">('TUSD BE'!$AM$60+'TUSD BF_350'!$AM$60+'TUSD CVA'!$AM$60)*1</f>
        <v>384.48</v>
      </c>
      <c r="AA802" s="6">
        <f ca="1">('TE BE'!$AB$41+'TE BF_350'!$AB$41+'TE CVA'!$AB$41)*1</f>
        <v>286.51</v>
      </c>
      <c r="AB802" s="6">
        <f>$K$802*$V$802</f>
        <v>0</v>
      </c>
      <c r="AC802" s="6">
        <f>$M$802*$W$802</f>
        <v>50807.581559999999</v>
      </c>
      <c r="AD802" s="6">
        <f>$O$802*$X$802</f>
        <v>34151.442459999998</v>
      </c>
      <c r="AE802" s="6">
        <f>$K$802*$Y$802</f>
        <v>0</v>
      </c>
      <c r="AF802" s="6">
        <f ca="1">$M$802*$Z$802</f>
        <v>51458.034240000001</v>
      </c>
      <c r="AG802" s="6">
        <f ca="1">$O$802*$AA$802</f>
        <v>38345.925380000001</v>
      </c>
    </row>
    <row r="803" spans="1:33" ht="11.25" customHeight="1" x14ac:dyDescent="0.3">
      <c r="A803" s="4" t="s">
        <v>21</v>
      </c>
      <c r="B803" s="4" t="s">
        <v>37</v>
      </c>
      <c r="C803" s="4" t="s">
        <v>23</v>
      </c>
      <c r="D803" s="4" t="s">
        <v>41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44774</v>
      </c>
      <c r="J803" s="6">
        <v>0</v>
      </c>
      <c r="K803" s="6">
        <v>0</v>
      </c>
      <c r="L803" s="6">
        <v>1135.0899999999999</v>
      </c>
      <c r="M803" s="6">
        <v>1135.0899999999999</v>
      </c>
      <c r="N803" s="6">
        <v>1135.0899999999999</v>
      </c>
      <c r="O803" s="6">
        <v>1135.0899999999999</v>
      </c>
      <c r="P803" s="6">
        <v>3087</v>
      </c>
      <c r="Q803" s="4" t="s">
        <v>26</v>
      </c>
      <c r="R803" s="4">
        <v>0</v>
      </c>
      <c r="S803" s="6">
        <v>0</v>
      </c>
      <c r="T803" s="6">
        <v>58</v>
      </c>
      <c r="U803" s="6">
        <v>99</v>
      </c>
      <c r="V803" s="6">
        <f>IF(ISERROR(VLOOKUP($S$803,'TAR FIN'!$A$1:$O$103,15,0)),0,VLOOKUP($S$803,'TAR FIN'!$A$1:$O$103,15,0))</f>
        <v>0</v>
      </c>
      <c r="W803" s="6">
        <f>IF(ISERROR(VLOOKUP($T$803,'TAR FIN'!$A$1:$O$103,15,0)),0,VLOOKUP($T$803,'TAR FIN'!$A$1:$O$103,15,0))</f>
        <v>379.62</v>
      </c>
      <c r="X803" s="6">
        <f>IF(ISERROR(VLOOKUP($U$803,'TAR FIN'!$A$1:$O$103,15,0)),0,VLOOKUP($U$803,'TAR FIN'!$A$1:$O$103,15,0))</f>
        <v>255.17</v>
      </c>
      <c r="Y803" s="6"/>
      <c r="Z803" s="6">
        <f ca="1">('TUSD BE'!$AM$60+'TUSD BF_350'!$AM$60+'TUSD CVA'!$AM$60)*1</f>
        <v>384.48</v>
      </c>
      <c r="AA803" s="6">
        <f ca="1">('TE BE'!$AB$41+'TE BF_350'!$AB$41+'TE CVA'!$AB$41)*1</f>
        <v>286.51</v>
      </c>
      <c r="AB803" s="6">
        <f>$K$803*$V$803</f>
        <v>0</v>
      </c>
      <c r="AC803" s="6">
        <f>$M$803*$W$803</f>
        <v>430902.86579999997</v>
      </c>
      <c r="AD803" s="6">
        <f>$O$803*$X$803</f>
        <v>289640.91529999999</v>
      </c>
      <c r="AE803" s="6">
        <f>$K$803*$Y$803</f>
        <v>0</v>
      </c>
      <c r="AF803" s="6">
        <f ca="1">$M$803*$Z$803</f>
        <v>436419.4032</v>
      </c>
      <c r="AG803" s="6">
        <f ca="1">$O$803*$AA$803</f>
        <v>325214.63589999999</v>
      </c>
    </row>
    <row r="804" spans="1:33" ht="11.25" customHeight="1" x14ac:dyDescent="0.3">
      <c r="A804" s="4" t="s">
        <v>28</v>
      </c>
      <c r="B804" s="4" t="s">
        <v>37</v>
      </c>
      <c r="C804" s="4" t="s">
        <v>23</v>
      </c>
      <c r="D804" s="4" t="s">
        <v>41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44774</v>
      </c>
      <c r="J804" s="6">
        <v>0</v>
      </c>
      <c r="K804" s="6">
        <v>0</v>
      </c>
      <c r="L804" s="6">
        <v>116.259</v>
      </c>
      <c r="M804" s="6">
        <v>116.259</v>
      </c>
      <c r="N804" s="6">
        <v>116.259</v>
      </c>
      <c r="O804" s="6">
        <v>116.259</v>
      </c>
      <c r="P804" s="6">
        <v>265</v>
      </c>
      <c r="Q804" s="4" t="s">
        <v>26</v>
      </c>
      <c r="R804" s="4">
        <v>0</v>
      </c>
      <c r="S804" s="6">
        <v>0</v>
      </c>
      <c r="T804" s="6">
        <v>58</v>
      </c>
      <c r="U804" s="6">
        <v>99</v>
      </c>
      <c r="V804" s="6">
        <f>IF(ISERROR(VLOOKUP($S$804,'TAR FIN'!$A$1:$O$103,15,0)),0,VLOOKUP($S$804,'TAR FIN'!$A$1:$O$103,15,0))</f>
        <v>0</v>
      </c>
      <c r="W804" s="6">
        <f>IF(ISERROR(VLOOKUP($T$804,'TAR FIN'!$A$1:$O$103,15,0)),0,VLOOKUP($T$804,'TAR FIN'!$A$1:$O$103,15,0))</f>
        <v>379.62</v>
      </c>
      <c r="X804" s="6">
        <f>IF(ISERROR(VLOOKUP($U$804,'TAR FIN'!$A$1:$O$103,15,0)),0,VLOOKUP($U$804,'TAR FIN'!$A$1:$O$103,15,0))</f>
        <v>255.17</v>
      </c>
      <c r="Y804" s="6"/>
      <c r="Z804" s="6">
        <f ca="1">('TUSD BE'!$AM$60+'TUSD BF_350'!$AM$60+'TUSD CVA'!$AM$60)*1</f>
        <v>384.48</v>
      </c>
      <c r="AA804" s="6">
        <f ca="1">('TE BE'!$AB$41+'TE BF_350'!$AB$41+'TE CVA'!$AB$41)*1</f>
        <v>286.51</v>
      </c>
      <c r="AB804" s="6">
        <f>$K$804*$V$804</f>
        <v>0</v>
      </c>
      <c r="AC804" s="6">
        <f>$M$804*$W$804</f>
        <v>44134.241580000002</v>
      </c>
      <c r="AD804" s="6">
        <f>$O$804*$X$804</f>
        <v>29665.80903</v>
      </c>
      <c r="AE804" s="6">
        <f>$K$804*$Y$804</f>
        <v>0</v>
      </c>
      <c r="AF804" s="6">
        <f ca="1">$M$804*$Z$804</f>
        <v>44699.260320000001</v>
      </c>
      <c r="AG804" s="6">
        <f ca="1">$O$804*$AA$804</f>
        <v>33309.366089999996</v>
      </c>
    </row>
    <row r="805" spans="1:33" ht="11.25" customHeight="1" x14ac:dyDescent="0.3">
      <c r="A805" s="4" t="s">
        <v>21</v>
      </c>
      <c r="B805" s="4" t="s">
        <v>37</v>
      </c>
      <c r="C805" s="4" t="s">
        <v>23</v>
      </c>
      <c r="D805" s="4" t="s">
        <v>41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44805</v>
      </c>
      <c r="J805" s="6">
        <v>0</v>
      </c>
      <c r="K805" s="6">
        <v>0</v>
      </c>
      <c r="L805" s="6">
        <v>1354.8879999999999</v>
      </c>
      <c r="M805" s="6">
        <v>1354.8879999999999</v>
      </c>
      <c r="N805" s="6">
        <v>1354.8879999999999</v>
      </c>
      <c r="O805" s="6">
        <v>1354.8879999999999</v>
      </c>
      <c r="P805" s="6">
        <v>3096</v>
      </c>
      <c r="Q805" s="4" t="s">
        <v>26</v>
      </c>
      <c r="R805" s="4">
        <v>0</v>
      </c>
      <c r="S805" s="6">
        <v>0</v>
      </c>
      <c r="T805" s="6">
        <v>58</v>
      </c>
      <c r="U805" s="6">
        <v>99</v>
      </c>
      <c r="V805" s="6">
        <f>IF(ISERROR(VLOOKUP($S$805,'TAR FIN'!$A$1:$O$103,15,0)),0,VLOOKUP($S$805,'TAR FIN'!$A$1:$O$103,15,0))</f>
        <v>0</v>
      </c>
      <c r="W805" s="6">
        <f>IF(ISERROR(VLOOKUP($T$805,'TAR FIN'!$A$1:$O$103,15,0)),0,VLOOKUP($T$805,'TAR FIN'!$A$1:$O$103,15,0))</f>
        <v>379.62</v>
      </c>
      <c r="X805" s="6">
        <f>IF(ISERROR(VLOOKUP($U$805,'TAR FIN'!$A$1:$O$103,15,0)),0,VLOOKUP($U$805,'TAR FIN'!$A$1:$O$103,15,0))</f>
        <v>255.17</v>
      </c>
      <c r="Y805" s="6"/>
      <c r="Z805" s="6">
        <f ca="1">('TUSD BE'!$AM$60+'TUSD BF_350'!$AM$60+'TUSD CVA'!$AM$60)*1</f>
        <v>384.48</v>
      </c>
      <c r="AA805" s="6">
        <f ca="1">('TE BE'!$AB$41+'TE BF_350'!$AB$41+'TE CVA'!$AB$41)*1</f>
        <v>286.51</v>
      </c>
      <c r="AB805" s="6">
        <f>$K$805*$V$805</f>
        <v>0</v>
      </c>
      <c r="AC805" s="6">
        <f>$M$805*$W$805</f>
        <v>514342.58255999995</v>
      </c>
      <c r="AD805" s="6">
        <f>$O$805*$X$805</f>
        <v>345726.77095999994</v>
      </c>
      <c r="AE805" s="6">
        <f>$K$805*$Y$805</f>
        <v>0</v>
      </c>
      <c r="AF805" s="6">
        <f ca="1">$M$805*$Z$805</f>
        <v>520927.33824000001</v>
      </c>
      <c r="AG805" s="6">
        <f ca="1">$O$805*$AA$805</f>
        <v>388188.96087999997</v>
      </c>
    </row>
    <row r="806" spans="1:33" ht="11.25" customHeight="1" x14ac:dyDescent="0.3">
      <c r="A806" s="4" t="s">
        <v>28</v>
      </c>
      <c r="B806" s="4" t="s">
        <v>37</v>
      </c>
      <c r="C806" s="4" t="s">
        <v>23</v>
      </c>
      <c r="D806" s="4" t="s">
        <v>41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44805</v>
      </c>
      <c r="J806" s="6">
        <v>0</v>
      </c>
      <c r="K806" s="6">
        <v>0</v>
      </c>
      <c r="L806" s="6">
        <v>130.71199999999999</v>
      </c>
      <c r="M806" s="6">
        <v>130.71199999999999</v>
      </c>
      <c r="N806" s="6">
        <v>130.71199999999999</v>
      </c>
      <c r="O806" s="6">
        <v>130.71199999999999</v>
      </c>
      <c r="P806" s="6">
        <v>273</v>
      </c>
      <c r="Q806" s="4" t="s">
        <v>26</v>
      </c>
      <c r="R806" s="4">
        <v>0</v>
      </c>
      <c r="S806" s="6">
        <v>0</v>
      </c>
      <c r="T806" s="6">
        <v>58</v>
      </c>
      <c r="U806" s="6">
        <v>99</v>
      </c>
      <c r="V806" s="6">
        <f>IF(ISERROR(VLOOKUP($S$806,'TAR FIN'!$A$1:$O$103,15,0)),0,VLOOKUP($S$806,'TAR FIN'!$A$1:$O$103,15,0))</f>
        <v>0</v>
      </c>
      <c r="W806" s="6">
        <f>IF(ISERROR(VLOOKUP($T$806,'TAR FIN'!$A$1:$O$103,15,0)),0,VLOOKUP($T$806,'TAR FIN'!$A$1:$O$103,15,0))</f>
        <v>379.62</v>
      </c>
      <c r="X806" s="6">
        <f>IF(ISERROR(VLOOKUP($U$806,'TAR FIN'!$A$1:$O$103,15,0)),0,VLOOKUP($U$806,'TAR FIN'!$A$1:$O$103,15,0))</f>
        <v>255.17</v>
      </c>
      <c r="Y806" s="6"/>
      <c r="Z806" s="6">
        <f ca="1">('TUSD BE'!$AM$60+'TUSD BF_350'!$AM$60+'TUSD CVA'!$AM$60)*1</f>
        <v>384.48</v>
      </c>
      <c r="AA806" s="6">
        <f ca="1">('TE BE'!$AB$41+'TE BF_350'!$AB$41+'TE CVA'!$AB$41)*1</f>
        <v>286.51</v>
      </c>
      <c r="AB806" s="6">
        <f>$K$806*$V$806</f>
        <v>0</v>
      </c>
      <c r="AC806" s="6">
        <f>$M$806*$W$806</f>
        <v>49620.889439999999</v>
      </c>
      <c r="AD806" s="6">
        <f>$O$806*$X$806</f>
        <v>33353.781039999994</v>
      </c>
      <c r="AE806" s="6">
        <f>$K$806*$Y$806</f>
        <v>0</v>
      </c>
      <c r="AF806" s="6">
        <f ca="1">$M$806*$Z$806</f>
        <v>50256.14976</v>
      </c>
      <c r="AG806" s="6">
        <f ca="1">$O$806*$AA$806</f>
        <v>37450.295119999995</v>
      </c>
    </row>
    <row r="807" spans="1:33" ht="11.25" customHeight="1" x14ac:dyDescent="0.3">
      <c r="A807" s="4" t="s">
        <v>57</v>
      </c>
      <c r="B807" s="4" t="s">
        <v>37</v>
      </c>
      <c r="C807" s="4" t="s">
        <v>23</v>
      </c>
      <c r="D807" s="4" t="s">
        <v>41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44835</v>
      </c>
      <c r="J807" s="6">
        <v>0</v>
      </c>
      <c r="K807" s="6">
        <v>0</v>
      </c>
      <c r="L807" s="6">
        <v>1354.8879999999999</v>
      </c>
      <c r="M807" s="6">
        <v>1354.8879999999999</v>
      </c>
      <c r="N807" s="6">
        <v>1354.8879999999999</v>
      </c>
      <c r="O807" s="6">
        <v>1354.8879999999999</v>
      </c>
      <c r="P807" s="6">
        <v>3096</v>
      </c>
      <c r="Q807" s="4" t="s">
        <v>26</v>
      </c>
      <c r="R807" s="4">
        <v>0</v>
      </c>
      <c r="S807" s="6">
        <v>0</v>
      </c>
      <c r="T807" s="6">
        <v>58</v>
      </c>
      <c r="U807" s="6">
        <v>99</v>
      </c>
      <c r="V807" s="6">
        <f>IF(ISERROR(VLOOKUP($S$807,'TAR FIN'!$A$1:$O$103,15,0)),0,VLOOKUP($S$807,'TAR FIN'!$A$1:$O$103,15,0))</f>
        <v>0</v>
      </c>
      <c r="W807" s="6">
        <f>IF(ISERROR(VLOOKUP($T$807,'TAR FIN'!$A$1:$O$103,15,0)),0,VLOOKUP($T$807,'TAR FIN'!$A$1:$O$103,15,0))</f>
        <v>379.62</v>
      </c>
      <c r="X807" s="6">
        <f>IF(ISERROR(VLOOKUP($U$807,'TAR FIN'!$A$1:$O$103,15,0)),0,VLOOKUP($U$807,'TAR FIN'!$A$1:$O$103,15,0))</f>
        <v>255.17</v>
      </c>
      <c r="Y807" s="6"/>
      <c r="Z807" s="6">
        <f ca="1">('TUSD BE'!$AM$60+'TUSD BF_350'!$AM$60+'TUSD CVA'!$AM$60)*1</f>
        <v>384.48</v>
      </c>
      <c r="AA807" s="6">
        <f ca="1">('TE BE'!$AB$41+'TE BF_350'!$AB$41+'TE CVA'!$AB$41)*1</f>
        <v>286.51</v>
      </c>
      <c r="AB807" s="6">
        <f>$K$807*$V$807</f>
        <v>0</v>
      </c>
      <c r="AC807" s="6">
        <f>$M$807*$W$807</f>
        <v>514342.58255999995</v>
      </c>
      <c r="AD807" s="6">
        <f>$O$807*$X$807</f>
        <v>345726.77095999994</v>
      </c>
      <c r="AE807" s="6">
        <f>$K$807*$Y$807</f>
        <v>0</v>
      </c>
      <c r="AF807" s="6">
        <f ca="1">$M$807*$Z$807</f>
        <v>520927.33824000001</v>
      </c>
      <c r="AG807" s="6">
        <f ca="1">$O$807*$AA$807</f>
        <v>388188.96087999997</v>
      </c>
    </row>
    <row r="808" spans="1:33" ht="11.25" customHeight="1" x14ac:dyDescent="0.3">
      <c r="A808" s="4" t="s">
        <v>57</v>
      </c>
      <c r="B808" s="4" t="s">
        <v>37</v>
      </c>
      <c r="C808" s="4" t="s">
        <v>23</v>
      </c>
      <c r="D808" s="4" t="s">
        <v>41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44835</v>
      </c>
      <c r="J808" s="6">
        <v>0</v>
      </c>
      <c r="K808" s="6">
        <v>0</v>
      </c>
      <c r="L808" s="6">
        <v>130.71199999999999</v>
      </c>
      <c r="M808" s="6">
        <v>130.71199999999999</v>
      </c>
      <c r="N808" s="6">
        <v>130.71199999999999</v>
      </c>
      <c r="O808" s="6">
        <v>130.71199999999999</v>
      </c>
      <c r="P808" s="6">
        <v>273</v>
      </c>
      <c r="Q808" s="4" t="s">
        <v>26</v>
      </c>
      <c r="R808" s="4">
        <v>0</v>
      </c>
      <c r="S808" s="6">
        <v>0</v>
      </c>
      <c r="T808" s="6">
        <v>58</v>
      </c>
      <c r="U808" s="6">
        <v>99</v>
      </c>
      <c r="V808" s="6">
        <f>IF(ISERROR(VLOOKUP($S$808,'TAR FIN'!$A$1:$O$103,15,0)),0,VLOOKUP($S$808,'TAR FIN'!$A$1:$O$103,15,0))</f>
        <v>0</v>
      </c>
      <c r="W808" s="6">
        <f>IF(ISERROR(VLOOKUP($T$808,'TAR FIN'!$A$1:$O$103,15,0)),0,VLOOKUP($T$808,'TAR FIN'!$A$1:$O$103,15,0))</f>
        <v>379.62</v>
      </c>
      <c r="X808" s="6">
        <f>IF(ISERROR(VLOOKUP($U$808,'TAR FIN'!$A$1:$O$103,15,0)),0,VLOOKUP($U$808,'TAR FIN'!$A$1:$O$103,15,0))</f>
        <v>255.17</v>
      </c>
      <c r="Y808" s="6"/>
      <c r="Z808" s="6">
        <f ca="1">('TUSD BE'!$AM$60+'TUSD BF_350'!$AM$60+'TUSD CVA'!$AM$60)*1</f>
        <v>384.48</v>
      </c>
      <c r="AA808" s="6">
        <f ca="1">('TE BE'!$AB$41+'TE BF_350'!$AB$41+'TE CVA'!$AB$41)*1</f>
        <v>286.51</v>
      </c>
      <c r="AB808" s="6">
        <f>$K$808*$V$808</f>
        <v>0</v>
      </c>
      <c r="AC808" s="6">
        <f>$M$808*$W$808</f>
        <v>49620.889439999999</v>
      </c>
      <c r="AD808" s="6">
        <f>$O$808*$X$808</f>
        <v>33353.781039999994</v>
      </c>
      <c r="AE808" s="6">
        <f>$K$808*$Y$808</f>
        <v>0</v>
      </c>
      <c r="AF808" s="6">
        <f ca="1">$M$808*$Z$808</f>
        <v>50256.14976</v>
      </c>
      <c r="AG808" s="6">
        <f ca="1">$O$808*$AA$808</f>
        <v>37450.295119999995</v>
      </c>
    </row>
    <row r="809" spans="1:33" ht="11.25" customHeight="1" x14ac:dyDescent="0.3">
      <c r="A809" s="4" t="s">
        <v>21</v>
      </c>
      <c r="B809" s="4" t="s">
        <v>37</v>
      </c>
      <c r="C809" s="4" t="s">
        <v>23</v>
      </c>
      <c r="D809" s="4" t="s">
        <v>52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44501</v>
      </c>
      <c r="J809" s="6">
        <v>0</v>
      </c>
      <c r="K809" s="6">
        <v>0</v>
      </c>
      <c r="L809" s="6">
        <v>15.702999999999999</v>
      </c>
      <c r="M809" s="6">
        <v>15.702999999999999</v>
      </c>
      <c r="N809" s="6">
        <v>15.702999999999999</v>
      </c>
      <c r="O809" s="6">
        <v>15.702999999999999</v>
      </c>
      <c r="P809" s="6">
        <v>11</v>
      </c>
      <c r="Q809" s="4" t="s">
        <v>26</v>
      </c>
      <c r="R809" s="4">
        <v>0</v>
      </c>
      <c r="S809" s="6">
        <v>0</v>
      </c>
      <c r="T809" s="6">
        <v>58</v>
      </c>
      <c r="U809" s="6">
        <v>99</v>
      </c>
      <c r="V809" s="6">
        <f>IF(ISERROR(VLOOKUP($S$809,'TAR FIN'!$A$1:$O$103,15,0)),0,VLOOKUP($S$809,'TAR FIN'!$A$1:$O$103,15,0))</f>
        <v>0</v>
      </c>
      <c r="W809" s="6">
        <f>IF(ISERROR(VLOOKUP($T$809,'TAR FIN'!$A$1:$O$103,15,0)),0,VLOOKUP($T$809,'TAR FIN'!$A$1:$O$103,15,0))</f>
        <v>379.62</v>
      </c>
      <c r="X809" s="6">
        <f>IF(ISERROR(VLOOKUP($U$809,'TAR FIN'!$A$1:$O$103,15,0)),0,VLOOKUP($U$809,'TAR FIN'!$A$1:$O$103,15,0))</f>
        <v>255.17</v>
      </c>
      <c r="Y809" s="6"/>
      <c r="Z809" s="6">
        <f ca="1">('TUSD BE'!$AM$60+'TUSD BF_350'!$AM$60+'TUSD CVA'!$AM$60)*1</f>
        <v>384.48</v>
      </c>
      <c r="AA809" s="6">
        <f ca="1">('TE BE'!$AB$41+'TE BF_350'!$AB$41+'TE CVA'!$AB$41)*1</f>
        <v>286.51</v>
      </c>
      <c r="AB809" s="6">
        <f>$K$809*$V$809</f>
        <v>0</v>
      </c>
      <c r="AC809" s="6">
        <f>$M$809*$W$809</f>
        <v>5961.1728599999997</v>
      </c>
      <c r="AD809" s="6">
        <f>$O$809*$X$809</f>
        <v>4006.9345099999996</v>
      </c>
      <c r="AE809" s="6">
        <f>$K$809*$Y$809</f>
        <v>0</v>
      </c>
      <c r="AF809" s="6">
        <f ca="1">$M$809*$Z$809</f>
        <v>6037.4894400000003</v>
      </c>
      <c r="AG809" s="6">
        <f ca="1">$O$809*$AA$809</f>
        <v>4499.0665300000001</v>
      </c>
    </row>
    <row r="810" spans="1:33" ht="11.25" customHeight="1" x14ac:dyDescent="0.3">
      <c r="A810" s="4" t="s">
        <v>21</v>
      </c>
      <c r="B810" s="4" t="s">
        <v>37</v>
      </c>
      <c r="C810" s="4" t="s">
        <v>23</v>
      </c>
      <c r="D810" s="4" t="s">
        <v>52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44531</v>
      </c>
      <c r="J810" s="6">
        <v>0</v>
      </c>
      <c r="K810" s="6">
        <v>0</v>
      </c>
      <c r="L810" s="6">
        <v>15.512</v>
      </c>
      <c r="M810" s="6">
        <v>15.512</v>
      </c>
      <c r="N810" s="6">
        <v>15.512</v>
      </c>
      <c r="O810" s="6">
        <v>15.512</v>
      </c>
      <c r="P810" s="6">
        <v>11</v>
      </c>
      <c r="Q810" s="4" t="s">
        <v>26</v>
      </c>
      <c r="R810" s="4">
        <v>0</v>
      </c>
      <c r="S810" s="6">
        <v>0</v>
      </c>
      <c r="T810" s="6">
        <v>58</v>
      </c>
      <c r="U810" s="6">
        <v>99</v>
      </c>
      <c r="V810" s="6">
        <f>IF(ISERROR(VLOOKUP($S$810,'TAR FIN'!$A$1:$O$103,15,0)),0,VLOOKUP($S$810,'TAR FIN'!$A$1:$O$103,15,0))</f>
        <v>0</v>
      </c>
      <c r="W810" s="6">
        <f>IF(ISERROR(VLOOKUP($T$810,'TAR FIN'!$A$1:$O$103,15,0)),0,VLOOKUP($T$810,'TAR FIN'!$A$1:$O$103,15,0))</f>
        <v>379.62</v>
      </c>
      <c r="X810" s="6">
        <f>IF(ISERROR(VLOOKUP($U$810,'TAR FIN'!$A$1:$O$103,15,0)),0,VLOOKUP($U$810,'TAR FIN'!$A$1:$O$103,15,0))</f>
        <v>255.17</v>
      </c>
      <c r="Y810" s="6"/>
      <c r="Z810" s="6">
        <f ca="1">('TUSD BE'!$AM$60+'TUSD BF_350'!$AM$60+'TUSD CVA'!$AM$60)*1</f>
        <v>384.48</v>
      </c>
      <c r="AA810" s="6">
        <f ca="1">('TE BE'!$AB$41+'TE BF_350'!$AB$41+'TE CVA'!$AB$41)*1</f>
        <v>286.51</v>
      </c>
      <c r="AB810" s="6">
        <f>$K$810*$V$810</f>
        <v>0</v>
      </c>
      <c r="AC810" s="6">
        <f>$M$810*$W$810</f>
        <v>5888.6654400000007</v>
      </c>
      <c r="AD810" s="6">
        <f>$O$810*$X$810</f>
        <v>3958.19704</v>
      </c>
      <c r="AE810" s="6">
        <f>$K$810*$Y$810</f>
        <v>0</v>
      </c>
      <c r="AF810" s="6">
        <f ca="1">$M$810*$Z$810</f>
        <v>5964.0537600000007</v>
      </c>
      <c r="AG810" s="6">
        <f ca="1">$O$810*$AA$810</f>
        <v>4444.3431199999995</v>
      </c>
    </row>
    <row r="811" spans="1:33" ht="11.25" customHeight="1" x14ac:dyDescent="0.3">
      <c r="A811" s="4" t="s">
        <v>21</v>
      </c>
      <c r="B811" s="4" t="s">
        <v>37</v>
      </c>
      <c r="C811" s="4" t="s">
        <v>23</v>
      </c>
      <c r="D811" s="4" t="s">
        <v>52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44562</v>
      </c>
      <c r="J811" s="6">
        <v>0</v>
      </c>
      <c r="K811" s="6">
        <v>0</v>
      </c>
      <c r="L811" s="6">
        <v>13.901</v>
      </c>
      <c r="M811" s="6">
        <v>13.901</v>
      </c>
      <c r="N811" s="6">
        <v>13.901</v>
      </c>
      <c r="O811" s="6">
        <v>13.901</v>
      </c>
      <c r="P811" s="6">
        <v>11</v>
      </c>
      <c r="Q811" s="4" t="s">
        <v>26</v>
      </c>
      <c r="R811" s="4">
        <v>0</v>
      </c>
      <c r="S811" s="6">
        <v>0</v>
      </c>
      <c r="T811" s="6">
        <v>58</v>
      </c>
      <c r="U811" s="6">
        <v>99</v>
      </c>
      <c r="V811" s="6">
        <f>IF(ISERROR(VLOOKUP($S$811,'TAR FIN'!$A$1:$O$103,15,0)),0,VLOOKUP($S$811,'TAR FIN'!$A$1:$O$103,15,0))</f>
        <v>0</v>
      </c>
      <c r="W811" s="6">
        <f>IF(ISERROR(VLOOKUP($T$811,'TAR FIN'!$A$1:$O$103,15,0)),0,VLOOKUP($T$811,'TAR FIN'!$A$1:$O$103,15,0))</f>
        <v>379.62</v>
      </c>
      <c r="X811" s="6">
        <f>IF(ISERROR(VLOOKUP($U$811,'TAR FIN'!$A$1:$O$103,15,0)),0,VLOOKUP($U$811,'TAR FIN'!$A$1:$O$103,15,0))</f>
        <v>255.17</v>
      </c>
      <c r="Y811" s="6"/>
      <c r="Z811" s="6">
        <f ca="1">('TUSD BE'!$AM$60+'TUSD BF_350'!$AM$60+'TUSD CVA'!$AM$60)*1</f>
        <v>384.48</v>
      </c>
      <c r="AA811" s="6">
        <f ca="1">('TE BE'!$AB$41+'TE BF_350'!$AB$41+'TE CVA'!$AB$41)*1</f>
        <v>286.51</v>
      </c>
      <c r="AB811" s="6">
        <f>$K$811*$V$811</f>
        <v>0</v>
      </c>
      <c r="AC811" s="6">
        <f>$M$811*$W$811</f>
        <v>5277.0976199999996</v>
      </c>
      <c r="AD811" s="6">
        <f>$O$811*$X$811</f>
        <v>3547.1181699999997</v>
      </c>
      <c r="AE811" s="6">
        <f>$K$811*$Y$811</f>
        <v>0</v>
      </c>
      <c r="AF811" s="6">
        <f ca="1">$M$811*$Z$811</f>
        <v>5344.6564800000006</v>
      </c>
      <c r="AG811" s="6">
        <f ca="1">$O$811*$AA$811</f>
        <v>3982.7755099999999</v>
      </c>
    </row>
    <row r="812" spans="1:33" ht="11.25" customHeight="1" x14ac:dyDescent="0.3">
      <c r="A812" s="4" t="s">
        <v>21</v>
      </c>
      <c r="B812" s="4" t="s">
        <v>37</v>
      </c>
      <c r="C812" s="4" t="s">
        <v>23</v>
      </c>
      <c r="D812" s="4" t="s">
        <v>52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44593</v>
      </c>
      <c r="J812" s="6">
        <v>0</v>
      </c>
      <c r="K812" s="6">
        <v>0</v>
      </c>
      <c r="L812" s="6">
        <v>15.327999999999999</v>
      </c>
      <c r="M812" s="6">
        <v>15.327999999999999</v>
      </c>
      <c r="N812" s="6">
        <v>15.327999999999999</v>
      </c>
      <c r="O812" s="6">
        <v>15.327999999999999</v>
      </c>
      <c r="P812" s="6">
        <v>11</v>
      </c>
      <c r="Q812" s="4" t="s">
        <v>26</v>
      </c>
      <c r="R812" s="4">
        <v>0</v>
      </c>
      <c r="S812" s="6">
        <v>0</v>
      </c>
      <c r="T812" s="6">
        <v>58</v>
      </c>
      <c r="U812" s="6">
        <v>99</v>
      </c>
      <c r="V812" s="6">
        <f>IF(ISERROR(VLOOKUP($S$812,'TAR FIN'!$A$1:$O$103,15,0)),0,VLOOKUP($S$812,'TAR FIN'!$A$1:$O$103,15,0))</f>
        <v>0</v>
      </c>
      <c r="W812" s="6">
        <f>IF(ISERROR(VLOOKUP($T$812,'TAR FIN'!$A$1:$O$103,15,0)),0,VLOOKUP($T$812,'TAR FIN'!$A$1:$O$103,15,0))</f>
        <v>379.62</v>
      </c>
      <c r="X812" s="6">
        <f>IF(ISERROR(VLOOKUP($U$812,'TAR FIN'!$A$1:$O$103,15,0)),0,VLOOKUP($U$812,'TAR FIN'!$A$1:$O$103,15,0))</f>
        <v>255.17</v>
      </c>
      <c r="Y812" s="6"/>
      <c r="Z812" s="6">
        <f ca="1">('TUSD BE'!$AM$60+'TUSD BF_350'!$AM$60+'TUSD CVA'!$AM$60)*1</f>
        <v>384.48</v>
      </c>
      <c r="AA812" s="6">
        <f ca="1">('TE BE'!$AB$41+'TE BF_350'!$AB$41+'TE CVA'!$AB$41)*1</f>
        <v>286.51</v>
      </c>
      <c r="AB812" s="6">
        <f>$K$812*$V$812</f>
        <v>0</v>
      </c>
      <c r="AC812" s="6">
        <f>$M$812*$W$812</f>
        <v>5818.8153599999996</v>
      </c>
      <c r="AD812" s="6">
        <f>$O$812*$X$812</f>
        <v>3911.2457599999998</v>
      </c>
      <c r="AE812" s="6">
        <f>$K$812*$Y$812</f>
        <v>0</v>
      </c>
      <c r="AF812" s="6">
        <f ca="1">$M$812*$Z$812</f>
        <v>5893.30944</v>
      </c>
      <c r="AG812" s="6">
        <f ca="1">$O$812*$AA$812</f>
        <v>4391.6252799999993</v>
      </c>
    </row>
    <row r="813" spans="1:33" ht="11.25" customHeight="1" x14ac:dyDescent="0.3">
      <c r="A813" s="4" t="s">
        <v>21</v>
      </c>
      <c r="B813" s="4" t="s">
        <v>37</v>
      </c>
      <c r="C813" s="4" t="s">
        <v>23</v>
      </c>
      <c r="D813" s="4" t="s">
        <v>52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44621</v>
      </c>
      <c r="J813" s="6">
        <v>0</v>
      </c>
      <c r="K813" s="6">
        <v>0</v>
      </c>
      <c r="L813" s="6">
        <v>14.196999999999999</v>
      </c>
      <c r="M813" s="6">
        <v>14.196999999999999</v>
      </c>
      <c r="N813" s="6">
        <v>14.196999999999999</v>
      </c>
      <c r="O813" s="6">
        <v>14.196999999999999</v>
      </c>
      <c r="P813" s="6">
        <v>11</v>
      </c>
      <c r="Q813" s="4" t="s">
        <v>26</v>
      </c>
      <c r="R813" s="4">
        <v>0</v>
      </c>
      <c r="S813" s="6">
        <v>0</v>
      </c>
      <c r="T813" s="6">
        <v>58</v>
      </c>
      <c r="U813" s="6">
        <v>99</v>
      </c>
      <c r="V813" s="6">
        <f>IF(ISERROR(VLOOKUP($S$813,'TAR FIN'!$A$1:$O$103,15,0)),0,VLOOKUP($S$813,'TAR FIN'!$A$1:$O$103,15,0))</f>
        <v>0</v>
      </c>
      <c r="W813" s="6">
        <f>IF(ISERROR(VLOOKUP($T$813,'TAR FIN'!$A$1:$O$103,15,0)),0,VLOOKUP($T$813,'TAR FIN'!$A$1:$O$103,15,0))</f>
        <v>379.62</v>
      </c>
      <c r="X813" s="6">
        <f>IF(ISERROR(VLOOKUP($U$813,'TAR FIN'!$A$1:$O$103,15,0)),0,VLOOKUP($U$813,'TAR FIN'!$A$1:$O$103,15,0))</f>
        <v>255.17</v>
      </c>
      <c r="Y813" s="6"/>
      <c r="Z813" s="6">
        <f ca="1">('TUSD BE'!$AM$60+'TUSD BF_350'!$AM$60+'TUSD CVA'!$AM$60)*1</f>
        <v>384.48</v>
      </c>
      <c r="AA813" s="6">
        <f ca="1">('TE BE'!$AB$41+'TE BF_350'!$AB$41+'TE CVA'!$AB$41)*1</f>
        <v>286.51</v>
      </c>
      <c r="AB813" s="6">
        <f>$K$813*$V$813</f>
        <v>0</v>
      </c>
      <c r="AC813" s="6">
        <f>$M$813*$W$813</f>
        <v>5389.4651399999993</v>
      </c>
      <c r="AD813" s="6">
        <f>$O$813*$X$813</f>
        <v>3622.6484899999996</v>
      </c>
      <c r="AE813" s="6">
        <f>$K$813*$Y$813</f>
        <v>0</v>
      </c>
      <c r="AF813" s="6">
        <f ca="1">$M$813*$Z$813</f>
        <v>5458.4625599999999</v>
      </c>
      <c r="AG813" s="6">
        <f ca="1">$O$813*$AA$813</f>
        <v>4067.5824699999998</v>
      </c>
    </row>
    <row r="814" spans="1:33" ht="11.25" customHeight="1" x14ac:dyDescent="0.3">
      <c r="A814" s="4" t="s">
        <v>21</v>
      </c>
      <c r="B814" s="4" t="s">
        <v>37</v>
      </c>
      <c r="C814" s="4" t="s">
        <v>23</v>
      </c>
      <c r="D814" s="4" t="s">
        <v>52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44652</v>
      </c>
      <c r="J814" s="6">
        <v>0</v>
      </c>
      <c r="K814" s="6">
        <v>0</v>
      </c>
      <c r="L814" s="6">
        <v>17.297000000000001</v>
      </c>
      <c r="M814" s="6">
        <v>17.297000000000001</v>
      </c>
      <c r="N814" s="6">
        <v>17.297000000000001</v>
      </c>
      <c r="O814" s="6">
        <v>17.297000000000001</v>
      </c>
      <c r="P814" s="6">
        <v>11</v>
      </c>
      <c r="Q814" s="4" t="s">
        <v>26</v>
      </c>
      <c r="R814" s="4">
        <v>0</v>
      </c>
      <c r="S814" s="6">
        <v>0</v>
      </c>
      <c r="T814" s="6">
        <v>58</v>
      </c>
      <c r="U814" s="6">
        <v>99</v>
      </c>
      <c r="V814" s="6">
        <f>IF(ISERROR(VLOOKUP($S$814,'TAR FIN'!$A$1:$O$103,15,0)),0,VLOOKUP($S$814,'TAR FIN'!$A$1:$O$103,15,0))</f>
        <v>0</v>
      </c>
      <c r="W814" s="6">
        <f>IF(ISERROR(VLOOKUP($T$814,'TAR FIN'!$A$1:$O$103,15,0)),0,VLOOKUP($T$814,'TAR FIN'!$A$1:$O$103,15,0))</f>
        <v>379.62</v>
      </c>
      <c r="X814" s="6">
        <f>IF(ISERROR(VLOOKUP($U$814,'TAR FIN'!$A$1:$O$103,15,0)),0,VLOOKUP($U$814,'TAR FIN'!$A$1:$O$103,15,0))</f>
        <v>255.17</v>
      </c>
      <c r="Y814" s="6"/>
      <c r="Z814" s="6">
        <f ca="1">('TUSD BE'!$AM$60+'TUSD BF_350'!$AM$60+'TUSD CVA'!$AM$60)*1</f>
        <v>384.48</v>
      </c>
      <c r="AA814" s="6">
        <f ca="1">('TE BE'!$AB$41+'TE BF_350'!$AB$41+'TE CVA'!$AB$41)*1</f>
        <v>286.51</v>
      </c>
      <c r="AB814" s="6">
        <f>$K$814*$V$814</f>
        <v>0</v>
      </c>
      <c r="AC814" s="6">
        <f>$M$814*$W$814</f>
        <v>6566.2871400000004</v>
      </c>
      <c r="AD814" s="6">
        <f>$O$814*$X$814</f>
        <v>4413.6754899999996</v>
      </c>
      <c r="AE814" s="6">
        <f>$K$814*$Y$814</f>
        <v>0</v>
      </c>
      <c r="AF814" s="6">
        <f ca="1">$M$814*$Z$814</f>
        <v>6650.3505600000008</v>
      </c>
      <c r="AG814" s="6">
        <f ca="1">$O$814*$AA$814</f>
        <v>4955.7634699999999</v>
      </c>
    </row>
    <row r="815" spans="1:33" ht="11.25" customHeight="1" x14ac:dyDescent="0.3">
      <c r="A815" s="4" t="s">
        <v>21</v>
      </c>
      <c r="B815" s="4" t="s">
        <v>37</v>
      </c>
      <c r="C815" s="4" t="s">
        <v>23</v>
      </c>
      <c r="D815" s="4" t="s">
        <v>52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44682</v>
      </c>
      <c r="J815" s="6">
        <v>0</v>
      </c>
      <c r="K815" s="6">
        <v>0</v>
      </c>
      <c r="L815" s="6">
        <v>15.887</v>
      </c>
      <c r="M815" s="6">
        <v>15.887</v>
      </c>
      <c r="N815" s="6">
        <v>15.887</v>
      </c>
      <c r="O815" s="6">
        <v>15.887</v>
      </c>
      <c r="P815" s="6">
        <v>11</v>
      </c>
      <c r="Q815" s="4" t="s">
        <v>26</v>
      </c>
      <c r="R815" s="4">
        <v>0</v>
      </c>
      <c r="S815" s="6">
        <v>0</v>
      </c>
      <c r="T815" s="6">
        <v>58</v>
      </c>
      <c r="U815" s="6">
        <v>99</v>
      </c>
      <c r="V815" s="6">
        <f>IF(ISERROR(VLOOKUP($S$815,'TAR FIN'!$A$1:$O$103,15,0)),0,VLOOKUP($S$815,'TAR FIN'!$A$1:$O$103,15,0))</f>
        <v>0</v>
      </c>
      <c r="W815" s="6">
        <f>IF(ISERROR(VLOOKUP($T$815,'TAR FIN'!$A$1:$O$103,15,0)),0,VLOOKUP($T$815,'TAR FIN'!$A$1:$O$103,15,0))</f>
        <v>379.62</v>
      </c>
      <c r="X815" s="6">
        <f>IF(ISERROR(VLOOKUP($U$815,'TAR FIN'!$A$1:$O$103,15,0)),0,VLOOKUP($U$815,'TAR FIN'!$A$1:$O$103,15,0))</f>
        <v>255.17</v>
      </c>
      <c r="Y815" s="6"/>
      <c r="Z815" s="6">
        <f ca="1">('TUSD BE'!$AM$60+'TUSD BF_350'!$AM$60+'TUSD CVA'!$AM$60)*1</f>
        <v>384.48</v>
      </c>
      <c r="AA815" s="6">
        <f ca="1">('TE BE'!$AB$41+'TE BF_350'!$AB$41+'TE CVA'!$AB$41)*1</f>
        <v>286.51</v>
      </c>
      <c r="AB815" s="6">
        <f>$K$815*$V$815</f>
        <v>0</v>
      </c>
      <c r="AC815" s="6">
        <f>$M$815*$W$815</f>
        <v>6031.0229399999998</v>
      </c>
      <c r="AD815" s="6">
        <f>$O$815*$X$815</f>
        <v>4053.8857899999998</v>
      </c>
      <c r="AE815" s="6">
        <f>$K$815*$Y$815</f>
        <v>0</v>
      </c>
      <c r="AF815" s="6">
        <f ca="1">$M$815*$Z$815</f>
        <v>6108.2337600000001</v>
      </c>
      <c r="AG815" s="6">
        <f ca="1">$O$815*$AA$815</f>
        <v>4551.7843700000003</v>
      </c>
    </row>
    <row r="816" spans="1:33" ht="11.25" customHeight="1" x14ac:dyDescent="0.3">
      <c r="A816" s="4" t="s">
        <v>21</v>
      </c>
      <c r="B816" s="4" t="s">
        <v>37</v>
      </c>
      <c r="C816" s="4" t="s">
        <v>23</v>
      </c>
      <c r="D816" s="4" t="s">
        <v>52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44713</v>
      </c>
      <c r="J816" s="6">
        <v>0</v>
      </c>
      <c r="K816" s="6">
        <v>0</v>
      </c>
      <c r="L816" s="6">
        <v>12.807</v>
      </c>
      <c r="M816" s="6">
        <v>12.807</v>
      </c>
      <c r="N816" s="6">
        <v>12.807</v>
      </c>
      <c r="O816" s="6">
        <v>12.807</v>
      </c>
      <c r="P816" s="6">
        <v>11</v>
      </c>
      <c r="Q816" s="4" t="s">
        <v>26</v>
      </c>
      <c r="R816" s="4">
        <v>0</v>
      </c>
      <c r="S816" s="6">
        <v>0</v>
      </c>
      <c r="T816" s="6">
        <v>58</v>
      </c>
      <c r="U816" s="6">
        <v>99</v>
      </c>
      <c r="V816" s="6">
        <f>IF(ISERROR(VLOOKUP($S$816,'TAR FIN'!$A$1:$O$103,15,0)),0,VLOOKUP($S$816,'TAR FIN'!$A$1:$O$103,15,0))</f>
        <v>0</v>
      </c>
      <c r="W816" s="6">
        <f>IF(ISERROR(VLOOKUP($T$816,'TAR FIN'!$A$1:$O$103,15,0)),0,VLOOKUP($T$816,'TAR FIN'!$A$1:$O$103,15,0))</f>
        <v>379.62</v>
      </c>
      <c r="X816" s="6">
        <f>IF(ISERROR(VLOOKUP($U$816,'TAR FIN'!$A$1:$O$103,15,0)),0,VLOOKUP($U$816,'TAR FIN'!$A$1:$O$103,15,0))</f>
        <v>255.17</v>
      </c>
      <c r="Y816" s="6"/>
      <c r="Z816" s="6">
        <f ca="1">('TUSD BE'!$AM$60+'TUSD BF_350'!$AM$60+'TUSD CVA'!$AM$60)*1</f>
        <v>384.48</v>
      </c>
      <c r="AA816" s="6">
        <f ca="1">('TE BE'!$AB$41+'TE BF_350'!$AB$41+'TE CVA'!$AB$41)*1</f>
        <v>286.51</v>
      </c>
      <c r="AB816" s="6">
        <f>$K$816*$V$816</f>
        <v>0</v>
      </c>
      <c r="AC816" s="6">
        <f>$M$816*$W$816</f>
        <v>4861.7933400000002</v>
      </c>
      <c r="AD816" s="6">
        <f>$O$816*$X$816</f>
        <v>3267.9621899999997</v>
      </c>
      <c r="AE816" s="6">
        <f>$K$816*$Y$816</f>
        <v>0</v>
      </c>
      <c r="AF816" s="6">
        <f ca="1">$M$816*$Z$816</f>
        <v>4924.0353600000008</v>
      </c>
      <c r="AG816" s="6">
        <f ca="1">$O$816*$AA$816</f>
        <v>3669.3335699999998</v>
      </c>
    </row>
    <row r="817" spans="1:33" ht="11.25" customHeight="1" x14ac:dyDescent="0.3">
      <c r="A817" s="4" t="s">
        <v>21</v>
      </c>
      <c r="B817" s="4" t="s">
        <v>37</v>
      </c>
      <c r="C817" s="4" t="s">
        <v>23</v>
      </c>
      <c r="D817" s="4" t="s">
        <v>52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44743</v>
      </c>
      <c r="J817" s="6">
        <v>0</v>
      </c>
      <c r="K817" s="6">
        <v>0</v>
      </c>
      <c r="L817" s="6">
        <v>13.413</v>
      </c>
      <c r="M817" s="6">
        <v>13.413</v>
      </c>
      <c r="N817" s="6">
        <v>13.413</v>
      </c>
      <c r="O817" s="6">
        <v>13.413</v>
      </c>
      <c r="P817" s="6">
        <v>11</v>
      </c>
      <c r="Q817" s="4" t="s">
        <v>26</v>
      </c>
      <c r="R817" s="4">
        <v>0</v>
      </c>
      <c r="S817" s="6">
        <v>0</v>
      </c>
      <c r="T817" s="6">
        <v>58</v>
      </c>
      <c r="U817" s="6">
        <v>99</v>
      </c>
      <c r="V817" s="6">
        <f>IF(ISERROR(VLOOKUP($S$817,'TAR FIN'!$A$1:$O$103,15,0)),0,VLOOKUP($S$817,'TAR FIN'!$A$1:$O$103,15,0))</f>
        <v>0</v>
      </c>
      <c r="W817" s="6">
        <f>IF(ISERROR(VLOOKUP($T$817,'TAR FIN'!$A$1:$O$103,15,0)),0,VLOOKUP($T$817,'TAR FIN'!$A$1:$O$103,15,0))</f>
        <v>379.62</v>
      </c>
      <c r="X817" s="6">
        <f>IF(ISERROR(VLOOKUP($U$817,'TAR FIN'!$A$1:$O$103,15,0)),0,VLOOKUP($U$817,'TAR FIN'!$A$1:$O$103,15,0))</f>
        <v>255.17</v>
      </c>
      <c r="Y817" s="6"/>
      <c r="Z817" s="6">
        <f ca="1">('TUSD BE'!$AM$60+'TUSD BF_350'!$AM$60+'TUSD CVA'!$AM$60)*1</f>
        <v>384.48</v>
      </c>
      <c r="AA817" s="6">
        <f ca="1">('TE BE'!$AB$41+'TE BF_350'!$AB$41+'TE CVA'!$AB$41)*1</f>
        <v>286.51</v>
      </c>
      <c r="AB817" s="6">
        <f>$K$817*$V$817</f>
        <v>0</v>
      </c>
      <c r="AC817" s="6">
        <f>$M$817*$W$817</f>
        <v>5091.8430600000002</v>
      </c>
      <c r="AD817" s="6">
        <f>$O$817*$X$817</f>
        <v>3422.59521</v>
      </c>
      <c r="AE817" s="6">
        <f>$K$817*$Y$817</f>
        <v>0</v>
      </c>
      <c r="AF817" s="6">
        <f ca="1">$M$817*$Z$817</f>
        <v>5157.03024</v>
      </c>
      <c r="AG817" s="6">
        <f ca="1">$O$817*$AA$817</f>
        <v>3842.9586300000001</v>
      </c>
    </row>
    <row r="818" spans="1:33" ht="11.25" customHeight="1" x14ac:dyDescent="0.3">
      <c r="A818" s="4" t="s">
        <v>21</v>
      </c>
      <c r="B818" s="4" t="s">
        <v>37</v>
      </c>
      <c r="C818" s="4" t="s">
        <v>23</v>
      </c>
      <c r="D818" s="4" t="s">
        <v>52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44774</v>
      </c>
      <c r="J818" s="6">
        <v>0</v>
      </c>
      <c r="K818" s="6">
        <v>0</v>
      </c>
      <c r="L818" s="6">
        <v>12.808</v>
      </c>
      <c r="M818" s="6">
        <v>12.808</v>
      </c>
      <c r="N818" s="6">
        <v>12.808</v>
      </c>
      <c r="O818" s="6">
        <v>12.808</v>
      </c>
      <c r="P818" s="6">
        <v>11</v>
      </c>
      <c r="Q818" s="4" t="s">
        <v>26</v>
      </c>
      <c r="R818" s="4">
        <v>0</v>
      </c>
      <c r="S818" s="6">
        <v>0</v>
      </c>
      <c r="T818" s="6">
        <v>58</v>
      </c>
      <c r="U818" s="6">
        <v>99</v>
      </c>
      <c r="V818" s="6">
        <f>IF(ISERROR(VLOOKUP($S$818,'TAR FIN'!$A$1:$O$103,15,0)),0,VLOOKUP($S$818,'TAR FIN'!$A$1:$O$103,15,0))</f>
        <v>0</v>
      </c>
      <c r="W818" s="6">
        <f>IF(ISERROR(VLOOKUP($T$818,'TAR FIN'!$A$1:$O$103,15,0)),0,VLOOKUP($T$818,'TAR FIN'!$A$1:$O$103,15,0))</f>
        <v>379.62</v>
      </c>
      <c r="X818" s="6">
        <f>IF(ISERROR(VLOOKUP($U$818,'TAR FIN'!$A$1:$O$103,15,0)),0,VLOOKUP($U$818,'TAR FIN'!$A$1:$O$103,15,0))</f>
        <v>255.17</v>
      </c>
      <c r="Y818" s="6"/>
      <c r="Z818" s="6">
        <f ca="1">('TUSD BE'!$AM$60+'TUSD BF_350'!$AM$60+'TUSD CVA'!$AM$60)*1</f>
        <v>384.48</v>
      </c>
      <c r="AA818" s="6">
        <f ca="1">('TE BE'!$AB$41+'TE BF_350'!$AB$41+'TE CVA'!$AB$41)*1</f>
        <v>286.51</v>
      </c>
      <c r="AB818" s="6">
        <f>$K$818*$V$818</f>
        <v>0</v>
      </c>
      <c r="AC818" s="6">
        <f>$M$818*$W$818</f>
        <v>4862.1729599999999</v>
      </c>
      <c r="AD818" s="6">
        <f>$O$818*$X$818</f>
        <v>3268.2173599999996</v>
      </c>
      <c r="AE818" s="6">
        <f>$K$818*$Y$818</f>
        <v>0</v>
      </c>
      <c r="AF818" s="6">
        <f ca="1">$M$818*$Z$818</f>
        <v>4924.4198400000005</v>
      </c>
      <c r="AG818" s="6">
        <f ca="1">$O$818*$AA$818</f>
        <v>3669.6200799999997</v>
      </c>
    </row>
    <row r="819" spans="1:33" ht="11.25" customHeight="1" x14ac:dyDescent="0.3">
      <c r="A819" s="4" t="s">
        <v>21</v>
      </c>
      <c r="B819" s="4" t="s">
        <v>37</v>
      </c>
      <c r="C819" s="4" t="s">
        <v>23</v>
      </c>
      <c r="D819" s="4" t="s">
        <v>52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44805</v>
      </c>
      <c r="J819" s="6">
        <v>0</v>
      </c>
      <c r="K819" s="6">
        <v>0</v>
      </c>
      <c r="L819" s="6">
        <v>16.094999999999999</v>
      </c>
      <c r="M819" s="6">
        <v>16.094999999999999</v>
      </c>
      <c r="N819" s="6">
        <v>16.094999999999999</v>
      </c>
      <c r="O819" s="6">
        <v>16.094999999999999</v>
      </c>
      <c r="P819" s="6">
        <v>11</v>
      </c>
      <c r="Q819" s="4" t="s">
        <v>26</v>
      </c>
      <c r="R819" s="4">
        <v>0</v>
      </c>
      <c r="S819" s="6">
        <v>0</v>
      </c>
      <c r="T819" s="6">
        <v>58</v>
      </c>
      <c r="U819" s="6">
        <v>99</v>
      </c>
      <c r="V819" s="6">
        <f>IF(ISERROR(VLOOKUP($S$819,'TAR FIN'!$A$1:$O$103,15,0)),0,VLOOKUP($S$819,'TAR FIN'!$A$1:$O$103,15,0))</f>
        <v>0</v>
      </c>
      <c r="W819" s="6">
        <f>IF(ISERROR(VLOOKUP($T$819,'TAR FIN'!$A$1:$O$103,15,0)),0,VLOOKUP($T$819,'TAR FIN'!$A$1:$O$103,15,0))</f>
        <v>379.62</v>
      </c>
      <c r="X819" s="6">
        <f>IF(ISERROR(VLOOKUP($U$819,'TAR FIN'!$A$1:$O$103,15,0)),0,VLOOKUP($U$819,'TAR FIN'!$A$1:$O$103,15,0))</f>
        <v>255.17</v>
      </c>
      <c r="Y819" s="6"/>
      <c r="Z819" s="6">
        <f ca="1">('TUSD BE'!$AM$60+'TUSD BF_350'!$AM$60+'TUSD CVA'!$AM$60)*1</f>
        <v>384.48</v>
      </c>
      <c r="AA819" s="6">
        <f ca="1">('TE BE'!$AB$41+'TE BF_350'!$AB$41+'TE CVA'!$AB$41)*1</f>
        <v>286.51</v>
      </c>
      <c r="AB819" s="6">
        <f>$K$819*$V$819</f>
        <v>0</v>
      </c>
      <c r="AC819" s="6">
        <f>$M$819*$W$819</f>
        <v>6109.9838999999993</v>
      </c>
      <c r="AD819" s="6">
        <f>$O$819*$X$819</f>
        <v>4106.9611499999992</v>
      </c>
      <c r="AE819" s="6">
        <f>$K$819*$Y$819</f>
        <v>0</v>
      </c>
      <c r="AF819" s="6">
        <f ca="1">$M$819*$Z$819</f>
        <v>6188.2056000000002</v>
      </c>
      <c r="AG819" s="6">
        <f ca="1">$O$819*$AA$819</f>
        <v>4611.3784499999992</v>
      </c>
    </row>
    <row r="820" spans="1:33" ht="11.25" customHeight="1" x14ac:dyDescent="0.3">
      <c r="A820" s="4" t="s">
        <v>57</v>
      </c>
      <c r="B820" s="4" t="s">
        <v>37</v>
      </c>
      <c r="C820" s="4" t="s">
        <v>23</v>
      </c>
      <c r="D820" s="4" t="s">
        <v>52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44835</v>
      </c>
      <c r="J820" s="6">
        <v>0</v>
      </c>
      <c r="K820" s="6">
        <v>0</v>
      </c>
      <c r="L820" s="6">
        <v>16.094999999999999</v>
      </c>
      <c r="M820" s="6">
        <v>16.094999999999999</v>
      </c>
      <c r="N820" s="6">
        <v>16.094999999999999</v>
      </c>
      <c r="O820" s="6">
        <v>16.094999999999999</v>
      </c>
      <c r="P820" s="6">
        <v>11</v>
      </c>
      <c r="Q820" s="4" t="s">
        <v>26</v>
      </c>
      <c r="R820" s="4">
        <v>0</v>
      </c>
      <c r="S820" s="6">
        <v>0</v>
      </c>
      <c r="T820" s="6">
        <v>58</v>
      </c>
      <c r="U820" s="6">
        <v>99</v>
      </c>
      <c r="V820" s="6">
        <f>IF(ISERROR(VLOOKUP($S$820,'TAR FIN'!$A$1:$O$103,15,0)),0,VLOOKUP($S$820,'TAR FIN'!$A$1:$O$103,15,0))</f>
        <v>0</v>
      </c>
      <c r="W820" s="6">
        <f>IF(ISERROR(VLOOKUP($T$820,'TAR FIN'!$A$1:$O$103,15,0)),0,VLOOKUP($T$820,'TAR FIN'!$A$1:$O$103,15,0))</f>
        <v>379.62</v>
      </c>
      <c r="X820" s="6">
        <f>IF(ISERROR(VLOOKUP($U$820,'TAR FIN'!$A$1:$O$103,15,0)),0,VLOOKUP($U$820,'TAR FIN'!$A$1:$O$103,15,0))</f>
        <v>255.17</v>
      </c>
      <c r="Y820" s="6"/>
      <c r="Z820" s="6">
        <f ca="1">('TUSD BE'!$AM$60+'TUSD BF_350'!$AM$60+'TUSD CVA'!$AM$60)*1</f>
        <v>384.48</v>
      </c>
      <c r="AA820" s="6">
        <f ca="1">('TE BE'!$AB$41+'TE BF_350'!$AB$41+'TE CVA'!$AB$41)*1</f>
        <v>286.51</v>
      </c>
      <c r="AB820" s="6">
        <f>$K$820*$V$820</f>
        <v>0</v>
      </c>
      <c r="AC820" s="6">
        <f>$M$820*$W$820</f>
        <v>6109.9838999999993</v>
      </c>
      <c r="AD820" s="6">
        <f>$O$820*$X$820</f>
        <v>4106.9611499999992</v>
      </c>
      <c r="AE820" s="6">
        <f>$K$820*$Y$820</f>
        <v>0</v>
      </c>
      <c r="AF820" s="6">
        <f ca="1">$M$820*$Z$820</f>
        <v>6188.2056000000002</v>
      </c>
      <c r="AG820" s="6">
        <f ca="1">$O$820*$AA$820</f>
        <v>4611.3784499999992</v>
      </c>
    </row>
    <row r="821" spans="1:33" ht="11.25" customHeight="1" x14ac:dyDescent="0.3">
      <c r="A821" s="4" t="s">
        <v>21</v>
      </c>
      <c r="B821" s="4" t="s">
        <v>37</v>
      </c>
      <c r="C821" s="4" t="s">
        <v>23</v>
      </c>
      <c r="D821" s="4" t="s">
        <v>38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44501</v>
      </c>
      <c r="J821" s="6">
        <v>0</v>
      </c>
      <c r="K821" s="6">
        <v>0</v>
      </c>
      <c r="L821" s="6">
        <v>48.664999999999999</v>
      </c>
      <c r="M821" s="6">
        <v>48.664999999999999</v>
      </c>
      <c r="N821" s="6">
        <v>48.664999999999999</v>
      </c>
      <c r="O821" s="6">
        <v>48.664999999999999</v>
      </c>
      <c r="P821" s="6">
        <v>44</v>
      </c>
      <c r="Q821" s="4" t="s">
        <v>26</v>
      </c>
      <c r="R821" s="4">
        <v>0</v>
      </c>
      <c r="S821" s="6">
        <v>0</v>
      </c>
      <c r="T821" s="6">
        <v>58</v>
      </c>
      <c r="U821" s="6">
        <v>99</v>
      </c>
      <c r="V821" s="6">
        <f>IF(ISERROR(VLOOKUP($S$821,'TAR FIN'!$A$1:$O$103,15,0)),0,VLOOKUP($S$821,'TAR FIN'!$A$1:$O$103,15,0))</f>
        <v>0</v>
      </c>
      <c r="W821" s="6">
        <f>IF(ISERROR(VLOOKUP($T$821,'TAR FIN'!$A$1:$O$103,15,0)),0,VLOOKUP($T$821,'TAR FIN'!$A$1:$O$103,15,0))</f>
        <v>379.62</v>
      </c>
      <c r="X821" s="6">
        <f>IF(ISERROR(VLOOKUP($U$821,'TAR FIN'!$A$1:$O$103,15,0)),0,VLOOKUP($U$821,'TAR FIN'!$A$1:$O$103,15,0))</f>
        <v>255.17</v>
      </c>
      <c r="Y821" s="6"/>
      <c r="Z821" s="6">
        <f ca="1">('TUSD BE'!$AM$60+'TUSD BF_350'!$AM$60+'TUSD CVA'!$AM$60)*1</f>
        <v>384.48</v>
      </c>
      <c r="AA821" s="6">
        <f ca="1">('TE BE'!$AB$41+'TE BF_350'!$AB$41+'TE CVA'!$AB$41)*1</f>
        <v>286.51</v>
      </c>
      <c r="AB821" s="6">
        <f>$K$821*$V$821</f>
        <v>0</v>
      </c>
      <c r="AC821" s="6">
        <f>$M$821*$W$821</f>
        <v>18474.207299999998</v>
      </c>
      <c r="AD821" s="6">
        <f>$O$821*$X$821</f>
        <v>12417.848049999999</v>
      </c>
      <c r="AE821" s="6">
        <f>$K$821*$Y$821</f>
        <v>0</v>
      </c>
      <c r="AF821" s="6">
        <f ca="1">$M$821*$Z$821</f>
        <v>18710.7192</v>
      </c>
      <c r="AG821" s="6">
        <f ca="1">$O$821*$AA$821</f>
        <v>13943.00915</v>
      </c>
    </row>
    <row r="822" spans="1:33" ht="11.25" customHeight="1" x14ac:dyDescent="0.3">
      <c r="A822" s="4" t="s">
        <v>28</v>
      </c>
      <c r="B822" s="4" t="s">
        <v>37</v>
      </c>
      <c r="C822" s="4" t="s">
        <v>23</v>
      </c>
      <c r="D822" s="4" t="s">
        <v>38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44501</v>
      </c>
      <c r="J822" s="6">
        <v>0</v>
      </c>
      <c r="K822" s="6">
        <v>0</v>
      </c>
      <c r="L822" s="6">
        <v>1.589</v>
      </c>
      <c r="M822" s="6">
        <v>1.589</v>
      </c>
      <c r="N822" s="6">
        <v>1.589</v>
      </c>
      <c r="O822" s="6">
        <v>1.589</v>
      </c>
      <c r="P822" s="6">
        <v>3</v>
      </c>
      <c r="Q822" s="4" t="s">
        <v>26</v>
      </c>
      <c r="R822" s="4">
        <v>0</v>
      </c>
      <c r="S822" s="6">
        <v>0</v>
      </c>
      <c r="T822" s="6">
        <v>58</v>
      </c>
      <c r="U822" s="6">
        <v>99</v>
      </c>
      <c r="V822" s="6">
        <f>IF(ISERROR(VLOOKUP($S$822,'TAR FIN'!$A$1:$O$103,15,0)),0,VLOOKUP($S$822,'TAR FIN'!$A$1:$O$103,15,0))</f>
        <v>0</v>
      </c>
      <c r="W822" s="6">
        <f>IF(ISERROR(VLOOKUP($T$822,'TAR FIN'!$A$1:$O$103,15,0)),0,VLOOKUP($T$822,'TAR FIN'!$A$1:$O$103,15,0))</f>
        <v>379.62</v>
      </c>
      <c r="X822" s="6">
        <f>IF(ISERROR(VLOOKUP($U$822,'TAR FIN'!$A$1:$O$103,15,0)),0,VLOOKUP($U$822,'TAR FIN'!$A$1:$O$103,15,0))</f>
        <v>255.17</v>
      </c>
      <c r="Y822" s="6"/>
      <c r="Z822" s="6">
        <f ca="1">('TUSD BE'!$AM$60+'TUSD BF_350'!$AM$60+'TUSD CVA'!$AM$60)*1</f>
        <v>384.48</v>
      </c>
      <c r="AA822" s="6">
        <f ca="1">('TE BE'!$AB$41+'TE BF_350'!$AB$41+'TE CVA'!$AB$41)*1</f>
        <v>286.51</v>
      </c>
      <c r="AB822" s="6">
        <f>$K$822*$V$822</f>
        <v>0</v>
      </c>
      <c r="AC822" s="6">
        <f>$M$822*$W$822</f>
        <v>603.21618000000001</v>
      </c>
      <c r="AD822" s="6">
        <f>$O$822*$X$822</f>
        <v>405.46512999999999</v>
      </c>
      <c r="AE822" s="6">
        <f>$K$822*$Y$822</f>
        <v>0</v>
      </c>
      <c r="AF822" s="6">
        <f ca="1">$M$822*$Z$822</f>
        <v>610.93871999999999</v>
      </c>
      <c r="AG822" s="6">
        <f ca="1">$O$822*$AA$822</f>
        <v>455.26438999999999</v>
      </c>
    </row>
    <row r="823" spans="1:33" ht="11.25" customHeight="1" x14ac:dyDescent="0.3">
      <c r="A823" s="4" t="s">
        <v>21</v>
      </c>
      <c r="B823" s="4" t="s">
        <v>37</v>
      </c>
      <c r="C823" s="4" t="s">
        <v>23</v>
      </c>
      <c r="D823" s="4" t="s">
        <v>38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44531</v>
      </c>
      <c r="J823" s="6">
        <v>0</v>
      </c>
      <c r="K823" s="6">
        <v>0</v>
      </c>
      <c r="L823" s="6">
        <v>43.027999999999999</v>
      </c>
      <c r="M823" s="6">
        <v>43.027999999999999</v>
      </c>
      <c r="N823" s="6">
        <v>43.027999999999999</v>
      </c>
      <c r="O823" s="6">
        <v>43.027999999999999</v>
      </c>
      <c r="P823" s="6">
        <v>44</v>
      </c>
      <c r="Q823" s="4" t="s">
        <v>26</v>
      </c>
      <c r="R823" s="4">
        <v>0</v>
      </c>
      <c r="S823" s="6">
        <v>0</v>
      </c>
      <c r="T823" s="6">
        <v>58</v>
      </c>
      <c r="U823" s="6">
        <v>99</v>
      </c>
      <c r="V823" s="6">
        <f>IF(ISERROR(VLOOKUP($S$823,'TAR FIN'!$A$1:$O$103,15,0)),0,VLOOKUP($S$823,'TAR FIN'!$A$1:$O$103,15,0))</f>
        <v>0</v>
      </c>
      <c r="W823" s="6">
        <f>IF(ISERROR(VLOOKUP($T$823,'TAR FIN'!$A$1:$O$103,15,0)),0,VLOOKUP($T$823,'TAR FIN'!$A$1:$O$103,15,0))</f>
        <v>379.62</v>
      </c>
      <c r="X823" s="6">
        <f>IF(ISERROR(VLOOKUP($U$823,'TAR FIN'!$A$1:$O$103,15,0)),0,VLOOKUP($U$823,'TAR FIN'!$A$1:$O$103,15,0))</f>
        <v>255.17</v>
      </c>
      <c r="Y823" s="6"/>
      <c r="Z823" s="6">
        <f ca="1">('TUSD BE'!$AM$60+'TUSD BF_350'!$AM$60+'TUSD CVA'!$AM$60)*1</f>
        <v>384.48</v>
      </c>
      <c r="AA823" s="6">
        <f ca="1">('TE BE'!$AB$41+'TE BF_350'!$AB$41+'TE CVA'!$AB$41)*1</f>
        <v>286.51</v>
      </c>
      <c r="AB823" s="6">
        <f>$K$823*$V$823</f>
        <v>0</v>
      </c>
      <c r="AC823" s="6">
        <f>$M$823*$W$823</f>
        <v>16334.289359999999</v>
      </c>
      <c r="AD823" s="6">
        <f>$O$823*$X$823</f>
        <v>10979.454759999999</v>
      </c>
      <c r="AE823" s="6">
        <f>$K$823*$Y$823</f>
        <v>0</v>
      </c>
      <c r="AF823" s="6">
        <f ca="1">$M$823*$Z$823</f>
        <v>16543.405439999999</v>
      </c>
      <c r="AG823" s="6">
        <f ca="1">$O$823*$AA$823</f>
        <v>12327.95228</v>
      </c>
    </row>
    <row r="824" spans="1:33" ht="11.25" customHeight="1" x14ac:dyDescent="0.3">
      <c r="A824" s="4" t="s">
        <v>28</v>
      </c>
      <c r="B824" s="4" t="s">
        <v>37</v>
      </c>
      <c r="C824" s="4" t="s">
        <v>23</v>
      </c>
      <c r="D824" s="4" t="s">
        <v>38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44531</v>
      </c>
      <c r="J824" s="6">
        <v>0</v>
      </c>
      <c r="K824" s="6">
        <v>0</v>
      </c>
      <c r="L824" s="6">
        <v>1.998</v>
      </c>
      <c r="M824" s="6">
        <v>1.998</v>
      </c>
      <c r="N824" s="6">
        <v>1.998</v>
      </c>
      <c r="O824" s="6">
        <v>1.998</v>
      </c>
      <c r="P824" s="6">
        <v>3</v>
      </c>
      <c r="Q824" s="4" t="s">
        <v>26</v>
      </c>
      <c r="R824" s="4">
        <v>0</v>
      </c>
      <c r="S824" s="6">
        <v>0</v>
      </c>
      <c r="T824" s="6">
        <v>58</v>
      </c>
      <c r="U824" s="6">
        <v>99</v>
      </c>
      <c r="V824" s="6">
        <f>IF(ISERROR(VLOOKUP($S$824,'TAR FIN'!$A$1:$O$103,15,0)),0,VLOOKUP($S$824,'TAR FIN'!$A$1:$O$103,15,0))</f>
        <v>0</v>
      </c>
      <c r="W824" s="6">
        <f>IF(ISERROR(VLOOKUP($T$824,'TAR FIN'!$A$1:$O$103,15,0)),0,VLOOKUP($T$824,'TAR FIN'!$A$1:$O$103,15,0))</f>
        <v>379.62</v>
      </c>
      <c r="X824" s="6">
        <f>IF(ISERROR(VLOOKUP($U$824,'TAR FIN'!$A$1:$O$103,15,0)),0,VLOOKUP($U$824,'TAR FIN'!$A$1:$O$103,15,0))</f>
        <v>255.17</v>
      </c>
      <c r="Y824" s="6"/>
      <c r="Z824" s="6">
        <f ca="1">('TUSD BE'!$AM$60+'TUSD BF_350'!$AM$60+'TUSD CVA'!$AM$60)*1</f>
        <v>384.48</v>
      </c>
      <c r="AA824" s="6">
        <f ca="1">('TE BE'!$AB$41+'TE BF_350'!$AB$41+'TE CVA'!$AB$41)*1</f>
        <v>286.51</v>
      </c>
      <c r="AB824" s="6">
        <f>$K$824*$V$824</f>
        <v>0</v>
      </c>
      <c r="AC824" s="6">
        <f>$M$824*$W$824</f>
        <v>758.48076000000003</v>
      </c>
      <c r="AD824" s="6">
        <f>$O$824*$X$824</f>
        <v>509.82965999999999</v>
      </c>
      <c r="AE824" s="6">
        <f>$K$824*$Y$824</f>
        <v>0</v>
      </c>
      <c r="AF824" s="6">
        <f ca="1">$M$824*$Z$824</f>
        <v>768.19104000000004</v>
      </c>
      <c r="AG824" s="6">
        <f ca="1">$O$824*$AA$824</f>
        <v>572.44697999999994</v>
      </c>
    </row>
    <row r="825" spans="1:33" ht="11.25" customHeight="1" x14ac:dyDescent="0.3">
      <c r="A825" s="4" t="s">
        <v>21</v>
      </c>
      <c r="B825" s="4" t="s">
        <v>37</v>
      </c>
      <c r="C825" s="4" t="s">
        <v>23</v>
      </c>
      <c r="D825" s="4" t="s">
        <v>38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44562</v>
      </c>
      <c r="J825" s="6">
        <v>0</v>
      </c>
      <c r="K825" s="6">
        <v>0</v>
      </c>
      <c r="L825" s="6">
        <v>44.354999999999997</v>
      </c>
      <c r="M825" s="6">
        <v>44.354999999999997</v>
      </c>
      <c r="N825" s="6">
        <v>44.354999999999997</v>
      </c>
      <c r="O825" s="6">
        <v>44.354999999999997</v>
      </c>
      <c r="P825" s="6">
        <v>44</v>
      </c>
      <c r="Q825" s="4" t="s">
        <v>26</v>
      </c>
      <c r="R825" s="4">
        <v>0</v>
      </c>
      <c r="S825" s="6">
        <v>0</v>
      </c>
      <c r="T825" s="6">
        <v>58</v>
      </c>
      <c r="U825" s="6">
        <v>99</v>
      </c>
      <c r="V825" s="6">
        <f>IF(ISERROR(VLOOKUP($S$825,'TAR FIN'!$A$1:$O$103,15,0)),0,VLOOKUP($S$825,'TAR FIN'!$A$1:$O$103,15,0))</f>
        <v>0</v>
      </c>
      <c r="W825" s="6">
        <f>IF(ISERROR(VLOOKUP($T$825,'TAR FIN'!$A$1:$O$103,15,0)),0,VLOOKUP($T$825,'TAR FIN'!$A$1:$O$103,15,0))</f>
        <v>379.62</v>
      </c>
      <c r="X825" s="6">
        <f>IF(ISERROR(VLOOKUP($U$825,'TAR FIN'!$A$1:$O$103,15,0)),0,VLOOKUP($U$825,'TAR FIN'!$A$1:$O$103,15,0))</f>
        <v>255.17</v>
      </c>
      <c r="Y825" s="6"/>
      <c r="Z825" s="6">
        <f ca="1">('TUSD BE'!$AM$60+'TUSD BF_350'!$AM$60+'TUSD CVA'!$AM$60)*1</f>
        <v>384.48</v>
      </c>
      <c r="AA825" s="6">
        <f ca="1">('TE BE'!$AB$41+'TE BF_350'!$AB$41+'TE CVA'!$AB$41)*1</f>
        <v>286.51</v>
      </c>
      <c r="AB825" s="6">
        <f>$K$825*$V$825</f>
        <v>0</v>
      </c>
      <c r="AC825" s="6">
        <f>$M$825*$W$825</f>
        <v>16838.045099999999</v>
      </c>
      <c r="AD825" s="6">
        <f>$O$825*$X$825</f>
        <v>11318.065349999999</v>
      </c>
      <c r="AE825" s="6">
        <f>$K$825*$Y$825</f>
        <v>0</v>
      </c>
      <c r="AF825" s="6">
        <f ca="1">$M$825*$Z$825</f>
        <v>17053.610400000001</v>
      </c>
      <c r="AG825" s="6">
        <f ca="1">$O$825*$AA$825</f>
        <v>12708.151049999999</v>
      </c>
    </row>
    <row r="826" spans="1:33" ht="11.25" customHeight="1" x14ac:dyDescent="0.3">
      <c r="A826" s="4" t="s">
        <v>28</v>
      </c>
      <c r="B826" s="4" t="s">
        <v>37</v>
      </c>
      <c r="C826" s="4" t="s">
        <v>23</v>
      </c>
      <c r="D826" s="4" t="s">
        <v>38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44562</v>
      </c>
      <c r="J826" s="6">
        <v>0</v>
      </c>
      <c r="K826" s="6">
        <v>0</v>
      </c>
      <c r="L826" s="6">
        <v>1.978</v>
      </c>
      <c r="M826" s="6">
        <v>1.978</v>
      </c>
      <c r="N826" s="6">
        <v>1.978</v>
      </c>
      <c r="O826" s="6">
        <v>1.978</v>
      </c>
      <c r="P826" s="6">
        <v>3</v>
      </c>
      <c r="Q826" s="4" t="s">
        <v>26</v>
      </c>
      <c r="R826" s="4">
        <v>0</v>
      </c>
      <c r="S826" s="6">
        <v>0</v>
      </c>
      <c r="T826" s="6">
        <v>58</v>
      </c>
      <c r="U826" s="6">
        <v>99</v>
      </c>
      <c r="V826" s="6">
        <f>IF(ISERROR(VLOOKUP($S$826,'TAR FIN'!$A$1:$O$103,15,0)),0,VLOOKUP($S$826,'TAR FIN'!$A$1:$O$103,15,0))</f>
        <v>0</v>
      </c>
      <c r="W826" s="6">
        <f>IF(ISERROR(VLOOKUP($T$826,'TAR FIN'!$A$1:$O$103,15,0)),0,VLOOKUP($T$826,'TAR FIN'!$A$1:$O$103,15,0))</f>
        <v>379.62</v>
      </c>
      <c r="X826" s="6">
        <f>IF(ISERROR(VLOOKUP($U$826,'TAR FIN'!$A$1:$O$103,15,0)),0,VLOOKUP($U$826,'TAR FIN'!$A$1:$O$103,15,0))</f>
        <v>255.17</v>
      </c>
      <c r="Y826" s="6"/>
      <c r="Z826" s="6">
        <f ca="1">('TUSD BE'!$AM$60+'TUSD BF_350'!$AM$60+'TUSD CVA'!$AM$60)*1</f>
        <v>384.48</v>
      </c>
      <c r="AA826" s="6">
        <f ca="1">('TE BE'!$AB$41+'TE BF_350'!$AB$41+'TE CVA'!$AB$41)*1</f>
        <v>286.51</v>
      </c>
      <c r="AB826" s="6">
        <f>$K$826*$V$826</f>
        <v>0</v>
      </c>
      <c r="AC826" s="6">
        <f>$M$826*$W$826</f>
        <v>750.88836000000003</v>
      </c>
      <c r="AD826" s="6">
        <f>$O$826*$X$826</f>
        <v>504.72625999999997</v>
      </c>
      <c r="AE826" s="6">
        <f>$K$826*$Y$826</f>
        <v>0</v>
      </c>
      <c r="AF826" s="6">
        <f ca="1">$M$826*$Z$826</f>
        <v>760.50144</v>
      </c>
      <c r="AG826" s="6">
        <f ca="1">$O$826*$AA$826</f>
        <v>566.71677999999997</v>
      </c>
    </row>
    <row r="827" spans="1:33" ht="11.25" customHeight="1" x14ac:dyDescent="0.3">
      <c r="A827" s="4" t="s">
        <v>21</v>
      </c>
      <c r="B827" s="4" t="s">
        <v>37</v>
      </c>
      <c r="C827" s="4" t="s">
        <v>23</v>
      </c>
      <c r="D827" s="4" t="s">
        <v>38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44593</v>
      </c>
      <c r="J827" s="6">
        <v>0</v>
      </c>
      <c r="K827" s="6">
        <v>0</v>
      </c>
      <c r="L827" s="6">
        <v>44.408000000000001</v>
      </c>
      <c r="M827" s="6">
        <v>44.408000000000001</v>
      </c>
      <c r="N827" s="6">
        <v>44.408000000000001</v>
      </c>
      <c r="O827" s="6">
        <v>44.408000000000001</v>
      </c>
      <c r="P827" s="6">
        <v>42</v>
      </c>
      <c r="Q827" s="4" t="s">
        <v>26</v>
      </c>
      <c r="R827" s="4">
        <v>0</v>
      </c>
      <c r="S827" s="6">
        <v>0</v>
      </c>
      <c r="T827" s="6">
        <v>58</v>
      </c>
      <c r="U827" s="6">
        <v>99</v>
      </c>
      <c r="V827" s="6">
        <f>IF(ISERROR(VLOOKUP($S$827,'TAR FIN'!$A$1:$O$103,15,0)),0,VLOOKUP($S$827,'TAR FIN'!$A$1:$O$103,15,0))</f>
        <v>0</v>
      </c>
      <c r="W827" s="6">
        <f>IF(ISERROR(VLOOKUP($T$827,'TAR FIN'!$A$1:$O$103,15,0)),0,VLOOKUP($T$827,'TAR FIN'!$A$1:$O$103,15,0))</f>
        <v>379.62</v>
      </c>
      <c r="X827" s="6">
        <f>IF(ISERROR(VLOOKUP($U$827,'TAR FIN'!$A$1:$O$103,15,0)),0,VLOOKUP($U$827,'TAR FIN'!$A$1:$O$103,15,0))</f>
        <v>255.17</v>
      </c>
      <c r="Y827" s="6"/>
      <c r="Z827" s="6">
        <f ca="1">('TUSD BE'!$AM$60+'TUSD BF_350'!$AM$60+'TUSD CVA'!$AM$60)*1</f>
        <v>384.48</v>
      </c>
      <c r="AA827" s="6">
        <f ca="1">('TE BE'!$AB$41+'TE BF_350'!$AB$41+'TE CVA'!$AB$41)*1</f>
        <v>286.51</v>
      </c>
      <c r="AB827" s="6">
        <f>$K$827*$V$827</f>
        <v>0</v>
      </c>
      <c r="AC827" s="6">
        <f>$M$827*$W$827</f>
        <v>16858.164960000002</v>
      </c>
      <c r="AD827" s="6">
        <f>$O$827*$X$827</f>
        <v>11331.58936</v>
      </c>
      <c r="AE827" s="6">
        <f>$K$827*$Y$827</f>
        <v>0</v>
      </c>
      <c r="AF827" s="6">
        <f ca="1">$M$827*$Z$827</f>
        <v>17073.987840000002</v>
      </c>
      <c r="AG827" s="6">
        <f ca="1">$O$827*$AA$827</f>
        <v>12723.336079999999</v>
      </c>
    </row>
    <row r="828" spans="1:33" ht="11.25" customHeight="1" x14ac:dyDescent="0.3">
      <c r="A828" s="4" t="s">
        <v>28</v>
      </c>
      <c r="B828" s="4" t="s">
        <v>37</v>
      </c>
      <c r="C828" s="4" t="s">
        <v>23</v>
      </c>
      <c r="D828" s="4" t="s">
        <v>38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44593</v>
      </c>
      <c r="J828" s="6">
        <v>0</v>
      </c>
      <c r="K828" s="6">
        <v>0</v>
      </c>
      <c r="L828" s="6">
        <v>0.71199999999999997</v>
      </c>
      <c r="M828" s="6">
        <v>0.71199999999999997</v>
      </c>
      <c r="N828" s="6">
        <v>0.71199999999999997</v>
      </c>
      <c r="O828" s="6">
        <v>0.71199999999999997</v>
      </c>
      <c r="P828" s="6">
        <v>3</v>
      </c>
      <c r="Q828" s="4" t="s">
        <v>26</v>
      </c>
      <c r="R828" s="4">
        <v>0</v>
      </c>
      <c r="S828" s="6">
        <v>0</v>
      </c>
      <c r="T828" s="6">
        <v>58</v>
      </c>
      <c r="U828" s="6">
        <v>99</v>
      </c>
      <c r="V828" s="6">
        <f>IF(ISERROR(VLOOKUP($S$828,'TAR FIN'!$A$1:$O$103,15,0)),0,VLOOKUP($S$828,'TAR FIN'!$A$1:$O$103,15,0))</f>
        <v>0</v>
      </c>
      <c r="W828" s="6">
        <f>IF(ISERROR(VLOOKUP($T$828,'TAR FIN'!$A$1:$O$103,15,0)),0,VLOOKUP($T$828,'TAR FIN'!$A$1:$O$103,15,0))</f>
        <v>379.62</v>
      </c>
      <c r="X828" s="6">
        <f>IF(ISERROR(VLOOKUP($U$828,'TAR FIN'!$A$1:$O$103,15,0)),0,VLOOKUP($U$828,'TAR FIN'!$A$1:$O$103,15,0))</f>
        <v>255.17</v>
      </c>
      <c r="Y828" s="6"/>
      <c r="Z828" s="6">
        <f ca="1">('TUSD BE'!$AM$60+'TUSD BF_350'!$AM$60+'TUSD CVA'!$AM$60)*1</f>
        <v>384.48</v>
      </c>
      <c r="AA828" s="6">
        <f ca="1">('TE BE'!$AB$41+'TE BF_350'!$AB$41+'TE CVA'!$AB$41)*1</f>
        <v>286.51</v>
      </c>
      <c r="AB828" s="6">
        <f>$K$828*$V$828</f>
        <v>0</v>
      </c>
      <c r="AC828" s="6">
        <f>$M$828*$W$828</f>
        <v>270.28944000000001</v>
      </c>
      <c r="AD828" s="6">
        <f>$O$828*$X$828</f>
        <v>181.68104</v>
      </c>
      <c r="AE828" s="6">
        <f>$K$828*$Y$828</f>
        <v>0</v>
      </c>
      <c r="AF828" s="6">
        <f ca="1">$M$828*$Z$828</f>
        <v>273.74975999999998</v>
      </c>
      <c r="AG828" s="6">
        <f ca="1">$O$828*$AA$828</f>
        <v>203.99511999999999</v>
      </c>
    </row>
    <row r="829" spans="1:33" ht="11.25" customHeight="1" x14ac:dyDescent="0.3">
      <c r="A829" s="4" t="s">
        <v>21</v>
      </c>
      <c r="B829" s="4" t="s">
        <v>37</v>
      </c>
      <c r="C829" s="4" t="s">
        <v>23</v>
      </c>
      <c r="D829" s="4" t="s">
        <v>38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44621</v>
      </c>
      <c r="J829" s="6">
        <v>0</v>
      </c>
      <c r="K829" s="6">
        <v>0</v>
      </c>
      <c r="L829" s="6">
        <v>43.771000000000001</v>
      </c>
      <c r="M829" s="6">
        <v>43.771000000000001</v>
      </c>
      <c r="N829" s="6">
        <v>43.771000000000001</v>
      </c>
      <c r="O829" s="6">
        <v>43.771000000000001</v>
      </c>
      <c r="P829" s="6">
        <v>42</v>
      </c>
      <c r="Q829" s="4" t="s">
        <v>26</v>
      </c>
      <c r="R829" s="4">
        <v>0</v>
      </c>
      <c r="S829" s="6">
        <v>0</v>
      </c>
      <c r="T829" s="6">
        <v>58</v>
      </c>
      <c r="U829" s="6">
        <v>99</v>
      </c>
      <c r="V829" s="6">
        <f>IF(ISERROR(VLOOKUP($S$829,'TAR FIN'!$A$1:$O$103,15,0)),0,VLOOKUP($S$829,'TAR FIN'!$A$1:$O$103,15,0))</f>
        <v>0</v>
      </c>
      <c r="W829" s="6">
        <f>IF(ISERROR(VLOOKUP($T$829,'TAR FIN'!$A$1:$O$103,15,0)),0,VLOOKUP($T$829,'TAR FIN'!$A$1:$O$103,15,0))</f>
        <v>379.62</v>
      </c>
      <c r="X829" s="6">
        <f>IF(ISERROR(VLOOKUP($U$829,'TAR FIN'!$A$1:$O$103,15,0)),0,VLOOKUP($U$829,'TAR FIN'!$A$1:$O$103,15,0))</f>
        <v>255.17</v>
      </c>
      <c r="Y829" s="6"/>
      <c r="Z829" s="6">
        <f ca="1">('TUSD BE'!$AM$60+'TUSD BF_350'!$AM$60+'TUSD CVA'!$AM$60)*1</f>
        <v>384.48</v>
      </c>
      <c r="AA829" s="6">
        <f ca="1">('TE BE'!$AB$41+'TE BF_350'!$AB$41+'TE CVA'!$AB$41)*1</f>
        <v>286.51</v>
      </c>
      <c r="AB829" s="6">
        <f>$K$829*$V$829</f>
        <v>0</v>
      </c>
      <c r="AC829" s="6">
        <f>$M$829*$W$829</f>
        <v>16616.347020000001</v>
      </c>
      <c r="AD829" s="6">
        <f>$O$829*$X$829</f>
        <v>11169.04607</v>
      </c>
      <c r="AE829" s="6">
        <f>$K$829*$Y$829</f>
        <v>0</v>
      </c>
      <c r="AF829" s="6">
        <f ca="1">$M$829*$Z$829</f>
        <v>16829.074080000002</v>
      </c>
      <c r="AG829" s="6">
        <f ca="1">$O$829*$AA$829</f>
        <v>12540.82921</v>
      </c>
    </row>
    <row r="830" spans="1:33" ht="11.25" customHeight="1" x14ac:dyDescent="0.3">
      <c r="A830" s="4" t="s">
        <v>28</v>
      </c>
      <c r="B830" s="4" t="s">
        <v>37</v>
      </c>
      <c r="C830" s="4" t="s">
        <v>23</v>
      </c>
      <c r="D830" s="4" t="s">
        <v>38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44621</v>
      </c>
      <c r="J830" s="6">
        <v>0</v>
      </c>
      <c r="K830" s="6">
        <v>0</v>
      </c>
      <c r="L830" s="6">
        <v>0.6</v>
      </c>
      <c r="M830" s="6">
        <v>0.6</v>
      </c>
      <c r="N830" s="6">
        <v>0.6</v>
      </c>
      <c r="O830" s="6">
        <v>0.6</v>
      </c>
      <c r="P830" s="6">
        <v>3</v>
      </c>
      <c r="Q830" s="4" t="s">
        <v>26</v>
      </c>
      <c r="R830" s="4">
        <v>0</v>
      </c>
      <c r="S830" s="6">
        <v>0</v>
      </c>
      <c r="T830" s="6">
        <v>58</v>
      </c>
      <c r="U830" s="6">
        <v>99</v>
      </c>
      <c r="V830" s="6">
        <f>IF(ISERROR(VLOOKUP($S$830,'TAR FIN'!$A$1:$O$103,15,0)),0,VLOOKUP($S$830,'TAR FIN'!$A$1:$O$103,15,0))</f>
        <v>0</v>
      </c>
      <c r="W830" s="6">
        <f>IF(ISERROR(VLOOKUP($T$830,'TAR FIN'!$A$1:$O$103,15,0)),0,VLOOKUP($T$830,'TAR FIN'!$A$1:$O$103,15,0))</f>
        <v>379.62</v>
      </c>
      <c r="X830" s="6">
        <f>IF(ISERROR(VLOOKUP($U$830,'TAR FIN'!$A$1:$O$103,15,0)),0,VLOOKUP($U$830,'TAR FIN'!$A$1:$O$103,15,0))</f>
        <v>255.17</v>
      </c>
      <c r="Y830" s="6"/>
      <c r="Z830" s="6">
        <f ca="1">('TUSD BE'!$AM$60+'TUSD BF_350'!$AM$60+'TUSD CVA'!$AM$60)*1</f>
        <v>384.48</v>
      </c>
      <c r="AA830" s="6">
        <f ca="1">('TE BE'!$AB$41+'TE BF_350'!$AB$41+'TE CVA'!$AB$41)*1</f>
        <v>286.51</v>
      </c>
      <c r="AB830" s="6">
        <f>$K$830*$V$830</f>
        <v>0</v>
      </c>
      <c r="AC830" s="6">
        <f>$M$830*$W$830</f>
        <v>227.77199999999999</v>
      </c>
      <c r="AD830" s="6">
        <f>$O$830*$X$830</f>
        <v>153.10199999999998</v>
      </c>
      <c r="AE830" s="6">
        <f>$K$830*$Y$830</f>
        <v>0</v>
      </c>
      <c r="AF830" s="6">
        <f ca="1">$M$830*$Z$830</f>
        <v>230.68799999999999</v>
      </c>
      <c r="AG830" s="6">
        <f ca="1">$O$830*$AA$830</f>
        <v>171.90599999999998</v>
      </c>
    </row>
    <row r="831" spans="1:33" ht="11.25" customHeight="1" x14ac:dyDescent="0.3">
      <c r="A831" s="4" t="s">
        <v>21</v>
      </c>
      <c r="B831" s="4" t="s">
        <v>37</v>
      </c>
      <c r="C831" s="4" t="s">
        <v>23</v>
      </c>
      <c r="D831" s="4" t="s">
        <v>38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44652</v>
      </c>
      <c r="J831" s="6">
        <v>0</v>
      </c>
      <c r="K831" s="6">
        <v>0</v>
      </c>
      <c r="L831" s="6">
        <v>47.892000000000003</v>
      </c>
      <c r="M831" s="6">
        <v>47.892000000000003</v>
      </c>
      <c r="N831" s="6">
        <v>47.892000000000003</v>
      </c>
      <c r="O831" s="6">
        <v>47.892000000000003</v>
      </c>
      <c r="P831" s="6">
        <v>42</v>
      </c>
      <c r="Q831" s="4" t="s">
        <v>26</v>
      </c>
      <c r="R831" s="4">
        <v>0</v>
      </c>
      <c r="S831" s="6">
        <v>0</v>
      </c>
      <c r="T831" s="6">
        <v>58</v>
      </c>
      <c r="U831" s="6">
        <v>99</v>
      </c>
      <c r="V831" s="6">
        <f>IF(ISERROR(VLOOKUP($S$831,'TAR FIN'!$A$1:$O$103,15,0)),0,VLOOKUP($S$831,'TAR FIN'!$A$1:$O$103,15,0))</f>
        <v>0</v>
      </c>
      <c r="W831" s="6">
        <f>IF(ISERROR(VLOOKUP($T$831,'TAR FIN'!$A$1:$O$103,15,0)),0,VLOOKUP($T$831,'TAR FIN'!$A$1:$O$103,15,0))</f>
        <v>379.62</v>
      </c>
      <c r="X831" s="6">
        <f>IF(ISERROR(VLOOKUP($U$831,'TAR FIN'!$A$1:$O$103,15,0)),0,VLOOKUP($U$831,'TAR FIN'!$A$1:$O$103,15,0))</f>
        <v>255.17</v>
      </c>
      <c r="Y831" s="6"/>
      <c r="Z831" s="6">
        <f ca="1">('TUSD BE'!$AM$60+'TUSD BF_350'!$AM$60+'TUSD CVA'!$AM$60)*1</f>
        <v>384.48</v>
      </c>
      <c r="AA831" s="6">
        <f ca="1">('TE BE'!$AB$41+'TE BF_350'!$AB$41+'TE CVA'!$AB$41)*1</f>
        <v>286.51</v>
      </c>
      <c r="AB831" s="6">
        <f>$K$831*$V$831</f>
        <v>0</v>
      </c>
      <c r="AC831" s="6">
        <f>$M$831*$W$831</f>
        <v>18180.761040000001</v>
      </c>
      <c r="AD831" s="6">
        <f>$O$831*$X$831</f>
        <v>12220.601640000001</v>
      </c>
      <c r="AE831" s="6">
        <f>$K$831*$Y$831</f>
        <v>0</v>
      </c>
      <c r="AF831" s="6">
        <f ca="1">$M$831*$Z$831</f>
        <v>18413.516160000003</v>
      </c>
      <c r="AG831" s="6">
        <f ca="1">$O$831*$AA$831</f>
        <v>13721.53692</v>
      </c>
    </row>
    <row r="832" spans="1:33" ht="11.25" customHeight="1" x14ac:dyDescent="0.3">
      <c r="A832" s="4" t="s">
        <v>28</v>
      </c>
      <c r="B832" s="4" t="s">
        <v>37</v>
      </c>
      <c r="C832" s="4" t="s">
        <v>23</v>
      </c>
      <c r="D832" s="4" t="s">
        <v>38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44652</v>
      </c>
      <c r="J832" s="6">
        <v>0</v>
      </c>
      <c r="K832" s="6">
        <v>0</v>
      </c>
      <c r="L832" s="6">
        <v>0.47399999999999998</v>
      </c>
      <c r="M832" s="6">
        <v>0.47399999999999998</v>
      </c>
      <c r="N832" s="6">
        <v>0.47399999999999998</v>
      </c>
      <c r="O832" s="6">
        <v>0.47399999999999998</v>
      </c>
      <c r="P832" s="6">
        <v>3</v>
      </c>
      <c r="Q832" s="4" t="s">
        <v>26</v>
      </c>
      <c r="R832" s="4">
        <v>0</v>
      </c>
      <c r="S832" s="6">
        <v>0</v>
      </c>
      <c r="T832" s="6">
        <v>58</v>
      </c>
      <c r="U832" s="6">
        <v>99</v>
      </c>
      <c r="V832" s="6">
        <f>IF(ISERROR(VLOOKUP($S$832,'TAR FIN'!$A$1:$O$103,15,0)),0,VLOOKUP($S$832,'TAR FIN'!$A$1:$O$103,15,0))</f>
        <v>0</v>
      </c>
      <c r="W832" s="6">
        <f>IF(ISERROR(VLOOKUP($T$832,'TAR FIN'!$A$1:$O$103,15,0)),0,VLOOKUP($T$832,'TAR FIN'!$A$1:$O$103,15,0))</f>
        <v>379.62</v>
      </c>
      <c r="X832" s="6">
        <f>IF(ISERROR(VLOOKUP($U$832,'TAR FIN'!$A$1:$O$103,15,0)),0,VLOOKUP($U$832,'TAR FIN'!$A$1:$O$103,15,0))</f>
        <v>255.17</v>
      </c>
      <c r="Y832" s="6"/>
      <c r="Z832" s="6">
        <f ca="1">('TUSD BE'!$AM$60+'TUSD BF_350'!$AM$60+'TUSD CVA'!$AM$60)*1</f>
        <v>384.48</v>
      </c>
      <c r="AA832" s="6">
        <f ca="1">('TE BE'!$AB$41+'TE BF_350'!$AB$41+'TE CVA'!$AB$41)*1</f>
        <v>286.51</v>
      </c>
      <c r="AB832" s="6">
        <f>$K$832*$V$832</f>
        <v>0</v>
      </c>
      <c r="AC832" s="6">
        <f>$M$832*$W$832</f>
        <v>179.93987999999999</v>
      </c>
      <c r="AD832" s="6">
        <f>$O$832*$X$832</f>
        <v>120.95057999999999</v>
      </c>
      <c r="AE832" s="6">
        <f>$K$832*$Y$832</f>
        <v>0</v>
      </c>
      <c r="AF832" s="6">
        <f ca="1">$M$832*$Z$832</f>
        <v>182.24351999999999</v>
      </c>
      <c r="AG832" s="6">
        <f ca="1">$O$832*$AA$832</f>
        <v>135.80573999999999</v>
      </c>
    </row>
    <row r="833" spans="1:33" ht="11.25" customHeight="1" x14ac:dyDescent="0.3">
      <c r="A833" s="4" t="s">
        <v>21</v>
      </c>
      <c r="B833" s="4" t="s">
        <v>37</v>
      </c>
      <c r="C833" s="4" t="s">
        <v>23</v>
      </c>
      <c r="D833" s="4" t="s">
        <v>38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44682</v>
      </c>
      <c r="J833" s="6">
        <v>0</v>
      </c>
      <c r="K833" s="6">
        <v>0</v>
      </c>
      <c r="L833" s="6">
        <v>41.951000000000001</v>
      </c>
      <c r="M833" s="6">
        <v>41.951000000000001</v>
      </c>
      <c r="N833" s="6">
        <v>41.951000000000001</v>
      </c>
      <c r="O833" s="6">
        <v>41.951000000000001</v>
      </c>
      <c r="P833" s="6">
        <v>43</v>
      </c>
      <c r="Q833" s="4" t="s">
        <v>26</v>
      </c>
      <c r="R833" s="4">
        <v>0</v>
      </c>
      <c r="S833" s="6">
        <v>0</v>
      </c>
      <c r="T833" s="6">
        <v>58</v>
      </c>
      <c r="U833" s="6">
        <v>99</v>
      </c>
      <c r="V833" s="6">
        <f>IF(ISERROR(VLOOKUP($S$833,'TAR FIN'!$A$1:$O$103,15,0)),0,VLOOKUP($S$833,'TAR FIN'!$A$1:$O$103,15,0))</f>
        <v>0</v>
      </c>
      <c r="W833" s="6">
        <f>IF(ISERROR(VLOOKUP($T$833,'TAR FIN'!$A$1:$O$103,15,0)),0,VLOOKUP($T$833,'TAR FIN'!$A$1:$O$103,15,0))</f>
        <v>379.62</v>
      </c>
      <c r="X833" s="6">
        <f>IF(ISERROR(VLOOKUP($U$833,'TAR FIN'!$A$1:$O$103,15,0)),0,VLOOKUP($U$833,'TAR FIN'!$A$1:$O$103,15,0))</f>
        <v>255.17</v>
      </c>
      <c r="Y833" s="6"/>
      <c r="Z833" s="6">
        <f ca="1">('TUSD BE'!$AM$60+'TUSD BF_350'!$AM$60+'TUSD CVA'!$AM$60)*1</f>
        <v>384.48</v>
      </c>
      <c r="AA833" s="6">
        <f ca="1">('TE BE'!$AB$41+'TE BF_350'!$AB$41+'TE CVA'!$AB$41)*1</f>
        <v>286.51</v>
      </c>
      <c r="AB833" s="6">
        <f>$K$833*$V$833</f>
        <v>0</v>
      </c>
      <c r="AC833" s="6">
        <f>$M$833*$W$833</f>
        <v>15925.438620000001</v>
      </c>
      <c r="AD833" s="6">
        <f>$O$833*$X$833</f>
        <v>10704.63667</v>
      </c>
      <c r="AE833" s="6">
        <f>$K$833*$Y$833</f>
        <v>0</v>
      </c>
      <c r="AF833" s="6">
        <f ca="1">$M$833*$Z$833</f>
        <v>16129.32048</v>
      </c>
      <c r="AG833" s="6">
        <f ca="1">$O$833*$AA$833</f>
        <v>12019.381009999999</v>
      </c>
    </row>
    <row r="834" spans="1:33" ht="11.25" customHeight="1" x14ac:dyDescent="0.3">
      <c r="A834" s="4" t="s">
        <v>28</v>
      </c>
      <c r="B834" s="4" t="s">
        <v>37</v>
      </c>
      <c r="C834" s="4" t="s">
        <v>23</v>
      </c>
      <c r="D834" s="4" t="s">
        <v>38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44682</v>
      </c>
      <c r="J834" s="6">
        <v>0</v>
      </c>
      <c r="K834" s="6">
        <v>0</v>
      </c>
      <c r="L834" s="6">
        <v>1.8620000000000001</v>
      </c>
      <c r="M834" s="6">
        <v>1.8620000000000001</v>
      </c>
      <c r="N834" s="6">
        <v>1.8620000000000001</v>
      </c>
      <c r="O834" s="6">
        <v>1.8620000000000001</v>
      </c>
      <c r="P834" s="6">
        <v>3</v>
      </c>
      <c r="Q834" s="4" t="s">
        <v>26</v>
      </c>
      <c r="R834" s="4">
        <v>0</v>
      </c>
      <c r="S834" s="6">
        <v>0</v>
      </c>
      <c r="T834" s="6">
        <v>58</v>
      </c>
      <c r="U834" s="6">
        <v>99</v>
      </c>
      <c r="V834" s="6">
        <f>IF(ISERROR(VLOOKUP($S$834,'TAR FIN'!$A$1:$O$103,15,0)),0,VLOOKUP($S$834,'TAR FIN'!$A$1:$O$103,15,0))</f>
        <v>0</v>
      </c>
      <c r="W834" s="6">
        <f>IF(ISERROR(VLOOKUP($T$834,'TAR FIN'!$A$1:$O$103,15,0)),0,VLOOKUP($T$834,'TAR FIN'!$A$1:$O$103,15,0))</f>
        <v>379.62</v>
      </c>
      <c r="X834" s="6">
        <f>IF(ISERROR(VLOOKUP($U$834,'TAR FIN'!$A$1:$O$103,15,0)),0,VLOOKUP($U$834,'TAR FIN'!$A$1:$O$103,15,0))</f>
        <v>255.17</v>
      </c>
      <c r="Y834" s="6"/>
      <c r="Z834" s="6">
        <f ca="1">('TUSD BE'!$AM$60+'TUSD BF_350'!$AM$60+'TUSD CVA'!$AM$60)*1</f>
        <v>384.48</v>
      </c>
      <c r="AA834" s="6">
        <f ca="1">('TE BE'!$AB$41+'TE BF_350'!$AB$41+'TE CVA'!$AB$41)*1</f>
        <v>286.51</v>
      </c>
      <c r="AB834" s="6">
        <f>$K$834*$V$834</f>
        <v>0</v>
      </c>
      <c r="AC834" s="6">
        <f>$M$834*$W$834</f>
        <v>706.85244</v>
      </c>
      <c r="AD834" s="6">
        <f>$O$834*$X$834</f>
        <v>475.12653999999998</v>
      </c>
      <c r="AE834" s="6">
        <f>$K$834*$Y$834</f>
        <v>0</v>
      </c>
      <c r="AF834" s="6">
        <f ca="1">$M$834*$Z$834</f>
        <v>715.90176000000008</v>
      </c>
      <c r="AG834" s="6">
        <f ca="1">$O$834*$AA$834</f>
        <v>533.48162000000002</v>
      </c>
    </row>
    <row r="835" spans="1:33" ht="11.25" customHeight="1" x14ac:dyDescent="0.3">
      <c r="A835" s="4" t="s">
        <v>21</v>
      </c>
      <c r="B835" s="4" t="s">
        <v>37</v>
      </c>
      <c r="C835" s="4" t="s">
        <v>23</v>
      </c>
      <c r="D835" s="4" t="s">
        <v>38</v>
      </c>
      <c r="E835" s="4" t="s">
        <v>25</v>
      </c>
      <c r="F835" s="4" t="s">
        <v>25</v>
      </c>
      <c r="G835" s="4" t="s">
        <v>25</v>
      </c>
      <c r="H835" s="4" t="s">
        <v>25</v>
      </c>
      <c r="I835" s="5">
        <v>44713</v>
      </c>
      <c r="J835" s="6">
        <v>0</v>
      </c>
      <c r="K835" s="6">
        <v>0</v>
      </c>
      <c r="L835" s="6">
        <v>48.308999999999997</v>
      </c>
      <c r="M835" s="6">
        <v>48.308999999999997</v>
      </c>
      <c r="N835" s="6">
        <v>48.308999999999997</v>
      </c>
      <c r="O835" s="6">
        <v>48.308999999999997</v>
      </c>
      <c r="P835" s="6">
        <v>42</v>
      </c>
      <c r="Q835" s="4" t="s">
        <v>26</v>
      </c>
      <c r="R835" s="4">
        <v>0</v>
      </c>
      <c r="S835" s="6">
        <v>0</v>
      </c>
      <c r="T835" s="6">
        <v>58</v>
      </c>
      <c r="U835" s="6">
        <v>99</v>
      </c>
      <c r="V835" s="6">
        <f>IF(ISERROR(VLOOKUP($S$835,'TAR FIN'!$A$1:$O$103,15,0)),0,VLOOKUP($S$835,'TAR FIN'!$A$1:$O$103,15,0))</f>
        <v>0</v>
      </c>
      <c r="W835" s="6">
        <f>IF(ISERROR(VLOOKUP($T$835,'TAR FIN'!$A$1:$O$103,15,0)),0,VLOOKUP($T$835,'TAR FIN'!$A$1:$O$103,15,0))</f>
        <v>379.62</v>
      </c>
      <c r="X835" s="6">
        <f>IF(ISERROR(VLOOKUP($U$835,'TAR FIN'!$A$1:$O$103,15,0)),0,VLOOKUP($U$835,'TAR FIN'!$A$1:$O$103,15,0))</f>
        <v>255.17</v>
      </c>
      <c r="Y835" s="6"/>
      <c r="Z835" s="6">
        <f ca="1">('TUSD BE'!$AM$60+'TUSD BF_350'!$AM$60+'TUSD CVA'!$AM$60)*1</f>
        <v>384.48</v>
      </c>
      <c r="AA835" s="6">
        <f ca="1">('TE BE'!$AB$41+'TE BF_350'!$AB$41+'TE CVA'!$AB$41)*1</f>
        <v>286.51</v>
      </c>
      <c r="AB835" s="6">
        <f>$K$835*$V$835</f>
        <v>0</v>
      </c>
      <c r="AC835" s="6">
        <f>$M$835*$W$835</f>
        <v>18339.062579999998</v>
      </c>
      <c r="AD835" s="6">
        <f>$O$835*$X$835</f>
        <v>12327.007529999999</v>
      </c>
      <c r="AE835" s="6">
        <f>$K$835*$Y$835</f>
        <v>0</v>
      </c>
      <c r="AF835" s="6">
        <f ca="1">$M$835*$Z$835</f>
        <v>18573.84432</v>
      </c>
      <c r="AG835" s="6">
        <f ca="1">$O$835*$AA$835</f>
        <v>13841.011589999998</v>
      </c>
    </row>
    <row r="836" spans="1:33" ht="11.25" customHeight="1" x14ac:dyDescent="0.3">
      <c r="A836" s="4" t="s">
        <v>28</v>
      </c>
      <c r="B836" s="4" t="s">
        <v>37</v>
      </c>
      <c r="C836" s="4" t="s">
        <v>23</v>
      </c>
      <c r="D836" s="4" t="s">
        <v>38</v>
      </c>
      <c r="E836" s="4" t="s">
        <v>25</v>
      </c>
      <c r="F836" s="4" t="s">
        <v>25</v>
      </c>
      <c r="G836" s="4" t="s">
        <v>25</v>
      </c>
      <c r="H836" s="4" t="s">
        <v>25</v>
      </c>
      <c r="I836" s="5">
        <v>44713</v>
      </c>
      <c r="J836" s="6">
        <v>0</v>
      </c>
      <c r="K836" s="6">
        <v>0</v>
      </c>
      <c r="L836" s="6">
        <v>1.448</v>
      </c>
      <c r="M836" s="6">
        <v>1.448</v>
      </c>
      <c r="N836" s="6">
        <v>1.448</v>
      </c>
      <c r="O836" s="6">
        <v>1.448</v>
      </c>
      <c r="P836" s="6">
        <v>3</v>
      </c>
      <c r="Q836" s="4" t="s">
        <v>26</v>
      </c>
      <c r="R836" s="4">
        <v>0</v>
      </c>
      <c r="S836" s="6">
        <v>0</v>
      </c>
      <c r="T836" s="6">
        <v>58</v>
      </c>
      <c r="U836" s="6">
        <v>99</v>
      </c>
      <c r="V836" s="6">
        <f>IF(ISERROR(VLOOKUP($S$836,'TAR FIN'!$A$1:$O$103,15,0)),0,VLOOKUP($S$836,'TAR FIN'!$A$1:$O$103,15,0))</f>
        <v>0</v>
      </c>
      <c r="W836" s="6">
        <f>IF(ISERROR(VLOOKUP($T$836,'TAR FIN'!$A$1:$O$103,15,0)),0,VLOOKUP($T$836,'TAR FIN'!$A$1:$O$103,15,0))</f>
        <v>379.62</v>
      </c>
      <c r="X836" s="6">
        <f>IF(ISERROR(VLOOKUP($U$836,'TAR FIN'!$A$1:$O$103,15,0)),0,VLOOKUP($U$836,'TAR FIN'!$A$1:$O$103,15,0))</f>
        <v>255.17</v>
      </c>
      <c r="Y836" s="6"/>
      <c r="Z836" s="6">
        <f ca="1">('TUSD BE'!$AM$60+'TUSD BF_350'!$AM$60+'TUSD CVA'!$AM$60)*1</f>
        <v>384.48</v>
      </c>
      <c r="AA836" s="6">
        <f ca="1">('TE BE'!$AB$41+'TE BF_350'!$AB$41+'TE CVA'!$AB$41)*1</f>
        <v>286.51</v>
      </c>
      <c r="AB836" s="6">
        <f>$K$836*$V$836</f>
        <v>0</v>
      </c>
      <c r="AC836" s="6">
        <f>$M$836*$W$836</f>
        <v>549.68975999999998</v>
      </c>
      <c r="AD836" s="6">
        <f>$O$836*$X$836</f>
        <v>369.48615999999998</v>
      </c>
      <c r="AE836" s="6">
        <f>$K$836*$Y$836</f>
        <v>0</v>
      </c>
      <c r="AF836" s="6">
        <f ca="1">$M$836*$Z$836</f>
        <v>556.72703999999999</v>
      </c>
      <c r="AG836" s="6">
        <f ca="1">$O$836*$AA$836</f>
        <v>414.86647999999997</v>
      </c>
    </row>
    <row r="837" spans="1:33" ht="11.25" customHeight="1" x14ac:dyDescent="0.3">
      <c r="A837" s="4" t="s">
        <v>21</v>
      </c>
      <c r="B837" s="4" t="s">
        <v>37</v>
      </c>
      <c r="C837" s="4" t="s">
        <v>23</v>
      </c>
      <c r="D837" s="4" t="s">
        <v>38</v>
      </c>
      <c r="E837" s="4" t="s">
        <v>25</v>
      </c>
      <c r="F837" s="4" t="s">
        <v>25</v>
      </c>
      <c r="G837" s="4" t="s">
        <v>25</v>
      </c>
      <c r="H837" s="4" t="s">
        <v>25</v>
      </c>
      <c r="I837" s="5">
        <v>44743</v>
      </c>
      <c r="J837" s="6">
        <v>0</v>
      </c>
      <c r="K837" s="6">
        <v>0</v>
      </c>
      <c r="L837" s="6">
        <v>59.238</v>
      </c>
      <c r="M837" s="6">
        <v>59.238</v>
      </c>
      <c r="N837" s="6">
        <v>59.238</v>
      </c>
      <c r="O837" s="6">
        <v>59.238</v>
      </c>
      <c r="P837" s="6">
        <v>42</v>
      </c>
      <c r="Q837" s="4" t="s">
        <v>26</v>
      </c>
      <c r="R837" s="4">
        <v>0</v>
      </c>
      <c r="S837" s="6">
        <v>0</v>
      </c>
      <c r="T837" s="6">
        <v>58</v>
      </c>
      <c r="U837" s="6">
        <v>99</v>
      </c>
      <c r="V837" s="6">
        <f>IF(ISERROR(VLOOKUP($S$837,'TAR FIN'!$A$1:$O$103,15,0)),0,VLOOKUP($S$837,'TAR FIN'!$A$1:$O$103,15,0))</f>
        <v>0</v>
      </c>
      <c r="W837" s="6">
        <f>IF(ISERROR(VLOOKUP($T$837,'TAR FIN'!$A$1:$O$103,15,0)),0,VLOOKUP($T$837,'TAR FIN'!$A$1:$O$103,15,0))</f>
        <v>379.62</v>
      </c>
      <c r="X837" s="6">
        <f>IF(ISERROR(VLOOKUP($U$837,'TAR FIN'!$A$1:$O$103,15,0)),0,VLOOKUP($U$837,'TAR FIN'!$A$1:$O$103,15,0))</f>
        <v>255.17</v>
      </c>
      <c r="Y837" s="6"/>
      <c r="Z837" s="6">
        <f ca="1">('TUSD BE'!$AM$60+'TUSD BF_350'!$AM$60+'TUSD CVA'!$AM$60)*1</f>
        <v>384.48</v>
      </c>
      <c r="AA837" s="6">
        <f ca="1">('TE BE'!$AB$41+'TE BF_350'!$AB$41+'TE CVA'!$AB$41)*1</f>
        <v>286.51</v>
      </c>
      <c r="AB837" s="6">
        <f>$K$837*$V$837</f>
        <v>0</v>
      </c>
      <c r="AC837" s="6">
        <f>$M$837*$W$837</f>
        <v>22487.92956</v>
      </c>
      <c r="AD837" s="6">
        <f>$O$837*$X$837</f>
        <v>15115.76046</v>
      </c>
      <c r="AE837" s="6">
        <f>$K$837*$Y$837</f>
        <v>0</v>
      </c>
      <c r="AF837" s="6">
        <f ca="1">$M$837*$Z$837</f>
        <v>22775.826240000002</v>
      </c>
      <c r="AG837" s="6">
        <f ca="1">$O$837*$AA$837</f>
        <v>16972.27938</v>
      </c>
    </row>
    <row r="838" spans="1:33" ht="11.25" customHeight="1" x14ac:dyDescent="0.3">
      <c r="A838" s="4" t="s">
        <v>28</v>
      </c>
      <c r="B838" s="4" t="s">
        <v>37</v>
      </c>
      <c r="C838" s="4" t="s">
        <v>23</v>
      </c>
      <c r="D838" s="4" t="s">
        <v>38</v>
      </c>
      <c r="E838" s="4" t="s">
        <v>25</v>
      </c>
      <c r="F838" s="4" t="s">
        <v>25</v>
      </c>
      <c r="G838" s="4" t="s">
        <v>25</v>
      </c>
      <c r="H838" s="4" t="s">
        <v>25</v>
      </c>
      <c r="I838" s="5">
        <v>44743</v>
      </c>
      <c r="J838" s="6">
        <v>0</v>
      </c>
      <c r="K838" s="6">
        <v>0</v>
      </c>
      <c r="L838" s="6">
        <v>1.8420000000000001</v>
      </c>
      <c r="M838" s="6">
        <v>1.8420000000000001</v>
      </c>
      <c r="N838" s="6">
        <v>1.8420000000000001</v>
      </c>
      <c r="O838" s="6">
        <v>1.8420000000000001</v>
      </c>
      <c r="P838" s="6">
        <v>3</v>
      </c>
      <c r="Q838" s="4" t="s">
        <v>26</v>
      </c>
      <c r="R838" s="4">
        <v>0</v>
      </c>
      <c r="S838" s="6">
        <v>0</v>
      </c>
      <c r="T838" s="6">
        <v>58</v>
      </c>
      <c r="U838" s="6">
        <v>99</v>
      </c>
      <c r="V838" s="6">
        <f>IF(ISERROR(VLOOKUP($S$838,'TAR FIN'!$A$1:$O$103,15,0)),0,VLOOKUP($S$838,'TAR FIN'!$A$1:$O$103,15,0))</f>
        <v>0</v>
      </c>
      <c r="W838" s="6">
        <f>IF(ISERROR(VLOOKUP($T$838,'TAR FIN'!$A$1:$O$103,15,0)),0,VLOOKUP($T$838,'TAR FIN'!$A$1:$O$103,15,0))</f>
        <v>379.62</v>
      </c>
      <c r="X838" s="6">
        <f>IF(ISERROR(VLOOKUP($U$838,'TAR FIN'!$A$1:$O$103,15,0)),0,VLOOKUP($U$838,'TAR FIN'!$A$1:$O$103,15,0))</f>
        <v>255.17</v>
      </c>
      <c r="Y838" s="6"/>
      <c r="Z838" s="6">
        <f ca="1">('TUSD BE'!$AM$60+'TUSD BF_350'!$AM$60+'TUSD CVA'!$AM$60)*1</f>
        <v>384.48</v>
      </c>
      <c r="AA838" s="6">
        <f ca="1">('TE BE'!$AB$41+'TE BF_350'!$AB$41+'TE CVA'!$AB$41)*1</f>
        <v>286.51</v>
      </c>
      <c r="AB838" s="6">
        <f>$K$838*$V$838</f>
        <v>0</v>
      </c>
      <c r="AC838" s="6">
        <f>$M$838*$W$838</f>
        <v>699.26004</v>
      </c>
      <c r="AD838" s="6">
        <f>$O$838*$X$838</f>
        <v>470.02314000000001</v>
      </c>
      <c r="AE838" s="6">
        <f>$K$838*$Y$838</f>
        <v>0</v>
      </c>
      <c r="AF838" s="6">
        <f ca="1">$M$838*$Z$838</f>
        <v>708.21216000000004</v>
      </c>
      <c r="AG838" s="6">
        <f ca="1">$O$838*$AA$838</f>
        <v>527.75142000000005</v>
      </c>
    </row>
    <row r="839" spans="1:33" ht="11.25" customHeight="1" x14ac:dyDescent="0.3">
      <c r="A839" s="4" t="s">
        <v>21</v>
      </c>
      <c r="B839" s="4" t="s">
        <v>37</v>
      </c>
      <c r="C839" s="4" t="s">
        <v>23</v>
      </c>
      <c r="D839" s="4" t="s">
        <v>38</v>
      </c>
      <c r="E839" s="4" t="s">
        <v>25</v>
      </c>
      <c r="F839" s="4" t="s">
        <v>25</v>
      </c>
      <c r="G839" s="4" t="s">
        <v>25</v>
      </c>
      <c r="H839" s="4" t="s">
        <v>25</v>
      </c>
      <c r="I839" s="5">
        <v>44774</v>
      </c>
      <c r="J839" s="6">
        <v>0</v>
      </c>
      <c r="K839" s="6">
        <v>0</v>
      </c>
      <c r="L839" s="6">
        <v>52.244999999999997</v>
      </c>
      <c r="M839" s="6">
        <v>52.244999999999997</v>
      </c>
      <c r="N839" s="6">
        <v>52.244999999999997</v>
      </c>
      <c r="O839" s="6">
        <v>52.244999999999997</v>
      </c>
      <c r="P839" s="6">
        <v>38</v>
      </c>
      <c r="Q839" s="4" t="s">
        <v>26</v>
      </c>
      <c r="R839" s="4">
        <v>0</v>
      </c>
      <c r="S839" s="6">
        <v>0</v>
      </c>
      <c r="T839" s="6">
        <v>58</v>
      </c>
      <c r="U839" s="6">
        <v>99</v>
      </c>
      <c r="V839" s="6">
        <f>IF(ISERROR(VLOOKUP($S$839,'TAR FIN'!$A$1:$O$103,15,0)),0,VLOOKUP($S$839,'TAR FIN'!$A$1:$O$103,15,0))</f>
        <v>0</v>
      </c>
      <c r="W839" s="6">
        <f>IF(ISERROR(VLOOKUP($T$839,'TAR FIN'!$A$1:$O$103,15,0)),0,VLOOKUP($T$839,'TAR FIN'!$A$1:$O$103,15,0))</f>
        <v>379.62</v>
      </c>
      <c r="X839" s="6">
        <f>IF(ISERROR(VLOOKUP($U$839,'TAR FIN'!$A$1:$O$103,15,0)),0,VLOOKUP($U$839,'TAR FIN'!$A$1:$O$103,15,0))</f>
        <v>255.17</v>
      </c>
      <c r="Y839" s="6"/>
      <c r="Z839" s="6">
        <f ca="1">('TUSD BE'!$AM$60+'TUSD BF_350'!$AM$60+'TUSD CVA'!$AM$60)*1</f>
        <v>384.48</v>
      </c>
      <c r="AA839" s="6">
        <f ca="1">('TE BE'!$AB$41+'TE BF_350'!$AB$41+'TE CVA'!$AB$41)*1</f>
        <v>286.51</v>
      </c>
      <c r="AB839" s="6">
        <f>$K$839*$V$839</f>
        <v>0</v>
      </c>
      <c r="AC839" s="6">
        <f>$M$839*$W$839</f>
        <v>19833.246899999998</v>
      </c>
      <c r="AD839" s="6">
        <f>$O$839*$X$839</f>
        <v>13331.356649999998</v>
      </c>
      <c r="AE839" s="6">
        <f>$K$839*$Y$839</f>
        <v>0</v>
      </c>
      <c r="AF839" s="6">
        <f ca="1">$M$839*$Z$839</f>
        <v>20087.157599999999</v>
      </c>
      <c r="AG839" s="6">
        <f ca="1">$O$839*$AA$839</f>
        <v>14968.71495</v>
      </c>
    </row>
    <row r="840" spans="1:33" ht="11.25" customHeight="1" x14ac:dyDescent="0.3">
      <c r="A840" s="4" t="s">
        <v>28</v>
      </c>
      <c r="B840" s="4" t="s">
        <v>37</v>
      </c>
      <c r="C840" s="4" t="s">
        <v>23</v>
      </c>
      <c r="D840" s="4" t="s">
        <v>38</v>
      </c>
      <c r="E840" s="4" t="s">
        <v>25</v>
      </c>
      <c r="F840" s="4" t="s">
        <v>25</v>
      </c>
      <c r="G840" s="4" t="s">
        <v>25</v>
      </c>
      <c r="H840" s="4" t="s">
        <v>25</v>
      </c>
      <c r="I840" s="5">
        <v>44774</v>
      </c>
      <c r="J840" s="6">
        <v>0</v>
      </c>
      <c r="K840" s="6">
        <v>0</v>
      </c>
      <c r="L840" s="6">
        <v>1.1379999999999999</v>
      </c>
      <c r="M840" s="6">
        <v>1.1379999999999999</v>
      </c>
      <c r="N840" s="6">
        <v>1.1379999999999999</v>
      </c>
      <c r="O840" s="6">
        <v>1.1379999999999999</v>
      </c>
      <c r="P840" s="6">
        <v>3</v>
      </c>
      <c r="Q840" s="4" t="s">
        <v>26</v>
      </c>
      <c r="R840" s="4">
        <v>0</v>
      </c>
      <c r="S840" s="6">
        <v>0</v>
      </c>
      <c r="T840" s="6">
        <v>58</v>
      </c>
      <c r="U840" s="6">
        <v>99</v>
      </c>
      <c r="V840" s="6">
        <f>IF(ISERROR(VLOOKUP($S$840,'TAR FIN'!$A$1:$O$103,15,0)),0,VLOOKUP($S$840,'TAR FIN'!$A$1:$O$103,15,0))</f>
        <v>0</v>
      </c>
      <c r="W840" s="6">
        <f>IF(ISERROR(VLOOKUP($T$840,'TAR FIN'!$A$1:$O$103,15,0)),0,VLOOKUP($T$840,'TAR FIN'!$A$1:$O$103,15,0))</f>
        <v>379.62</v>
      </c>
      <c r="X840" s="6">
        <f>IF(ISERROR(VLOOKUP($U$840,'TAR FIN'!$A$1:$O$103,15,0)),0,VLOOKUP($U$840,'TAR FIN'!$A$1:$O$103,15,0))</f>
        <v>255.17</v>
      </c>
      <c r="Y840" s="6"/>
      <c r="Z840" s="6">
        <f ca="1">('TUSD BE'!$AM$60+'TUSD BF_350'!$AM$60+'TUSD CVA'!$AM$60)*1</f>
        <v>384.48</v>
      </c>
      <c r="AA840" s="6">
        <f ca="1">('TE BE'!$AB$41+'TE BF_350'!$AB$41+'TE CVA'!$AB$41)*1</f>
        <v>286.51</v>
      </c>
      <c r="AB840" s="6">
        <f>$K$840*$V$840</f>
        <v>0</v>
      </c>
      <c r="AC840" s="6">
        <f>$M$840*$W$840</f>
        <v>432.00755999999996</v>
      </c>
      <c r="AD840" s="6">
        <f>$O$840*$X$840</f>
        <v>290.38345999999996</v>
      </c>
      <c r="AE840" s="6">
        <f>$K$840*$Y$840</f>
        <v>0</v>
      </c>
      <c r="AF840" s="6">
        <f ca="1">$M$840*$Z$840</f>
        <v>437.53823999999997</v>
      </c>
      <c r="AG840" s="6">
        <f ca="1">$O$840*$AA$840</f>
        <v>326.04837999999995</v>
      </c>
    </row>
    <row r="841" spans="1:33" ht="11.25" customHeight="1" x14ac:dyDescent="0.3">
      <c r="A841" s="4" t="s">
        <v>21</v>
      </c>
      <c r="B841" s="4" t="s">
        <v>37</v>
      </c>
      <c r="C841" s="4" t="s">
        <v>23</v>
      </c>
      <c r="D841" s="4" t="s">
        <v>38</v>
      </c>
      <c r="E841" s="4" t="s">
        <v>25</v>
      </c>
      <c r="F841" s="4" t="s">
        <v>25</v>
      </c>
      <c r="G841" s="4" t="s">
        <v>25</v>
      </c>
      <c r="H841" s="4" t="s">
        <v>25</v>
      </c>
      <c r="I841" s="5">
        <v>44805</v>
      </c>
      <c r="J841" s="6">
        <v>0</v>
      </c>
      <c r="K841" s="6">
        <v>0</v>
      </c>
      <c r="L841" s="6">
        <v>56.640999999999998</v>
      </c>
      <c r="M841" s="6">
        <v>56.640999999999998</v>
      </c>
      <c r="N841" s="6">
        <v>56.640999999999998</v>
      </c>
      <c r="O841" s="6">
        <v>56.640999999999998</v>
      </c>
      <c r="P841" s="6">
        <v>37</v>
      </c>
      <c r="Q841" s="4" t="s">
        <v>26</v>
      </c>
      <c r="R841" s="4">
        <v>0</v>
      </c>
      <c r="S841" s="6">
        <v>0</v>
      </c>
      <c r="T841" s="6">
        <v>58</v>
      </c>
      <c r="U841" s="6">
        <v>99</v>
      </c>
      <c r="V841" s="6">
        <f>IF(ISERROR(VLOOKUP($S$841,'TAR FIN'!$A$1:$O$103,15,0)),0,VLOOKUP($S$841,'TAR FIN'!$A$1:$O$103,15,0))</f>
        <v>0</v>
      </c>
      <c r="W841" s="6">
        <f>IF(ISERROR(VLOOKUP($T$841,'TAR FIN'!$A$1:$O$103,15,0)),0,VLOOKUP($T$841,'TAR FIN'!$A$1:$O$103,15,0))</f>
        <v>379.62</v>
      </c>
      <c r="X841" s="6">
        <f>IF(ISERROR(VLOOKUP($U$841,'TAR FIN'!$A$1:$O$103,15,0)),0,VLOOKUP($U$841,'TAR FIN'!$A$1:$O$103,15,0))</f>
        <v>255.17</v>
      </c>
      <c r="Y841" s="6"/>
      <c r="Z841" s="6">
        <f ca="1">('TUSD BE'!$AM$60+'TUSD BF_350'!$AM$60+'TUSD CVA'!$AM$60)*1</f>
        <v>384.48</v>
      </c>
      <c r="AA841" s="6">
        <f ca="1">('TE BE'!$AB$41+'TE BF_350'!$AB$41+'TE CVA'!$AB$41)*1</f>
        <v>286.51</v>
      </c>
      <c r="AB841" s="6">
        <f>$K$841*$V$841</f>
        <v>0</v>
      </c>
      <c r="AC841" s="6">
        <f>$M$841*$W$841</f>
        <v>21502.056420000001</v>
      </c>
      <c r="AD841" s="6">
        <f>$O$841*$X$841</f>
        <v>14453.08397</v>
      </c>
      <c r="AE841" s="6">
        <f>$K$841*$Y$841</f>
        <v>0</v>
      </c>
      <c r="AF841" s="6">
        <f ca="1">$M$841*$Z$841</f>
        <v>21777.331679999999</v>
      </c>
      <c r="AG841" s="6">
        <f ca="1">$O$841*$AA$841</f>
        <v>16228.212909999998</v>
      </c>
    </row>
    <row r="842" spans="1:33" ht="11.25" customHeight="1" x14ac:dyDescent="0.3">
      <c r="A842" s="4" t="s">
        <v>28</v>
      </c>
      <c r="B842" s="4" t="s">
        <v>37</v>
      </c>
      <c r="C842" s="4" t="s">
        <v>23</v>
      </c>
      <c r="D842" s="4" t="s">
        <v>38</v>
      </c>
      <c r="E842" s="4" t="s">
        <v>25</v>
      </c>
      <c r="F842" s="4" t="s">
        <v>25</v>
      </c>
      <c r="G842" s="4" t="s">
        <v>25</v>
      </c>
      <c r="H842" s="4" t="s">
        <v>25</v>
      </c>
      <c r="I842" s="5">
        <v>44805</v>
      </c>
      <c r="J842" s="6">
        <v>0</v>
      </c>
      <c r="K842" s="6">
        <v>0</v>
      </c>
      <c r="L842" s="6">
        <v>1.889</v>
      </c>
      <c r="M842" s="6">
        <v>1.889</v>
      </c>
      <c r="N842" s="6">
        <v>1.889</v>
      </c>
      <c r="O842" s="6">
        <v>1.889</v>
      </c>
      <c r="P842" s="6">
        <v>3</v>
      </c>
      <c r="Q842" s="4" t="s">
        <v>26</v>
      </c>
      <c r="R842" s="4">
        <v>0</v>
      </c>
      <c r="S842" s="6">
        <v>0</v>
      </c>
      <c r="T842" s="6">
        <v>58</v>
      </c>
      <c r="U842" s="6">
        <v>99</v>
      </c>
      <c r="V842" s="6">
        <f>IF(ISERROR(VLOOKUP($S$842,'TAR FIN'!$A$1:$O$103,15,0)),0,VLOOKUP($S$842,'TAR FIN'!$A$1:$O$103,15,0))</f>
        <v>0</v>
      </c>
      <c r="W842" s="6">
        <f>IF(ISERROR(VLOOKUP($T$842,'TAR FIN'!$A$1:$O$103,15,0)),0,VLOOKUP($T$842,'TAR FIN'!$A$1:$O$103,15,0))</f>
        <v>379.62</v>
      </c>
      <c r="X842" s="6">
        <f>IF(ISERROR(VLOOKUP($U$842,'TAR FIN'!$A$1:$O$103,15,0)),0,VLOOKUP($U$842,'TAR FIN'!$A$1:$O$103,15,0))</f>
        <v>255.17</v>
      </c>
      <c r="Y842" s="6"/>
      <c r="Z842" s="6">
        <f ca="1">('TUSD BE'!$AM$60+'TUSD BF_350'!$AM$60+'TUSD CVA'!$AM$60)*1</f>
        <v>384.48</v>
      </c>
      <c r="AA842" s="6">
        <f ca="1">('TE BE'!$AB$41+'TE BF_350'!$AB$41+'TE CVA'!$AB$41)*1</f>
        <v>286.51</v>
      </c>
      <c r="AB842" s="6">
        <f>$K$842*$V$842</f>
        <v>0</v>
      </c>
      <c r="AC842" s="6">
        <f>$M$842*$W$842</f>
        <v>717.10217999999998</v>
      </c>
      <c r="AD842" s="6">
        <f>$O$842*$X$842</f>
        <v>482.01612999999998</v>
      </c>
      <c r="AE842" s="6">
        <f>$K$842*$Y$842</f>
        <v>0</v>
      </c>
      <c r="AF842" s="6">
        <f ca="1">$M$842*$Z$842</f>
        <v>726.28272000000004</v>
      </c>
      <c r="AG842" s="6">
        <f ca="1">$O$842*$AA$842</f>
        <v>541.21739000000002</v>
      </c>
    </row>
    <row r="843" spans="1:33" ht="11.25" customHeight="1" x14ac:dyDescent="0.3">
      <c r="A843" s="4" t="s">
        <v>57</v>
      </c>
      <c r="B843" s="4" t="s">
        <v>37</v>
      </c>
      <c r="C843" s="4" t="s">
        <v>23</v>
      </c>
      <c r="D843" s="4" t="s">
        <v>38</v>
      </c>
      <c r="E843" s="4" t="s">
        <v>25</v>
      </c>
      <c r="F843" s="4" t="s">
        <v>25</v>
      </c>
      <c r="G843" s="4" t="s">
        <v>25</v>
      </c>
      <c r="H843" s="4" t="s">
        <v>25</v>
      </c>
      <c r="I843" s="5">
        <v>44835</v>
      </c>
      <c r="J843" s="6">
        <v>0</v>
      </c>
      <c r="K843" s="6">
        <v>0</v>
      </c>
      <c r="L843" s="6">
        <v>56.640999999999998</v>
      </c>
      <c r="M843" s="6">
        <v>56.640999999999998</v>
      </c>
      <c r="N843" s="6">
        <v>56.640999999999998</v>
      </c>
      <c r="O843" s="6">
        <v>56.640999999999998</v>
      </c>
      <c r="P843" s="6">
        <v>37</v>
      </c>
      <c r="Q843" s="4" t="s">
        <v>26</v>
      </c>
      <c r="R843" s="4">
        <v>0</v>
      </c>
      <c r="S843" s="6">
        <v>0</v>
      </c>
      <c r="T843" s="6">
        <v>58</v>
      </c>
      <c r="U843" s="6">
        <v>99</v>
      </c>
      <c r="V843" s="6">
        <f>IF(ISERROR(VLOOKUP($S$843,'TAR FIN'!$A$1:$O$103,15,0)),0,VLOOKUP($S$843,'TAR FIN'!$A$1:$O$103,15,0))</f>
        <v>0</v>
      </c>
      <c r="W843" s="6">
        <f>IF(ISERROR(VLOOKUP($T$843,'TAR FIN'!$A$1:$O$103,15,0)),0,VLOOKUP($T$843,'TAR FIN'!$A$1:$O$103,15,0))</f>
        <v>379.62</v>
      </c>
      <c r="X843" s="6">
        <f>IF(ISERROR(VLOOKUP($U$843,'TAR FIN'!$A$1:$O$103,15,0)),0,VLOOKUP($U$843,'TAR FIN'!$A$1:$O$103,15,0))</f>
        <v>255.17</v>
      </c>
      <c r="Y843" s="6"/>
      <c r="Z843" s="6">
        <f ca="1">('TUSD BE'!$AM$60+'TUSD BF_350'!$AM$60+'TUSD CVA'!$AM$60)*1</f>
        <v>384.48</v>
      </c>
      <c r="AA843" s="6">
        <f ca="1">('TE BE'!$AB$41+'TE BF_350'!$AB$41+'TE CVA'!$AB$41)*1</f>
        <v>286.51</v>
      </c>
      <c r="AB843" s="6">
        <f>$K$843*$V$843</f>
        <v>0</v>
      </c>
      <c r="AC843" s="6">
        <f>$M$843*$W$843</f>
        <v>21502.056420000001</v>
      </c>
      <c r="AD843" s="6">
        <f>$O$843*$X$843</f>
        <v>14453.08397</v>
      </c>
      <c r="AE843" s="6">
        <f>$K$843*$Y$843</f>
        <v>0</v>
      </c>
      <c r="AF843" s="6">
        <f ca="1">$M$843*$Z$843</f>
        <v>21777.331679999999</v>
      </c>
      <c r="AG843" s="6">
        <f ca="1">$O$843*$AA$843</f>
        <v>16228.212909999998</v>
      </c>
    </row>
    <row r="844" spans="1:33" ht="11.25" customHeight="1" x14ac:dyDescent="0.3">
      <c r="A844" s="4" t="s">
        <v>57</v>
      </c>
      <c r="B844" s="4" t="s">
        <v>37</v>
      </c>
      <c r="C844" s="4" t="s">
        <v>23</v>
      </c>
      <c r="D844" s="4" t="s">
        <v>38</v>
      </c>
      <c r="E844" s="4" t="s">
        <v>25</v>
      </c>
      <c r="F844" s="4" t="s">
        <v>25</v>
      </c>
      <c r="G844" s="4" t="s">
        <v>25</v>
      </c>
      <c r="H844" s="4" t="s">
        <v>25</v>
      </c>
      <c r="I844" s="5">
        <v>44835</v>
      </c>
      <c r="J844" s="6">
        <v>0</v>
      </c>
      <c r="K844" s="6">
        <v>0</v>
      </c>
      <c r="L844" s="6">
        <v>1.889</v>
      </c>
      <c r="M844" s="6">
        <v>1.889</v>
      </c>
      <c r="N844" s="6">
        <v>1.889</v>
      </c>
      <c r="O844" s="6">
        <v>1.889</v>
      </c>
      <c r="P844" s="6">
        <v>3</v>
      </c>
      <c r="Q844" s="4" t="s">
        <v>26</v>
      </c>
      <c r="R844" s="4">
        <v>0</v>
      </c>
      <c r="S844" s="6">
        <v>0</v>
      </c>
      <c r="T844" s="6">
        <v>58</v>
      </c>
      <c r="U844" s="6">
        <v>99</v>
      </c>
      <c r="V844" s="6">
        <f>IF(ISERROR(VLOOKUP($S$844,'TAR FIN'!$A$1:$O$103,15,0)),0,VLOOKUP($S$844,'TAR FIN'!$A$1:$O$103,15,0))</f>
        <v>0</v>
      </c>
      <c r="W844" s="6">
        <f>IF(ISERROR(VLOOKUP($T$844,'TAR FIN'!$A$1:$O$103,15,0)),0,VLOOKUP($T$844,'TAR FIN'!$A$1:$O$103,15,0))</f>
        <v>379.62</v>
      </c>
      <c r="X844" s="6">
        <f>IF(ISERROR(VLOOKUP($U$844,'TAR FIN'!$A$1:$O$103,15,0)),0,VLOOKUP($U$844,'TAR FIN'!$A$1:$O$103,15,0))</f>
        <v>255.17</v>
      </c>
      <c r="Y844" s="6"/>
      <c r="Z844" s="6">
        <f ca="1">('TUSD BE'!$AM$60+'TUSD BF_350'!$AM$60+'TUSD CVA'!$AM$60)*1</f>
        <v>384.48</v>
      </c>
      <c r="AA844" s="6">
        <f ca="1">('TE BE'!$AB$41+'TE BF_350'!$AB$41+'TE CVA'!$AB$41)*1</f>
        <v>286.51</v>
      </c>
      <c r="AB844" s="6">
        <f>$K$844*$V$844</f>
        <v>0</v>
      </c>
      <c r="AC844" s="6">
        <f>$M$844*$W$844</f>
        <v>717.10217999999998</v>
      </c>
      <c r="AD844" s="6">
        <f>$O$844*$X$844</f>
        <v>482.01612999999998</v>
      </c>
      <c r="AE844" s="6">
        <f>$K$844*$Y$844</f>
        <v>0</v>
      </c>
      <c r="AF844" s="6">
        <f ca="1">$M$844*$Z$844</f>
        <v>726.28272000000004</v>
      </c>
      <c r="AG844" s="6">
        <f ca="1">$O$844*$AA$844</f>
        <v>541.21739000000002</v>
      </c>
    </row>
    <row r="845" spans="1:33" ht="11.25" customHeight="1" x14ac:dyDescent="0.3">
      <c r="A845" s="4" t="s">
        <v>21</v>
      </c>
      <c r="B845" s="4" t="s">
        <v>37</v>
      </c>
      <c r="C845" s="4" t="s">
        <v>23</v>
      </c>
      <c r="D845" s="4" t="s">
        <v>46</v>
      </c>
      <c r="E845" s="4" t="s">
        <v>25</v>
      </c>
      <c r="F845" s="4" t="s">
        <v>25</v>
      </c>
      <c r="G845" s="4" t="s">
        <v>25</v>
      </c>
      <c r="H845" s="4" t="s">
        <v>25</v>
      </c>
      <c r="I845" s="5">
        <v>44501</v>
      </c>
      <c r="J845" s="6">
        <v>0</v>
      </c>
      <c r="K845" s="6">
        <v>0</v>
      </c>
      <c r="L845" s="6">
        <v>394.25700000000001</v>
      </c>
      <c r="M845" s="6">
        <v>394.25700000000001</v>
      </c>
      <c r="N845" s="6">
        <v>394.25700000000001</v>
      </c>
      <c r="O845" s="6">
        <v>394.25700000000001</v>
      </c>
      <c r="P845" s="6">
        <v>451</v>
      </c>
      <c r="Q845" s="4" t="s">
        <v>26</v>
      </c>
      <c r="R845" s="4">
        <v>0</v>
      </c>
      <c r="S845" s="6">
        <v>0</v>
      </c>
      <c r="T845" s="6">
        <v>58</v>
      </c>
      <c r="U845" s="6">
        <v>99</v>
      </c>
      <c r="V845" s="6">
        <f>IF(ISERROR(VLOOKUP($S$845,'TAR FIN'!$A$1:$O$103,15,0)),0,VLOOKUP($S$845,'TAR FIN'!$A$1:$O$103,15,0))</f>
        <v>0</v>
      </c>
      <c r="W845" s="6">
        <f>IF(ISERROR(VLOOKUP($T$845,'TAR FIN'!$A$1:$O$103,15,0)),0,VLOOKUP($T$845,'TAR FIN'!$A$1:$O$103,15,0))</f>
        <v>379.62</v>
      </c>
      <c r="X845" s="6">
        <f>IF(ISERROR(VLOOKUP($U$845,'TAR FIN'!$A$1:$O$103,15,0)),0,VLOOKUP($U$845,'TAR FIN'!$A$1:$O$103,15,0))</f>
        <v>255.17</v>
      </c>
      <c r="Y845" s="6"/>
      <c r="Z845" s="6">
        <f ca="1">('TUSD BE'!$AM$60+'TUSD BF_350'!$AM$60+'TUSD CVA'!$AM$60)*1</f>
        <v>384.48</v>
      </c>
      <c r="AA845" s="6">
        <f ca="1">('TE BE'!$AB$41+'TE BF_350'!$AB$41+'TE CVA'!$AB$41)*1</f>
        <v>286.51</v>
      </c>
      <c r="AB845" s="6">
        <f>$K$845*$V$845</f>
        <v>0</v>
      </c>
      <c r="AC845" s="6">
        <f>$M$845*$W$845</f>
        <v>149667.84234</v>
      </c>
      <c r="AD845" s="6">
        <f>$O$845*$X$845</f>
        <v>100602.55868999999</v>
      </c>
      <c r="AE845" s="6">
        <f>$K$845*$Y$845</f>
        <v>0</v>
      </c>
      <c r="AF845" s="6">
        <f ca="1">$M$845*$Z$845</f>
        <v>151583.93136000002</v>
      </c>
      <c r="AG845" s="6">
        <f ca="1">$O$845*$AA$845</f>
        <v>112958.57307</v>
      </c>
    </row>
    <row r="846" spans="1:33" ht="11.25" customHeight="1" x14ac:dyDescent="0.3">
      <c r="A846" s="4" t="s">
        <v>21</v>
      </c>
      <c r="B846" s="4" t="s">
        <v>37</v>
      </c>
      <c r="C846" s="4" t="s">
        <v>23</v>
      </c>
      <c r="D846" s="4" t="s">
        <v>46</v>
      </c>
      <c r="E846" s="4" t="s">
        <v>25</v>
      </c>
      <c r="F846" s="4" t="s">
        <v>25</v>
      </c>
      <c r="G846" s="4" t="s">
        <v>25</v>
      </c>
      <c r="H846" s="4" t="s">
        <v>25</v>
      </c>
      <c r="I846" s="5">
        <v>44531</v>
      </c>
      <c r="J846" s="6">
        <v>0</v>
      </c>
      <c r="K846" s="6">
        <v>0</v>
      </c>
      <c r="L846" s="6">
        <v>392.77600000000001</v>
      </c>
      <c r="M846" s="6">
        <v>392.77600000000001</v>
      </c>
      <c r="N846" s="6">
        <v>392.77600000000001</v>
      </c>
      <c r="O846" s="6">
        <v>392.77600000000001</v>
      </c>
      <c r="P846" s="6">
        <v>451</v>
      </c>
      <c r="Q846" s="4" t="s">
        <v>26</v>
      </c>
      <c r="R846" s="4">
        <v>0</v>
      </c>
      <c r="S846" s="6">
        <v>0</v>
      </c>
      <c r="T846" s="6">
        <v>58</v>
      </c>
      <c r="U846" s="6">
        <v>99</v>
      </c>
      <c r="V846" s="6">
        <f>IF(ISERROR(VLOOKUP($S$846,'TAR FIN'!$A$1:$O$103,15,0)),0,VLOOKUP($S$846,'TAR FIN'!$A$1:$O$103,15,0))</f>
        <v>0</v>
      </c>
      <c r="W846" s="6">
        <f>IF(ISERROR(VLOOKUP($T$846,'TAR FIN'!$A$1:$O$103,15,0)),0,VLOOKUP($T$846,'TAR FIN'!$A$1:$O$103,15,0))</f>
        <v>379.62</v>
      </c>
      <c r="X846" s="6">
        <f>IF(ISERROR(VLOOKUP($U$846,'TAR FIN'!$A$1:$O$103,15,0)),0,VLOOKUP($U$846,'TAR FIN'!$A$1:$O$103,15,0))</f>
        <v>255.17</v>
      </c>
      <c r="Y846" s="6"/>
      <c r="Z846" s="6">
        <f ca="1">('TUSD BE'!$AM$60+'TUSD BF_350'!$AM$60+'TUSD CVA'!$AM$60)*1</f>
        <v>384.48</v>
      </c>
      <c r="AA846" s="6">
        <f ca="1">('TE BE'!$AB$41+'TE BF_350'!$AB$41+'TE CVA'!$AB$41)*1</f>
        <v>286.51</v>
      </c>
      <c r="AB846" s="6">
        <f>$K$846*$V$846</f>
        <v>0</v>
      </c>
      <c r="AC846" s="6">
        <f>$M$846*$W$846</f>
        <v>149105.62512000001</v>
      </c>
      <c r="AD846" s="6">
        <f>$O$846*$X$846</f>
        <v>100224.65192</v>
      </c>
      <c r="AE846" s="6">
        <f>$K$846*$Y$846</f>
        <v>0</v>
      </c>
      <c r="AF846" s="6">
        <f ca="1">$M$846*$Z$846</f>
        <v>151014.51648000002</v>
      </c>
      <c r="AG846" s="6">
        <f ca="1">$O$846*$AA$846</f>
        <v>112534.25176</v>
      </c>
    </row>
    <row r="847" spans="1:33" ht="11.25" customHeight="1" x14ac:dyDescent="0.3">
      <c r="A847" s="4" t="s">
        <v>21</v>
      </c>
      <c r="B847" s="4" t="s">
        <v>37</v>
      </c>
      <c r="C847" s="4" t="s">
        <v>23</v>
      </c>
      <c r="D847" s="4" t="s">
        <v>46</v>
      </c>
      <c r="E847" s="4" t="s">
        <v>25</v>
      </c>
      <c r="F847" s="4" t="s">
        <v>25</v>
      </c>
      <c r="G847" s="4" t="s">
        <v>25</v>
      </c>
      <c r="H847" s="4" t="s">
        <v>25</v>
      </c>
      <c r="I847" s="5">
        <v>44562</v>
      </c>
      <c r="J847" s="6">
        <v>0</v>
      </c>
      <c r="K847" s="6">
        <v>0</v>
      </c>
      <c r="L847" s="6">
        <v>336.15199999999999</v>
      </c>
      <c r="M847" s="6">
        <v>336.15199999999999</v>
      </c>
      <c r="N847" s="6">
        <v>336.15199999999999</v>
      </c>
      <c r="O847" s="6">
        <v>336.15199999999999</v>
      </c>
      <c r="P847" s="6">
        <v>457</v>
      </c>
      <c r="Q847" s="4" t="s">
        <v>26</v>
      </c>
      <c r="R847" s="4">
        <v>0</v>
      </c>
      <c r="S847" s="6">
        <v>0</v>
      </c>
      <c r="T847" s="6">
        <v>58</v>
      </c>
      <c r="U847" s="6">
        <v>99</v>
      </c>
      <c r="V847" s="6">
        <f>IF(ISERROR(VLOOKUP($S$847,'TAR FIN'!$A$1:$O$103,15,0)),0,VLOOKUP($S$847,'TAR FIN'!$A$1:$O$103,15,0))</f>
        <v>0</v>
      </c>
      <c r="W847" s="6">
        <f>IF(ISERROR(VLOOKUP($T$847,'TAR FIN'!$A$1:$O$103,15,0)),0,VLOOKUP($T$847,'TAR FIN'!$A$1:$O$103,15,0))</f>
        <v>379.62</v>
      </c>
      <c r="X847" s="6">
        <f>IF(ISERROR(VLOOKUP($U$847,'TAR FIN'!$A$1:$O$103,15,0)),0,VLOOKUP($U$847,'TAR FIN'!$A$1:$O$103,15,0))</f>
        <v>255.17</v>
      </c>
      <c r="Y847" s="6"/>
      <c r="Z847" s="6">
        <f ca="1">('TUSD BE'!$AM$60+'TUSD BF_350'!$AM$60+'TUSD CVA'!$AM$60)*1</f>
        <v>384.48</v>
      </c>
      <c r="AA847" s="6">
        <f ca="1">('TE BE'!$AB$41+'TE BF_350'!$AB$41+'TE CVA'!$AB$41)*1</f>
        <v>286.51</v>
      </c>
      <c r="AB847" s="6">
        <f>$K$847*$V$847</f>
        <v>0</v>
      </c>
      <c r="AC847" s="6">
        <f>$M$847*$W$847</f>
        <v>127610.02223999999</v>
      </c>
      <c r="AD847" s="6">
        <f>$O$847*$X$847</f>
        <v>85775.905839999992</v>
      </c>
      <c r="AE847" s="6">
        <f>$K$847*$Y$847</f>
        <v>0</v>
      </c>
      <c r="AF847" s="6">
        <f ca="1">$M$847*$Z$847</f>
        <v>129243.72096000001</v>
      </c>
      <c r="AG847" s="6">
        <f ca="1">$O$847*$AA$847</f>
        <v>96310.909519999987</v>
      </c>
    </row>
    <row r="848" spans="1:33" ht="11.25" customHeight="1" x14ac:dyDescent="0.3">
      <c r="A848" s="4" t="s">
        <v>21</v>
      </c>
      <c r="B848" s="4" t="s">
        <v>37</v>
      </c>
      <c r="C848" s="4" t="s">
        <v>23</v>
      </c>
      <c r="D848" s="4" t="s">
        <v>46</v>
      </c>
      <c r="E848" s="4" t="s">
        <v>25</v>
      </c>
      <c r="F848" s="4" t="s">
        <v>25</v>
      </c>
      <c r="G848" s="4" t="s">
        <v>25</v>
      </c>
      <c r="H848" s="4" t="s">
        <v>25</v>
      </c>
      <c r="I848" s="5">
        <v>44593</v>
      </c>
      <c r="J848" s="6">
        <v>0</v>
      </c>
      <c r="K848" s="6">
        <v>0</v>
      </c>
      <c r="L848" s="6">
        <v>365.01900000000001</v>
      </c>
      <c r="M848" s="6">
        <v>365.01900000000001</v>
      </c>
      <c r="N848" s="6">
        <v>365.01900000000001</v>
      </c>
      <c r="O848" s="6">
        <v>365.01900000000001</v>
      </c>
      <c r="P848" s="6">
        <v>452</v>
      </c>
      <c r="Q848" s="4" t="s">
        <v>26</v>
      </c>
      <c r="R848" s="4">
        <v>0</v>
      </c>
      <c r="S848" s="6">
        <v>0</v>
      </c>
      <c r="T848" s="6">
        <v>58</v>
      </c>
      <c r="U848" s="6">
        <v>99</v>
      </c>
      <c r="V848" s="6">
        <f>IF(ISERROR(VLOOKUP($S$848,'TAR FIN'!$A$1:$O$103,15,0)),0,VLOOKUP($S$848,'TAR FIN'!$A$1:$O$103,15,0))</f>
        <v>0</v>
      </c>
      <c r="W848" s="6">
        <f>IF(ISERROR(VLOOKUP($T$848,'TAR FIN'!$A$1:$O$103,15,0)),0,VLOOKUP($T$848,'TAR FIN'!$A$1:$O$103,15,0))</f>
        <v>379.62</v>
      </c>
      <c r="X848" s="6">
        <f>IF(ISERROR(VLOOKUP($U$848,'TAR FIN'!$A$1:$O$103,15,0)),0,VLOOKUP($U$848,'TAR FIN'!$A$1:$O$103,15,0))</f>
        <v>255.17</v>
      </c>
      <c r="Y848" s="6"/>
      <c r="Z848" s="6">
        <f ca="1">('TUSD BE'!$AM$60+'TUSD BF_350'!$AM$60+'TUSD CVA'!$AM$60)*1</f>
        <v>384.48</v>
      </c>
      <c r="AA848" s="6">
        <f ca="1">('TE BE'!$AB$41+'TE BF_350'!$AB$41+'TE CVA'!$AB$41)*1</f>
        <v>286.51</v>
      </c>
      <c r="AB848" s="6">
        <f>$K$848*$V$848</f>
        <v>0</v>
      </c>
      <c r="AC848" s="6">
        <f>$M$848*$W$848</f>
        <v>138568.51277999999</v>
      </c>
      <c r="AD848" s="6">
        <f>$O$848*$X$848</f>
        <v>93141.898229999992</v>
      </c>
      <c r="AE848" s="6">
        <f>$K$848*$Y$848</f>
        <v>0</v>
      </c>
      <c r="AF848" s="6">
        <f ca="1">$M$848*$Z$848</f>
        <v>140342.50512000002</v>
      </c>
      <c r="AG848" s="6">
        <f ca="1">$O$848*$AA$848</f>
        <v>104581.59368999999</v>
      </c>
    </row>
    <row r="849" spans="1:33" ht="11.25" customHeight="1" x14ac:dyDescent="0.3">
      <c r="A849" s="4" t="s">
        <v>21</v>
      </c>
      <c r="B849" s="4" t="s">
        <v>37</v>
      </c>
      <c r="C849" s="4" t="s">
        <v>23</v>
      </c>
      <c r="D849" s="4" t="s">
        <v>46</v>
      </c>
      <c r="E849" s="4" t="s">
        <v>25</v>
      </c>
      <c r="F849" s="4" t="s">
        <v>25</v>
      </c>
      <c r="G849" s="4" t="s">
        <v>25</v>
      </c>
      <c r="H849" s="4" t="s">
        <v>25</v>
      </c>
      <c r="I849" s="5">
        <v>44621</v>
      </c>
      <c r="J849" s="6">
        <v>0</v>
      </c>
      <c r="K849" s="6">
        <v>0</v>
      </c>
      <c r="L849" s="6">
        <v>355.18400000000003</v>
      </c>
      <c r="M849" s="6">
        <v>355.18400000000003</v>
      </c>
      <c r="N849" s="6">
        <v>355.18400000000003</v>
      </c>
      <c r="O849" s="6">
        <v>355.18400000000003</v>
      </c>
      <c r="P849" s="6">
        <v>453</v>
      </c>
      <c r="Q849" s="4" t="s">
        <v>26</v>
      </c>
      <c r="R849" s="4">
        <v>0</v>
      </c>
      <c r="S849" s="6">
        <v>0</v>
      </c>
      <c r="T849" s="6">
        <v>58</v>
      </c>
      <c r="U849" s="6">
        <v>99</v>
      </c>
      <c r="V849" s="6">
        <f>IF(ISERROR(VLOOKUP($S$849,'TAR FIN'!$A$1:$O$103,15,0)),0,VLOOKUP($S$849,'TAR FIN'!$A$1:$O$103,15,0))</f>
        <v>0</v>
      </c>
      <c r="W849" s="6">
        <f>IF(ISERROR(VLOOKUP($T$849,'TAR FIN'!$A$1:$O$103,15,0)),0,VLOOKUP($T$849,'TAR FIN'!$A$1:$O$103,15,0))</f>
        <v>379.62</v>
      </c>
      <c r="X849" s="6">
        <f>IF(ISERROR(VLOOKUP($U$849,'TAR FIN'!$A$1:$O$103,15,0)),0,VLOOKUP($U$849,'TAR FIN'!$A$1:$O$103,15,0))</f>
        <v>255.17</v>
      </c>
      <c r="Y849" s="6"/>
      <c r="Z849" s="6">
        <f ca="1">('TUSD BE'!$AM$60+'TUSD BF_350'!$AM$60+'TUSD CVA'!$AM$60)*1</f>
        <v>384.48</v>
      </c>
      <c r="AA849" s="6">
        <f ca="1">('TE BE'!$AB$41+'TE BF_350'!$AB$41+'TE CVA'!$AB$41)*1</f>
        <v>286.51</v>
      </c>
      <c r="AB849" s="6">
        <f>$K$849*$V$849</f>
        <v>0</v>
      </c>
      <c r="AC849" s="6">
        <f>$M$849*$W$849</f>
        <v>134834.95008000001</v>
      </c>
      <c r="AD849" s="6">
        <f>$O$849*$X$849</f>
        <v>90632.30128</v>
      </c>
      <c r="AE849" s="6">
        <f>$K$849*$Y$849</f>
        <v>0</v>
      </c>
      <c r="AF849" s="6">
        <f ca="1">$M$849*$Z$849</f>
        <v>136561.14432000002</v>
      </c>
      <c r="AG849" s="6">
        <f ca="1">$O$849*$AA$849</f>
        <v>101763.76784</v>
      </c>
    </row>
    <row r="850" spans="1:33" ht="11.25" customHeight="1" x14ac:dyDescent="0.3">
      <c r="A850" s="4" t="s">
        <v>21</v>
      </c>
      <c r="B850" s="4" t="s">
        <v>37</v>
      </c>
      <c r="C850" s="4" t="s">
        <v>23</v>
      </c>
      <c r="D850" s="4" t="s">
        <v>46</v>
      </c>
      <c r="E850" s="4" t="s">
        <v>25</v>
      </c>
      <c r="F850" s="4" t="s">
        <v>25</v>
      </c>
      <c r="G850" s="4" t="s">
        <v>25</v>
      </c>
      <c r="H850" s="4" t="s">
        <v>25</v>
      </c>
      <c r="I850" s="5">
        <v>44652</v>
      </c>
      <c r="J850" s="6">
        <v>0</v>
      </c>
      <c r="K850" s="6">
        <v>0</v>
      </c>
      <c r="L850" s="6">
        <v>475.65499999999997</v>
      </c>
      <c r="M850" s="6">
        <v>475.65499999999997</v>
      </c>
      <c r="N850" s="6">
        <v>475.65499999999997</v>
      </c>
      <c r="O850" s="6">
        <v>475.65499999999997</v>
      </c>
      <c r="P850" s="6">
        <v>451</v>
      </c>
      <c r="Q850" s="4" t="s">
        <v>26</v>
      </c>
      <c r="R850" s="4">
        <v>0</v>
      </c>
      <c r="S850" s="6">
        <v>0</v>
      </c>
      <c r="T850" s="6">
        <v>58</v>
      </c>
      <c r="U850" s="6">
        <v>99</v>
      </c>
      <c r="V850" s="6">
        <f>IF(ISERROR(VLOOKUP($S$850,'TAR FIN'!$A$1:$O$103,15,0)),0,VLOOKUP($S$850,'TAR FIN'!$A$1:$O$103,15,0))</f>
        <v>0</v>
      </c>
      <c r="W850" s="6">
        <f>IF(ISERROR(VLOOKUP($T$850,'TAR FIN'!$A$1:$O$103,15,0)),0,VLOOKUP($T$850,'TAR FIN'!$A$1:$O$103,15,0))</f>
        <v>379.62</v>
      </c>
      <c r="X850" s="6">
        <f>IF(ISERROR(VLOOKUP($U$850,'TAR FIN'!$A$1:$O$103,15,0)),0,VLOOKUP($U$850,'TAR FIN'!$A$1:$O$103,15,0))</f>
        <v>255.17</v>
      </c>
      <c r="Y850" s="6"/>
      <c r="Z850" s="6">
        <f ca="1">('TUSD BE'!$AM$60+'TUSD BF_350'!$AM$60+'TUSD CVA'!$AM$60)*1</f>
        <v>384.48</v>
      </c>
      <c r="AA850" s="6">
        <f ca="1">('TE BE'!$AB$41+'TE BF_350'!$AB$41+'TE CVA'!$AB$41)*1</f>
        <v>286.51</v>
      </c>
      <c r="AB850" s="6">
        <f>$K$850*$V$850</f>
        <v>0</v>
      </c>
      <c r="AC850" s="6">
        <f>$M$850*$W$850</f>
        <v>180568.15109999999</v>
      </c>
      <c r="AD850" s="6">
        <f>$O$850*$X$850</f>
        <v>121372.88634999999</v>
      </c>
      <c r="AE850" s="6">
        <f>$K$850*$Y$850</f>
        <v>0</v>
      </c>
      <c r="AF850" s="6">
        <f ca="1">$M$850*$Z$850</f>
        <v>182879.83439999999</v>
      </c>
      <c r="AG850" s="6">
        <f ca="1">$O$850*$AA$850</f>
        <v>136279.91404999999</v>
      </c>
    </row>
    <row r="851" spans="1:33" ht="11.25" customHeight="1" x14ac:dyDescent="0.3">
      <c r="A851" s="4" t="s">
        <v>21</v>
      </c>
      <c r="B851" s="4" t="s">
        <v>37</v>
      </c>
      <c r="C851" s="4" t="s">
        <v>23</v>
      </c>
      <c r="D851" s="4" t="s">
        <v>46</v>
      </c>
      <c r="E851" s="4" t="s">
        <v>25</v>
      </c>
      <c r="F851" s="4" t="s">
        <v>25</v>
      </c>
      <c r="G851" s="4" t="s">
        <v>25</v>
      </c>
      <c r="H851" s="4" t="s">
        <v>25</v>
      </c>
      <c r="I851" s="5">
        <v>44682</v>
      </c>
      <c r="J851" s="6">
        <v>0</v>
      </c>
      <c r="K851" s="6">
        <v>0</v>
      </c>
      <c r="L851" s="6">
        <v>418.78199999999998</v>
      </c>
      <c r="M851" s="6">
        <v>418.78199999999998</v>
      </c>
      <c r="N851" s="6">
        <v>418.78199999999998</v>
      </c>
      <c r="O851" s="6">
        <v>418.78199999999998</v>
      </c>
      <c r="P851" s="6">
        <v>450</v>
      </c>
      <c r="Q851" s="4" t="s">
        <v>26</v>
      </c>
      <c r="R851" s="4">
        <v>0</v>
      </c>
      <c r="S851" s="6">
        <v>0</v>
      </c>
      <c r="T851" s="6">
        <v>58</v>
      </c>
      <c r="U851" s="6">
        <v>99</v>
      </c>
      <c r="V851" s="6">
        <f>IF(ISERROR(VLOOKUP($S$851,'TAR FIN'!$A$1:$O$103,15,0)),0,VLOOKUP($S$851,'TAR FIN'!$A$1:$O$103,15,0))</f>
        <v>0</v>
      </c>
      <c r="W851" s="6">
        <f>IF(ISERROR(VLOOKUP($T$851,'TAR FIN'!$A$1:$O$103,15,0)),0,VLOOKUP($T$851,'TAR FIN'!$A$1:$O$103,15,0))</f>
        <v>379.62</v>
      </c>
      <c r="X851" s="6">
        <f>IF(ISERROR(VLOOKUP($U$851,'TAR FIN'!$A$1:$O$103,15,0)),0,VLOOKUP($U$851,'TAR FIN'!$A$1:$O$103,15,0))</f>
        <v>255.17</v>
      </c>
      <c r="Y851" s="6"/>
      <c r="Z851" s="6">
        <f ca="1">('TUSD BE'!$AM$60+'TUSD BF_350'!$AM$60+'TUSD CVA'!$AM$60)*1</f>
        <v>384.48</v>
      </c>
      <c r="AA851" s="6">
        <f ca="1">('TE BE'!$AB$41+'TE BF_350'!$AB$41+'TE CVA'!$AB$41)*1</f>
        <v>286.51</v>
      </c>
      <c r="AB851" s="6">
        <f>$K$851*$V$851</f>
        <v>0</v>
      </c>
      <c r="AC851" s="6">
        <f>$M$851*$W$851</f>
        <v>158978.02283999999</v>
      </c>
      <c r="AD851" s="6">
        <f>$O$851*$X$851</f>
        <v>106860.60294</v>
      </c>
      <c r="AE851" s="6">
        <f>$K$851*$Y$851</f>
        <v>0</v>
      </c>
      <c r="AF851" s="6">
        <f ca="1">$M$851*$Z$851</f>
        <v>161013.30335999999</v>
      </c>
      <c r="AG851" s="6">
        <f ca="1">$O$851*$AA$851</f>
        <v>119985.23082</v>
      </c>
    </row>
    <row r="852" spans="1:33" ht="11.25" customHeight="1" x14ac:dyDescent="0.3">
      <c r="A852" s="4" t="s">
        <v>28</v>
      </c>
      <c r="B852" s="4" t="s">
        <v>37</v>
      </c>
      <c r="C852" s="4" t="s">
        <v>23</v>
      </c>
      <c r="D852" s="4" t="s">
        <v>46</v>
      </c>
      <c r="E852" s="4" t="s">
        <v>25</v>
      </c>
      <c r="F852" s="4" t="s">
        <v>25</v>
      </c>
      <c r="G852" s="4" t="s">
        <v>25</v>
      </c>
      <c r="H852" s="4" t="s">
        <v>25</v>
      </c>
      <c r="I852" s="5">
        <v>44682</v>
      </c>
      <c r="J852" s="6">
        <v>0</v>
      </c>
      <c r="K852" s="6">
        <v>0</v>
      </c>
      <c r="L852" s="6">
        <v>0.107</v>
      </c>
      <c r="M852" s="6">
        <v>0.107</v>
      </c>
      <c r="N852" s="6">
        <v>0.107</v>
      </c>
      <c r="O852" s="6">
        <v>0.107</v>
      </c>
      <c r="P852" s="6">
        <v>1</v>
      </c>
      <c r="Q852" s="4" t="s">
        <v>26</v>
      </c>
      <c r="R852" s="4">
        <v>0</v>
      </c>
      <c r="S852" s="6">
        <v>0</v>
      </c>
      <c r="T852" s="6">
        <v>58</v>
      </c>
      <c r="U852" s="6">
        <v>99</v>
      </c>
      <c r="V852" s="6">
        <f>IF(ISERROR(VLOOKUP($S$852,'TAR FIN'!$A$1:$O$103,15,0)),0,VLOOKUP($S$852,'TAR FIN'!$A$1:$O$103,15,0))</f>
        <v>0</v>
      </c>
      <c r="W852" s="6">
        <f>IF(ISERROR(VLOOKUP($T$852,'TAR FIN'!$A$1:$O$103,15,0)),0,VLOOKUP($T$852,'TAR FIN'!$A$1:$O$103,15,0))</f>
        <v>379.62</v>
      </c>
      <c r="X852" s="6">
        <f>IF(ISERROR(VLOOKUP($U$852,'TAR FIN'!$A$1:$O$103,15,0)),0,VLOOKUP($U$852,'TAR FIN'!$A$1:$O$103,15,0))</f>
        <v>255.17</v>
      </c>
      <c r="Y852" s="6"/>
      <c r="Z852" s="6">
        <f ca="1">('TUSD BE'!$AM$60+'TUSD BF_350'!$AM$60+'TUSD CVA'!$AM$60)*1</f>
        <v>384.48</v>
      </c>
      <c r="AA852" s="6">
        <f ca="1">('TE BE'!$AB$41+'TE BF_350'!$AB$41+'TE CVA'!$AB$41)*1</f>
        <v>286.51</v>
      </c>
      <c r="AB852" s="6">
        <f>$K$852*$V$852</f>
        <v>0</v>
      </c>
      <c r="AC852" s="6">
        <f>$M$852*$W$852</f>
        <v>40.619340000000001</v>
      </c>
      <c r="AD852" s="6">
        <f>$O$852*$X$852</f>
        <v>27.303189999999997</v>
      </c>
      <c r="AE852" s="6">
        <f>$K$852*$Y$852</f>
        <v>0</v>
      </c>
      <c r="AF852" s="6">
        <f ca="1">$M$852*$Z$852</f>
        <v>41.139360000000003</v>
      </c>
      <c r="AG852" s="6">
        <f ca="1">$O$852*$AA$852</f>
        <v>30.656569999999999</v>
      </c>
    </row>
    <row r="853" spans="1:33" ht="11.25" customHeight="1" x14ac:dyDescent="0.3">
      <c r="A853" s="4" t="s">
        <v>21</v>
      </c>
      <c r="B853" s="4" t="s">
        <v>37</v>
      </c>
      <c r="C853" s="4" t="s">
        <v>23</v>
      </c>
      <c r="D853" s="4" t="s">
        <v>46</v>
      </c>
      <c r="E853" s="4" t="s">
        <v>25</v>
      </c>
      <c r="F853" s="4" t="s">
        <v>25</v>
      </c>
      <c r="G853" s="4" t="s">
        <v>25</v>
      </c>
      <c r="H853" s="4" t="s">
        <v>25</v>
      </c>
      <c r="I853" s="5">
        <v>44713</v>
      </c>
      <c r="J853" s="6">
        <v>0</v>
      </c>
      <c r="K853" s="6">
        <v>0</v>
      </c>
      <c r="L853" s="6">
        <v>314.72800000000001</v>
      </c>
      <c r="M853" s="6">
        <v>314.72800000000001</v>
      </c>
      <c r="N853" s="6">
        <v>314.72800000000001</v>
      </c>
      <c r="O853" s="6">
        <v>314.72800000000001</v>
      </c>
      <c r="P853" s="6">
        <v>451</v>
      </c>
      <c r="Q853" s="4" t="s">
        <v>26</v>
      </c>
      <c r="R853" s="4">
        <v>0</v>
      </c>
      <c r="S853" s="6">
        <v>0</v>
      </c>
      <c r="T853" s="6">
        <v>58</v>
      </c>
      <c r="U853" s="6">
        <v>99</v>
      </c>
      <c r="V853" s="6">
        <f>IF(ISERROR(VLOOKUP($S$853,'TAR FIN'!$A$1:$O$103,15,0)),0,VLOOKUP($S$853,'TAR FIN'!$A$1:$O$103,15,0))</f>
        <v>0</v>
      </c>
      <c r="W853" s="6">
        <f>IF(ISERROR(VLOOKUP($T$853,'TAR FIN'!$A$1:$O$103,15,0)),0,VLOOKUP($T$853,'TAR FIN'!$A$1:$O$103,15,0))</f>
        <v>379.62</v>
      </c>
      <c r="X853" s="6">
        <f>IF(ISERROR(VLOOKUP($U$853,'TAR FIN'!$A$1:$O$103,15,0)),0,VLOOKUP($U$853,'TAR FIN'!$A$1:$O$103,15,0))</f>
        <v>255.17</v>
      </c>
      <c r="Y853" s="6"/>
      <c r="Z853" s="6">
        <f ca="1">('TUSD BE'!$AM$60+'TUSD BF_350'!$AM$60+'TUSD CVA'!$AM$60)*1</f>
        <v>384.48</v>
      </c>
      <c r="AA853" s="6">
        <f ca="1">('TE BE'!$AB$41+'TE BF_350'!$AB$41+'TE CVA'!$AB$41)*1</f>
        <v>286.51</v>
      </c>
      <c r="AB853" s="6">
        <f>$K$853*$V$853</f>
        <v>0</v>
      </c>
      <c r="AC853" s="6">
        <f>$M$853*$W$853</f>
        <v>119477.04336000001</v>
      </c>
      <c r="AD853" s="6">
        <f>$O$853*$X$853</f>
        <v>80309.143759999992</v>
      </c>
      <c r="AE853" s="6">
        <f>$K$853*$Y$853</f>
        <v>0</v>
      </c>
      <c r="AF853" s="6">
        <f ca="1">$M$853*$Z$853</f>
        <v>121006.62144</v>
      </c>
      <c r="AG853" s="6">
        <f ca="1">$O$853*$AA$853</f>
        <v>90172.719280000005</v>
      </c>
    </row>
    <row r="854" spans="1:33" ht="11.25" customHeight="1" x14ac:dyDescent="0.3">
      <c r="A854" s="4" t="s">
        <v>28</v>
      </c>
      <c r="B854" s="4" t="s">
        <v>37</v>
      </c>
      <c r="C854" s="4" t="s">
        <v>23</v>
      </c>
      <c r="D854" s="4" t="s">
        <v>46</v>
      </c>
      <c r="E854" s="4" t="s">
        <v>25</v>
      </c>
      <c r="F854" s="4" t="s">
        <v>25</v>
      </c>
      <c r="G854" s="4" t="s">
        <v>25</v>
      </c>
      <c r="H854" s="4" t="s">
        <v>25</v>
      </c>
      <c r="I854" s="5">
        <v>44713</v>
      </c>
      <c r="J854" s="6">
        <v>0</v>
      </c>
      <c r="K854" s="6">
        <v>0</v>
      </c>
      <c r="L854" s="6">
        <v>1.3220000000000001</v>
      </c>
      <c r="M854" s="6">
        <v>1.3220000000000001</v>
      </c>
      <c r="N854" s="6">
        <v>1.3220000000000001</v>
      </c>
      <c r="O854" s="6">
        <v>1.3220000000000001</v>
      </c>
      <c r="P854" s="6">
        <v>1</v>
      </c>
      <c r="Q854" s="4" t="s">
        <v>26</v>
      </c>
      <c r="R854" s="4">
        <v>0</v>
      </c>
      <c r="S854" s="6">
        <v>0</v>
      </c>
      <c r="T854" s="6">
        <v>58</v>
      </c>
      <c r="U854" s="6">
        <v>99</v>
      </c>
      <c r="V854" s="6">
        <f>IF(ISERROR(VLOOKUP($S$854,'TAR FIN'!$A$1:$O$103,15,0)),0,VLOOKUP($S$854,'TAR FIN'!$A$1:$O$103,15,0))</f>
        <v>0</v>
      </c>
      <c r="W854" s="6">
        <f>IF(ISERROR(VLOOKUP($T$854,'TAR FIN'!$A$1:$O$103,15,0)),0,VLOOKUP($T$854,'TAR FIN'!$A$1:$O$103,15,0))</f>
        <v>379.62</v>
      </c>
      <c r="X854" s="6">
        <f>IF(ISERROR(VLOOKUP($U$854,'TAR FIN'!$A$1:$O$103,15,0)),0,VLOOKUP($U$854,'TAR FIN'!$A$1:$O$103,15,0))</f>
        <v>255.17</v>
      </c>
      <c r="Y854" s="6"/>
      <c r="Z854" s="6">
        <f ca="1">('TUSD BE'!$AM$60+'TUSD BF_350'!$AM$60+'TUSD CVA'!$AM$60)*1</f>
        <v>384.48</v>
      </c>
      <c r="AA854" s="6">
        <f ca="1">('TE BE'!$AB$41+'TE BF_350'!$AB$41+'TE CVA'!$AB$41)*1</f>
        <v>286.51</v>
      </c>
      <c r="AB854" s="6">
        <f>$K$854*$V$854</f>
        <v>0</v>
      </c>
      <c r="AC854" s="6">
        <f>$M$854*$W$854</f>
        <v>501.85764</v>
      </c>
      <c r="AD854" s="6">
        <f>$O$854*$X$854</f>
        <v>337.33474000000001</v>
      </c>
      <c r="AE854" s="6">
        <f>$K$854*$Y$854</f>
        <v>0</v>
      </c>
      <c r="AF854" s="6">
        <f ca="1">$M$854*$Z$854</f>
        <v>508.28256000000005</v>
      </c>
      <c r="AG854" s="6">
        <f ca="1">$O$854*$AA$854</f>
        <v>378.76622000000003</v>
      </c>
    </row>
    <row r="855" spans="1:33" ht="11.25" customHeight="1" x14ac:dyDescent="0.3">
      <c r="A855" s="4" t="s">
        <v>21</v>
      </c>
      <c r="B855" s="4" t="s">
        <v>37</v>
      </c>
      <c r="C855" s="4" t="s">
        <v>23</v>
      </c>
      <c r="D855" s="4" t="s">
        <v>46</v>
      </c>
      <c r="E855" s="4" t="s">
        <v>25</v>
      </c>
      <c r="F855" s="4" t="s">
        <v>25</v>
      </c>
      <c r="G855" s="4" t="s">
        <v>25</v>
      </c>
      <c r="H855" s="4" t="s">
        <v>25</v>
      </c>
      <c r="I855" s="5">
        <v>44743</v>
      </c>
      <c r="J855" s="6">
        <v>0</v>
      </c>
      <c r="K855" s="6">
        <v>0</v>
      </c>
      <c r="L855" s="6">
        <v>295.98200000000003</v>
      </c>
      <c r="M855" s="6">
        <v>295.98200000000003</v>
      </c>
      <c r="N855" s="6">
        <v>295.98200000000003</v>
      </c>
      <c r="O855" s="6">
        <v>295.98200000000003</v>
      </c>
      <c r="P855" s="6">
        <v>451</v>
      </c>
      <c r="Q855" s="4" t="s">
        <v>26</v>
      </c>
      <c r="R855" s="4">
        <v>0</v>
      </c>
      <c r="S855" s="6">
        <v>0</v>
      </c>
      <c r="T855" s="6">
        <v>58</v>
      </c>
      <c r="U855" s="6">
        <v>99</v>
      </c>
      <c r="V855" s="6">
        <f>IF(ISERROR(VLOOKUP($S$855,'TAR FIN'!$A$1:$O$103,15,0)),0,VLOOKUP($S$855,'TAR FIN'!$A$1:$O$103,15,0))</f>
        <v>0</v>
      </c>
      <c r="W855" s="6">
        <f>IF(ISERROR(VLOOKUP($T$855,'TAR FIN'!$A$1:$O$103,15,0)),0,VLOOKUP($T$855,'TAR FIN'!$A$1:$O$103,15,0))</f>
        <v>379.62</v>
      </c>
      <c r="X855" s="6">
        <f>IF(ISERROR(VLOOKUP($U$855,'TAR FIN'!$A$1:$O$103,15,0)),0,VLOOKUP($U$855,'TAR FIN'!$A$1:$O$103,15,0))</f>
        <v>255.17</v>
      </c>
      <c r="Y855" s="6"/>
      <c r="Z855" s="6">
        <f ca="1">('TUSD BE'!$AM$60+'TUSD BF_350'!$AM$60+'TUSD CVA'!$AM$60)*1</f>
        <v>384.48</v>
      </c>
      <c r="AA855" s="6">
        <f ca="1">('TE BE'!$AB$41+'TE BF_350'!$AB$41+'TE CVA'!$AB$41)*1</f>
        <v>286.51</v>
      </c>
      <c r="AB855" s="6">
        <f>$K$855*$V$855</f>
        <v>0</v>
      </c>
      <c r="AC855" s="6">
        <f>$M$855*$W$855</f>
        <v>112360.68684000001</v>
      </c>
      <c r="AD855" s="6">
        <f>$O$855*$X$855</f>
        <v>75525.726940000008</v>
      </c>
      <c r="AE855" s="6">
        <f>$K$855*$Y$855</f>
        <v>0</v>
      </c>
      <c r="AF855" s="6">
        <f ca="1">$M$855*$Z$855</f>
        <v>113799.15936000002</v>
      </c>
      <c r="AG855" s="6">
        <f ca="1">$O$855*$AA$855</f>
        <v>84801.802820000012</v>
      </c>
    </row>
    <row r="856" spans="1:33" ht="11.25" customHeight="1" x14ac:dyDescent="0.3">
      <c r="A856" s="4" t="s">
        <v>28</v>
      </c>
      <c r="B856" s="4" t="s">
        <v>37</v>
      </c>
      <c r="C856" s="4" t="s">
        <v>23</v>
      </c>
      <c r="D856" s="4" t="s">
        <v>46</v>
      </c>
      <c r="E856" s="4" t="s">
        <v>25</v>
      </c>
      <c r="F856" s="4" t="s">
        <v>25</v>
      </c>
      <c r="G856" s="4" t="s">
        <v>25</v>
      </c>
      <c r="H856" s="4" t="s">
        <v>25</v>
      </c>
      <c r="I856" s="5">
        <v>44743</v>
      </c>
      <c r="J856" s="6">
        <v>0</v>
      </c>
      <c r="K856" s="6">
        <v>0</v>
      </c>
      <c r="L856" s="6">
        <v>2.2280000000000002</v>
      </c>
      <c r="M856" s="6">
        <v>2.2280000000000002</v>
      </c>
      <c r="N856" s="6">
        <v>2.2280000000000002</v>
      </c>
      <c r="O856" s="6">
        <v>2.2280000000000002</v>
      </c>
      <c r="P856" s="6">
        <v>1</v>
      </c>
      <c r="Q856" s="4" t="s">
        <v>26</v>
      </c>
      <c r="R856" s="4">
        <v>0</v>
      </c>
      <c r="S856" s="6">
        <v>0</v>
      </c>
      <c r="T856" s="6">
        <v>58</v>
      </c>
      <c r="U856" s="6">
        <v>99</v>
      </c>
      <c r="V856" s="6">
        <f>IF(ISERROR(VLOOKUP($S$856,'TAR FIN'!$A$1:$O$103,15,0)),0,VLOOKUP($S$856,'TAR FIN'!$A$1:$O$103,15,0))</f>
        <v>0</v>
      </c>
      <c r="W856" s="6">
        <f>IF(ISERROR(VLOOKUP($T$856,'TAR FIN'!$A$1:$O$103,15,0)),0,VLOOKUP($T$856,'TAR FIN'!$A$1:$O$103,15,0))</f>
        <v>379.62</v>
      </c>
      <c r="X856" s="6">
        <f>IF(ISERROR(VLOOKUP($U$856,'TAR FIN'!$A$1:$O$103,15,0)),0,VLOOKUP($U$856,'TAR FIN'!$A$1:$O$103,15,0))</f>
        <v>255.17</v>
      </c>
      <c r="Y856" s="6"/>
      <c r="Z856" s="6">
        <f ca="1">('TUSD BE'!$AM$60+'TUSD BF_350'!$AM$60+'TUSD CVA'!$AM$60)*1</f>
        <v>384.48</v>
      </c>
      <c r="AA856" s="6">
        <f ca="1">('TE BE'!$AB$41+'TE BF_350'!$AB$41+'TE CVA'!$AB$41)*1</f>
        <v>286.51</v>
      </c>
      <c r="AB856" s="6">
        <f>$K$856*$V$856</f>
        <v>0</v>
      </c>
      <c r="AC856" s="6">
        <f>$M$856*$W$856</f>
        <v>845.79336000000012</v>
      </c>
      <c r="AD856" s="6">
        <f>$O$856*$X$856</f>
        <v>568.51876000000004</v>
      </c>
      <c r="AE856" s="6">
        <f>$K$856*$Y$856</f>
        <v>0</v>
      </c>
      <c r="AF856" s="6">
        <f ca="1">$M$856*$Z$856</f>
        <v>856.62144000000012</v>
      </c>
      <c r="AG856" s="6">
        <f ca="1">$O$856*$AA$856</f>
        <v>638.34428000000003</v>
      </c>
    </row>
    <row r="857" spans="1:33" ht="11.25" customHeight="1" x14ac:dyDescent="0.3">
      <c r="A857" s="4" t="s">
        <v>21</v>
      </c>
      <c r="B857" s="4" t="s">
        <v>37</v>
      </c>
      <c r="C857" s="4" t="s">
        <v>23</v>
      </c>
      <c r="D857" s="4" t="s">
        <v>46</v>
      </c>
      <c r="E857" s="4" t="s">
        <v>25</v>
      </c>
      <c r="F857" s="4" t="s">
        <v>25</v>
      </c>
      <c r="G857" s="4" t="s">
        <v>25</v>
      </c>
      <c r="H857" s="4" t="s">
        <v>25</v>
      </c>
      <c r="I857" s="5">
        <v>44774</v>
      </c>
      <c r="J857" s="6">
        <v>0</v>
      </c>
      <c r="K857" s="6">
        <v>0</v>
      </c>
      <c r="L857" s="6">
        <v>278.72300000000001</v>
      </c>
      <c r="M857" s="6">
        <v>278.72300000000001</v>
      </c>
      <c r="N857" s="6">
        <v>278.72300000000001</v>
      </c>
      <c r="O857" s="6">
        <v>278.72300000000001</v>
      </c>
      <c r="P857" s="6">
        <v>450</v>
      </c>
      <c r="Q857" s="4" t="s">
        <v>26</v>
      </c>
      <c r="R857" s="4">
        <v>0</v>
      </c>
      <c r="S857" s="6">
        <v>0</v>
      </c>
      <c r="T857" s="6">
        <v>58</v>
      </c>
      <c r="U857" s="6">
        <v>99</v>
      </c>
      <c r="V857" s="6">
        <f>IF(ISERROR(VLOOKUP($S$857,'TAR FIN'!$A$1:$O$103,15,0)),0,VLOOKUP($S$857,'TAR FIN'!$A$1:$O$103,15,0))</f>
        <v>0</v>
      </c>
      <c r="W857" s="6">
        <f>IF(ISERROR(VLOOKUP($T$857,'TAR FIN'!$A$1:$O$103,15,0)),0,VLOOKUP($T$857,'TAR FIN'!$A$1:$O$103,15,0))</f>
        <v>379.62</v>
      </c>
      <c r="X857" s="6">
        <f>IF(ISERROR(VLOOKUP($U$857,'TAR FIN'!$A$1:$O$103,15,0)),0,VLOOKUP($U$857,'TAR FIN'!$A$1:$O$103,15,0))</f>
        <v>255.17</v>
      </c>
      <c r="Y857" s="6"/>
      <c r="Z857" s="6">
        <f ca="1">('TUSD BE'!$AM$60+'TUSD BF_350'!$AM$60+'TUSD CVA'!$AM$60)*1</f>
        <v>384.48</v>
      </c>
      <c r="AA857" s="6">
        <f ca="1">('TE BE'!$AB$41+'TE BF_350'!$AB$41+'TE CVA'!$AB$41)*1</f>
        <v>286.51</v>
      </c>
      <c r="AB857" s="6">
        <f>$K$857*$V$857</f>
        <v>0</v>
      </c>
      <c r="AC857" s="6">
        <f>$M$857*$W$857</f>
        <v>105808.82526000001</v>
      </c>
      <c r="AD857" s="6">
        <f>$O$857*$X$857</f>
        <v>71121.747910000006</v>
      </c>
      <c r="AE857" s="6">
        <f>$K$857*$Y$857</f>
        <v>0</v>
      </c>
      <c r="AF857" s="6">
        <f ca="1">$M$857*$Z$857</f>
        <v>107163.41904000001</v>
      </c>
      <c r="AG857" s="6">
        <f ca="1">$O$857*$AA$857</f>
        <v>79856.926730000007</v>
      </c>
    </row>
    <row r="858" spans="1:33" ht="11.25" customHeight="1" x14ac:dyDescent="0.3">
      <c r="A858" s="4" t="s">
        <v>28</v>
      </c>
      <c r="B858" s="4" t="s">
        <v>37</v>
      </c>
      <c r="C858" s="4" t="s">
        <v>23</v>
      </c>
      <c r="D858" s="4" t="s">
        <v>46</v>
      </c>
      <c r="E858" s="4" t="s">
        <v>25</v>
      </c>
      <c r="F858" s="4" t="s">
        <v>25</v>
      </c>
      <c r="G858" s="4" t="s">
        <v>25</v>
      </c>
      <c r="H858" s="4" t="s">
        <v>25</v>
      </c>
      <c r="I858" s="5">
        <v>44774</v>
      </c>
      <c r="J858" s="6">
        <v>0</v>
      </c>
      <c r="K858" s="6">
        <v>0</v>
      </c>
      <c r="L858" s="6">
        <v>2.2320000000000002</v>
      </c>
      <c r="M858" s="6">
        <v>2.2320000000000002</v>
      </c>
      <c r="N858" s="6">
        <v>2.2320000000000002</v>
      </c>
      <c r="O858" s="6">
        <v>2.2320000000000002</v>
      </c>
      <c r="P858" s="6">
        <v>1</v>
      </c>
      <c r="Q858" s="4" t="s">
        <v>26</v>
      </c>
      <c r="R858" s="4">
        <v>0</v>
      </c>
      <c r="S858" s="6">
        <v>0</v>
      </c>
      <c r="T858" s="6">
        <v>58</v>
      </c>
      <c r="U858" s="6">
        <v>99</v>
      </c>
      <c r="V858" s="6">
        <f>IF(ISERROR(VLOOKUP($S$858,'TAR FIN'!$A$1:$O$103,15,0)),0,VLOOKUP($S$858,'TAR FIN'!$A$1:$O$103,15,0))</f>
        <v>0</v>
      </c>
      <c r="W858" s="6">
        <f>IF(ISERROR(VLOOKUP($T$858,'TAR FIN'!$A$1:$O$103,15,0)),0,VLOOKUP($T$858,'TAR FIN'!$A$1:$O$103,15,0))</f>
        <v>379.62</v>
      </c>
      <c r="X858" s="6">
        <f>IF(ISERROR(VLOOKUP($U$858,'TAR FIN'!$A$1:$O$103,15,0)),0,VLOOKUP($U$858,'TAR FIN'!$A$1:$O$103,15,0))</f>
        <v>255.17</v>
      </c>
      <c r="Y858" s="6"/>
      <c r="Z858" s="6">
        <f ca="1">('TUSD BE'!$AM$60+'TUSD BF_350'!$AM$60+'TUSD CVA'!$AM$60)*1</f>
        <v>384.48</v>
      </c>
      <c r="AA858" s="6">
        <f ca="1">('TE BE'!$AB$41+'TE BF_350'!$AB$41+'TE CVA'!$AB$41)*1</f>
        <v>286.51</v>
      </c>
      <c r="AB858" s="6">
        <f>$K$858*$V$858</f>
        <v>0</v>
      </c>
      <c r="AC858" s="6">
        <f>$M$858*$W$858</f>
        <v>847.31184000000007</v>
      </c>
      <c r="AD858" s="6">
        <f>$O$858*$X$858</f>
        <v>569.53944000000001</v>
      </c>
      <c r="AE858" s="6">
        <f>$K$858*$Y$858</f>
        <v>0</v>
      </c>
      <c r="AF858" s="6">
        <f ca="1">$M$858*$Z$858</f>
        <v>858.15936000000011</v>
      </c>
      <c r="AG858" s="6">
        <f ca="1">$O$858*$AA$858</f>
        <v>639.49032</v>
      </c>
    </row>
    <row r="859" spans="1:33" ht="11.25" customHeight="1" x14ac:dyDescent="0.3">
      <c r="A859" s="4" t="s">
        <v>21</v>
      </c>
      <c r="B859" s="4" t="s">
        <v>37</v>
      </c>
      <c r="C859" s="4" t="s">
        <v>23</v>
      </c>
      <c r="D859" s="4" t="s">
        <v>46</v>
      </c>
      <c r="E859" s="4" t="s">
        <v>25</v>
      </c>
      <c r="F859" s="4" t="s">
        <v>25</v>
      </c>
      <c r="G859" s="4" t="s">
        <v>25</v>
      </c>
      <c r="H859" s="4" t="s">
        <v>25</v>
      </c>
      <c r="I859" s="5">
        <v>44805</v>
      </c>
      <c r="J859" s="6">
        <v>0</v>
      </c>
      <c r="K859" s="6">
        <v>0</v>
      </c>
      <c r="L859" s="6">
        <v>418.947</v>
      </c>
      <c r="M859" s="6">
        <v>418.947</v>
      </c>
      <c r="N859" s="6">
        <v>418.947</v>
      </c>
      <c r="O859" s="6">
        <v>418.947</v>
      </c>
      <c r="P859" s="6">
        <v>451</v>
      </c>
      <c r="Q859" s="4" t="s">
        <v>26</v>
      </c>
      <c r="R859" s="4">
        <v>0</v>
      </c>
      <c r="S859" s="6">
        <v>0</v>
      </c>
      <c r="T859" s="6">
        <v>58</v>
      </c>
      <c r="U859" s="6">
        <v>99</v>
      </c>
      <c r="V859" s="6">
        <f>IF(ISERROR(VLOOKUP($S$859,'TAR FIN'!$A$1:$O$103,15,0)),0,VLOOKUP($S$859,'TAR FIN'!$A$1:$O$103,15,0))</f>
        <v>0</v>
      </c>
      <c r="W859" s="6">
        <f>IF(ISERROR(VLOOKUP($T$859,'TAR FIN'!$A$1:$O$103,15,0)),0,VLOOKUP($T$859,'TAR FIN'!$A$1:$O$103,15,0))</f>
        <v>379.62</v>
      </c>
      <c r="X859" s="6">
        <f>IF(ISERROR(VLOOKUP($U$859,'TAR FIN'!$A$1:$O$103,15,0)),0,VLOOKUP($U$859,'TAR FIN'!$A$1:$O$103,15,0))</f>
        <v>255.17</v>
      </c>
      <c r="Y859" s="6"/>
      <c r="Z859" s="6">
        <f ca="1">('TUSD BE'!$AM$60+'TUSD BF_350'!$AM$60+'TUSD CVA'!$AM$60)*1</f>
        <v>384.48</v>
      </c>
      <c r="AA859" s="6">
        <f ca="1">('TE BE'!$AB$41+'TE BF_350'!$AB$41+'TE CVA'!$AB$41)*1</f>
        <v>286.51</v>
      </c>
      <c r="AB859" s="6">
        <f>$K$859*$V$859</f>
        <v>0</v>
      </c>
      <c r="AC859" s="6">
        <f>$M$859*$W$859</f>
        <v>159040.66013999999</v>
      </c>
      <c r="AD859" s="6">
        <f>$O$859*$X$859</f>
        <v>106902.70599</v>
      </c>
      <c r="AE859" s="6">
        <f>$K$859*$Y$859</f>
        <v>0</v>
      </c>
      <c r="AF859" s="6">
        <f ca="1">$M$859*$Z$859</f>
        <v>161076.74256000001</v>
      </c>
      <c r="AG859" s="6">
        <f ca="1">$O$859*$AA$859</f>
        <v>120032.50496999999</v>
      </c>
    </row>
    <row r="860" spans="1:33" ht="11.25" customHeight="1" x14ac:dyDescent="0.3">
      <c r="A860" s="4" t="s">
        <v>28</v>
      </c>
      <c r="B860" s="4" t="s">
        <v>37</v>
      </c>
      <c r="C860" s="4" t="s">
        <v>23</v>
      </c>
      <c r="D860" s="4" t="s">
        <v>46</v>
      </c>
      <c r="E860" s="4" t="s">
        <v>25</v>
      </c>
      <c r="F860" s="4" t="s">
        <v>25</v>
      </c>
      <c r="G860" s="4" t="s">
        <v>25</v>
      </c>
      <c r="H860" s="4" t="s">
        <v>25</v>
      </c>
      <c r="I860" s="5">
        <v>44805</v>
      </c>
      <c r="J860" s="6">
        <v>0</v>
      </c>
      <c r="K860" s="6">
        <v>0</v>
      </c>
      <c r="L860" s="6">
        <v>0.623</v>
      </c>
      <c r="M860" s="6">
        <v>0.623</v>
      </c>
      <c r="N860" s="6">
        <v>0.623</v>
      </c>
      <c r="O860" s="6">
        <v>0.623</v>
      </c>
      <c r="P860" s="6">
        <v>1</v>
      </c>
      <c r="Q860" s="4" t="s">
        <v>26</v>
      </c>
      <c r="R860" s="4">
        <v>0</v>
      </c>
      <c r="S860" s="6">
        <v>0</v>
      </c>
      <c r="T860" s="6">
        <v>58</v>
      </c>
      <c r="U860" s="6">
        <v>99</v>
      </c>
      <c r="V860" s="6">
        <f>IF(ISERROR(VLOOKUP($S$860,'TAR FIN'!$A$1:$O$103,15,0)),0,VLOOKUP($S$860,'TAR FIN'!$A$1:$O$103,15,0))</f>
        <v>0</v>
      </c>
      <c r="W860" s="6">
        <f>IF(ISERROR(VLOOKUP($T$860,'TAR FIN'!$A$1:$O$103,15,0)),0,VLOOKUP($T$860,'TAR FIN'!$A$1:$O$103,15,0))</f>
        <v>379.62</v>
      </c>
      <c r="X860" s="6">
        <f>IF(ISERROR(VLOOKUP($U$860,'TAR FIN'!$A$1:$O$103,15,0)),0,VLOOKUP($U$860,'TAR FIN'!$A$1:$O$103,15,0))</f>
        <v>255.17</v>
      </c>
      <c r="Y860" s="6"/>
      <c r="Z860" s="6">
        <f ca="1">('TUSD BE'!$AM$60+'TUSD BF_350'!$AM$60+'TUSD CVA'!$AM$60)*1</f>
        <v>384.48</v>
      </c>
      <c r="AA860" s="6">
        <f ca="1">('TE BE'!$AB$41+'TE BF_350'!$AB$41+'TE CVA'!$AB$41)*1</f>
        <v>286.51</v>
      </c>
      <c r="AB860" s="6">
        <f>$K$860*$V$860</f>
        <v>0</v>
      </c>
      <c r="AC860" s="6">
        <f>$M$860*$W$860</f>
        <v>236.50326000000001</v>
      </c>
      <c r="AD860" s="6">
        <f>$O$860*$X$860</f>
        <v>158.97091</v>
      </c>
      <c r="AE860" s="6">
        <f>$K$860*$Y$860</f>
        <v>0</v>
      </c>
      <c r="AF860" s="6">
        <f ca="1">$M$860*$Z$860</f>
        <v>239.53104000000002</v>
      </c>
      <c r="AG860" s="6">
        <f ca="1">$O$860*$AA$860</f>
        <v>178.49572999999998</v>
      </c>
    </row>
    <row r="861" spans="1:33" ht="11.25" customHeight="1" x14ac:dyDescent="0.3">
      <c r="A861" s="4" t="s">
        <v>57</v>
      </c>
      <c r="B861" s="4" t="s">
        <v>37</v>
      </c>
      <c r="C861" s="4" t="s">
        <v>23</v>
      </c>
      <c r="D861" s="4" t="s">
        <v>46</v>
      </c>
      <c r="E861" s="4" t="s">
        <v>25</v>
      </c>
      <c r="F861" s="4" t="s">
        <v>25</v>
      </c>
      <c r="G861" s="4" t="s">
        <v>25</v>
      </c>
      <c r="H861" s="4" t="s">
        <v>25</v>
      </c>
      <c r="I861" s="5">
        <v>44835</v>
      </c>
      <c r="J861" s="6">
        <v>0</v>
      </c>
      <c r="K861" s="6">
        <v>0</v>
      </c>
      <c r="L861" s="6">
        <v>418.947</v>
      </c>
      <c r="M861" s="6">
        <v>418.947</v>
      </c>
      <c r="N861" s="6">
        <v>418.947</v>
      </c>
      <c r="O861" s="6">
        <v>418.947</v>
      </c>
      <c r="P861" s="6">
        <v>451</v>
      </c>
      <c r="Q861" s="4" t="s">
        <v>26</v>
      </c>
      <c r="R861" s="4">
        <v>0</v>
      </c>
      <c r="S861" s="6">
        <v>0</v>
      </c>
      <c r="T861" s="6">
        <v>58</v>
      </c>
      <c r="U861" s="6">
        <v>99</v>
      </c>
      <c r="V861" s="6">
        <f>IF(ISERROR(VLOOKUP($S$861,'TAR FIN'!$A$1:$O$103,15,0)),0,VLOOKUP($S$861,'TAR FIN'!$A$1:$O$103,15,0))</f>
        <v>0</v>
      </c>
      <c r="W861" s="6">
        <f>IF(ISERROR(VLOOKUP($T$861,'TAR FIN'!$A$1:$O$103,15,0)),0,VLOOKUP($T$861,'TAR FIN'!$A$1:$O$103,15,0))</f>
        <v>379.62</v>
      </c>
      <c r="X861" s="6">
        <f>IF(ISERROR(VLOOKUP($U$861,'TAR FIN'!$A$1:$O$103,15,0)),0,VLOOKUP($U$861,'TAR FIN'!$A$1:$O$103,15,0))</f>
        <v>255.17</v>
      </c>
      <c r="Y861" s="6"/>
      <c r="Z861" s="6">
        <f ca="1">('TUSD BE'!$AM$60+'TUSD BF_350'!$AM$60+'TUSD CVA'!$AM$60)*1</f>
        <v>384.48</v>
      </c>
      <c r="AA861" s="6">
        <f ca="1">('TE BE'!$AB$41+'TE BF_350'!$AB$41+'TE CVA'!$AB$41)*1</f>
        <v>286.51</v>
      </c>
      <c r="AB861" s="6">
        <f>$K$861*$V$861</f>
        <v>0</v>
      </c>
      <c r="AC861" s="6">
        <f>$M$861*$W$861</f>
        <v>159040.66013999999</v>
      </c>
      <c r="AD861" s="6">
        <f>$O$861*$X$861</f>
        <v>106902.70599</v>
      </c>
      <c r="AE861" s="6">
        <f>$K$861*$Y$861</f>
        <v>0</v>
      </c>
      <c r="AF861" s="6">
        <f ca="1">$M$861*$Z$861</f>
        <v>161076.74256000001</v>
      </c>
      <c r="AG861" s="6">
        <f ca="1">$O$861*$AA$861</f>
        <v>120032.50496999999</v>
      </c>
    </row>
    <row r="862" spans="1:33" ht="11.25" customHeight="1" x14ac:dyDescent="0.3">
      <c r="A862" s="4" t="s">
        <v>57</v>
      </c>
      <c r="B862" s="4" t="s">
        <v>37</v>
      </c>
      <c r="C862" s="4" t="s">
        <v>23</v>
      </c>
      <c r="D862" s="4" t="s">
        <v>46</v>
      </c>
      <c r="E862" s="4" t="s">
        <v>25</v>
      </c>
      <c r="F862" s="4" t="s">
        <v>25</v>
      </c>
      <c r="G862" s="4" t="s">
        <v>25</v>
      </c>
      <c r="H862" s="4" t="s">
        <v>25</v>
      </c>
      <c r="I862" s="5">
        <v>44835</v>
      </c>
      <c r="J862" s="6">
        <v>0</v>
      </c>
      <c r="K862" s="6">
        <v>0</v>
      </c>
      <c r="L862" s="6">
        <v>0.623</v>
      </c>
      <c r="M862" s="6">
        <v>0.623</v>
      </c>
      <c r="N862" s="6">
        <v>0.623</v>
      </c>
      <c r="O862" s="6">
        <v>0.623</v>
      </c>
      <c r="P862" s="6">
        <v>1</v>
      </c>
      <c r="Q862" s="4" t="s">
        <v>26</v>
      </c>
      <c r="R862" s="4">
        <v>0</v>
      </c>
      <c r="S862" s="6">
        <v>0</v>
      </c>
      <c r="T862" s="6">
        <v>58</v>
      </c>
      <c r="U862" s="6">
        <v>99</v>
      </c>
      <c r="V862" s="6">
        <f>IF(ISERROR(VLOOKUP($S$862,'TAR FIN'!$A$1:$O$103,15,0)),0,VLOOKUP($S$862,'TAR FIN'!$A$1:$O$103,15,0))</f>
        <v>0</v>
      </c>
      <c r="W862" s="6">
        <f>IF(ISERROR(VLOOKUP($T$862,'TAR FIN'!$A$1:$O$103,15,0)),0,VLOOKUP($T$862,'TAR FIN'!$A$1:$O$103,15,0))</f>
        <v>379.62</v>
      </c>
      <c r="X862" s="6">
        <f>IF(ISERROR(VLOOKUP($U$862,'TAR FIN'!$A$1:$O$103,15,0)),0,VLOOKUP($U$862,'TAR FIN'!$A$1:$O$103,15,0))</f>
        <v>255.17</v>
      </c>
      <c r="Y862" s="6"/>
      <c r="Z862" s="6">
        <f ca="1">('TUSD BE'!$AM$60+'TUSD BF_350'!$AM$60+'TUSD CVA'!$AM$60)*1</f>
        <v>384.48</v>
      </c>
      <c r="AA862" s="6">
        <f ca="1">('TE BE'!$AB$41+'TE BF_350'!$AB$41+'TE CVA'!$AB$41)*1</f>
        <v>286.51</v>
      </c>
      <c r="AB862" s="6">
        <f>$K$862*$V$862</f>
        <v>0</v>
      </c>
      <c r="AC862" s="6">
        <f>$M$862*$W$862</f>
        <v>236.50326000000001</v>
      </c>
      <c r="AD862" s="6">
        <f>$O$862*$X$862</f>
        <v>158.97091</v>
      </c>
      <c r="AE862" s="6">
        <f>$K$862*$Y$862</f>
        <v>0</v>
      </c>
      <c r="AF862" s="6">
        <f ca="1">$M$862*$Z$862</f>
        <v>239.53104000000002</v>
      </c>
      <c r="AG862" s="6">
        <f ca="1">$O$862*$AA$862</f>
        <v>178.49572999999998</v>
      </c>
    </row>
    <row r="863" spans="1:33" ht="11.25" customHeight="1" x14ac:dyDescent="0.3">
      <c r="A863" s="4" t="s">
        <v>21</v>
      </c>
      <c r="B863" s="4" t="s">
        <v>37</v>
      </c>
      <c r="C863" s="4" t="s">
        <v>23</v>
      </c>
      <c r="D863" s="4" t="s">
        <v>50</v>
      </c>
      <c r="E863" s="4" t="s">
        <v>51</v>
      </c>
      <c r="F863" s="4" t="s">
        <v>25</v>
      </c>
      <c r="G863" s="4" t="s">
        <v>25</v>
      </c>
      <c r="H863" s="4" t="s">
        <v>25</v>
      </c>
      <c r="I863" s="5">
        <v>44501</v>
      </c>
      <c r="J863" s="6">
        <v>0</v>
      </c>
      <c r="K863" s="52">
        <v>0</v>
      </c>
      <c r="L863" s="6">
        <v>136.46199999999999</v>
      </c>
      <c r="M863" s="52">
        <v>136.46199999999999</v>
      </c>
      <c r="N863" s="6">
        <v>136.46199999999999</v>
      </c>
      <c r="O863" s="52">
        <v>136.46199999999999</v>
      </c>
      <c r="P863" s="6">
        <v>60</v>
      </c>
      <c r="Q863" s="4" t="s">
        <v>26</v>
      </c>
      <c r="R863" s="4">
        <v>0</v>
      </c>
      <c r="S863" s="6">
        <v>0</v>
      </c>
      <c r="T863" s="6">
        <v>58</v>
      </c>
      <c r="U863" s="6">
        <v>99</v>
      </c>
      <c r="V863" s="52">
        <f>IF(ISERROR(VLOOKUP($S$863,'TAR FIN'!$A$1:$O$103,15,0)),0,VLOOKUP($S$863,'TAR FIN'!$A$1:$O$103,15,0))</f>
        <v>0</v>
      </c>
      <c r="W863" s="52">
        <f>IF(ISERROR(VLOOKUP($T$863,'TAR FIN'!$A$1:$O$103,15,0)),0,VLOOKUP($T$863,'TAR FIN'!$A$1:$O$103,15,0))*(1-0.06)</f>
        <v>356.84280000000001</v>
      </c>
      <c r="X863" s="52">
        <f>IF(ISERROR(VLOOKUP($U$863,'TAR FIN'!$A$1:$O$103,15,0)),0,VLOOKUP($U$863,'TAR FIN'!$A$1:$O$103,15,0))*(1-0.06)</f>
        <v>239.85979999999998</v>
      </c>
      <c r="Y863" s="52"/>
      <c r="Z863" s="52">
        <f ca="1">('TUSD BE'!$AM$60+'TUSD BF_350'!$AM$60+'TUSD CVA'!$AM$60)*1*(1-0.03)</f>
        <v>372.94560000000001</v>
      </c>
      <c r="AA863" s="52">
        <f ca="1">('TE BE'!$AB$41+'TE BF_350'!$AB$41+'TE CVA'!$AB$41)*1*(1-0.03)</f>
        <v>277.91469999999998</v>
      </c>
      <c r="AB863" s="6">
        <f>$K$863*$V$863</f>
        <v>0</v>
      </c>
      <c r="AC863" s="6">
        <f>$M$863*$W$863</f>
        <v>48695.482173599994</v>
      </c>
      <c r="AD863" s="6">
        <f>$O$863*$X$863</f>
        <v>32731.748027599995</v>
      </c>
      <c r="AE863" s="6">
        <f>$K$863*$Y$863</f>
        <v>0</v>
      </c>
      <c r="AF863" s="6">
        <f ca="1">$M$863*$Z$863</f>
        <v>50892.902467199994</v>
      </c>
      <c r="AG863" s="6">
        <f ca="1">$O$863*$AA$863</f>
        <v>37924.795791399993</v>
      </c>
    </row>
    <row r="864" spans="1:33" ht="11.25" customHeight="1" x14ac:dyDescent="0.3">
      <c r="A864" s="4" t="s">
        <v>21</v>
      </c>
      <c r="B864" s="4" t="s">
        <v>37</v>
      </c>
      <c r="C864" s="4" t="s">
        <v>23</v>
      </c>
      <c r="D864" s="4" t="s">
        <v>50</v>
      </c>
      <c r="E864" s="4" t="s">
        <v>51</v>
      </c>
      <c r="F864" s="4" t="s">
        <v>25</v>
      </c>
      <c r="G864" s="4" t="s">
        <v>25</v>
      </c>
      <c r="H864" s="4" t="s">
        <v>25</v>
      </c>
      <c r="I864" s="5">
        <v>44531</v>
      </c>
      <c r="J864" s="6">
        <v>0</v>
      </c>
      <c r="K864" s="52">
        <v>0</v>
      </c>
      <c r="L864" s="6">
        <v>126.931</v>
      </c>
      <c r="M864" s="52">
        <v>126.931</v>
      </c>
      <c r="N864" s="6">
        <v>126.931</v>
      </c>
      <c r="O864" s="52">
        <v>126.931</v>
      </c>
      <c r="P864" s="6">
        <v>60</v>
      </c>
      <c r="Q864" s="4" t="s">
        <v>26</v>
      </c>
      <c r="R864" s="4">
        <v>0</v>
      </c>
      <c r="S864" s="6">
        <v>0</v>
      </c>
      <c r="T864" s="6">
        <v>58</v>
      </c>
      <c r="U864" s="6">
        <v>99</v>
      </c>
      <c r="V864" s="52">
        <f>IF(ISERROR(VLOOKUP($S$864,'TAR FIN'!$A$1:$O$103,15,0)),0,VLOOKUP($S$864,'TAR FIN'!$A$1:$O$103,15,0))</f>
        <v>0</v>
      </c>
      <c r="W864" s="52">
        <f>IF(ISERROR(VLOOKUP($T$864,'TAR FIN'!$A$1:$O$103,15,0)),0,VLOOKUP($T$864,'TAR FIN'!$A$1:$O$103,15,0))*(1-0.06)</f>
        <v>356.84280000000001</v>
      </c>
      <c r="X864" s="52">
        <f>IF(ISERROR(VLOOKUP($U$864,'TAR FIN'!$A$1:$O$103,15,0)),0,VLOOKUP($U$864,'TAR FIN'!$A$1:$O$103,15,0))*(1-0.06)</f>
        <v>239.85979999999998</v>
      </c>
      <c r="Y864" s="52"/>
      <c r="Z864" s="52">
        <f ca="1">('TUSD BE'!$AM$60+'TUSD BF_350'!$AM$60+'TUSD CVA'!$AM$60)*1*(1-0.03)</f>
        <v>372.94560000000001</v>
      </c>
      <c r="AA864" s="52">
        <f ca="1">('TE BE'!$AB$41+'TE BF_350'!$AB$41+'TE CVA'!$AB$41)*1*(1-0.03)</f>
        <v>277.91469999999998</v>
      </c>
      <c r="AB864" s="6">
        <f>$K$864*$V$864</f>
        <v>0</v>
      </c>
      <c r="AC864" s="6">
        <f>$M$864*$W$864</f>
        <v>45294.413446799997</v>
      </c>
      <c r="AD864" s="6">
        <f>$O$864*$X$864</f>
        <v>30445.644273799997</v>
      </c>
      <c r="AE864" s="6">
        <f>$K$864*$Y$864</f>
        <v>0</v>
      </c>
      <c r="AF864" s="6">
        <f ca="1">$M$864*$Z$864</f>
        <v>47338.357953600003</v>
      </c>
      <c r="AG864" s="6">
        <f ca="1">$O$864*$AA$864</f>
        <v>35275.9907857</v>
      </c>
    </row>
    <row r="865" spans="1:33" ht="11.25" customHeight="1" x14ac:dyDescent="0.3">
      <c r="A865" s="4" t="s">
        <v>21</v>
      </c>
      <c r="B865" s="4" t="s">
        <v>37</v>
      </c>
      <c r="C865" s="4" t="s">
        <v>23</v>
      </c>
      <c r="D865" s="4" t="s">
        <v>50</v>
      </c>
      <c r="E865" s="4" t="s">
        <v>51</v>
      </c>
      <c r="F865" s="4" t="s">
        <v>25</v>
      </c>
      <c r="G865" s="4" t="s">
        <v>25</v>
      </c>
      <c r="H865" s="4" t="s">
        <v>25</v>
      </c>
      <c r="I865" s="5">
        <v>44562</v>
      </c>
      <c r="J865" s="6">
        <v>0</v>
      </c>
      <c r="K865" s="52">
        <v>0</v>
      </c>
      <c r="L865" s="6">
        <v>127.96</v>
      </c>
      <c r="M865" s="52">
        <v>127.96</v>
      </c>
      <c r="N865" s="6">
        <v>127.96</v>
      </c>
      <c r="O865" s="52">
        <v>127.96</v>
      </c>
      <c r="P865" s="6">
        <v>60</v>
      </c>
      <c r="Q865" s="4" t="s">
        <v>26</v>
      </c>
      <c r="R865" s="4">
        <v>0</v>
      </c>
      <c r="S865" s="6">
        <v>0</v>
      </c>
      <c r="T865" s="6">
        <v>58</v>
      </c>
      <c r="U865" s="6">
        <v>99</v>
      </c>
      <c r="V865" s="52">
        <f>IF(ISERROR(VLOOKUP($S$865,'TAR FIN'!$A$1:$O$103,15,0)),0,VLOOKUP($S$865,'TAR FIN'!$A$1:$O$103,15,0))</f>
        <v>0</v>
      </c>
      <c r="W865" s="52">
        <f>IF(ISERROR(VLOOKUP($T$865,'TAR FIN'!$A$1:$O$103,15,0)),0,VLOOKUP($T$865,'TAR FIN'!$A$1:$O$103,15,0))*(1-0.06)</f>
        <v>356.84280000000001</v>
      </c>
      <c r="X865" s="52">
        <f>IF(ISERROR(VLOOKUP($U$865,'TAR FIN'!$A$1:$O$103,15,0)),0,VLOOKUP($U$865,'TAR FIN'!$A$1:$O$103,15,0))*(1-0.06)</f>
        <v>239.85979999999998</v>
      </c>
      <c r="Y865" s="52"/>
      <c r="Z865" s="52">
        <f ca="1">('TUSD BE'!$AM$60+'TUSD BF_350'!$AM$60+'TUSD CVA'!$AM$60)*1*(1-0.03)</f>
        <v>372.94560000000001</v>
      </c>
      <c r="AA865" s="52">
        <f ca="1">('TE BE'!$AB$41+'TE BF_350'!$AB$41+'TE CVA'!$AB$41)*1*(1-0.03)</f>
        <v>277.91469999999998</v>
      </c>
      <c r="AB865" s="6">
        <f>$K$865*$V$865</f>
        <v>0</v>
      </c>
      <c r="AC865" s="6">
        <f>$M$865*$W$865</f>
        <v>45661.604687999999</v>
      </c>
      <c r="AD865" s="6">
        <f>$O$865*$X$865</f>
        <v>30692.460007999995</v>
      </c>
      <c r="AE865" s="6">
        <f>$K$865*$Y$865</f>
        <v>0</v>
      </c>
      <c r="AF865" s="6">
        <f ca="1">$M$865*$Z$865</f>
        <v>47722.118975999998</v>
      </c>
      <c r="AG865" s="6">
        <f ca="1">$O$865*$AA$865</f>
        <v>35561.965011999993</v>
      </c>
    </row>
    <row r="866" spans="1:33" ht="11.25" customHeight="1" x14ac:dyDescent="0.3">
      <c r="A866" s="4" t="s">
        <v>21</v>
      </c>
      <c r="B866" s="4" t="s">
        <v>37</v>
      </c>
      <c r="C866" s="4" t="s">
        <v>23</v>
      </c>
      <c r="D866" s="4" t="s">
        <v>50</v>
      </c>
      <c r="E866" s="4" t="s">
        <v>51</v>
      </c>
      <c r="F866" s="4" t="s">
        <v>25</v>
      </c>
      <c r="G866" s="4" t="s">
        <v>25</v>
      </c>
      <c r="H866" s="4" t="s">
        <v>25</v>
      </c>
      <c r="I866" s="5">
        <v>44593</v>
      </c>
      <c r="J866" s="6">
        <v>0</v>
      </c>
      <c r="K866" s="52">
        <v>0</v>
      </c>
      <c r="L866" s="6">
        <v>119.953</v>
      </c>
      <c r="M866" s="52">
        <v>119.953</v>
      </c>
      <c r="N866" s="6">
        <v>119.953</v>
      </c>
      <c r="O866" s="52">
        <v>119.953</v>
      </c>
      <c r="P866" s="6">
        <v>60</v>
      </c>
      <c r="Q866" s="4" t="s">
        <v>26</v>
      </c>
      <c r="R866" s="4">
        <v>0</v>
      </c>
      <c r="S866" s="6">
        <v>0</v>
      </c>
      <c r="T866" s="6">
        <v>58</v>
      </c>
      <c r="U866" s="6">
        <v>99</v>
      </c>
      <c r="V866" s="52">
        <f>IF(ISERROR(VLOOKUP($S$866,'TAR FIN'!$A$1:$O$103,15,0)),0,VLOOKUP($S$866,'TAR FIN'!$A$1:$O$103,15,0))</f>
        <v>0</v>
      </c>
      <c r="W866" s="52">
        <f>IF(ISERROR(VLOOKUP($T$866,'TAR FIN'!$A$1:$O$103,15,0)),0,VLOOKUP($T$866,'TAR FIN'!$A$1:$O$103,15,0))*(1-0.06)</f>
        <v>356.84280000000001</v>
      </c>
      <c r="X866" s="52">
        <f>IF(ISERROR(VLOOKUP($U$866,'TAR FIN'!$A$1:$O$103,15,0)),0,VLOOKUP($U$866,'TAR FIN'!$A$1:$O$103,15,0))*(1-0.06)</f>
        <v>239.85979999999998</v>
      </c>
      <c r="Y866" s="52"/>
      <c r="Z866" s="52">
        <f ca="1">('TUSD BE'!$AM$60+'TUSD BF_350'!$AM$60+'TUSD CVA'!$AM$60)*1*(1-0.03)</f>
        <v>372.94560000000001</v>
      </c>
      <c r="AA866" s="52">
        <f ca="1">('TE BE'!$AB$41+'TE BF_350'!$AB$41+'TE CVA'!$AB$41)*1*(1-0.03)</f>
        <v>277.91469999999998</v>
      </c>
      <c r="AB866" s="6">
        <f>$K$866*$V$866</f>
        <v>0</v>
      </c>
      <c r="AC866" s="6">
        <f>$M$866*$W$866</f>
        <v>42804.364388400005</v>
      </c>
      <c r="AD866" s="6">
        <f>$O$866*$X$866</f>
        <v>28771.902589399997</v>
      </c>
      <c r="AE866" s="6">
        <f>$K$866*$Y$866</f>
        <v>0</v>
      </c>
      <c r="AF866" s="6">
        <f ca="1">$M$866*$Z$866</f>
        <v>44735.943556800004</v>
      </c>
      <c r="AG866" s="6">
        <f ca="1">$O$866*$AA$866</f>
        <v>33336.702009100001</v>
      </c>
    </row>
    <row r="867" spans="1:33" ht="11.25" customHeight="1" x14ac:dyDescent="0.3">
      <c r="A867" s="4" t="s">
        <v>21</v>
      </c>
      <c r="B867" s="4" t="s">
        <v>37</v>
      </c>
      <c r="C867" s="4" t="s">
        <v>23</v>
      </c>
      <c r="D867" s="4" t="s">
        <v>50</v>
      </c>
      <c r="E867" s="4" t="s">
        <v>51</v>
      </c>
      <c r="F867" s="4" t="s">
        <v>25</v>
      </c>
      <c r="G867" s="4" t="s">
        <v>25</v>
      </c>
      <c r="H867" s="4" t="s">
        <v>25</v>
      </c>
      <c r="I867" s="5">
        <v>44621</v>
      </c>
      <c r="J867" s="6">
        <v>0</v>
      </c>
      <c r="K867" s="52">
        <v>0</v>
      </c>
      <c r="L867" s="6">
        <v>113.24</v>
      </c>
      <c r="M867" s="52">
        <v>113.24</v>
      </c>
      <c r="N867" s="6">
        <v>113.24</v>
      </c>
      <c r="O867" s="52">
        <v>113.24</v>
      </c>
      <c r="P867" s="6">
        <v>60</v>
      </c>
      <c r="Q867" s="4" t="s">
        <v>26</v>
      </c>
      <c r="R867" s="4">
        <v>0</v>
      </c>
      <c r="S867" s="6">
        <v>0</v>
      </c>
      <c r="T867" s="6">
        <v>58</v>
      </c>
      <c r="U867" s="6">
        <v>99</v>
      </c>
      <c r="V867" s="52">
        <f>IF(ISERROR(VLOOKUP($S$867,'TAR FIN'!$A$1:$O$103,15,0)),0,VLOOKUP($S$867,'TAR FIN'!$A$1:$O$103,15,0))</f>
        <v>0</v>
      </c>
      <c r="W867" s="52">
        <f>IF(ISERROR(VLOOKUP($T$867,'TAR FIN'!$A$1:$O$103,15,0)),0,VLOOKUP($T$867,'TAR FIN'!$A$1:$O$103,15,0))*(1-0.06)</f>
        <v>356.84280000000001</v>
      </c>
      <c r="X867" s="52">
        <f>IF(ISERROR(VLOOKUP($U$867,'TAR FIN'!$A$1:$O$103,15,0)),0,VLOOKUP($U$867,'TAR FIN'!$A$1:$O$103,15,0))*(1-0.06)</f>
        <v>239.85979999999998</v>
      </c>
      <c r="Y867" s="52"/>
      <c r="Z867" s="52">
        <f ca="1">('TUSD BE'!$AM$60+'TUSD BF_350'!$AM$60+'TUSD CVA'!$AM$60)*1*(1-0.03)</f>
        <v>372.94560000000001</v>
      </c>
      <c r="AA867" s="52">
        <f ca="1">('TE BE'!$AB$41+'TE BF_350'!$AB$41+'TE CVA'!$AB$41)*1*(1-0.03)</f>
        <v>277.91469999999998</v>
      </c>
      <c r="AB867" s="6">
        <f>$K$867*$V$867</f>
        <v>0</v>
      </c>
      <c r="AC867" s="6">
        <f>$M$867*$W$867</f>
        <v>40408.878671999999</v>
      </c>
      <c r="AD867" s="6">
        <f>$O$867*$X$867</f>
        <v>27161.723751999998</v>
      </c>
      <c r="AE867" s="6">
        <f>$K$867*$Y$867</f>
        <v>0</v>
      </c>
      <c r="AF867" s="6">
        <f ca="1">$M$867*$Z$867</f>
        <v>42232.359744000001</v>
      </c>
      <c r="AG867" s="6">
        <f ca="1">$O$867*$AA$867</f>
        <v>31471.060627999996</v>
      </c>
    </row>
    <row r="868" spans="1:33" ht="11.25" customHeight="1" x14ac:dyDescent="0.3">
      <c r="A868" s="4" t="s">
        <v>21</v>
      </c>
      <c r="B868" s="4" t="s">
        <v>37</v>
      </c>
      <c r="C868" s="4" t="s">
        <v>23</v>
      </c>
      <c r="D868" s="4" t="s">
        <v>50</v>
      </c>
      <c r="E868" s="4" t="s">
        <v>51</v>
      </c>
      <c r="F868" s="4" t="s">
        <v>25</v>
      </c>
      <c r="G868" s="4" t="s">
        <v>25</v>
      </c>
      <c r="H868" s="4" t="s">
        <v>25</v>
      </c>
      <c r="I868" s="5">
        <v>44652</v>
      </c>
      <c r="J868" s="6">
        <v>0</v>
      </c>
      <c r="K868" s="52">
        <v>0</v>
      </c>
      <c r="L868" s="6">
        <v>128.71899999999999</v>
      </c>
      <c r="M868" s="52">
        <v>128.71899999999999</v>
      </c>
      <c r="N868" s="6">
        <v>128.71899999999999</v>
      </c>
      <c r="O868" s="52">
        <v>128.71899999999999</v>
      </c>
      <c r="P868" s="6">
        <v>60</v>
      </c>
      <c r="Q868" s="4" t="s">
        <v>26</v>
      </c>
      <c r="R868" s="4">
        <v>0</v>
      </c>
      <c r="S868" s="6">
        <v>0</v>
      </c>
      <c r="T868" s="6">
        <v>58</v>
      </c>
      <c r="U868" s="6">
        <v>99</v>
      </c>
      <c r="V868" s="52">
        <f>IF(ISERROR(VLOOKUP($S$868,'TAR FIN'!$A$1:$O$103,15,0)),0,VLOOKUP($S$868,'TAR FIN'!$A$1:$O$103,15,0))</f>
        <v>0</v>
      </c>
      <c r="W868" s="52">
        <f>IF(ISERROR(VLOOKUP($T$868,'TAR FIN'!$A$1:$O$103,15,0)),0,VLOOKUP($T$868,'TAR FIN'!$A$1:$O$103,15,0))*(1-0.06)</f>
        <v>356.84280000000001</v>
      </c>
      <c r="X868" s="52">
        <f>IF(ISERROR(VLOOKUP($U$868,'TAR FIN'!$A$1:$O$103,15,0)),0,VLOOKUP($U$868,'TAR FIN'!$A$1:$O$103,15,0))*(1-0.06)</f>
        <v>239.85979999999998</v>
      </c>
      <c r="Y868" s="52"/>
      <c r="Z868" s="52">
        <f ca="1">('TUSD BE'!$AM$60+'TUSD BF_350'!$AM$60+'TUSD CVA'!$AM$60)*1*(1-0.03)</f>
        <v>372.94560000000001</v>
      </c>
      <c r="AA868" s="52">
        <f ca="1">('TE BE'!$AB$41+'TE BF_350'!$AB$41+'TE CVA'!$AB$41)*1*(1-0.03)</f>
        <v>277.91469999999998</v>
      </c>
      <c r="AB868" s="6">
        <f>$K$868*$V$868</f>
        <v>0</v>
      </c>
      <c r="AC868" s="6">
        <f>$M$868*$W$868</f>
        <v>45932.448373200001</v>
      </c>
      <c r="AD868" s="6">
        <f>$O$868*$X$868</f>
        <v>30874.513596199995</v>
      </c>
      <c r="AE868" s="6">
        <f>$K$868*$Y$868</f>
        <v>0</v>
      </c>
      <c r="AF868" s="6">
        <f ca="1">$M$868*$Z$868</f>
        <v>48005.184686399996</v>
      </c>
      <c r="AG868" s="6">
        <f ca="1">$O$868*$AA$868</f>
        <v>35772.902269299993</v>
      </c>
    </row>
    <row r="869" spans="1:33" ht="11.25" customHeight="1" x14ac:dyDescent="0.3">
      <c r="A869" s="4" t="s">
        <v>21</v>
      </c>
      <c r="B869" s="4" t="s">
        <v>37</v>
      </c>
      <c r="C869" s="4" t="s">
        <v>23</v>
      </c>
      <c r="D869" s="4" t="s">
        <v>50</v>
      </c>
      <c r="E869" s="4" t="s">
        <v>51</v>
      </c>
      <c r="F869" s="4" t="s">
        <v>25</v>
      </c>
      <c r="G869" s="4" t="s">
        <v>25</v>
      </c>
      <c r="H869" s="4" t="s">
        <v>25</v>
      </c>
      <c r="I869" s="5">
        <v>44682</v>
      </c>
      <c r="J869" s="6">
        <v>0</v>
      </c>
      <c r="K869" s="52">
        <v>0</v>
      </c>
      <c r="L869" s="6">
        <v>136.97</v>
      </c>
      <c r="M869" s="52">
        <v>136.97</v>
      </c>
      <c r="N869" s="6">
        <v>136.97</v>
      </c>
      <c r="O869" s="52">
        <v>136.97</v>
      </c>
      <c r="P869" s="6">
        <v>60</v>
      </c>
      <c r="Q869" s="4" t="s">
        <v>26</v>
      </c>
      <c r="R869" s="4">
        <v>0</v>
      </c>
      <c r="S869" s="6">
        <v>0</v>
      </c>
      <c r="T869" s="6">
        <v>58</v>
      </c>
      <c r="U869" s="6">
        <v>99</v>
      </c>
      <c r="V869" s="52">
        <f>IF(ISERROR(VLOOKUP($S$869,'TAR FIN'!$A$1:$O$103,15,0)),0,VLOOKUP($S$869,'TAR FIN'!$A$1:$O$103,15,0))</f>
        <v>0</v>
      </c>
      <c r="W869" s="52">
        <f>IF(ISERROR(VLOOKUP($T$869,'TAR FIN'!$A$1:$O$103,15,0)),0,VLOOKUP($T$869,'TAR FIN'!$A$1:$O$103,15,0))*(1-0.06)</f>
        <v>356.84280000000001</v>
      </c>
      <c r="X869" s="52">
        <f>IF(ISERROR(VLOOKUP($U$869,'TAR FIN'!$A$1:$O$103,15,0)),0,VLOOKUP($U$869,'TAR FIN'!$A$1:$O$103,15,0))*(1-0.06)</f>
        <v>239.85979999999998</v>
      </c>
      <c r="Y869" s="52"/>
      <c r="Z869" s="52">
        <f ca="1">('TUSD BE'!$AM$60+'TUSD BF_350'!$AM$60+'TUSD CVA'!$AM$60)*1*(1-0.03)</f>
        <v>372.94560000000001</v>
      </c>
      <c r="AA869" s="52">
        <f ca="1">('TE BE'!$AB$41+'TE BF_350'!$AB$41+'TE CVA'!$AB$41)*1*(1-0.03)</f>
        <v>277.91469999999998</v>
      </c>
      <c r="AB869" s="6">
        <f>$K$869*$V$869</f>
        <v>0</v>
      </c>
      <c r="AC869" s="6">
        <f>$M$869*$W$869</f>
        <v>48876.758315999999</v>
      </c>
      <c r="AD869" s="6">
        <f>$O$869*$X$869</f>
        <v>32853.596805999994</v>
      </c>
      <c r="AE869" s="6">
        <f>$K$869*$Y$869</f>
        <v>0</v>
      </c>
      <c r="AF869" s="6">
        <f ca="1">$M$869*$Z$869</f>
        <v>51082.358831999998</v>
      </c>
      <c r="AG869" s="6">
        <f ca="1">$O$869*$AA$869</f>
        <v>38065.976458999998</v>
      </c>
    </row>
    <row r="870" spans="1:33" ht="11.25" customHeight="1" x14ac:dyDescent="0.3">
      <c r="A870" s="4" t="s">
        <v>21</v>
      </c>
      <c r="B870" s="4" t="s">
        <v>37</v>
      </c>
      <c r="C870" s="4" t="s">
        <v>23</v>
      </c>
      <c r="D870" s="4" t="s">
        <v>50</v>
      </c>
      <c r="E870" s="4" t="s">
        <v>51</v>
      </c>
      <c r="F870" s="4" t="s">
        <v>25</v>
      </c>
      <c r="G870" s="4" t="s">
        <v>25</v>
      </c>
      <c r="H870" s="4" t="s">
        <v>25</v>
      </c>
      <c r="I870" s="5">
        <v>44713</v>
      </c>
      <c r="J870" s="6">
        <v>0</v>
      </c>
      <c r="K870" s="52">
        <v>0</v>
      </c>
      <c r="L870" s="6">
        <v>121.28700000000001</v>
      </c>
      <c r="M870" s="52">
        <v>121.28700000000001</v>
      </c>
      <c r="N870" s="6">
        <v>121.28700000000001</v>
      </c>
      <c r="O870" s="52">
        <v>121.28700000000001</v>
      </c>
      <c r="P870" s="6">
        <v>60</v>
      </c>
      <c r="Q870" s="4" t="s">
        <v>26</v>
      </c>
      <c r="R870" s="4">
        <v>0</v>
      </c>
      <c r="S870" s="6">
        <v>0</v>
      </c>
      <c r="T870" s="6">
        <v>58</v>
      </c>
      <c r="U870" s="6">
        <v>99</v>
      </c>
      <c r="V870" s="52">
        <f>IF(ISERROR(VLOOKUP($S$870,'TAR FIN'!$A$1:$O$103,15,0)),0,VLOOKUP($S$870,'TAR FIN'!$A$1:$O$103,15,0))</f>
        <v>0</v>
      </c>
      <c r="W870" s="52">
        <f>IF(ISERROR(VLOOKUP($T$870,'TAR FIN'!$A$1:$O$103,15,0)),0,VLOOKUP($T$870,'TAR FIN'!$A$1:$O$103,15,0))*(1-0.06)</f>
        <v>356.84280000000001</v>
      </c>
      <c r="X870" s="52">
        <f>IF(ISERROR(VLOOKUP($U$870,'TAR FIN'!$A$1:$O$103,15,0)),0,VLOOKUP($U$870,'TAR FIN'!$A$1:$O$103,15,0))*(1-0.06)</f>
        <v>239.85979999999998</v>
      </c>
      <c r="Y870" s="52"/>
      <c r="Z870" s="52">
        <f ca="1">('TUSD BE'!$AM$60+'TUSD BF_350'!$AM$60+'TUSD CVA'!$AM$60)*1*(1-0.03)</f>
        <v>372.94560000000001</v>
      </c>
      <c r="AA870" s="52">
        <f ca="1">('TE BE'!$AB$41+'TE BF_350'!$AB$41+'TE CVA'!$AB$41)*1*(1-0.03)</f>
        <v>277.91469999999998</v>
      </c>
      <c r="AB870" s="6">
        <f>$K$870*$V$870</f>
        <v>0</v>
      </c>
      <c r="AC870" s="6">
        <f>$M$870*$W$870</f>
        <v>43280.392683600003</v>
      </c>
      <c r="AD870" s="6">
        <f>$O$870*$X$870</f>
        <v>29091.875562599998</v>
      </c>
      <c r="AE870" s="6">
        <f>$K$870*$Y$870</f>
        <v>0</v>
      </c>
      <c r="AF870" s="6">
        <f ca="1">$M$870*$Z$870</f>
        <v>45233.452987200006</v>
      </c>
      <c r="AG870" s="6">
        <f ca="1">$O$870*$AA$870</f>
        <v>33707.440218900003</v>
      </c>
    </row>
    <row r="871" spans="1:33" ht="11.25" customHeight="1" x14ac:dyDescent="0.3">
      <c r="A871" s="4" t="s">
        <v>21</v>
      </c>
      <c r="B871" s="4" t="s">
        <v>37</v>
      </c>
      <c r="C871" s="4" t="s">
        <v>23</v>
      </c>
      <c r="D871" s="4" t="s">
        <v>50</v>
      </c>
      <c r="E871" s="4" t="s">
        <v>51</v>
      </c>
      <c r="F871" s="4" t="s">
        <v>25</v>
      </c>
      <c r="G871" s="4" t="s">
        <v>25</v>
      </c>
      <c r="H871" s="4" t="s">
        <v>25</v>
      </c>
      <c r="I871" s="5">
        <v>44743</v>
      </c>
      <c r="J871" s="6">
        <v>0</v>
      </c>
      <c r="K871" s="52">
        <v>0</v>
      </c>
      <c r="L871" s="6">
        <v>134.69</v>
      </c>
      <c r="M871" s="52">
        <v>134.69</v>
      </c>
      <c r="N871" s="6">
        <v>134.69</v>
      </c>
      <c r="O871" s="52">
        <v>134.69</v>
      </c>
      <c r="P871" s="6">
        <v>60</v>
      </c>
      <c r="Q871" s="4" t="s">
        <v>26</v>
      </c>
      <c r="R871" s="4">
        <v>0</v>
      </c>
      <c r="S871" s="6">
        <v>0</v>
      </c>
      <c r="T871" s="6">
        <v>58</v>
      </c>
      <c r="U871" s="6">
        <v>99</v>
      </c>
      <c r="V871" s="52">
        <f>IF(ISERROR(VLOOKUP($S$871,'TAR FIN'!$A$1:$O$103,15,0)),0,VLOOKUP($S$871,'TAR FIN'!$A$1:$O$103,15,0))</f>
        <v>0</v>
      </c>
      <c r="W871" s="52">
        <f>IF(ISERROR(VLOOKUP($T$871,'TAR FIN'!$A$1:$O$103,15,0)),0,VLOOKUP($T$871,'TAR FIN'!$A$1:$O$103,15,0))*(1-0.06)</f>
        <v>356.84280000000001</v>
      </c>
      <c r="X871" s="52">
        <f>IF(ISERROR(VLOOKUP($U$871,'TAR FIN'!$A$1:$O$103,15,0)),0,VLOOKUP($U$871,'TAR FIN'!$A$1:$O$103,15,0))*(1-0.06)</f>
        <v>239.85979999999998</v>
      </c>
      <c r="Y871" s="52"/>
      <c r="Z871" s="52">
        <f ca="1">('TUSD BE'!$AM$60+'TUSD BF_350'!$AM$60+'TUSD CVA'!$AM$60)*1*(1-0.03)</f>
        <v>372.94560000000001</v>
      </c>
      <c r="AA871" s="52">
        <f ca="1">('TE BE'!$AB$41+'TE BF_350'!$AB$41+'TE CVA'!$AB$41)*1*(1-0.03)</f>
        <v>277.91469999999998</v>
      </c>
      <c r="AB871" s="6">
        <f>$K$871*$V$871</f>
        <v>0</v>
      </c>
      <c r="AC871" s="6">
        <f>$M$871*$W$871</f>
        <v>48063.156732000003</v>
      </c>
      <c r="AD871" s="6">
        <f>$O$871*$X$871</f>
        <v>32306.716461999997</v>
      </c>
      <c r="AE871" s="6">
        <f>$K$871*$Y$871</f>
        <v>0</v>
      </c>
      <c r="AF871" s="6">
        <f ca="1">$M$871*$Z$871</f>
        <v>50232.042864000003</v>
      </c>
      <c r="AG871" s="6">
        <f ca="1">$O$871*$AA$871</f>
        <v>37432.330942999994</v>
      </c>
    </row>
    <row r="872" spans="1:33" ht="11.25" customHeight="1" x14ac:dyDescent="0.3">
      <c r="A872" s="4" t="s">
        <v>21</v>
      </c>
      <c r="B872" s="4" t="s">
        <v>37</v>
      </c>
      <c r="C872" s="4" t="s">
        <v>23</v>
      </c>
      <c r="D872" s="4" t="s">
        <v>50</v>
      </c>
      <c r="E872" s="4" t="s">
        <v>51</v>
      </c>
      <c r="F872" s="4" t="s">
        <v>25</v>
      </c>
      <c r="G872" s="4" t="s">
        <v>25</v>
      </c>
      <c r="H872" s="4" t="s">
        <v>25</v>
      </c>
      <c r="I872" s="5">
        <v>44774</v>
      </c>
      <c r="J872" s="6">
        <v>0</v>
      </c>
      <c r="K872" s="52">
        <v>0</v>
      </c>
      <c r="L872" s="6">
        <v>135.35599999999999</v>
      </c>
      <c r="M872" s="52">
        <v>135.35599999999999</v>
      </c>
      <c r="N872" s="6">
        <v>135.35599999999999</v>
      </c>
      <c r="O872" s="52">
        <v>135.35599999999999</v>
      </c>
      <c r="P872" s="6">
        <v>60</v>
      </c>
      <c r="Q872" s="4" t="s">
        <v>26</v>
      </c>
      <c r="R872" s="4">
        <v>0</v>
      </c>
      <c r="S872" s="6">
        <v>0</v>
      </c>
      <c r="T872" s="6">
        <v>58</v>
      </c>
      <c r="U872" s="6">
        <v>99</v>
      </c>
      <c r="V872" s="52">
        <f>IF(ISERROR(VLOOKUP($S$872,'TAR FIN'!$A$1:$O$103,15,0)),0,VLOOKUP($S$872,'TAR FIN'!$A$1:$O$103,15,0))</f>
        <v>0</v>
      </c>
      <c r="W872" s="52">
        <f>IF(ISERROR(VLOOKUP($T$872,'TAR FIN'!$A$1:$O$103,15,0)),0,VLOOKUP($T$872,'TAR FIN'!$A$1:$O$103,15,0))*(1-0.06)</f>
        <v>356.84280000000001</v>
      </c>
      <c r="X872" s="52">
        <f>IF(ISERROR(VLOOKUP($U$872,'TAR FIN'!$A$1:$O$103,15,0)),0,VLOOKUP($U$872,'TAR FIN'!$A$1:$O$103,15,0))*(1-0.06)</f>
        <v>239.85979999999998</v>
      </c>
      <c r="Y872" s="52"/>
      <c r="Z872" s="52">
        <f ca="1">('TUSD BE'!$AM$60+'TUSD BF_350'!$AM$60+'TUSD CVA'!$AM$60)*1*(1-0.03)</f>
        <v>372.94560000000001</v>
      </c>
      <c r="AA872" s="52">
        <f ca="1">('TE BE'!$AB$41+'TE BF_350'!$AB$41+'TE CVA'!$AB$41)*1*(1-0.03)</f>
        <v>277.91469999999998</v>
      </c>
      <c r="AB872" s="6">
        <f>$K$872*$V$872</f>
        <v>0</v>
      </c>
      <c r="AC872" s="6">
        <f>$M$872*$W$872</f>
        <v>48300.814036800002</v>
      </c>
      <c r="AD872" s="6">
        <f>$O$872*$X$872</f>
        <v>32466.463088799996</v>
      </c>
      <c r="AE872" s="6">
        <f>$K$872*$Y$872</f>
        <v>0</v>
      </c>
      <c r="AF872" s="6">
        <f ca="1">$M$872*$Z$872</f>
        <v>50480.4246336</v>
      </c>
      <c r="AG872" s="6">
        <f ca="1">$O$872*$AA$872</f>
        <v>37617.422133199994</v>
      </c>
    </row>
    <row r="873" spans="1:33" ht="11.25" customHeight="1" x14ac:dyDescent="0.3">
      <c r="A873" s="4" t="s">
        <v>21</v>
      </c>
      <c r="B873" s="4" t="s">
        <v>37</v>
      </c>
      <c r="C873" s="4" t="s">
        <v>23</v>
      </c>
      <c r="D873" s="4" t="s">
        <v>50</v>
      </c>
      <c r="E873" s="4" t="s">
        <v>51</v>
      </c>
      <c r="F873" s="4" t="s">
        <v>25</v>
      </c>
      <c r="G873" s="4" t="s">
        <v>25</v>
      </c>
      <c r="H873" s="4" t="s">
        <v>25</v>
      </c>
      <c r="I873" s="5">
        <v>44805</v>
      </c>
      <c r="J873" s="6">
        <v>0</v>
      </c>
      <c r="K873" s="52">
        <v>0</v>
      </c>
      <c r="L873" s="6">
        <v>140.65799999999999</v>
      </c>
      <c r="M873" s="52">
        <v>140.65799999999999</v>
      </c>
      <c r="N873" s="6">
        <v>140.65799999999999</v>
      </c>
      <c r="O873" s="52">
        <v>140.65799999999999</v>
      </c>
      <c r="P873" s="6">
        <v>60</v>
      </c>
      <c r="Q873" s="4" t="s">
        <v>26</v>
      </c>
      <c r="R873" s="4">
        <v>0</v>
      </c>
      <c r="S873" s="6">
        <v>0</v>
      </c>
      <c r="T873" s="6">
        <v>58</v>
      </c>
      <c r="U873" s="6">
        <v>99</v>
      </c>
      <c r="V873" s="52">
        <f>IF(ISERROR(VLOOKUP($S$873,'TAR FIN'!$A$1:$O$103,15,0)),0,VLOOKUP($S$873,'TAR FIN'!$A$1:$O$103,15,0))</f>
        <v>0</v>
      </c>
      <c r="W873" s="52">
        <f>IF(ISERROR(VLOOKUP($T$873,'TAR FIN'!$A$1:$O$103,15,0)),0,VLOOKUP($T$873,'TAR FIN'!$A$1:$O$103,15,0))*(1-0.06)</f>
        <v>356.84280000000001</v>
      </c>
      <c r="X873" s="52">
        <f>IF(ISERROR(VLOOKUP($U$873,'TAR FIN'!$A$1:$O$103,15,0)),0,VLOOKUP($U$873,'TAR FIN'!$A$1:$O$103,15,0))*(1-0.06)</f>
        <v>239.85979999999998</v>
      </c>
      <c r="Y873" s="52"/>
      <c r="Z873" s="52">
        <f ca="1">('TUSD BE'!$AM$60+'TUSD BF_350'!$AM$60+'TUSD CVA'!$AM$60)*1*(1-0.03)</f>
        <v>372.94560000000001</v>
      </c>
      <c r="AA873" s="52">
        <f ca="1">('TE BE'!$AB$41+'TE BF_350'!$AB$41+'TE CVA'!$AB$41)*1*(1-0.03)</f>
        <v>277.91469999999998</v>
      </c>
      <c r="AB873" s="6">
        <f>$K$873*$V$873</f>
        <v>0</v>
      </c>
      <c r="AC873" s="6">
        <f>$M$873*$W$873</f>
        <v>50192.794562399999</v>
      </c>
      <c r="AD873" s="6">
        <f>$O$873*$X$873</f>
        <v>33738.199748399995</v>
      </c>
      <c r="AE873" s="6">
        <f>$K$873*$Y$873</f>
        <v>0</v>
      </c>
      <c r="AF873" s="6">
        <f ca="1">$M$873*$Z$873</f>
        <v>52457.782204799994</v>
      </c>
      <c r="AG873" s="6">
        <f ca="1">$O$873*$AA$873</f>
        <v>39090.925872599997</v>
      </c>
    </row>
    <row r="874" spans="1:33" ht="11.25" customHeight="1" x14ac:dyDescent="0.3">
      <c r="A874" s="4" t="s">
        <v>57</v>
      </c>
      <c r="B874" s="4" t="s">
        <v>37</v>
      </c>
      <c r="C874" s="4" t="s">
        <v>23</v>
      </c>
      <c r="D874" s="4" t="s">
        <v>50</v>
      </c>
      <c r="E874" s="4" t="s">
        <v>51</v>
      </c>
      <c r="F874" s="4" t="s">
        <v>25</v>
      </c>
      <c r="G874" s="4" t="s">
        <v>25</v>
      </c>
      <c r="H874" s="4" t="s">
        <v>25</v>
      </c>
      <c r="I874" s="5">
        <v>44835</v>
      </c>
      <c r="J874" s="6">
        <v>0</v>
      </c>
      <c r="K874" s="52">
        <v>0</v>
      </c>
      <c r="L874" s="6">
        <v>140.65799999999999</v>
      </c>
      <c r="M874" s="52">
        <v>140.65799999999999</v>
      </c>
      <c r="N874" s="6">
        <v>140.65799999999999</v>
      </c>
      <c r="O874" s="52">
        <v>140.65799999999999</v>
      </c>
      <c r="P874" s="6">
        <v>60</v>
      </c>
      <c r="Q874" s="4" t="s">
        <v>26</v>
      </c>
      <c r="R874" s="4">
        <v>0</v>
      </c>
      <c r="S874" s="6">
        <v>0</v>
      </c>
      <c r="T874" s="6">
        <v>58</v>
      </c>
      <c r="U874" s="6">
        <v>99</v>
      </c>
      <c r="V874" s="52">
        <f>IF(ISERROR(VLOOKUP($S$874,'TAR FIN'!$A$1:$O$103,15,0)),0,VLOOKUP($S$874,'TAR FIN'!$A$1:$O$103,15,0))</f>
        <v>0</v>
      </c>
      <c r="W874" s="52">
        <f>IF(ISERROR(VLOOKUP($T$874,'TAR FIN'!$A$1:$O$103,15,0)),0,VLOOKUP($T$874,'TAR FIN'!$A$1:$O$103,15,0))*(1-0.06)</f>
        <v>356.84280000000001</v>
      </c>
      <c r="X874" s="52">
        <f>IF(ISERROR(VLOOKUP($U$874,'TAR FIN'!$A$1:$O$103,15,0)),0,VLOOKUP($U$874,'TAR FIN'!$A$1:$O$103,15,0))*(1-0.06)</f>
        <v>239.85979999999998</v>
      </c>
      <c r="Y874" s="52"/>
      <c r="Z874" s="52">
        <f ca="1">('TUSD BE'!$AM$60+'TUSD BF_350'!$AM$60+'TUSD CVA'!$AM$60)*1*(1-0.03)</f>
        <v>372.94560000000001</v>
      </c>
      <c r="AA874" s="52">
        <f ca="1">('TE BE'!$AB$41+'TE BF_350'!$AB$41+'TE CVA'!$AB$41)*1*(1-0.03)</f>
        <v>277.91469999999998</v>
      </c>
      <c r="AB874" s="6">
        <f>$K$874*$V$874</f>
        <v>0</v>
      </c>
      <c r="AC874" s="6">
        <f>$M$874*$W$874</f>
        <v>50192.794562399999</v>
      </c>
      <c r="AD874" s="6">
        <f>$O$874*$X$874</f>
        <v>33738.199748399995</v>
      </c>
      <c r="AE874" s="6">
        <f>$K$874*$Y$874</f>
        <v>0</v>
      </c>
      <c r="AF874" s="6">
        <f ca="1">$M$874*$Z$874</f>
        <v>52457.782204799994</v>
      </c>
      <c r="AG874" s="6">
        <f ca="1">$O$874*$AA$874</f>
        <v>39090.925872599997</v>
      </c>
    </row>
    <row r="875" spans="1:33" ht="11.25" customHeight="1" x14ac:dyDescent="0.3">
      <c r="A875" s="4" t="s">
        <v>21</v>
      </c>
      <c r="B875" s="4" t="s">
        <v>47</v>
      </c>
      <c r="C875" s="4" t="s">
        <v>23</v>
      </c>
      <c r="D875" s="4" t="s">
        <v>48</v>
      </c>
      <c r="E875" s="4" t="s">
        <v>49</v>
      </c>
      <c r="F875" s="4" t="s">
        <v>25</v>
      </c>
      <c r="G875" s="4" t="s">
        <v>25</v>
      </c>
      <c r="H875" s="4" t="s">
        <v>25</v>
      </c>
      <c r="I875" s="5">
        <v>44501</v>
      </c>
      <c r="J875" s="6">
        <v>0</v>
      </c>
      <c r="K875" s="6">
        <v>0</v>
      </c>
      <c r="L875" s="6">
        <v>388.404</v>
      </c>
      <c r="M875" s="6">
        <v>388.404</v>
      </c>
      <c r="N875" s="6">
        <v>388.404</v>
      </c>
      <c r="O875" s="6">
        <v>388.404</v>
      </c>
      <c r="P875" s="6">
        <v>10</v>
      </c>
      <c r="Q875" s="4" t="s">
        <v>26</v>
      </c>
      <c r="R875" s="4">
        <v>0</v>
      </c>
      <c r="S875" s="6">
        <v>0</v>
      </c>
      <c r="T875" s="6">
        <v>60</v>
      </c>
      <c r="U875" s="6">
        <v>101</v>
      </c>
      <c r="V875" s="6">
        <f>IF(ISERROR(VLOOKUP($S$875,'TAR FIN'!$A$1:$O$103,15,0)),0,VLOOKUP($S$875,'TAR FIN'!$A$1:$O$103,15,0))</f>
        <v>0</v>
      </c>
      <c r="W875" s="6">
        <f>IF(ISERROR(VLOOKUP($T$875,'TAR FIN'!$A$1:$O$103,15,0)),0,VLOOKUP($T$875,'TAR FIN'!$A$1:$O$103,15,0))</f>
        <v>208.79</v>
      </c>
      <c r="X875" s="6">
        <f>IF(ISERROR(VLOOKUP($U$875,'TAR FIN'!$A$1:$O$103,15,0)),0,VLOOKUP($U$875,'TAR FIN'!$A$1:$O$103,15,0))</f>
        <v>140.34</v>
      </c>
      <c r="Y875" s="6"/>
      <c r="Z875" s="6">
        <f ca="1">('TUSD BE'!$AM$62+'TUSD BF_350'!$AM$62+'TUSD CVA'!$AM$62)*1</f>
        <v>211.47000000000003</v>
      </c>
      <c r="AA875" s="6">
        <f ca="1">('TE BE'!$AB$43+'TE BF_350'!$AB$43+'TE CVA'!$AB$43)*1</f>
        <v>157.58000000000001</v>
      </c>
      <c r="AB875" s="6">
        <f>$K$875*$V$875</f>
        <v>0</v>
      </c>
      <c r="AC875" s="6">
        <f>$M$875*$W$875</f>
        <v>81094.871159999995</v>
      </c>
      <c r="AD875" s="6">
        <f>$O$875*$X$875</f>
        <v>54508.617360000004</v>
      </c>
      <c r="AE875" s="6">
        <f>$K$875*$Y$875</f>
        <v>0</v>
      </c>
      <c r="AF875" s="6">
        <f ca="1">$M$875*$Z$875</f>
        <v>82135.793880000012</v>
      </c>
      <c r="AG875" s="6">
        <f ca="1">$O$875*$AA$875</f>
        <v>61204.702320000004</v>
      </c>
    </row>
    <row r="876" spans="1:33" ht="11.25" customHeight="1" x14ac:dyDescent="0.3">
      <c r="A876" s="4" t="s">
        <v>21</v>
      </c>
      <c r="B876" s="4" t="s">
        <v>47</v>
      </c>
      <c r="C876" s="4" t="s">
        <v>23</v>
      </c>
      <c r="D876" s="4" t="s">
        <v>48</v>
      </c>
      <c r="E876" s="4" t="s">
        <v>49</v>
      </c>
      <c r="F876" s="4" t="s">
        <v>25</v>
      </c>
      <c r="G876" s="4" t="s">
        <v>25</v>
      </c>
      <c r="H876" s="4" t="s">
        <v>25</v>
      </c>
      <c r="I876" s="5">
        <v>44531</v>
      </c>
      <c r="J876" s="6">
        <v>0</v>
      </c>
      <c r="K876" s="6">
        <v>0</v>
      </c>
      <c r="L876" s="6">
        <v>392.16199999999998</v>
      </c>
      <c r="M876" s="6">
        <v>392.16199999999998</v>
      </c>
      <c r="N876" s="6">
        <v>392.16199999999998</v>
      </c>
      <c r="O876" s="6">
        <v>392.16199999999998</v>
      </c>
      <c r="P876" s="6">
        <v>10</v>
      </c>
      <c r="Q876" s="4" t="s">
        <v>26</v>
      </c>
      <c r="R876" s="4">
        <v>0</v>
      </c>
      <c r="S876" s="6">
        <v>0</v>
      </c>
      <c r="T876" s="6">
        <v>60</v>
      </c>
      <c r="U876" s="6">
        <v>101</v>
      </c>
      <c r="V876" s="6">
        <f>IF(ISERROR(VLOOKUP($S$876,'TAR FIN'!$A$1:$O$103,15,0)),0,VLOOKUP($S$876,'TAR FIN'!$A$1:$O$103,15,0))</f>
        <v>0</v>
      </c>
      <c r="W876" s="6">
        <f>IF(ISERROR(VLOOKUP($T$876,'TAR FIN'!$A$1:$O$103,15,0)),0,VLOOKUP($T$876,'TAR FIN'!$A$1:$O$103,15,0))</f>
        <v>208.79</v>
      </c>
      <c r="X876" s="6">
        <f>IF(ISERROR(VLOOKUP($U$876,'TAR FIN'!$A$1:$O$103,15,0)),0,VLOOKUP($U$876,'TAR FIN'!$A$1:$O$103,15,0))</f>
        <v>140.34</v>
      </c>
      <c r="Y876" s="6"/>
      <c r="Z876" s="6">
        <f ca="1">('TUSD BE'!$AM$62+'TUSD BF_350'!$AM$62+'TUSD CVA'!$AM$62)*1</f>
        <v>211.47000000000003</v>
      </c>
      <c r="AA876" s="6">
        <f ca="1">('TE BE'!$AB$43+'TE BF_350'!$AB$43+'TE CVA'!$AB$43)*1</f>
        <v>157.58000000000001</v>
      </c>
      <c r="AB876" s="6">
        <f>$K$876*$V$876</f>
        <v>0</v>
      </c>
      <c r="AC876" s="6">
        <f>$M$876*$W$876</f>
        <v>81879.503979999994</v>
      </c>
      <c r="AD876" s="6">
        <f>$O$876*$X$876</f>
        <v>55036.015079999997</v>
      </c>
      <c r="AE876" s="6">
        <f>$K$876*$Y$876</f>
        <v>0</v>
      </c>
      <c r="AF876" s="6">
        <f ca="1">$M$876*$Z$876</f>
        <v>82930.498140000011</v>
      </c>
      <c r="AG876" s="6">
        <f ca="1">$O$876*$AA$876</f>
        <v>61796.88796</v>
      </c>
    </row>
    <row r="877" spans="1:33" ht="11.25" customHeight="1" x14ac:dyDescent="0.3">
      <c r="A877" s="4" t="s">
        <v>21</v>
      </c>
      <c r="B877" s="4" t="s">
        <v>47</v>
      </c>
      <c r="C877" s="4" t="s">
        <v>23</v>
      </c>
      <c r="D877" s="4" t="s">
        <v>48</v>
      </c>
      <c r="E877" s="4" t="s">
        <v>49</v>
      </c>
      <c r="F877" s="4" t="s">
        <v>25</v>
      </c>
      <c r="G877" s="4" t="s">
        <v>25</v>
      </c>
      <c r="H877" s="4" t="s">
        <v>25</v>
      </c>
      <c r="I877" s="5">
        <v>44562</v>
      </c>
      <c r="J877" s="6">
        <v>0</v>
      </c>
      <c r="K877" s="6">
        <v>0</v>
      </c>
      <c r="L877" s="6">
        <v>398.52600000000001</v>
      </c>
      <c r="M877" s="6">
        <v>398.52600000000001</v>
      </c>
      <c r="N877" s="6">
        <v>398.52600000000001</v>
      </c>
      <c r="O877" s="6">
        <v>398.52600000000001</v>
      </c>
      <c r="P877" s="6">
        <v>10</v>
      </c>
      <c r="Q877" s="4" t="s">
        <v>26</v>
      </c>
      <c r="R877" s="4">
        <v>0</v>
      </c>
      <c r="S877" s="6">
        <v>0</v>
      </c>
      <c r="T877" s="6">
        <v>60</v>
      </c>
      <c r="U877" s="6">
        <v>101</v>
      </c>
      <c r="V877" s="6">
        <f>IF(ISERROR(VLOOKUP($S$877,'TAR FIN'!$A$1:$O$103,15,0)),0,VLOOKUP($S$877,'TAR FIN'!$A$1:$O$103,15,0))</f>
        <v>0</v>
      </c>
      <c r="W877" s="6">
        <f>IF(ISERROR(VLOOKUP($T$877,'TAR FIN'!$A$1:$O$103,15,0)),0,VLOOKUP($T$877,'TAR FIN'!$A$1:$O$103,15,0))</f>
        <v>208.79</v>
      </c>
      <c r="X877" s="6">
        <f>IF(ISERROR(VLOOKUP($U$877,'TAR FIN'!$A$1:$O$103,15,0)),0,VLOOKUP($U$877,'TAR FIN'!$A$1:$O$103,15,0))</f>
        <v>140.34</v>
      </c>
      <c r="Y877" s="6"/>
      <c r="Z877" s="6">
        <f ca="1">('TUSD BE'!$AM$62+'TUSD BF_350'!$AM$62+'TUSD CVA'!$AM$62)*1</f>
        <v>211.47000000000003</v>
      </c>
      <c r="AA877" s="6">
        <f ca="1">('TE BE'!$AB$43+'TE BF_350'!$AB$43+'TE CVA'!$AB$43)*1</f>
        <v>157.58000000000001</v>
      </c>
      <c r="AB877" s="6">
        <f>$K$877*$V$877</f>
        <v>0</v>
      </c>
      <c r="AC877" s="6">
        <f>$M$877*$W$877</f>
        <v>83208.243539999996</v>
      </c>
      <c r="AD877" s="6">
        <f>$O$877*$X$877</f>
        <v>55929.13884</v>
      </c>
      <c r="AE877" s="6">
        <f>$K$877*$Y$877</f>
        <v>0</v>
      </c>
      <c r="AF877" s="6">
        <f ca="1">$M$877*$Z$877</f>
        <v>84276.293220000007</v>
      </c>
      <c r="AG877" s="6">
        <f ca="1">$O$877*$AA$877</f>
        <v>62799.727080000004</v>
      </c>
    </row>
    <row r="878" spans="1:33" ht="11.25" customHeight="1" x14ac:dyDescent="0.3">
      <c r="A878" s="4" t="s">
        <v>21</v>
      </c>
      <c r="B878" s="4" t="s">
        <v>47</v>
      </c>
      <c r="C878" s="4" t="s">
        <v>23</v>
      </c>
      <c r="D878" s="4" t="s">
        <v>48</v>
      </c>
      <c r="E878" s="4" t="s">
        <v>49</v>
      </c>
      <c r="F878" s="4" t="s">
        <v>25</v>
      </c>
      <c r="G878" s="4" t="s">
        <v>25</v>
      </c>
      <c r="H878" s="4" t="s">
        <v>25</v>
      </c>
      <c r="I878" s="5">
        <v>44593</v>
      </c>
      <c r="J878" s="6">
        <v>0</v>
      </c>
      <c r="K878" s="6">
        <v>0</v>
      </c>
      <c r="L878" s="6">
        <v>372.46199999999999</v>
      </c>
      <c r="M878" s="6">
        <v>372.46199999999999</v>
      </c>
      <c r="N878" s="6">
        <v>372.46199999999999</v>
      </c>
      <c r="O878" s="6">
        <v>372.46199999999999</v>
      </c>
      <c r="P878" s="6">
        <v>10</v>
      </c>
      <c r="Q878" s="4" t="s">
        <v>26</v>
      </c>
      <c r="R878" s="4">
        <v>0</v>
      </c>
      <c r="S878" s="6">
        <v>0</v>
      </c>
      <c r="T878" s="6">
        <v>60</v>
      </c>
      <c r="U878" s="6">
        <v>101</v>
      </c>
      <c r="V878" s="6">
        <f>IF(ISERROR(VLOOKUP($S$878,'TAR FIN'!$A$1:$O$103,15,0)),0,VLOOKUP($S$878,'TAR FIN'!$A$1:$O$103,15,0))</f>
        <v>0</v>
      </c>
      <c r="W878" s="6">
        <f>IF(ISERROR(VLOOKUP($T$878,'TAR FIN'!$A$1:$O$103,15,0)),0,VLOOKUP($T$878,'TAR FIN'!$A$1:$O$103,15,0))</f>
        <v>208.79</v>
      </c>
      <c r="X878" s="6">
        <f>IF(ISERROR(VLOOKUP($U$878,'TAR FIN'!$A$1:$O$103,15,0)),0,VLOOKUP($U$878,'TAR FIN'!$A$1:$O$103,15,0))</f>
        <v>140.34</v>
      </c>
      <c r="Y878" s="6"/>
      <c r="Z878" s="6">
        <f ca="1">('TUSD BE'!$AM$62+'TUSD BF_350'!$AM$62+'TUSD CVA'!$AM$62)*1</f>
        <v>211.47000000000003</v>
      </c>
      <c r="AA878" s="6">
        <f ca="1">('TE BE'!$AB$43+'TE BF_350'!$AB$43+'TE CVA'!$AB$43)*1</f>
        <v>157.58000000000001</v>
      </c>
      <c r="AB878" s="6">
        <f>$K$878*$V$878</f>
        <v>0</v>
      </c>
      <c r="AC878" s="6">
        <f>$M$878*$W$878</f>
        <v>77766.340979999994</v>
      </c>
      <c r="AD878" s="6">
        <f>$O$878*$X$878</f>
        <v>52271.317080000001</v>
      </c>
      <c r="AE878" s="6">
        <f>$K$878*$Y$878</f>
        <v>0</v>
      </c>
      <c r="AF878" s="6">
        <f ca="1">$M$878*$Z$878</f>
        <v>78764.539140000008</v>
      </c>
      <c r="AG878" s="6">
        <f ca="1">$O$878*$AA$878</f>
        <v>58692.561960000006</v>
      </c>
    </row>
    <row r="879" spans="1:33" ht="11.25" customHeight="1" x14ac:dyDescent="0.3">
      <c r="A879" s="4" t="s">
        <v>21</v>
      </c>
      <c r="B879" s="4" t="s">
        <v>47</v>
      </c>
      <c r="C879" s="4" t="s">
        <v>23</v>
      </c>
      <c r="D879" s="4" t="s">
        <v>48</v>
      </c>
      <c r="E879" s="4" t="s">
        <v>49</v>
      </c>
      <c r="F879" s="4" t="s">
        <v>25</v>
      </c>
      <c r="G879" s="4" t="s">
        <v>25</v>
      </c>
      <c r="H879" s="4" t="s">
        <v>25</v>
      </c>
      <c r="I879" s="5">
        <v>44621</v>
      </c>
      <c r="J879" s="6">
        <v>0</v>
      </c>
      <c r="K879" s="6">
        <v>0</v>
      </c>
      <c r="L879" s="6">
        <v>428.50099999999998</v>
      </c>
      <c r="M879" s="6">
        <v>428.50099999999998</v>
      </c>
      <c r="N879" s="6">
        <v>428.50099999999998</v>
      </c>
      <c r="O879" s="6">
        <v>428.50099999999998</v>
      </c>
      <c r="P879" s="6">
        <v>10</v>
      </c>
      <c r="Q879" s="4" t="s">
        <v>26</v>
      </c>
      <c r="R879" s="4">
        <v>0</v>
      </c>
      <c r="S879" s="6">
        <v>0</v>
      </c>
      <c r="T879" s="6">
        <v>60</v>
      </c>
      <c r="U879" s="6">
        <v>101</v>
      </c>
      <c r="V879" s="6">
        <f>IF(ISERROR(VLOOKUP($S$879,'TAR FIN'!$A$1:$O$103,15,0)),0,VLOOKUP($S$879,'TAR FIN'!$A$1:$O$103,15,0))</f>
        <v>0</v>
      </c>
      <c r="W879" s="6">
        <f>IF(ISERROR(VLOOKUP($T$879,'TAR FIN'!$A$1:$O$103,15,0)),0,VLOOKUP($T$879,'TAR FIN'!$A$1:$O$103,15,0))</f>
        <v>208.79</v>
      </c>
      <c r="X879" s="6">
        <f>IF(ISERROR(VLOOKUP($U$879,'TAR FIN'!$A$1:$O$103,15,0)),0,VLOOKUP($U$879,'TAR FIN'!$A$1:$O$103,15,0))</f>
        <v>140.34</v>
      </c>
      <c r="Y879" s="6"/>
      <c r="Z879" s="6">
        <f ca="1">('TUSD BE'!$AM$62+'TUSD BF_350'!$AM$62+'TUSD CVA'!$AM$62)*1</f>
        <v>211.47000000000003</v>
      </c>
      <c r="AA879" s="6">
        <f ca="1">('TE BE'!$AB$43+'TE BF_350'!$AB$43+'TE CVA'!$AB$43)*1</f>
        <v>157.58000000000001</v>
      </c>
      <c r="AB879" s="6">
        <f>$K$879*$V$879</f>
        <v>0</v>
      </c>
      <c r="AC879" s="6">
        <f>$M$879*$W$879</f>
        <v>89466.723789999989</v>
      </c>
      <c r="AD879" s="6">
        <f>$O$879*$X$879</f>
        <v>60135.83034</v>
      </c>
      <c r="AE879" s="6">
        <f>$K$879*$Y$879</f>
        <v>0</v>
      </c>
      <c r="AF879" s="6">
        <f ca="1">$M$879*$Z$879</f>
        <v>90615.106470000013</v>
      </c>
      <c r="AG879" s="6">
        <f ca="1">$O$879*$AA$879</f>
        <v>67523.187579999998</v>
      </c>
    </row>
    <row r="880" spans="1:33" ht="11.25" customHeight="1" x14ac:dyDescent="0.3">
      <c r="A880" s="4" t="s">
        <v>21</v>
      </c>
      <c r="B880" s="4" t="s">
        <v>47</v>
      </c>
      <c r="C880" s="4" t="s">
        <v>23</v>
      </c>
      <c r="D880" s="4" t="s">
        <v>48</v>
      </c>
      <c r="E880" s="4" t="s">
        <v>49</v>
      </c>
      <c r="F880" s="4" t="s">
        <v>25</v>
      </c>
      <c r="G880" s="4" t="s">
        <v>25</v>
      </c>
      <c r="H880" s="4" t="s">
        <v>25</v>
      </c>
      <c r="I880" s="5">
        <v>44652</v>
      </c>
      <c r="J880" s="6">
        <v>0</v>
      </c>
      <c r="K880" s="6">
        <v>0</v>
      </c>
      <c r="L880" s="6">
        <v>430.83100000000002</v>
      </c>
      <c r="M880" s="6">
        <v>430.83100000000002</v>
      </c>
      <c r="N880" s="6">
        <v>430.83100000000002</v>
      </c>
      <c r="O880" s="6">
        <v>430.83100000000002</v>
      </c>
      <c r="P880" s="6">
        <v>10</v>
      </c>
      <c r="Q880" s="4" t="s">
        <v>26</v>
      </c>
      <c r="R880" s="4">
        <v>0</v>
      </c>
      <c r="S880" s="6">
        <v>0</v>
      </c>
      <c r="T880" s="6">
        <v>60</v>
      </c>
      <c r="U880" s="6">
        <v>101</v>
      </c>
      <c r="V880" s="6">
        <f>IF(ISERROR(VLOOKUP($S$880,'TAR FIN'!$A$1:$O$103,15,0)),0,VLOOKUP($S$880,'TAR FIN'!$A$1:$O$103,15,0))</f>
        <v>0</v>
      </c>
      <c r="W880" s="6">
        <f>IF(ISERROR(VLOOKUP($T$880,'TAR FIN'!$A$1:$O$103,15,0)),0,VLOOKUP($T$880,'TAR FIN'!$A$1:$O$103,15,0))</f>
        <v>208.79</v>
      </c>
      <c r="X880" s="6">
        <f>IF(ISERROR(VLOOKUP($U$880,'TAR FIN'!$A$1:$O$103,15,0)),0,VLOOKUP($U$880,'TAR FIN'!$A$1:$O$103,15,0))</f>
        <v>140.34</v>
      </c>
      <c r="Y880" s="6"/>
      <c r="Z880" s="6">
        <f ca="1">('TUSD BE'!$AM$62+'TUSD BF_350'!$AM$62+'TUSD CVA'!$AM$62)*1</f>
        <v>211.47000000000003</v>
      </c>
      <c r="AA880" s="6">
        <f ca="1">('TE BE'!$AB$43+'TE BF_350'!$AB$43+'TE CVA'!$AB$43)*1</f>
        <v>157.58000000000001</v>
      </c>
      <c r="AB880" s="6">
        <f>$K$880*$V$880</f>
        <v>0</v>
      </c>
      <c r="AC880" s="6">
        <f>$M$880*$W$880</f>
        <v>89953.204490000004</v>
      </c>
      <c r="AD880" s="6">
        <f>$O$880*$X$880</f>
        <v>60462.822540000001</v>
      </c>
      <c r="AE880" s="6">
        <f>$K$880*$Y$880</f>
        <v>0</v>
      </c>
      <c r="AF880" s="6">
        <f ca="1">$M$880*$Z$880</f>
        <v>91107.831570000009</v>
      </c>
      <c r="AG880" s="6">
        <f ca="1">$O$880*$AA$880</f>
        <v>67890.34898000001</v>
      </c>
    </row>
    <row r="881" spans="1:33" ht="11.25" customHeight="1" x14ac:dyDescent="0.3">
      <c r="A881" s="4" t="s">
        <v>21</v>
      </c>
      <c r="B881" s="4" t="s">
        <v>47</v>
      </c>
      <c r="C881" s="4" t="s">
        <v>23</v>
      </c>
      <c r="D881" s="4" t="s">
        <v>48</v>
      </c>
      <c r="E881" s="4" t="s">
        <v>49</v>
      </c>
      <c r="F881" s="4" t="s">
        <v>25</v>
      </c>
      <c r="G881" s="4" t="s">
        <v>25</v>
      </c>
      <c r="H881" s="4" t="s">
        <v>25</v>
      </c>
      <c r="I881" s="5">
        <v>44682</v>
      </c>
      <c r="J881" s="6">
        <v>0</v>
      </c>
      <c r="K881" s="6">
        <v>0</v>
      </c>
      <c r="L881" s="6">
        <v>457.91300000000001</v>
      </c>
      <c r="M881" s="6">
        <v>457.91300000000001</v>
      </c>
      <c r="N881" s="6">
        <v>457.91300000000001</v>
      </c>
      <c r="O881" s="6">
        <v>457.91300000000001</v>
      </c>
      <c r="P881" s="6">
        <v>10</v>
      </c>
      <c r="Q881" s="4" t="s">
        <v>26</v>
      </c>
      <c r="R881" s="4">
        <v>0</v>
      </c>
      <c r="S881" s="6">
        <v>0</v>
      </c>
      <c r="T881" s="6">
        <v>60</v>
      </c>
      <c r="U881" s="6">
        <v>101</v>
      </c>
      <c r="V881" s="6">
        <f>IF(ISERROR(VLOOKUP($S$881,'TAR FIN'!$A$1:$O$103,15,0)),0,VLOOKUP($S$881,'TAR FIN'!$A$1:$O$103,15,0))</f>
        <v>0</v>
      </c>
      <c r="W881" s="6">
        <f>IF(ISERROR(VLOOKUP($T$881,'TAR FIN'!$A$1:$O$103,15,0)),0,VLOOKUP($T$881,'TAR FIN'!$A$1:$O$103,15,0))</f>
        <v>208.79</v>
      </c>
      <c r="X881" s="6">
        <f>IF(ISERROR(VLOOKUP($U$881,'TAR FIN'!$A$1:$O$103,15,0)),0,VLOOKUP($U$881,'TAR FIN'!$A$1:$O$103,15,0))</f>
        <v>140.34</v>
      </c>
      <c r="Y881" s="6"/>
      <c r="Z881" s="6">
        <f ca="1">('TUSD BE'!$AM$62+'TUSD BF_350'!$AM$62+'TUSD CVA'!$AM$62)*1</f>
        <v>211.47000000000003</v>
      </c>
      <c r="AA881" s="6">
        <f ca="1">('TE BE'!$AB$43+'TE BF_350'!$AB$43+'TE CVA'!$AB$43)*1</f>
        <v>157.58000000000001</v>
      </c>
      <c r="AB881" s="6">
        <f>$K$881*$V$881</f>
        <v>0</v>
      </c>
      <c r="AC881" s="6">
        <f>$M$881*$W$881</f>
        <v>95607.655270000003</v>
      </c>
      <c r="AD881" s="6">
        <f>$O$881*$X$881</f>
        <v>64263.510420000006</v>
      </c>
      <c r="AE881" s="6">
        <f>$K$881*$Y$881</f>
        <v>0</v>
      </c>
      <c r="AF881" s="6">
        <f ca="1">$M$881*$Z$881</f>
        <v>96834.862110000016</v>
      </c>
      <c r="AG881" s="6">
        <f ca="1">$O$881*$AA$881</f>
        <v>72157.930540000001</v>
      </c>
    </row>
    <row r="882" spans="1:33" ht="11.25" customHeight="1" x14ac:dyDescent="0.3">
      <c r="A882" s="4" t="s">
        <v>21</v>
      </c>
      <c r="B882" s="4" t="s">
        <v>47</v>
      </c>
      <c r="C882" s="4" t="s">
        <v>23</v>
      </c>
      <c r="D882" s="4" t="s">
        <v>48</v>
      </c>
      <c r="E882" s="4" t="s">
        <v>49</v>
      </c>
      <c r="F882" s="4" t="s">
        <v>25</v>
      </c>
      <c r="G882" s="4" t="s">
        <v>25</v>
      </c>
      <c r="H882" s="4" t="s">
        <v>25</v>
      </c>
      <c r="I882" s="5">
        <v>44713</v>
      </c>
      <c r="J882" s="6">
        <v>0</v>
      </c>
      <c r="K882" s="6">
        <v>0</v>
      </c>
      <c r="L882" s="6">
        <v>450.31200000000001</v>
      </c>
      <c r="M882" s="6">
        <v>450.31200000000001</v>
      </c>
      <c r="N882" s="6">
        <v>450.31200000000001</v>
      </c>
      <c r="O882" s="6">
        <v>450.31200000000001</v>
      </c>
      <c r="P882" s="6">
        <v>10</v>
      </c>
      <c r="Q882" s="4" t="s">
        <v>26</v>
      </c>
      <c r="R882" s="4">
        <v>0</v>
      </c>
      <c r="S882" s="6">
        <v>0</v>
      </c>
      <c r="T882" s="6">
        <v>60</v>
      </c>
      <c r="U882" s="6">
        <v>101</v>
      </c>
      <c r="V882" s="6">
        <f>IF(ISERROR(VLOOKUP($S$882,'TAR FIN'!$A$1:$O$103,15,0)),0,VLOOKUP($S$882,'TAR FIN'!$A$1:$O$103,15,0))</f>
        <v>0</v>
      </c>
      <c r="W882" s="6">
        <f>IF(ISERROR(VLOOKUP($T$882,'TAR FIN'!$A$1:$O$103,15,0)),0,VLOOKUP($T$882,'TAR FIN'!$A$1:$O$103,15,0))</f>
        <v>208.79</v>
      </c>
      <c r="X882" s="6">
        <f>IF(ISERROR(VLOOKUP($U$882,'TAR FIN'!$A$1:$O$103,15,0)),0,VLOOKUP($U$882,'TAR FIN'!$A$1:$O$103,15,0))</f>
        <v>140.34</v>
      </c>
      <c r="Y882" s="6"/>
      <c r="Z882" s="6">
        <f ca="1">('TUSD BE'!$AM$62+'TUSD BF_350'!$AM$62+'TUSD CVA'!$AM$62)*1</f>
        <v>211.47000000000003</v>
      </c>
      <c r="AA882" s="6">
        <f ca="1">('TE BE'!$AB$43+'TE BF_350'!$AB$43+'TE CVA'!$AB$43)*1</f>
        <v>157.58000000000001</v>
      </c>
      <c r="AB882" s="6">
        <f>$K$882*$V$882</f>
        <v>0</v>
      </c>
      <c r="AC882" s="6">
        <f>$M$882*$W$882</f>
        <v>94020.642479999995</v>
      </c>
      <c r="AD882" s="6">
        <f>$O$882*$X$882</f>
        <v>63196.786080000005</v>
      </c>
      <c r="AE882" s="6">
        <f>$K$882*$Y$882</f>
        <v>0</v>
      </c>
      <c r="AF882" s="6">
        <f ca="1">$M$882*$Z$882</f>
        <v>95227.478640000016</v>
      </c>
      <c r="AG882" s="6">
        <f ca="1">$O$882*$AA$882</f>
        <v>70960.164960000009</v>
      </c>
    </row>
    <row r="883" spans="1:33" ht="11.25" customHeight="1" x14ac:dyDescent="0.3">
      <c r="A883" s="4" t="s">
        <v>21</v>
      </c>
      <c r="B883" s="4" t="s">
        <v>47</v>
      </c>
      <c r="C883" s="4" t="s">
        <v>23</v>
      </c>
      <c r="D883" s="4" t="s">
        <v>48</v>
      </c>
      <c r="E883" s="4" t="s">
        <v>49</v>
      </c>
      <c r="F883" s="4" t="s">
        <v>25</v>
      </c>
      <c r="G883" s="4" t="s">
        <v>25</v>
      </c>
      <c r="H883" s="4" t="s">
        <v>25</v>
      </c>
      <c r="I883" s="5">
        <v>44743</v>
      </c>
      <c r="J883" s="6">
        <v>0</v>
      </c>
      <c r="K883" s="6">
        <v>0</v>
      </c>
      <c r="L883" s="6">
        <v>467.81</v>
      </c>
      <c r="M883" s="6">
        <v>467.81</v>
      </c>
      <c r="N883" s="6">
        <v>467.81</v>
      </c>
      <c r="O883" s="6">
        <v>467.81</v>
      </c>
      <c r="P883" s="6">
        <v>10</v>
      </c>
      <c r="Q883" s="4" t="s">
        <v>26</v>
      </c>
      <c r="R883" s="4">
        <v>0</v>
      </c>
      <c r="S883" s="6">
        <v>0</v>
      </c>
      <c r="T883" s="6">
        <v>60</v>
      </c>
      <c r="U883" s="6">
        <v>101</v>
      </c>
      <c r="V883" s="6">
        <f>IF(ISERROR(VLOOKUP($S$883,'TAR FIN'!$A$1:$O$103,15,0)),0,VLOOKUP($S$883,'TAR FIN'!$A$1:$O$103,15,0))</f>
        <v>0</v>
      </c>
      <c r="W883" s="6">
        <f>IF(ISERROR(VLOOKUP($T$883,'TAR FIN'!$A$1:$O$103,15,0)),0,VLOOKUP($T$883,'TAR FIN'!$A$1:$O$103,15,0))</f>
        <v>208.79</v>
      </c>
      <c r="X883" s="6">
        <f>IF(ISERROR(VLOOKUP($U$883,'TAR FIN'!$A$1:$O$103,15,0)),0,VLOOKUP($U$883,'TAR FIN'!$A$1:$O$103,15,0))</f>
        <v>140.34</v>
      </c>
      <c r="Y883" s="6"/>
      <c r="Z883" s="6">
        <f ca="1">('TUSD BE'!$AM$62+'TUSD BF_350'!$AM$62+'TUSD CVA'!$AM$62)*1</f>
        <v>211.47000000000003</v>
      </c>
      <c r="AA883" s="6">
        <f ca="1">('TE BE'!$AB$43+'TE BF_350'!$AB$43+'TE CVA'!$AB$43)*1</f>
        <v>157.58000000000001</v>
      </c>
      <c r="AB883" s="6">
        <f>$K$883*$V$883</f>
        <v>0</v>
      </c>
      <c r="AC883" s="6">
        <f>$M$883*$W$883</f>
        <v>97674.049899999998</v>
      </c>
      <c r="AD883" s="6">
        <f>$O$883*$X$883</f>
        <v>65652.455400000006</v>
      </c>
      <c r="AE883" s="6">
        <f>$K$883*$Y$883</f>
        <v>0</v>
      </c>
      <c r="AF883" s="6">
        <f ca="1">$M$883*$Z$883</f>
        <v>98927.780700000018</v>
      </c>
      <c r="AG883" s="6">
        <f ca="1">$O$883*$AA$883</f>
        <v>73717.499800000005</v>
      </c>
    </row>
    <row r="884" spans="1:33" ht="11.25" customHeight="1" x14ac:dyDescent="0.3">
      <c r="A884" s="4" t="s">
        <v>21</v>
      </c>
      <c r="B884" s="4" t="s">
        <v>47</v>
      </c>
      <c r="C884" s="4" t="s">
        <v>23</v>
      </c>
      <c r="D884" s="4" t="s">
        <v>48</v>
      </c>
      <c r="E884" s="4" t="s">
        <v>49</v>
      </c>
      <c r="F884" s="4" t="s">
        <v>25</v>
      </c>
      <c r="G884" s="4" t="s">
        <v>25</v>
      </c>
      <c r="H884" s="4" t="s">
        <v>25</v>
      </c>
      <c r="I884" s="5">
        <v>44774</v>
      </c>
      <c r="J884" s="6">
        <v>0</v>
      </c>
      <c r="K884" s="6">
        <v>0</v>
      </c>
      <c r="L884" s="6">
        <v>459.02600000000001</v>
      </c>
      <c r="M884" s="6">
        <v>459.02600000000001</v>
      </c>
      <c r="N884" s="6">
        <v>459.02600000000001</v>
      </c>
      <c r="O884" s="6">
        <v>459.02600000000001</v>
      </c>
      <c r="P884" s="6">
        <v>10</v>
      </c>
      <c r="Q884" s="4" t="s">
        <v>26</v>
      </c>
      <c r="R884" s="4">
        <v>0</v>
      </c>
      <c r="S884" s="6">
        <v>0</v>
      </c>
      <c r="T884" s="6">
        <v>60</v>
      </c>
      <c r="U884" s="6">
        <v>101</v>
      </c>
      <c r="V884" s="6">
        <f>IF(ISERROR(VLOOKUP($S$884,'TAR FIN'!$A$1:$O$103,15,0)),0,VLOOKUP($S$884,'TAR FIN'!$A$1:$O$103,15,0))</f>
        <v>0</v>
      </c>
      <c r="W884" s="6">
        <f>IF(ISERROR(VLOOKUP($T$884,'TAR FIN'!$A$1:$O$103,15,0)),0,VLOOKUP($T$884,'TAR FIN'!$A$1:$O$103,15,0))</f>
        <v>208.79</v>
      </c>
      <c r="X884" s="6">
        <f>IF(ISERROR(VLOOKUP($U$884,'TAR FIN'!$A$1:$O$103,15,0)),0,VLOOKUP($U$884,'TAR FIN'!$A$1:$O$103,15,0))</f>
        <v>140.34</v>
      </c>
      <c r="Y884" s="6"/>
      <c r="Z884" s="6">
        <f ca="1">('TUSD BE'!$AM$62+'TUSD BF_350'!$AM$62+'TUSD CVA'!$AM$62)*1</f>
        <v>211.47000000000003</v>
      </c>
      <c r="AA884" s="6">
        <f ca="1">('TE BE'!$AB$43+'TE BF_350'!$AB$43+'TE CVA'!$AB$43)*1</f>
        <v>157.58000000000001</v>
      </c>
      <c r="AB884" s="6">
        <f>$K$884*$V$884</f>
        <v>0</v>
      </c>
      <c r="AC884" s="6">
        <f>$M$884*$W$884</f>
        <v>95840.038539999994</v>
      </c>
      <c r="AD884" s="6">
        <f>$O$884*$X$884</f>
        <v>64419.708840000007</v>
      </c>
      <c r="AE884" s="6">
        <f>$K$884*$Y$884</f>
        <v>0</v>
      </c>
      <c r="AF884" s="6">
        <f ca="1">$M$884*$Z$884</f>
        <v>97070.228220000019</v>
      </c>
      <c r="AG884" s="6">
        <f ca="1">$O$884*$AA$884</f>
        <v>72333.317080000008</v>
      </c>
    </row>
    <row r="885" spans="1:33" ht="11.25" customHeight="1" x14ac:dyDescent="0.3">
      <c r="A885" s="4" t="s">
        <v>21</v>
      </c>
      <c r="B885" s="4" t="s">
        <v>47</v>
      </c>
      <c r="C885" s="4" t="s">
        <v>23</v>
      </c>
      <c r="D885" s="4" t="s">
        <v>48</v>
      </c>
      <c r="E885" s="4" t="s">
        <v>49</v>
      </c>
      <c r="F885" s="4" t="s">
        <v>25</v>
      </c>
      <c r="G885" s="4" t="s">
        <v>25</v>
      </c>
      <c r="H885" s="4" t="s">
        <v>25</v>
      </c>
      <c r="I885" s="5">
        <v>44805</v>
      </c>
      <c r="J885" s="6">
        <v>0</v>
      </c>
      <c r="K885" s="6">
        <v>0</v>
      </c>
      <c r="L885" s="6">
        <v>429.27</v>
      </c>
      <c r="M885" s="6">
        <v>429.27</v>
      </c>
      <c r="N885" s="6">
        <v>429.27</v>
      </c>
      <c r="O885" s="6">
        <v>429.27</v>
      </c>
      <c r="P885" s="6">
        <v>10</v>
      </c>
      <c r="Q885" s="4" t="s">
        <v>26</v>
      </c>
      <c r="R885" s="4">
        <v>0</v>
      </c>
      <c r="S885" s="6">
        <v>0</v>
      </c>
      <c r="T885" s="6">
        <v>60</v>
      </c>
      <c r="U885" s="6">
        <v>101</v>
      </c>
      <c r="V885" s="6">
        <f>IF(ISERROR(VLOOKUP($S$885,'TAR FIN'!$A$1:$O$103,15,0)),0,VLOOKUP($S$885,'TAR FIN'!$A$1:$O$103,15,0))</f>
        <v>0</v>
      </c>
      <c r="W885" s="6">
        <f>IF(ISERROR(VLOOKUP($T$885,'TAR FIN'!$A$1:$O$103,15,0)),0,VLOOKUP($T$885,'TAR FIN'!$A$1:$O$103,15,0))</f>
        <v>208.79</v>
      </c>
      <c r="X885" s="6">
        <f>IF(ISERROR(VLOOKUP($U$885,'TAR FIN'!$A$1:$O$103,15,0)),0,VLOOKUP($U$885,'TAR FIN'!$A$1:$O$103,15,0))</f>
        <v>140.34</v>
      </c>
      <c r="Y885" s="6"/>
      <c r="Z885" s="6">
        <f ca="1">('TUSD BE'!$AM$62+'TUSD BF_350'!$AM$62+'TUSD CVA'!$AM$62)*1</f>
        <v>211.47000000000003</v>
      </c>
      <c r="AA885" s="6">
        <f ca="1">('TE BE'!$AB$43+'TE BF_350'!$AB$43+'TE CVA'!$AB$43)*1</f>
        <v>157.58000000000001</v>
      </c>
      <c r="AB885" s="6">
        <f>$K$885*$V$885</f>
        <v>0</v>
      </c>
      <c r="AC885" s="6">
        <f>$M$885*$W$885</f>
        <v>89627.283299999996</v>
      </c>
      <c r="AD885" s="6">
        <f>$O$885*$X$885</f>
        <v>60243.751799999998</v>
      </c>
      <c r="AE885" s="6">
        <f>$K$885*$Y$885</f>
        <v>0</v>
      </c>
      <c r="AF885" s="6">
        <f ca="1">$M$885*$Z$885</f>
        <v>90777.726900000009</v>
      </c>
      <c r="AG885" s="6">
        <f ca="1">$O$885*$AA$885</f>
        <v>67644.366600000008</v>
      </c>
    </row>
    <row r="886" spans="1:33" ht="11.25" customHeight="1" x14ac:dyDescent="0.3">
      <c r="A886" s="4" t="s">
        <v>57</v>
      </c>
      <c r="B886" s="4" t="s">
        <v>47</v>
      </c>
      <c r="C886" s="4" t="s">
        <v>23</v>
      </c>
      <c r="D886" s="4" t="s">
        <v>48</v>
      </c>
      <c r="E886" s="4" t="s">
        <v>49</v>
      </c>
      <c r="F886" s="4" t="s">
        <v>25</v>
      </c>
      <c r="G886" s="4" t="s">
        <v>25</v>
      </c>
      <c r="H886" s="4" t="s">
        <v>25</v>
      </c>
      <c r="I886" s="5">
        <v>44835</v>
      </c>
      <c r="J886" s="6">
        <v>0</v>
      </c>
      <c r="K886" s="6">
        <v>0</v>
      </c>
      <c r="L886" s="6">
        <v>429.27</v>
      </c>
      <c r="M886" s="6">
        <v>429.27</v>
      </c>
      <c r="N886" s="6">
        <v>429.27</v>
      </c>
      <c r="O886" s="6">
        <v>429.27</v>
      </c>
      <c r="P886" s="6">
        <v>10</v>
      </c>
      <c r="Q886" s="4" t="s">
        <v>26</v>
      </c>
      <c r="R886" s="4">
        <v>0</v>
      </c>
      <c r="S886" s="6">
        <v>0</v>
      </c>
      <c r="T886" s="6">
        <v>60</v>
      </c>
      <c r="U886" s="6">
        <v>101</v>
      </c>
      <c r="V886" s="6">
        <f>IF(ISERROR(VLOOKUP($S$886,'TAR FIN'!$A$1:$O$103,15,0)),0,VLOOKUP($S$886,'TAR FIN'!$A$1:$O$103,15,0))</f>
        <v>0</v>
      </c>
      <c r="W886" s="6">
        <f>IF(ISERROR(VLOOKUP($T$886,'TAR FIN'!$A$1:$O$103,15,0)),0,VLOOKUP($T$886,'TAR FIN'!$A$1:$O$103,15,0))</f>
        <v>208.79</v>
      </c>
      <c r="X886" s="6">
        <f>IF(ISERROR(VLOOKUP($U$886,'TAR FIN'!$A$1:$O$103,15,0)),0,VLOOKUP($U$886,'TAR FIN'!$A$1:$O$103,15,0))</f>
        <v>140.34</v>
      </c>
      <c r="Y886" s="6"/>
      <c r="Z886" s="6">
        <f ca="1">('TUSD BE'!$AM$62+'TUSD BF_350'!$AM$62+'TUSD CVA'!$AM$62)*1</f>
        <v>211.47000000000003</v>
      </c>
      <c r="AA886" s="6">
        <f ca="1">('TE BE'!$AB$43+'TE BF_350'!$AB$43+'TE CVA'!$AB$43)*1</f>
        <v>157.58000000000001</v>
      </c>
      <c r="AB886" s="6">
        <f>$K$886*$V$886</f>
        <v>0</v>
      </c>
      <c r="AC886" s="6">
        <f>$M$886*$W$886</f>
        <v>89627.283299999996</v>
      </c>
      <c r="AD886" s="6">
        <f>$O$886*$X$886</f>
        <v>60243.751799999998</v>
      </c>
      <c r="AE886" s="6">
        <f>$K$886*$Y$886</f>
        <v>0</v>
      </c>
      <c r="AF886" s="6">
        <f ca="1">$M$886*$Z$886</f>
        <v>90777.726900000009</v>
      </c>
      <c r="AG886" s="6">
        <f ca="1">$O$886*$AA$886</f>
        <v>67644.366600000008</v>
      </c>
    </row>
    <row r="892" spans="1:33" ht="11.25" customHeight="1" x14ac:dyDescent="0.3">
      <c r="Z892" s="95">
        <f ca="1">Z525+AA525</f>
        <v>670.99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78CF5-0453-4A48-9DBC-3436DBB60B26}">
  <sheetPr codeName="Planilha30">
    <tabColor indexed="12" tint="-0.249977111117893"/>
  </sheetPr>
  <dimension ref="B1:AB36"/>
  <sheetViews>
    <sheetView workbookViewId="0">
      <selection activeCell="D36" sqref="D36:E36"/>
    </sheetView>
  </sheetViews>
  <sheetFormatPr defaultRowHeight="14.4" x14ac:dyDescent="0.3"/>
  <cols>
    <col min="2" max="2" width="15.44140625" bestFit="1" customWidth="1"/>
    <col min="3" max="3" width="11.33203125" bestFit="1" customWidth="1"/>
    <col min="4" max="4" width="12.88671875" bestFit="1" customWidth="1"/>
    <col min="5" max="5" width="10.77734375" bestFit="1" customWidth="1"/>
    <col min="6" max="6" width="15.6640625" bestFit="1" customWidth="1"/>
    <col min="7" max="7" width="13.88671875" bestFit="1" customWidth="1"/>
    <col min="8" max="8" width="26.88671875" bestFit="1" customWidth="1"/>
    <col min="9" max="9" width="13.77734375" bestFit="1" customWidth="1"/>
    <col min="10" max="10" width="26.77734375" bestFit="1" customWidth="1"/>
    <col min="28" max="28" width="5" bestFit="1" customWidth="1"/>
  </cols>
  <sheetData>
    <row r="1" spans="2:28" x14ac:dyDescent="0.3">
      <c r="AA1" t="s">
        <v>892</v>
      </c>
      <c r="AB1">
        <v>6072</v>
      </c>
    </row>
    <row r="2" spans="2:28" x14ac:dyDescent="0.3">
      <c r="AA2" t="s">
        <v>893</v>
      </c>
      <c r="AB2">
        <v>2022</v>
      </c>
    </row>
    <row r="3" spans="2:28" x14ac:dyDescent="0.3">
      <c r="AA3" t="s">
        <v>758</v>
      </c>
      <c r="AB3">
        <v>0</v>
      </c>
    </row>
    <row r="4" spans="2:28" ht="15" thickBot="1" x14ac:dyDescent="0.35">
      <c r="B4" s="58" t="s">
        <v>654</v>
      </c>
      <c r="C4" s="58" t="s">
        <v>69</v>
      </c>
      <c r="D4" s="58" t="s">
        <v>70</v>
      </c>
      <c r="E4" s="58" t="s">
        <v>75</v>
      </c>
      <c r="F4" s="58" t="s">
        <v>894</v>
      </c>
      <c r="G4" s="58" t="s">
        <v>895</v>
      </c>
      <c r="H4" s="58" t="s">
        <v>896</v>
      </c>
      <c r="I4" s="58" t="s">
        <v>897</v>
      </c>
      <c r="J4" s="58" t="s">
        <v>898</v>
      </c>
    </row>
    <row r="5" spans="2:28" x14ac:dyDescent="0.3">
      <c r="B5" s="62" t="s">
        <v>615</v>
      </c>
      <c r="C5" s="63" t="s">
        <v>45</v>
      </c>
      <c r="D5" s="63" t="s">
        <v>42</v>
      </c>
      <c r="E5" s="63" t="s">
        <v>899</v>
      </c>
      <c r="F5" s="67">
        <f>SUMIFS(Mercado_Receita!J:J,Mercado_Receita!B:B,"=A3a",Mercado_Receita!C:C,"=AZUL",Mercado_Receita!H:H,"=Ponta")</f>
        <v>4216</v>
      </c>
      <c r="G5" s="67">
        <f ca="1">ROUND('TUSD BE'!$AM$5+'TUSD BF'!$AM$5+'TUSD CVA'!$AM$5,2)</f>
        <v>51.04</v>
      </c>
      <c r="H5" s="67">
        <v>55.05</v>
      </c>
      <c r="I5" s="67">
        <f t="shared" ref="I5:I27" ca="1" si="0">F5*G5</f>
        <v>215184.63999999998</v>
      </c>
      <c r="J5" s="68">
        <f t="shared" ref="J5:J27" si="1">F5*H5</f>
        <v>232090.8</v>
      </c>
    </row>
    <row r="6" spans="2:28" x14ac:dyDescent="0.3">
      <c r="B6" s="60" t="s">
        <v>615</v>
      </c>
      <c r="C6" s="33" t="s">
        <v>45</v>
      </c>
      <c r="D6" s="33" t="s">
        <v>42</v>
      </c>
      <c r="E6" s="33" t="s">
        <v>900</v>
      </c>
      <c r="F6" s="69">
        <f>SUMIFS(Mercado_Receita!J:J,Mercado_Receita!B:B,"=A3a",Mercado_Receita!C:C,"=AZUL",Mercado_Receita!H:H,"=Fora Ponta")</f>
        <v>4234</v>
      </c>
      <c r="G6" s="69">
        <f ca="1">ROUND('TUSD BE'!$AM$6+'TUSD BF'!$AM$6+'TUSD CVA'!$AM$6,2)</f>
        <v>21.37</v>
      </c>
      <c r="H6" s="69">
        <v>22.94</v>
      </c>
      <c r="I6" s="69">
        <f t="shared" ca="1" si="0"/>
        <v>90480.58</v>
      </c>
      <c r="J6" s="70">
        <f t="shared" si="1"/>
        <v>97127.96</v>
      </c>
    </row>
    <row r="7" spans="2:28" x14ac:dyDescent="0.3">
      <c r="B7" s="60" t="s">
        <v>615</v>
      </c>
      <c r="C7" s="33" t="s">
        <v>45</v>
      </c>
      <c r="D7" s="33" t="s">
        <v>42</v>
      </c>
      <c r="E7" s="33" t="s">
        <v>11</v>
      </c>
      <c r="F7" s="69">
        <f>SUMIFS(Mercado_Receita!L:L,Mercado_Receita!B:B,"=A3a",Mercado_Receita!C:C,"=AZUL",Mercado_Receita!H:H,"&lt;&gt;Não se aplica",Mercado_Receita!Q:Q,"=Cativo")+SUMIFS(Mercado_Receita!L:L,Mercado_Receita!B:B,"=A3a",Mercado_Receita!C:C,"=AZUL",Mercado_Receita!Q:Q,"=Livre")</f>
        <v>1760.1130000000001</v>
      </c>
      <c r="G7" s="69">
        <f ca="1">ROUND('TUSD BE'!$AM$7+'TUSD BF'!$AM$7+'TUSD CVA'!$AM$7,2)</f>
        <v>145.72</v>
      </c>
      <c r="H7" s="69">
        <v>139.33000000000001</v>
      </c>
      <c r="I7" s="69">
        <f t="shared" ca="1" si="0"/>
        <v>256483.66636</v>
      </c>
      <c r="J7" s="70">
        <f t="shared" si="1"/>
        <v>245236.54429000002</v>
      </c>
    </row>
    <row r="8" spans="2:28" x14ac:dyDescent="0.3">
      <c r="B8" s="60" t="s">
        <v>643</v>
      </c>
      <c r="C8" s="33" t="s">
        <v>45</v>
      </c>
      <c r="D8" s="33" t="s">
        <v>42</v>
      </c>
      <c r="E8" s="33" t="s">
        <v>901</v>
      </c>
      <c r="F8" s="69">
        <f>SUMIFS(Mercado_Receita!N:N,Mercado_Receita!B:B,"=A3a",Mercado_Receita!C:C,"=AZUL",Mercado_Receita!H:H,"=Ponta",Mercado_Receita!Q:Q,"=Cativo")</f>
        <v>0.92900000000000005</v>
      </c>
      <c r="G8" s="69">
        <f>ROUND('TE BE'!$AB$5+'TE BF'!$AB$5+'TE CVA'!$AB$5,2)</f>
        <v>361.95</v>
      </c>
      <c r="H8" s="69">
        <v>437.01</v>
      </c>
      <c r="I8" s="69">
        <f t="shared" si="0"/>
        <v>336.25155000000001</v>
      </c>
      <c r="J8" s="70">
        <f t="shared" si="1"/>
        <v>405.98229000000003</v>
      </c>
    </row>
    <row r="9" spans="2:28" ht="15" thickBot="1" x14ac:dyDescent="0.35">
      <c r="B9" s="61" t="s">
        <v>643</v>
      </c>
      <c r="C9" s="32" t="s">
        <v>45</v>
      </c>
      <c r="D9" s="32" t="s">
        <v>42</v>
      </c>
      <c r="E9" s="32" t="s">
        <v>902</v>
      </c>
      <c r="F9" s="73">
        <f>SUMIFS(Mercado_Receita!N:N,Mercado_Receita!B:B,"=A3a",Mercado_Receita!C:C,"=AZUL",Mercado_Receita!H:H,"=Fora Ponta",Mercado_Receita!Q:Q,"=Cativo")</f>
        <v>1759.1840000000002</v>
      </c>
      <c r="G9" s="73">
        <f>ROUND('TE BE'!$AB$6+'TE BF'!$AB$6+'TE CVA'!$AB$6,2)</f>
        <v>222.39</v>
      </c>
      <c r="H9" s="73">
        <v>272.82</v>
      </c>
      <c r="I9" s="73">
        <f t="shared" si="0"/>
        <v>391224.92976000003</v>
      </c>
      <c r="J9" s="74">
        <f t="shared" si="1"/>
        <v>479940.57888000004</v>
      </c>
    </row>
    <row r="10" spans="2:28" x14ac:dyDescent="0.3">
      <c r="B10" s="62" t="s">
        <v>615</v>
      </c>
      <c r="C10" s="63" t="s">
        <v>45</v>
      </c>
      <c r="D10" s="63" t="s">
        <v>40</v>
      </c>
      <c r="E10" s="63" t="s">
        <v>9</v>
      </c>
      <c r="F10" s="67">
        <f>SUMIFS(Mercado_Receita!J:J,Mercado_Receita!B:B,"=A3a",Mercado_Receita!C:C,"=VERDE",Mercado_Receita!H:H,"=Não se aplica")</f>
        <v>685</v>
      </c>
      <c r="G10" s="67">
        <f ca="1">ROUND('TUSD BE'!$AM$10+'TUSD BF'!$AM$10+'TUSD CVA'!$AM$10,2)</f>
        <v>21.37</v>
      </c>
      <c r="H10" s="67">
        <v>22.94</v>
      </c>
      <c r="I10" s="67">
        <f t="shared" ca="1" si="0"/>
        <v>14638.45</v>
      </c>
      <c r="J10" s="68">
        <f t="shared" si="1"/>
        <v>15713.900000000001</v>
      </c>
    </row>
    <row r="11" spans="2:28" x14ac:dyDescent="0.3">
      <c r="B11" s="60" t="s">
        <v>615</v>
      </c>
      <c r="C11" s="33" t="s">
        <v>45</v>
      </c>
      <c r="D11" s="33" t="s">
        <v>40</v>
      </c>
      <c r="E11" s="33" t="s">
        <v>903</v>
      </c>
      <c r="F11" s="69">
        <f>SUMIFS(Mercado_Receita!L:L,Mercado_Receita!B:B,"=A3a",Mercado_Receita!C:C,"=VERDE",Mercado_Receita!H:H,"=Ponta")</f>
        <v>5.4909999999999997</v>
      </c>
      <c r="G11" s="69">
        <f ca="1">ROUND('TUSD BE'!$AM$11+'TUSD BF'!$AM$11+'TUSD CVA'!$AM$11,2)</f>
        <v>1385.5</v>
      </c>
      <c r="H11" s="69">
        <v>1473.76</v>
      </c>
      <c r="I11" s="69">
        <f t="shared" ca="1" si="0"/>
        <v>7607.7804999999998</v>
      </c>
      <c r="J11" s="70">
        <f t="shared" si="1"/>
        <v>8092.4161599999998</v>
      </c>
    </row>
    <row r="12" spans="2:28" x14ac:dyDescent="0.3">
      <c r="B12" s="60" t="s">
        <v>615</v>
      </c>
      <c r="C12" s="33" t="s">
        <v>45</v>
      </c>
      <c r="D12" s="33" t="s">
        <v>40</v>
      </c>
      <c r="E12" s="33" t="s">
        <v>904</v>
      </c>
      <c r="F12" s="69">
        <f>SUMIFS(Mercado_Receita!L:L,Mercado_Receita!B:B,"=A3a",Mercado_Receita!C:C,"=VERDE",Mercado_Receita!H:H,"=Fora Ponta")</f>
        <v>46.585999999999999</v>
      </c>
      <c r="G12" s="69">
        <f ca="1">ROUND('TUSD BE'!$AM$12+'TUSD BF'!$AM$12+'TUSD CVA'!$AM$12,2)</f>
        <v>145.72</v>
      </c>
      <c r="H12" s="69">
        <v>139.33000000000001</v>
      </c>
      <c r="I12" s="69">
        <f t="shared" ca="1" si="0"/>
        <v>6788.5119199999999</v>
      </c>
      <c r="J12" s="70">
        <f t="shared" si="1"/>
        <v>6490.8273800000006</v>
      </c>
    </row>
    <row r="13" spans="2:28" x14ac:dyDescent="0.3">
      <c r="B13" s="60" t="s">
        <v>643</v>
      </c>
      <c r="C13" s="33" t="s">
        <v>45</v>
      </c>
      <c r="D13" s="33" t="s">
        <v>40</v>
      </c>
      <c r="E13" s="33" t="s">
        <v>901</v>
      </c>
      <c r="F13" s="69">
        <f>SUMIFS(Mercado_Receita!N:N,Mercado_Receita!B:B,"=A3a",Mercado_Receita!C:C,"=VERDE",Mercado_Receita!H:H,"=Ponta",Mercado_Receita!Q:Q,"=Cativo")</f>
        <v>5.4909999999999997</v>
      </c>
      <c r="G13" s="69">
        <f>ROUND('TE BE'!$AB$5+'TE BF'!$AB$5+'TE CVA'!$AB$5,2)</f>
        <v>361.95</v>
      </c>
      <c r="H13" s="69">
        <v>437.01</v>
      </c>
      <c r="I13" s="69">
        <f t="shared" si="0"/>
        <v>1987.4674499999999</v>
      </c>
      <c r="J13" s="70">
        <f t="shared" si="1"/>
        <v>2399.6219099999998</v>
      </c>
    </row>
    <row r="14" spans="2:28" ht="15" thickBot="1" x14ac:dyDescent="0.35">
      <c r="B14" s="61" t="s">
        <v>643</v>
      </c>
      <c r="C14" s="32" t="s">
        <v>45</v>
      </c>
      <c r="D14" s="32" t="s">
        <v>40</v>
      </c>
      <c r="E14" s="32" t="s">
        <v>902</v>
      </c>
      <c r="F14" s="73">
        <f>SUMIFS(Mercado_Receita!N:N,Mercado_Receita!B:B,"=A3a",Mercado_Receita!C:C,"=VERDE",Mercado_Receita!H:H,"=Fora Ponta",Mercado_Receita!Q:Q,"=Cativo")</f>
        <v>46.585999999999999</v>
      </c>
      <c r="G14" s="73">
        <f>ROUND('TE BE'!$AB$6+'TE BF'!$AB$6+'TE CVA'!$AB$6,2)</f>
        <v>222.39</v>
      </c>
      <c r="H14" s="73">
        <v>272.82</v>
      </c>
      <c r="I14" s="73">
        <f t="shared" si="0"/>
        <v>10360.260539999999</v>
      </c>
      <c r="J14" s="74">
        <f t="shared" si="1"/>
        <v>12709.59252</v>
      </c>
    </row>
    <row r="15" spans="2:28" x14ac:dyDescent="0.3">
      <c r="B15" s="62" t="s">
        <v>615</v>
      </c>
      <c r="C15" s="63" t="s">
        <v>45</v>
      </c>
      <c r="D15" s="63" t="s">
        <v>23</v>
      </c>
      <c r="E15" s="63" t="s">
        <v>9</v>
      </c>
      <c r="F15" s="67">
        <f>SUMIFS(Mercado_Receita!J:J,Mercado_Receita!B:B,"=A3a",Mercado_Receita!C:C,"=CONVENCIONAL",Mercado_Receita!H:H,"=Não se aplica",Mercado_Receita!Q:Q,"=Cativo")</f>
        <v>0</v>
      </c>
      <c r="G15" s="67">
        <f ca="1">ROUND('TUSD BE'!$AM$15+'TUSD BF'!$AM$15+'TUSD CVA'!$AM$15,2)</f>
        <v>58.12</v>
      </c>
      <c r="H15" s="67">
        <v>0</v>
      </c>
      <c r="I15" s="67">
        <f t="shared" ca="1" si="0"/>
        <v>0</v>
      </c>
      <c r="J15" s="68">
        <f t="shared" si="1"/>
        <v>0</v>
      </c>
    </row>
    <row r="16" spans="2:28" x14ac:dyDescent="0.3">
      <c r="B16" s="60" t="s">
        <v>615</v>
      </c>
      <c r="C16" s="33" t="s">
        <v>45</v>
      </c>
      <c r="D16" s="33" t="s">
        <v>23</v>
      </c>
      <c r="E16" s="33" t="s">
        <v>903</v>
      </c>
      <c r="F16" s="69">
        <f>SUMIFS(Mercado_Receita!L:L,Mercado_Receita!B:B,"=A3a",Mercado_Receita!C:C,"=CONVENCIONAL",Mercado_Receita!H:H,"=Não se aplica",Mercado_Receita!Q:Q,"=Cativo")</f>
        <v>0</v>
      </c>
      <c r="G16" s="69">
        <f ca="1">ROUND('TUSD BE'!$AM$16+'TUSD BF'!$AM$16+'TUSD CVA'!$AM$16,2)</f>
        <v>145.72</v>
      </c>
      <c r="H16" s="69">
        <v>0</v>
      </c>
      <c r="I16" s="69">
        <f t="shared" ca="1" si="0"/>
        <v>0</v>
      </c>
      <c r="J16" s="70">
        <f t="shared" si="1"/>
        <v>0</v>
      </c>
    </row>
    <row r="17" spans="2:10" ht="15" thickBot="1" x14ac:dyDescent="0.35">
      <c r="B17" s="61" t="s">
        <v>643</v>
      </c>
      <c r="C17" s="32" t="s">
        <v>45</v>
      </c>
      <c r="D17" s="32" t="s">
        <v>23</v>
      </c>
      <c r="E17" s="32" t="s">
        <v>901</v>
      </c>
      <c r="F17" s="73">
        <f>SUMIFS(Mercado_Receita!N:N,Mercado_Receita!B:B,"=A3a",Mercado_Receita!C:C,"=CONVENCIONAL",Mercado_Receita!H:H,"=Não se aplica",Mercado_Receita!Q:Q,"=Cativo")</f>
        <v>0</v>
      </c>
      <c r="G17" s="73"/>
      <c r="H17" s="73">
        <v>0</v>
      </c>
      <c r="I17" s="73">
        <f t="shared" si="0"/>
        <v>0</v>
      </c>
      <c r="J17" s="74">
        <f t="shared" si="1"/>
        <v>0</v>
      </c>
    </row>
    <row r="18" spans="2:10" x14ac:dyDescent="0.3">
      <c r="B18" s="62" t="s">
        <v>615</v>
      </c>
      <c r="C18" s="63" t="s">
        <v>39</v>
      </c>
      <c r="D18" s="63" t="s">
        <v>42</v>
      </c>
      <c r="E18" s="63" t="s">
        <v>899</v>
      </c>
      <c r="F18" s="67">
        <f>SUMIFS(Mercado_Receita!J:J,Mercado_Receita!B:B,"=A4",Mercado_Receita!C:C,"=AZUL",Mercado_Receita!H:H,"=Ponta")</f>
        <v>6798</v>
      </c>
      <c r="G18" s="67">
        <f ca="1">ROUND('TUSD BE'!$AM$17+'TUSD BF'!$AM$17+'TUSD CVA'!$AM$17,2)</f>
        <v>51.04</v>
      </c>
      <c r="H18" s="67">
        <v>55.05</v>
      </c>
      <c r="I18" s="67">
        <f t="shared" ca="1" si="0"/>
        <v>346969.92</v>
      </c>
      <c r="J18" s="68">
        <f t="shared" si="1"/>
        <v>374229.89999999997</v>
      </c>
    </row>
    <row r="19" spans="2:10" x14ac:dyDescent="0.3">
      <c r="B19" s="60" t="s">
        <v>615</v>
      </c>
      <c r="C19" s="33" t="s">
        <v>39</v>
      </c>
      <c r="D19" s="33" t="s">
        <v>42</v>
      </c>
      <c r="E19" s="33" t="s">
        <v>900</v>
      </c>
      <c r="F19" s="69">
        <f>SUMIFS(Mercado_Receita!J:J,Mercado_Receita!B:B,"=A4",Mercado_Receita!C:C,"=AZUL",Mercado_Receita!H:H,"=Fora Ponta")</f>
        <v>6877</v>
      </c>
      <c r="G19" s="69">
        <f ca="1">ROUND('TUSD BE'!$AM$18+'TUSD BF'!$AM$18+'TUSD CVA'!$AM$18,2)</f>
        <v>21.37</v>
      </c>
      <c r="H19" s="69">
        <v>22.94</v>
      </c>
      <c r="I19" s="69">
        <f t="shared" ca="1" si="0"/>
        <v>146961.49000000002</v>
      </c>
      <c r="J19" s="70">
        <f t="shared" si="1"/>
        <v>157758.38</v>
      </c>
    </row>
    <row r="20" spans="2:10" x14ac:dyDescent="0.3">
      <c r="B20" s="60" t="s">
        <v>615</v>
      </c>
      <c r="C20" s="33" t="s">
        <v>39</v>
      </c>
      <c r="D20" s="33" t="s">
        <v>42</v>
      </c>
      <c r="E20" s="33" t="s">
        <v>11</v>
      </c>
      <c r="F20" s="69">
        <f>SUMIFS(Mercado_Receita!L:L,Mercado_Receita!B:B,"=A4",Mercado_Receita!C:C,"=AZUL",Mercado_Receita!H:H,"&lt;&gt;Não se aplica",Mercado_Receita!Q:Q,"=Cativo")+SUMIFS(Mercado_Receita!L:L,Mercado_Receita!B:B,"=A4",Mercado_Receita!C:C,"=AZUL",Mercado_Receita!Q:Q,"=Livre")</f>
        <v>3550.4059999999995</v>
      </c>
      <c r="G20" s="69">
        <f ca="1">ROUND('TUSD BE'!$AM$19+'TUSD BF'!$AM$19+'TUSD CVA'!$AM$19,2)</f>
        <v>145.72</v>
      </c>
      <c r="H20" s="69">
        <v>139.33000000000001</v>
      </c>
      <c r="I20" s="69">
        <f t="shared" ca="1" si="0"/>
        <v>517365.16231999994</v>
      </c>
      <c r="J20" s="70">
        <f t="shared" si="1"/>
        <v>494678.06797999999</v>
      </c>
    </row>
    <row r="21" spans="2:10" x14ac:dyDescent="0.3">
      <c r="B21" s="60" t="s">
        <v>643</v>
      </c>
      <c r="C21" s="33" t="s">
        <v>39</v>
      </c>
      <c r="D21" s="33" t="s">
        <v>42</v>
      </c>
      <c r="E21" s="33" t="s">
        <v>901</v>
      </c>
      <c r="F21" s="69">
        <f>SUMIFS(Mercado_Receita!N:N,Mercado_Receita!B:B,"=A4",Mercado_Receita!C:C,"=AZUL",Mercado_Receita!H:H,"=Ponta",Mercado_Receita!Q:Q,"=Cativo")</f>
        <v>372.01800000000003</v>
      </c>
      <c r="G21" s="69">
        <f>ROUND('TE BE'!$AB$8+'TE BF'!$AB$8+'TE CVA'!$AB$8,2)</f>
        <v>361.95</v>
      </c>
      <c r="H21" s="69">
        <v>437.01</v>
      </c>
      <c r="I21" s="69">
        <f t="shared" si="0"/>
        <v>134651.91510000001</v>
      </c>
      <c r="J21" s="70">
        <f t="shared" si="1"/>
        <v>162575.58618000001</v>
      </c>
    </row>
    <row r="22" spans="2:10" ht="15" thickBot="1" x14ac:dyDescent="0.35">
      <c r="B22" s="61" t="s">
        <v>643</v>
      </c>
      <c r="C22" s="32" t="s">
        <v>39</v>
      </c>
      <c r="D22" s="32" t="s">
        <v>42</v>
      </c>
      <c r="E22" s="32" t="s">
        <v>902</v>
      </c>
      <c r="F22" s="73">
        <f>SUMIFS(Mercado_Receita!N:N,Mercado_Receita!B:B,"=A4",Mercado_Receita!C:C,"=AZUL",Mercado_Receita!H:H,"=Fora Ponta",Mercado_Receita!Q:Q,"=Cativo")</f>
        <v>3178.3880000000008</v>
      </c>
      <c r="G22" s="73">
        <f>ROUND('TE BE'!$AB$9+'TE BF'!$AB$9+'TE CVA'!$AB$9,2)</f>
        <v>222.39</v>
      </c>
      <c r="H22" s="73">
        <v>272.82</v>
      </c>
      <c r="I22" s="73">
        <f t="shared" si="0"/>
        <v>706841.70732000016</v>
      </c>
      <c r="J22" s="74">
        <f t="shared" si="1"/>
        <v>867127.81416000018</v>
      </c>
    </row>
    <row r="23" spans="2:10" x14ac:dyDescent="0.3">
      <c r="B23" s="62" t="s">
        <v>615</v>
      </c>
      <c r="C23" s="63" t="s">
        <v>39</v>
      </c>
      <c r="D23" s="63" t="s">
        <v>40</v>
      </c>
      <c r="E23" s="63" t="s">
        <v>9</v>
      </c>
      <c r="F23" s="67">
        <f>SUMIFS(Mercado_Receita!J:J,Mercado_Receita!B:B,"=A4",Mercado_Receita!C:C,"=VERDE",Mercado_Receita!H:H,"=Não se aplica")</f>
        <v>125381</v>
      </c>
      <c r="G23" s="67">
        <f ca="1">ROUND('TUSD BE'!$AM$22+'TUSD BF'!$AM$22+'TUSD CVA'!$AM$22,2)</f>
        <v>21.37</v>
      </c>
      <c r="H23" s="67">
        <v>22.94</v>
      </c>
      <c r="I23" s="67">
        <f t="shared" ca="1" si="0"/>
        <v>2679391.9700000002</v>
      </c>
      <c r="J23" s="68">
        <f t="shared" si="1"/>
        <v>2876240.14</v>
      </c>
    </row>
    <row r="24" spans="2:10" x14ac:dyDescent="0.3">
      <c r="B24" s="60" t="s">
        <v>615</v>
      </c>
      <c r="C24" s="33" t="s">
        <v>39</v>
      </c>
      <c r="D24" s="33" t="s">
        <v>40</v>
      </c>
      <c r="E24" s="33" t="s">
        <v>903</v>
      </c>
      <c r="F24" s="69">
        <f>SUMIFS(Mercado_Receita!L:L,Mercado_Receita!B:B,"=A4",Mercado_Receita!C:C,"=VERDE",Mercado_Receita!H:H,"=Ponta")</f>
        <v>1113.1679999999997</v>
      </c>
      <c r="G24" s="69">
        <f ca="1">ROUND('TUSD BE'!$AM$23+'TUSD BF'!$AM$23+'TUSD CVA'!$AM$23,2)</f>
        <v>1385.5</v>
      </c>
      <c r="H24" s="69">
        <v>1473.76</v>
      </c>
      <c r="I24" s="69">
        <f t="shared" ca="1" si="0"/>
        <v>1542294.2639999995</v>
      </c>
      <c r="J24" s="70">
        <f t="shared" si="1"/>
        <v>1640542.4716799995</v>
      </c>
    </row>
    <row r="25" spans="2:10" x14ac:dyDescent="0.3">
      <c r="B25" s="60" t="s">
        <v>615</v>
      </c>
      <c r="C25" s="33" t="s">
        <v>39</v>
      </c>
      <c r="D25" s="33" t="s">
        <v>40</v>
      </c>
      <c r="E25" s="33" t="s">
        <v>904</v>
      </c>
      <c r="F25" s="69">
        <f>SUMIFS(Mercado_Receita!L:L,Mercado_Receita!B:B,"=A4",Mercado_Receita!C:C,"=VERDE",Mercado_Receita!H:H,"=Fora Ponta")</f>
        <v>23039.734000000008</v>
      </c>
      <c r="G25" s="69">
        <f ca="1">ROUND('TUSD BE'!$AM$24+'TUSD BF'!$AM$24+'TUSD CVA'!$AM$24,2)</f>
        <v>145.72</v>
      </c>
      <c r="H25" s="69">
        <v>139.33000000000001</v>
      </c>
      <c r="I25" s="69">
        <f t="shared" ca="1" si="0"/>
        <v>3357350.038480001</v>
      </c>
      <c r="J25" s="70">
        <f t="shared" si="1"/>
        <v>3210126.1382200015</v>
      </c>
    </row>
    <row r="26" spans="2:10" x14ac:dyDescent="0.3">
      <c r="B26" s="60" t="s">
        <v>643</v>
      </c>
      <c r="C26" s="33" t="s">
        <v>39</v>
      </c>
      <c r="D26" s="33" t="s">
        <v>40</v>
      </c>
      <c r="E26" s="33" t="s">
        <v>901</v>
      </c>
      <c r="F26" s="69">
        <f>SUMIFS(Mercado_Receita!N:N,Mercado_Receita!B:B,"=A4",Mercado_Receita!C:C,"=VERDE",Mercado_Receita!H:H,"=Ponta",Mercado_Receita!Q:Q,"=Cativo")</f>
        <v>812.00999999999954</v>
      </c>
      <c r="G26" s="69">
        <f>ROUND('TE BE'!$AB$8+'TE BF'!$AB$8+'TE CVA'!$AB$8,2)</f>
        <v>361.95</v>
      </c>
      <c r="H26" s="69">
        <v>437.01</v>
      </c>
      <c r="I26" s="69">
        <f t="shared" si="0"/>
        <v>293907.01949999982</v>
      </c>
      <c r="J26" s="70">
        <f t="shared" si="1"/>
        <v>354856.49009999976</v>
      </c>
    </row>
    <row r="27" spans="2:10" ht="15" thickBot="1" x14ac:dyDescent="0.35">
      <c r="B27" s="64" t="s">
        <v>643</v>
      </c>
      <c r="C27" s="65" t="s">
        <v>39</v>
      </c>
      <c r="D27" s="65" t="s">
        <v>40</v>
      </c>
      <c r="E27" s="65" t="s">
        <v>902</v>
      </c>
      <c r="F27" s="71">
        <f>SUMIFS(Mercado_Receita!N:N,Mercado_Receita!B:B,"=A4",Mercado_Receita!C:C,"=VERDE",Mercado_Receita!H:H,"=Fora Ponta",Mercado_Receita!Q:Q,"=Cativo")</f>
        <v>15406.453999999996</v>
      </c>
      <c r="G27" s="71">
        <f>ROUND('TE BE'!$AB$9+'TE BF'!$AB$9+'TE CVA'!$AB$9,2)</f>
        <v>222.39</v>
      </c>
      <c r="H27" s="71">
        <v>272.82</v>
      </c>
      <c r="I27" s="71">
        <f t="shared" si="0"/>
        <v>3426241.3050599988</v>
      </c>
      <c r="J27" s="72">
        <f t="shared" si="1"/>
        <v>4203188.7802799987</v>
      </c>
    </row>
    <row r="29" spans="2:10" ht="15" thickBot="1" x14ac:dyDescent="0.35">
      <c r="D29" t="s">
        <v>905</v>
      </c>
      <c r="E29" t="s">
        <v>906</v>
      </c>
      <c r="F29" t="s">
        <v>907</v>
      </c>
      <c r="G29" t="s">
        <v>908</v>
      </c>
    </row>
    <row r="30" spans="2:10" x14ac:dyDescent="0.3">
      <c r="B30" t="s">
        <v>909</v>
      </c>
      <c r="C30" s="62" t="s">
        <v>45</v>
      </c>
      <c r="D30" s="67">
        <f ca="1">SUMIFS($I$5:$I$27,$C$5:$C$27,C30,$B$5:$B$27,"TUSD")/(SUMIFS($F$5:$F$27,$C$5:$C$27,C30,$B$5:$B$27,"TUSD",$E$5:$E$27,"TUSD_E")+SUMIFS($F$5:$F$27,$C$5:$C$27,C30,$B$5:$B$27,"TUSD",$E$5:$E$27,"TUSD_E P")+SUMIFS($F$5:$F$27,$C$5:$C$27,C30,$B$5:$B$27,"TUSD",$E$5:$E$27,"TUSD_E FP"))</f>
        <v>326.22607385539038</v>
      </c>
      <c r="E30" s="67">
        <f>SUMIFS($J$5:$J$27,$C$5:$C$27,C30,$B$5:$B$27,"TUSD")/(SUMIFS($F$5:$F$27,$C$5:$C$27,C30,$B$5:$B$27,"TUSD",$E$5:$E$27,"TUSD_E")+SUMIFS($F$5:$F$27,$C$5:$C$27,C30,$B$5:$B$27,"TUSD",$E$5:$E$27,"TUSD_E P")+SUMIFS($F$5:$F$27,$C$5:$C$27,C30,$B$5:$B$27,"TUSD",$E$5:$E$27,"TUSD_E FP"))</f>
        <v>333.71359947356518</v>
      </c>
      <c r="F30" s="63" t="str">
        <f ca="1">IF(AND(E30&lt;D30,NOT(ISERROR(_xlfn.XMATCH("AVALIAR " &amp;C30,$F$30:$F$36,2)))),"APLICAR","NÃO APLICAR")</f>
        <v>NÃO APLICAR</v>
      </c>
      <c r="G30" s="66">
        <f ca="1">IF(AND(E30&lt;D30,NOT(ISERROR(_xlfn.XMATCH("AVALIAR " &amp;C30,$F$30:$F$36,2)))),1,0)</f>
        <v>0</v>
      </c>
    </row>
    <row r="31" spans="2:10" ht="15" thickBot="1" x14ac:dyDescent="0.35">
      <c r="C31" s="61" t="s">
        <v>39</v>
      </c>
      <c r="D31" s="73">
        <f ca="1">SUMIFS($I$5:$I$27,$C$5:$C$27,C31,$B$5:$B$27,"TUSD")/(SUMIFS($F$5:$F$27,$C$5:$C$27,C31,$B$5:$B$27,"TUSD",$E$5:$E$27,"TUSD_E")+SUMIFS($F$5:$F$27,$C$5:$C$27,C31,$B$5:$B$27,"TUSD",$E$5:$E$27,"TUSD_E P")+SUMIFS($F$5:$F$27,$C$5:$C$27,C31,$B$5:$B$27,"TUSD",$E$5:$E$27,"TUSD_E FP"))</f>
        <v>310.08328842172926</v>
      </c>
      <c r="E31" s="73">
        <f>SUMIFS($J$5:$J$27,$C$5:$C$27,C31,$B$5:$B$27,"TUSD")/(SUMIFS($F$5:$F$27,$C$5:$C$27,C31,$B$5:$B$27,"TUSD",$E$5:$E$27,"TUSD_E")+SUMIFS($F$5:$F$27,$C$5:$C$27,C31,$B$5:$B$27,"TUSD",$E$5:$E$27,"TUSD_E P")+SUMIFS($F$5:$F$27,$C$5:$C$27,C31,$B$5:$B$27,"TUSD",$E$5:$E$27,"TUSD_E FP"))</f>
        <v>315.97580685598984</v>
      </c>
      <c r="F31" s="32" t="str">
        <f ca="1">IF(AND(E31&lt;D31,NOT(ISERROR(_xlfn.XMATCH("AVALIAR " &amp;C31,$F$30:$F$36,2)))),"APLICAR","NÃO APLICAR")</f>
        <v>NÃO APLICAR</v>
      </c>
      <c r="G31" s="75">
        <f ca="1">IF(AND(E31&lt;D31,NOT(ISERROR(_xlfn.XMATCH("AVALIAR " &amp;C31,$F$30:$F$36,2)))),1,0)</f>
        <v>0</v>
      </c>
    </row>
    <row r="32" spans="2:10" x14ac:dyDescent="0.3">
      <c r="B32" t="s">
        <v>910</v>
      </c>
      <c r="C32" s="62" t="s">
        <v>45</v>
      </c>
      <c r="D32" s="67">
        <f>IF((SUMIFS($F$5:$F$27,$C$5:$C$27,C32,$B$5:$B$27,"TE",$E$5:$E$27,"TE P")+SUMIFS($F$5:$F$27,$C$5:$C$27,C32,$B$5:$B$27,"TE",$E$5:$E$27,"TE FP") = 0),0,SUMIFS($I$5:$I$27,$C$5:$C$27,C32,$B$5:$B$27,"TE")/(SUMIFS($F$5:$F$27,$C$5:$C$27,C32,$B$5:$B$27,"TUSD",$E$5:$E$27,"TUSD_E")+SUMIFS($F$5:$F$27,$C$5:$C$27,C32,$B$5:$B$27,"TUSD",$E$5:$E$27,"TUSD_E P")+SUMIFS($F$5:$F$27,$C$5:$C$27,C32,$B$5:$B$27,"TUSD",$E$5:$E$27,"TUSD_E FP")))</f>
        <v>222.8844157069623</v>
      </c>
      <c r="E32" s="67">
        <f>IF((SUMIFS($F$5:$F$27,$C$5:$C$27,C32,$B$5:$B$27,"TE",$E$5:$E$27,"TE P")+SUMIFS($F$5:$F$27,$C$5:$C$27,C32,$B$5:$B$27,"TE",$E$5:$E$27,"TE FP") = 0),0,SUMIFS($J$5:$J$27,$C$5:$C$27,C32,$B$5:$B$27,"TE")/(SUMIFS($F$5:$F$27,$C$5:$C$27,C32,$B$5:$B$27,"TUSD",$E$5:$E$27,"TUSD_E")+SUMIFS($F$5:$F$27,$C$5:$C$27,C32,$B$5:$B$27,"TUSD",$E$5:$E$27,"TUSD_E P")+SUMIFS($F$5:$F$27,$C$5:$C$27,C32,$B$5:$B$27,"TUSD",$E$5:$E$27,"TUSD_E FP")))</f>
        <v>273.40167178938191</v>
      </c>
      <c r="F32" s="63" t="str">
        <f ca="1">IF(AND(E32&lt;D32,NOT(ISERROR(_xlfn.XMATCH("AVALIAR " &amp;C32,$F$30:$F$36,2)))),"APLICAR","NÃO APLICAR")</f>
        <v>NÃO APLICAR</v>
      </c>
      <c r="G32" s="66">
        <f ca="1">IF(AND(E32&lt;D32,NOT(ISERROR(_xlfn.XMATCH("AVALIAR " &amp;C32,$F$30:$F$36,2)))),1,0)</f>
        <v>0</v>
      </c>
    </row>
    <row r="33" spans="2:7" ht="15" thickBot="1" x14ac:dyDescent="0.35">
      <c r="C33" s="61" t="s">
        <v>39</v>
      </c>
      <c r="D33" s="73">
        <f>IF((SUMIFS($F$5:$F$27,$C$5:$C$27,C33,$B$5:$B$27,"TE",$E$5:$E$27,"TE P")+SUMIFS($F$5:$F$27,$C$5:$C$27,C33,$B$5:$B$27,"TE",$E$5:$E$27,"TE FP") = 0),0,SUMIFS($I$5:$I$27,$C$5:$C$27,C33,$B$5:$B$27,"TE")/(SUMIFS($F$5:$F$27,$C$5:$C$27,C33,$B$5:$B$27,"TUSD",$E$5:$E$27,"TUSD_E")+SUMIFS($F$5:$F$27,$C$5:$C$27,C33,$B$5:$B$27,"TUSD",$E$5:$E$27,"TUSD_E P")+SUMIFS($F$5:$F$27,$C$5:$C$27,C33,$B$5:$B$27,"TUSD",$E$5:$E$27,"TUSD_E FP")))</f>
        <v>164.66055053714155</v>
      </c>
      <c r="E33" s="73">
        <f>IF((SUMIFS($F$5:$F$27,$C$5:$C$27,C33,$B$5:$B$27,"TE",$E$5:$E$27,"TE P")+SUMIFS($F$5:$F$27,$C$5:$C$27,C33,$B$5:$B$27,"TE",$E$5:$E$27,"TE FP") = 0),0,SUMIFS($J$5:$J$27,$C$5:$C$27,C33,$B$5:$B$27,"TE")/(SUMIFS($F$5:$F$27,$C$5:$C$27,C33,$B$5:$B$27,"TUSD",$E$5:$E$27,"TUSD_E")+SUMIFS($F$5:$F$27,$C$5:$C$27,C33,$B$5:$B$27,"TUSD",$E$5:$E$27,"TUSD_E P")+SUMIFS($F$5:$F$27,$C$5:$C$27,C33,$B$5:$B$27,"TUSD",$E$5:$E$27,"TUSD_E FP")))</f>
        <v>201.6996912686383</v>
      </c>
      <c r="F33" s="32" t="str">
        <f ca="1">IF(AND(E33&lt;D33,NOT(ISERROR(_xlfn.XMATCH("AVALIAR " &amp;C33,$F$30:$F$36,2)))),"APLICAR","NÃO APLICAR")</f>
        <v>NÃO APLICAR</v>
      </c>
      <c r="G33" s="75">
        <f ca="1">IF(AND(E33&lt;D33,NOT(ISERROR(_xlfn.XMATCH("AVALIAR " &amp;C33,$F$30:$F$36,2)))),1,0)</f>
        <v>0</v>
      </c>
    </row>
    <row r="34" spans="2:7" x14ac:dyDescent="0.3">
      <c r="B34" t="s">
        <v>911</v>
      </c>
      <c r="C34" s="62" t="s">
        <v>45</v>
      </c>
      <c r="D34" s="67">
        <f ca="1">SUMIFS(D$30:D$33,C$30:C$33,C34)</f>
        <v>549.11048956235265</v>
      </c>
      <c r="E34" s="67">
        <f>SUMIFS(E$30:E$33,C$30:C$33,C34)</f>
        <v>607.11527126294709</v>
      </c>
      <c r="F34" s="63" t="str">
        <f ca="1">IF(E34&lt;D34,"AVALIAR "&amp;C34,"NÃO ALTERAR")</f>
        <v>NÃO ALTERAR</v>
      </c>
      <c r="G34" s="66">
        <f ca="1">IF(E34&lt;D34,1,0)</f>
        <v>0</v>
      </c>
    </row>
    <row r="35" spans="2:7" ht="15" thickBot="1" x14ac:dyDescent="0.35">
      <c r="C35" s="61" t="s">
        <v>39</v>
      </c>
      <c r="D35" s="73">
        <f ca="1">SUMIFS(D$30:D$33,C$30:C$33,C35)</f>
        <v>474.74383895887081</v>
      </c>
      <c r="E35" s="73">
        <f>SUMIFS(E$30:E$33,C$30:C$33,C35)</f>
        <v>517.67549812462812</v>
      </c>
      <c r="F35" s="32" t="str">
        <f ca="1">IF(E35&lt;D35,"AVALIAR "&amp;C35,"NÃO ALTERAR")</f>
        <v>NÃO ALTERAR</v>
      </c>
      <c r="G35" s="75">
        <f ca="1">IF(E35&lt;D35,1,0)</f>
        <v>0</v>
      </c>
    </row>
    <row r="36" spans="2:7" ht="15" thickBot="1" x14ac:dyDescent="0.35">
      <c r="B36" t="s">
        <v>912</v>
      </c>
      <c r="C36" s="76" t="s">
        <v>913</v>
      </c>
      <c r="D36" s="79">
        <f ca="1">ROUND('TE BE'!$AB$13+'TE BF'!$AB$13+'TE CVA'!$AB$13,2)+ROUND('TUSD BE'!$AM$32+'TUSD BF'!$AM$32+'TUSD CVA'!$AM$32,2)</f>
        <v>716.09</v>
      </c>
      <c r="E36" s="79">
        <v>670.99</v>
      </c>
      <c r="F36" s="77" t="str">
        <f ca="1">IF(D36&lt;=E36,"NÃO ALTERAR","AVALIAR TarB1")</f>
        <v>AVALIAR TarB1</v>
      </c>
      <c r="G36" s="78">
        <f ca="1">IF(E36&lt;D36,1,0)</f>
        <v>1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CC2DE-E062-4DFC-8543-5AA653020E1F}">
  <sheetPr codeName="Planilha31"/>
  <dimension ref="B1:U17"/>
  <sheetViews>
    <sheetView showGridLines="0" workbookViewId="0">
      <selection activeCell="U1" sqref="U1"/>
    </sheetView>
  </sheetViews>
  <sheetFormatPr defaultRowHeight="14.4" x14ac:dyDescent="0.3"/>
  <sheetData>
    <row r="1" spans="2:21" x14ac:dyDescent="0.3">
      <c r="B1" s="51" t="s">
        <v>848</v>
      </c>
      <c r="C1" s="51" t="s">
        <v>849</v>
      </c>
      <c r="D1" s="51" t="s">
        <v>850</v>
      </c>
      <c r="E1" s="51" t="s">
        <v>2</v>
      </c>
      <c r="F1" s="51" t="s">
        <v>851</v>
      </c>
      <c r="G1" s="51" t="s">
        <v>757</v>
      </c>
      <c r="H1" s="51" t="s">
        <v>3</v>
      </c>
      <c r="I1" s="51" t="s">
        <v>852</v>
      </c>
      <c r="J1" s="51" t="s">
        <v>5</v>
      </c>
      <c r="K1" s="51" t="s">
        <v>1</v>
      </c>
      <c r="L1" s="51" t="s">
        <v>853</v>
      </c>
      <c r="M1" s="51" t="s">
        <v>854</v>
      </c>
      <c r="N1" s="51" t="s">
        <v>855</v>
      </c>
      <c r="O1" s="51" t="s">
        <v>856</v>
      </c>
      <c r="P1" s="51" t="s">
        <v>857</v>
      </c>
      <c r="Q1" s="51" t="s">
        <v>858</v>
      </c>
      <c r="R1" s="51" t="s">
        <v>859</v>
      </c>
      <c r="S1" s="51" t="s">
        <v>860</v>
      </c>
      <c r="T1" s="51" t="s">
        <v>861</v>
      </c>
      <c r="U1" s="51" t="s">
        <v>862</v>
      </c>
    </row>
    <row r="2" spans="2:21" x14ac:dyDescent="0.3">
      <c r="B2" s="50" t="s">
        <v>827</v>
      </c>
      <c r="C2" s="50">
        <v>8717</v>
      </c>
      <c r="D2" s="50">
        <v>103</v>
      </c>
      <c r="E2" s="50" t="s">
        <v>23</v>
      </c>
      <c r="F2" s="50">
        <v>1</v>
      </c>
      <c r="G2" s="50" t="s">
        <v>828</v>
      </c>
      <c r="H2" s="50" t="s">
        <v>44</v>
      </c>
      <c r="I2" s="50" t="s">
        <v>25</v>
      </c>
      <c r="J2" s="50" t="s">
        <v>829</v>
      </c>
      <c r="K2" s="50" t="s">
        <v>39</v>
      </c>
      <c r="L2" s="50">
        <v>0.1</v>
      </c>
      <c r="M2" s="50">
        <v>0.08</v>
      </c>
      <c r="N2" s="50">
        <v>0.06</v>
      </c>
      <c r="O2" s="50">
        <v>0.04</v>
      </c>
      <c r="P2" s="50">
        <v>0.02</v>
      </c>
      <c r="Q2" s="50">
        <v>0</v>
      </c>
      <c r="R2" s="50"/>
      <c r="S2" s="50"/>
      <c r="T2" s="50"/>
      <c r="U2" s="50">
        <v>3</v>
      </c>
    </row>
    <row r="3" spans="2:21" x14ac:dyDescent="0.3">
      <c r="B3" s="50" t="s">
        <v>830</v>
      </c>
      <c r="C3" s="50">
        <v>8718</v>
      </c>
      <c r="D3" s="50">
        <v>103</v>
      </c>
      <c r="E3" s="50" t="s">
        <v>42</v>
      </c>
      <c r="F3" s="50">
        <v>1</v>
      </c>
      <c r="G3" s="50" t="s">
        <v>828</v>
      </c>
      <c r="H3" s="50" t="s">
        <v>50</v>
      </c>
      <c r="I3" s="50" t="s">
        <v>51</v>
      </c>
      <c r="J3" s="50" t="s">
        <v>831</v>
      </c>
      <c r="K3" s="50" t="s">
        <v>39</v>
      </c>
      <c r="L3" s="50">
        <v>0.15</v>
      </c>
      <c r="M3" s="50">
        <v>0.12</v>
      </c>
      <c r="N3" s="50">
        <v>0.09</v>
      </c>
      <c r="O3" s="50">
        <v>0.06</v>
      </c>
      <c r="P3" s="50">
        <v>0.03</v>
      </c>
      <c r="Q3" s="50">
        <v>0</v>
      </c>
      <c r="R3" s="50"/>
      <c r="S3" s="50"/>
      <c r="T3" s="50"/>
      <c r="U3" s="50">
        <v>3</v>
      </c>
    </row>
    <row r="4" spans="2:21" x14ac:dyDescent="0.3">
      <c r="B4" s="50" t="s">
        <v>832</v>
      </c>
      <c r="C4" s="50">
        <v>8719</v>
      </c>
      <c r="D4" s="50">
        <v>103</v>
      </c>
      <c r="E4" s="50" t="s">
        <v>40</v>
      </c>
      <c r="F4" s="50">
        <v>1</v>
      </c>
      <c r="G4" s="50" t="s">
        <v>828</v>
      </c>
      <c r="H4" s="50" t="s">
        <v>50</v>
      </c>
      <c r="I4" s="50" t="s">
        <v>51</v>
      </c>
      <c r="J4" s="50" t="s">
        <v>831</v>
      </c>
      <c r="K4" s="50" t="s">
        <v>39</v>
      </c>
      <c r="L4" s="50">
        <v>0.15</v>
      </c>
      <c r="M4" s="50">
        <v>0.12</v>
      </c>
      <c r="N4" s="50">
        <v>0.09</v>
      </c>
      <c r="O4" s="50">
        <v>0.06</v>
      </c>
      <c r="P4" s="50">
        <v>0.03</v>
      </c>
      <c r="Q4" s="50">
        <v>0</v>
      </c>
      <c r="R4" s="50"/>
      <c r="S4" s="50"/>
      <c r="T4" s="50"/>
      <c r="U4" s="50">
        <v>3</v>
      </c>
    </row>
    <row r="5" spans="2:21" x14ac:dyDescent="0.3">
      <c r="B5" s="50" t="s">
        <v>833</v>
      </c>
      <c r="C5" s="50">
        <v>8720</v>
      </c>
      <c r="D5" s="50">
        <v>103</v>
      </c>
      <c r="E5" s="50" t="s">
        <v>834</v>
      </c>
      <c r="F5" s="50">
        <v>1</v>
      </c>
      <c r="G5" s="50" t="s">
        <v>828</v>
      </c>
      <c r="H5" s="50" t="s">
        <v>50</v>
      </c>
      <c r="I5" s="50" t="s">
        <v>51</v>
      </c>
      <c r="J5" s="50" t="s">
        <v>831</v>
      </c>
      <c r="K5" s="50" t="s">
        <v>39</v>
      </c>
      <c r="L5" s="50">
        <v>0.15</v>
      </c>
      <c r="M5" s="50">
        <v>0.12</v>
      </c>
      <c r="N5" s="50">
        <v>0.09</v>
      </c>
      <c r="O5" s="50">
        <v>0.06</v>
      </c>
      <c r="P5" s="50">
        <v>0.03</v>
      </c>
      <c r="Q5" s="50">
        <v>0</v>
      </c>
      <c r="R5" s="50"/>
      <c r="S5" s="50"/>
      <c r="T5" s="50"/>
      <c r="U5" s="50">
        <v>3</v>
      </c>
    </row>
    <row r="6" spans="2:21" x14ac:dyDescent="0.3">
      <c r="B6" s="50" t="s">
        <v>835</v>
      </c>
      <c r="C6" s="50">
        <v>8721</v>
      </c>
      <c r="D6" s="50">
        <v>103</v>
      </c>
      <c r="E6" s="50" t="s">
        <v>23</v>
      </c>
      <c r="F6" s="50">
        <v>1</v>
      </c>
      <c r="G6" s="50" t="s">
        <v>828</v>
      </c>
      <c r="H6" s="50" t="s">
        <v>44</v>
      </c>
      <c r="I6" s="50" t="s">
        <v>25</v>
      </c>
      <c r="J6" s="50" t="s">
        <v>44</v>
      </c>
      <c r="K6" s="50" t="s">
        <v>43</v>
      </c>
      <c r="L6" s="50">
        <v>0.3</v>
      </c>
      <c r="M6" s="50">
        <v>0.24</v>
      </c>
      <c r="N6" s="50">
        <v>0.18</v>
      </c>
      <c r="O6" s="50">
        <v>0.12</v>
      </c>
      <c r="P6" s="50">
        <v>0.06</v>
      </c>
      <c r="Q6" s="50">
        <v>0</v>
      </c>
      <c r="R6" s="50"/>
      <c r="S6" s="50"/>
      <c r="T6" s="50"/>
      <c r="U6" s="50">
        <v>3</v>
      </c>
    </row>
    <row r="7" spans="2:21" x14ac:dyDescent="0.3">
      <c r="B7" s="50" t="s">
        <v>836</v>
      </c>
      <c r="C7" s="50">
        <v>8722</v>
      </c>
      <c r="D7" s="50">
        <v>103</v>
      </c>
      <c r="E7" s="50" t="s">
        <v>33</v>
      </c>
      <c r="F7" s="50">
        <v>1</v>
      </c>
      <c r="G7" s="50" t="s">
        <v>828</v>
      </c>
      <c r="H7" s="50" t="s">
        <v>44</v>
      </c>
      <c r="I7" s="50" t="s">
        <v>25</v>
      </c>
      <c r="J7" s="50" t="s">
        <v>44</v>
      </c>
      <c r="K7" s="50" t="s">
        <v>43</v>
      </c>
      <c r="L7" s="50">
        <v>0.3</v>
      </c>
      <c r="M7" s="50">
        <v>0.24</v>
      </c>
      <c r="N7" s="50">
        <v>0.18</v>
      </c>
      <c r="O7" s="50">
        <v>0.12</v>
      </c>
      <c r="P7" s="50">
        <v>0.06</v>
      </c>
      <c r="Q7" s="50">
        <v>0</v>
      </c>
      <c r="R7" s="50"/>
      <c r="S7" s="50"/>
      <c r="T7" s="50"/>
      <c r="U7" s="50">
        <v>3</v>
      </c>
    </row>
    <row r="8" spans="2:21" x14ac:dyDescent="0.3">
      <c r="B8" s="50" t="s">
        <v>837</v>
      </c>
      <c r="C8" s="50">
        <v>8723</v>
      </c>
      <c r="D8" s="50">
        <v>103</v>
      </c>
      <c r="E8" s="50" t="s">
        <v>23</v>
      </c>
      <c r="F8" s="50">
        <v>1</v>
      </c>
      <c r="G8" s="50" t="s">
        <v>828</v>
      </c>
      <c r="H8" s="50" t="s">
        <v>44</v>
      </c>
      <c r="I8" s="50" t="s">
        <v>94</v>
      </c>
      <c r="J8" s="50" t="s">
        <v>831</v>
      </c>
      <c r="K8" s="50" t="s">
        <v>43</v>
      </c>
      <c r="L8" s="50">
        <v>0.3</v>
      </c>
      <c r="M8" s="50">
        <v>0.24</v>
      </c>
      <c r="N8" s="50">
        <v>0.18</v>
      </c>
      <c r="O8" s="50">
        <v>0.12</v>
      </c>
      <c r="P8" s="50">
        <v>0.06</v>
      </c>
      <c r="Q8" s="50">
        <v>0</v>
      </c>
      <c r="R8" s="50"/>
      <c r="S8" s="50"/>
      <c r="T8" s="50"/>
      <c r="U8" s="50">
        <v>3</v>
      </c>
    </row>
    <row r="9" spans="2:21" x14ac:dyDescent="0.3">
      <c r="B9" s="50" t="s">
        <v>838</v>
      </c>
      <c r="C9" s="50">
        <v>8724</v>
      </c>
      <c r="D9" s="50">
        <v>103</v>
      </c>
      <c r="E9" s="50" t="s">
        <v>839</v>
      </c>
      <c r="F9" s="50">
        <v>1</v>
      </c>
      <c r="G9" s="50" t="s">
        <v>828</v>
      </c>
      <c r="H9" s="50" t="s">
        <v>44</v>
      </c>
      <c r="I9" s="50" t="s">
        <v>94</v>
      </c>
      <c r="J9" s="50" t="s">
        <v>831</v>
      </c>
      <c r="K9" s="50" t="s">
        <v>43</v>
      </c>
      <c r="L9" s="50">
        <v>0.3</v>
      </c>
      <c r="M9" s="50">
        <v>0.24</v>
      </c>
      <c r="N9" s="50">
        <v>0.18</v>
      </c>
      <c r="O9" s="50">
        <v>0.12</v>
      </c>
      <c r="P9" s="50">
        <v>0.06</v>
      </c>
      <c r="Q9" s="50">
        <v>0</v>
      </c>
      <c r="R9" s="50"/>
      <c r="S9" s="50"/>
      <c r="T9" s="50"/>
      <c r="U9" s="50">
        <v>3</v>
      </c>
    </row>
    <row r="10" spans="2:21" x14ac:dyDescent="0.3">
      <c r="B10" s="50" t="s">
        <v>840</v>
      </c>
      <c r="C10" s="50">
        <v>8725</v>
      </c>
      <c r="D10" s="50">
        <v>103</v>
      </c>
      <c r="E10" s="50" t="s">
        <v>23</v>
      </c>
      <c r="F10" s="50">
        <v>1</v>
      </c>
      <c r="G10" s="50" t="s">
        <v>828</v>
      </c>
      <c r="H10" s="50" t="s">
        <v>44</v>
      </c>
      <c r="I10" s="50" t="s">
        <v>95</v>
      </c>
      <c r="J10" s="50" t="s">
        <v>831</v>
      </c>
      <c r="K10" s="50" t="s">
        <v>43</v>
      </c>
      <c r="L10" s="50">
        <v>0.4</v>
      </c>
      <c r="M10" s="50">
        <v>0.32</v>
      </c>
      <c r="N10" s="50">
        <v>0.24</v>
      </c>
      <c r="O10" s="50">
        <v>0.16</v>
      </c>
      <c r="P10" s="50">
        <v>0.08</v>
      </c>
      <c r="Q10" s="50">
        <v>0</v>
      </c>
      <c r="R10" s="50"/>
      <c r="S10" s="50"/>
      <c r="T10" s="50"/>
      <c r="U10" s="50">
        <v>3</v>
      </c>
    </row>
    <row r="11" spans="2:21" x14ac:dyDescent="0.3">
      <c r="B11" s="50" t="s">
        <v>841</v>
      </c>
      <c r="C11" s="50">
        <v>8726</v>
      </c>
      <c r="D11" s="50">
        <v>103</v>
      </c>
      <c r="E11" s="50" t="s">
        <v>839</v>
      </c>
      <c r="F11" s="50">
        <v>1</v>
      </c>
      <c r="G11" s="50" t="s">
        <v>828</v>
      </c>
      <c r="H11" s="50" t="s">
        <v>44</v>
      </c>
      <c r="I11" s="50" t="s">
        <v>95</v>
      </c>
      <c r="J11" s="50" t="s">
        <v>831</v>
      </c>
      <c r="K11" s="50" t="s">
        <v>43</v>
      </c>
      <c r="L11" s="50">
        <v>0.4</v>
      </c>
      <c r="M11" s="50">
        <v>0.32</v>
      </c>
      <c r="N11" s="50">
        <v>0.24</v>
      </c>
      <c r="O11" s="50">
        <v>0.16</v>
      </c>
      <c r="P11" s="50">
        <v>0.08</v>
      </c>
      <c r="Q11" s="50">
        <v>0</v>
      </c>
      <c r="R11" s="50"/>
      <c r="S11" s="50"/>
      <c r="T11" s="50"/>
      <c r="U11" s="50">
        <v>3</v>
      </c>
    </row>
    <row r="12" spans="2:21" x14ac:dyDescent="0.3">
      <c r="B12" s="50" t="s">
        <v>842</v>
      </c>
      <c r="C12" s="50">
        <v>8727</v>
      </c>
      <c r="D12" s="50">
        <v>103</v>
      </c>
      <c r="E12" s="50" t="s">
        <v>23</v>
      </c>
      <c r="F12" s="50">
        <v>1</v>
      </c>
      <c r="G12" s="50" t="s">
        <v>828</v>
      </c>
      <c r="H12" s="50" t="s">
        <v>50</v>
      </c>
      <c r="I12" s="50" t="s">
        <v>51</v>
      </c>
      <c r="J12" s="50" t="s">
        <v>831</v>
      </c>
      <c r="K12" s="50" t="s">
        <v>37</v>
      </c>
      <c r="L12" s="50">
        <v>0.15</v>
      </c>
      <c r="M12" s="50">
        <v>0.12</v>
      </c>
      <c r="N12" s="50">
        <v>0.09</v>
      </c>
      <c r="O12" s="50">
        <v>0.06</v>
      </c>
      <c r="P12" s="50">
        <v>0.03</v>
      </c>
      <c r="Q12" s="50">
        <v>0</v>
      </c>
      <c r="R12" s="50"/>
      <c r="S12" s="50"/>
      <c r="T12" s="50"/>
      <c r="U12" s="50">
        <v>3</v>
      </c>
    </row>
    <row r="13" spans="2:21" x14ac:dyDescent="0.3">
      <c r="B13" s="50" t="s">
        <v>843</v>
      </c>
      <c r="C13" s="50">
        <v>8728</v>
      </c>
      <c r="D13" s="50">
        <v>103</v>
      </c>
      <c r="E13" s="50" t="s">
        <v>33</v>
      </c>
      <c r="F13" s="50">
        <v>1</v>
      </c>
      <c r="G13" s="50" t="s">
        <v>828</v>
      </c>
      <c r="H13" s="50" t="s">
        <v>50</v>
      </c>
      <c r="I13" s="50" t="s">
        <v>51</v>
      </c>
      <c r="J13" s="50" t="s">
        <v>831</v>
      </c>
      <c r="K13" s="50" t="s">
        <v>37</v>
      </c>
      <c r="L13" s="50">
        <v>0.15</v>
      </c>
      <c r="M13" s="50">
        <v>0.12</v>
      </c>
      <c r="N13" s="50">
        <v>0.09</v>
      </c>
      <c r="O13" s="50">
        <v>0.06</v>
      </c>
      <c r="P13" s="50">
        <v>0.03</v>
      </c>
      <c r="Q13" s="50">
        <v>0</v>
      </c>
      <c r="R13" s="50"/>
      <c r="S13" s="50"/>
      <c r="T13" s="50"/>
      <c r="U13" s="50">
        <v>3</v>
      </c>
    </row>
    <row r="14" spans="2:21" x14ac:dyDescent="0.3">
      <c r="B14" s="50" t="s">
        <v>844</v>
      </c>
      <c r="C14" s="50">
        <v>8729</v>
      </c>
      <c r="D14" s="50">
        <v>103</v>
      </c>
      <c r="E14" s="50" t="s">
        <v>42</v>
      </c>
      <c r="F14" s="50">
        <v>1</v>
      </c>
      <c r="G14" s="50" t="s">
        <v>828</v>
      </c>
      <c r="H14" s="50" t="s">
        <v>44</v>
      </c>
      <c r="I14" s="50" t="s">
        <v>25</v>
      </c>
      <c r="J14" s="50" t="s">
        <v>829</v>
      </c>
      <c r="K14" s="50" t="s">
        <v>45</v>
      </c>
      <c r="L14" s="50">
        <v>0.1</v>
      </c>
      <c r="M14" s="50">
        <v>0.08</v>
      </c>
      <c r="N14" s="50">
        <v>0.06</v>
      </c>
      <c r="O14" s="50">
        <v>0.04</v>
      </c>
      <c r="P14" s="50">
        <v>0.02</v>
      </c>
      <c r="Q14" s="50">
        <v>0</v>
      </c>
      <c r="R14" s="50"/>
      <c r="S14" s="50"/>
      <c r="T14" s="50"/>
      <c r="U14" s="50">
        <v>3</v>
      </c>
    </row>
    <row r="15" spans="2:21" x14ac:dyDescent="0.3">
      <c r="B15" s="50" t="s">
        <v>845</v>
      </c>
      <c r="C15" s="50">
        <v>8730</v>
      </c>
      <c r="D15" s="50">
        <v>103</v>
      </c>
      <c r="E15" s="50" t="s">
        <v>40</v>
      </c>
      <c r="F15" s="50">
        <v>1</v>
      </c>
      <c r="G15" s="50" t="s">
        <v>828</v>
      </c>
      <c r="H15" s="50" t="s">
        <v>44</v>
      </c>
      <c r="I15" s="50" t="s">
        <v>25</v>
      </c>
      <c r="J15" s="50" t="s">
        <v>829</v>
      </c>
      <c r="K15" s="50" t="s">
        <v>45</v>
      </c>
      <c r="L15" s="50">
        <v>0.1</v>
      </c>
      <c r="M15" s="50">
        <v>0.08</v>
      </c>
      <c r="N15" s="50">
        <v>0.06</v>
      </c>
      <c r="O15" s="50">
        <v>0.04</v>
      </c>
      <c r="P15" s="50">
        <v>0.02</v>
      </c>
      <c r="Q15" s="50">
        <v>0</v>
      </c>
      <c r="R15" s="50"/>
      <c r="S15" s="50"/>
      <c r="T15" s="50"/>
      <c r="U15" s="50">
        <v>3</v>
      </c>
    </row>
    <row r="16" spans="2:21" x14ac:dyDescent="0.3">
      <c r="B16" s="50" t="s">
        <v>846</v>
      </c>
      <c r="C16" s="50">
        <v>8715</v>
      </c>
      <c r="D16" s="50">
        <v>103</v>
      </c>
      <c r="E16" s="50" t="s">
        <v>42</v>
      </c>
      <c r="F16" s="50">
        <v>1</v>
      </c>
      <c r="G16" s="50" t="s">
        <v>828</v>
      </c>
      <c r="H16" s="50" t="s">
        <v>44</v>
      </c>
      <c r="I16" s="50" t="s">
        <v>25</v>
      </c>
      <c r="J16" s="50" t="s">
        <v>829</v>
      </c>
      <c r="K16" s="50" t="s">
        <v>39</v>
      </c>
      <c r="L16" s="50">
        <v>0.1</v>
      </c>
      <c r="M16" s="50">
        <v>0.08</v>
      </c>
      <c r="N16" s="50">
        <v>0.06</v>
      </c>
      <c r="O16" s="50">
        <v>0.04</v>
      </c>
      <c r="P16" s="50">
        <v>0.02</v>
      </c>
      <c r="Q16" s="50">
        <v>0</v>
      </c>
      <c r="R16" s="50"/>
      <c r="S16" s="50"/>
      <c r="T16" s="50"/>
      <c r="U16" s="50">
        <v>3</v>
      </c>
    </row>
    <row r="17" spans="2:21" x14ac:dyDescent="0.3">
      <c r="B17" s="50" t="s">
        <v>847</v>
      </c>
      <c r="C17" s="50">
        <v>8716</v>
      </c>
      <c r="D17" s="50">
        <v>103</v>
      </c>
      <c r="E17" s="50" t="s">
        <v>40</v>
      </c>
      <c r="F17" s="50">
        <v>1</v>
      </c>
      <c r="G17" s="50" t="s">
        <v>828</v>
      </c>
      <c r="H17" s="50" t="s">
        <v>44</v>
      </c>
      <c r="I17" s="50" t="s">
        <v>25</v>
      </c>
      <c r="J17" s="50" t="s">
        <v>829</v>
      </c>
      <c r="K17" s="50" t="s">
        <v>39</v>
      </c>
      <c r="L17" s="50">
        <v>0.1</v>
      </c>
      <c r="M17" s="50">
        <v>0.08</v>
      </c>
      <c r="N17" s="50">
        <v>0.06</v>
      </c>
      <c r="O17" s="50">
        <v>0.04</v>
      </c>
      <c r="P17" s="50">
        <v>0.02</v>
      </c>
      <c r="Q17" s="50">
        <v>0</v>
      </c>
      <c r="R17" s="50"/>
      <c r="S17" s="50"/>
      <c r="T17" s="50"/>
      <c r="U17" s="50">
        <v>3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10106-6A99-42FC-A7EC-A873C2DA4FAA}">
  <dimension ref="A1:L18"/>
  <sheetViews>
    <sheetView showGridLines="0" workbookViewId="0">
      <selection activeCell="F8" sqref="F8"/>
    </sheetView>
  </sheetViews>
  <sheetFormatPr defaultColWidth="9.109375" defaultRowHeight="10.199999999999999" x14ac:dyDescent="0.2"/>
  <cols>
    <col min="1" max="1" width="31.44140625" style="14" bestFit="1" customWidth="1"/>
    <col min="2" max="2" width="18.44140625" style="14" customWidth="1"/>
    <col min="3" max="12" width="11" style="14" customWidth="1"/>
    <col min="13" max="16384" width="9.109375" style="14"/>
  </cols>
  <sheetData>
    <row r="1" spans="1:12" ht="10.8" thickBot="1" x14ac:dyDescent="0.25">
      <c r="A1" s="108" t="s">
        <v>1392</v>
      </c>
      <c r="B1" s="108" t="s">
        <v>22</v>
      </c>
      <c r="C1" s="108" t="s">
        <v>1391</v>
      </c>
      <c r="D1" s="108" t="s">
        <v>1390</v>
      </c>
      <c r="E1" s="108" t="s">
        <v>37</v>
      </c>
      <c r="F1" s="108" t="s">
        <v>1389</v>
      </c>
      <c r="G1" s="108" t="s">
        <v>1388</v>
      </c>
      <c r="H1" s="108" t="s">
        <v>750</v>
      </c>
      <c r="I1" s="108" t="s">
        <v>39</v>
      </c>
      <c r="J1" s="108" t="s">
        <v>45</v>
      </c>
      <c r="K1" s="108" t="s">
        <v>749</v>
      </c>
      <c r="L1" s="108" t="s">
        <v>748</v>
      </c>
    </row>
    <row r="2" spans="1:12" x14ac:dyDescent="0.2">
      <c r="A2" s="104" t="s">
        <v>1387</v>
      </c>
      <c r="B2" s="110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463.48516825948843</v>
      </c>
      <c r="C2" s="110">
        <f t="shared" si="0"/>
        <v>435.36934003786507</v>
      </c>
      <c r="D2" s="110">
        <f t="shared" si="0"/>
        <v>426.42339469462121</v>
      </c>
      <c r="E2" s="110">
        <f t="shared" si="0"/>
        <v>463.48516825948843</v>
      </c>
      <c r="F2" s="110">
        <f t="shared" si="0"/>
        <v>254.7464435837997</v>
      </c>
      <c r="G2" s="110">
        <f t="shared" si="0"/>
        <v>278.17630043515254</v>
      </c>
      <c r="H2" s="110">
        <f t="shared" si="0"/>
        <v>0</v>
      </c>
      <c r="I2" s="110">
        <f t="shared" si="0"/>
        <v>646.08186849849324</v>
      </c>
      <c r="J2" s="110">
        <f t="shared" si="0"/>
        <v>646.08186849849324</v>
      </c>
      <c r="K2" s="110">
        <f t="shared" si="0"/>
        <v>0</v>
      </c>
      <c r="L2" s="110">
        <f t="shared" si="0"/>
        <v>0</v>
      </c>
    </row>
    <row r="3" spans="1:12" ht="10.8" thickBot="1" x14ac:dyDescent="0.25">
      <c r="A3" s="102" t="s">
        <v>1386</v>
      </c>
      <c r="B3" s="109">
        <v>10.88</v>
      </c>
      <c r="C3" s="109">
        <v>10.220000000000001</v>
      </c>
      <c r="D3" s="109">
        <v>10.01</v>
      </c>
      <c r="E3" s="109">
        <v>10.88</v>
      </c>
      <c r="F3" s="109">
        <v>5.98</v>
      </c>
      <c r="G3" s="109">
        <v>6.53</v>
      </c>
      <c r="H3" s="109">
        <v>0</v>
      </c>
      <c r="I3" s="109">
        <f>'TUSD BE'!$AC$18</f>
        <v>15.166333705263506</v>
      </c>
      <c r="J3" s="109">
        <f>'TUSD BE'!$AC$6</f>
        <v>15.166333705263506</v>
      </c>
      <c r="K3" s="109">
        <v>0</v>
      </c>
      <c r="L3" s="109">
        <v>0</v>
      </c>
    </row>
    <row r="5" spans="1:12" ht="10.8" thickBot="1" x14ac:dyDescent="0.25">
      <c r="A5" s="108" t="s">
        <v>1385</v>
      </c>
      <c r="B5" s="108" t="s">
        <v>1384</v>
      </c>
    </row>
    <row r="6" spans="1:12" x14ac:dyDescent="0.2">
      <c r="A6" s="104" t="s">
        <v>1383</v>
      </c>
      <c r="B6" s="107">
        <v>0.106354</v>
      </c>
    </row>
    <row r="7" spans="1:12" x14ac:dyDescent="0.2">
      <c r="A7" s="106" t="s">
        <v>1382</v>
      </c>
      <c r="B7" s="105">
        <v>0.34</v>
      </c>
    </row>
    <row r="8" spans="1:12" x14ac:dyDescent="0.2">
      <c r="A8" s="104" t="s">
        <v>1381</v>
      </c>
      <c r="B8" s="103">
        <v>27646790.676531076</v>
      </c>
    </row>
    <row r="9" spans="1:12" x14ac:dyDescent="0.2">
      <c r="A9" s="106" t="s">
        <v>1380</v>
      </c>
      <c r="B9" s="105">
        <v>3.73E-2</v>
      </c>
    </row>
    <row r="10" spans="1:12" x14ac:dyDescent="0.2">
      <c r="A10" s="104" t="s">
        <v>1379</v>
      </c>
      <c r="B10" s="103">
        <v>16464316.39030008</v>
      </c>
    </row>
    <row r="11" spans="1:12" ht="10.8" thickBot="1" x14ac:dyDescent="0.25">
      <c r="A11" s="102" t="s">
        <v>1378</v>
      </c>
      <c r="B11" s="101">
        <f>(1+$B$6)^(1/IF($B$9&lt;&gt;0,$B$9,1))*$B$6/IF((1+$B$6)^(1/IF($B$9&lt;&gt;0,$B$9,1))-1&lt;&gt;0,(1+$B$6)^(1/IF($B$9&lt;&gt;0,$B$9,1))-1,1)</f>
        <v>0.11393770940541034</v>
      </c>
    </row>
    <row r="18" spans="2:2" x14ac:dyDescent="0.2">
      <c r="B18" s="10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51F36-A77C-4601-9EB6-D6800729F535}">
  <dimension ref="B1:AT66"/>
  <sheetViews>
    <sheetView showGridLines="0" workbookViewId="0">
      <selection activeCell="B4" sqref="B4"/>
    </sheetView>
  </sheetViews>
  <sheetFormatPr defaultRowHeight="14.4" x14ac:dyDescent="0.3"/>
  <cols>
    <col min="2" max="2" width="13" bestFit="1" customWidth="1"/>
    <col min="3" max="3" width="26.88671875" bestFit="1" customWidth="1"/>
    <col min="4" max="4" width="17.33203125" bestFit="1" customWidth="1"/>
    <col min="5" max="5" width="30.21875" bestFit="1" customWidth="1"/>
    <col min="6" max="6" width="12.21875" bestFit="1" customWidth="1"/>
    <col min="7" max="7" width="13" bestFit="1" customWidth="1"/>
    <col min="8" max="8" width="11.218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77734375" bestFit="1" customWidth="1"/>
    <col min="13" max="13" width="13.6640625" bestFit="1" customWidth="1"/>
    <col min="14" max="14" width="12.21875" bestFit="1" customWidth="1"/>
    <col min="15" max="15" width="12.44140625" bestFit="1" customWidth="1"/>
    <col min="16" max="17" width="12.109375" bestFit="1" customWidth="1"/>
    <col min="18" max="18" width="16.6640625" bestFit="1" customWidth="1"/>
    <col min="19" max="19" width="10.5546875" bestFit="1" customWidth="1"/>
    <col min="20" max="22" width="12" bestFit="1" customWidth="1"/>
    <col min="23" max="23" width="12.21875" bestFit="1" customWidth="1"/>
    <col min="24" max="24" width="13.44140625" bestFit="1" customWidth="1"/>
    <col min="25" max="25" width="11.109375" bestFit="1" customWidth="1"/>
    <col min="26" max="26" width="13.88671875" bestFit="1" customWidth="1"/>
    <col min="27" max="27" width="12.44140625" bestFit="1" customWidth="1"/>
    <col min="28" max="28" width="15.6640625" bestFit="1" customWidth="1"/>
    <col min="29" max="29" width="24.33203125" bestFit="1" customWidth="1"/>
    <col min="30" max="30" width="14" bestFit="1" customWidth="1"/>
    <col min="31" max="31" width="12" bestFit="1" customWidth="1"/>
    <col min="32" max="32" width="17.21875" bestFit="1" customWidth="1"/>
    <col min="33" max="33" width="12.21875" bestFit="1" customWidth="1"/>
    <col min="34" max="34" width="12" bestFit="1" customWidth="1"/>
    <col min="35" max="35" width="16.109375" bestFit="1" customWidth="1"/>
    <col min="36" max="36" width="14.44140625" bestFit="1" customWidth="1"/>
    <col min="37" max="37" width="12" bestFit="1" customWidth="1"/>
    <col min="38" max="38" width="12.44140625" bestFit="1" customWidth="1"/>
    <col min="39" max="39" width="11.88671875" bestFit="1" customWidth="1"/>
    <col min="40" max="40" width="13.77734375" bestFit="1" customWidth="1"/>
    <col min="41" max="41" width="24.5546875" bestFit="1" customWidth="1"/>
    <col min="42" max="42" width="17.44140625" bestFit="1" customWidth="1"/>
    <col min="43" max="43" width="13.21875" bestFit="1" customWidth="1"/>
    <col min="44" max="44" width="12.88671875" bestFit="1" customWidth="1"/>
    <col min="45" max="45" width="21.6640625" bestFit="1" customWidth="1"/>
    <col min="46" max="46" width="12.21875" bestFit="1" customWidth="1"/>
  </cols>
  <sheetData>
    <row r="1" spans="2:46" ht="12" customHeight="1" x14ac:dyDescent="0.3">
      <c r="L1" s="160" t="s">
        <v>1432</v>
      </c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1"/>
      <c r="AI1" s="160" t="s">
        <v>1433</v>
      </c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</row>
    <row r="2" spans="2:46" ht="12" customHeight="1" x14ac:dyDescent="0.3">
      <c r="L2" s="162" t="s">
        <v>616</v>
      </c>
      <c r="M2" s="162"/>
      <c r="N2" s="162"/>
      <c r="O2" s="162"/>
      <c r="P2" s="162"/>
      <c r="Q2" s="162"/>
      <c r="R2" s="162"/>
      <c r="S2" s="163"/>
      <c r="T2" s="162" t="s">
        <v>625</v>
      </c>
      <c r="U2" s="162"/>
      <c r="V2" s="162"/>
      <c r="W2" s="162"/>
      <c r="X2" s="162"/>
      <c r="Y2" s="162"/>
      <c r="Z2" s="163"/>
      <c r="AA2" s="121" t="s">
        <v>633</v>
      </c>
      <c r="AB2" s="162" t="s">
        <v>25</v>
      </c>
      <c r="AC2" s="162"/>
      <c r="AD2" s="163"/>
      <c r="AE2" s="162" t="s">
        <v>1431</v>
      </c>
      <c r="AF2" s="162"/>
      <c r="AG2" s="162"/>
      <c r="AH2" s="163"/>
      <c r="AI2" s="162" t="s">
        <v>616</v>
      </c>
      <c r="AJ2" s="162"/>
      <c r="AK2" s="162"/>
      <c r="AL2" s="162"/>
      <c r="AM2" s="163"/>
      <c r="AN2" s="121" t="s">
        <v>647</v>
      </c>
      <c r="AO2" s="162" t="s">
        <v>625</v>
      </c>
      <c r="AP2" s="162"/>
      <c r="AQ2" s="162"/>
      <c r="AR2" s="162"/>
      <c r="AS2" s="163"/>
      <c r="AT2" s="120" t="s">
        <v>1431</v>
      </c>
    </row>
    <row r="3" spans="2:46" ht="12" customHeight="1" x14ac:dyDescent="0.3">
      <c r="B3" s="111" t="s">
        <v>69</v>
      </c>
      <c r="C3" s="112" t="s">
        <v>70</v>
      </c>
      <c r="D3" s="112" t="s">
        <v>71</v>
      </c>
      <c r="E3" s="112" t="s">
        <v>72</v>
      </c>
      <c r="F3" s="112" t="s">
        <v>73</v>
      </c>
      <c r="G3" s="112" t="s">
        <v>75</v>
      </c>
      <c r="H3" s="112" t="s">
        <v>76</v>
      </c>
      <c r="I3" s="112" t="s">
        <v>986</v>
      </c>
      <c r="J3" s="112" t="s">
        <v>1393</v>
      </c>
      <c r="K3" s="112" t="s">
        <v>1394</v>
      </c>
      <c r="L3" s="112" t="s">
        <v>1395</v>
      </c>
      <c r="M3" s="112" t="s">
        <v>1396</v>
      </c>
      <c r="N3" s="112" t="s">
        <v>1397</v>
      </c>
      <c r="O3" s="112" t="s">
        <v>1398</v>
      </c>
      <c r="P3" s="112" t="s">
        <v>1399</v>
      </c>
      <c r="Q3" s="112" t="s">
        <v>1400</v>
      </c>
      <c r="R3" s="112" t="s">
        <v>1401</v>
      </c>
      <c r="S3" s="112" t="s">
        <v>1402</v>
      </c>
      <c r="T3" s="112" t="s">
        <v>1403</v>
      </c>
      <c r="U3" s="112" t="s">
        <v>1404</v>
      </c>
      <c r="V3" s="112" t="s">
        <v>1405</v>
      </c>
      <c r="W3" s="112" t="s">
        <v>1406</v>
      </c>
      <c r="X3" s="112" t="s">
        <v>1407</v>
      </c>
      <c r="Y3" s="112" t="s">
        <v>1408</v>
      </c>
      <c r="Z3" s="112" t="s">
        <v>1409</v>
      </c>
      <c r="AA3" s="112" t="s">
        <v>1410</v>
      </c>
      <c r="AB3" s="112" t="s">
        <v>1411</v>
      </c>
      <c r="AC3" s="112" t="s">
        <v>1412</v>
      </c>
      <c r="AD3" s="112" t="s">
        <v>1413</v>
      </c>
      <c r="AE3" s="112" t="s">
        <v>1414</v>
      </c>
      <c r="AF3" s="112" t="s">
        <v>1415</v>
      </c>
      <c r="AG3" s="112" t="s">
        <v>1416</v>
      </c>
      <c r="AH3" s="112" t="s">
        <v>1417</v>
      </c>
      <c r="AI3" s="112" t="s">
        <v>1418</v>
      </c>
      <c r="AJ3" s="112" t="s">
        <v>1419</v>
      </c>
      <c r="AK3" s="112" t="s">
        <v>1420</v>
      </c>
      <c r="AL3" s="112" t="s">
        <v>1421</v>
      </c>
      <c r="AM3" s="112" t="s">
        <v>1422</v>
      </c>
      <c r="AN3" s="112" t="s">
        <v>1423</v>
      </c>
      <c r="AO3" s="112" t="s">
        <v>1424</v>
      </c>
      <c r="AP3" s="112" t="s">
        <v>1425</v>
      </c>
      <c r="AQ3" s="112" t="s">
        <v>1426</v>
      </c>
      <c r="AR3" s="112" t="s">
        <v>1427</v>
      </c>
      <c r="AS3" s="112" t="s">
        <v>1428</v>
      </c>
      <c r="AT3" s="113" t="s">
        <v>1429</v>
      </c>
    </row>
    <row r="4" spans="2:46" ht="12" customHeight="1" x14ac:dyDescent="0.3">
      <c r="B4" s="114" t="s">
        <v>45</v>
      </c>
      <c r="C4" s="115" t="s">
        <v>42</v>
      </c>
      <c r="D4" s="115" t="s">
        <v>25</v>
      </c>
      <c r="E4" s="115" t="s">
        <v>25</v>
      </c>
      <c r="F4" s="115" t="s">
        <v>87</v>
      </c>
      <c r="G4" s="115" t="s">
        <v>34</v>
      </c>
      <c r="H4" s="115" t="s">
        <v>79</v>
      </c>
      <c r="I4" s="115" t="s">
        <v>25</v>
      </c>
      <c r="J4" s="115">
        <v>13.61</v>
      </c>
      <c r="K4" s="115">
        <v>0</v>
      </c>
      <c r="L4" s="115">
        <v>0</v>
      </c>
      <c r="M4" s="115">
        <v>0.50301435172055597</v>
      </c>
      <c r="N4" s="115">
        <v>0.29935054480627799</v>
      </c>
      <c r="O4" s="115">
        <v>0</v>
      </c>
      <c r="P4" s="115">
        <v>0</v>
      </c>
      <c r="Q4" s="115">
        <v>0</v>
      </c>
      <c r="R4" s="115">
        <v>0</v>
      </c>
      <c r="S4" s="115">
        <v>0</v>
      </c>
      <c r="T4" s="115">
        <v>0</v>
      </c>
      <c r="U4" s="115">
        <v>0</v>
      </c>
      <c r="V4" s="115">
        <v>0</v>
      </c>
      <c r="W4" s="115">
        <v>0</v>
      </c>
      <c r="X4" s="115">
        <v>0</v>
      </c>
      <c r="Y4" s="115">
        <v>0</v>
      </c>
      <c r="Z4" s="115">
        <v>0</v>
      </c>
      <c r="AA4" s="115">
        <v>0</v>
      </c>
      <c r="AB4" s="115">
        <v>-0.59682852655626195</v>
      </c>
      <c r="AC4" s="115">
        <v>0</v>
      </c>
      <c r="AD4" s="115">
        <v>0</v>
      </c>
      <c r="AE4" s="115">
        <v>11.755236323061901</v>
      </c>
      <c r="AF4" s="115">
        <v>0.34591302766983201</v>
      </c>
      <c r="AG4" s="115">
        <v>1.0588085166344601</v>
      </c>
      <c r="AH4" s="115">
        <v>0.246263835932098</v>
      </c>
      <c r="AI4" s="115">
        <v>0</v>
      </c>
      <c r="AJ4" s="115">
        <v>0</v>
      </c>
      <c r="AK4" s="115">
        <v>0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  <c r="AQ4" s="115">
        <v>0</v>
      </c>
      <c r="AR4" s="115">
        <v>0</v>
      </c>
      <c r="AS4" s="115">
        <v>0</v>
      </c>
      <c r="AT4" s="116">
        <v>0</v>
      </c>
    </row>
    <row r="5" spans="2:46" ht="12" customHeight="1" x14ac:dyDescent="0.3">
      <c r="B5" s="114" t="s">
        <v>45</v>
      </c>
      <c r="C5" s="115" t="s">
        <v>42</v>
      </c>
      <c r="D5" s="115" t="s">
        <v>25</v>
      </c>
      <c r="E5" s="115" t="s">
        <v>25</v>
      </c>
      <c r="F5" s="115" t="s">
        <v>87</v>
      </c>
      <c r="G5" s="115" t="s">
        <v>34</v>
      </c>
      <c r="H5" s="115" t="s">
        <v>84</v>
      </c>
      <c r="I5" s="115" t="s">
        <v>25</v>
      </c>
      <c r="J5" s="115">
        <v>51.04</v>
      </c>
      <c r="K5" s="115">
        <v>0</v>
      </c>
      <c r="L5" s="115">
        <v>0</v>
      </c>
      <c r="M5" s="115">
        <v>0</v>
      </c>
      <c r="N5" s="115">
        <v>0</v>
      </c>
      <c r="O5" s="115">
        <v>0</v>
      </c>
      <c r="P5" s="115">
        <v>0</v>
      </c>
      <c r="Q5" s="115">
        <v>0</v>
      </c>
      <c r="R5" s="115">
        <v>0</v>
      </c>
      <c r="S5" s="115">
        <v>0</v>
      </c>
      <c r="T5" s="115">
        <v>8.3620524094406807</v>
      </c>
      <c r="U5" s="115">
        <v>3.8798306370005</v>
      </c>
      <c r="V5" s="115">
        <v>0</v>
      </c>
      <c r="W5" s="115">
        <v>0</v>
      </c>
      <c r="X5" s="115">
        <v>0</v>
      </c>
      <c r="Y5" s="115">
        <v>0</v>
      </c>
      <c r="Z5" s="115">
        <v>0</v>
      </c>
      <c r="AA5" s="115">
        <v>41.058527153039996</v>
      </c>
      <c r="AB5" s="115">
        <v>-2.26095635946441</v>
      </c>
      <c r="AC5" s="115">
        <v>0</v>
      </c>
      <c r="AD5" s="115">
        <v>0</v>
      </c>
      <c r="AE5" s="115">
        <v>0</v>
      </c>
      <c r="AF5" s="115">
        <v>0</v>
      </c>
      <c r="AG5" s="115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0</v>
      </c>
      <c r="AS5" s="115">
        <v>0</v>
      </c>
      <c r="AT5" s="116">
        <v>0</v>
      </c>
    </row>
    <row r="6" spans="2:46" ht="12" customHeight="1" x14ac:dyDescent="0.3">
      <c r="B6" s="114" t="s">
        <v>45</v>
      </c>
      <c r="C6" s="115" t="s">
        <v>42</v>
      </c>
      <c r="D6" s="115" t="s">
        <v>25</v>
      </c>
      <c r="E6" s="115" t="s">
        <v>25</v>
      </c>
      <c r="F6" s="115" t="s">
        <v>87</v>
      </c>
      <c r="G6" s="115" t="s">
        <v>35</v>
      </c>
      <c r="H6" s="115" t="s">
        <v>79</v>
      </c>
      <c r="I6" s="115" t="s">
        <v>25</v>
      </c>
      <c r="J6" s="115">
        <v>13.61</v>
      </c>
      <c r="K6" s="115">
        <v>0</v>
      </c>
      <c r="L6" s="115">
        <v>0</v>
      </c>
      <c r="M6" s="115">
        <v>0.50301435172055597</v>
      </c>
      <c r="N6" s="115">
        <v>0.29935054480627799</v>
      </c>
      <c r="O6" s="115">
        <v>0</v>
      </c>
      <c r="P6" s="115">
        <v>0</v>
      </c>
      <c r="Q6" s="115">
        <v>0</v>
      </c>
      <c r="R6" s="115">
        <v>0</v>
      </c>
      <c r="S6" s="115">
        <v>0</v>
      </c>
      <c r="T6" s="115">
        <v>0</v>
      </c>
      <c r="U6" s="115">
        <v>0</v>
      </c>
      <c r="V6" s="115">
        <v>0</v>
      </c>
      <c r="W6" s="115">
        <v>0</v>
      </c>
      <c r="X6" s="115">
        <v>0</v>
      </c>
      <c r="Y6" s="115">
        <v>0</v>
      </c>
      <c r="Z6" s="115">
        <v>0</v>
      </c>
      <c r="AA6" s="115">
        <v>0</v>
      </c>
      <c r="AB6" s="115">
        <v>-0.59682852655626195</v>
      </c>
      <c r="AC6" s="115">
        <v>0</v>
      </c>
      <c r="AD6" s="115">
        <v>0</v>
      </c>
      <c r="AE6" s="115">
        <v>11.755236323061901</v>
      </c>
      <c r="AF6" s="115">
        <v>0.34591302766983201</v>
      </c>
      <c r="AG6" s="115">
        <v>1.0588085166344601</v>
      </c>
      <c r="AH6" s="115">
        <v>0.246263835932098</v>
      </c>
      <c r="AI6" s="115">
        <v>0</v>
      </c>
      <c r="AJ6" s="115">
        <v>0</v>
      </c>
      <c r="AK6" s="115">
        <v>0</v>
      </c>
      <c r="AL6" s="115">
        <v>0</v>
      </c>
      <c r="AM6" s="115">
        <v>0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6">
        <v>0</v>
      </c>
    </row>
    <row r="7" spans="2:46" ht="12" customHeight="1" x14ac:dyDescent="0.3">
      <c r="B7" s="114" t="s">
        <v>45</v>
      </c>
      <c r="C7" s="115" t="s">
        <v>42</v>
      </c>
      <c r="D7" s="115" t="s">
        <v>25</v>
      </c>
      <c r="E7" s="115" t="s">
        <v>25</v>
      </c>
      <c r="F7" s="115" t="s">
        <v>87</v>
      </c>
      <c r="G7" s="115" t="s">
        <v>35</v>
      </c>
      <c r="H7" s="115" t="s">
        <v>84</v>
      </c>
      <c r="I7" s="115" t="s">
        <v>25</v>
      </c>
      <c r="J7" s="115">
        <v>21.37</v>
      </c>
      <c r="K7" s="115">
        <v>0</v>
      </c>
      <c r="L7" s="115">
        <v>0</v>
      </c>
      <c r="M7" s="115">
        <v>0</v>
      </c>
      <c r="N7" s="115">
        <v>0</v>
      </c>
      <c r="O7" s="115">
        <v>0</v>
      </c>
      <c r="P7" s="115">
        <v>0</v>
      </c>
      <c r="Q7" s="115">
        <v>0</v>
      </c>
      <c r="R7" s="115">
        <v>0</v>
      </c>
      <c r="S7" s="115">
        <v>0</v>
      </c>
      <c r="T7" s="115">
        <v>4.8240742378063297</v>
      </c>
      <c r="U7" s="115">
        <v>2.3184137423859101</v>
      </c>
      <c r="V7" s="115">
        <v>0</v>
      </c>
      <c r="W7" s="115">
        <v>0</v>
      </c>
      <c r="X7" s="115">
        <v>0</v>
      </c>
      <c r="Y7" s="115">
        <v>0</v>
      </c>
      <c r="Z7" s="115">
        <v>0</v>
      </c>
      <c r="AA7" s="115">
        <v>15.166333705263501</v>
      </c>
      <c r="AB7" s="115">
        <v>-0.939483059831273</v>
      </c>
      <c r="AC7" s="115">
        <v>0</v>
      </c>
      <c r="AD7" s="115">
        <v>0</v>
      </c>
      <c r="AE7" s="115">
        <v>0</v>
      </c>
      <c r="AF7" s="115">
        <v>0</v>
      </c>
      <c r="AG7" s="115">
        <v>0</v>
      </c>
      <c r="AH7" s="115">
        <v>0</v>
      </c>
      <c r="AI7" s="115">
        <v>0</v>
      </c>
      <c r="AJ7" s="115">
        <v>0</v>
      </c>
      <c r="AK7" s="115">
        <v>0</v>
      </c>
      <c r="AL7" s="115">
        <v>0</v>
      </c>
      <c r="AM7" s="115">
        <v>0</v>
      </c>
      <c r="AN7" s="115">
        <v>0</v>
      </c>
      <c r="AO7" s="115">
        <v>0</v>
      </c>
      <c r="AP7" s="115">
        <v>0</v>
      </c>
      <c r="AQ7" s="115">
        <v>0</v>
      </c>
      <c r="AR7" s="115">
        <v>0</v>
      </c>
      <c r="AS7" s="115">
        <v>0</v>
      </c>
      <c r="AT7" s="116">
        <v>0</v>
      </c>
    </row>
    <row r="8" spans="2:46" ht="12" customHeight="1" x14ac:dyDescent="0.3">
      <c r="B8" s="114" t="s">
        <v>45</v>
      </c>
      <c r="C8" s="115" t="s">
        <v>42</v>
      </c>
      <c r="D8" s="115" t="s">
        <v>25</v>
      </c>
      <c r="E8" s="115" t="s">
        <v>25</v>
      </c>
      <c r="F8" s="115" t="s">
        <v>25</v>
      </c>
      <c r="G8" s="115" t="s">
        <v>34</v>
      </c>
      <c r="H8" s="115" t="s">
        <v>79</v>
      </c>
      <c r="I8" s="115" t="s">
        <v>25</v>
      </c>
      <c r="J8" s="115">
        <v>145.72</v>
      </c>
      <c r="K8" s="115">
        <v>361.95</v>
      </c>
      <c r="L8" s="115">
        <v>11.871615084796</v>
      </c>
      <c r="M8" s="115">
        <v>0.50301435172055597</v>
      </c>
      <c r="N8" s="115">
        <v>0.31108784116322402</v>
      </c>
      <c r="O8" s="115">
        <v>0</v>
      </c>
      <c r="P8" s="115">
        <v>0</v>
      </c>
      <c r="Q8" s="115">
        <v>104.27805831027599</v>
      </c>
      <c r="R8" s="115">
        <v>20.465299872876599</v>
      </c>
      <c r="S8" s="115">
        <v>0</v>
      </c>
      <c r="T8" s="115">
        <v>0</v>
      </c>
      <c r="U8" s="115">
        <v>0</v>
      </c>
      <c r="V8" s="115">
        <v>0</v>
      </c>
      <c r="W8" s="115">
        <v>0</v>
      </c>
      <c r="X8" s="115">
        <v>0</v>
      </c>
      <c r="Y8" s="115">
        <v>0</v>
      </c>
      <c r="Z8" s="115">
        <v>0</v>
      </c>
      <c r="AA8" s="115">
        <v>0</v>
      </c>
      <c r="AB8" s="115">
        <v>-5.11292322778292</v>
      </c>
      <c r="AC8" s="115">
        <v>0</v>
      </c>
      <c r="AD8" s="115">
        <v>0</v>
      </c>
      <c r="AE8" s="115">
        <v>11.755236323061901</v>
      </c>
      <c r="AF8" s="115">
        <v>0.34591302766983201</v>
      </c>
      <c r="AG8" s="115">
        <v>1.0588085166344601</v>
      </c>
      <c r="AH8" s="115">
        <v>0.246263835932098</v>
      </c>
      <c r="AI8" s="115">
        <v>5.7437144883312499</v>
      </c>
      <c r="AJ8" s="115">
        <v>-17.459208153924099</v>
      </c>
      <c r="AK8" s="115">
        <v>2.4026595191710398</v>
      </c>
      <c r="AL8" s="115">
        <v>22.449665681296501</v>
      </c>
      <c r="AM8" s="115">
        <v>0</v>
      </c>
      <c r="AN8" s="115">
        <v>347.95165747413199</v>
      </c>
      <c r="AO8" s="115">
        <v>6.2552963466211802</v>
      </c>
      <c r="AP8" s="115">
        <v>4.4541212951865798</v>
      </c>
      <c r="AQ8" s="115">
        <v>0</v>
      </c>
      <c r="AR8" s="115">
        <v>-15.7210469762122</v>
      </c>
      <c r="AS8" s="115">
        <v>0</v>
      </c>
      <c r="AT8" s="116">
        <v>5.8757873676056898</v>
      </c>
    </row>
    <row r="9" spans="2:46" ht="12" customHeight="1" x14ac:dyDescent="0.3">
      <c r="B9" s="114" t="s">
        <v>45</v>
      </c>
      <c r="C9" s="115" t="s">
        <v>42</v>
      </c>
      <c r="D9" s="115" t="s">
        <v>25</v>
      </c>
      <c r="E9" s="115" t="s">
        <v>25</v>
      </c>
      <c r="F9" s="115" t="s">
        <v>25</v>
      </c>
      <c r="G9" s="115" t="s">
        <v>34</v>
      </c>
      <c r="H9" s="115" t="s">
        <v>84</v>
      </c>
      <c r="I9" s="115" t="s">
        <v>25</v>
      </c>
      <c r="J9" s="115">
        <v>51.04</v>
      </c>
      <c r="K9" s="115">
        <v>0</v>
      </c>
      <c r="L9" s="115">
        <v>0</v>
      </c>
      <c r="M9" s="115">
        <v>0</v>
      </c>
      <c r="N9" s="115">
        <v>0</v>
      </c>
      <c r="O9" s="115">
        <v>0</v>
      </c>
      <c r="P9" s="115">
        <v>0</v>
      </c>
      <c r="Q9" s="115">
        <v>0</v>
      </c>
      <c r="R9" s="115">
        <v>0</v>
      </c>
      <c r="S9" s="115">
        <v>0</v>
      </c>
      <c r="T9" s="115">
        <v>8.3620524094406807</v>
      </c>
      <c r="U9" s="115">
        <v>3.8798306370005</v>
      </c>
      <c r="V9" s="115">
        <v>0</v>
      </c>
      <c r="W9" s="115">
        <v>0</v>
      </c>
      <c r="X9" s="115">
        <v>0</v>
      </c>
      <c r="Y9" s="115">
        <v>0</v>
      </c>
      <c r="Z9" s="115">
        <v>0</v>
      </c>
      <c r="AA9" s="115">
        <v>41.058527153039996</v>
      </c>
      <c r="AB9" s="115">
        <v>-2.26095635946441</v>
      </c>
      <c r="AC9" s="115">
        <v>0</v>
      </c>
      <c r="AD9" s="115">
        <v>0</v>
      </c>
      <c r="AE9" s="115">
        <v>0</v>
      </c>
      <c r="AF9" s="115">
        <v>0</v>
      </c>
      <c r="AG9" s="115">
        <v>0</v>
      </c>
      <c r="AH9" s="115">
        <v>0</v>
      </c>
      <c r="AI9" s="115">
        <v>0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6">
        <v>0</v>
      </c>
    </row>
    <row r="10" spans="2:46" ht="12" customHeight="1" x14ac:dyDescent="0.3">
      <c r="B10" s="114" t="s">
        <v>45</v>
      </c>
      <c r="C10" s="115" t="s">
        <v>42</v>
      </c>
      <c r="D10" s="115" t="s">
        <v>25</v>
      </c>
      <c r="E10" s="115" t="s">
        <v>25</v>
      </c>
      <c r="F10" s="115" t="s">
        <v>25</v>
      </c>
      <c r="G10" s="115" t="s">
        <v>35</v>
      </c>
      <c r="H10" s="115" t="s">
        <v>79</v>
      </c>
      <c r="I10" s="115" t="s">
        <v>25</v>
      </c>
      <c r="J10" s="115">
        <v>145.72</v>
      </c>
      <c r="K10" s="115">
        <v>222.39</v>
      </c>
      <c r="L10" s="115">
        <v>11.871615084796</v>
      </c>
      <c r="M10" s="115">
        <v>0.50301435172055597</v>
      </c>
      <c r="N10" s="115">
        <v>0.31108784116322402</v>
      </c>
      <c r="O10" s="115">
        <v>0</v>
      </c>
      <c r="P10" s="115">
        <v>0</v>
      </c>
      <c r="Q10" s="115">
        <v>104.27805831027599</v>
      </c>
      <c r="R10" s="115">
        <v>20.465299872876599</v>
      </c>
      <c r="S10" s="115">
        <v>0</v>
      </c>
      <c r="T10" s="115">
        <v>0</v>
      </c>
      <c r="U10" s="115">
        <v>0</v>
      </c>
      <c r="V10" s="115">
        <v>0</v>
      </c>
      <c r="W10" s="115">
        <v>0</v>
      </c>
      <c r="X10" s="115">
        <v>0</v>
      </c>
      <c r="Y10" s="115">
        <v>0</v>
      </c>
      <c r="Z10" s="115">
        <v>0</v>
      </c>
      <c r="AA10" s="115">
        <v>0</v>
      </c>
      <c r="AB10" s="115">
        <v>-5.11292322778292</v>
      </c>
      <c r="AC10" s="115">
        <v>0</v>
      </c>
      <c r="AD10" s="115">
        <v>0</v>
      </c>
      <c r="AE10" s="115">
        <v>11.755236323061901</v>
      </c>
      <c r="AF10" s="115">
        <v>0.34591302766983201</v>
      </c>
      <c r="AG10" s="115">
        <v>1.0588085166344601</v>
      </c>
      <c r="AH10" s="115">
        <v>0.246263835932098</v>
      </c>
      <c r="AI10" s="115">
        <v>5.7437144883312499</v>
      </c>
      <c r="AJ10" s="115">
        <v>-17.459208153924099</v>
      </c>
      <c r="AK10" s="115">
        <v>2.4026595191710398</v>
      </c>
      <c r="AL10" s="115">
        <v>22.449665681296501</v>
      </c>
      <c r="AM10" s="115">
        <v>0</v>
      </c>
      <c r="AN10" s="115">
        <v>202.297475275658</v>
      </c>
      <c r="AO10" s="115">
        <v>6.2552963466211802</v>
      </c>
      <c r="AP10" s="115">
        <v>4.4541212951865798</v>
      </c>
      <c r="AQ10" s="115">
        <v>0</v>
      </c>
      <c r="AR10" s="115">
        <v>-9.6256469400820901</v>
      </c>
      <c r="AS10" s="115">
        <v>0</v>
      </c>
      <c r="AT10" s="116">
        <v>5.8757873676056898</v>
      </c>
    </row>
    <row r="11" spans="2:46" ht="12" customHeight="1" x14ac:dyDescent="0.3">
      <c r="B11" s="114" t="s">
        <v>45</v>
      </c>
      <c r="C11" s="115" t="s">
        <v>42</v>
      </c>
      <c r="D11" s="115" t="s">
        <v>25</v>
      </c>
      <c r="E11" s="115" t="s">
        <v>25</v>
      </c>
      <c r="F11" s="115" t="s">
        <v>25</v>
      </c>
      <c r="G11" s="115" t="s">
        <v>35</v>
      </c>
      <c r="H11" s="115" t="s">
        <v>84</v>
      </c>
      <c r="I11" s="115" t="s">
        <v>25</v>
      </c>
      <c r="J11" s="115">
        <v>21.37</v>
      </c>
      <c r="K11" s="115">
        <v>0</v>
      </c>
      <c r="L11" s="115">
        <v>0</v>
      </c>
      <c r="M11" s="115">
        <v>0</v>
      </c>
      <c r="N11" s="115">
        <v>0</v>
      </c>
      <c r="O11" s="115">
        <v>0</v>
      </c>
      <c r="P11" s="115">
        <v>0</v>
      </c>
      <c r="Q11" s="115">
        <v>0</v>
      </c>
      <c r="R11" s="115">
        <v>0</v>
      </c>
      <c r="S11" s="115">
        <v>0</v>
      </c>
      <c r="T11" s="115">
        <v>4.8240742378063297</v>
      </c>
      <c r="U11" s="115">
        <v>2.3184137423859101</v>
      </c>
      <c r="V11" s="115">
        <v>0</v>
      </c>
      <c r="W11" s="115">
        <v>0</v>
      </c>
      <c r="X11" s="115">
        <v>0</v>
      </c>
      <c r="Y11" s="115">
        <v>0</v>
      </c>
      <c r="Z11" s="115">
        <v>0</v>
      </c>
      <c r="AA11" s="115">
        <v>15.166333705263501</v>
      </c>
      <c r="AB11" s="115">
        <v>-0.939483059831273</v>
      </c>
      <c r="AC11" s="115">
        <v>0</v>
      </c>
      <c r="AD11" s="115">
        <v>0</v>
      </c>
      <c r="AE11" s="115">
        <v>0</v>
      </c>
      <c r="AF11" s="115">
        <v>0</v>
      </c>
      <c r="AG11" s="115">
        <v>0</v>
      </c>
      <c r="AH11" s="115">
        <v>0</v>
      </c>
      <c r="AI11" s="115">
        <v>0</v>
      </c>
      <c r="AJ11" s="115">
        <v>0</v>
      </c>
      <c r="AK11" s="115">
        <v>0</v>
      </c>
      <c r="AL11" s="115">
        <v>0</v>
      </c>
      <c r="AM11" s="115">
        <v>0</v>
      </c>
      <c r="AN11" s="115">
        <v>0</v>
      </c>
      <c r="AO11" s="115">
        <v>0</v>
      </c>
      <c r="AP11" s="115">
        <v>0</v>
      </c>
      <c r="AQ11" s="115">
        <v>0</v>
      </c>
      <c r="AR11" s="115">
        <v>0</v>
      </c>
      <c r="AS11" s="115">
        <v>0</v>
      </c>
      <c r="AT11" s="116">
        <v>0</v>
      </c>
    </row>
    <row r="12" spans="2:46" ht="12" customHeight="1" x14ac:dyDescent="0.3">
      <c r="B12" s="114" t="s">
        <v>45</v>
      </c>
      <c r="C12" s="115" t="s">
        <v>23</v>
      </c>
      <c r="D12" s="115" t="s">
        <v>25</v>
      </c>
      <c r="E12" s="115" t="s">
        <v>25</v>
      </c>
      <c r="F12" s="115" t="s">
        <v>25</v>
      </c>
      <c r="G12" s="115" t="s">
        <v>25</v>
      </c>
      <c r="H12" s="115" t="s">
        <v>79</v>
      </c>
      <c r="I12" s="115" t="s">
        <v>25</v>
      </c>
      <c r="J12" s="115">
        <v>145.72</v>
      </c>
      <c r="K12" s="115">
        <v>234.02</v>
      </c>
      <c r="L12" s="115">
        <v>11.871615084796</v>
      </c>
      <c r="M12" s="115">
        <v>0.50301435172055597</v>
      </c>
      <c r="N12" s="115">
        <v>0.31108784116322402</v>
      </c>
      <c r="O12" s="115">
        <v>0</v>
      </c>
      <c r="P12" s="115">
        <v>0</v>
      </c>
      <c r="Q12" s="115">
        <v>104.27805831027599</v>
      </c>
      <c r="R12" s="115">
        <v>20.465299872876599</v>
      </c>
      <c r="S12" s="115">
        <v>0</v>
      </c>
      <c r="T12" s="115">
        <v>0</v>
      </c>
      <c r="U12" s="115">
        <v>0</v>
      </c>
      <c r="V12" s="115">
        <v>0</v>
      </c>
      <c r="W12" s="115">
        <v>0</v>
      </c>
      <c r="X12" s="115">
        <v>0</v>
      </c>
      <c r="Y12" s="115">
        <v>0</v>
      </c>
      <c r="Z12" s="115">
        <v>0</v>
      </c>
      <c r="AA12" s="115">
        <v>0</v>
      </c>
      <c r="AB12" s="115">
        <v>-5.11292322778292</v>
      </c>
      <c r="AC12" s="115">
        <v>0</v>
      </c>
      <c r="AD12" s="115">
        <v>0</v>
      </c>
      <c r="AE12" s="115">
        <v>11.755236323061901</v>
      </c>
      <c r="AF12" s="115">
        <v>0.34591302766983201</v>
      </c>
      <c r="AG12" s="115">
        <v>1.0588085166344601</v>
      </c>
      <c r="AH12" s="115">
        <v>0.246263835932098</v>
      </c>
      <c r="AI12" s="115">
        <v>5.7437144883312499</v>
      </c>
      <c r="AJ12" s="115">
        <v>-17.459208153924099</v>
      </c>
      <c r="AK12" s="115">
        <v>2.4026595191710398</v>
      </c>
      <c r="AL12" s="115">
        <v>22.449665681296501</v>
      </c>
      <c r="AM12" s="115">
        <v>0</v>
      </c>
      <c r="AN12" s="115">
        <v>214.43532379219801</v>
      </c>
      <c r="AO12" s="115">
        <v>6.2552963466211802</v>
      </c>
      <c r="AP12" s="115">
        <v>4.4541212951865798</v>
      </c>
      <c r="AQ12" s="115">
        <v>0</v>
      </c>
      <c r="AR12" s="115">
        <v>-10.1335969430929</v>
      </c>
      <c r="AS12" s="115">
        <v>0</v>
      </c>
      <c r="AT12" s="116">
        <v>5.8757873676056898</v>
      </c>
    </row>
    <row r="13" spans="2:46" ht="12" customHeight="1" x14ac:dyDescent="0.3">
      <c r="B13" s="114" t="s">
        <v>45</v>
      </c>
      <c r="C13" s="115" t="s">
        <v>23</v>
      </c>
      <c r="D13" s="115" t="s">
        <v>25</v>
      </c>
      <c r="E13" s="115" t="s">
        <v>25</v>
      </c>
      <c r="F13" s="115" t="s">
        <v>25</v>
      </c>
      <c r="G13" s="115" t="s">
        <v>25</v>
      </c>
      <c r="H13" s="115" t="s">
        <v>84</v>
      </c>
      <c r="I13" s="115" t="s">
        <v>25</v>
      </c>
      <c r="J13" s="115">
        <v>58.12</v>
      </c>
      <c r="K13" s="115">
        <v>0</v>
      </c>
      <c r="L13" s="115">
        <v>0</v>
      </c>
      <c r="M13" s="115">
        <v>0</v>
      </c>
      <c r="N13" s="115">
        <v>0</v>
      </c>
      <c r="O13" s="115">
        <v>0</v>
      </c>
      <c r="P13" s="115">
        <v>0</v>
      </c>
      <c r="Q13" s="115">
        <v>0</v>
      </c>
      <c r="R13" s="115">
        <v>0</v>
      </c>
      <c r="S13" s="115">
        <v>0</v>
      </c>
      <c r="T13" s="115">
        <v>10.844729983356901</v>
      </c>
      <c r="U13" s="115">
        <v>5.11186599248256</v>
      </c>
      <c r="V13" s="115">
        <v>0</v>
      </c>
      <c r="W13" s="115">
        <v>0</v>
      </c>
      <c r="X13" s="115">
        <v>0</v>
      </c>
      <c r="Y13" s="115">
        <v>0</v>
      </c>
      <c r="Z13" s="115">
        <v>0</v>
      </c>
      <c r="AA13" s="115">
        <v>44.728479121626599</v>
      </c>
      <c r="AB13" s="115">
        <v>-2.56736998696412</v>
      </c>
      <c r="AC13" s="115">
        <v>0</v>
      </c>
      <c r="AD13" s="115">
        <v>0</v>
      </c>
      <c r="AE13" s="115">
        <v>0</v>
      </c>
      <c r="AF13" s="115">
        <v>0</v>
      </c>
      <c r="AG13" s="115">
        <v>0</v>
      </c>
      <c r="AH13" s="115">
        <v>0</v>
      </c>
      <c r="AI13" s="115">
        <v>0</v>
      </c>
      <c r="AJ13" s="115">
        <v>0</v>
      </c>
      <c r="AK13" s="115">
        <v>0</v>
      </c>
      <c r="AL13" s="115">
        <v>0</v>
      </c>
      <c r="AM13" s="115">
        <v>0</v>
      </c>
      <c r="AN13" s="115">
        <v>0</v>
      </c>
      <c r="AO13" s="115">
        <v>0</v>
      </c>
      <c r="AP13" s="115">
        <v>0</v>
      </c>
      <c r="AQ13" s="115">
        <v>0</v>
      </c>
      <c r="AR13" s="115">
        <v>0</v>
      </c>
      <c r="AS13" s="115">
        <v>0</v>
      </c>
      <c r="AT13" s="116">
        <v>0</v>
      </c>
    </row>
    <row r="14" spans="2:46" ht="12" customHeight="1" x14ac:dyDescent="0.3">
      <c r="B14" s="114" t="s">
        <v>45</v>
      </c>
      <c r="C14" s="115" t="s">
        <v>60</v>
      </c>
      <c r="D14" s="115" t="s">
        <v>25</v>
      </c>
      <c r="E14" s="115" t="s">
        <v>25</v>
      </c>
      <c r="F14" s="115" t="s">
        <v>25</v>
      </c>
      <c r="G14" s="115" t="s">
        <v>25</v>
      </c>
      <c r="H14" s="115" t="s">
        <v>84</v>
      </c>
      <c r="I14" s="115" t="s">
        <v>25</v>
      </c>
      <c r="J14" s="115">
        <v>12.44</v>
      </c>
      <c r="K14" s="115">
        <v>0</v>
      </c>
      <c r="L14" s="115">
        <v>0</v>
      </c>
      <c r="M14" s="115">
        <v>6.962197168624E-2</v>
      </c>
      <c r="N14" s="115">
        <v>0.204463702538001</v>
      </c>
      <c r="O14" s="115">
        <v>0</v>
      </c>
      <c r="P14" s="115">
        <v>0</v>
      </c>
      <c r="Q14" s="115">
        <v>0</v>
      </c>
      <c r="R14" s="115">
        <v>0</v>
      </c>
      <c r="S14" s="115">
        <v>0</v>
      </c>
      <c r="T14" s="115">
        <v>0</v>
      </c>
      <c r="U14" s="115">
        <v>0</v>
      </c>
      <c r="V14" s="115">
        <v>0</v>
      </c>
      <c r="W14" s="115">
        <v>0</v>
      </c>
      <c r="X14" s="115">
        <v>0</v>
      </c>
      <c r="Y14" s="115">
        <v>0</v>
      </c>
      <c r="Z14" s="115">
        <v>0</v>
      </c>
      <c r="AA14" s="115">
        <v>12.717205935462101</v>
      </c>
      <c r="AB14" s="115">
        <v>-0.56148140367372801</v>
      </c>
      <c r="AC14" s="115">
        <v>0</v>
      </c>
      <c r="AD14" s="115">
        <v>0</v>
      </c>
      <c r="AE14" s="115">
        <v>6.9490556313345697E-3</v>
      </c>
      <c r="AF14" s="115">
        <v>0</v>
      </c>
      <c r="AG14" s="115">
        <v>0</v>
      </c>
      <c r="AH14" s="115">
        <v>0</v>
      </c>
      <c r="AI14" s="115">
        <v>0</v>
      </c>
      <c r="AJ14" s="115">
        <v>0</v>
      </c>
      <c r="AK14" s="115">
        <v>0</v>
      </c>
      <c r="AL14" s="115">
        <v>0</v>
      </c>
      <c r="AM14" s="115">
        <v>0</v>
      </c>
      <c r="AN14" s="115">
        <v>0</v>
      </c>
      <c r="AO14" s="115">
        <v>0</v>
      </c>
      <c r="AP14" s="115">
        <v>0</v>
      </c>
      <c r="AQ14" s="115">
        <v>0</v>
      </c>
      <c r="AR14" s="115">
        <v>0</v>
      </c>
      <c r="AS14" s="115">
        <v>0</v>
      </c>
      <c r="AT14" s="116">
        <v>0</v>
      </c>
    </row>
    <row r="15" spans="2:46" ht="12" customHeight="1" x14ac:dyDescent="0.3">
      <c r="B15" s="114" t="s">
        <v>45</v>
      </c>
      <c r="C15" s="115" t="s">
        <v>40</v>
      </c>
      <c r="D15" s="115" t="s">
        <v>25</v>
      </c>
      <c r="E15" s="115" t="s">
        <v>25</v>
      </c>
      <c r="F15" s="115" t="s">
        <v>87</v>
      </c>
      <c r="G15" s="115" t="s">
        <v>34</v>
      </c>
      <c r="H15" s="115" t="s">
        <v>79</v>
      </c>
      <c r="I15" s="115" t="s">
        <v>25</v>
      </c>
      <c r="J15" s="115">
        <v>1253.3900000000001</v>
      </c>
      <c r="K15" s="115">
        <v>0</v>
      </c>
      <c r="L15" s="115">
        <v>0</v>
      </c>
      <c r="M15" s="115">
        <v>0.50301435172055597</v>
      </c>
      <c r="N15" s="115">
        <v>13.130499188700499</v>
      </c>
      <c r="O15" s="115">
        <v>0</v>
      </c>
      <c r="P15" s="115">
        <v>0</v>
      </c>
      <c r="Q15" s="115">
        <v>0</v>
      </c>
      <c r="R15" s="115">
        <v>0</v>
      </c>
      <c r="S15" s="115">
        <v>0</v>
      </c>
      <c r="T15" s="115">
        <v>201.10723675753599</v>
      </c>
      <c r="U15" s="115">
        <v>93.3092574107595</v>
      </c>
      <c r="V15" s="115">
        <v>0</v>
      </c>
      <c r="W15" s="115">
        <v>0</v>
      </c>
      <c r="X15" s="115">
        <v>0</v>
      </c>
      <c r="Y15" s="115">
        <v>0</v>
      </c>
      <c r="Z15" s="115">
        <v>0</v>
      </c>
      <c r="AA15" s="115">
        <v>987.45803265912105</v>
      </c>
      <c r="AB15" s="115">
        <v>-55.527103600203198</v>
      </c>
      <c r="AC15" s="115">
        <v>0</v>
      </c>
      <c r="AD15" s="115">
        <v>0</v>
      </c>
      <c r="AE15" s="115">
        <v>11.755236323061901</v>
      </c>
      <c r="AF15" s="115">
        <v>0.34591302766983201</v>
      </c>
      <c r="AG15" s="115">
        <v>1.0588085166344601</v>
      </c>
      <c r="AH15" s="115">
        <v>0.246263835932098</v>
      </c>
      <c r="AI15" s="115">
        <v>0</v>
      </c>
      <c r="AJ15" s="115">
        <v>0</v>
      </c>
      <c r="AK15" s="115">
        <v>0</v>
      </c>
      <c r="AL15" s="115">
        <v>0</v>
      </c>
      <c r="AM15" s="115">
        <v>0</v>
      </c>
      <c r="AN15" s="115">
        <v>0</v>
      </c>
      <c r="AO15" s="115">
        <v>0</v>
      </c>
      <c r="AP15" s="115">
        <v>0</v>
      </c>
      <c r="AQ15" s="115">
        <v>0</v>
      </c>
      <c r="AR15" s="115">
        <v>0</v>
      </c>
      <c r="AS15" s="115">
        <v>0</v>
      </c>
      <c r="AT15" s="116">
        <v>0</v>
      </c>
    </row>
    <row r="16" spans="2:46" ht="12" customHeight="1" x14ac:dyDescent="0.3">
      <c r="B16" s="114" t="s">
        <v>45</v>
      </c>
      <c r="C16" s="115" t="s">
        <v>40</v>
      </c>
      <c r="D16" s="115" t="s">
        <v>25</v>
      </c>
      <c r="E16" s="115" t="s">
        <v>25</v>
      </c>
      <c r="F16" s="115" t="s">
        <v>87</v>
      </c>
      <c r="G16" s="115" t="s">
        <v>25</v>
      </c>
      <c r="H16" s="115" t="s">
        <v>84</v>
      </c>
      <c r="I16" s="115" t="s">
        <v>25</v>
      </c>
      <c r="J16" s="115">
        <v>21.37</v>
      </c>
      <c r="K16" s="115">
        <v>0</v>
      </c>
      <c r="L16" s="115">
        <v>0</v>
      </c>
      <c r="M16" s="115">
        <v>0</v>
      </c>
      <c r="N16" s="115">
        <v>0</v>
      </c>
      <c r="O16" s="115">
        <v>0</v>
      </c>
      <c r="P16" s="115">
        <v>0</v>
      </c>
      <c r="Q16" s="115">
        <v>0</v>
      </c>
      <c r="R16" s="115">
        <v>0</v>
      </c>
      <c r="S16" s="115">
        <v>0</v>
      </c>
      <c r="T16" s="115">
        <v>4.8240742378063297</v>
      </c>
      <c r="U16" s="115">
        <v>2.3184137423859101</v>
      </c>
      <c r="V16" s="115">
        <v>0</v>
      </c>
      <c r="W16" s="115">
        <v>0</v>
      </c>
      <c r="X16" s="115">
        <v>0</v>
      </c>
      <c r="Y16" s="115">
        <v>0</v>
      </c>
      <c r="Z16" s="115">
        <v>0</v>
      </c>
      <c r="AA16" s="115">
        <v>15.166333705263501</v>
      </c>
      <c r="AB16" s="115">
        <v>-0.939483059831273</v>
      </c>
      <c r="AC16" s="115">
        <v>0</v>
      </c>
      <c r="AD16" s="115">
        <v>0</v>
      </c>
      <c r="AE16" s="115">
        <v>0</v>
      </c>
      <c r="AF16" s="115">
        <v>0</v>
      </c>
      <c r="AG16" s="115">
        <v>0</v>
      </c>
      <c r="AH16" s="115">
        <v>0</v>
      </c>
      <c r="AI16" s="115">
        <v>0</v>
      </c>
      <c r="AJ16" s="115">
        <v>0</v>
      </c>
      <c r="AK16" s="115">
        <v>0</v>
      </c>
      <c r="AL16" s="115">
        <v>0</v>
      </c>
      <c r="AM16" s="115">
        <v>0</v>
      </c>
      <c r="AN16" s="115">
        <v>0</v>
      </c>
      <c r="AO16" s="115">
        <v>0</v>
      </c>
      <c r="AP16" s="115">
        <v>0</v>
      </c>
      <c r="AQ16" s="115">
        <v>0</v>
      </c>
      <c r="AR16" s="115">
        <v>0</v>
      </c>
      <c r="AS16" s="115">
        <v>0</v>
      </c>
      <c r="AT16" s="116">
        <v>0</v>
      </c>
    </row>
    <row r="17" spans="2:46" ht="12" customHeight="1" x14ac:dyDescent="0.3">
      <c r="B17" s="114" t="s">
        <v>45</v>
      </c>
      <c r="C17" s="115" t="s">
        <v>40</v>
      </c>
      <c r="D17" s="115" t="s">
        <v>25</v>
      </c>
      <c r="E17" s="115" t="s">
        <v>25</v>
      </c>
      <c r="F17" s="115" t="s">
        <v>87</v>
      </c>
      <c r="G17" s="115" t="s">
        <v>35</v>
      </c>
      <c r="H17" s="115" t="s">
        <v>79</v>
      </c>
      <c r="I17" s="115" t="s">
        <v>25</v>
      </c>
      <c r="J17" s="115">
        <v>13.61</v>
      </c>
      <c r="K17" s="115">
        <v>0</v>
      </c>
      <c r="L17" s="115">
        <v>0</v>
      </c>
      <c r="M17" s="115">
        <v>0.50301435172055597</v>
      </c>
      <c r="N17" s="115">
        <v>0.29935054480627799</v>
      </c>
      <c r="O17" s="115">
        <v>0</v>
      </c>
      <c r="P17" s="115">
        <v>0</v>
      </c>
      <c r="Q17" s="115">
        <v>0</v>
      </c>
      <c r="R17" s="115">
        <v>0</v>
      </c>
      <c r="S17" s="115">
        <v>0</v>
      </c>
      <c r="T17" s="115">
        <v>0</v>
      </c>
      <c r="U17" s="115">
        <v>0</v>
      </c>
      <c r="V17" s="115">
        <v>0</v>
      </c>
      <c r="W17" s="115">
        <v>0</v>
      </c>
      <c r="X17" s="115">
        <v>0</v>
      </c>
      <c r="Y17" s="115">
        <v>0</v>
      </c>
      <c r="Z17" s="115">
        <v>0</v>
      </c>
      <c r="AA17" s="115">
        <v>0</v>
      </c>
      <c r="AB17" s="115">
        <v>-0.59682852655626195</v>
      </c>
      <c r="AC17" s="115">
        <v>0</v>
      </c>
      <c r="AD17" s="115">
        <v>0</v>
      </c>
      <c r="AE17" s="115">
        <v>11.755236323061901</v>
      </c>
      <c r="AF17" s="115">
        <v>0.34591302766983201</v>
      </c>
      <c r="AG17" s="115">
        <v>1.0588085166344601</v>
      </c>
      <c r="AH17" s="115">
        <v>0.246263835932098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0</v>
      </c>
      <c r="AO17" s="115">
        <v>0</v>
      </c>
      <c r="AP17" s="115">
        <v>0</v>
      </c>
      <c r="AQ17" s="115">
        <v>0</v>
      </c>
      <c r="AR17" s="115">
        <v>0</v>
      </c>
      <c r="AS17" s="115">
        <v>0</v>
      </c>
      <c r="AT17" s="116">
        <v>0</v>
      </c>
    </row>
    <row r="18" spans="2:46" ht="12" customHeight="1" x14ac:dyDescent="0.3">
      <c r="B18" s="114" t="s">
        <v>45</v>
      </c>
      <c r="C18" s="115" t="s">
        <v>40</v>
      </c>
      <c r="D18" s="115" t="s">
        <v>25</v>
      </c>
      <c r="E18" s="115" t="s">
        <v>25</v>
      </c>
      <c r="F18" s="115" t="s">
        <v>25</v>
      </c>
      <c r="G18" s="115" t="s">
        <v>34</v>
      </c>
      <c r="H18" s="115" t="s">
        <v>79</v>
      </c>
      <c r="I18" s="115" t="s">
        <v>25</v>
      </c>
      <c r="J18" s="115">
        <v>1385.5</v>
      </c>
      <c r="K18" s="115">
        <v>361.95</v>
      </c>
      <c r="L18" s="115">
        <v>11.871615084796</v>
      </c>
      <c r="M18" s="115">
        <v>0.50301435172055597</v>
      </c>
      <c r="N18" s="115">
        <v>13.1422364850575</v>
      </c>
      <c r="O18" s="115">
        <v>0</v>
      </c>
      <c r="P18" s="115">
        <v>0</v>
      </c>
      <c r="Q18" s="115">
        <v>104.27805831027599</v>
      </c>
      <c r="R18" s="115">
        <v>20.465299872876599</v>
      </c>
      <c r="S18" s="115">
        <v>0</v>
      </c>
      <c r="T18" s="115">
        <v>201.10723675753599</v>
      </c>
      <c r="U18" s="115">
        <v>93.3092574107595</v>
      </c>
      <c r="V18" s="115">
        <v>0</v>
      </c>
      <c r="W18" s="115">
        <v>0</v>
      </c>
      <c r="X18" s="115">
        <v>0</v>
      </c>
      <c r="Y18" s="115">
        <v>0</v>
      </c>
      <c r="Z18" s="115">
        <v>0</v>
      </c>
      <c r="AA18" s="115">
        <v>987.45803265912105</v>
      </c>
      <c r="AB18" s="115">
        <v>-60.043198301429904</v>
      </c>
      <c r="AC18" s="115">
        <v>0</v>
      </c>
      <c r="AD18" s="115">
        <v>0</v>
      </c>
      <c r="AE18" s="115">
        <v>11.755236323061901</v>
      </c>
      <c r="AF18" s="115">
        <v>0.34591302766983201</v>
      </c>
      <c r="AG18" s="115">
        <v>1.0588085166344601</v>
      </c>
      <c r="AH18" s="115">
        <v>0.246263835932098</v>
      </c>
      <c r="AI18" s="115">
        <v>5.7437144883312499</v>
      </c>
      <c r="AJ18" s="115">
        <v>-17.459208153924099</v>
      </c>
      <c r="AK18" s="115">
        <v>2.4026595191710398</v>
      </c>
      <c r="AL18" s="115">
        <v>22.449665681296501</v>
      </c>
      <c r="AM18" s="115">
        <v>0</v>
      </c>
      <c r="AN18" s="115">
        <v>347.95165747413199</v>
      </c>
      <c r="AO18" s="115">
        <v>6.2552963466211802</v>
      </c>
      <c r="AP18" s="115">
        <v>4.4541212951865798</v>
      </c>
      <c r="AQ18" s="115">
        <v>0</v>
      </c>
      <c r="AR18" s="115">
        <v>-15.7210469762122</v>
      </c>
      <c r="AS18" s="115">
        <v>0</v>
      </c>
      <c r="AT18" s="116">
        <v>5.8757873676056898</v>
      </c>
    </row>
    <row r="19" spans="2:46" ht="12" customHeight="1" x14ac:dyDescent="0.3">
      <c r="B19" s="114" t="s">
        <v>45</v>
      </c>
      <c r="C19" s="115" t="s">
        <v>40</v>
      </c>
      <c r="D19" s="115" t="s">
        <v>25</v>
      </c>
      <c r="E19" s="115" t="s">
        <v>25</v>
      </c>
      <c r="F19" s="115" t="s">
        <v>25</v>
      </c>
      <c r="G19" s="115" t="s">
        <v>25</v>
      </c>
      <c r="H19" s="115" t="s">
        <v>84</v>
      </c>
      <c r="I19" s="115" t="s">
        <v>25</v>
      </c>
      <c r="J19" s="115">
        <v>21.37</v>
      </c>
      <c r="K19" s="115">
        <v>0</v>
      </c>
      <c r="L19" s="115">
        <v>0</v>
      </c>
      <c r="M19" s="115">
        <v>0</v>
      </c>
      <c r="N19" s="115">
        <v>0</v>
      </c>
      <c r="O19" s="115">
        <v>0</v>
      </c>
      <c r="P19" s="115">
        <v>0</v>
      </c>
      <c r="Q19" s="115">
        <v>0</v>
      </c>
      <c r="R19" s="115">
        <v>0</v>
      </c>
      <c r="S19" s="115">
        <v>0</v>
      </c>
      <c r="T19" s="115">
        <v>4.8240742378063297</v>
      </c>
      <c r="U19" s="115">
        <v>2.3184137423859101</v>
      </c>
      <c r="V19" s="115">
        <v>0</v>
      </c>
      <c r="W19" s="115">
        <v>0</v>
      </c>
      <c r="X19" s="115">
        <v>0</v>
      </c>
      <c r="Y19" s="115">
        <v>0</v>
      </c>
      <c r="Z19" s="115">
        <v>0</v>
      </c>
      <c r="AA19" s="115">
        <v>15.166333705263501</v>
      </c>
      <c r="AB19" s="115">
        <v>-0.939483059831273</v>
      </c>
      <c r="AC19" s="115">
        <v>0</v>
      </c>
      <c r="AD19" s="115">
        <v>0</v>
      </c>
      <c r="AE19" s="115">
        <v>0</v>
      </c>
      <c r="AF19" s="115">
        <v>0</v>
      </c>
      <c r="AG19" s="115">
        <v>0</v>
      </c>
      <c r="AH19" s="115">
        <v>0</v>
      </c>
      <c r="AI19" s="115">
        <v>0</v>
      </c>
      <c r="AJ19" s="115">
        <v>0</v>
      </c>
      <c r="AK19" s="115">
        <v>0</v>
      </c>
      <c r="AL19" s="115">
        <v>0</v>
      </c>
      <c r="AM19" s="115">
        <v>0</v>
      </c>
      <c r="AN19" s="115">
        <v>0</v>
      </c>
      <c r="AO19" s="115">
        <v>0</v>
      </c>
      <c r="AP19" s="115">
        <v>0</v>
      </c>
      <c r="AQ19" s="115">
        <v>0</v>
      </c>
      <c r="AR19" s="115">
        <v>0</v>
      </c>
      <c r="AS19" s="115">
        <v>0</v>
      </c>
      <c r="AT19" s="116">
        <v>0</v>
      </c>
    </row>
    <row r="20" spans="2:46" ht="12" customHeight="1" x14ac:dyDescent="0.3">
      <c r="B20" s="114" t="s">
        <v>45</v>
      </c>
      <c r="C20" s="115" t="s">
        <v>40</v>
      </c>
      <c r="D20" s="115" t="s">
        <v>25</v>
      </c>
      <c r="E20" s="115" t="s">
        <v>25</v>
      </c>
      <c r="F20" s="115" t="s">
        <v>25</v>
      </c>
      <c r="G20" s="115" t="s">
        <v>35</v>
      </c>
      <c r="H20" s="115" t="s">
        <v>79</v>
      </c>
      <c r="I20" s="115" t="s">
        <v>25</v>
      </c>
      <c r="J20" s="115">
        <v>145.72</v>
      </c>
      <c r="K20" s="115">
        <v>222.39</v>
      </c>
      <c r="L20" s="115">
        <v>11.871615084796</v>
      </c>
      <c r="M20" s="115">
        <v>0.50301435172055597</v>
      </c>
      <c r="N20" s="115">
        <v>0.31108784116322402</v>
      </c>
      <c r="O20" s="115">
        <v>0</v>
      </c>
      <c r="P20" s="115">
        <v>0</v>
      </c>
      <c r="Q20" s="115">
        <v>104.27805831027599</v>
      </c>
      <c r="R20" s="115">
        <v>20.465299872876599</v>
      </c>
      <c r="S20" s="115">
        <v>0</v>
      </c>
      <c r="T20" s="115">
        <v>0</v>
      </c>
      <c r="U20" s="115">
        <v>0</v>
      </c>
      <c r="V20" s="115">
        <v>0</v>
      </c>
      <c r="W20" s="115">
        <v>0</v>
      </c>
      <c r="X20" s="115">
        <v>0</v>
      </c>
      <c r="Y20" s="115">
        <v>0</v>
      </c>
      <c r="Z20" s="115">
        <v>0</v>
      </c>
      <c r="AA20" s="115">
        <v>0</v>
      </c>
      <c r="AB20" s="115">
        <v>-5.11292322778292</v>
      </c>
      <c r="AC20" s="115">
        <v>0</v>
      </c>
      <c r="AD20" s="115">
        <v>0</v>
      </c>
      <c r="AE20" s="115">
        <v>11.755236323061901</v>
      </c>
      <c r="AF20" s="115">
        <v>0.34591302766983201</v>
      </c>
      <c r="AG20" s="115">
        <v>1.0588085166344601</v>
      </c>
      <c r="AH20" s="115">
        <v>0.246263835932098</v>
      </c>
      <c r="AI20" s="115">
        <v>5.7437144883312499</v>
      </c>
      <c r="AJ20" s="115">
        <v>-17.459208153924099</v>
      </c>
      <c r="AK20" s="115">
        <v>2.4026595191710398</v>
      </c>
      <c r="AL20" s="115">
        <v>22.449665681296501</v>
      </c>
      <c r="AM20" s="115">
        <v>0</v>
      </c>
      <c r="AN20" s="115">
        <v>202.297475275658</v>
      </c>
      <c r="AO20" s="115">
        <v>6.2552963466211802</v>
      </c>
      <c r="AP20" s="115">
        <v>4.4541212951865798</v>
      </c>
      <c r="AQ20" s="115">
        <v>0</v>
      </c>
      <c r="AR20" s="115">
        <v>-9.6256469400820901</v>
      </c>
      <c r="AS20" s="115">
        <v>0</v>
      </c>
      <c r="AT20" s="116">
        <v>5.8757873676056898</v>
      </c>
    </row>
    <row r="21" spans="2:46" ht="12" customHeight="1" x14ac:dyDescent="0.3">
      <c r="B21" s="114" t="s">
        <v>39</v>
      </c>
      <c r="C21" s="115" t="s">
        <v>42</v>
      </c>
      <c r="D21" s="115" t="s">
        <v>25</v>
      </c>
      <c r="E21" s="115" t="s">
        <v>25</v>
      </c>
      <c r="F21" s="115" t="s">
        <v>87</v>
      </c>
      <c r="G21" s="115" t="s">
        <v>34</v>
      </c>
      <c r="H21" s="115" t="s">
        <v>79</v>
      </c>
      <c r="I21" s="115" t="s">
        <v>25</v>
      </c>
      <c r="J21" s="115">
        <v>13.61</v>
      </c>
      <c r="K21" s="115">
        <v>0</v>
      </c>
      <c r="L21" s="115">
        <v>0</v>
      </c>
      <c r="M21" s="115">
        <v>0.50301435172055597</v>
      </c>
      <c r="N21" s="115">
        <v>0.29935054480627799</v>
      </c>
      <c r="O21" s="115">
        <v>0</v>
      </c>
      <c r="P21" s="115">
        <v>0</v>
      </c>
      <c r="Q21" s="115">
        <v>0</v>
      </c>
      <c r="R21" s="115">
        <v>0</v>
      </c>
      <c r="S21" s="115">
        <v>0</v>
      </c>
      <c r="T21" s="115">
        <v>0</v>
      </c>
      <c r="U21" s="115">
        <v>0</v>
      </c>
      <c r="V21" s="115">
        <v>0</v>
      </c>
      <c r="W21" s="115">
        <v>0</v>
      </c>
      <c r="X21" s="115">
        <v>0</v>
      </c>
      <c r="Y21" s="115">
        <v>0</v>
      </c>
      <c r="Z21" s="115">
        <v>0</v>
      </c>
      <c r="AA21" s="115">
        <v>0</v>
      </c>
      <c r="AB21" s="115">
        <v>-0.59682852655626195</v>
      </c>
      <c r="AC21" s="115">
        <v>0</v>
      </c>
      <c r="AD21" s="115">
        <v>0</v>
      </c>
      <c r="AE21" s="115">
        <v>11.755236323061901</v>
      </c>
      <c r="AF21" s="115">
        <v>0.34591302766983201</v>
      </c>
      <c r="AG21" s="115">
        <v>1.0588085166344601</v>
      </c>
      <c r="AH21" s="115">
        <v>0.246263835932098</v>
      </c>
      <c r="AI21" s="115">
        <v>0</v>
      </c>
      <c r="AJ21" s="115">
        <v>0</v>
      </c>
      <c r="AK21" s="115">
        <v>0</v>
      </c>
      <c r="AL21" s="115">
        <v>0</v>
      </c>
      <c r="AM21" s="115">
        <v>0</v>
      </c>
      <c r="AN21" s="115">
        <v>0</v>
      </c>
      <c r="AO21" s="115">
        <v>0</v>
      </c>
      <c r="AP21" s="115">
        <v>0</v>
      </c>
      <c r="AQ21" s="115">
        <v>0</v>
      </c>
      <c r="AR21" s="115">
        <v>0</v>
      </c>
      <c r="AS21" s="115">
        <v>0</v>
      </c>
      <c r="AT21" s="116">
        <v>0</v>
      </c>
    </row>
    <row r="22" spans="2:46" ht="12" customHeight="1" x14ac:dyDescent="0.3">
      <c r="B22" s="114" t="s">
        <v>39</v>
      </c>
      <c r="C22" s="115" t="s">
        <v>42</v>
      </c>
      <c r="D22" s="115" t="s">
        <v>25</v>
      </c>
      <c r="E22" s="115" t="s">
        <v>25</v>
      </c>
      <c r="F22" s="115" t="s">
        <v>87</v>
      </c>
      <c r="G22" s="115" t="s">
        <v>34</v>
      </c>
      <c r="H22" s="115" t="s">
        <v>84</v>
      </c>
      <c r="I22" s="115" t="s">
        <v>25</v>
      </c>
      <c r="J22" s="115">
        <v>51.04</v>
      </c>
      <c r="K22" s="115">
        <v>0</v>
      </c>
      <c r="L22" s="115">
        <v>0</v>
      </c>
      <c r="M22" s="115">
        <v>0</v>
      </c>
      <c r="N22" s="115">
        <v>0</v>
      </c>
      <c r="O22" s="115">
        <v>0</v>
      </c>
      <c r="P22" s="115">
        <v>0</v>
      </c>
      <c r="Q22" s="115">
        <v>0</v>
      </c>
      <c r="R22" s="115">
        <v>0</v>
      </c>
      <c r="S22" s="115">
        <v>0</v>
      </c>
      <c r="T22" s="115">
        <v>8.3620524094406807</v>
      </c>
      <c r="U22" s="115">
        <v>3.8798306370005</v>
      </c>
      <c r="V22" s="115">
        <v>0</v>
      </c>
      <c r="W22" s="115">
        <v>0</v>
      </c>
      <c r="X22" s="115">
        <v>0</v>
      </c>
      <c r="Y22" s="115">
        <v>0</v>
      </c>
      <c r="Z22" s="115">
        <v>0</v>
      </c>
      <c r="AA22" s="115">
        <v>41.058527153039996</v>
      </c>
      <c r="AB22" s="115">
        <v>-2.26095635946441</v>
      </c>
      <c r="AC22" s="115">
        <v>0</v>
      </c>
      <c r="AD22" s="115">
        <v>0</v>
      </c>
      <c r="AE22" s="115">
        <v>0</v>
      </c>
      <c r="AF22" s="115">
        <v>0</v>
      </c>
      <c r="AG22" s="115">
        <v>0</v>
      </c>
      <c r="AH22" s="115">
        <v>0</v>
      </c>
      <c r="AI22" s="115">
        <v>0</v>
      </c>
      <c r="AJ22" s="115">
        <v>0</v>
      </c>
      <c r="AK22" s="115">
        <v>0</v>
      </c>
      <c r="AL22" s="115">
        <v>0</v>
      </c>
      <c r="AM22" s="115">
        <v>0</v>
      </c>
      <c r="AN22" s="115">
        <v>0</v>
      </c>
      <c r="AO22" s="115">
        <v>0</v>
      </c>
      <c r="AP22" s="115">
        <v>0</v>
      </c>
      <c r="AQ22" s="115">
        <v>0</v>
      </c>
      <c r="AR22" s="115">
        <v>0</v>
      </c>
      <c r="AS22" s="115">
        <v>0</v>
      </c>
      <c r="AT22" s="116">
        <v>0</v>
      </c>
    </row>
    <row r="23" spans="2:46" ht="12" customHeight="1" x14ac:dyDescent="0.3">
      <c r="B23" s="114" t="s">
        <v>39</v>
      </c>
      <c r="C23" s="115" t="s">
        <v>42</v>
      </c>
      <c r="D23" s="115" t="s">
        <v>25</v>
      </c>
      <c r="E23" s="115" t="s">
        <v>25</v>
      </c>
      <c r="F23" s="115" t="s">
        <v>87</v>
      </c>
      <c r="G23" s="115" t="s">
        <v>35</v>
      </c>
      <c r="H23" s="115" t="s">
        <v>79</v>
      </c>
      <c r="I23" s="115" t="s">
        <v>25</v>
      </c>
      <c r="J23" s="115">
        <v>13.61</v>
      </c>
      <c r="K23" s="115">
        <v>0</v>
      </c>
      <c r="L23" s="115">
        <v>0</v>
      </c>
      <c r="M23" s="115">
        <v>0.50301435172055597</v>
      </c>
      <c r="N23" s="115">
        <v>0.29935054480627799</v>
      </c>
      <c r="O23" s="115">
        <v>0</v>
      </c>
      <c r="P23" s="115">
        <v>0</v>
      </c>
      <c r="Q23" s="115">
        <v>0</v>
      </c>
      <c r="R23" s="115">
        <v>0</v>
      </c>
      <c r="S23" s="115">
        <v>0</v>
      </c>
      <c r="T23" s="115">
        <v>0</v>
      </c>
      <c r="U23" s="115">
        <v>0</v>
      </c>
      <c r="V23" s="115">
        <v>0</v>
      </c>
      <c r="W23" s="115">
        <v>0</v>
      </c>
      <c r="X23" s="115">
        <v>0</v>
      </c>
      <c r="Y23" s="115">
        <v>0</v>
      </c>
      <c r="Z23" s="115">
        <v>0</v>
      </c>
      <c r="AA23" s="115">
        <v>0</v>
      </c>
      <c r="AB23" s="115">
        <v>-0.59682852655626195</v>
      </c>
      <c r="AC23" s="115">
        <v>0</v>
      </c>
      <c r="AD23" s="115">
        <v>0</v>
      </c>
      <c r="AE23" s="115">
        <v>11.755236323061901</v>
      </c>
      <c r="AF23" s="115">
        <v>0.34591302766983201</v>
      </c>
      <c r="AG23" s="115">
        <v>1.0588085166344601</v>
      </c>
      <c r="AH23" s="115">
        <v>0.246263835932098</v>
      </c>
      <c r="AI23" s="115">
        <v>0</v>
      </c>
      <c r="AJ23" s="115">
        <v>0</v>
      </c>
      <c r="AK23" s="115">
        <v>0</v>
      </c>
      <c r="AL23" s="115">
        <v>0</v>
      </c>
      <c r="AM23" s="115">
        <v>0</v>
      </c>
      <c r="AN23" s="115">
        <v>0</v>
      </c>
      <c r="AO23" s="115">
        <v>0</v>
      </c>
      <c r="AP23" s="115">
        <v>0</v>
      </c>
      <c r="AQ23" s="115">
        <v>0</v>
      </c>
      <c r="AR23" s="115">
        <v>0</v>
      </c>
      <c r="AS23" s="115">
        <v>0</v>
      </c>
      <c r="AT23" s="116">
        <v>0</v>
      </c>
    </row>
    <row r="24" spans="2:46" ht="12" customHeight="1" x14ac:dyDescent="0.3">
      <c r="B24" s="114" t="s">
        <v>39</v>
      </c>
      <c r="C24" s="115" t="s">
        <v>42</v>
      </c>
      <c r="D24" s="115" t="s">
        <v>25</v>
      </c>
      <c r="E24" s="115" t="s">
        <v>25</v>
      </c>
      <c r="F24" s="115" t="s">
        <v>87</v>
      </c>
      <c r="G24" s="115" t="s">
        <v>35</v>
      </c>
      <c r="H24" s="115" t="s">
        <v>84</v>
      </c>
      <c r="I24" s="115" t="s">
        <v>25</v>
      </c>
      <c r="J24" s="115">
        <v>21.37</v>
      </c>
      <c r="K24" s="115">
        <v>0</v>
      </c>
      <c r="L24" s="115">
        <v>0</v>
      </c>
      <c r="M24" s="115">
        <v>0</v>
      </c>
      <c r="N24" s="115">
        <v>0</v>
      </c>
      <c r="O24" s="115">
        <v>0</v>
      </c>
      <c r="P24" s="115">
        <v>0</v>
      </c>
      <c r="Q24" s="115">
        <v>0</v>
      </c>
      <c r="R24" s="115">
        <v>0</v>
      </c>
      <c r="S24" s="115">
        <v>0</v>
      </c>
      <c r="T24" s="115">
        <v>4.8240742378063297</v>
      </c>
      <c r="U24" s="115">
        <v>2.3184137423859101</v>
      </c>
      <c r="V24" s="115">
        <v>0</v>
      </c>
      <c r="W24" s="115">
        <v>0</v>
      </c>
      <c r="X24" s="115">
        <v>0</v>
      </c>
      <c r="Y24" s="115">
        <v>0</v>
      </c>
      <c r="Z24" s="115">
        <v>0</v>
      </c>
      <c r="AA24" s="115">
        <v>15.166333705263501</v>
      </c>
      <c r="AB24" s="115">
        <v>-0.939483059831273</v>
      </c>
      <c r="AC24" s="115">
        <v>0</v>
      </c>
      <c r="AD24" s="115">
        <v>0</v>
      </c>
      <c r="AE24" s="115">
        <v>0</v>
      </c>
      <c r="AF24" s="115">
        <v>0</v>
      </c>
      <c r="AG24" s="115">
        <v>0</v>
      </c>
      <c r="AH24" s="115">
        <v>0</v>
      </c>
      <c r="AI24" s="115">
        <v>0</v>
      </c>
      <c r="AJ24" s="115">
        <v>0</v>
      </c>
      <c r="AK24" s="115">
        <v>0</v>
      </c>
      <c r="AL24" s="115">
        <v>0</v>
      </c>
      <c r="AM24" s="115">
        <v>0</v>
      </c>
      <c r="AN24" s="115">
        <v>0</v>
      </c>
      <c r="AO24" s="115">
        <v>0</v>
      </c>
      <c r="AP24" s="115">
        <v>0</v>
      </c>
      <c r="AQ24" s="115">
        <v>0</v>
      </c>
      <c r="AR24" s="115">
        <v>0</v>
      </c>
      <c r="AS24" s="115">
        <v>0</v>
      </c>
      <c r="AT24" s="116">
        <v>0</v>
      </c>
    </row>
    <row r="25" spans="2:46" ht="12" customHeight="1" x14ac:dyDescent="0.3">
      <c r="B25" s="114" t="s">
        <v>39</v>
      </c>
      <c r="C25" s="115" t="s">
        <v>42</v>
      </c>
      <c r="D25" s="115" t="s">
        <v>25</v>
      </c>
      <c r="E25" s="115" t="s">
        <v>25</v>
      </c>
      <c r="F25" s="115" t="s">
        <v>25</v>
      </c>
      <c r="G25" s="115" t="s">
        <v>34</v>
      </c>
      <c r="H25" s="115" t="s">
        <v>79</v>
      </c>
      <c r="I25" s="115" t="s">
        <v>25</v>
      </c>
      <c r="J25" s="115">
        <v>145.72</v>
      </c>
      <c r="K25" s="115">
        <v>361.95</v>
      </c>
      <c r="L25" s="115">
        <v>11.871615084796</v>
      </c>
      <c r="M25" s="115">
        <v>0.50301435172055597</v>
      </c>
      <c r="N25" s="115">
        <v>0.31108784116322402</v>
      </c>
      <c r="O25" s="115">
        <v>0</v>
      </c>
      <c r="P25" s="115">
        <v>0</v>
      </c>
      <c r="Q25" s="115">
        <v>104.27805831027599</v>
      </c>
      <c r="R25" s="115">
        <v>20.465299872876599</v>
      </c>
      <c r="S25" s="115">
        <v>0</v>
      </c>
      <c r="T25" s="115">
        <v>0</v>
      </c>
      <c r="U25" s="115">
        <v>0</v>
      </c>
      <c r="V25" s="115">
        <v>0</v>
      </c>
      <c r="W25" s="115">
        <v>0</v>
      </c>
      <c r="X25" s="115">
        <v>0</v>
      </c>
      <c r="Y25" s="115">
        <v>0</v>
      </c>
      <c r="Z25" s="115">
        <v>0</v>
      </c>
      <c r="AA25" s="115">
        <v>0</v>
      </c>
      <c r="AB25" s="115">
        <v>-5.11292322778292</v>
      </c>
      <c r="AC25" s="115">
        <v>0</v>
      </c>
      <c r="AD25" s="115">
        <v>0</v>
      </c>
      <c r="AE25" s="115">
        <v>11.755236323061901</v>
      </c>
      <c r="AF25" s="115">
        <v>0.34591302766983201</v>
      </c>
      <c r="AG25" s="115">
        <v>1.0588085166344601</v>
      </c>
      <c r="AH25" s="115">
        <v>0.246263835932098</v>
      </c>
      <c r="AI25" s="115">
        <v>5.7437144883312499</v>
      </c>
      <c r="AJ25" s="115">
        <v>-17.459208153924099</v>
      </c>
      <c r="AK25" s="115">
        <v>2.4026595191710398</v>
      </c>
      <c r="AL25" s="115">
        <v>22.449665681296501</v>
      </c>
      <c r="AM25" s="115">
        <v>0</v>
      </c>
      <c r="AN25" s="115">
        <v>347.95165747413199</v>
      </c>
      <c r="AO25" s="115">
        <v>6.2552963466211802</v>
      </c>
      <c r="AP25" s="115">
        <v>4.4541212951865798</v>
      </c>
      <c r="AQ25" s="115">
        <v>0</v>
      </c>
      <c r="AR25" s="115">
        <v>-15.7210469762122</v>
      </c>
      <c r="AS25" s="115">
        <v>0</v>
      </c>
      <c r="AT25" s="116">
        <v>5.8757873676056898</v>
      </c>
    </row>
    <row r="26" spans="2:46" ht="12" customHeight="1" x14ac:dyDescent="0.3">
      <c r="B26" s="114" t="s">
        <v>39</v>
      </c>
      <c r="C26" s="115" t="s">
        <v>42</v>
      </c>
      <c r="D26" s="115" t="s">
        <v>25</v>
      </c>
      <c r="E26" s="115" t="s">
        <v>25</v>
      </c>
      <c r="F26" s="115" t="s">
        <v>25</v>
      </c>
      <c r="G26" s="115" t="s">
        <v>34</v>
      </c>
      <c r="H26" s="115" t="s">
        <v>84</v>
      </c>
      <c r="I26" s="115" t="s">
        <v>25</v>
      </c>
      <c r="J26" s="115">
        <v>51.04</v>
      </c>
      <c r="K26" s="115">
        <v>0</v>
      </c>
      <c r="L26" s="115">
        <v>0</v>
      </c>
      <c r="M26" s="115">
        <v>0</v>
      </c>
      <c r="N26" s="115">
        <v>0</v>
      </c>
      <c r="O26" s="115">
        <v>0</v>
      </c>
      <c r="P26" s="115">
        <v>0</v>
      </c>
      <c r="Q26" s="115">
        <v>0</v>
      </c>
      <c r="R26" s="115">
        <v>0</v>
      </c>
      <c r="S26" s="115">
        <v>0</v>
      </c>
      <c r="T26" s="115">
        <v>8.3620524094406807</v>
      </c>
      <c r="U26" s="115">
        <v>3.8798306370005</v>
      </c>
      <c r="V26" s="115">
        <v>0</v>
      </c>
      <c r="W26" s="115">
        <v>0</v>
      </c>
      <c r="X26" s="115">
        <v>0</v>
      </c>
      <c r="Y26" s="115">
        <v>0</v>
      </c>
      <c r="Z26" s="115">
        <v>0</v>
      </c>
      <c r="AA26" s="115">
        <v>41.058527153039996</v>
      </c>
      <c r="AB26" s="115">
        <v>-2.26095635946441</v>
      </c>
      <c r="AC26" s="115">
        <v>0</v>
      </c>
      <c r="AD26" s="115">
        <v>0</v>
      </c>
      <c r="AE26" s="115">
        <v>0</v>
      </c>
      <c r="AF26" s="115">
        <v>0</v>
      </c>
      <c r="AG26" s="115">
        <v>0</v>
      </c>
      <c r="AH26" s="115">
        <v>0</v>
      </c>
      <c r="AI26" s="115">
        <v>0</v>
      </c>
      <c r="AJ26" s="115">
        <v>0</v>
      </c>
      <c r="AK26" s="115">
        <v>0</v>
      </c>
      <c r="AL26" s="115">
        <v>0</v>
      </c>
      <c r="AM26" s="115">
        <v>0</v>
      </c>
      <c r="AN26" s="115">
        <v>0</v>
      </c>
      <c r="AO26" s="115">
        <v>0</v>
      </c>
      <c r="AP26" s="115">
        <v>0</v>
      </c>
      <c r="AQ26" s="115">
        <v>0</v>
      </c>
      <c r="AR26" s="115">
        <v>0</v>
      </c>
      <c r="AS26" s="115">
        <v>0</v>
      </c>
      <c r="AT26" s="116">
        <v>0</v>
      </c>
    </row>
    <row r="27" spans="2:46" ht="12" customHeight="1" x14ac:dyDescent="0.3">
      <c r="B27" s="114" t="s">
        <v>39</v>
      </c>
      <c r="C27" s="115" t="s">
        <v>42</v>
      </c>
      <c r="D27" s="115" t="s">
        <v>25</v>
      </c>
      <c r="E27" s="115" t="s">
        <v>25</v>
      </c>
      <c r="F27" s="115" t="s">
        <v>25</v>
      </c>
      <c r="G27" s="115" t="s">
        <v>35</v>
      </c>
      <c r="H27" s="115" t="s">
        <v>79</v>
      </c>
      <c r="I27" s="115" t="s">
        <v>25</v>
      </c>
      <c r="J27" s="115">
        <v>145.72</v>
      </c>
      <c r="K27" s="115">
        <v>222.39</v>
      </c>
      <c r="L27" s="115">
        <v>11.871615084796</v>
      </c>
      <c r="M27" s="115">
        <v>0.50301435172055597</v>
      </c>
      <c r="N27" s="115">
        <v>0.31108784116322402</v>
      </c>
      <c r="O27" s="115">
        <v>0</v>
      </c>
      <c r="P27" s="115">
        <v>0</v>
      </c>
      <c r="Q27" s="115">
        <v>104.27805831027599</v>
      </c>
      <c r="R27" s="115">
        <v>20.465299872876599</v>
      </c>
      <c r="S27" s="115">
        <v>0</v>
      </c>
      <c r="T27" s="115">
        <v>0</v>
      </c>
      <c r="U27" s="115">
        <v>0</v>
      </c>
      <c r="V27" s="115">
        <v>0</v>
      </c>
      <c r="W27" s="115">
        <v>0</v>
      </c>
      <c r="X27" s="115">
        <v>0</v>
      </c>
      <c r="Y27" s="115">
        <v>0</v>
      </c>
      <c r="Z27" s="115">
        <v>0</v>
      </c>
      <c r="AA27" s="115">
        <v>0</v>
      </c>
      <c r="AB27" s="115">
        <v>-5.11292322778292</v>
      </c>
      <c r="AC27" s="115">
        <v>0</v>
      </c>
      <c r="AD27" s="115">
        <v>0</v>
      </c>
      <c r="AE27" s="115">
        <v>11.755236323061901</v>
      </c>
      <c r="AF27" s="115">
        <v>0.34591302766983201</v>
      </c>
      <c r="AG27" s="115">
        <v>1.0588085166344601</v>
      </c>
      <c r="AH27" s="115">
        <v>0.246263835932098</v>
      </c>
      <c r="AI27" s="115">
        <v>5.7437144883312499</v>
      </c>
      <c r="AJ27" s="115">
        <v>-17.459208153924099</v>
      </c>
      <c r="AK27" s="115">
        <v>2.4026595191710398</v>
      </c>
      <c r="AL27" s="115">
        <v>22.449665681296501</v>
      </c>
      <c r="AM27" s="115">
        <v>0</v>
      </c>
      <c r="AN27" s="115">
        <v>202.297475275658</v>
      </c>
      <c r="AO27" s="115">
        <v>6.2552963466211802</v>
      </c>
      <c r="AP27" s="115">
        <v>4.4541212951865798</v>
      </c>
      <c r="AQ27" s="115">
        <v>0</v>
      </c>
      <c r="AR27" s="115">
        <v>-9.6256469400820901</v>
      </c>
      <c r="AS27" s="115">
        <v>0</v>
      </c>
      <c r="AT27" s="116">
        <v>5.8757873676056898</v>
      </c>
    </row>
    <row r="28" spans="2:46" ht="12" customHeight="1" x14ac:dyDescent="0.3">
      <c r="B28" s="114" t="s">
        <v>39</v>
      </c>
      <c r="C28" s="115" t="s">
        <v>42</v>
      </c>
      <c r="D28" s="115" t="s">
        <v>25</v>
      </c>
      <c r="E28" s="115" t="s">
        <v>25</v>
      </c>
      <c r="F28" s="115" t="s">
        <v>25</v>
      </c>
      <c r="G28" s="115" t="s">
        <v>35</v>
      </c>
      <c r="H28" s="115" t="s">
        <v>84</v>
      </c>
      <c r="I28" s="115" t="s">
        <v>25</v>
      </c>
      <c r="J28" s="115">
        <v>21.37</v>
      </c>
      <c r="K28" s="115">
        <v>0</v>
      </c>
      <c r="L28" s="115">
        <v>0</v>
      </c>
      <c r="M28" s="115">
        <v>0</v>
      </c>
      <c r="N28" s="115">
        <v>0</v>
      </c>
      <c r="O28" s="115">
        <v>0</v>
      </c>
      <c r="P28" s="115">
        <v>0</v>
      </c>
      <c r="Q28" s="115">
        <v>0</v>
      </c>
      <c r="R28" s="115">
        <v>0</v>
      </c>
      <c r="S28" s="115">
        <v>0</v>
      </c>
      <c r="T28" s="115">
        <v>4.8240742378063297</v>
      </c>
      <c r="U28" s="115">
        <v>2.3184137423859101</v>
      </c>
      <c r="V28" s="115">
        <v>0</v>
      </c>
      <c r="W28" s="115">
        <v>0</v>
      </c>
      <c r="X28" s="115">
        <v>0</v>
      </c>
      <c r="Y28" s="115">
        <v>0</v>
      </c>
      <c r="Z28" s="115">
        <v>0</v>
      </c>
      <c r="AA28" s="115">
        <v>15.166333705263501</v>
      </c>
      <c r="AB28" s="115">
        <v>-0.939483059831273</v>
      </c>
      <c r="AC28" s="115">
        <v>0</v>
      </c>
      <c r="AD28" s="115">
        <v>0</v>
      </c>
      <c r="AE28" s="115">
        <v>0</v>
      </c>
      <c r="AF28" s="115">
        <v>0</v>
      </c>
      <c r="AG28" s="115">
        <v>0</v>
      </c>
      <c r="AH28" s="115">
        <v>0</v>
      </c>
      <c r="AI28" s="115">
        <v>0</v>
      </c>
      <c r="AJ28" s="115">
        <v>0</v>
      </c>
      <c r="AK28" s="115">
        <v>0</v>
      </c>
      <c r="AL28" s="115">
        <v>0</v>
      </c>
      <c r="AM28" s="115">
        <v>0</v>
      </c>
      <c r="AN28" s="115">
        <v>0</v>
      </c>
      <c r="AO28" s="115">
        <v>0</v>
      </c>
      <c r="AP28" s="115">
        <v>0</v>
      </c>
      <c r="AQ28" s="115">
        <v>0</v>
      </c>
      <c r="AR28" s="115">
        <v>0</v>
      </c>
      <c r="AS28" s="115">
        <v>0</v>
      </c>
      <c r="AT28" s="116">
        <v>0</v>
      </c>
    </row>
    <row r="29" spans="2:46" ht="12" customHeight="1" x14ac:dyDescent="0.3">
      <c r="B29" s="114" t="s">
        <v>39</v>
      </c>
      <c r="C29" s="115" t="s">
        <v>60</v>
      </c>
      <c r="D29" s="115" t="s">
        <v>25</v>
      </c>
      <c r="E29" s="115" t="s">
        <v>25</v>
      </c>
      <c r="F29" s="115" t="s">
        <v>25</v>
      </c>
      <c r="G29" s="115" t="s">
        <v>25</v>
      </c>
      <c r="H29" s="115" t="s">
        <v>84</v>
      </c>
      <c r="I29" s="115" t="s">
        <v>25</v>
      </c>
      <c r="J29" s="115">
        <v>12.44</v>
      </c>
      <c r="K29" s="115">
        <v>0</v>
      </c>
      <c r="L29" s="115">
        <v>0</v>
      </c>
      <c r="M29" s="115">
        <v>6.962197168624E-2</v>
      </c>
      <c r="N29" s="115">
        <v>0.204463702538001</v>
      </c>
      <c r="O29" s="115">
        <v>0</v>
      </c>
      <c r="P29" s="115">
        <v>0</v>
      </c>
      <c r="Q29" s="115">
        <v>0</v>
      </c>
      <c r="R29" s="115">
        <v>0</v>
      </c>
      <c r="S29" s="115">
        <v>0</v>
      </c>
      <c r="T29" s="115">
        <v>0</v>
      </c>
      <c r="U29" s="115">
        <v>0</v>
      </c>
      <c r="V29" s="115">
        <v>0</v>
      </c>
      <c r="W29" s="115">
        <v>0</v>
      </c>
      <c r="X29" s="115">
        <v>0</v>
      </c>
      <c r="Y29" s="115">
        <v>0</v>
      </c>
      <c r="Z29" s="115">
        <v>0</v>
      </c>
      <c r="AA29" s="115">
        <v>12.717205935462101</v>
      </c>
      <c r="AB29" s="115">
        <v>-0.56148140367372801</v>
      </c>
      <c r="AC29" s="115">
        <v>0</v>
      </c>
      <c r="AD29" s="115">
        <v>0</v>
      </c>
      <c r="AE29" s="115">
        <v>6.9490556313345697E-3</v>
      </c>
      <c r="AF29" s="115">
        <v>0</v>
      </c>
      <c r="AG29" s="115">
        <v>0</v>
      </c>
      <c r="AH29" s="115">
        <v>0</v>
      </c>
      <c r="AI29" s="115">
        <v>0</v>
      </c>
      <c r="AJ29" s="115">
        <v>0</v>
      </c>
      <c r="AK29" s="115">
        <v>0</v>
      </c>
      <c r="AL29" s="115">
        <v>0</v>
      </c>
      <c r="AM29" s="115">
        <v>0</v>
      </c>
      <c r="AN29" s="115">
        <v>0</v>
      </c>
      <c r="AO29" s="115">
        <v>0</v>
      </c>
      <c r="AP29" s="115">
        <v>0</v>
      </c>
      <c r="AQ29" s="115">
        <v>0</v>
      </c>
      <c r="AR29" s="115">
        <v>0</v>
      </c>
      <c r="AS29" s="115">
        <v>0</v>
      </c>
      <c r="AT29" s="116">
        <v>0</v>
      </c>
    </row>
    <row r="30" spans="2:46" ht="12" customHeight="1" x14ac:dyDescent="0.3">
      <c r="B30" s="114" t="s">
        <v>39</v>
      </c>
      <c r="C30" s="115" t="s">
        <v>40</v>
      </c>
      <c r="D30" s="115" t="s">
        <v>25</v>
      </c>
      <c r="E30" s="115" t="s">
        <v>25</v>
      </c>
      <c r="F30" s="115" t="s">
        <v>87</v>
      </c>
      <c r="G30" s="115" t="s">
        <v>34</v>
      </c>
      <c r="H30" s="115" t="s">
        <v>79</v>
      </c>
      <c r="I30" s="115" t="s">
        <v>25</v>
      </c>
      <c r="J30" s="115">
        <v>1253.3900000000001</v>
      </c>
      <c r="K30" s="115">
        <v>0</v>
      </c>
      <c r="L30" s="115">
        <v>0</v>
      </c>
      <c r="M30" s="115">
        <v>0.50301435172055597</v>
      </c>
      <c r="N30" s="115">
        <v>13.130499188700499</v>
      </c>
      <c r="O30" s="115">
        <v>0</v>
      </c>
      <c r="P30" s="115">
        <v>0</v>
      </c>
      <c r="Q30" s="115">
        <v>0</v>
      </c>
      <c r="R30" s="115">
        <v>0</v>
      </c>
      <c r="S30" s="115">
        <v>0</v>
      </c>
      <c r="T30" s="115">
        <v>201.10723675753599</v>
      </c>
      <c r="U30" s="115">
        <v>93.3092574107595</v>
      </c>
      <c r="V30" s="115">
        <v>0</v>
      </c>
      <c r="W30" s="115">
        <v>0</v>
      </c>
      <c r="X30" s="115">
        <v>0</v>
      </c>
      <c r="Y30" s="115">
        <v>0</v>
      </c>
      <c r="Z30" s="115">
        <v>0</v>
      </c>
      <c r="AA30" s="115">
        <v>987.45803265912105</v>
      </c>
      <c r="AB30" s="115">
        <v>-55.527103600203198</v>
      </c>
      <c r="AC30" s="115">
        <v>0</v>
      </c>
      <c r="AD30" s="115">
        <v>0</v>
      </c>
      <c r="AE30" s="115">
        <v>11.755236323061901</v>
      </c>
      <c r="AF30" s="115">
        <v>0.34591302766983201</v>
      </c>
      <c r="AG30" s="115">
        <v>1.0588085166344601</v>
      </c>
      <c r="AH30" s="115">
        <v>0.246263835932098</v>
      </c>
      <c r="AI30" s="115">
        <v>0</v>
      </c>
      <c r="AJ30" s="115">
        <v>0</v>
      </c>
      <c r="AK30" s="115">
        <v>0</v>
      </c>
      <c r="AL30" s="115">
        <v>0</v>
      </c>
      <c r="AM30" s="115">
        <v>0</v>
      </c>
      <c r="AN30" s="115">
        <v>0</v>
      </c>
      <c r="AO30" s="115">
        <v>0</v>
      </c>
      <c r="AP30" s="115">
        <v>0</v>
      </c>
      <c r="AQ30" s="115">
        <v>0</v>
      </c>
      <c r="AR30" s="115">
        <v>0</v>
      </c>
      <c r="AS30" s="115">
        <v>0</v>
      </c>
      <c r="AT30" s="116">
        <v>0</v>
      </c>
    </row>
    <row r="31" spans="2:46" ht="12" customHeight="1" x14ac:dyDescent="0.3">
      <c r="B31" s="114" t="s">
        <v>39</v>
      </c>
      <c r="C31" s="115" t="s">
        <v>40</v>
      </c>
      <c r="D31" s="115" t="s">
        <v>25</v>
      </c>
      <c r="E31" s="115" t="s">
        <v>25</v>
      </c>
      <c r="F31" s="115" t="s">
        <v>87</v>
      </c>
      <c r="G31" s="115" t="s">
        <v>25</v>
      </c>
      <c r="H31" s="115" t="s">
        <v>84</v>
      </c>
      <c r="I31" s="115" t="s">
        <v>25</v>
      </c>
      <c r="J31" s="115">
        <v>21.37</v>
      </c>
      <c r="K31" s="115">
        <v>0</v>
      </c>
      <c r="L31" s="115">
        <v>0</v>
      </c>
      <c r="M31" s="115">
        <v>0</v>
      </c>
      <c r="N31" s="115">
        <v>0</v>
      </c>
      <c r="O31" s="115">
        <v>0</v>
      </c>
      <c r="P31" s="115">
        <v>0</v>
      </c>
      <c r="Q31" s="115">
        <v>0</v>
      </c>
      <c r="R31" s="115">
        <v>0</v>
      </c>
      <c r="S31" s="115">
        <v>0</v>
      </c>
      <c r="T31" s="115">
        <v>4.8240742378063297</v>
      </c>
      <c r="U31" s="115">
        <v>2.3184137423859101</v>
      </c>
      <c r="V31" s="115">
        <v>0</v>
      </c>
      <c r="W31" s="115">
        <v>0</v>
      </c>
      <c r="X31" s="115">
        <v>0</v>
      </c>
      <c r="Y31" s="115">
        <v>0</v>
      </c>
      <c r="Z31" s="115">
        <v>0</v>
      </c>
      <c r="AA31" s="115">
        <v>15.166333705263501</v>
      </c>
      <c r="AB31" s="115">
        <v>-0.939483059831273</v>
      </c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>
        <v>0</v>
      </c>
      <c r="AK31" s="115">
        <v>0</v>
      </c>
      <c r="AL31" s="115">
        <v>0</v>
      </c>
      <c r="AM31" s="115">
        <v>0</v>
      </c>
      <c r="AN31" s="115">
        <v>0</v>
      </c>
      <c r="AO31" s="115">
        <v>0</v>
      </c>
      <c r="AP31" s="115">
        <v>0</v>
      </c>
      <c r="AQ31" s="115">
        <v>0</v>
      </c>
      <c r="AR31" s="115">
        <v>0</v>
      </c>
      <c r="AS31" s="115">
        <v>0</v>
      </c>
      <c r="AT31" s="116">
        <v>0</v>
      </c>
    </row>
    <row r="32" spans="2:46" ht="12" customHeight="1" x14ac:dyDescent="0.3">
      <c r="B32" s="114" t="s">
        <v>39</v>
      </c>
      <c r="C32" s="115" t="s">
        <v>40</v>
      </c>
      <c r="D32" s="115" t="s">
        <v>25</v>
      </c>
      <c r="E32" s="115" t="s">
        <v>25</v>
      </c>
      <c r="F32" s="115" t="s">
        <v>87</v>
      </c>
      <c r="G32" s="115" t="s">
        <v>35</v>
      </c>
      <c r="H32" s="115" t="s">
        <v>79</v>
      </c>
      <c r="I32" s="115" t="s">
        <v>25</v>
      </c>
      <c r="J32" s="115">
        <v>13.61</v>
      </c>
      <c r="K32" s="115">
        <v>0</v>
      </c>
      <c r="L32" s="115">
        <v>0</v>
      </c>
      <c r="M32" s="115">
        <v>0.50301435172055597</v>
      </c>
      <c r="N32" s="115">
        <v>0.29935054480627799</v>
      </c>
      <c r="O32" s="115">
        <v>0</v>
      </c>
      <c r="P32" s="115">
        <v>0</v>
      </c>
      <c r="Q32" s="115">
        <v>0</v>
      </c>
      <c r="R32" s="115">
        <v>0</v>
      </c>
      <c r="S32" s="115">
        <v>0</v>
      </c>
      <c r="T32" s="115">
        <v>0</v>
      </c>
      <c r="U32" s="115">
        <v>0</v>
      </c>
      <c r="V32" s="115">
        <v>0</v>
      </c>
      <c r="W32" s="115">
        <v>0</v>
      </c>
      <c r="X32" s="115">
        <v>0</v>
      </c>
      <c r="Y32" s="115">
        <v>0</v>
      </c>
      <c r="Z32" s="115">
        <v>0</v>
      </c>
      <c r="AA32" s="115">
        <v>0</v>
      </c>
      <c r="AB32" s="115">
        <v>-0.59682852655626195</v>
      </c>
      <c r="AC32" s="115">
        <v>0</v>
      </c>
      <c r="AD32" s="115">
        <v>0</v>
      </c>
      <c r="AE32" s="115">
        <v>11.755236323061901</v>
      </c>
      <c r="AF32" s="115">
        <v>0.34591302766983201</v>
      </c>
      <c r="AG32" s="115">
        <v>1.0588085166344601</v>
      </c>
      <c r="AH32" s="115">
        <v>0.246263835932098</v>
      </c>
      <c r="AI32" s="115">
        <v>0</v>
      </c>
      <c r="AJ32" s="115">
        <v>0</v>
      </c>
      <c r="AK32" s="115">
        <v>0</v>
      </c>
      <c r="AL32" s="115">
        <v>0</v>
      </c>
      <c r="AM32" s="115">
        <v>0</v>
      </c>
      <c r="AN32" s="115">
        <v>0</v>
      </c>
      <c r="AO32" s="115">
        <v>0</v>
      </c>
      <c r="AP32" s="115">
        <v>0</v>
      </c>
      <c r="AQ32" s="115">
        <v>0</v>
      </c>
      <c r="AR32" s="115">
        <v>0</v>
      </c>
      <c r="AS32" s="115">
        <v>0</v>
      </c>
      <c r="AT32" s="116">
        <v>0</v>
      </c>
    </row>
    <row r="33" spans="2:46" ht="12" customHeight="1" x14ac:dyDescent="0.3">
      <c r="B33" s="114" t="s">
        <v>39</v>
      </c>
      <c r="C33" s="115" t="s">
        <v>40</v>
      </c>
      <c r="D33" s="115" t="s">
        <v>25</v>
      </c>
      <c r="E33" s="115" t="s">
        <v>25</v>
      </c>
      <c r="F33" s="115" t="s">
        <v>25</v>
      </c>
      <c r="G33" s="115" t="s">
        <v>34</v>
      </c>
      <c r="H33" s="115" t="s">
        <v>79</v>
      </c>
      <c r="I33" s="115" t="s">
        <v>25</v>
      </c>
      <c r="J33" s="115">
        <v>1385.5</v>
      </c>
      <c r="K33" s="115">
        <v>361.95</v>
      </c>
      <c r="L33" s="115">
        <v>11.871615084796</v>
      </c>
      <c r="M33" s="115">
        <v>0.50301435172055597</v>
      </c>
      <c r="N33" s="115">
        <v>13.1422364850575</v>
      </c>
      <c r="O33" s="115">
        <v>0</v>
      </c>
      <c r="P33" s="115">
        <v>0</v>
      </c>
      <c r="Q33" s="115">
        <v>104.27805831027599</v>
      </c>
      <c r="R33" s="115">
        <v>20.465299872876599</v>
      </c>
      <c r="S33" s="115">
        <v>0</v>
      </c>
      <c r="T33" s="115">
        <v>201.10723675753599</v>
      </c>
      <c r="U33" s="115">
        <v>93.3092574107595</v>
      </c>
      <c r="V33" s="115">
        <v>0</v>
      </c>
      <c r="W33" s="115">
        <v>0</v>
      </c>
      <c r="X33" s="115">
        <v>0</v>
      </c>
      <c r="Y33" s="115">
        <v>0</v>
      </c>
      <c r="Z33" s="115">
        <v>0</v>
      </c>
      <c r="AA33" s="115">
        <v>987.45803265912105</v>
      </c>
      <c r="AB33" s="115">
        <v>-60.043198301429904</v>
      </c>
      <c r="AC33" s="115">
        <v>0</v>
      </c>
      <c r="AD33" s="115">
        <v>0</v>
      </c>
      <c r="AE33" s="115">
        <v>11.755236323061901</v>
      </c>
      <c r="AF33" s="115">
        <v>0.34591302766983201</v>
      </c>
      <c r="AG33" s="115">
        <v>1.0588085166344601</v>
      </c>
      <c r="AH33" s="115">
        <v>0.246263835932098</v>
      </c>
      <c r="AI33" s="115">
        <v>5.7437144883312499</v>
      </c>
      <c r="AJ33" s="115">
        <v>-17.459208153924099</v>
      </c>
      <c r="AK33" s="115">
        <v>2.4026595191710398</v>
      </c>
      <c r="AL33" s="115">
        <v>22.449665681296501</v>
      </c>
      <c r="AM33" s="115">
        <v>0</v>
      </c>
      <c r="AN33" s="115">
        <v>347.95165747413199</v>
      </c>
      <c r="AO33" s="115">
        <v>6.2552963466211802</v>
      </c>
      <c r="AP33" s="115">
        <v>4.4541212951865798</v>
      </c>
      <c r="AQ33" s="115">
        <v>0</v>
      </c>
      <c r="AR33" s="115">
        <v>-15.7210469762122</v>
      </c>
      <c r="AS33" s="115">
        <v>0</v>
      </c>
      <c r="AT33" s="116">
        <v>5.8757873676056898</v>
      </c>
    </row>
    <row r="34" spans="2:46" ht="12" customHeight="1" x14ac:dyDescent="0.3">
      <c r="B34" s="114" t="s">
        <v>39</v>
      </c>
      <c r="C34" s="115" t="s">
        <v>40</v>
      </c>
      <c r="D34" s="115" t="s">
        <v>25</v>
      </c>
      <c r="E34" s="115" t="s">
        <v>25</v>
      </c>
      <c r="F34" s="115" t="s">
        <v>25</v>
      </c>
      <c r="G34" s="115" t="s">
        <v>25</v>
      </c>
      <c r="H34" s="115" t="s">
        <v>84</v>
      </c>
      <c r="I34" s="115" t="s">
        <v>25</v>
      </c>
      <c r="J34" s="115">
        <v>21.37</v>
      </c>
      <c r="K34" s="115">
        <v>0</v>
      </c>
      <c r="L34" s="115">
        <v>0</v>
      </c>
      <c r="M34" s="115">
        <v>0</v>
      </c>
      <c r="N34" s="115">
        <v>0</v>
      </c>
      <c r="O34" s="115">
        <v>0</v>
      </c>
      <c r="P34" s="115">
        <v>0</v>
      </c>
      <c r="Q34" s="115">
        <v>0</v>
      </c>
      <c r="R34" s="115">
        <v>0</v>
      </c>
      <c r="S34" s="115">
        <v>0</v>
      </c>
      <c r="T34" s="115">
        <v>4.8240742378063297</v>
      </c>
      <c r="U34" s="115">
        <v>2.3184137423859101</v>
      </c>
      <c r="V34" s="115">
        <v>0</v>
      </c>
      <c r="W34" s="115">
        <v>0</v>
      </c>
      <c r="X34" s="115">
        <v>0</v>
      </c>
      <c r="Y34" s="115">
        <v>0</v>
      </c>
      <c r="Z34" s="115">
        <v>0</v>
      </c>
      <c r="AA34" s="115">
        <v>15.166333705263501</v>
      </c>
      <c r="AB34" s="115">
        <v>-0.939483059831273</v>
      </c>
      <c r="AC34" s="115">
        <v>0</v>
      </c>
      <c r="AD34" s="115">
        <v>0</v>
      </c>
      <c r="AE34" s="115">
        <v>0</v>
      </c>
      <c r="AF34" s="115">
        <v>0</v>
      </c>
      <c r="AG34" s="115">
        <v>0</v>
      </c>
      <c r="AH34" s="115">
        <v>0</v>
      </c>
      <c r="AI34" s="115">
        <v>0</v>
      </c>
      <c r="AJ34" s="115">
        <v>0</v>
      </c>
      <c r="AK34" s="115">
        <v>0</v>
      </c>
      <c r="AL34" s="115">
        <v>0</v>
      </c>
      <c r="AM34" s="115">
        <v>0</v>
      </c>
      <c r="AN34" s="115">
        <v>0</v>
      </c>
      <c r="AO34" s="115">
        <v>0</v>
      </c>
      <c r="AP34" s="115">
        <v>0</v>
      </c>
      <c r="AQ34" s="115">
        <v>0</v>
      </c>
      <c r="AR34" s="115">
        <v>0</v>
      </c>
      <c r="AS34" s="115">
        <v>0</v>
      </c>
      <c r="AT34" s="116">
        <v>0</v>
      </c>
    </row>
    <row r="35" spans="2:46" ht="12" customHeight="1" x14ac:dyDescent="0.3">
      <c r="B35" s="114" t="s">
        <v>39</v>
      </c>
      <c r="C35" s="115" t="s">
        <v>40</v>
      </c>
      <c r="D35" s="115" t="s">
        <v>25</v>
      </c>
      <c r="E35" s="115" t="s">
        <v>25</v>
      </c>
      <c r="F35" s="115" t="s">
        <v>25</v>
      </c>
      <c r="G35" s="115" t="s">
        <v>35</v>
      </c>
      <c r="H35" s="115" t="s">
        <v>79</v>
      </c>
      <c r="I35" s="115" t="s">
        <v>25</v>
      </c>
      <c r="J35" s="115">
        <v>145.72</v>
      </c>
      <c r="K35" s="115">
        <v>222.39</v>
      </c>
      <c r="L35" s="115">
        <v>11.871615084796</v>
      </c>
      <c r="M35" s="115">
        <v>0.50301435172055597</v>
      </c>
      <c r="N35" s="115">
        <v>0.31108784116322402</v>
      </c>
      <c r="O35" s="115">
        <v>0</v>
      </c>
      <c r="P35" s="115">
        <v>0</v>
      </c>
      <c r="Q35" s="115">
        <v>104.27805831027599</v>
      </c>
      <c r="R35" s="115">
        <v>20.465299872876599</v>
      </c>
      <c r="S35" s="115">
        <v>0</v>
      </c>
      <c r="T35" s="115">
        <v>0</v>
      </c>
      <c r="U35" s="115">
        <v>0</v>
      </c>
      <c r="V35" s="115">
        <v>0</v>
      </c>
      <c r="W35" s="115">
        <v>0</v>
      </c>
      <c r="X35" s="115">
        <v>0</v>
      </c>
      <c r="Y35" s="115">
        <v>0</v>
      </c>
      <c r="Z35" s="115">
        <v>0</v>
      </c>
      <c r="AA35" s="115">
        <v>0</v>
      </c>
      <c r="AB35" s="115">
        <v>-5.11292322778292</v>
      </c>
      <c r="AC35" s="115">
        <v>0</v>
      </c>
      <c r="AD35" s="115">
        <v>0</v>
      </c>
      <c r="AE35" s="115">
        <v>11.755236323061901</v>
      </c>
      <c r="AF35" s="115">
        <v>0.34591302766983201</v>
      </c>
      <c r="AG35" s="115">
        <v>1.0588085166344601</v>
      </c>
      <c r="AH35" s="115">
        <v>0.246263835932098</v>
      </c>
      <c r="AI35" s="115">
        <v>5.7437144883312499</v>
      </c>
      <c r="AJ35" s="115">
        <v>-17.459208153924099</v>
      </c>
      <c r="AK35" s="115">
        <v>2.4026595191710398</v>
      </c>
      <c r="AL35" s="115">
        <v>22.449665681296501</v>
      </c>
      <c r="AM35" s="115">
        <v>0</v>
      </c>
      <c r="AN35" s="115">
        <v>202.297475275658</v>
      </c>
      <c r="AO35" s="115">
        <v>6.2552963466211802</v>
      </c>
      <c r="AP35" s="115">
        <v>4.4541212951865798</v>
      </c>
      <c r="AQ35" s="115">
        <v>0</v>
      </c>
      <c r="AR35" s="115">
        <v>-9.6256469400820901</v>
      </c>
      <c r="AS35" s="115">
        <v>0</v>
      </c>
      <c r="AT35" s="116">
        <v>5.8757873676056898</v>
      </c>
    </row>
    <row r="36" spans="2:46" ht="12" customHeight="1" x14ac:dyDescent="0.3">
      <c r="B36" s="114" t="s">
        <v>88</v>
      </c>
      <c r="C36" s="115" t="s">
        <v>60</v>
      </c>
      <c r="D36" s="115" t="s">
        <v>25</v>
      </c>
      <c r="E36" s="115" t="s">
        <v>25</v>
      </c>
      <c r="F36" s="115" t="s">
        <v>89</v>
      </c>
      <c r="G36" s="115" t="s">
        <v>25</v>
      </c>
      <c r="H36" s="115" t="s">
        <v>84</v>
      </c>
      <c r="I36" s="115" t="s">
        <v>25</v>
      </c>
      <c r="J36" s="115">
        <v>5.71</v>
      </c>
      <c r="K36" s="115">
        <v>0</v>
      </c>
      <c r="L36" s="115">
        <v>0</v>
      </c>
      <c r="M36" s="115">
        <v>2.0966847381014599E-2</v>
      </c>
      <c r="N36" s="115">
        <v>6.1386059946828102E-2</v>
      </c>
      <c r="O36" s="115">
        <v>0</v>
      </c>
      <c r="P36" s="115">
        <v>0</v>
      </c>
      <c r="Q36" s="115">
        <v>0</v>
      </c>
      <c r="R36" s="115">
        <v>0</v>
      </c>
      <c r="S36" s="115">
        <v>0</v>
      </c>
      <c r="T36" s="115">
        <v>0</v>
      </c>
      <c r="U36" s="115">
        <v>0</v>
      </c>
      <c r="V36" s="115">
        <v>0</v>
      </c>
      <c r="W36" s="115">
        <v>0</v>
      </c>
      <c r="X36" s="115">
        <v>0</v>
      </c>
      <c r="Y36" s="115">
        <v>0</v>
      </c>
      <c r="Z36" s="115">
        <v>0</v>
      </c>
      <c r="AA36" s="115">
        <v>5.8811781678055404</v>
      </c>
      <c r="AB36" s="115">
        <v>-0.25761151370032498</v>
      </c>
      <c r="AC36" s="115">
        <v>0</v>
      </c>
      <c r="AD36" s="115">
        <v>0</v>
      </c>
      <c r="AE36" s="115">
        <v>0</v>
      </c>
      <c r="AF36" s="115">
        <v>0</v>
      </c>
      <c r="AG36" s="115">
        <v>0</v>
      </c>
      <c r="AH36" s="115">
        <v>0</v>
      </c>
      <c r="AI36" s="115">
        <v>0</v>
      </c>
      <c r="AJ36" s="115">
        <v>0</v>
      </c>
      <c r="AK36" s="115">
        <v>0</v>
      </c>
      <c r="AL36" s="115">
        <v>0</v>
      </c>
      <c r="AM36" s="115">
        <v>0</v>
      </c>
      <c r="AN36" s="115">
        <v>0</v>
      </c>
      <c r="AO36" s="115">
        <v>0</v>
      </c>
      <c r="AP36" s="115">
        <v>0</v>
      </c>
      <c r="AQ36" s="115">
        <v>0</v>
      </c>
      <c r="AR36" s="115">
        <v>0</v>
      </c>
      <c r="AS36" s="115">
        <v>0</v>
      </c>
      <c r="AT36" s="116">
        <v>0</v>
      </c>
    </row>
    <row r="37" spans="2:46" ht="12" customHeight="1" x14ac:dyDescent="0.3">
      <c r="B37" s="114" t="s">
        <v>88</v>
      </c>
      <c r="C37" s="115" t="s">
        <v>60</v>
      </c>
      <c r="D37" s="115" t="s">
        <v>25</v>
      </c>
      <c r="E37" s="115" t="s">
        <v>25</v>
      </c>
      <c r="F37" s="115" t="s">
        <v>90</v>
      </c>
      <c r="G37" s="115" t="s">
        <v>25</v>
      </c>
      <c r="H37" s="115" t="s">
        <v>84</v>
      </c>
      <c r="I37" s="115" t="s">
        <v>25</v>
      </c>
      <c r="J37" s="115">
        <v>20.84</v>
      </c>
      <c r="K37" s="115">
        <v>0</v>
      </c>
      <c r="L37" s="115">
        <v>0</v>
      </c>
      <c r="M37" s="115">
        <v>2.0966847381014599E-2</v>
      </c>
      <c r="N37" s="115">
        <v>6.1386059946828102E-2</v>
      </c>
      <c r="O37" s="115">
        <v>0</v>
      </c>
      <c r="P37" s="115">
        <v>0</v>
      </c>
      <c r="Q37" s="115">
        <v>0</v>
      </c>
      <c r="R37" s="115">
        <v>0</v>
      </c>
      <c r="S37" s="115">
        <v>0</v>
      </c>
      <c r="T37" s="115">
        <v>0</v>
      </c>
      <c r="U37" s="115">
        <v>0</v>
      </c>
      <c r="V37" s="115">
        <v>0</v>
      </c>
      <c r="W37" s="115">
        <v>0</v>
      </c>
      <c r="X37" s="115">
        <v>0</v>
      </c>
      <c r="Y37" s="115">
        <v>0</v>
      </c>
      <c r="Z37" s="115">
        <v>0</v>
      </c>
      <c r="AA37" s="115">
        <v>21.697173755018401</v>
      </c>
      <c r="AB37" s="115">
        <v>-0.94083915820459496</v>
      </c>
      <c r="AC37" s="115">
        <v>0</v>
      </c>
      <c r="AD37" s="115">
        <v>0</v>
      </c>
      <c r="AE37" s="115">
        <v>0</v>
      </c>
      <c r="AF37" s="115">
        <v>0</v>
      </c>
      <c r="AG37" s="115">
        <v>0</v>
      </c>
      <c r="AH37" s="115">
        <v>0</v>
      </c>
      <c r="AI37" s="115">
        <v>0</v>
      </c>
      <c r="AJ37" s="115">
        <v>0</v>
      </c>
      <c r="AK37" s="115">
        <v>0</v>
      </c>
      <c r="AL37" s="115">
        <v>0</v>
      </c>
      <c r="AM37" s="115">
        <v>0</v>
      </c>
      <c r="AN37" s="115">
        <v>0</v>
      </c>
      <c r="AO37" s="115">
        <v>0</v>
      </c>
      <c r="AP37" s="115">
        <v>0</v>
      </c>
      <c r="AQ37" s="115">
        <v>0</v>
      </c>
      <c r="AR37" s="115">
        <v>0</v>
      </c>
      <c r="AS37" s="115">
        <v>0</v>
      </c>
      <c r="AT37" s="116">
        <v>0</v>
      </c>
    </row>
    <row r="38" spans="2:46" ht="12" customHeight="1" x14ac:dyDescent="0.3">
      <c r="B38" s="114" t="s">
        <v>22</v>
      </c>
      <c r="C38" s="115" t="s">
        <v>33</v>
      </c>
      <c r="D38" s="115" t="s">
        <v>24</v>
      </c>
      <c r="E38" s="115" t="s">
        <v>24</v>
      </c>
      <c r="F38" s="115" t="s">
        <v>25</v>
      </c>
      <c r="G38" s="115" t="s">
        <v>34</v>
      </c>
      <c r="H38" s="115" t="s">
        <v>79</v>
      </c>
      <c r="I38" s="115" t="s">
        <v>25</v>
      </c>
      <c r="J38" s="115">
        <v>728.02</v>
      </c>
      <c r="K38" s="115">
        <v>437.01</v>
      </c>
      <c r="L38" s="115">
        <v>14.132875100947601</v>
      </c>
      <c r="M38" s="115">
        <v>1.0202288368783801</v>
      </c>
      <c r="N38" s="115">
        <v>10.792243078579</v>
      </c>
      <c r="O38" s="115">
        <v>0</v>
      </c>
      <c r="P38" s="115">
        <v>0</v>
      </c>
      <c r="Q38" s="115">
        <v>124.14054560747201</v>
      </c>
      <c r="R38" s="115">
        <v>20.465299872876599</v>
      </c>
      <c r="S38" s="115">
        <v>0</v>
      </c>
      <c r="T38" s="115">
        <v>135.65349530903501</v>
      </c>
      <c r="U38" s="115">
        <v>63.914362186199497</v>
      </c>
      <c r="V38" s="115">
        <v>0</v>
      </c>
      <c r="W38" s="115">
        <v>0</v>
      </c>
      <c r="X38" s="115">
        <v>0</v>
      </c>
      <c r="Y38" s="115">
        <v>0</v>
      </c>
      <c r="Z38" s="115">
        <v>0</v>
      </c>
      <c r="AA38" s="115">
        <v>812.43140989897699</v>
      </c>
      <c r="AB38" s="115">
        <v>-49.936423679398899</v>
      </c>
      <c r="AC38" s="115">
        <v>-431.613318764621</v>
      </c>
      <c r="AD38" s="115">
        <v>0</v>
      </c>
      <c r="AE38" s="115">
        <v>24.295181389723801</v>
      </c>
      <c r="AF38" s="115">
        <v>0.71491712470465096</v>
      </c>
      <c r="AG38" s="115">
        <v>1.6300561171196399</v>
      </c>
      <c r="AH38" s="115">
        <v>0.379127921507879</v>
      </c>
      <c r="AI38" s="115">
        <v>5.7437144883312499</v>
      </c>
      <c r="AJ38" s="115">
        <v>-17.459208153924099</v>
      </c>
      <c r="AK38" s="115">
        <v>2.4026595191710398</v>
      </c>
      <c r="AL38" s="115">
        <v>22.449665681296501</v>
      </c>
      <c r="AM38" s="115">
        <v>0</v>
      </c>
      <c r="AN38" s="115">
        <v>347.95165747413199</v>
      </c>
      <c r="AO38" s="115">
        <v>6.2552963466211802</v>
      </c>
      <c r="AP38" s="115">
        <v>4.4541212951865798</v>
      </c>
      <c r="AQ38" s="115">
        <v>0</v>
      </c>
      <c r="AR38" s="115">
        <v>-15.7210469762122</v>
      </c>
      <c r="AS38" s="115">
        <v>75.057352957792205</v>
      </c>
      <c r="AT38" s="116">
        <v>5.8757873676056898</v>
      </c>
    </row>
    <row r="39" spans="2:46" ht="12" customHeight="1" x14ac:dyDescent="0.3">
      <c r="B39" s="114" t="s">
        <v>22</v>
      </c>
      <c r="C39" s="115" t="s">
        <v>33</v>
      </c>
      <c r="D39" s="115" t="s">
        <v>24</v>
      </c>
      <c r="E39" s="115" t="s">
        <v>24</v>
      </c>
      <c r="F39" s="115" t="s">
        <v>25</v>
      </c>
      <c r="G39" s="115" t="s">
        <v>36</v>
      </c>
      <c r="H39" s="115" t="s">
        <v>79</v>
      </c>
      <c r="I39" s="115" t="s">
        <v>25</v>
      </c>
      <c r="J39" s="115">
        <v>509.77</v>
      </c>
      <c r="K39" s="115">
        <v>272.82</v>
      </c>
      <c r="L39" s="115">
        <v>14.132875100947601</v>
      </c>
      <c r="M39" s="115">
        <v>1.0202288368783801</v>
      </c>
      <c r="N39" s="115">
        <v>6.7174364193085099</v>
      </c>
      <c r="O39" s="115">
        <v>0</v>
      </c>
      <c r="P39" s="115">
        <v>0</v>
      </c>
      <c r="Q39" s="115">
        <v>124.14054560747201</v>
      </c>
      <c r="R39" s="115">
        <v>20.465299872876599</v>
      </c>
      <c r="S39" s="115">
        <v>0</v>
      </c>
      <c r="T39" s="115">
        <v>81.392068994078898</v>
      </c>
      <c r="U39" s="115">
        <v>38.348642127627102</v>
      </c>
      <c r="V39" s="115">
        <v>0</v>
      </c>
      <c r="W39" s="115">
        <v>0</v>
      </c>
      <c r="X39" s="115">
        <v>0</v>
      </c>
      <c r="Y39" s="115">
        <v>0</v>
      </c>
      <c r="Z39" s="115">
        <v>0</v>
      </c>
      <c r="AA39" s="115">
        <v>487.458891063804</v>
      </c>
      <c r="AB39" s="115">
        <v>-32.544480224622603</v>
      </c>
      <c r="AC39" s="115">
        <v>-258.38079035142601</v>
      </c>
      <c r="AD39" s="115">
        <v>0</v>
      </c>
      <c r="AE39" s="115">
        <v>24.295181389723801</v>
      </c>
      <c r="AF39" s="115">
        <v>0.71491712470465096</v>
      </c>
      <c r="AG39" s="115">
        <v>1.6300561171196399</v>
      </c>
      <c r="AH39" s="115">
        <v>0.379127921507879</v>
      </c>
      <c r="AI39" s="115">
        <v>5.7437144883312499</v>
      </c>
      <c r="AJ39" s="115">
        <v>-17.459208153924099</v>
      </c>
      <c r="AK39" s="115">
        <v>2.4026595191710398</v>
      </c>
      <c r="AL39" s="115">
        <v>22.449665681296501</v>
      </c>
      <c r="AM39" s="115">
        <v>0</v>
      </c>
      <c r="AN39" s="115">
        <v>202.297475275658</v>
      </c>
      <c r="AO39" s="115">
        <v>6.2552963466211802</v>
      </c>
      <c r="AP39" s="115">
        <v>4.4541212951865798</v>
      </c>
      <c r="AQ39" s="115">
        <v>0</v>
      </c>
      <c r="AR39" s="115">
        <v>-9.6256469400820901</v>
      </c>
      <c r="AS39" s="115">
        <v>50.426135120135903</v>
      </c>
      <c r="AT39" s="116">
        <v>5.8757873676056898</v>
      </c>
    </row>
    <row r="40" spans="2:46" ht="12" customHeight="1" x14ac:dyDescent="0.3">
      <c r="B40" s="114" t="s">
        <v>22</v>
      </c>
      <c r="C40" s="115" t="s">
        <v>33</v>
      </c>
      <c r="D40" s="115" t="s">
        <v>24</v>
      </c>
      <c r="E40" s="115" t="s">
        <v>24</v>
      </c>
      <c r="F40" s="115" t="s">
        <v>25</v>
      </c>
      <c r="G40" s="115" t="s">
        <v>35</v>
      </c>
      <c r="H40" s="115" t="s">
        <v>79</v>
      </c>
      <c r="I40" s="115" t="s">
        <v>25</v>
      </c>
      <c r="J40" s="115">
        <v>291.52999999999997</v>
      </c>
      <c r="K40" s="115">
        <v>272.82</v>
      </c>
      <c r="L40" s="115">
        <v>14.132875100947601</v>
      </c>
      <c r="M40" s="115">
        <v>1.0202288368783801</v>
      </c>
      <c r="N40" s="115">
        <v>2.64262858630843</v>
      </c>
      <c r="O40" s="115">
        <v>0</v>
      </c>
      <c r="P40" s="115">
        <v>0</v>
      </c>
      <c r="Q40" s="115">
        <v>124.14054560747201</v>
      </c>
      <c r="R40" s="115">
        <v>20.465299872876599</v>
      </c>
      <c r="S40" s="115">
        <v>0</v>
      </c>
      <c r="T40" s="115">
        <v>27.130642679123099</v>
      </c>
      <c r="U40" s="115">
        <v>12.782922069054701</v>
      </c>
      <c r="V40" s="115">
        <v>0</v>
      </c>
      <c r="W40" s="115">
        <v>0</v>
      </c>
      <c r="X40" s="115">
        <v>0</v>
      </c>
      <c r="Y40" s="115">
        <v>0</v>
      </c>
      <c r="Z40" s="115">
        <v>0</v>
      </c>
      <c r="AA40" s="115">
        <v>162.48625941758601</v>
      </c>
      <c r="AB40" s="115">
        <v>-15.152531845872501</v>
      </c>
      <c r="AC40" s="115">
        <v>-85.1381528774304</v>
      </c>
      <c r="AD40" s="115">
        <v>0</v>
      </c>
      <c r="AE40" s="115">
        <v>24.295181389723801</v>
      </c>
      <c r="AF40" s="115">
        <v>0.71491712470465096</v>
      </c>
      <c r="AG40" s="115">
        <v>1.6300561171196399</v>
      </c>
      <c r="AH40" s="115">
        <v>0.379127921507879</v>
      </c>
      <c r="AI40" s="115">
        <v>5.7437144883312499</v>
      </c>
      <c r="AJ40" s="115">
        <v>-17.459208153924099</v>
      </c>
      <c r="AK40" s="115">
        <v>2.4026595191710398</v>
      </c>
      <c r="AL40" s="115">
        <v>22.449665681296501</v>
      </c>
      <c r="AM40" s="115">
        <v>0</v>
      </c>
      <c r="AN40" s="115">
        <v>202.297475275658</v>
      </c>
      <c r="AO40" s="115">
        <v>6.2552963466211802</v>
      </c>
      <c r="AP40" s="115">
        <v>4.4541212951865798</v>
      </c>
      <c r="AQ40" s="115">
        <v>0</v>
      </c>
      <c r="AR40" s="115">
        <v>-9.6256469400820901</v>
      </c>
      <c r="AS40" s="115">
        <v>50.426135120135903</v>
      </c>
      <c r="AT40" s="116">
        <v>5.8757873676056898</v>
      </c>
    </row>
    <row r="41" spans="2:46" ht="12" customHeight="1" x14ac:dyDescent="0.3">
      <c r="B41" s="114" t="s">
        <v>22</v>
      </c>
      <c r="C41" s="115" t="s">
        <v>23</v>
      </c>
      <c r="D41" s="115" t="s">
        <v>24</v>
      </c>
      <c r="E41" s="115" t="s">
        <v>1430</v>
      </c>
      <c r="F41" s="115" t="s">
        <v>25</v>
      </c>
      <c r="G41" s="115" t="s">
        <v>25</v>
      </c>
      <c r="H41" s="115" t="s">
        <v>79</v>
      </c>
      <c r="I41" s="115" t="s">
        <v>25</v>
      </c>
      <c r="J41" s="115">
        <v>251.4</v>
      </c>
      <c r="K41" s="115">
        <v>286.51</v>
      </c>
      <c r="L41" s="115">
        <v>0</v>
      </c>
      <c r="M41" s="115">
        <v>1.0202288368783801</v>
      </c>
      <c r="N41" s="115">
        <v>3.7279552533017899</v>
      </c>
      <c r="O41" s="115">
        <v>0</v>
      </c>
      <c r="P41" s="115">
        <v>0</v>
      </c>
      <c r="Q41" s="115">
        <v>0</v>
      </c>
      <c r="R41" s="115">
        <v>0</v>
      </c>
      <c r="S41" s="115">
        <v>0</v>
      </c>
      <c r="T41" s="115">
        <v>41.739537018164498</v>
      </c>
      <c r="U41" s="115">
        <v>19.665986229493001</v>
      </c>
      <c r="V41" s="115">
        <v>0</v>
      </c>
      <c r="W41" s="115">
        <v>0</v>
      </c>
      <c r="X41" s="115">
        <v>0</v>
      </c>
      <c r="Y41" s="115">
        <v>0</v>
      </c>
      <c r="Z41" s="115">
        <v>0</v>
      </c>
      <c r="AA41" s="115">
        <v>249.97889535353099</v>
      </c>
      <c r="AB41" s="115">
        <v>-14.580548247037701</v>
      </c>
      <c r="AC41" s="115">
        <v>-77.171336997387201</v>
      </c>
      <c r="AD41" s="115">
        <v>0</v>
      </c>
      <c r="AE41" s="115">
        <v>24.295181389723801</v>
      </c>
      <c r="AF41" s="115">
        <v>0.71491712470465096</v>
      </c>
      <c r="AG41" s="115">
        <v>1.6300561171196399</v>
      </c>
      <c r="AH41" s="115">
        <v>0.379127921507879</v>
      </c>
      <c r="AI41" s="115">
        <v>5.7437144883312499</v>
      </c>
      <c r="AJ41" s="115">
        <v>-17.459208153924099</v>
      </c>
      <c r="AK41" s="115">
        <v>2.4026595191710398</v>
      </c>
      <c r="AL41" s="115">
        <v>22.449665681296501</v>
      </c>
      <c r="AM41" s="115">
        <v>0</v>
      </c>
      <c r="AN41" s="115">
        <v>214.43532379219801</v>
      </c>
      <c r="AO41" s="115">
        <v>6.2552963466211802</v>
      </c>
      <c r="AP41" s="115">
        <v>4.4541212951865798</v>
      </c>
      <c r="AQ41" s="115">
        <v>0</v>
      </c>
      <c r="AR41" s="115">
        <v>-10.1335969430929</v>
      </c>
      <c r="AS41" s="115">
        <v>52.4862366066072</v>
      </c>
      <c r="AT41" s="116">
        <v>5.8757873676056898</v>
      </c>
    </row>
    <row r="42" spans="2:46" ht="12" customHeight="1" x14ac:dyDescent="0.3">
      <c r="B42" s="114" t="s">
        <v>22</v>
      </c>
      <c r="C42" s="115" t="s">
        <v>23</v>
      </c>
      <c r="D42" s="115" t="s">
        <v>24</v>
      </c>
      <c r="E42" s="115" t="s">
        <v>24</v>
      </c>
      <c r="F42" s="115" t="s">
        <v>25</v>
      </c>
      <c r="G42" s="115" t="s">
        <v>25</v>
      </c>
      <c r="H42" s="115" t="s">
        <v>79</v>
      </c>
      <c r="I42" s="115" t="s">
        <v>25</v>
      </c>
      <c r="J42" s="115">
        <v>384.48</v>
      </c>
      <c r="K42" s="115">
        <v>286.51</v>
      </c>
      <c r="L42" s="115">
        <v>14.132875100947601</v>
      </c>
      <c r="M42" s="115">
        <v>1.0202288368783801</v>
      </c>
      <c r="N42" s="115">
        <v>3.7396925496587401</v>
      </c>
      <c r="O42" s="115">
        <v>0</v>
      </c>
      <c r="P42" s="115">
        <v>0</v>
      </c>
      <c r="Q42" s="115">
        <v>124.14054560747201</v>
      </c>
      <c r="R42" s="115">
        <v>20.465299872876599</v>
      </c>
      <c r="S42" s="115">
        <v>0</v>
      </c>
      <c r="T42" s="115">
        <v>41.739537018164498</v>
      </c>
      <c r="U42" s="115">
        <v>19.665986229493001</v>
      </c>
      <c r="V42" s="115">
        <v>0</v>
      </c>
      <c r="W42" s="115">
        <v>0</v>
      </c>
      <c r="X42" s="115">
        <v>0</v>
      </c>
      <c r="Y42" s="115">
        <v>0</v>
      </c>
      <c r="Z42" s="115">
        <v>0</v>
      </c>
      <c r="AA42" s="115">
        <v>249.97889535353099</v>
      </c>
      <c r="AB42" s="115">
        <v>-19.834981053784801</v>
      </c>
      <c r="AC42" s="115">
        <v>-97.587362068292904</v>
      </c>
      <c r="AD42" s="115">
        <v>0</v>
      </c>
      <c r="AE42" s="115">
        <v>24.295181389723801</v>
      </c>
      <c r="AF42" s="115">
        <v>0.71491712470465096</v>
      </c>
      <c r="AG42" s="115">
        <v>1.6300561171196399</v>
      </c>
      <c r="AH42" s="115">
        <v>0.379127921507879</v>
      </c>
      <c r="AI42" s="115">
        <v>5.7437144883312499</v>
      </c>
      <c r="AJ42" s="115">
        <v>-17.459208153924099</v>
      </c>
      <c r="AK42" s="115">
        <v>2.4026595191710398</v>
      </c>
      <c r="AL42" s="115">
        <v>22.449665681296501</v>
      </c>
      <c r="AM42" s="115">
        <v>0</v>
      </c>
      <c r="AN42" s="115">
        <v>214.43532379219801</v>
      </c>
      <c r="AO42" s="115">
        <v>6.2552963466211802</v>
      </c>
      <c r="AP42" s="115">
        <v>4.4541212951865798</v>
      </c>
      <c r="AQ42" s="115">
        <v>0</v>
      </c>
      <c r="AR42" s="115">
        <v>-10.1335969430929</v>
      </c>
      <c r="AS42" s="115">
        <v>52.4862366066072</v>
      </c>
      <c r="AT42" s="116">
        <v>5.8757873676056898</v>
      </c>
    </row>
    <row r="43" spans="2:46" ht="12" customHeight="1" x14ac:dyDescent="0.3">
      <c r="B43" s="114" t="s">
        <v>22</v>
      </c>
      <c r="C43" s="115" t="s">
        <v>93</v>
      </c>
      <c r="D43" s="115" t="s">
        <v>24</v>
      </c>
      <c r="E43" s="115" t="s">
        <v>1430</v>
      </c>
      <c r="F43" s="115" t="s">
        <v>25</v>
      </c>
      <c r="G43" s="115" t="s">
        <v>25</v>
      </c>
      <c r="H43" s="115" t="s">
        <v>79</v>
      </c>
      <c r="I43" s="115" t="s">
        <v>25</v>
      </c>
      <c r="J43" s="115">
        <v>251.4</v>
      </c>
      <c r="K43" s="115">
        <v>286.51</v>
      </c>
      <c r="L43" s="115">
        <v>0</v>
      </c>
      <c r="M43" s="115">
        <v>1.0202288368783801</v>
      </c>
      <c r="N43" s="115">
        <v>3.7279552533017899</v>
      </c>
      <c r="O43" s="115">
        <v>0</v>
      </c>
      <c r="P43" s="115">
        <v>0</v>
      </c>
      <c r="Q43" s="115">
        <v>0</v>
      </c>
      <c r="R43" s="115">
        <v>0</v>
      </c>
      <c r="S43" s="115">
        <v>0</v>
      </c>
      <c r="T43" s="115">
        <v>41.739537018164498</v>
      </c>
      <c r="U43" s="115">
        <v>19.665986229493001</v>
      </c>
      <c r="V43" s="115">
        <v>0</v>
      </c>
      <c r="W43" s="115">
        <v>0</v>
      </c>
      <c r="X43" s="115">
        <v>0</v>
      </c>
      <c r="Y43" s="115">
        <v>0</v>
      </c>
      <c r="Z43" s="115">
        <v>0</v>
      </c>
      <c r="AA43" s="115">
        <v>249.97889535353099</v>
      </c>
      <c r="AB43" s="115">
        <v>-14.580548247037701</v>
      </c>
      <c r="AC43" s="115">
        <v>-77.171336997387201</v>
      </c>
      <c r="AD43" s="115">
        <v>0</v>
      </c>
      <c r="AE43" s="115">
        <v>24.295181389723801</v>
      </c>
      <c r="AF43" s="115">
        <v>0.71491712470465096</v>
      </c>
      <c r="AG43" s="115">
        <v>1.6300561171196399</v>
      </c>
      <c r="AH43" s="115">
        <v>0.379127921507879</v>
      </c>
      <c r="AI43" s="115">
        <v>5.7437144883312499</v>
      </c>
      <c r="AJ43" s="115">
        <v>-17.459208153924099</v>
      </c>
      <c r="AK43" s="115">
        <v>2.4026595191710398</v>
      </c>
      <c r="AL43" s="115">
        <v>22.449665681296501</v>
      </c>
      <c r="AM43" s="115">
        <v>0</v>
      </c>
      <c r="AN43" s="115">
        <v>214.43532379219801</v>
      </c>
      <c r="AO43" s="115">
        <v>6.2552963466211802</v>
      </c>
      <c r="AP43" s="115">
        <v>4.4541212951865798</v>
      </c>
      <c r="AQ43" s="115">
        <v>0</v>
      </c>
      <c r="AR43" s="115">
        <v>-10.1335969430929</v>
      </c>
      <c r="AS43" s="115">
        <v>52.4862366066072</v>
      </c>
      <c r="AT43" s="116">
        <v>5.8757873676056898</v>
      </c>
    </row>
    <row r="44" spans="2:46" ht="12" customHeight="1" x14ac:dyDescent="0.3">
      <c r="B44" s="114" t="s">
        <v>22</v>
      </c>
      <c r="C44" s="115" t="s">
        <v>93</v>
      </c>
      <c r="D44" s="115" t="s">
        <v>24</v>
      </c>
      <c r="E44" s="115" t="s">
        <v>24</v>
      </c>
      <c r="F44" s="115" t="s">
        <v>25</v>
      </c>
      <c r="G44" s="115" t="s">
        <v>25</v>
      </c>
      <c r="H44" s="115" t="s">
        <v>79</v>
      </c>
      <c r="I44" s="115" t="s">
        <v>25</v>
      </c>
      <c r="J44" s="115">
        <v>384.48</v>
      </c>
      <c r="K44" s="115">
        <v>286.51</v>
      </c>
      <c r="L44" s="115">
        <v>14.132875100947601</v>
      </c>
      <c r="M44" s="115">
        <v>1.0202288368783801</v>
      </c>
      <c r="N44" s="115">
        <v>3.7396925496587401</v>
      </c>
      <c r="O44" s="115">
        <v>0</v>
      </c>
      <c r="P44" s="115">
        <v>0</v>
      </c>
      <c r="Q44" s="115">
        <v>124.14054560747201</v>
      </c>
      <c r="R44" s="115">
        <v>20.465299872876599</v>
      </c>
      <c r="S44" s="115">
        <v>0</v>
      </c>
      <c r="T44" s="115">
        <v>41.739537018164498</v>
      </c>
      <c r="U44" s="115">
        <v>19.665986229493001</v>
      </c>
      <c r="V44" s="115">
        <v>0</v>
      </c>
      <c r="W44" s="115">
        <v>0</v>
      </c>
      <c r="X44" s="115">
        <v>0</v>
      </c>
      <c r="Y44" s="115">
        <v>0</v>
      </c>
      <c r="Z44" s="115">
        <v>0</v>
      </c>
      <c r="AA44" s="115">
        <v>249.97889535353099</v>
      </c>
      <c r="AB44" s="115">
        <v>-19.834981053784801</v>
      </c>
      <c r="AC44" s="115">
        <v>-97.587362068292904</v>
      </c>
      <c r="AD44" s="115">
        <v>0</v>
      </c>
      <c r="AE44" s="115">
        <v>24.295181389723801</v>
      </c>
      <c r="AF44" s="115">
        <v>0.71491712470465096</v>
      </c>
      <c r="AG44" s="115">
        <v>1.6300561171196399</v>
      </c>
      <c r="AH44" s="115">
        <v>0.379127921507879</v>
      </c>
      <c r="AI44" s="115">
        <v>5.7437144883312499</v>
      </c>
      <c r="AJ44" s="115">
        <v>-17.459208153924099</v>
      </c>
      <c r="AK44" s="115">
        <v>2.4026595191710398</v>
      </c>
      <c r="AL44" s="115">
        <v>22.449665681296501</v>
      </c>
      <c r="AM44" s="115">
        <v>0</v>
      </c>
      <c r="AN44" s="115">
        <v>214.43532379219801</v>
      </c>
      <c r="AO44" s="115">
        <v>6.2552963466211802</v>
      </c>
      <c r="AP44" s="115">
        <v>4.4541212951865798</v>
      </c>
      <c r="AQ44" s="115">
        <v>0</v>
      </c>
      <c r="AR44" s="115">
        <v>-10.1335969430929</v>
      </c>
      <c r="AS44" s="115">
        <v>52.4862366066072</v>
      </c>
      <c r="AT44" s="116">
        <v>5.8757873676056898</v>
      </c>
    </row>
    <row r="45" spans="2:46" ht="12" customHeight="1" x14ac:dyDescent="0.3">
      <c r="B45" s="114" t="s">
        <v>43</v>
      </c>
      <c r="C45" s="115" t="s">
        <v>33</v>
      </c>
      <c r="D45" s="115" t="s">
        <v>44</v>
      </c>
      <c r="E45" s="115" t="s">
        <v>94</v>
      </c>
      <c r="F45" s="115" t="s">
        <v>25</v>
      </c>
      <c r="G45" s="115" t="s">
        <v>34</v>
      </c>
      <c r="H45" s="115" t="s">
        <v>79</v>
      </c>
      <c r="I45" s="115" t="s">
        <v>25</v>
      </c>
      <c r="J45" s="115">
        <v>712.83</v>
      </c>
      <c r="K45" s="115">
        <v>410.79</v>
      </c>
      <c r="L45" s="115">
        <v>13.284902594890699</v>
      </c>
      <c r="M45" s="115">
        <v>0.95901510666568002</v>
      </c>
      <c r="N45" s="115">
        <v>10.292029615105699</v>
      </c>
      <c r="O45" s="115">
        <v>0</v>
      </c>
      <c r="P45" s="115">
        <v>0</v>
      </c>
      <c r="Q45" s="115">
        <v>116.692112871023</v>
      </c>
      <c r="R45" s="115">
        <v>19.237381880504</v>
      </c>
      <c r="S45" s="115">
        <v>0</v>
      </c>
      <c r="T45" s="115">
        <v>129.47607033020799</v>
      </c>
      <c r="U45" s="115">
        <v>61.0038309665049</v>
      </c>
      <c r="V45" s="115">
        <v>0</v>
      </c>
      <c r="W45" s="115">
        <v>0</v>
      </c>
      <c r="X45" s="115">
        <v>0</v>
      </c>
      <c r="Y45" s="115">
        <v>0</v>
      </c>
      <c r="Z45" s="115">
        <v>0</v>
      </c>
      <c r="AA45" s="115">
        <v>775.43459701208303</v>
      </c>
      <c r="AB45" s="115">
        <v>-47.569029044279397</v>
      </c>
      <c r="AC45" s="115">
        <v>-391.378836932578</v>
      </c>
      <c r="AD45" s="115">
        <v>0</v>
      </c>
      <c r="AE45" s="115">
        <v>22.837470506340299</v>
      </c>
      <c r="AF45" s="115">
        <v>0.67202209722237205</v>
      </c>
      <c r="AG45" s="115">
        <v>1.5322527500924601</v>
      </c>
      <c r="AH45" s="115">
        <v>0.35638024621740599</v>
      </c>
      <c r="AI45" s="115">
        <v>5.3990916190313696</v>
      </c>
      <c r="AJ45" s="115">
        <v>-16.411655664688698</v>
      </c>
      <c r="AK45" s="115">
        <v>2.2584999480207801</v>
      </c>
      <c r="AL45" s="115">
        <v>21.1026857404187</v>
      </c>
      <c r="AM45" s="115">
        <v>0</v>
      </c>
      <c r="AN45" s="115">
        <v>327.07455802568398</v>
      </c>
      <c r="AO45" s="115">
        <v>5.8799785658239099</v>
      </c>
      <c r="AP45" s="115">
        <v>4.1868740174753896</v>
      </c>
      <c r="AQ45" s="115">
        <v>0</v>
      </c>
      <c r="AR45" s="115">
        <v>-14.777784157639401</v>
      </c>
      <c r="AS45" s="115">
        <v>70.553911780324697</v>
      </c>
      <c r="AT45" s="116">
        <v>5.52324012554935</v>
      </c>
    </row>
    <row r="46" spans="2:46" ht="12" customHeight="1" x14ac:dyDescent="0.3">
      <c r="B46" s="114" t="s">
        <v>43</v>
      </c>
      <c r="C46" s="115" t="s">
        <v>33</v>
      </c>
      <c r="D46" s="115" t="s">
        <v>44</v>
      </c>
      <c r="E46" s="115" t="s">
        <v>94</v>
      </c>
      <c r="F46" s="115" t="s">
        <v>25</v>
      </c>
      <c r="G46" s="115" t="s">
        <v>36</v>
      </c>
      <c r="H46" s="115" t="s">
        <v>79</v>
      </c>
      <c r="I46" s="115" t="s">
        <v>25</v>
      </c>
      <c r="J46" s="115">
        <v>496.28</v>
      </c>
      <c r="K46" s="115">
        <v>256.45</v>
      </c>
      <c r="L46" s="115">
        <v>13.284902594890699</v>
      </c>
      <c r="M46" s="115">
        <v>0.95901510666568002</v>
      </c>
      <c r="N46" s="115">
        <v>6.4027826862337101</v>
      </c>
      <c r="O46" s="115">
        <v>0</v>
      </c>
      <c r="P46" s="115">
        <v>0</v>
      </c>
      <c r="Q46" s="115">
        <v>116.692112871023</v>
      </c>
      <c r="R46" s="115">
        <v>19.237381880504</v>
      </c>
      <c r="S46" s="115">
        <v>0</v>
      </c>
      <c r="T46" s="115">
        <v>77.685668697986102</v>
      </c>
      <c r="U46" s="115">
        <v>36.602321906855899</v>
      </c>
      <c r="V46" s="115">
        <v>0</v>
      </c>
      <c r="W46" s="115">
        <v>0</v>
      </c>
      <c r="X46" s="115">
        <v>0</v>
      </c>
      <c r="Y46" s="115">
        <v>0</v>
      </c>
      <c r="Z46" s="115">
        <v>0</v>
      </c>
      <c r="AA46" s="115">
        <v>465.26073699877298</v>
      </c>
      <c r="AB46" s="115">
        <v>-30.969085230194001</v>
      </c>
      <c r="AC46" s="115">
        <v>-234.27156311261101</v>
      </c>
      <c r="AD46" s="115">
        <v>0</v>
      </c>
      <c r="AE46" s="115">
        <v>22.837470506340299</v>
      </c>
      <c r="AF46" s="115">
        <v>0.67202209722237205</v>
      </c>
      <c r="AG46" s="115">
        <v>1.5322527500924601</v>
      </c>
      <c r="AH46" s="115">
        <v>0.35638024621740599</v>
      </c>
      <c r="AI46" s="115">
        <v>5.3990916190313696</v>
      </c>
      <c r="AJ46" s="115">
        <v>-16.411655664688698</v>
      </c>
      <c r="AK46" s="115">
        <v>2.2584999480207801</v>
      </c>
      <c r="AL46" s="115">
        <v>21.1026857404187</v>
      </c>
      <c r="AM46" s="115">
        <v>0</v>
      </c>
      <c r="AN46" s="115">
        <v>190.15962675911899</v>
      </c>
      <c r="AO46" s="115">
        <v>5.8799785658239099</v>
      </c>
      <c r="AP46" s="115">
        <v>4.1868740174753896</v>
      </c>
      <c r="AQ46" s="115">
        <v>0</v>
      </c>
      <c r="AR46" s="115">
        <v>-9.0481081236771601</v>
      </c>
      <c r="AS46" s="115">
        <v>47.400567012927702</v>
      </c>
      <c r="AT46" s="116">
        <v>5.52324012554935</v>
      </c>
    </row>
    <row r="47" spans="2:46" ht="12" customHeight="1" x14ac:dyDescent="0.3">
      <c r="B47" s="114" t="s">
        <v>43</v>
      </c>
      <c r="C47" s="115" t="s">
        <v>33</v>
      </c>
      <c r="D47" s="115" t="s">
        <v>44</v>
      </c>
      <c r="E47" s="115" t="s">
        <v>94</v>
      </c>
      <c r="F47" s="115" t="s">
        <v>25</v>
      </c>
      <c r="G47" s="115" t="s">
        <v>35</v>
      </c>
      <c r="H47" s="115" t="s">
        <v>79</v>
      </c>
      <c r="I47" s="115" t="s">
        <v>25</v>
      </c>
      <c r="J47" s="115">
        <v>279.74</v>
      </c>
      <c r="K47" s="115">
        <v>256.45</v>
      </c>
      <c r="L47" s="115">
        <v>13.284902594890699</v>
      </c>
      <c r="M47" s="115">
        <v>0.95901510666568002</v>
      </c>
      <c r="N47" s="115">
        <v>2.5135357573617298</v>
      </c>
      <c r="O47" s="115">
        <v>0</v>
      </c>
      <c r="P47" s="115">
        <v>0</v>
      </c>
      <c r="Q47" s="115">
        <v>116.692112871023</v>
      </c>
      <c r="R47" s="115">
        <v>19.237381880504</v>
      </c>
      <c r="S47" s="115">
        <v>0</v>
      </c>
      <c r="T47" s="115">
        <v>25.895267065764401</v>
      </c>
      <c r="U47" s="115">
        <v>12.200812847206899</v>
      </c>
      <c r="V47" s="115">
        <v>0</v>
      </c>
      <c r="W47" s="115">
        <v>0</v>
      </c>
      <c r="X47" s="115">
        <v>0</v>
      </c>
      <c r="Y47" s="115">
        <v>0</v>
      </c>
      <c r="Z47" s="115">
        <v>0</v>
      </c>
      <c r="AA47" s="115">
        <v>155.08687698546399</v>
      </c>
      <c r="AB47" s="115">
        <v>-14.3691414161087</v>
      </c>
      <c r="AC47" s="115">
        <v>-77.154889292644697</v>
      </c>
      <c r="AD47" s="115">
        <v>0</v>
      </c>
      <c r="AE47" s="115">
        <v>22.837470506340299</v>
      </c>
      <c r="AF47" s="115">
        <v>0.67202209722237205</v>
      </c>
      <c r="AG47" s="115">
        <v>1.5322527500924601</v>
      </c>
      <c r="AH47" s="115">
        <v>0.35638024621740599</v>
      </c>
      <c r="AI47" s="115">
        <v>5.3990916190313696</v>
      </c>
      <c r="AJ47" s="115">
        <v>-16.411655664688698</v>
      </c>
      <c r="AK47" s="115">
        <v>2.2584999480207801</v>
      </c>
      <c r="AL47" s="115">
        <v>21.1026857404187</v>
      </c>
      <c r="AM47" s="115">
        <v>0</v>
      </c>
      <c r="AN47" s="115">
        <v>190.15962675911899</v>
      </c>
      <c r="AO47" s="115">
        <v>5.8799785658239099</v>
      </c>
      <c r="AP47" s="115">
        <v>4.1868740174753896</v>
      </c>
      <c r="AQ47" s="115">
        <v>0</v>
      </c>
      <c r="AR47" s="115">
        <v>-9.0481081236771601</v>
      </c>
      <c r="AS47" s="115">
        <v>47.400567012927702</v>
      </c>
      <c r="AT47" s="116">
        <v>5.52324012554935</v>
      </c>
    </row>
    <row r="48" spans="2:46" ht="12" customHeight="1" x14ac:dyDescent="0.3">
      <c r="B48" s="114" t="s">
        <v>43</v>
      </c>
      <c r="C48" s="115" t="s">
        <v>33</v>
      </c>
      <c r="D48" s="115" t="s">
        <v>44</v>
      </c>
      <c r="E48" s="115" t="s">
        <v>25</v>
      </c>
      <c r="F48" s="115" t="s">
        <v>25</v>
      </c>
      <c r="G48" s="115" t="s">
        <v>34</v>
      </c>
      <c r="H48" s="115" t="s">
        <v>79</v>
      </c>
      <c r="I48" s="115" t="s">
        <v>25</v>
      </c>
      <c r="J48" s="115">
        <v>712.83</v>
      </c>
      <c r="K48" s="115">
        <v>410.79</v>
      </c>
      <c r="L48" s="115">
        <v>13.284902594890699</v>
      </c>
      <c r="M48" s="115">
        <v>0.95901510666568002</v>
      </c>
      <c r="N48" s="115">
        <v>10.292029615105699</v>
      </c>
      <c r="O48" s="115">
        <v>0</v>
      </c>
      <c r="P48" s="115">
        <v>0</v>
      </c>
      <c r="Q48" s="115">
        <v>116.692112871023</v>
      </c>
      <c r="R48" s="115">
        <v>19.237381880504</v>
      </c>
      <c r="S48" s="115">
        <v>0</v>
      </c>
      <c r="T48" s="115">
        <v>129.47607033020799</v>
      </c>
      <c r="U48" s="115">
        <v>61.0038309665049</v>
      </c>
      <c r="V48" s="115">
        <v>0</v>
      </c>
      <c r="W48" s="115">
        <v>0</v>
      </c>
      <c r="X48" s="115">
        <v>0</v>
      </c>
      <c r="Y48" s="115">
        <v>0</v>
      </c>
      <c r="Z48" s="115">
        <v>0</v>
      </c>
      <c r="AA48" s="115">
        <v>775.43459701208303</v>
      </c>
      <c r="AB48" s="115">
        <v>-47.569029044279397</v>
      </c>
      <c r="AC48" s="115">
        <v>-391.378836932578</v>
      </c>
      <c r="AD48" s="115">
        <v>0</v>
      </c>
      <c r="AE48" s="115">
        <v>22.837470506340299</v>
      </c>
      <c r="AF48" s="115">
        <v>0.67202209722237205</v>
      </c>
      <c r="AG48" s="115">
        <v>1.5322527500924601</v>
      </c>
      <c r="AH48" s="115">
        <v>0.35638024621740599</v>
      </c>
      <c r="AI48" s="115">
        <v>5.3990916190313696</v>
      </c>
      <c r="AJ48" s="115">
        <v>-16.411655664688698</v>
      </c>
      <c r="AK48" s="115">
        <v>2.2584999480207801</v>
      </c>
      <c r="AL48" s="115">
        <v>21.1026857404187</v>
      </c>
      <c r="AM48" s="115">
        <v>0</v>
      </c>
      <c r="AN48" s="115">
        <v>327.07455802568398</v>
      </c>
      <c r="AO48" s="115">
        <v>5.8799785658239099</v>
      </c>
      <c r="AP48" s="115">
        <v>4.1868740174753896</v>
      </c>
      <c r="AQ48" s="115">
        <v>0</v>
      </c>
      <c r="AR48" s="115">
        <v>-14.777784157639401</v>
      </c>
      <c r="AS48" s="115">
        <v>70.553911780324697</v>
      </c>
      <c r="AT48" s="116">
        <v>5.52324012554935</v>
      </c>
    </row>
    <row r="49" spans="2:46" ht="12" customHeight="1" x14ac:dyDescent="0.3">
      <c r="B49" s="114" t="s">
        <v>43</v>
      </c>
      <c r="C49" s="115" t="s">
        <v>33</v>
      </c>
      <c r="D49" s="115" t="s">
        <v>44</v>
      </c>
      <c r="E49" s="115" t="s">
        <v>25</v>
      </c>
      <c r="F49" s="115" t="s">
        <v>25</v>
      </c>
      <c r="G49" s="115" t="s">
        <v>36</v>
      </c>
      <c r="H49" s="115" t="s">
        <v>79</v>
      </c>
      <c r="I49" s="115" t="s">
        <v>25</v>
      </c>
      <c r="J49" s="115">
        <v>496.28</v>
      </c>
      <c r="K49" s="115">
        <v>256.45</v>
      </c>
      <c r="L49" s="115">
        <v>13.284902594890699</v>
      </c>
      <c r="M49" s="115">
        <v>0.95901510666568002</v>
      </c>
      <c r="N49" s="115">
        <v>6.4027826862337101</v>
      </c>
      <c r="O49" s="115">
        <v>0</v>
      </c>
      <c r="P49" s="115">
        <v>0</v>
      </c>
      <c r="Q49" s="115">
        <v>116.692112871023</v>
      </c>
      <c r="R49" s="115">
        <v>19.237381880504</v>
      </c>
      <c r="S49" s="115">
        <v>0</v>
      </c>
      <c r="T49" s="115">
        <v>77.685668697986102</v>
      </c>
      <c r="U49" s="115">
        <v>36.602321906855899</v>
      </c>
      <c r="V49" s="115">
        <v>0</v>
      </c>
      <c r="W49" s="115">
        <v>0</v>
      </c>
      <c r="X49" s="115">
        <v>0</v>
      </c>
      <c r="Y49" s="115">
        <v>0</v>
      </c>
      <c r="Z49" s="115">
        <v>0</v>
      </c>
      <c r="AA49" s="115">
        <v>465.26073699877298</v>
      </c>
      <c r="AB49" s="115">
        <v>-30.969085230194001</v>
      </c>
      <c r="AC49" s="115">
        <v>-234.27156311261101</v>
      </c>
      <c r="AD49" s="115">
        <v>0</v>
      </c>
      <c r="AE49" s="115">
        <v>22.837470506340299</v>
      </c>
      <c r="AF49" s="115">
        <v>0.67202209722237205</v>
      </c>
      <c r="AG49" s="115">
        <v>1.5322527500924601</v>
      </c>
      <c r="AH49" s="115">
        <v>0.35638024621740599</v>
      </c>
      <c r="AI49" s="115">
        <v>5.3990916190313696</v>
      </c>
      <c r="AJ49" s="115">
        <v>-16.411655664688698</v>
      </c>
      <c r="AK49" s="115">
        <v>2.2584999480207801</v>
      </c>
      <c r="AL49" s="115">
        <v>21.1026857404187</v>
      </c>
      <c r="AM49" s="115">
        <v>0</v>
      </c>
      <c r="AN49" s="115">
        <v>190.15962675911899</v>
      </c>
      <c r="AO49" s="115">
        <v>5.8799785658239099</v>
      </c>
      <c r="AP49" s="115">
        <v>4.1868740174753896</v>
      </c>
      <c r="AQ49" s="115">
        <v>0</v>
      </c>
      <c r="AR49" s="115">
        <v>-9.0481081236771601</v>
      </c>
      <c r="AS49" s="115">
        <v>47.400567012927702</v>
      </c>
      <c r="AT49" s="116">
        <v>5.52324012554935</v>
      </c>
    </row>
    <row r="50" spans="2:46" ht="12" customHeight="1" x14ac:dyDescent="0.3">
      <c r="B50" s="114" t="s">
        <v>43</v>
      </c>
      <c r="C50" s="115" t="s">
        <v>33</v>
      </c>
      <c r="D50" s="115" t="s">
        <v>44</v>
      </c>
      <c r="E50" s="115" t="s">
        <v>25</v>
      </c>
      <c r="F50" s="115" t="s">
        <v>25</v>
      </c>
      <c r="G50" s="115" t="s">
        <v>35</v>
      </c>
      <c r="H50" s="115" t="s">
        <v>79</v>
      </c>
      <c r="I50" s="115" t="s">
        <v>25</v>
      </c>
      <c r="J50" s="115">
        <v>279.74</v>
      </c>
      <c r="K50" s="115">
        <v>256.45</v>
      </c>
      <c r="L50" s="115">
        <v>13.284902594890699</v>
      </c>
      <c r="M50" s="115">
        <v>0.95901510666568002</v>
      </c>
      <c r="N50" s="115">
        <v>2.5135357573617298</v>
      </c>
      <c r="O50" s="115">
        <v>0</v>
      </c>
      <c r="P50" s="115">
        <v>0</v>
      </c>
      <c r="Q50" s="115">
        <v>116.692112871023</v>
      </c>
      <c r="R50" s="115">
        <v>19.237381880504</v>
      </c>
      <c r="S50" s="115">
        <v>0</v>
      </c>
      <c r="T50" s="115">
        <v>25.895267065764401</v>
      </c>
      <c r="U50" s="115">
        <v>12.200812847206899</v>
      </c>
      <c r="V50" s="115">
        <v>0</v>
      </c>
      <c r="W50" s="115">
        <v>0</v>
      </c>
      <c r="X50" s="115">
        <v>0</v>
      </c>
      <c r="Y50" s="115">
        <v>0</v>
      </c>
      <c r="Z50" s="115">
        <v>0</v>
      </c>
      <c r="AA50" s="115">
        <v>155.08687698546399</v>
      </c>
      <c r="AB50" s="115">
        <v>-14.3691414161087</v>
      </c>
      <c r="AC50" s="115">
        <v>-77.154889292644697</v>
      </c>
      <c r="AD50" s="115">
        <v>0</v>
      </c>
      <c r="AE50" s="115">
        <v>22.837470506340299</v>
      </c>
      <c r="AF50" s="115">
        <v>0.67202209722237205</v>
      </c>
      <c r="AG50" s="115">
        <v>1.5322527500924601</v>
      </c>
      <c r="AH50" s="115">
        <v>0.35638024621740599</v>
      </c>
      <c r="AI50" s="115">
        <v>5.3990916190313696</v>
      </c>
      <c r="AJ50" s="115">
        <v>-16.411655664688698</v>
      </c>
      <c r="AK50" s="115">
        <v>2.2584999480207801</v>
      </c>
      <c r="AL50" s="115">
        <v>21.1026857404187</v>
      </c>
      <c r="AM50" s="115">
        <v>0</v>
      </c>
      <c r="AN50" s="115">
        <v>190.15962675911899</v>
      </c>
      <c r="AO50" s="115">
        <v>5.8799785658239099</v>
      </c>
      <c r="AP50" s="115">
        <v>4.1868740174753896</v>
      </c>
      <c r="AQ50" s="115">
        <v>0</v>
      </c>
      <c r="AR50" s="115">
        <v>-9.0481081236771601</v>
      </c>
      <c r="AS50" s="115">
        <v>47.400567012927702</v>
      </c>
      <c r="AT50" s="116">
        <v>5.52324012554935</v>
      </c>
    </row>
    <row r="51" spans="2:46" ht="12" customHeight="1" x14ac:dyDescent="0.3">
      <c r="B51" s="114" t="s">
        <v>43</v>
      </c>
      <c r="C51" s="115" t="s">
        <v>33</v>
      </c>
      <c r="D51" s="115" t="s">
        <v>44</v>
      </c>
      <c r="E51" s="115" t="s">
        <v>95</v>
      </c>
      <c r="F51" s="115" t="s">
        <v>25</v>
      </c>
      <c r="G51" s="115" t="s">
        <v>34</v>
      </c>
      <c r="H51" s="115" t="s">
        <v>79</v>
      </c>
      <c r="I51" s="115" t="s">
        <v>25</v>
      </c>
      <c r="J51" s="115">
        <v>697.66</v>
      </c>
      <c r="K51" s="115">
        <v>402.05</v>
      </c>
      <c r="L51" s="115">
        <v>13.002245092871799</v>
      </c>
      <c r="M51" s="115">
        <v>0.938610529928112</v>
      </c>
      <c r="N51" s="115">
        <v>10.073050261592799</v>
      </c>
      <c r="O51" s="115">
        <v>0</v>
      </c>
      <c r="P51" s="115">
        <v>0</v>
      </c>
      <c r="Q51" s="115">
        <v>114.20930195887399</v>
      </c>
      <c r="R51" s="115">
        <v>18.828075883046498</v>
      </c>
      <c r="S51" s="115">
        <v>0</v>
      </c>
      <c r="T51" s="115">
        <v>126.72126032318199</v>
      </c>
      <c r="U51" s="115">
        <v>59.7058771161538</v>
      </c>
      <c r="V51" s="115">
        <v>0</v>
      </c>
      <c r="W51" s="115">
        <v>0</v>
      </c>
      <c r="X51" s="115">
        <v>0</v>
      </c>
      <c r="Y51" s="115">
        <v>0</v>
      </c>
      <c r="Z51" s="115">
        <v>0</v>
      </c>
      <c r="AA51" s="115">
        <v>758.93598856501706</v>
      </c>
      <c r="AB51" s="115">
        <v>-46.556922043337302</v>
      </c>
      <c r="AC51" s="115">
        <v>-383.05162763613998</v>
      </c>
      <c r="AD51" s="115">
        <v>0</v>
      </c>
      <c r="AE51" s="115">
        <v>22.351566878545899</v>
      </c>
      <c r="AF51" s="115">
        <v>0.65772375472827904</v>
      </c>
      <c r="AG51" s="115">
        <v>1.49965162775007</v>
      </c>
      <c r="AH51" s="115">
        <v>0.34879768778724901</v>
      </c>
      <c r="AI51" s="115">
        <v>5.2842173292647496</v>
      </c>
      <c r="AJ51" s="115">
        <v>-16.062471501610201</v>
      </c>
      <c r="AK51" s="115">
        <v>2.2104467576373601</v>
      </c>
      <c r="AL51" s="115">
        <v>20.653692426792801</v>
      </c>
      <c r="AM51" s="115">
        <v>0</v>
      </c>
      <c r="AN51" s="115">
        <v>320.11552487620099</v>
      </c>
      <c r="AO51" s="115">
        <v>5.7548726388914897</v>
      </c>
      <c r="AP51" s="115">
        <v>4.0977915915716503</v>
      </c>
      <c r="AQ51" s="115">
        <v>0</v>
      </c>
      <c r="AR51" s="115">
        <v>-14.4633632181152</v>
      </c>
      <c r="AS51" s="115">
        <v>69.052764721168799</v>
      </c>
      <c r="AT51" s="116">
        <v>5.4057243781972399</v>
      </c>
    </row>
    <row r="52" spans="2:46" ht="12" customHeight="1" x14ac:dyDescent="0.3">
      <c r="B52" s="114" t="s">
        <v>43</v>
      </c>
      <c r="C52" s="115" t="s">
        <v>33</v>
      </c>
      <c r="D52" s="115" t="s">
        <v>44</v>
      </c>
      <c r="E52" s="115" t="s">
        <v>95</v>
      </c>
      <c r="F52" s="115" t="s">
        <v>25</v>
      </c>
      <c r="G52" s="115" t="s">
        <v>36</v>
      </c>
      <c r="H52" s="115" t="s">
        <v>79</v>
      </c>
      <c r="I52" s="115" t="s">
        <v>25</v>
      </c>
      <c r="J52" s="115">
        <v>485.72</v>
      </c>
      <c r="K52" s="115">
        <v>250.99</v>
      </c>
      <c r="L52" s="115">
        <v>13.002245092871799</v>
      </c>
      <c r="M52" s="115">
        <v>0.938610529928112</v>
      </c>
      <c r="N52" s="115">
        <v>6.26655326737768</v>
      </c>
      <c r="O52" s="115">
        <v>0</v>
      </c>
      <c r="P52" s="115">
        <v>0</v>
      </c>
      <c r="Q52" s="115">
        <v>114.20930195887399</v>
      </c>
      <c r="R52" s="115">
        <v>18.828075883046498</v>
      </c>
      <c r="S52" s="115">
        <v>0</v>
      </c>
      <c r="T52" s="115">
        <v>76.032782129943797</v>
      </c>
      <c r="U52" s="115">
        <v>35.823549100327099</v>
      </c>
      <c r="V52" s="115">
        <v>0</v>
      </c>
      <c r="W52" s="115">
        <v>0</v>
      </c>
      <c r="X52" s="115">
        <v>0</v>
      </c>
      <c r="Y52" s="115">
        <v>0</v>
      </c>
      <c r="Z52" s="115">
        <v>0</v>
      </c>
      <c r="AA52" s="115">
        <v>455.36157238177799</v>
      </c>
      <c r="AB52" s="115">
        <v>-30.310168523168599</v>
      </c>
      <c r="AC52" s="115">
        <v>-229.28706176979</v>
      </c>
      <c r="AD52" s="115">
        <v>0</v>
      </c>
      <c r="AE52" s="115">
        <v>22.351566878545899</v>
      </c>
      <c r="AF52" s="115">
        <v>0.65772375472827904</v>
      </c>
      <c r="AG52" s="115">
        <v>1.49965162775007</v>
      </c>
      <c r="AH52" s="115">
        <v>0.34879768778724901</v>
      </c>
      <c r="AI52" s="115">
        <v>5.2842173292647496</v>
      </c>
      <c r="AJ52" s="115">
        <v>-16.062471501610201</v>
      </c>
      <c r="AK52" s="115">
        <v>2.2104467576373601</v>
      </c>
      <c r="AL52" s="115">
        <v>20.653692426792801</v>
      </c>
      <c r="AM52" s="115">
        <v>0</v>
      </c>
      <c r="AN52" s="115">
        <v>186.113677253605</v>
      </c>
      <c r="AO52" s="115">
        <v>5.7548726388914897</v>
      </c>
      <c r="AP52" s="115">
        <v>4.0977915915716503</v>
      </c>
      <c r="AQ52" s="115">
        <v>0</v>
      </c>
      <c r="AR52" s="115">
        <v>-8.8555951848755203</v>
      </c>
      <c r="AS52" s="115">
        <v>46.392044310525002</v>
      </c>
      <c r="AT52" s="116">
        <v>5.4057243781972399</v>
      </c>
    </row>
    <row r="53" spans="2:46" ht="12" customHeight="1" x14ac:dyDescent="0.3">
      <c r="B53" s="114" t="s">
        <v>43</v>
      </c>
      <c r="C53" s="115" t="s">
        <v>33</v>
      </c>
      <c r="D53" s="115" t="s">
        <v>44</v>
      </c>
      <c r="E53" s="115" t="s">
        <v>95</v>
      </c>
      <c r="F53" s="115" t="s">
        <v>25</v>
      </c>
      <c r="G53" s="115" t="s">
        <v>35</v>
      </c>
      <c r="H53" s="115" t="s">
        <v>79</v>
      </c>
      <c r="I53" s="115" t="s">
        <v>25</v>
      </c>
      <c r="J53" s="115">
        <v>273.79000000000002</v>
      </c>
      <c r="K53" s="115">
        <v>250.99</v>
      </c>
      <c r="L53" s="115">
        <v>13.002245092871799</v>
      </c>
      <c r="M53" s="115">
        <v>0.938610529928112</v>
      </c>
      <c r="N53" s="115">
        <v>2.4600562731625502</v>
      </c>
      <c r="O53" s="115">
        <v>0</v>
      </c>
      <c r="P53" s="115">
        <v>0</v>
      </c>
      <c r="Q53" s="115">
        <v>114.20930195887399</v>
      </c>
      <c r="R53" s="115">
        <v>18.828075883046498</v>
      </c>
      <c r="S53" s="115">
        <v>0</v>
      </c>
      <c r="T53" s="115">
        <v>25.3443039367056</v>
      </c>
      <c r="U53" s="115">
        <v>11.9412210845004</v>
      </c>
      <c r="V53" s="115">
        <v>0</v>
      </c>
      <c r="W53" s="115">
        <v>0</v>
      </c>
      <c r="X53" s="115">
        <v>0</v>
      </c>
      <c r="Y53" s="115">
        <v>0</v>
      </c>
      <c r="Z53" s="115">
        <v>0</v>
      </c>
      <c r="AA53" s="115">
        <v>151.78715619853901</v>
      </c>
      <c r="AB53" s="115">
        <v>-14.063415002999999</v>
      </c>
      <c r="AC53" s="115">
        <v>-75.513295903439499</v>
      </c>
      <c r="AD53" s="115">
        <v>0</v>
      </c>
      <c r="AE53" s="115">
        <v>22.351566878545899</v>
      </c>
      <c r="AF53" s="115">
        <v>0.65772375472827904</v>
      </c>
      <c r="AG53" s="115">
        <v>1.49965162775007</v>
      </c>
      <c r="AH53" s="115">
        <v>0.34879768778724901</v>
      </c>
      <c r="AI53" s="115">
        <v>5.2842173292647496</v>
      </c>
      <c r="AJ53" s="115">
        <v>-16.062471501610201</v>
      </c>
      <c r="AK53" s="115">
        <v>2.2104467576373601</v>
      </c>
      <c r="AL53" s="115">
        <v>20.653692426792801</v>
      </c>
      <c r="AM53" s="115">
        <v>0</v>
      </c>
      <c r="AN53" s="115">
        <v>186.113677253605</v>
      </c>
      <c r="AO53" s="115">
        <v>5.7548726388914897</v>
      </c>
      <c r="AP53" s="115">
        <v>4.0977915915716503</v>
      </c>
      <c r="AQ53" s="115">
        <v>0</v>
      </c>
      <c r="AR53" s="115">
        <v>-8.8555951848755203</v>
      </c>
      <c r="AS53" s="115">
        <v>46.392044310525002</v>
      </c>
      <c r="AT53" s="116">
        <v>5.4057243781972399</v>
      </c>
    </row>
    <row r="54" spans="2:46" ht="12" customHeight="1" x14ac:dyDescent="0.3">
      <c r="B54" s="114" t="s">
        <v>43</v>
      </c>
      <c r="C54" s="115" t="s">
        <v>23</v>
      </c>
      <c r="D54" s="115" t="s">
        <v>44</v>
      </c>
      <c r="E54" s="115" t="s">
        <v>94</v>
      </c>
      <c r="F54" s="115" t="s">
        <v>25</v>
      </c>
      <c r="G54" s="115" t="s">
        <v>25</v>
      </c>
      <c r="H54" s="115" t="s">
        <v>79</v>
      </c>
      <c r="I54" s="115" t="s">
        <v>25</v>
      </c>
      <c r="J54" s="115">
        <v>361.41</v>
      </c>
      <c r="K54" s="115">
        <v>269.32</v>
      </c>
      <c r="L54" s="115">
        <v>13.284902594890699</v>
      </c>
      <c r="M54" s="115">
        <v>0.95901510666568002</v>
      </c>
      <c r="N54" s="115">
        <v>3.5153109966792102</v>
      </c>
      <c r="O54" s="115">
        <v>0</v>
      </c>
      <c r="P54" s="115">
        <v>0</v>
      </c>
      <c r="Q54" s="115">
        <v>116.692112871023</v>
      </c>
      <c r="R54" s="115">
        <v>19.237381880504</v>
      </c>
      <c r="S54" s="115">
        <v>0</v>
      </c>
      <c r="T54" s="115">
        <v>39.235164797074702</v>
      </c>
      <c r="U54" s="115">
        <v>18.486027055723401</v>
      </c>
      <c r="V54" s="115">
        <v>0</v>
      </c>
      <c r="W54" s="115">
        <v>0</v>
      </c>
      <c r="X54" s="115">
        <v>0</v>
      </c>
      <c r="Y54" s="115">
        <v>0</v>
      </c>
      <c r="Z54" s="115">
        <v>0</v>
      </c>
      <c r="AA54" s="115">
        <v>234.98016163231901</v>
      </c>
      <c r="AB54" s="115">
        <v>-18.644882190557698</v>
      </c>
      <c r="AC54" s="115">
        <v>-91.732120344195295</v>
      </c>
      <c r="AD54" s="115">
        <v>0</v>
      </c>
      <c r="AE54" s="115">
        <v>22.837470506340299</v>
      </c>
      <c r="AF54" s="115">
        <v>0.67202209722237205</v>
      </c>
      <c r="AG54" s="115">
        <v>1.5322527500924601</v>
      </c>
      <c r="AH54" s="115">
        <v>0.35638024621740599</v>
      </c>
      <c r="AI54" s="115">
        <v>5.3990916190313696</v>
      </c>
      <c r="AJ54" s="115">
        <v>-16.411655664688698</v>
      </c>
      <c r="AK54" s="115">
        <v>2.2584999480207801</v>
      </c>
      <c r="AL54" s="115">
        <v>21.1026857404187</v>
      </c>
      <c r="AM54" s="115">
        <v>0</v>
      </c>
      <c r="AN54" s="115">
        <v>201.56920436466601</v>
      </c>
      <c r="AO54" s="115">
        <v>5.8799785658239099</v>
      </c>
      <c r="AP54" s="115">
        <v>4.1868740174753896</v>
      </c>
      <c r="AQ54" s="115">
        <v>0</v>
      </c>
      <c r="AR54" s="115">
        <v>-9.5255811265073493</v>
      </c>
      <c r="AS54" s="115">
        <v>49.337062410210798</v>
      </c>
      <c r="AT54" s="116">
        <v>5.52324012554935</v>
      </c>
    </row>
    <row r="55" spans="2:46" ht="12" customHeight="1" x14ac:dyDescent="0.3">
      <c r="B55" s="114" t="s">
        <v>43</v>
      </c>
      <c r="C55" s="115" t="s">
        <v>23</v>
      </c>
      <c r="D55" s="115" t="s">
        <v>44</v>
      </c>
      <c r="E55" s="115" t="s">
        <v>25</v>
      </c>
      <c r="F55" s="115" t="s">
        <v>25</v>
      </c>
      <c r="G55" s="115" t="s">
        <v>25</v>
      </c>
      <c r="H55" s="115" t="s">
        <v>79</v>
      </c>
      <c r="I55" s="115" t="s">
        <v>25</v>
      </c>
      <c r="J55" s="115">
        <v>361.41</v>
      </c>
      <c r="K55" s="115">
        <v>269.32</v>
      </c>
      <c r="L55" s="115">
        <v>13.284902594890699</v>
      </c>
      <c r="M55" s="115">
        <v>0.95901510666568002</v>
      </c>
      <c r="N55" s="115">
        <v>3.5153109966792102</v>
      </c>
      <c r="O55" s="115">
        <v>0</v>
      </c>
      <c r="P55" s="115">
        <v>0</v>
      </c>
      <c r="Q55" s="115">
        <v>116.692112871023</v>
      </c>
      <c r="R55" s="115">
        <v>19.237381880504</v>
      </c>
      <c r="S55" s="115">
        <v>0</v>
      </c>
      <c r="T55" s="115">
        <v>39.235164797074702</v>
      </c>
      <c r="U55" s="115">
        <v>18.486027055723401</v>
      </c>
      <c r="V55" s="115">
        <v>0</v>
      </c>
      <c r="W55" s="115">
        <v>0</v>
      </c>
      <c r="X55" s="115">
        <v>0</v>
      </c>
      <c r="Y55" s="115">
        <v>0</v>
      </c>
      <c r="Z55" s="115">
        <v>0</v>
      </c>
      <c r="AA55" s="115">
        <v>234.98016163231901</v>
      </c>
      <c r="AB55" s="115">
        <v>-18.644882190557698</v>
      </c>
      <c r="AC55" s="115">
        <v>-91.732120344195295</v>
      </c>
      <c r="AD55" s="115">
        <v>0</v>
      </c>
      <c r="AE55" s="115">
        <v>22.837470506340299</v>
      </c>
      <c r="AF55" s="115">
        <v>0.67202209722237205</v>
      </c>
      <c r="AG55" s="115">
        <v>1.5322527500924601</v>
      </c>
      <c r="AH55" s="115">
        <v>0.35638024621740599</v>
      </c>
      <c r="AI55" s="115">
        <v>5.3990916190313696</v>
      </c>
      <c r="AJ55" s="115">
        <v>-16.411655664688698</v>
      </c>
      <c r="AK55" s="115">
        <v>2.2584999480207801</v>
      </c>
      <c r="AL55" s="115">
        <v>21.1026857404187</v>
      </c>
      <c r="AM55" s="115">
        <v>0</v>
      </c>
      <c r="AN55" s="115">
        <v>201.56920436466601</v>
      </c>
      <c r="AO55" s="115">
        <v>5.8799785658239099</v>
      </c>
      <c r="AP55" s="115">
        <v>4.1868740174753896</v>
      </c>
      <c r="AQ55" s="115">
        <v>0</v>
      </c>
      <c r="AR55" s="115">
        <v>-9.5255811265073493</v>
      </c>
      <c r="AS55" s="115">
        <v>49.337062410210798</v>
      </c>
      <c r="AT55" s="116">
        <v>5.52324012554935</v>
      </c>
    </row>
    <row r="56" spans="2:46" ht="12" customHeight="1" x14ac:dyDescent="0.3">
      <c r="B56" s="114" t="s">
        <v>43</v>
      </c>
      <c r="C56" s="115" t="s">
        <v>23</v>
      </c>
      <c r="D56" s="115" t="s">
        <v>44</v>
      </c>
      <c r="E56" s="115" t="s">
        <v>95</v>
      </c>
      <c r="F56" s="115" t="s">
        <v>25</v>
      </c>
      <c r="G56" s="115" t="s">
        <v>25</v>
      </c>
      <c r="H56" s="115" t="s">
        <v>79</v>
      </c>
      <c r="I56" s="115" t="s">
        <v>25</v>
      </c>
      <c r="J56" s="115">
        <v>353.72</v>
      </c>
      <c r="K56" s="115">
        <v>263.58999999999997</v>
      </c>
      <c r="L56" s="115">
        <v>13.002245092871799</v>
      </c>
      <c r="M56" s="115">
        <v>0.938610529928112</v>
      </c>
      <c r="N56" s="115">
        <v>3.4405171456860399</v>
      </c>
      <c r="O56" s="115">
        <v>0</v>
      </c>
      <c r="P56" s="115">
        <v>0</v>
      </c>
      <c r="Q56" s="115">
        <v>114.20930195887399</v>
      </c>
      <c r="R56" s="115">
        <v>18.828075883046498</v>
      </c>
      <c r="S56" s="115">
        <v>0</v>
      </c>
      <c r="T56" s="115">
        <v>38.400374056711399</v>
      </c>
      <c r="U56" s="115">
        <v>18.0927073311336</v>
      </c>
      <c r="V56" s="115">
        <v>0</v>
      </c>
      <c r="W56" s="115">
        <v>0</v>
      </c>
      <c r="X56" s="115">
        <v>0</v>
      </c>
      <c r="Y56" s="115">
        <v>0</v>
      </c>
      <c r="Z56" s="115">
        <v>0</v>
      </c>
      <c r="AA56" s="115">
        <v>229.98058372524901</v>
      </c>
      <c r="AB56" s="115">
        <v>-18.248182569482001</v>
      </c>
      <c r="AC56" s="115">
        <v>-89.7803731028295</v>
      </c>
      <c r="AD56" s="115">
        <v>0</v>
      </c>
      <c r="AE56" s="115">
        <v>22.351566878545899</v>
      </c>
      <c r="AF56" s="115">
        <v>0.65772375472827904</v>
      </c>
      <c r="AG56" s="115">
        <v>1.49965162775007</v>
      </c>
      <c r="AH56" s="115">
        <v>0.34879768778724901</v>
      </c>
      <c r="AI56" s="115">
        <v>5.2842173292647496</v>
      </c>
      <c r="AJ56" s="115">
        <v>-16.062471501610201</v>
      </c>
      <c r="AK56" s="115">
        <v>2.2104467576373601</v>
      </c>
      <c r="AL56" s="115">
        <v>20.653692426792801</v>
      </c>
      <c r="AM56" s="115">
        <v>0</v>
      </c>
      <c r="AN56" s="115">
        <v>197.280497888822</v>
      </c>
      <c r="AO56" s="115">
        <v>5.7548726388914897</v>
      </c>
      <c r="AP56" s="115">
        <v>4.0977915915716503</v>
      </c>
      <c r="AQ56" s="115">
        <v>0</v>
      </c>
      <c r="AR56" s="115">
        <v>-9.3229091876454895</v>
      </c>
      <c r="AS56" s="115">
        <v>48.2873376780786</v>
      </c>
      <c r="AT56" s="116">
        <v>5.4057243781972399</v>
      </c>
    </row>
    <row r="57" spans="2:46" ht="12" customHeight="1" x14ac:dyDescent="0.3">
      <c r="B57" s="114" t="s">
        <v>43</v>
      </c>
      <c r="C57" s="115" t="s">
        <v>93</v>
      </c>
      <c r="D57" s="115" t="s">
        <v>44</v>
      </c>
      <c r="E57" s="115" t="s">
        <v>94</v>
      </c>
      <c r="F57" s="115" t="s">
        <v>25</v>
      </c>
      <c r="G57" s="115" t="s">
        <v>25</v>
      </c>
      <c r="H57" s="115" t="s">
        <v>79</v>
      </c>
      <c r="I57" s="115" t="s">
        <v>25</v>
      </c>
      <c r="J57" s="115">
        <v>361.41</v>
      </c>
      <c r="K57" s="115">
        <v>269.32</v>
      </c>
      <c r="L57" s="115">
        <v>13.284902594890699</v>
      </c>
      <c r="M57" s="115">
        <v>0.95901510666568002</v>
      </c>
      <c r="N57" s="115">
        <v>3.5153109966792102</v>
      </c>
      <c r="O57" s="115">
        <v>0</v>
      </c>
      <c r="P57" s="115">
        <v>0</v>
      </c>
      <c r="Q57" s="115">
        <v>116.692112871023</v>
      </c>
      <c r="R57" s="115">
        <v>19.237381880504</v>
      </c>
      <c r="S57" s="115">
        <v>0</v>
      </c>
      <c r="T57" s="115">
        <v>39.235164797074702</v>
      </c>
      <c r="U57" s="115">
        <v>18.486027055723401</v>
      </c>
      <c r="V57" s="115">
        <v>0</v>
      </c>
      <c r="W57" s="115">
        <v>0</v>
      </c>
      <c r="X57" s="115">
        <v>0</v>
      </c>
      <c r="Y57" s="115">
        <v>0</v>
      </c>
      <c r="Z57" s="115">
        <v>0</v>
      </c>
      <c r="AA57" s="115">
        <v>234.98016163231901</v>
      </c>
      <c r="AB57" s="115">
        <v>-18.644882190557698</v>
      </c>
      <c r="AC57" s="115">
        <v>-91.732120344195295</v>
      </c>
      <c r="AD57" s="115">
        <v>0</v>
      </c>
      <c r="AE57" s="115">
        <v>22.837470506340299</v>
      </c>
      <c r="AF57" s="115">
        <v>0.67202209722237205</v>
      </c>
      <c r="AG57" s="115">
        <v>1.5322527500924601</v>
      </c>
      <c r="AH57" s="115">
        <v>0.35638024621740599</v>
      </c>
      <c r="AI57" s="115">
        <v>5.3990916190313696</v>
      </c>
      <c r="AJ57" s="115">
        <v>-16.411655664688698</v>
      </c>
      <c r="AK57" s="115">
        <v>2.2584999480207801</v>
      </c>
      <c r="AL57" s="115">
        <v>21.1026857404187</v>
      </c>
      <c r="AM57" s="115">
        <v>0</v>
      </c>
      <c r="AN57" s="115">
        <v>201.56920436466601</v>
      </c>
      <c r="AO57" s="115">
        <v>5.8799785658239099</v>
      </c>
      <c r="AP57" s="115">
        <v>4.1868740174753896</v>
      </c>
      <c r="AQ57" s="115">
        <v>0</v>
      </c>
      <c r="AR57" s="115">
        <v>-9.5255811265073493</v>
      </c>
      <c r="AS57" s="115">
        <v>49.337062410210798</v>
      </c>
      <c r="AT57" s="116">
        <v>5.52324012554935</v>
      </c>
    </row>
    <row r="58" spans="2:46" ht="12" customHeight="1" x14ac:dyDescent="0.3">
      <c r="B58" s="114" t="s">
        <v>43</v>
      </c>
      <c r="C58" s="115" t="s">
        <v>93</v>
      </c>
      <c r="D58" s="115" t="s">
        <v>44</v>
      </c>
      <c r="E58" s="115" t="s">
        <v>25</v>
      </c>
      <c r="F58" s="115" t="s">
        <v>25</v>
      </c>
      <c r="G58" s="115" t="s">
        <v>25</v>
      </c>
      <c r="H58" s="115" t="s">
        <v>79</v>
      </c>
      <c r="I58" s="115" t="s">
        <v>25</v>
      </c>
      <c r="J58" s="115">
        <v>361.41</v>
      </c>
      <c r="K58" s="115">
        <v>269.32</v>
      </c>
      <c r="L58" s="115">
        <v>13.284902594890699</v>
      </c>
      <c r="M58" s="115">
        <v>0.95901510666568002</v>
      </c>
      <c r="N58" s="115">
        <v>3.5153109966792102</v>
      </c>
      <c r="O58" s="115">
        <v>0</v>
      </c>
      <c r="P58" s="115">
        <v>0</v>
      </c>
      <c r="Q58" s="115">
        <v>116.692112871023</v>
      </c>
      <c r="R58" s="115">
        <v>19.237381880504</v>
      </c>
      <c r="S58" s="115">
        <v>0</v>
      </c>
      <c r="T58" s="115">
        <v>39.235164797074702</v>
      </c>
      <c r="U58" s="115">
        <v>18.486027055723401</v>
      </c>
      <c r="V58" s="115">
        <v>0</v>
      </c>
      <c r="W58" s="115">
        <v>0</v>
      </c>
      <c r="X58" s="115">
        <v>0</v>
      </c>
      <c r="Y58" s="115">
        <v>0</v>
      </c>
      <c r="Z58" s="115">
        <v>0</v>
      </c>
      <c r="AA58" s="115">
        <v>234.98016163231901</v>
      </c>
      <c r="AB58" s="115">
        <v>-18.644882190557698</v>
      </c>
      <c r="AC58" s="115">
        <v>-91.732120344195295</v>
      </c>
      <c r="AD58" s="115">
        <v>0</v>
      </c>
      <c r="AE58" s="115">
        <v>22.837470506340299</v>
      </c>
      <c r="AF58" s="115">
        <v>0.67202209722237205</v>
      </c>
      <c r="AG58" s="115">
        <v>1.5322527500924601</v>
      </c>
      <c r="AH58" s="115">
        <v>0.35638024621740599</v>
      </c>
      <c r="AI58" s="115">
        <v>5.3990916190313696</v>
      </c>
      <c r="AJ58" s="115">
        <v>-16.411655664688698</v>
      </c>
      <c r="AK58" s="115">
        <v>2.2584999480207801</v>
      </c>
      <c r="AL58" s="115">
        <v>21.1026857404187</v>
      </c>
      <c r="AM58" s="115">
        <v>0</v>
      </c>
      <c r="AN58" s="115">
        <v>201.56920436466601</v>
      </c>
      <c r="AO58" s="115">
        <v>5.8799785658239099</v>
      </c>
      <c r="AP58" s="115">
        <v>4.1868740174753896</v>
      </c>
      <c r="AQ58" s="115">
        <v>0</v>
      </c>
      <c r="AR58" s="115">
        <v>-9.5255811265073493</v>
      </c>
      <c r="AS58" s="115">
        <v>49.337062410210798</v>
      </c>
      <c r="AT58" s="116">
        <v>5.52324012554935</v>
      </c>
    </row>
    <row r="59" spans="2:46" ht="12" customHeight="1" x14ac:dyDescent="0.3">
      <c r="B59" s="114" t="s">
        <v>43</v>
      </c>
      <c r="C59" s="115" t="s">
        <v>93</v>
      </c>
      <c r="D59" s="115" t="s">
        <v>44</v>
      </c>
      <c r="E59" s="115" t="s">
        <v>95</v>
      </c>
      <c r="F59" s="115" t="s">
        <v>25</v>
      </c>
      <c r="G59" s="115" t="s">
        <v>25</v>
      </c>
      <c r="H59" s="115" t="s">
        <v>79</v>
      </c>
      <c r="I59" s="115" t="s">
        <v>25</v>
      </c>
      <c r="J59" s="115">
        <v>353.72</v>
      </c>
      <c r="K59" s="115">
        <v>263.58999999999997</v>
      </c>
      <c r="L59" s="115">
        <v>13.002245092871799</v>
      </c>
      <c r="M59" s="115">
        <v>0.938610529928112</v>
      </c>
      <c r="N59" s="115">
        <v>3.4405171456860399</v>
      </c>
      <c r="O59" s="115">
        <v>0</v>
      </c>
      <c r="P59" s="115">
        <v>0</v>
      </c>
      <c r="Q59" s="115">
        <v>114.20930195887399</v>
      </c>
      <c r="R59" s="115">
        <v>18.828075883046498</v>
      </c>
      <c r="S59" s="115">
        <v>0</v>
      </c>
      <c r="T59" s="115">
        <v>38.400374056711399</v>
      </c>
      <c r="U59" s="115">
        <v>18.0927073311336</v>
      </c>
      <c r="V59" s="115">
        <v>0</v>
      </c>
      <c r="W59" s="115">
        <v>0</v>
      </c>
      <c r="X59" s="115">
        <v>0</v>
      </c>
      <c r="Y59" s="115">
        <v>0</v>
      </c>
      <c r="Z59" s="115">
        <v>0</v>
      </c>
      <c r="AA59" s="115">
        <v>229.98058372524901</v>
      </c>
      <c r="AB59" s="115">
        <v>-18.248182569482001</v>
      </c>
      <c r="AC59" s="115">
        <v>-89.7803731028295</v>
      </c>
      <c r="AD59" s="115">
        <v>0</v>
      </c>
      <c r="AE59" s="115">
        <v>22.351566878545899</v>
      </c>
      <c r="AF59" s="115">
        <v>0.65772375472827904</v>
      </c>
      <c r="AG59" s="115">
        <v>1.49965162775007</v>
      </c>
      <c r="AH59" s="115">
        <v>0.34879768778724901</v>
      </c>
      <c r="AI59" s="115">
        <v>5.2842173292647496</v>
      </c>
      <c r="AJ59" s="115">
        <v>-16.062471501610201</v>
      </c>
      <c r="AK59" s="115">
        <v>2.2104467576373601</v>
      </c>
      <c r="AL59" s="115">
        <v>20.653692426792801</v>
      </c>
      <c r="AM59" s="115">
        <v>0</v>
      </c>
      <c r="AN59" s="115">
        <v>197.280497888822</v>
      </c>
      <c r="AO59" s="115">
        <v>5.7548726388914897</v>
      </c>
      <c r="AP59" s="115">
        <v>4.0977915915716503</v>
      </c>
      <c r="AQ59" s="115">
        <v>0</v>
      </c>
      <c r="AR59" s="115">
        <v>-9.3229091876454895</v>
      </c>
      <c r="AS59" s="115">
        <v>48.2873376780786</v>
      </c>
      <c r="AT59" s="116">
        <v>5.4057243781972399</v>
      </c>
    </row>
    <row r="60" spans="2:46" ht="12" customHeight="1" x14ac:dyDescent="0.3">
      <c r="B60" s="114" t="s">
        <v>37</v>
      </c>
      <c r="C60" s="115" t="s">
        <v>33</v>
      </c>
      <c r="D60" s="115" t="s">
        <v>25</v>
      </c>
      <c r="E60" s="115" t="s">
        <v>25</v>
      </c>
      <c r="F60" s="115" t="s">
        <v>25</v>
      </c>
      <c r="G60" s="115" t="s">
        <v>34</v>
      </c>
      <c r="H60" s="115" t="s">
        <v>79</v>
      </c>
      <c r="I60" s="115" t="s">
        <v>25</v>
      </c>
      <c r="J60" s="115">
        <v>829.05</v>
      </c>
      <c r="K60" s="115">
        <v>437.01</v>
      </c>
      <c r="L60" s="115">
        <v>14.132875100947601</v>
      </c>
      <c r="M60" s="115">
        <v>1.0202288368783801</v>
      </c>
      <c r="N60" s="115">
        <v>11.419137945651601</v>
      </c>
      <c r="O60" s="115">
        <v>0</v>
      </c>
      <c r="P60" s="115">
        <v>0</v>
      </c>
      <c r="Q60" s="115">
        <v>124.14054560747201</v>
      </c>
      <c r="R60" s="115">
        <v>20.465299872876599</v>
      </c>
      <c r="S60" s="115">
        <v>0</v>
      </c>
      <c r="T60" s="115">
        <v>144.001515478035</v>
      </c>
      <c r="U60" s="115">
        <v>67.847559432098095</v>
      </c>
      <c r="V60" s="115">
        <v>0</v>
      </c>
      <c r="W60" s="115">
        <v>0</v>
      </c>
      <c r="X60" s="115">
        <v>0</v>
      </c>
      <c r="Y60" s="115">
        <v>0</v>
      </c>
      <c r="Z60" s="115">
        <v>0</v>
      </c>
      <c r="AA60" s="115">
        <v>862.42723409409996</v>
      </c>
      <c r="AB60" s="115">
        <v>-52.612114292718204</v>
      </c>
      <c r="AC60" s="115">
        <v>-390.81156462839698</v>
      </c>
      <c r="AD60" s="115">
        <v>0</v>
      </c>
      <c r="AE60" s="115">
        <v>24.295181389723801</v>
      </c>
      <c r="AF60" s="115">
        <v>0.71491712470465096</v>
      </c>
      <c r="AG60" s="115">
        <v>1.6300561171196399</v>
      </c>
      <c r="AH60" s="115">
        <v>0.379127921507879</v>
      </c>
      <c r="AI60" s="115">
        <v>5.7437144883312499</v>
      </c>
      <c r="AJ60" s="115">
        <v>-17.459208153924099</v>
      </c>
      <c r="AK60" s="115">
        <v>2.4026595191710398</v>
      </c>
      <c r="AL60" s="115">
        <v>22.449665681296501</v>
      </c>
      <c r="AM60" s="115">
        <v>0</v>
      </c>
      <c r="AN60" s="115">
        <v>347.95165747413199</v>
      </c>
      <c r="AO60" s="115">
        <v>6.2552963466211802</v>
      </c>
      <c r="AP60" s="115">
        <v>4.4541212951865798</v>
      </c>
      <c r="AQ60" s="115">
        <v>0</v>
      </c>
      <c r="AR60" s="115">
        <v>-15.7210469762122</v>
      </c>
      <c r="AS60" s="115">
        <v>75.057352957792205</v>
      </c>
      <c r="AT60" s="116">
        <v>5.8757873676056898</v>
      </c>
    </row>
    <row r="61" spans="2:46" ht="12" customHeight="1" x14ac:dyDescent="0.3">
      <c r="B61" s="114" t="s">
        <v>37</v>
      </c>
      <c r="C61" s="115" t="s">
        <v>33</v>
      </c>
      <c r="D61" s="115" t="s">
        <v>25</v>
      </c>
      <c r="E61" s="115" t="s">
        <v>25</v>
      </c>
      <c r="F61" s="115" t="s">
        <v>25</v>
      </c>
      <c r="G61" s="115" t="s">
        <v>36</v>
      </c>
      <c r="H61" s="115" t="s">
        <v>79</v>
      </c>
      <c r="I61" s="115" t="s">
        <v>25</v>
      </c>
      <c r="J61" s="115">
        <v>570.4</v>
      </c>
      <c r="K61" s="115">
        <v>272.82</v>
      </c>
      <c r="L61" s="115">
        <v>14.132875100947601</v>
      </c>
      <c r="M61" s="115">
        <v>1.0202288368783801</v>
      </c>
      <c r="N61" s="115">
        <v>7.0935721658224802</v>
      </c>
      <c r="O61" s="115">
        <v>0</v>
      </c>
      <c r="P61" s="115">
        <v>0</v>
      </c>
      <c r="Q61" s="115">
        <v>124.14054560747201</v>
      </c>
      <c r="R61" s="115">
        <v>20.465299872876599</v>
      </c>
      <c r="S61" s="115">
        <v>0</v>
      </c>
      <c r="T61" s="115">
        <v>86.400824712795497</v>
      </c>
      <c r="U61" s="115">
        <v>40.708510843351497</v>
      </c>
      <c r="V61" s="115">
        <v>0</v>
      </c>
      <c r="W61" s="115">
        <v>0</v>
      </c>
      <c r="X61" s="115">
        <v>0</v>
      </c>
      <c r="Y61" s="115">
        <v>0</v>
      </c>
      <c r="Z61" s="115">
        <v>0</v>
      </c>
      <c r="AA61" s="115">
        <v>517.45636301866898</v>
      </c>
      <c r="AB61" s="115">
        <v>-34.149889343587397</v>
      </c>
      <c r="AC61" s="115">
        <v>-233.887613368281</v>
      </c>
      <c r="AD61" s="115">
        <v>0</v>
      </c>
      <c r="AE61" s="115">
        <v>24.295181389723801</v>
      </c>
      <c r="AF61" s="115">
        <v>0.71491712470465096</v>
      </c>
      <c r="AG61" s="115">
        <v>1.6300561171196399</v>
      </c>
      <c r="AH61" s="115">
        <v>0.379127921507879</v>
      </c>
      <c r="AI61" s="115">
        <v>5.7437144883312499</v>
      </c>
      <c r="AJ61" s="115">
        <v>-17.459208153924099</v>
      </c>
      <c r="AK61" s="115">
        <v>2.4026595191710398</v>
      </c>
      <c r="AL61" s="115">
        <v>22.449665681296501</v>
      </c>
      <c r="AM61" s="115">
        <v>0</v>
      </c>
      <c r="AN61" s="115">
        <v>202.297475275658</v>
      </c>
      <c r="AO61" s="115">
        <v>6.2552963466211802</v>
      </c>
      <c r="AP61" s="115">
        <v>4.4541212951865798</v>
      </c>
      <c r="AQ61" s="115">
        <v>0</v>
      </c>
      <c r="AR61" s="115">
        <v>-9.6256469400820901</v>
      </c>
      <c r="AS61" s="115">
        <v>50.426135120135903</v>
      </c>
      <c r="AT61" s="116">
        <v>5.8757873676056898</v>
      </c>
    </row>
    <row r="62" spans="2:46" ht="12" customHeight="1" x14ac:dyDescent="0.3">
      <c r="B62" s="114" t="s">
        <v>37</v>
      </c>
      <c r="C62" s="115" t="s">
        <v>33</v>
      </c>
      <c r="D62" s="115" t="s">
        <v>25</v>
      </c>
      <c r="E62" s="115" t="s">
        <v>25</v>
      </c>
      <c r="F62" s="115" t="s">
        <v>25</v>
      </c>
      <c r="G62" s="115" t="s">
        <v>35</v>
      </c>
      <c r="H62" s="115" t="s">
        <v>79</v>
      </c>
      <c r="I62" s="115" t="s">
        <v>25</v>
      </c>
      <c r="J62" s="115">
        <v>311.74</v>
      </c>
      <c r="K62" s="115">
        <v>272.82</v>
      </c>
      <c r="L62" s="115">
        <v>14.132875100947601</v>
      </c>
      <c r="M62" s="115">
        <v>1.0202288368783801</v>
      </c>
      <c r="N62" s="115">
        <v>2.7680075597229599</v>
      </c>
      <c r="O62" s="115">
        <v>0</v>
      </c>
      <c r="P62" s="115">
        <v>0</v>
      </c>
      <c r="Q62" s="115">
        <v>124.14054560747201</v>
      </c>
      <c r="R62" s="115">
        <v>20.465299872876599</v>
      </c>
      <c r="S62" s="115">
        <v>0</v>
      </c>
      <c r="T62" s="115">
        <v>28.800274904265098</v>
      </c>
      <c r="U62" s="115">
        <v>13.569462254604799</v>
      </c>
      <c r="V62" s="115">
        <v>0</v>
      </c>
      <c r="W62" s="115">
        <v>0</v>
      </c>
      <c r="X62" s="115">
        <v>0</v>
      </c>
      <c r="Y62" s="115">
        <v>0</v>
      </c>
      <c r="Z62" s="115">
        <v>0</v>
      </c>
      <c r="AA62" s="115">
        <v>172.485491943238</v>
      </c>
      <c r="AB62" s="115">
        <v>-15.687670045476199</v>
      </c>
      <c r="AC62" s="115">
        <v>-76.973798587584596</v>
      </c>
      <c r="AD62" s="115">
        <v>0</v>
      </c>
      <c r="AE62" s="115">
        <v>24.295181389723801</v>
      </c>
      <c r="AF62" s="115">
        <v>0.71491712470465096</v>
      </c>
      <c r="AG62" s="115">
        <v>1.6300561171196399</v>
      </c>
      <c r="AH62" s="115">
        <v>0.379127921507879</v>
      </c>
      <c r="AI62" s="115">
        <v>5.7437144883312499</v>
      </c>
      <c r="AJ62" s="115">
        <v>-17.459208153924099</v>
      </c>
      <c r="AK62" s="115">
        <v>2.4026595191710398</v>
      </c>
      <c r="AL62" s="115">
        <v>22.449665681296501</v>
      </c>
      <c r="AM62" s="115">
        <v>0</v>
      </c>
      <c r="AN62" s="115">
        <v>202.297475275658</v>
      </c>
      <c r="AO62" s="115">
        <v>6.2552963466211802</v>
      </c>
      <c r="AP62" s="115">
        <v>4.4541212951865798</v>
      </c>
      <c r="AQ62" s="115">
        <v>0</v>
      </c>
      <c r="AR62" s="115">
        <v>-9.6256469400820901</v>
      </c>
      <c r="AS62" s="115">
        <v>50.426135120135903</v>
      </c>
      <c r="AT62" s="116">
        <v>5.8757873676056898</v>
      </c>
    </row>
    <row r="63" spans="2:46" ht="12" customHeight="1" x14ac:dyDescent="0.3">
      <c r="B63" s="114" t="s">
        <v>37</v>
      </c>
      <c r="C63" s="115" t="s">
        <v>23</v>
      </c>
      <c r="D63" s="115" t="s">
        <v>25</v>
      </c>
      <c r="E63" s="115" t="s">
        <v>25</v>
      </c>
      <c r="F63" s="115" t="s">
        <v>25</v>
      </c>
      <c r="G63" s="115" t="s">
        <v>25</v>
      </c>
      <c r="H63" s="115" t="s">
        <v>79</v>
      </c>
      <c r="I63" s="115" t="s">
        <v>25</v>
      </c>
      <c r="J63" s="115">
        <v>384.48</v>
      </c>
      <c r="K63" s="115">
        <v>286.51</v>
      </c>
      <c r="L63" s="115">
        <v>14.132875100947601</v>
      </c>
      <c r="M63" s="115">
        <v>1.0202288368783801</v>
      </c>
      <c r="N63" s="115">
        <v>3.7396925496587401</v>
      </c>
      <c r="O63" s="115">
        <v>0</v>
      </c>
      <c r="P63" s="115">
        <v>0</v>
      </c>
      <c r="Q63" s="115">
        <v>124.14054560747201</v>
      </c>
      <c r="R63" s="115">
        <v>20.465299872876599</v>
      </c>
      <c r="S63" s="115">
        <v>0</v>
      </c>
      <c r="T63" s="115">
        <v>41.739537018164498</v>
      </c>
      <c r="U63" s="115">
        <v>19.665986229493001</v>
      </c>
      <c r="V63" s="115">
        <v>0</v>
      </c>
      <c r="W63" s="115">
        <v>0</v>
      </c>
      <c r="X63" s="115">
        <v>0</v>
      </c>
      <c r="Y63" s="115">
        <v>0</v>
      </c>
      <c r="Z63" s="115">
        <v>0</v>
      </c>
      <c r="AA63" s="115">
        <v>249.97889535353099</v>
      </c>
      <c r="AB63" s="115">
        <v>-19.834981053784801</v>
      </c>
      <c r="AC63" s="115">
        <v>-97.587362068292904</v>
      </c>
      <c r="AD63" s="115">
        <v>0</v>
      </c>
      <c r="AE63" s="115">
        <v>24.295181389723801</v>
      </c>
      <c r="AF63" s="115">
        <v>0.71491712470465096</v>
      </c>
      <c r="AG63" s="115">
        <v>1.6300561171196399</v>
      </c>
      <c r="AH63" s="115">
        <v>0.379127921507879</v>
      </c>
      <c r="AI63" s="115">
        <v>5.7437144883312499</v>
      </c>
      <c r="AJ63" s="115">
        <v>-17.459208153924099</v>
      </c>
      <c r="AK63" s="115">
        <v>2.4026595191710398</v>
      </c>
      <c r="AL63" s="115">
        <v>22.449665681296501</v>
      </c>
      <c r="AM63" s="115">
        <v>0</v>
      </c>
      <c r="AN63" s="115">
        <v>214.43532379219801</v>
      </c>
      <c r="AO63" s="115">
        <v>6.2552963466211802</v>
      </c>
      <c r="AP63" s="115">
        <v>4.4541212951865798</v>
      </c>
      <c r="AQ63" s="115">
        <v>0</v>
      </c>
      <c r="AR63" s="115">
        <v>-10.1335969430929</v>
      </c>
      <c r="AS63" s="115">
        <v>52.4862366066072</v>
      </c>
      <c r="AT63" s="116">
        <v>5.8757873676056898</v>
      </c>
    </row>
    <row r="64" spans="2:46" ht="12" customHeight="1" x14ac:dyDescent="0.3">
      <c r="B64" s="114" t="s">
        <v>37</v>
      </c>
      <c r="C64" s="115" t="s">
        <v>93</v>
      </c>
      <c r="D64" s="115" t="s">
        <v>25</v>
      </c>
      <c r="E64" s="115" t="s">
        <v>25</v>
      </c>
      <c r="F64" s="115" t="s">
        <v>25</v>
      </c>
      <c r="G64" s="115" t="s">
        <v>25</v>
      </c>
      <c r="H64" s="115" t="s">
        <v>79</v>
      </c>
      <c r="I64" s="115" t="s">
        <v>25</v>
      </c>
      <c r="J64" s="115">
        <v>384.48</v>
      </c>
      <c r="K64" s="115">
        <v>286.51</v>
      </c>
      <c r="L64" s="115">
        <v>14.132875100947601</v>
      </c>
      <c r="M64" s="115">
        <v>1.0202288368783801</v>
      </c>
      <c r="N64" s="115">
        <v>3.7396925496587401</v>
      </c>
      <c r="O64" s="115">
        <v>0</v>
      </c>
      <c r="P64" s="115">
        <v>0</v>
      </c>
      <c r="Q64" s="115">
        <v>124.14054560747201</v>
      </c>
      <c r="R64" s="115">
        <v>20.465299872876599</v>
      </c>
      <c r="S64" s="115">
        <v>0</v>
      </c>
      <c r="T64" s="115">
        <v>41.739537018164498</v>
      </c>
      <c r="U64" s="115">
        <v>19.665986229493001</v>
      </c>
      <c r="V64" s="115">
        <v>0</v>
      </c>
      <c r="W64" s="115">
        <v>0</v>
      </c>
      <c r="X64" s="115">
        <v>0</v>
      </c>
      <c r="Y64" s="115">
        <v>0</v>
      </c>
      <c r="Z64" s="115">
        <v>0</v>
      </c>
      <c r="AA64" s="115">
        <v>249.97889535353099</v>
      </c>
      <c r="AB64" s="115">
        <v>-19.834981053784801</v>
      </c>
      <c r="AC64" s="115">
        <v>-97.587362068292904</v>
      </c>
      <c r="AD64" s="115">
        <v>0</v>
      </c>
      <c r="AE64" s="115">
        <v>24.295181389723801</v>
      </c>
      <c r="AF64" s="115">
        <v>0.71491712470465096</v>
      </c>
      <c r="AG64" s="115">
        <v>1.6300561171196399</v>
      </c>
      <c r="AH64" s="115">
        <v>0.379127921507879</v>
      </c>
      <c r="AI64" s="115">
        <v>5.7437144883312499</v>
      </c>
      <c r="AJ64" s="115">
        <v>-17.459208153924099</v>
      </c>
      <c r="AK64" s="115">
        <v>2.4026595191710398</v>
      </c>
      <c r="AL64" s="115">
        <v>22.449665681296501</v>
      </c>
      <c r="AM64" s="115">
        <v>0</v>
      </c>
      <c r="AN64" s="115">
        <v>214.43532379219801</v>
      </c>
      <c r="AO64" s="115">
        <v>6.2552963466211802</v>
      </c>
      <c r="AP64" s="115">
        <v>4.4541212951865798</v>
      </c>
      <c r="AQ64" s="115">
        <v>0</v>
      </c>
      <c r="AR64" s="115">
        <v>-10.1335969430929</v>
      </c>
      <c r="AS64" s="115">
        <v>52.4862366066072</v>
      </c>
      <c r="AT64" s="116">
        <v>5.8757873676056898</v>
      </c>
    </row>
    <row r="65" spans="2:46" ht="12" customHeight="1" x14ac:dyDescent="0.3">
      <c r="B65" s="114" t="s">
        <v>47</v>
      </c>
      <c r="C65" s="115" t="s">
        <v>23</v>
      </c>
      <c r="D65" s="115" t="s">
        <v>48</v>
      </c>
      <c r="E65" s="115" t="s">
        <v>49</v>
      </c>
      <c r="F65" s="115" t="s">
        <v>25</v>
      </c>
      <c r="G65" s="115" t="s">
        <v>25</v>
      </c>
      <c r="H65" s="115" t="s">
        <v>79</v>
      </c>
      <c r="I65" s="115" t="s">
        <v>25</v>
      </c>
      <c r="J65" s="115">
        <v>211.47</v>
      </c>
      <c r="K65" s="115">
        <v>157.58000000000001</v>
      </c>
      <c r="L65" s="115">
        <v>7.7730813055211696</v>
      </c>
      <c r="M65" s="115">
        <v>0.56112586028311096</v>
      </c>
      <c r="N65" s="115">
        <v>2.0568309023123099</v>
      </c>
      <c r="O65" s="115">
        <v>0</v>
      </c>
      <c r="P65" s="115">
        <v>0</v>
      </c>
      <c r="Q65" s="115">
        <v>68.277300084109399</v>
      </c>
      <c r="R65" s="115">
        <v>11.2559149300822</v>
      </c>
      <c r="S65" s="115">
        <v>0</v>
      </c>
      <c r="T65" s="115">
        <v>22.956745359990499</v>
      </c>
      <c r="U65" s="115">
        <v>10.816292426221199</v>
      </c>
      <c r="V65" s="115">
        <v>0</v>
      </c>
      <c r="W65" s="115">
        <v>0</v>
      </c>
      <c r="X65" s="115">
        <v>0</v>
      </c>
      <c r="Y65" s="115">
        <v>0</v>
      </c>
      <c r="Z65" s="115">
        <v>0</v>
      </c>
      <c r="AA65" s="115">
        <v>137.48839244444201</v>
      </c>
      <c r="AB65" s="115">
        <v>-10.9092395795816</v>
      </c>
      <c r="AC65" s="115">
        <v>-53.667049137561101</v>
      </c>
      <c r="AD65" s="115">
        <v>0</v>
      </c>
      <c r="AE65" s="115">
        <v>13.3623497643481</v>
      </c>
      <c r="AF65" s="115">
        <v>0.393204418587558</v>
      </c>
      <c r="AG65" s="115">
        <v>0.89653086441580099</v>
      </c>
      <c r="AH65" s="115">
        <v>0.20852035682933401</v>
      </c>
      <c r="AI65" s="115">
        <v>3.1590429685821899</v>
      </c>
      <c r="AJ65" s="115">
        <v>-9.6025644846582594</v>
      </c>
      <c r="AK65" s="115">
        <v>1.32146273554407</v>
      </c>
      <c r="AL65" s="115">
        <v>12.3473161247131</v>
      </c>
      <c r="AM65" s="115">
        <v>0</v>
      </c>
      <c r="AN65" s="115">
        <v>117.939428085709</v>
      </c>
      <c r="AO65" s="115">
        <v>3.4404129906416498</v>
      </c>
      <c r="AP65" s="115">
        <v>2.4497667123526199</v>
      </c>
      <c r="AQ65" s="115">
        <v>0</v>
      </c>
      <c r="AR65" s="115">
        <v>-5.5734783187011097</v>
      </c>
      <c r="AS65" s="115">
        <v>28.866930133634</v>
      </c>
      <c r="AT65" s="116">
        <v>3.2316830521831301</v>
      </c>
    </row>
    <row r="66" spans="2:46" ht="12" customHeight="1" x14ac:dyDescent="0.3">
      <c r="B66" s="117" t="s">
        <v>47</v>
      </c>
      <c r="C66" s="118" t="s">
        <v>23</v>
      </c>
      <c r="D66" s="118" t="s">
        <v>48</v>
      </c>
      <c r="E66" s="118" t="s">
        <v>96</v>
      </c>
      <c r="F66" s="118" t="s">
        <v>25</v>
      </c>
      <c r="G66" s="118" t="s">
        <v>25</v>
      </c>
      <c r="H66" s="118" t="s">
        <v>79</v>
      </c>
      <c r="I66" s="118" t="s">
        <v>25</v>
      </c>
      <c r="J66" s="118">
        <v>230.69</v>
      </c>
      <c r="K66" s="118">
        <v>171.9</v>
      </c>
      <c r="L66" s="118">
        <v>8.4797250605685495</v>
      </c>
      <c r="M66" s="118">
        <v>0.61213730212702999</v>
      </c>
      <c r="N66" s="118">
        <v>2.2438155297952398</v>
      </c>
      <c r="O66" s="118">
        <v>0</v>
      </c>
      <c r="P66" s="118">
        <v>0</v>
      </c>
      <c r="Q66" s="118">
        <v>74.484327364482994</v>
      </c>
      <c r="R66" s="118">
        <v>12.279179923726</v>
      </c>
      <c r="S66" s="118">
        <v>0</v>
      </c>
      <c r="T66" s="118">
        <v>25.0437222108987</v>
      </c>
      <c r="U66" s="118">
        <v>11.799591737695801</v>
      </c>
      <c r="V66" s="118">
        <v>0</v>
      </c>
      <c r="W66" s="118">
        <v>0</v>
      </c>
      <c r="X66" s="118">
        <v>0</v>
      </c>
      <c r="Y66" s="118">
        <v>0</v>
      </c>
      <c r="Z66" s="118">
        <v>0</v>
      </c>
      <c r="AA66" s="118">
        <v>149.987337212119</v>
      </c>
      <c r="AB66" s="118">
        <v>-11.9009886322709</v>
      </c>
      <c r="AC66" s="118">
        <v>-58.550417240975797</v>
      </c>
      <c r="AD66" s="118">
        <v>0</v>
      </c>
      <c r="AE66" s="118">
        <v>14.5771088338343</v>
      </c>
      <c r="AF66" s="118">
        <v>0.42895027482279102</v>
      </c>
      <c r="AG66" s="118">
        <v>0.97803367027178301</v>
      </c>
      <c r="AH66" s="118">
        <v>0.22747675290472799</v>
      </c>
      <c r="AI66" s="118">
        <v>3.44622869299875</v>
      </c>
      <c r="AJ66" s="118">
        <v>-10.4755248923545</v>
      </c>
      <c r="AK66" s="118">
        <v>1.4415957115026199</v>
      </c>
      <c r="AL66" s="118">
        <v>13.4697994087779</v>
      </c>
      <c r="AM66" s="118">
        <v>0</v>
      </c>
      <c r="AN66" s="118">
        <v>128.66119427531899</v>
      </c>
      <c r="AO66" s="118">
        <v>3.7531778079727101</v>
      </c>
      <c r="AP66" s="118">
        <v>2.6724727771119499</v>
      </c>
      <c r="AQ66" s="118">
        <v>0</v>
      </c>
      <c r="AR66" s="118">
        <v>-6.0801581658557602</v>
      </c>
      <c r="AS66" s="118">
        <v>31.485741963964301</v>
      </c>
      <c r="AT66" s="119">
        <v>3.52547242056341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CC67B-0B3F-49CE-8C55-914DF5DC59C7}">
  <dimension ref="B1:AT66"/>
  <sheetViews>
    <sheetView showGridLines="0" workbookViewId="0">
      <selection activeCell="B4" sqref="B4"/>
    </sheetView>
  </sheetViews>
  <sheetFormatPr defaultRowHeight="14.4" x14ac:dyDescent="0.3"/>
  <cols>
    <col min="2" max="2" width="13" bestFit="1" customWidth="1"/>
    <col min="3" max="3" width="26.88671875" bestFit="1" customWidth="1"/>
    <col min="4" max="4" width="17.33203125" bestFit="1" customWidth="1"/>
    <col min="5" max="5" width="30.21875" bestFit="1" customWidth="1"/>
    <col min="6" max="6" width="12.21875" bestFit="1" customWidth="1"/>
    <col min="7" max="7" width="13" bestFit="1" customWidth="1"/>
    <col min="8" max="8" width="11.218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77734375" bestFit="1" customWidth="1"/>
    <col min="13" max="13" width="13.6640625" bestFit="1" customWidth="1"/>
    <col min="14" max="14" width="12.21875" bestFit="1" customWidth="1"/>
    <col min="15" max="15" width="12.44140625" bestFit="1" customWidth="1"/>
    <col min="16" max="17" width="12.109375" bestFit="1" customWidth="1"/>
    <col min="18" max="18" width="16.6640625" bestFit="1" customWidth="1"/>
    <col min="19" max="19" width="10.5546875" bestFit="1" customWidth="1"/>
    <col min="20" max="22" width="12" bestFit="1" customWidth="1"/>
    <col min="23" max="23" width="12.21875" bestFit="1" customWidth="1"/>
    <col min="24" max="24" width="13.44140625" bestFit="1" customWidth="1"/>
    <col min="25" max="25" width="11.109375" bestFit="1" customWidth="1"/>
    <col min="26" max="26" width="13.88671875" bestFit="1" customWidth="1"/>
    <col min="27" max="27" width="12.44140625" bestFit="1" customWidth="1"/>
    <col min="28" max="28" width="15.6640625" bestFit="1" customWidth="1"/>
    <col min="29" max="29" width="24.33203125" bestFit="1" customWidth="1"/>
    <col min="30" max="30" width="14" bestFit="1" customWidth="1"/>
    <col min="31" max="31" width="12" bestFit="1" customWidth="1"/>
    <col min="32" max="32" width="17.21875" bestFit="1" customWidth="1"/>
    <col min="33" max="33" width="12.21875" bestFit="1" customWidth="1"/>
    <col min="34" max="34" width="12" bestFit="1" customWidth="1"/>
    <col min="35" max="35" width="16.109375" bestFit="1" customWidth="1"/>
    <col min="36" max="36" width="14.44140625" bestFit="1" customWidth="1"/>
    <col min="37" max="37" width="12" bestFit="1" customWidth="1"/>
    <col min="38" max="38" width="12.44140625" bestFit="1" customWidth="1"/>
    <col min="39" max="39" width="11.88671875" bestFit="1" customWidth="1"/>
    <col min="40" max="40" width="13.77734375" bestFit="1" customWidth="1"/>
    <col min="41" max="41" width="24.5546875" bestFit="1" customWidth="1"/>
    <col min="42" max="42" width="17.44140625" bestFit="1" customWidth="1"/>
    <col min="43" max="43" width="13.21875" bestFit="1" customWidth="1"/>
    <col min="44" max="44" width="12.88671875" bestFit="1" customWidth="1"/>
    <col min="45" max="45" width="21.6640625" bestFit="1" customWidth="1"/>
    <col min="46" max="46" width="12.21875" bestFit="1" customWidth="1"/>
  </cols>
  <sheetData>
    <row r="1" spans="2:46" ht="12" customHeight="1" x14ac:dyDescent="0.3">
      <c r="L1" s="160" t="s">
        <v>1432</v>
      </c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1"/>
      <c r="AI1" s="160" t="s">
        <v>1433</v>
      </c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</row>
    <row r="2" spans="2:46" ht="12" customHeight="1" x14ac:dyDescent="0.3">
      <c r="L2" s="162" t="s">
        <v>616</v>
      </c>
      <c r="M2" s="162"/>
      <c r="N2" s="162"/>
      <c r="O2" s="162"/>
      <c r="P2" s="162"/>
      <c r="Q2" s="162"/>
      <c r="R2" s="162"/>
      <c r="S2" s="163"/>
      <c r="T2" s="162" t="s">
        <v>625</v>
      </c>
      <c r="U2" s="162"/>
      <c r="V2" s="162"/>
      <c r="W2" s="162"/>
      <c r="X2" s="162"/>
      <c r="Y2" s="162"/>
      <c r="Z2" s="163"/>
      <c r="AA2" s="121" t="s">
        <v>633</v>
      </c>
      <c r="AB2" s="162" t="s">
        <v>25</v>
      </c>
      <c r="AC2" s="162"/>
      <c r="AD2" s="163"/>
      <c r="AE2" s="162" t="s">
        <v>1431</v>
      </c>
      <c r="AF2" s="162"/>
      <c r="AG2" s="162"/>
      <c r="AH2" s="163"/>
      <c r="AI2" s="162" t="s">
        <v>616</v>
      </c>
      <c r="AJ2" s="162"/>
      <c r="AK2" s="162"/>
      <c r="AL2" s="162"/>
      <c r="AM2" s="163"/>
      <c r="AN2" s="121" t="s">
        <v>647</v>
      </c>
      <c r="AO2" s="162" t="s">
        <v>625</v>
      </c>
      <c r="AP2" s="162"/>
      <c r="AQ2" s="162"/>
      <c r="AR2" s="162"/>
      <c r="AS2" s="163"/>
      <c r="AT2" s="120" t="s">
        <v>1431</v>
      </c>
    </row>
    <row r="3" spans="2:46" ht="12" customHeight="1" x14ac:dyDescent="0.3">
      <c r="B3" s="111" t="s">
        <v>69</v>
      </c>
      <c r="C3" s="112" t="s">
        <v>70</v>
      </c>
      <c r="D3" s="112" t="s">
        <v>71</v>
      </c>
      <c r="E3" s="112" t="s">
        <v>72</v>
      </c>
      <c r="F3" s="112" t="s">
        <v>73</v>
      </c>
      <c r="G3" s="112" t="s">
        <v>75</v>
      </c>
      <c r="H3" s="112" t="s">
        <v>76</v>
      </c>
      <c r="I3" s="112" t="s">
        <v>986</v>
      </c>
      <c r="J3" s="112" t="s">
        <v>1393</v>
      </c>
      <c r="K3" s="112" t="s">
        <v>1394</v>
      </c>
      <c r="L3" s="112" t="s">
        <v>1395</v>
      </c>
      <c r="M3" s="112" t="s">
        <v>1396</v>
      </c>
      <c r="N3" s="112" t="s">
        <v>1397</v>
      </c>
      <c r="O3" s="112" t="s">
        <v>1398</v>
      </c>
      <c r="P3" s="112" t="s">
        <v>1399</v>
      </c>
      <c r="Q3" s="112" t="s">
        <v>1400</v>
      </c>
      <c r="R3" s="112" t="s">
        <v>1401</v>
      </c>
      <c r="S3" s="112" t="s">
        <v>1402</v>
      </c>
      <c r="T3" s="112" t="s">
        <v>1403</v>
      </c>
      <c r="U3" s="112" t="s">
        <v>1404</v>
      </c>
      <c r="V3" s="112" t="s">
        <v>1405</v>
      </c>
      <c r="W3" s="112" t="s">
        <v>1406</v>
      </c>
      <c r="X3" s="112" t="s">
        <v>1407</v>
      </c>
      <c r="Y3" s="112" t="s">
        <v>1408</v>
      </c>
      <c r="Z3" s="112" t="s">
        <v>1409</v>
      </c>
      <c r="AA3" s="112" t="s">
        <v>1410</v>
      </c>
      <c r="AB3" s="112" t="s">
        <v>1411</v>
      </c>
      <c r="AC3" s="112" t="s">
        <v>1412</v>
      </c>
      <c r="AD3" s="112" t="s">
        <v>1413</v>
      </c>
      <c r="AE3" s="112" t="s">
        <v>1414</v>
      </c>
      <c r="AF3" s="112" t="s">
        <v>1415</v>
      </c>
      <c r="AG3" s="112" t="s">
        <v>1416</v>
      </c>
      <c r="AH3" s="112" t="s">
        <v>1417</v>
      </c>
      <c r="AI3" s="112" t="s">
        <v>1418</v>
      </c>
      <c r="AJ3" s="112" t="s">
        <v>1419</v>
      </c>
      <c r="AK3" s="112" t="s">
        <v>1420</v>
      </c>
      <c r="AL3" s="112" t="s">
        <v>1421</v>
      </c>
      <c r="AM3" s="112" t="s">
        <v>1422</v>
      </c>
      <c r="AN3" s="112" t="s">
        <v>1423</v>
      </c>
      <c r="AO3" s="112" t="s">
        <v>1424</v>
      </c>
      <c r="AP3" s="112" t="s">
        <v>1425</v>
      </c>
      <c r="AQ3" s="112" t="s">
        <v>1426</v>
      </c>
      <c r="AR3" s="112" t="s">
        <v>1427</v>
      </c>
      <c r="AS3" s="112" t="s">
        <v>1428</v>
      </c>
      <c r="AT3" s="113" t="s">
        <v>1429</v>
      </c>
    </row>
    <row r="4" spans="2:46" ht="12" customHeight="1" x14ac:dyDescent="0.3">
      <c r="B4" s="114" t="s">
        <v>45</v>
      </c>
      <c r="C4" s="115" t="s">
        <v>42</v>
      </c>
      <c r="D4" s="115" t="s">
        <v>25</v>
      </c>
      <c r="E4" s="115" t="s">
        <v>25</v>
      </c>
      <c r="F4" s="115" t="s">
        <v>87</v>
      </c>
      <c r="G4" s="115" t="s">
        <v>34</v>
      </c>
      <c r="H4" s="115" t="s">
        <v>79</v>
      </c>
      <c r="I4" s="115" t="s">
        <v>25</v>
      </c>
      <c r="J4" s="115">
        <v>13.82</v>
      </c>
      <c r="K4" s="115">
        <v>0</v>
      </c>
      <c r="L4" s="115">
        <v>0</v>
      </c>
      <c r="M4" s="115">
        <v>0.50067136987736305</v>
      </c>
      <c r="N4" s="115">
        <v>0.29935053968223102</v>
      </c>
      <c r="O4" s="115">
        <v>0</v>
      </c>
      <c r="P4" s="115">
        <v>0</v>
      </c>
      <c r="Q4" s="115">
        <v>0</v>
      </c>
      <c r="R4" s="115">
        <v>0</v>
      </c>
      <c r="S4" s="115">
        <v>0</v>
      </c>
      <c r="T4" s="115">
        <v>0</v>
      </c>
      <c r="U4" s="115">
        <v>0</v>
      </c>
      <c r="V4" s="115">
        <v>0</v>
      </c>
      <c r="W4" s="115">
        <v>0</v>
      </c>
      <c r="X4" s="115">
        <v>0</v>
      </c>
      <c r="Y4" s="115">
        <v>0</v>
      </c>
      <c r="Z4" s="115">
        <v>0</v>
      </c>
      <c r="AA4" s="115">
        <v>0</v>
      </c>
      <c r="AB4" s="115">
        <v>0</v>
      </c>
      <c r="AC4" s="115">
        <v>0</v>
      </c>
      <c r="AD4" s="115">
        <v>0</v>
      </c>
      <c r="AE4" s="115">
        <v>11.3878496177541</v>
      </c>
      <c r="AF4" s="115">
        <v>0.335102198855667</v>
      </c>
      <c r="AG4" s="115">
        <v>1.02571754663711</v>
      </c>
      <c r="AH4" s="115">
        <v>0.26725633743050697</v>
      </c>
      <c r="AI4" s="115">
        <v>0</v>
      </c>
      <c r="AJ4" s="115">
        <v>0</v>
      </c>
      <c r="AK4" s="115">
        <v>0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  <c r="AQ4" s="115">
        <v>0</v>
      </c>
      <c r="AR4" s="115">
        <v>0</v>
      </c>
      <c r="AS4" s="115">
        <v>0</v>
      </c>
      <c r="AT4" s="116">
        <v>0</v>
      </c>
    </row>
    <row r="5" spans="2:46" ht="12" customHeight="1" x14ac:dyDescent="0.3">
      <c r="B5" s="114" t="s">
        <v>45</v>
      </c>
      <c r="C5" s="115" t="s">
        <v>42</v>
      </c>
      <c r="D5" s="115" t="s">
        <v>25</v>
      </c>
      <c r="E5" s="115" t="s">
        <v>25</v>
      </c>
      <c r="F5" s="115" t="s">
        <v>87</v>
      </c>
      <c r="G5" s="115" t="s">
        <v>34</v>
      </c>
      <c r="H5" s="115" t="s">
        <v>84</v>
      </c>
      <c r="I5" s="115" t="s">
        <v>25</v>
      </c>
      <c r="J5" s="115">
        <v>52.34</v>
      </c>
      <c r="K5" s="115">
        <v>0</v>
      </c>
      <c r="L5" s="115">
        <v>0</v>
      </c>
      <c r="M5" s="115">
        <v>0</v>
      </c>
      <c r="N5" s="115">
        <v>0</v>
      </c>
      <c r="O5" s="115">
        <v>0</v>
      </c>
      <c r="P5" s="115">
        <v>0</v>
      </c>
      <c r="Q5" s="115">
        <v>0</v>
      </c>
      <c r="R5" s="115">
        <v>0</v>
      </c>
      <c r="S5" s="115">
        <v>0</v>
      </c>
      <c r="T5" s="115">
        <v>7.6907869713893096</v>
      </c>
      <c r="U5" s="115">
        <v>3.58942844813726</v>
      </c>
      <c r="V5" s="115">
        <v>0</v>
      </c>
      <c r="W5" s="115">
        <v>0</v>
      </c>
      <c r="X5" s="115">
        <v>0</v>
      </c>
      <c r="Y5" s="115">
        <v>0</v>
      </c>
      <c r="Z5" s="115">
        <v>0</v>
      </c>
      <c r="AA5" s="115">
        <v>41.058527153039996</v>
      </c>
      <c r="AB5" s="115">
        <v>0</v>
      </c>
      <c r="AC5" s="115">
        <v>0</v>
      </c>
      <c r="AD5" s="115">
        <v>0</v>
      </c>
      <c r="AE5" s="115">
        <v>0</v>
      </c>
      <c r="AF5" s="115">
        <v>0</v>
      </c>
      <c r="AG5" s="115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0</v>
      </c>
      <c r="AS5" s="115">
        <v>0</v>
      </c>
      <c r="AT5" s="116">
        <v>0</v>
      </c>
    </row>
    <row r="6" spans="2:46" ht="12" customHeight="1" x14ac:dyDescent="0.3">
      <c r="B6" s="114" t="s">
        <v>45</v>
      </c>
      <c r="C6" s="115" t="s">
        <v>42</v>
      </c>
      <c r="D6" s="115" t="s">
        <v>25</v>
      </c>
      <c r="E6" s="115" t="s">
        <v>25</v>
      </c>
      <c r="F6" s="115" t="s">
        <v>87</v>
      </c>
      <c r="G6" s="115" t="s">
        <v>35</v>
      </c>
      <c r="H6" s="115" t="s">
        <v>79</v>
      </c>
      <c r="I6" s="115" t="s">
        <v>25</v>
      </c>
      <c r="J6" s="115">
        <v>13.82</v>
      </c>
      <c r="K6" s="115">
        <v>0</v>
      </c>
      <c r="L6" s="115">
        <v>0</v>
      </c>
      <c r="M6" s="115">
        <v>0.50067136987736305</v>
      </c>
      <c r="N6" s="115">
        <v>0.29935053968223102</v>
      </c>
      <c r="O6" s="115">
        <v>0</v>
      </c>
      <c r="P6" s="115">
        <v>0</v>
      </c>
      <c r="Q6" s="115">
        <v>0</v>
      </c>
      <c r="R6" s="115">
        <v>0</v>
      </c>
      <c r="S6" s="115">
        <v>0</v>
      </c>
      <c r="T6" s="115">
        <v>0</v>
      </c>
      <c r="U6" s="115">
        <v>0</v>
      </c>
      <c r="V6" s="115">
        <v>0</v>
      </c>
      <c r="W6" s="115">
        <v>0</v>
      </c>
      <c r="X6" s="115">
        <v>0</v>
      </c>
      <c r="Y6" s="115">
        <v>0</v>
      </c>
      <c r="Z6" s="115">
        <v>0</v>
      </c>
      <c r="AA6" s="115">
        <v>0</v>
      </c>
      <c r="AB6" s="115">
        <v>0</v>
      </c>
      <c r="AC6" s="115">
        <v>0</v>
      </c>
      <c r="AD6" s="115">
        <v>0</v>
      </c>
      <c r="AE6" s="115">
        <v>11.3878496177541</v>
      </c>
      <c r="AF6" s="115">
        <v>0.335102198855667</v>
      </c>
      <c r="AG6" s="115">
        <v>1.02571754663711</v>
      </c>
      <c r="AH6" s="115">
        <v>0.26725633743050697</v>
      </c>
      <c r="AI6" s="115">
        <v>0</v>
      </c>
      <c r="AJ6" s="115">
        <v>0</v>
      </c>
      <c r="AK6" s="115">
        <v>0</v>
      </c>
      <c r="AL6" s="115">
        <v>0</v>
      </c>
      <c r="AM6" s="115">
        <v>0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6">
        <v>0</v>
      </c>
    </row>
    <row r="7" spans="2:46" ht="12" customHeight="1" x14ac:dyDescent="0.3">
      <c r="B7" s="114" t="s">
        <v>45</v>
      </c>
      <c r="C7" s="115" t="s">
        <v>42</v>
      </c>
      <c r="D7" s="115" t="s">
        <v>25</v>
      </c>
      <c r="E7" s="115" t="s">
        <v>25</v>
      </c>
      <c r="F7" s="115" t="s">
        <v>87</v>
      </c>
      <c r="G7" s="115" t="s">
        <v>35</v>
      </c>
      <c r="H7" s="115" t="s">
        <v>84</v>
      </c>
      <c r="I7" s="115" t="s">
        <v>25</v>
      </c>
      <c r="J7" s="115">
        <v>21.75</v>
      </c>
      <c r="K7" s="115">
        <v>0</v>
      </c>
      <c r="L7" s="115">
        <v>0</v>
      </c>
      <c r="M7" s="115">
        <v>0</v>
      </c>
      <c r="N7" s="115">
        <v>0</v>
      </c>
      <c r="O7" s="115">
        <v>0</v>
      </c>
      <c r="P7" s="115">
        <v>0</v>
      </c>
      <c r="Q7" s="115">
        <v>0</v>
      </c>
      <c r="R7" s="115">
        <v>0</v>
      </c>
      <c r="S7" s="115">
        <v>0</v>
      </c>
      <c r="T7" s="115">
        <v>4.4368207086634799</v>
      </c>
      <c r="U7" s="115">
        <v>2.1448823466959102</v>
      </c>
      <c r="V7" s="115">
        <v>0</v>
      </c>
      <c r="W7" s="115">
        <v>0</v>
      </c>
      <c r="X7" s="115">
        <v>0</v>
      </c>
      <c r="Y7" s="115">
        <v>0</v>
      </c>
      <c r="Z7" s="115">
        <v>0</v>
      </c>
      <c r="AA7" s="115">
        <v>15.166333705263501</v>
      </c>
      <c r="AB7" s="115">
        <v>0</v>
      </c>
      <c r="AC7" s="115">
        <v>0</v>
      </c>
      <c r="AD7" s="115">
        <v>0</v>
      </c>
      <c r="AE7" s="115">
        <v>0</v>
      </c>
      <c r="AF7" s="115">
        <v>0</v>
      </c>
      <c r="AG7" s="115">
        <v>0</v>
      </c>
      <c r="AH7" s="115">
        <v>0</v>
      </c>
      <c r="AI7" s="115">
        <v>0</v>
      </c>
      <c r="AJ7" s="115">
        <v>0</v>
      </c>
      <c r="AK7" s="115">
        <v>0</v>
      </c>
      <c r="AL7" s="115">
        <v>0</v>
      </c>
      <c r="AM7" s="115">
        <v>0</v>
      </c>
      <c r="AN7" s="115">
        <v>0</v>
      </c>
      <c r="AO7" s="115">
        <v>0</v>
      </c>
      <c r="AP7" s="115">
        <v>0</v>
      </c>
      <c r="AQ7" s="115">
        <v>0</v>
      </c>
      <c r="AR7" s="115">
        <v>0</v>
      </c>
      <c r="AS7" s="115">
        <v>0</v>
      </c>
      <c r="AT7" s="116">
        <v>0</v>
      </c>
    </row>
    <row r="8" spans="2:46" ht="12" customHeight="1" x14ac:dyDescent="0.3">
      <c r="B8" s="114" t="s">
        <v>45</v>
      </c>
      <c r="C8" s="115" t="s">
        <v>42</v>
      </c>
      <c r="D8" s="115" t="s">
        <v>25</v>
      </c>
      <c r="E8" s="115" t="s">
        <v>25</v>
      </c>
      <c r="F8" s="115" t="s">
        <v>25</v>
      </c>
      <c r="G8" s="115" t="s">
        <v>34</v>
      </c>
      <c r="H8" s="115" t="s">
        <v>79</v>
      </c>
      <c r="I8" s="115" t="s">
        <v>25</v>
      </c>
      <c r="J8" s="115">
        <v>118.36</v>
      </c>
      <c r="K8" s="115">
        <v>363.93</v>
      </c>
      <c r="L8" s="115">
        <v>11.200185211008799</v>
      </c>
      <c r="M8" s="115">
        <v>0.50067136987736305</v>
      </c>
      <c r="N8" s="115">
        <v>0.31108783583826699</v>
      </c>
      <c r="O8" s="115">
        <v>0</v>
      </c>
      <c r="P8" s="115">
        <v>0</v>
      </c>
      <c r="Q8" s="115">
        <v>78.531472519397795</v>
      </c>
      <c r="R8" s="115">
        <v>14.799409177241399</v>
      </c>
      <c r="S8" s="115">
        <v>0</v>
      </c>
      <c r="T8" s="115">
        <v>0</v>
      </c>
      <c r="U8" s="115">
        <v>0</v>
      </c>
      <c r="V8" s="115">
        <v>0</v>
      </c>
      <c r="W8" s="115">
        <v>0</v>
      </c>
      <c r="X8" s="115">
        <v>0</v>
      </c>
      <c r="Y8" s="115">
        <v>0</v>
      </c>
      <c r="Z8" s="115">
        <v>0</v>
      </c>
      <c r="AA8" s="115">
        <v>0</v>
      </c>
      <c r="AB8" s="115">
        <v>0</v>
      </c>
      <c r="AC8" s="115">
        <v>0</v>
      </c>
      <c r="AD8" s="115">
        <v>0</v>
      </c>
      <c r="AE8" s="115">
        <v>11.3878496177541</v>
      </c>
      <c r="AF8" s="115">
        <v>0.335102198855667</v>
      </c>
      <c r="AG8" s="115">
        <v>1.02571754663711</v>
      </c>
      <c r="AH8" s="115">
        <v>0.26725633743050697</v>
      </c>
      <c r="AI8" s="115">
        <v>5.4675022620039604</v>
      </c>
      <c r="AJ8" s="115">
        <v>-17.459208153924099</v>
      </c>
      <c r="AK8" s="115">
        <v>2.4026594780442001</v>
      </c>
      <c r="AL8" s="115">
        <v>20.904860752770901</v>
      </c>
      <c r="AM8" s="115">
        <v>0</v>
      </c>
      <c r="AN8" s="115">
        <v>337.07711530988502</v>
      </c>
      <c r="AO8" s="115">
        <v>5.8254955890081401</v>
      </c>
      <c r="AP8" s="115">
        <v>4.0149929968843603</v>
      </c>
      <c r="AQ8" s="115">
        <v>0</v>
      </c>
      <c r="AR8" s="115">
        <v>0</v>
      </c>
      <c r="AS8" s="115">
        <v>0</v>
      </c>
      <c r="AT8" s="116">
        <v>5.6921512328017503</v>
      </c>
    </row>
    <row r="9" spans="2:46" ht="12" customHeight="1" x14ac:dyDescent="0.3">
      <c r="B9" s="114" t="s">
        <v>45</v>
      </c>
      <c r="C9" s="115" t="s">
        <v>42</v>
      </c>
      <c r="D9" s="115" t="s">
        <v>25</v>
      </c>
      <c r="E9" s="115" t="s">
        <v>25</v>
      </c>
      <c r="F9" s="115" t="s">
        <v>25</v>
      </c>
      <c r="G9" s="115" t="s">
        <v>34</v>
      </c>
      <c r="H9" s="115" t="s">
        <v>84</v>
      </c>
      <c r="I9" s="115" t="s">
        <v>25</v>
      </c>
      <c r="J9" s="115">
        <v>52.34</v>
      </c>
      <c r="K9" s="115">
        <v>0</v>
      </c>
      <c r="L9" s="115">
        <v>0</v>
      </c>
      <c r="M9" s="115">
        <v>0</v>
      </c>
      <c r="N9" s="115">
        <v>0</v>
      </c>
      <c r="O9" s="115">
        <v>0</v>
      </c>
      <c r="P9" s="115">
        <v>0</v>
      </c>
      <c r="Q9" s="115">
        <v>0</v>
      </c>
      <c r="R9" s="115">
        <v>0</v>
      </c>
      <c r="S9" s="115">
        <v>0</v>
      </c>
      <c r="T9" s="115">
        <v>7.6907869713893096</v>
      </c>
      <c r="U9" s="115">
        <v>3.58942844813726</v>
      </c>
      <c r="V9" s="115">
        <v>0</v>
      </c>
      <c r="W9" s="115">
        <v>0</v>
      </c>
      <c r="X9" s="115">
        <v>0</v>
      </c>
      <c r="Y9" s="115">
        <v>0</v>
      </c>
      <c r="Z9" s="115">
        <v>0</v>
      </c>
      <c r="AA9" s="115">
        <v>41.058527153039996</v>
      </c>
      <c r="AB9" s="115">
        <v>0</v>
      </c>
      <c r="AC9" s="115">
        <v>0</v>
      </c>
      <c r="AD9" s="115">
        <v>0</v>
      </c>
      <c r="AE9" s="115">
        <v>0</v>
      </c>
      <c r="AF9" s="115">
        <v>0</v>
      </c>
      <c r="AG9" s="115">
        <v>0</v>
      </c>
      <c r="AH9" s="115">
        <v>0</v>
      </c>
      <c r="AI9" s="115">
        <v>0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6">
        <v>0</v>
      </c>
    </row>
    <row r="10" spans="2:46" ht="12" customHeight="1" x14ac:dyDescent="0.3">
      <c r="B10" s="114" t="s">
        <v>45</v>
      </c>
      <c r="C10" s="115" t="s">
        <v>42</v>
      </c>
      <c r="D10" s="115" t="s">
        <v>25</v>
      </c>
      <c r="E10" s="115" t="s">
        <v>25</v>
      </c>
      <c r="F10" s="115" t="s">
        <v>25</v>
      </c>
      <c r="G10" s="115" t="s">
        <v>35</v>
      </c>
      <c r="H10" s="115" t="s">
        <v>79</v>
      </c>
      <c r="I10" s="115" t="s">
        <v>25</v>
      </c>
      <c r="J10" s="115">
        <v>118.36</v>
      </c>
      <c r="K10" s="115">
        <v>222.82</v>
      </c>
      <c r="L10" s="115">
        <v>11.200185211008799</v>
      </c>
      <c r="M10" s="115">
        <v>0.50067136987736305</v>
      </c>
      <c r="N10" s="115">
        <v>0.31108783583826699</v>
      </c>
      <c r="O10" s="115">
        <v>0</v>
      </c>
      <c r="P10" s="115">
        <v>0</v>
      </c>
      <c r="Q10" s="115">
        <v>78.531472519397795</v>
      </c>
      <c r="R10" s="115">
        <v>14.799409177241399</v>
      </c>
      <c r="S10" s="115">
        <v>0</v>
      </c>
      <c r="T10" s="115">
        <v>0</v>
      </c>
      <c r="U10" s="115">
        <v>0</v>
      </c>
      <c r="V10" s="115">
        <v>0</v>
      </c>
      <c r="W10" s="115">
        <v>0</v>
      </c>
      <c r="X10" s="115">
        <v>0</v>
      </c>
      <c r="Y10" s="115">
        <v>0</v>
      </c>
      <c r="Z10" s="115">
        <v>0</v>
      </c>
      <c r="AA10" s="115">
        <v>0</v>
      </c>
      <c r="AB10" s="115">
        <v>0</v>
      </c>
      <c r="AC10" s="115">
        <v>0</v>
      </c>
      <c r="AD10" s="115">
        <v>0</v>
      </c>
      <c r="AE10" s="115">
        <v>11.3878496177541</v>
      </c>
      <c r="AF10" s="115">
        <v>0.335102198855667</v>
      </c>
      <c r="AG10" s="115">
        <v>1.02571754663711</v>
      </c>
      <c r="AH10" s="115">
        <v>0.26725633743050697</v>
      </c>
      <c r="AI10" s="115">
        <v>5.4675022620039604</v>
      </c>
      <c r="AJ10" s="115">
        <v>-17.459208153924099</v>
      </c>
      <c r="AK10" s="115">
        <v>2.4026594780442001</v>
      </c>
      <c r="AL10" s="115">
        <v>20.904860752770901</v>
      </c>
      <c r="AM10" s="115">
        <v>0</v>
      </c>
      <c r="AN10" s="115">
        <v>195.97506704063099</v>
      </c>
      <c r="AO10" s="115">
        <v>5.8254955890081401</v>
      </c>
      <c r="AP10" s="115">
        <v>4.0149929968843603</v>
      </c>
      <c r="AQ10" s="115">
        <v>0</v>
      </c>
      <c r="AR10" s="115">
        <v>0</v>
      </c>
      <c r="AS10" s="115">
        <v>0</v>
      </c>
      <c r="AT10" s="116">
        <v>5.6921512328017503</v>
      </c>
    </row>
    <row r="11" spans="2:46" ht="12" customHeight="1" x14ac:dyDescent="0.3">
      <c r="B11" s="114" t="s">
        <v>45</v>
      </c>
      <c r="C11" s="115" t="s">
        <v>42</v>
      </c>
      <c r="D11" s="115" t="s">
        <v>25</v>
      </c>
      <c r="E11" s="115" t="s">
        <v>25</v>
      </c>
      <c r="F11" s="115" t="s">
        <v>25</v>
      </c>
      <c r="G11" s="115" t="s">
        <v>35</v>
      </c>
      <c r="H11" s="115" t="s">
        <v>84</v>
      </c>
      <c r="I11" s="115" t="s">
        <v>25</v>
      </c>
      <c r="J11" s="115">
        <v>21.75</v>
      </c>
      <c r="K11" s="115">
        <v>0</v>
      </c>
      <c r="L11" s="115">
        <v>0</v>
      </c>
      <c r="M11" s="115">
        <v>0</v>
      </c>
      <c r="N11" s="115">
        <v>0</v>
      </c>
      <c r="O11" s="115">
        <v>0</v>
      </c>
      <c r="P11" s="115">
        <v>0</v>
      </c>
      <c r="Q11" s="115">
        <v>0</v>
      </c>
      <c r="R11" s="115">
        <v>0</v>
      </c>
      <c r="S11" s="115">
        <v>0</v>
      </c>
      <c r="T11" s="115">
        <v>4.4368207086634799</v>
      </c>
      <c r="U11" s="115">
        <v>2.1448823466959102</v>
      </c>
      <c r="V11" s="115">
        <v>0</v>
      </c>
      <c r="W11" s="115">
        <v>0</v>
      </c>
      <c r="X11" s="115">
        <v>0</v>
      </c>
      <c r="Y11" s="115">
        <v>0</v>
      </c>
      <c r="Z11" s="115">
        <v>0</v>
      </c>
      <c r="AA11" s="115">
        <v>15.166333705263501</v>
      </c>
      <c r="AB11" s="115">
        <v>0</v>
      </c>
      <c r="AC11" s="115">
        <v>0</v>
      </c>
      <c r="AD11" s="115">
        <v>0</v>
      </c>
      <c r="AE11" s="115">
        <v>0</v>
      </c>
      <c r="AF11" s="115">
        <v>0</v>
      </c>
      <c r="AG11" s="115">
        <v>0</v>
      </c>
      <c r="AH11" s="115">
        <v>0</v>
      </c>
      <c r="AI11" s="115">
        <v>0</v>
      </c>
      <c r="AJ11" s="115">
        <v>0</v>
      </c>
      <c r="AK11" s="115">
        <v>0</v>
      </c>
      <c r="AL11" s="115">
        <v>0</v>
      </c>
      <c r="AM11" s="115">
        <v>0</v>
      </c>
      <c r="AN11" s="115">
        <v>0</v>
      </c>
      <c r="AO11" s="115">
        <v>0</v>
      </c>
      <c r="AP11" s="115">
        <v>0</v>
      </c>
      <c r="AQ11" s="115">
        <v>0</v>
      </c>
      <c r="AR11" s="115">
        <v>0</v>
      </c>
      <c r="AS11" s="115">
        <v>0</v>
      </c>
      <c r="AT11" s="116">
        <v>0</v>
      </c>
    </row>
    <row r="12" spans="2:46" ht="12" customHeight="1" x14ac:dyDescent="0.3">
      <c r="B12" s="114" t="s">
        <v>45</v>
      </c>
      <c r="C12" s="115" t="s">
        <v>23</v>
      </c>
      <c r="D12" s="115" t="s">
        <v>25</v>
      </c>
      <c r="E12" s="115" t="s">
        <v>25</v>
      </c>
      <c r="F12" s="115" t="s">
        <v>25</v>
      </c>
      <c r="G12" s="115" t="s">
        <v>25</v>
      </c>
      <c r="H12" s="115" t="s">
        <v>79</v>
      </c>
      <c r="I12" s="115" t="s">
        <v>25</v>
      </c>
      <c r="J12" s="115">
        <v>118.36</v>
      </c>
      <c r="K12" s="115">
        <v>234.58</v>
      </c>
      <c r="L12" s="115">
        <v>11.200185211008799</v>
      </c>
      <c r="M12" s="115">
        <v>0.50067136987736305</v>
      </c>
      <c r="N12" s="115">
        <v>0.31108783583826699</v>
      </c>
      <c r="O12" s="115">
        <v>0</v>
      </c>
      <c r="P12" s="115">
        <v>0</v>
      </c>
      <c r="Q12" s="115">
        <v>78.531472519397795</v>
      </c>
      <c r="R12" s="115">
        <v>14.799409177241399</v>
      </c>
      <c r="S12" s="115">
        <v>0</v>
      </c>
      <c r="T12" s="115">
        <v>0</v>
      </c>
      <c r="U12" s="115">
        <v>0</v>
      </c>
      <c r="V12" s="115">
        <v>0</v>
      </c>
      <c r="W12" s="115">
        <v>0</v>
      </c>
      <c r="X12" s="115">
        <v>0</v>
      </c>
      <c r="Y12" s="115">
        <v>0</v>
      </c>
      <c r="Z12" s="115">
        <v>0</v>
      </c>
      <c r="AA12" s="115">
        <v>0</v>
      </c>
      <c r="AB12" s="115">
        <v>0</v>
      </c>
      <c r="AC12" s="115">
        <v>0</v>
      </c>
      <c r="AD12" s="115">
        <v>0</v>
      </c>
      <c r="AE12" s="115">
        <v>11.3878496177541</v>
      </c>
      <c r="AF12" s="115">
        <v>0.335102198855667</v>
      </c>
      <c r="AG12" s="115">
        <v>1.02571754663711</v>
      </c>
      <c r="AH12" s="115">
        <v>0.26725633743050697</v>
      </c>
      <c r="AI12" s="115">
        <v>5.4675022620039604</v>
      </c>
      <c r="AJ12" s="115">
        <v>-17.459208153924099</v>
      </c>
      <c r="AK12" s="115">
        <v>2.4026594780442001</v>
      </c>
      <c r="AL12" s="115">
        <v>20.904860752770901</v>
      </c>
      <c r="AM12" s="115">
        <v>0</v>
      </c>
      <c r="AN12" s="115">
        <v>207.73357106306901</v>
      </c>
      <c r="AO12" s="115">
        <v>5.8254955890081401</v>
      </c>
      <c r="AP12" s="115">
        <v>4.0149929968843603</v>
      </c>
      <c r="AQ12" s="115">
        <v>0</v>
      </c>
      <c r="AR12" s="115">
        <v>0</v>
      </c>
      <c r="AS12" s="115">
        <v>0</v>
      </c>
      <c r="AT12" s="116">
        <v>5.6921512328017503</v>
      </c>
    </row>
    <row r="13" spans="2:46" ht="12" customHeight="1" x14ac:dyDescent="0.3">
      <c r="B13" s="114" t="s">
        <v>45</v>
      </c>
      <c r="C13" s="115" t="s">
        <v>23</v>
      </c>
      <c r="D13" s="115" t="s">
        <v>25</v>
      </c>
      <c r="E13" s="115" t="s">
        <v>25</v>
      </c>
      <c r="F13" s="115" t="s">
        <v>25</v>
      </c>
      <c r="G13" s="115" t="s">
        <v>25</v>
      </c>
      <c r="H13" s="115" t="s">
        <v>84</v>
      </c>
      <c r="I13" s="115" t="s">
        <v>25</v>
      </c>
      <c r="J13" s="115">
        <v>59.43</v>
      </c>
      <c r="K13" s="115">
        <v>0</v>
      </c>
      <c r="L13" s="115">
        <v>0</v>
      </c>
      <c r="M13" s="115">
        <v>0</v>
      </c>
      <c r="N13" s="115">
        <v>0</v>
      </c>
      <c r="O13" s="115">
        <v>0</v>
      </c>
      <c r="P13" s="115">
        <v>0</v>
      </c>
      <c r="Q13" s="115">
        <v>0</v>
      </c>
      <c r="R13" s="115">
        <v>0</v>
      </c>
      <c r="S13" s="115">
        <v>0</v>
      </c>
      <c r="T13" s="115">
        <v>9.9741671040082807</v>
      </c>
      <c r="U13" s="115">
        <v>4.7292469525596701</v>
      </c>
      <c r="V13" s="115">
        <v>0</v>
      </c>
      <c r="W13" s="115">
        <v>0</v>
      </c>
      <c r="X13" s="115">
        <v>0</v>
      </c>
      <c r="Y13" s="115">
        <v>0</v>
      </c>
      <c r="Z13" s="115">
        <v>0</v>
      </c>
      <c r="AA13" s="115">
        <v>44.728479121626599</v>
      </c>
      <c r="AB13" s="115">
        <v>0</v>
      </c>
      <c r="AC13" s="115">
        <v>0</v>
      </c>
      <c r="AD13" s="115">
        <v>0</v>
      </c>
      <c r="AE13" s="115">
        <v>0</v>
      </c>
      <c r="AF13" s="115">
        <v>0</v>
      </c>
      <c r="AG13" s="115">
        <v>0</v>
      </c>
      <c r="AH13" s="115">
        <v>0</v>
      </c>
      <c r="AI13" s="115">
        <v>0</v>
      </c>
      <c r="AJ13" s="115">
        <v>0</v>
      </c>
      <c r="AK13" s="115">
        <v>0</v>
      </c>
      <c r="AL13" s="115">
        <v>0</v>
      </c>
      <c r="AM13" s="115">
        <v>0</v>
      </c>
      <c r="AN13" s="115">
        <v>0</v>
      </c>
      <c r="AO13" s="115">
        <v>0</v>
      </c>
      <c r="AP13" s="115">
        <v>0</v>
      </c>
      <c r="AQ13" s="115">
        <v>0</v>
      </c>
      <c r="AR13" s="115">
        <v>0</v>
      </c>
      <c r="AS13" s="115">
        <v>0</v>
      </c>
      <c r="AT13" s="116">
        <v>0</v>
      </c>
    </row>
    <row r="14" spans="2:46" ht="12" customHeight="1" x14ac:dyDescent="0.3">
      <c r="B14" s="114" t="s">
        <v>45</v>
      </c>
      <c r="C14" s="115" t="s">
        <v>60</v>
      </c>
      <c r="D14" s="115" t="s">
        <v>25</v>
      </c>
      <c r="E14" s="115" t="s">
        <v>25</v>
      </c>
      <c r="F14" s="115" t="s">
        <v>25</v>
      </c>
      <c r="G14" s="115" t="s">
        <v>25</v>
      </c>
      <c r="H14" s="115" t="s">
        <v>84</v>
      </c>
      <c r="I14" s="115" t="s">
        <v>25</v>
      </c>
      <c r="J14" s="115">
        <v>13</v>
      </c>
      <c r="K14" s="115">
        <v>0</v>
      </c>
      <c r="L14" s="115">
        <v>0</v>
      </c>
      <c r="M14" s="115">
        <v>6.9297680709272599E-2</v>
      </c>
      <c r="N14" s="115">
        <v>0.20446369903815201</v>
      </c>
      <c r="O14" s="115">
        <v>0</v>
      </c>
      <c r="P14" s="115">
        <v>0</v>
      </c>
      <c r="Q14" s="115">
        <v>0</v>
      </c>
      <c r="R14" s="115">
        <v>0</v>
      </c>
      <c r="S14" s="115">
        <v>0</v>
      </c>
      <c r="T14" s="115">
        <v>0</v>
      </c>
      <c r="U14" s="115">
        <v>0</v>
      </c>
      <c r="V14" s="115">
        <v>0</v>
      </c>
      <c r="W14" s="115">
        <v>0</v>
      </c>
      <c r="X14" s="115">
        <v>0</v>
      </c>
      <c r="Y14" s="115">
        <v>0</v>
      </c>
      <c r="Z14" s="115">
        <v>0</v>
      </c>
      <c r="AA14" s="115">
        <v>12.717205935462101</v>
      </c>
      <c r="AB14" s="115">
        <v>0</v>
      </c>
      <c r="AC14" s="115">
        <v>0</v>
      </c>
      <c r="AD14" s="115">
        <v>0</v>
      </c>
      <c r="AE14" s="115">
        <v>6.7318766156827803E-3</v>
      </c>
      <c r="AF14" s="115">
        <v>0</v>
      </c>
      <c r="AG14" s="115">
        <v>0</v>
      </c>
      <c r="AH14" s="115">
        <v>0</v>
      </c>
      <c r="AI14" s="115">
        <v>0</v>
      </c>
      <c r="AJ14" s="115">
        <v>0</v>
      </c>
      <c r="AK14" s="115">
        <v>0</v>
      </c>
      <c r="AL14" s="115">
        <v>0</v>
      </c>
      <c r="AM14" s="115">
        <v>0</v>
      </c>
      <c r="AN14" s="115">
        <v>0</v>
      </c>
      <c r="AO14" s="115">
        <v>0</v>
      </c>
      <c r="AP14" s="115">
        <v>0</v>
      </c>
      <c r="AQ14" s="115">
        <v>0</v>
      </c>
      <c r="AR14" s="115">
        <v>0</v>
      </c>
      <c r="AS14" s="115">
        <v>0</v>
      </c>
      <c r="AT14" s="116">
        <v>0</v>
      </c>
    </row>
    <row r="15" spans="2:46" ht="12" customHeight="1" x14ac:dyDescent="0.3">
      <c r="B15" s="114" t="s">
        <v>45</v>
      </c>
      <c r="C15" s="115" t="s">
        <v>40</v>
      </c>
      <c r="D15" s="115" t="s">
        <v>25</v>
      </c>
      <c r="E15" s="115" t="s">
        <v>25</v>
      </c>
      <c r="F15" s="115" t="s">
        <v>87</v>
      </c>
      <c r="G15" s="115" t="s">
        <v>34</v>
      </c>
      <c r="H15" s="115" t="s">
        <v>79</v>
      </c>
      <c r="I15" s="115" t="s">
        <v>25</v>
      </c>
      <c r="J15" s="115">
        <v>1285.3900000000001</v>
      </c>
      <c r="K15" s="115">
        <v>0</v>
      </c>
      <c r="L15" s="115">
        <v>0</v>
      </c>
      <c r="M15" s="115">
        <v>0.50067136987736305</v>
      </c>
      <c r="N15" s="115">
        <v>13.130498963942999</v>
      </c>
      <c r="O15" s="115">
        <v>0</v>
      </c>
      <c r="P15" s="115">
        <v>0</v>
      </c>
      <c r="Q15" s="115">
        <v>0</v>
      </c>
      <c r="R15" s="115">
        <v>0</v>
      </c>
      <c r="S15" s="115">
        <v>0</v>
      </c>
      <c r="T15" s="115">
        <v>184.963312901601</v>
      </c>
      <c r="U15" s="115">
        <v>86.325134873329105</v>
      </c>
      <c r="V15" s="115">
        <v>0</v>
      </c>
      <c r="W15" s="115">
        <v>0</v>
      </c>
      <c r="X15" s="115">
        <v>0</v>
      </c>
      <c r="Y15" s="115">
        <v>0</v>
      </c>
      <c r="Z15" s="115">
        <v>0</v>
      </c>
      <c r="AA15" s="115">
        <v>987.45803265912105</v>
      </c>
      <c r="AB15" s="115">
        <v>0</v>
      </c>
      <c r="AC15" s="115">
        <v>0</v>
      </c>
      <c r="AD15" s="115">
        <v>0</v>
      </c>
      <c r="AE15" s="115">
        <v>11.3878496177541</v>
      </c>
      <c r="AF15" s="115">
        <v>0.335102198855667</v>
      </c>
      <c r="AG15" s="115">
        <v>1.02571754663711</v>
      </c>
      <c r="AH15" s="115">
        <v>0.26725633743050697</v>
      </c>
      <c r="AI15" s="115">
        <v>0</v>
      </c>
      <c r="AJ15" s="115">
        <v>0</v>
      </c>
      <c r="AK15" s="115">
        <v>0</v>
      </c>
      <c r="AL15" s="115">
        <v>0</v>
      </c>
      <c r="AM15" s="115">
        <v>0</v>
      </c>
      <c r="AN15" s="115">
        <v>0</v>
      </c>
      <c r="AO15" s="115">
        <v>0</v>
      </c>
      <c r="AP15" s="115">
        <v>0</v>
      </c>
      <c r="AQ15" s="115">
        <v>0</v>
      </c>
      <c r="AR15" s="115">
        <v>0</v>
      </c>
      <c r="AS15" s="115">
        <v>0</v>
      </c>
      <c r="AT15" s="116">
        <v>0</v>
      </c>
    </row>
    <row r="16" spans="2:46" ht="12" customHeight="1" x14ac:dyDescent="0.3">
      <c r="B16" s="114" t="s">
        <v>45</v>
      </c>
      <c r="C16" s="115" t="s">
        <v>40</v>
      </c>
      <c r="D16" s="115" t="s">
        <v>25</v>
      </c>
      <c r="E16" s="115" t="s">
        <v>25</v>
      </c>
      <c r="F16" s="115" t="s">
        <v>87</v>
      </c>
      <c r="G16" s="115" t="s">
        <v>25</v>
      </c>
      <c r="H16" s="115" t="s">
        <v>84</v>
      </c>
      <c r="I16" s="115" t="s">
        <v>25</v>
      </c>
      <c r="J16" s="115">
        <v>21.75</v>
      </c>
      <c r="K16" s="115">
        <v>0</v>
      </c>
      <c r="L16" s="115">
        <v>0</v>
      </c>
      <c r="M16" s="115">
        <v>0</v>
      </c>
      <c r="N16" s="115">
        <v>0</v>
      </c>
      <c r="O16" s="115">
        <v>0</v>
      </c>
      <c r="P16" s="115">
        <v>0</v>
      </c>
      <c r="Q16" s="115">
        <v>0</v>
      </c>
      <c r="R16" s="115">
        <v>0</v>
      </c>
      <c r="S16" s="115">
        <v>0</v>
      </c>
      <c r="T16" s="115">
        <v>4.4368207086634799</v>
      </c>
      <c r="U16" s="115">
        <v>2.1448823466959102</v>
      </c>
      <c r="V16" s="115">
        <v>0</v>
      </c>
      <c r="W16" s="115">
        <v>0</v>
      </c>
      <c r="X16" s="115">
        <v>0</v>
      </c>
      <c r="Y16" s="115">
        <v>0</v>
      </c>
      <c r="Z16" s="115">
        <v>0</v>
      </c>
      <c r="AA16" s="115">
        <v>15.166333705263501</v>
      </c>
      <c r="AB16" s="115">
        <v>0</v>
      </c>
      <c r="AC16" s="115">
        <v>0</v>
      </c>
      <c r="AD16" s="115">
        <v>0</v>
      </c>
      <c r="AE16" s="115">
        <v>0</v>
      </c>
      <c r="AF16" s="115">
        <v>0</v>
      </c>
      <c r="AG16" s="115">
        <v>0</v>
      </c>
      <c r="AH16" s="115">
        <v>0</v>
      </c>
      <c r="AI16" s="115">
        <v>0</v>
      </c>
      <c r="AJ16" s="115">
        <v>0</v>
      </c>
      <c r="AK16" s="115">
        <v>0</v>
      </c>
      <c r="AL16" s="115">
        <v>0</v>
      </c>
      <c r="AM16" s="115">
        <v>0</v>
      </c>
      <c r="AN16" s="115">
        <v>0</v>
      </c>
      <c r="AO16" s="115">
        <v>0</v>
      </c>
      <c r="AP16" s="115">
        <v>0</v>
      </c>
      <c r="AQ16" s="115">
        <v>0</v>
      </c>
      <c r="AR16" s="115">
        <v>0</v>
      </c>
      <c r="AS16" s="115">
        <v>0</v>
      </c>
      <c r="AT16" s="116">
        <v>0</v>
      </c>
    </row>
    <row r="17" spans="2:46" ht="12" customHeight="1" x14ac:dyDescent="0.3">
      <c r="B17" s="114" t="s">
        <v>45</v>
      </c>
      <c r="C17" s="115" t="s">
        <v>40</v>
      </c>
      <c r="D17" s="115" t="s">
        <v>25</v>
      </c>
      <c r="E17" s="115" t="s">
        <v>25</v>
      </c>
      <c r="F17" s="115" t="s">
        <v>87</v>
      </c>
      <c r="G17" s="115" t="s">
        <v>35</v>
      </c>
      <c r="H17" s="115" t="s">
        <v>79</v>
      </c>
      <c r="I17" s="115" t="s">
        <v>25</v>
      </c>
      <c r="J17" s="115">
        <v>13.82</v>
      </c>
      <c r="K17" s="115">
        <v>0</v>
      </c>
      <c r="L17" s="115">
        <v>0</v>
      </c>
      <c r="M17" s="115">
        <v>0.50067136987736305</v>
      </c>
      <c r="N17" s="115">
        <v>0.29935053968223102</v>
      </c>
      <c r="O17" s="115">
        <v>0</v>
      </c>
      <c r="P17" s="115">
        <v>0</v>
      </c>
      <c r="Q17" s="115">
        <v>0</v>
      </c>
      <c r="R17" s="115">
        <v>0</v>
      </c>
      <c r="S17" s="115">
        <v>0</v>
      </c>
      <c r="T17" s="115">
        <v>0</v>
      </c>
      <c r="U17" s="115">
        <v>0</v>
      </c>
      <c r="V17" s="115">
        <v>0</v>
      </c>
      <c r="W17" s="115">
        <v>0</v>
      </c>
      <c r="X17" s="115">
        <v>0</v>
      </c>
      <c r="Y17" s="115">
        <v>0</v>
      </c>
      <c r="Z17" s="115">
        <v>0</v>
      </c>
      <c r="AA17" s="115">
        <v>0</v>
      </c>
      <c r="AB17" s="115">
        <v>0</v>
      </c>
      <c r="AC17" s="115">
        <v>0</v>
      </c>
      <c r="AD17" s="115">
        <v>0</v>
      </c>
      <c r="AE17" s="115">
        <v>11.3878496177541</v>
      </c>
      <c r="AF17" s="115">
        <v>0.335102198855667</v>
      </c>
      <c r="AG17" s="115">
        <v>1.02571754663711</v>
      </c>
      <c r="AH17" s="115">
        <v>0.26725633743050697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0</v>
      </c>
      <c r="AO17" s="115">
        <v>0</v>
      </c>
      <c r="AP17" s="115">
        <v>0</v>
      </c>
      <c r="AQ17" s="115">
        <v>0</v>
      </c>
      <c r="AR17" s="115">
        <v>0</v>
      </c>
      <c r="AS17" s="115">
        <v>0</v>
      </c>
      <c r="AT17" s="116">
        <v>0</v>
      </c>
    </row>
    <row r="18" spans="2:46" ht="12" customHeight="1" x14ac:dyDescent="0.3">
      <c r="B18" s="114" t="s">
        <v>45</v>
      </c>
      <c r="C18" s="115" t="s">
        <v>40</v>
      </c>
      <c r="D18" s="115" t="s">
        <v>25</v>
      </c>
      <c r="E18" s="115" t="s">
        <v>25</v>
      </c>
      <c r="F18" s="115" t="s">
        <v>25</v>
      </c>
      <c r="G18" s="115" t="s">
        <v>34</v>
      </c>
      <c r="H18" s="115" t="s">
        <v>79</v>
      </c>
      <c r="I18" s="115" t="s">
        <v>25</v>
      </c>
      <c r="J18" s="115">
        <v>1389.94</v>
      </c>
      <c r="K18" s="115">
        <v>363.93</v>
      </c>
      <c r="L18" s="115">
        <v>11.200185211008799</v>
      </c>
      <c r="M18" s="115">
        <v>0.50067136987736305</v>
      </c>
      <c r="N18" s="115">
        <v>13.142236260099001</v>
      </c>
      <c r="O18" s="115">
        <v>0</v>
      </c>
      <c r="P18" s="115">
        <v>0</v>
      </c>
      <c r="Q18" s="115">
        <v>78.531472519397795</v>
      </c>
      <c r="R18" s="115">
        <v>14.799409177241399</v>
      </c>
      <c r="S18" s="115">
        <v>0</v>
      </c>
      <c r="T18" s="115">
        <v>184.963312901601</v>
      </c>
      <c r="U18" s="115">
        <v>86.325134873329105</v>
      </c>
      <c r="V18" s="115">
        <v>0</v>
      </c>
      <c r="W18" s="115">
        <v>0</v>
      </c>
      <c r="X18" s="115">
        <v>0</v>
      </c>
      <c r="Y18" s="115">
        <v>0</v>
      </c>
      <c r="Z18" s="115">
        <v>0</v>
      </c>
      <c r="AA18" s="115">
        <v>987.45803265912105</v>
      </c>
      <c r="AB18" s="115">
        <v>0</v>
      </c>
      <c r="AC18" s="115">
        <v>0</v>
      </c>
      <c r="AD18" s="115">
        <v>0</v>
      </c>
      <c r="AE18" s="115">
        <v>11.3878496177541</v>
      </c>
      <c r="AF18" s="115">
        <v>0.335102198855667</v>
      </c>
      <c r="AG18" s="115">
        <v>1.02571754663711</v>
      </c>
      <c r="AH18" s="115">
        <v>0.26725633743050697</v>
      </c>
      <c r="AI18" s="115">
        <v>5.4675022620039604</v>
      </c>
      <c r="AJ18" s="115">
        <v>-17.459208153924099</v>
      </c>
      <c r="AK18" s="115">
        <v>2.4026594780442001</v>
      </c>
      <c r="AL18" s="115">
        <v>20.904860752770901</v>
      </c>
      <c r="AM18" s="115">
        <v>0</v>
      </c>
      <c r="AN18" s="115">
        <v>337.07711530988502</v>
      </c>
      <c r="AO18" s="115">
        <v>5.8254955890081401</v>
      </c>
      <c r="AP18" s="115">
        <v>4.0149929968843603</v>
      </c>
      <c r="AQ18" s="115">
        <v>0</v>
      </c>
      <c r="AR18" s="115">
        <v>0</v>
      </c>
      <c r="AS18" s="115">
        <v>0</v>
      </c>
      <c r="AT18" s="116">
        <v>5.6921512328017503</v>
      </c>
    </row>
    <row r="19" spans="2:46" ht="12" customHeight="1" x14ac:dyDescent="0.3">
      <c r="B19" s="114" t="s">
        <v>45</v>
      </c>
      <c r="C19" s="115" t="s">
        <v>40</v>
      </c>
      <c r="D19" s="115" t="s">
        <v>25</v>
      </c>
      <c r="E19" s="115" t="s">
        <v>25</v>
      </c>
      <c r="F19" s="115" t="s">
        <v>25</v>
      </c>
      <c r="G19" s="115" t="s">
        <v>25</v>
      </c>
      <c r="H19" s="115" t="s">
        <v>84</v>
      </c>
      <c r="I19" s="115" t="s">
        <v>25</v>
      </c>
      <c r="J19" s="115">
        <v>21.75</v>
      </c>
      <c r="K19" s="115">
        <v>0</v>
      </c>
      <c r="L19" s="115">
        <v>0</v>
      </c>
      <c r="M19" s="115">
        <v>0</v>
      </c>
      <c r="N19" s="115">
        <v>0</v>
      </c>
      <c r="O19" s="115">
        <v>0</v>
      </c>
      <c r="P19" s="115">
        <v>0</v>
      </c>
      <c r="Q19" s="115">
        <v>0</v>
      </c>
      <c r="R19" s="115">
        <v>0</v>
      </c>
      <c r="S19" s="115">
        <v>0</v>
      </c>
      <c r="T19" s="115">
        <v>4.4368207086634799</v>
      </c>
      <c r="U19" s="115">
        <v>2.1448823466959102</v>
      </c>
      <c r="V19" s="115">
        <v>0</v>
      </c>
      <c r="W19" s="115">
        <v>0</v>
      </c>
      <c r="X19" s="115">
        <v>0</v>
      </c>
      <c r="Y19" s="115">
        <v>0</v>
      </c>
      <c r="Z19" s="115">
        <v>0</v>
      </c>
      <c r="AA19" s="115">
        <v>15.166333705263501</v>
      </c>
      <c r="AB19" s="115">
        <v>0</v>
      </c>
      <c r="AC19" s="115">
        <v>0</v>
      </c>
      <c r="AD19" s="115">
        <v>0</v>
      </c>
      <c r="AE19" s="115">
        <v>0</v>
      </c>
      <c r="AF19" s="115">
        <v>0</v>
      </c>
      <c r="AG19" s="115">
        <v>0</v>
      </c>
      <c r="AH19" s="115">
        <v>0</v>
      </c>
      <c r="AI19" s="115">
        <v>0</v>
      </c>
      <c r="AJ19" s="115">
        <v>0</v>
      </c>
      <c r="AK19" s="115">
        <v>0</v>
      </c>
      <c r="AL19" s="115">
        <v>0</v>
      </c>
      <c r="AM19" s="115">
        <v>0</v>
      </c>
      <c r="AN19" s="115">
        <v>0</v>
      </c>
      <c r="AO19" s="115">
        <v>0</v>
      </c>
      <c r="AP19" s="115">
        <v>0</v>
      </c>
      <c r="AQ19" s="115">
        <v>0</v>
      </c>
      <c r="AR19" s="115">
        <v>0</v>
      </c>
      <c r="AS19" s="115">
        <v>0</v>
      </c>
      <c r="AT19" s="116">
        <v>0</v>
      </c>
    </row>
    <row r="20" spans="2:46" ht="12" customHeight="1" x14ac:dyDescent="0.3">
      <c r="B20" s="114" t="s">
        <v>45</v>
      </c>
      <c r="C20" s="115" t="s">
        <v>40</v>
      </c>
      <c r="D20" s="115" t="s">
        <v>25</v>
      </c>
      <c r="E20" s="115" t="s">
        <v>25</v>
      </c>
      <c r="F20" s="115" t="s">
        <v>25</v>
      </c>
      <c r="G20" s="115" t="s">
        <v>35</v>
      </c>
      <c r="H20" s="115" t="s">
        <v>79</v>
      </c>
      <c r="I20" s="115" t="s">
        <v>25</v>
      </c>
      <c r="J20" s="115">
        <v>118.36</v>
      </c>
      <c r="K20" s="115">
        <v>222.82</v>
      </c>
      <c r="L20" s="115">
        <v>11.200185211008799</v>
      </c>
      <c r="M20" s="115">
        <v>0.50067136987736305</v>
      </c>
      <c r="N20" s="115">
        <v>0.31108783583826699</v>
      </c>
      <c r="O20" s="115">
        <v>0</v>
      </c>
      <c r="P20" s="115">
        <v>0</v>
      </c>
      <c r="Q20" s="115">
        <v>78.531472519397795</v>
      </c>
      <c r="R20" s="115">
        <v>14.799409177241399</v>
      </c>
      <c r="S20" s="115">
        <v>0</v>
      </c>
      <c r="T20" s="115">
        <v>0</v>
      </c>
      <c r="U20" s="115">
        <v>0</v>
      </c>
      <c r="V20" s="115">
        <v>0</v>
      </c>
      <c r="W20" s="115">
        <v>0</v>
      </c>
      <c r="X20" s="115">
        <v>0</v>
      </c>
      <c r="Y20" s="115">
        <v>0</v>
      </c>
      <c r="Z20" s="115">
        <v>0</v>
      </c>
      <c r="AA20" s="115">
        <v>0</v>
      </c>
      <c r="AB20" s="115">
        <v>0</v>
      </c>
      <c r="AC20" s="115">
        <v>0</v>
      </c>
      <c r="AD20" s="115">
        <v>0</v>
      </c>
      <c r="AE20" s="115">
        <v>11.3878496177541</v>
      </c>
      <c r="AF20" s="115">
        <v>0.335102198855667</v>
      </c>
      <c r="AG20" s="115">
        <v>1.02571754663711</v>
      </c>
      <c r="AH20" s="115">
        <v>0.26725633743050697</v>
      </c>
      <c r="AI20" s="115">
        <v>5.4675022620039604</v>
      </c>
      <c r="AJ20" s="115">
        <v>-17.459208153924099</v>
      </c>
      <c r="AK20" s="115">
        <v>2.4026594780442001</v>
      </c>
      <c r="AL20" s="115">
        <v>20.904860752770901</v>
      </c>
      <c r="AM20" s="115">
        <v>0</v>
      </c>
      <c r="AN20" s="115">
        <v>195.97506704063099</v>
      </c>
      <c r="AO20" s="115">
        <v>5.8254955890081401</v>
      </c>
      <c r="AP20" s="115">
        <v>4.0149929968843603</v>
      </c>
      <c r="AQ20" s="115">
        <v>0</v>
      </c>
      <c r="AR20" s="115">
        <v>0</v>
      </c>
      <c r="AS20" s="115">
        <v>0</v>
      </c>
      <c r="AT20" s="116">
        <v>5.6921512328017503</v>
      </c>
    </row>
    <row r="21" spans="2:46" ht="12" customHeight="1" x14ac:dyDescent="0.3">
      <c r="B21" s="114" t="s">
        <v>39</v>
      </c>
      <c r="C21" s="115" t="s">
        <v>42</v>
      </c>
      <c r="D21" s="115" t="s">
        <v>25</v>
      </c>
      <c r="E21" s="115" t="s">
        <v>25</v>
      </c>
      <c r="F21" s="115" t="s">
        <v>87</v>
      </c>
      <c r="G21" s="115" t="s">
        <v>34</v>
      </c>
      <c r="H21" s="115" t="s">
        <v>79</v>
      </c>
      <c r="I21" s="115" t="s">
        <v>25</v>
      </c>
      <c r="J21" s="115">
        <v>13.82</v>
      </c>
      <c r="K21" s="115">
        <v>0</v>
      </c>
      <c r="L21" s="115">
        <v>0</v>
      </c>
      <c r="M21" s="115">
        <v>0.50067136987736305</v>
      </c>
      <c r="N21" s="115">
        <v>0.29935053968223102</v>
      </c>
      <c r="O21" s="115">
        <v>0</v>
      </c>
      <c r="P21" s="115">
        <v>0</v>
      </c>
      <c r="Q21" s="115">
        <v>0</v>
      </c>
      <c r="R21" s="115">
        <v>0</v>
      </c>
      <c r="S21" s="115">
        <v>0</v>
      </c>
      <c r="T21" s="115">
        <v>0</v>
      </c>
      <c r="U21" s="115">
        <v>0</v>
      </c>
      <c r="V21" s="115">
        <v>0</v>
      </c>
      <c r="W21" s="115">
        <v>0</v>
      </c>
      <c r="X21" s="115">
        <v>0</v>
      </c>
      <c r="Y21" s="115">
        <v>0</v>
      </c>
      <c r="Z21" s="115">
        <v>0</v>
      </c>
      <c r="AA21" s="115">
        <v>0</v>
      </c>
      <c r="AB21" s="115">
        <v>0</v>
      </c>
      <c r="AC21" s="115">
        <v>0</v>
      </c>
      <c r="AD21" s="115">
        <v>0</v>
      </c>
      <c r="AE21" s="115">
        <v>11.3878496177541</v>
      </c>
      <c r="AF21" s="115">
        <v>0.335102198855667</v>
      </c>
      <c r="AG21" s="115">
        <v>1.02571754663711</v>
      </c>
      <c r="AH21" s="115">
        <v>0.26725633743050697</v>
      </c>
      <c r="AI21" s="115">
        <v>0</v>
      </c>
      <c r="AJ21" s="115">
        <v>0</v>
      </c>
      <c r="AK21" s="115">
        <v>0</v>
      </c>
      <c r="AL21" s="115">
        <v>0</v>
      </c>
      <c r="AM21" s="115">
        <v>0</v>
      </c>
      <c r="AN21" s="115">
        <v>0</v>
      </c>
      <c r="AO21" s="115">
        <v>0</v>
      </c>
      <c r="AP21" s="115">
        <v>0</v>
      </c>
      <c r="AQ21" s="115">
        <v>0</v>
      </c>
      <c r="AR21" s="115">
        <v>0</v>
      </c>
      <c r="AS21" s="115">
        <v>0</v>
      </c>
      <c r="AT21" s="116">
        <v>0</v>
      </c>
    </row>
    <row r="22" spans="2:46" ht="12" customHeight="1" x14ac:dyDescent="0.3">
      <c r="B22" s="114" t="s">
        <v>39</v>
      </c>
      <c r="C22" s="115" t="s">
        <v>42</v>
      </c>
      <c r="D22" s="115" t="s">
        <v>25</v>
      </c>
      <c r="E22" s="115" t="s">
        <v>25</v>
      </c>
      <c r="F22" s="115" t="s">
        <v>87</v>
      </c>
      <c r="G22" s="115" t="s">
        <v>34</v>
      </c>
      <c r="H22" s="115" t="s">
        <v>84</v>
      </c>
      <c r="I22" s="115" t="s">
        <v>25</v>
      </c>
      <c r="J22" s="115">
        <v>52.34</v>
      </c>
      <c r="K22" s="115">
        <v>0</v>
      </c>
      <c r="L22" s="115">
        <v>0</v>
      </c>
      <c r="M22" s="115">
        <v>0</v>
      </c>
      <c r="N22" s="115">
        <v>0</v>
      </c>
      <c r="O22" s="115">
        <v>0</v>
      </c>
      <c r="P22" s="115">
        <v>0</v>
      </c>
      <c r="Q22" s="115">
        <v>0</v>
      </c>
      <c r="R22" s="115">
        <v>0</v>
      </c>
      <c r="S22" s="115">
        <v>0</v>
      </c>
      <c r="T22" s="115">
        <v>7.6907869713893096</v>
      </c>
      <c r="U22" s="115">
        <v>3.58942844813726</v>
      </c>
      <c r="V22" s="115">
        <v>0</v>
      </c>
      <c r="W22" s="115">
        <v>0</v>
      </c>
      <c r="X22" s="115">
        <v>0</v>
      </c>
      <c r="Y22" s="115">
        <v>0</v>
      </c>
      <c r="Z22" s="115">
        <v>0</v>
      </c>
      <c r="AA22" s="115">
        <v>41.058527153039996</v>
      </c>
      <c r="AB22" s="115">
        <v>0</v>
      </c>
      <c r="AC22" s="115">
        <v>0</v>
      </c>
      <c r="AD22" s="115">
        <v>0</v>
      </c>
      <c r="AE22" s="115">
        <v>0</v>
      </c>
      <c r="AF22" s="115">
        <v>0</v>
      </c>
      <c r="AG22" s="115">
        <v>0</v>
      </c>
      <c r="AH22" s="115">
        <v>0</v>
      </c>
      <c r="AI22" s="115">
        <v>0</v>
      </c>
      <c r="AJ22" s="115">
        <v>0</v>
      </c>
      <c r="AK22" s="115">
        <v>0</v>
      </c>
      <c r="AL22" s="115">
        <v>0</v>
      </c>
      <c r="AM22" s="115">
        <v>0</v>
      </c>
      <c r="AN22" s="115">
        <v>0</v>
      </c>
      <c r="AO22" s="115">
        <v>0</v>
      </c>
      <c r="AP22" s="115">
        <v>0</v>
      </c>
      <c r="AQ22" s="115">
        <v>0</v>
      </c>
      <c r="AR22" s="115">
        <v>0</v>
      </c>
      <c r="AS22" s="115">
        <v>0</v>
      </c>
      <c r="AT22" s="116">
        <v>0</v>
      </c>
    </row>
    <row r="23" spans="2:46" ht="12" customHeight="1" x14ac:dyDescent="0.3">
      <c r="B23" s="114" t="s">
        <v>39</v>
      </c>
      <c r="C23" s="115" t="s">
        <v>42</v>
      </c>
      <c r="D23" s="115" t="s">
        <v>25</v>
      </c>
      <c r="E23" s="115" t="s">
        <v>25</v>
      </c>
      <c r="F23" s="115" t="s">
        <v>87</v>
      </c>
      <c r="G23" s="115" t="s">
        <v>35</v>
      </c>
      <c r="H23" s="115" t="s">
        <v>79</v>
      </c>
      <c r="I23" s="115" t="s">
        <v>25</v>
      </c>
      <c r="J23" s="115">
        <v>13.82</v>
      </c>
      <c r="K23" s="115">
        <v>0</v>
      </c>
      <c r="L23" s="115">
        <v>0</v>
      </c>
      <c r="M23" s="115">
        <v>0.50067136987736305</v>
      </c>
      <c r="N23" s="115">
        <v>0.29935053968223102</v>
      </c>
      <c r="O23" s="115">
        <v>0</v>
      </c>
      <c r="P23" s="115">
        <v>0</v>
      </c>
      <c r="Q23" s="115">
        <v>0</v>
      </c>
      <c r="R23" s="115">
        <v>0</v>
      </c>
      <c r="S23" s="115">
        <v>0</v>
      </c>
      <c r="T23" s="115">
        <v>0</v>
      </c>
      <c r="U23" s="115">
        <v>0</v>
      </c>
      <c r="V23" s="115">
        <v>0</v>
      </c>
      <c r="W23" s="115">
        <v>0</v>
      </c>
      <c r="X23" s="115">
        <v>0</v>
      </c>
      <c r="Y23" s="115">
        <v>0</v>
      </c>
      <c r="Z23" s="115">
        <v>0</v>
      </c>
      <c r="AA23" s="115">
        <v>0</v>
      </c>
      <c r="AB23" s="115">
        <v>0</v>
      </c>
      <c r="AC23" s="115">
        <v>0</v>
      </c>
      <c r="AD23" s="115">
        <v>0</v>
      </c>
      <c r="AE23" s="115">
        <v>11.3878496177541</v>
      </c>
      <c r="AF23" s="115">
        <v>0.335102198855667</v>
      </c>
      <c r="AG23" s="115">
        <v>1.02571754663711</v>
      </c>
      <c r="AH23" s="115">
        <v>0.26725633743050697</v>
      </c>
      <c r="AI23" s="115">
        <v>0</v>
      </c>
      <c r="AJ23" s="115">
        <v>0</v>
      </c>
      <c r="AK23" s="115">
        <v>0</v>
      </c>
      <c r="AL23" s="115">
        <v>0</v>
      </c>
      <c r="AM23" s="115">
        <v>0</v>
      </c>
      <c r="AN23" s="115">
        <v>0</v>
      </c>
      <c r="AO23" s="115">
        <v>0</v>
      </c>
      <c r="AP23" s="115">
        <v>0</v>
      </c>
      <c r="AQ23" s="115">
        <v>0</v>
      </c>
      <c r="AR23" s="115">
        <v>0</v>
      </c>
      <c r="AS23" s="115">
        <v>0</v>
      </c>
      <c r="AT23" s="116">
        <v>0</v>
      </c>
    </row>
    <row r="24" spans="2:46" ht="12" customHeight="1" x14ac:dyDescent="0.3">
      <c r="B24" s="114" t="s">
        <v>39</v>
      </c>
      <c r="C24" s="115" t="s">
        <v>42</v>
      </c>
      <c r="D24" s="115" t="s">
        <v>25</v>
      </c>
      <c r="E24" s="115" t="s">
        <v>25</v>
      </c>
      <c r="F24" s="115" t="s">
        <v>87</v>
      </c>
      <c r="G24" s="115" t="s">
        <v>35</v>
      </c>
      <c r="H24" s="115" t="s">
        <v>84</v>
      </c>
      <c r="I24" s="115" t="s">
        <v>25</v>
      </c>
      <c r="J24" s="115">
        <v>21.75</v>
      </c>
      <c r="K24" s="115">
        <v>0</v>
      </c>
      <c r="L24" s="115">
        <v>0</v>
      </c>
      <c r="M24" s="115">
        <v>0</v>
      </c>
      <c r="N24" s="115">
        <v>0</v>
      </c>
      <c r="O24" s="115">
        <v>0</v>
      </c>
      <c r="P24" s="115">
        <v>0</v>
      </c>
      <c r="Q24" s="115">
        <v>0</v>
      </c>
      <c r="R24" s="115">
        <v>0</v>
      </c>
      <c r="S24" s="115">
        <v>0</v>
      </c>
      <c r="T24" s="115">
        <v>4.4368207086634799</v>
      </c>
      <c r="U24" s="115">
        <v>2.1448823466959102</v>
      </c>
      <c r="V24" s="115">
        <v>0</v>
      </c>
      <c r="W24" s="115">
        <v>0</v>
      </c>
      <c r="X24" s="115">
        <v>0</v>
      </c>
      <c r="Y24" s="115">
        <v>0</v>
      </c>
      <c r="Z24" s="115">
        <v>0</v>
      </c>
      <c r="AA24" s="115">
        <v>15.166333705263501</v>
      </c>
      <c r="AB24" s="115">
        <v>0</v>
      </c>
      <c r="AC24" s="115">
        <v>0</v>
      </c>
      <c r="AD24" s="115">
        <v>0</v>
      </c>
      <c r="AE24" s="115">
        <v>0</v>
      </c>
      <c r="AF24" s="115">
        <v>0</v>
      </c>
      <c r="AG24" s="115">
        <v>0</v>
      </c>
      <c r="AH24" s="115">
        <v>0</v>
      </c>
      <c r="AI24" s="115">
        <v>0</v>
      </c>
      <c r="AJ24" s="115">
        <v>0</v>
      </c>
      <c r="AK24" s="115">
        <v>0</v>
      </c>
      <c r="AL24" s="115">
        <v>0</v>
      </c>
      <c r="AM24" s="115">
        <v>0</v>
      </c>
      <c r="AN24" s="115">
        <v>0</v>
      </c>
      <c r="AO24" s="115">
        <v>0</v>
      </c>
      <c r="AP24" s="115">
        <v>0</v>
      </c>
      <c r="AQ24" s="115">
        <v>0</v>
      </c>
      <c r="AR24" s="115">
        <v>0</v>
      </c>
      <c r="AS24" s="115">
        <v>0</v>
      </c>
      <c r="AT24" s="116">
        <v>0</v>
      </c>
    </row>
    <row r="25" spans="2:46" ht="12" customHeight="1" x14ac:dyDescent="0.3">
      <c r="B25" s="114" t="s">
        <v>39</v>
      </c>
      <c r="C25" s="115" t="s">
        <v>42</v>
      </c>
      <c r="D25" s="115" t="s">
        <v>25</v>
      </c>
      <c r="E25" s="115" t="s">
        <v>25</v>
      </c>
      <c r="F25" s="115" t="s">
        <v>25</v>
      </c>
      <c r="G25" s="115" t="s">
        <v>34</v>
      </c>
      <c r="H25" s="115" t="s">
        <v>79</v>
      </c>
      <c r="I25" s="115" t="s">
        <v>25</v>
      </c>
      <c r="J25" s="115">
        <v>118.36</v>
      </c>
      <c r="K25" s="115">
        <v>363.93</v>
      </c>
      <c r="L25" s="115">
        <v>11.200185211008799</v>
      </c>
      <c r="M25" s="115">
        <v>0.50067136987736305</v>
      </c>
      <c r="N25" s="115">
        <v>0.31108783583826699</v>
      </c>
      <c r="O25" s="115">
        <v>0</v>
      </c>
      <c r="P25" s="115">
        <v>0</v>
      </c>
      <c r="Q25" s="115">
        <v>78.531472519397795</v>
      </c>
      <c r="R25" s="115">
        <v>14.799409177241399</v>
      </c>
      <c r="S25" s="115">
        <v>0</v>
      </c>
      <c r="T25" s="115">
        <v>0</v>
      </c>
      <c r="U25" s="115">
        <v>0</v>
      </c>
      <c r="V25" s="115">
        <v>0</v>
      </c>
      <c r="W25" s="115">
        <v>0</v>
      </c>
      <c r="X25" s="115">
        <v>0</v>
      </c>
      <c r="Y25" s="115">
        <v>0</v>
      </c>
      <c r="Z25" s="115">
        <v>0</v>
      </c>
      <c r="AA25" s="115">
        <v>0</v>
      </c>
      <c r="AB25" s="115">
        <v>0</v>
      </c>
      <c r="AC25" s="115">
        <v>0</v>
      </c>
      <c r="AD25" s="115">
        <v>0</v>
      </c>
      <c r="AE25" s="115">
        <v>11.3878496177541</v>
      </c>
      <c r="AF25" s="115">
        <v>0.335102198855667</v>
      </c>
      <c r="AG25" s="115">
        <v>1.02571754663711</v>
      </c>
      <c r="AH25" s="115">
        <v>0.26725633743050697</v>
      </c>
      <c r="AI25" s="115">
        <v>5.4675022620039604</v>
      </c>
      <c r="AJ25" s="115">
        <v>-17.459208153924099</v>
      </c>
      <c r="AK25" s="115">
        <v>2.4026594780442001</v>
      </c>
      <c r="AL25" s="115">
        <v>20.904860752770901</v>
      </c>
      <c r="AM25" s="115">
        <v>0</v>
      </c>
      <c r="AN25" s="115">
        <v>337.07711530988502</v>
      </c>
      <c r="AO25" s="115">
        <v>5.8254955890081401</v>
      </c>
      <c r="AP25" s="115">
        <v>4.0149929968843603</v>
      </c>
      <c r="AQ25" s="115">
        <v>0</v>
      </c>
      <c r="AR25" s="115">
        <v>0</v>
      </c>
      <c r="AS25" s="115">
        <v>0</v>
      </c>
      <c r="AT25" s="116">
        <v>5.6921512328017503</v>
      </c>
    </row>
    <row r="26" spans="2:46" ht="12" customHeight="1" x14ac:dyDescent="0.3">
      <c r="B26" s="114" t="s">
        <v>39</v>
      </c>
      <c r="C26" s="115" t="s">
        <v>42</v>
      </c>
      <c r="D26" s="115" t="s">
        <v>25</v>
      </c>
      <c r="E26" s="115" t="s">
        <v>25</v>
      </c>
      <c r="F26" s="115" t="s">
        <v>25</v>
      </c>
      <c r="G26" s="115" t="s">
        <v>34</v>
      </c>
      <c r="H26" s="115" t="s">
        <v>84</v>
      </c>
      <c r="I26" s="115" t="s">
        <v>25</v>
      </c>
      <c r="J26" s="115">
        <v>52.34</v>
      </c>
      <c r="K26" s="115">
        <v>0</v>
      </c>
      <c r="L26" s="115">
        <v>0</v>
      </c>
      <c r="M26" s="115">
        <v>0</v>
      </c>
      <c r="N26" s="115">
        <v>0</v>
      </c>
      <c r="O26" s="115">
        <v>0</v>
      </c>
      <c r="P26" s="115">
        <v>0</v>
      </c>
      <c r="Q26" s="115">
        <v>0</v>
      </c>
      <c r="R26" s="115">
        <v>0</v>
      </c>
      <c r="S26" s="115">
        <v>0</v>
      </c>
      <c r="T26" s="115">
        <v>7.6907869713893096</v>
      </c>
      <c r="U26" s="115">
        <v>3.58942844813726</v>
      </c>
      <c r="V26" s="115">
        <v>0</v>
      </c>
      <c r="W26" s="115">
        <v>0</v>
      </c>
      <c r="X26" s="115">
        <v>0</v>
      </c>
      <c r="Y26" s="115">
        <v>0</v>
      </c>
      <c r="Z26" s="115">
        <v>0</v>
      </c>
      <c r="AA26" s="115">
        <v>41.058527153039996</v>
      </c>
      <c r="AB26" s="115">
        <v>0</v>
      </c>
      <c r="AC26" s="115">
        <v>0</v>
      </c>
      <c r="AD26" s="115">
        <v>0</v>
      </c>
      <c r="AE26" s="115">
        <v>0</v>
      </c>
      <c r="AF26" s="115">
        <v>0</v>
      </c>
      <c r="AG26" s="115">
        <v>0</v>
      </c>
      <c r="AH26" s="115">
        <v>0</v>
      </c>
      <c r="AI26" s="115">
        <v>0</v>
      </c>
      <c r="AJ26" s="115">
        <v>0</v>
      </c>
      <c r="AK26" s="115">
        <v>0</v>
      </c>
      <c r="AL26" s="115">
        <v>0</v>
      </c>
      <c r="AM26" s="115">
        <v>0</v>
      </c>
      <c r="AN26" s="115">
        <v>0</v>
      </c>
      <c r="AO26" s="115">
        <v>0</v>
      </c>
      <c r="AP26" s="115">
        <v>0</v>
      </c>
      <c r="AQ26" s="115">
        <v>0</v>
      </c>
      <c r="AR26" s="115">
        <v>0</v>
      </c>
      <c r="AS26" s="115">
        <v>0</v>
      </c>
      <c r="AT26" s="116">
        <v>0</v>
      </c>
    </row>
    <row r="27" spans="2:46" ht="12" customHeight="1" x14ac:dyDescent="0.3">
      <c r="B27" s="114" t="s">
        <v>39</v>
      </c>
      <c r="C27" s="115" t="s">
        <v>42</v>
      </c>
      <c r="D27" s="115" t="s">
        <v>25</v>
      </c>
      <c r="E27" s="115" t="s">
        <v>25</v>
      </c>
      <c r="F27" s="115" t="s">
        <v>25</v>
      </c>
      <c r="G27" s="115" t="s">
        <v>35</v>
      </c>
      <c r="H27" s="115" t="s">
        <v>79</v>
      </c>
      <c r="I27" s="115" t="s">
        <v>25</v>
      </c>
      <c r="J27" s="115">
        <v>118.36</v>
      </c>
      <c r="K27" s="115">
        <v>222.82</v>
      </c>
      <c r="L27" s="115">
        <v>11.200185211008799</v>
      </c>
      <c r="M27" s="115">
        <v>0.50067136987736305</v>
      </c>
      <c r="N27" s="115">
        <v>0.31108783583826699</v>
      </c>
      <c r="O27" s="115">
        <v>0</v>
      </c>
      <c r="P27" s="115">
        <v>0</v>
      </c>
      <c r="Q27" s="115">
        <v>78.531472519397795</v>
      </c>
      <c r="R27" s="115">
        <v>14.799409177241399</v>
      </c>
      <c r="S27" s="115">
        <v>0</v>
      </c>
      <c r="T27" s="115">
        <v>0</v>
      </c>
      <c r="U27" s="115">
        <v>0</v>
      </c>
      <c r="V27" s="115">
        <v>0</v>
      </c>
      <c r="W27" s="115">
        <v>0</v>
      </c>
      <c r="X27" s="115">
        <v>0</v>
      </c>
      <c r="Y27" s="115">
        <v>0</v>
      </c>
      <c r="Z27" s="115">
        <v>0</v>
      </c>
      <c r="AA27" s="115">
        <v>0</v>
      </c>
      <c r="AB27" s="115">
        <v>0</v>
      </c>
      <c r="AC27" s="115">
        <v>0</v>
      </c>
      <c r="AD27" s="115">
        <v>0</v>
      </c>
      <c r="AE27" s="115">
        <v>11.3878496177541</v>
      </c>
      <c r="AF27" s="115">
        <v>0.335102198855667</v>
      </c>
      <c r="AG27" s="115">
        <v>1.02571754663711</v>
      </c>
      <c r="AH27" s="115">
        <v>0.26725633743050697</v>
      </c>
      <c r="AI27" s="115">
        <v>5.4675022620039604</v>
      </c>
      <c r="AJ27" s="115">
        <v>-17.459208153924099</v>
      </c>
      <c r="AK27" s="115">
        <v>2.4026594780442001</v>
      </c>
      <c r="AL27" s="115">
        <v>20.904860752770901</v>
      </c>
      <c r="AM27" s="115">
        <v>0</v>
      </c>
      <c r="AN27" s="115">
        <v>195.97506704063099</v>
      </c>
      <c r="AO27" s="115">
        <v>5.8254955890081401</v>
      </c>
      <c r="AP27" s="115">
        <v>4.0149929968843603</v>
      </c>
      <c r="AQ27" s="115">
        <v>0</v>
      </c>
      <c r="AR27" s="115">
        <v>0</v>
      </c>
      <c r="AS27" s="115">
        <v>0</v>
      </c>
      <c r="AT27" s="116">
        <v>5.6921512328017503</v>
      </c>
    </row>
    <row r="28" spans="2:46" ht="12" customHeight="1" x14ac:dyDescent="0.3">
      <c r="B28" s="114" t="s">
        <v>39</v>
      </c>
      <c r="C28" s="115" t="s">
        <v>42</v>
      </c>
      <c r="D28" s="115" t="s">
        <v>25</v>
      </c>
      <c r="E28" s="115" t="s">
        <v>25</v>
      </c>
      <c r="F28" s="115" t="s">
        <v>25</v>
      </c>
      <c r="G28" s="115" t="s">
        <v>35</v>
      </c>
      <c r="H28" s="115" t="s">
        <v>84</v>
      </c>
      <c r="I28" s="115" t="s">
        <v>25</v>
      </c>
      <c r="J28" s="115">
        <v>21.75</v>
      </c>
      <c r="K28" s="115">
        <v>0</v>
      </c>
      <c r="L28" s="115">
        <v>0</v>
      </c>
      <c r="M28" s="115">
        <v>0</v>
      </c>
      <c r="N28" s="115">
        <v>0</v>
      </c>
      <c r="O28" s="115">
        <v>0</v>
      </c>
      <c r="P28" s="115">
        <v>0</v>
      </c>
      <c r="Q28" s="115">
        <v>0</v>
      </c>
      <c r="R28" s="115">
        <v>0</v>
      </c>
      <c r="S28" s="115">
        <v>0</v>
      </c>
      <c r="T28" s="115">
        <v>4.4368207086634799</v>
      </c>
      <c r="U28" s="115">
        <v>2.1448823466959102</v>
      </c>
      <c r="V28" s="115">
        <v>0</v>
      </c>
      <c r="W28" s="115">
        <v>0</v>
      </c>
      <c r="X28" s="115">
        <v>0</v>
      </c>
      <c r="Y28" s="115">
        <v>0</v>
      </c>
      <c r="Z28" s="115">
        <v>0</v>
      </c>
      <c r="AA28" s="115">
        <v>15.166333705263501</v>
      </c>
      <c r="AB28" s="115">
        <v>0</v>
      </c>
      <c r="AC28" s="115">
        <v>0</v>
      </c>
      <c r="AD28" s="115">
        <v>0</v>
      </c>
      <c r="AE28" s="115">
        <v>0</v>
      </c>
      <c r="AF28" s="115">
        <v>0</v>
      </c>
      <c r="AG28" s="115">
        <v>0</v>
      </c>
      <c r="AH28" s="115">
        <v>0</v>
      </c>
      <c r="AI28" s="115">
        <v>0</v>
      </c>
      <c r="AJ28" s="115">
        <v>0</v>
      </c>
      <c r="AK28" s="115">
        <v>0</v>
      </c>
      <c r="AL28" s="115">
        <v>0</v>
      </c>
      <c r="AM28" s="115">
        <v>0</v>
      </c>
      <c r="AN28" s="115">
        <v>0</v>
      </c>
      <c r="AO28" s="115">
        <v>0</v>
      </c>
      <c r="AP28" s="115">
        <v>0</v>
      </c>
      <c r="AQ28" s="115">
        <v>0</v>
      </c>
      <c r="AR28" s="115">
        <v>0</v>
      </c>
      <c r="AS28" s="115">
        <v>0</v>
      </c>
      <c r="AT28" s="116">
        <v>0</v>
      </c>
    </row>
    <row r="29" spans="2:46" ht="12" customHeight="1" x14ac:dyDescent="0.3">
      <c r="B29" s="114" t="s">
        <v>39</v>
      </c>
      <c r="C29" s="115" t="s">
        <v>60</v>
      </c>
      <c r="D29" s="115" t="s">
        <v>25</v>
      </c>
      <c r="E29" s="115" t="s">
        <v>25</v>
      </c>
      <c r="F29" s="115" t="s">
        <v>25</v>
      </c>
      <c r="G29" s="115" t="s">
        <v>25</v>
      </c>
      <c r="H29" s="115" t="s">
        <v>84</v>
      </c>
      <c r="I29" s="115" t="s">
        <v>25</v>
      </c>
      <c r="J29" s="115">
        <v>13</v>
      </c>
      <c r="K29" s="115">
        <v>0</v>
      </c>
      <c r="L29" s="115">
        <v>0</v>
      </c>
      <c r="M29" s="115">
        <v>6.9297680709272599E-2</v>
      </c>
      <c r="N29" s="115">
        <v>0.20446369903815201</v>
      </c>
      <c r="O29" s="115">
        <v>0</v>
      </c>
      <c r="P29" s="115">
        <v>0</v>
      </c>
      <c r="Q29" s="115">
        <v>0</v>
      </c>
      <c r="R29" s="115">
        <v>0</v>
      </c>
      <c r="S29" s="115">
        <v>0</v>
      </c>
      <c r="T29" s="115">
        <v>0</v>
      </c>
      <c r="U29" s="115">
        <v>0</v>
      </c>
      <c r="V29" s="115">
        <v>0</v>
      </c>
      <c r="W29" s="115">
        <v>0</v>
      </c>
      <c r="X29" s="115">
        <v>0</v>
      </c>
      <c r="Y29" s="115">
        <v>0</v>
      </c>
      <c r="Z29" s="115">
        <v>0</v>
      </c>
      <c r="AA29" s="115">
        <v>12.717205935462101</v>
      </c>
      <c r="AB29" s="115">
        <v>0</v>
      </c>
      <c r="AC29" s="115">
        <v>0</v>
      </c>
      <c r="AD29" s="115">
        <v>0</v>
      </c>
      <c r="AE29" s="115">
        <v>6.7318766156827803E-3</v>
      </c>
      <c r="AF29" s="115">
        <v>0</v>
      </c>
      <c r="AG29" s="115">
        <v>0</v>
      </c>
      <c r="AH29" s="115">
        <v>0</v>
      </c>
      <c r="AI29" s="115">
        <v>0</v>
      </c>
      <c r="AJ29" s="115">
        <v>0</v>
      </c>
      <c r="AK29" s="115">
        <v>0</v>
      </c>
      <c r="AL29" s="115">
        <v>0</v>
      </c>
      <c r="AM29" s="115">
        <v>0</v>
      </c>
      <c r="AN29" s="115">
        <v>0</v>
      </c>
      <c r="AO29" s="115">
        <v>0</v>
      </c>
      <c r="AP29" s="115">
        <v>0</v>
      </c>
      <c r="AQ29" s="115">
        <v>0</v>
      </c>
      <c r="AR29" s="115">
        <v>0</v>
      </c>
      <c r="AS29" s="115">
        <v>0</v>
      </c>
      <c r="AT29" s="116">
        <v>0</v>
      </c>
    </row>
    <row r="30" spans="2:46" ht="12" customHeight="1" x14ac:dyDescent="0.3">
      <c r="B30" s="114" t="s">
        <v>39</v>
      </c>
      <c r="C30" s="115" t="s">
        <v>40</v>
      </c>
      <c r="D30" s="115" t="s">
        <v>25</v>
      </c>
      <c r="E30" s="115" t="s">
        <v>25</v>
      </c>
      <c r="F30" s="115" t="s">
        <v>87</v>
      </c>
      <c r="G30" s="115" t="s">
        <v>34</v>
      </c>
      <c r="H30" s="115" t="s">
        <v>79</v>
      </c>
      <c r="I30" s="115" t="s">
        <v>25</v>
      </c>
      <c r="J30" s="115">
        <v>1285.3900000000001</v>
      </c>
      <c r="K30" s="115">
        <v>0</v>
      </c>
      <c r="L30" s="115">
        <v>0</v>
      </c>
      <c r="M30" s="115">
        <v>0.50067136987736305</v>
      </c>
      <c r="N30" s="115">
        <v>13.130498963942999</v>
      </c>
      <c r="O30" s="115">
        <v>0</v>
      </c>
      <c r="P30" s="115">
        <v>0</v>
      </c>
      <c r="Q30" s="115">
        <v>0</v>
      </c>
      <c r="R30" s="115">
        <v>0</v>
      </c>
      <c r="S30" s="115">
        <v>0</v>
      </c>
      <c r="T30" s="115">
        <v>184.963312901601</v>
      </c>
      <c r="U30" s="115">
        <v>86.325134873329105</v>
      </c>
      <c r="V30" s="115">
        <v>0</v>
      </c>
      <c r="W30" s="115">
        <v>0</v>
      </c>
      <c r="X30" s="115">
        <v>0</v>
      </c>
      <c r="Y30" s="115">
        <v>0</v>
      </c>
      <c r="Z30" s="115">
        <v>0</v>
      </c>
      <c r="AA30" s="115">
        <v>987.45803265912105</v>
      </c>
      <c r="AB30" s="115">
        <v>0</v>
      </c>
      <c r="AC30" s="115">
        <v>0</v>
      </c>
      <c r="AD30" s="115">
        <v>0</v>
      </c>
      <c r="AE30" s="115">
        <v>11.3878496177541</v>
      </c>
      <c r="AF30" s="115">
        <v>0.335102198855667</v>
      </c>
      <c r="AG30" s="115">
        <v>1.02571754663711</v>
      </c>
      <c r="AH30" s="115">
        <v>0.26725633743050697</v>
      </c>
      <c r="AI30" s="115">
        <v>0</v>
      </c>
      <c r="AJ30" s="115">
        <v>0</v>
      </c>
      <c r="AK30" s="115">
        <v>0</v>
      </c>
      <c r="AL30" s="115">
        <v>0</v>
      </c>
      <c r="AM30" s="115">
        <v>0</v>
      </c>
      <c r="AN30" s="115">
        <v>0</v>
      </c>
      <c r="AO30" s="115">
        <v>0</v>
      </c>
      <c r="AP30" s="115">
        <v>0</v>
      </c>
      <c r="AQ30" s="115">
        <v>0</v>
      </c>
      <c r="AR30" s="115">
        <v>0</v>
      </c>
      <c r="AS30" s="115">
        <v>0</v>
      </c>
      <c r="AT30" s="116">
        <v>0</v>
      </c>
    </row>
    <row r="31" spans="2:46" ht="12" customHeight="1" x14ac:dyDescent="0.3">
      <c r="B31" s="114" t="s">
        <v>39</v>
      </c>
      <c r="C31" s="115" t="s">
        <v>40</v>
      </c>
      <c r="D31" s="115" t="s">
        <v>25</v>
      </c>
      <c r="E31" s="115" t="s">
        <v>25</v>
      </c>
      <c r="F31" s="115" t="s">
        <v>87</v>
      </c>
      <c r="G31" s="115" t="s">
        <v>25</v>
      </c>
      <c r="H31" s="115" t="s">
        <v>84</v>
      </c>
      <c r="I31" s="115" t="s">
        <v>25</v>
      </c>
      <c r="J31" s="115">
        <v>21.75</v>
      </c>
      <c r="K31" s="115">
        <v>0</v>
      </c>
      <c r="L31" s="115">
        <v>0</v>
      </c>
      <c r="M31" s="115">
        <v>0</v>
      </c>
      <c r="N31" s="115">
        <v>0</v>
      </c>
      <c r="O31" s="115">
        <v>0</v>
      </c>
      <c r="P31" s="115">
        <v>0</v>
      </c>
      <c r="Q31" s="115">
        <v>0</v>
      </c>
      <c r="R31" s="115">
        <v>0</v>
      </c>
      <c r="S31" s="115">
        <v>0</v>
      </c>
      <c r="T31" s="115">
        <v>4.4368207086634799</v>
      </c>
      <c r="U31" s="115">
        <v>2.1448823466959102</v>
      </c>
      <c r="V31" s="115">
        <v>0</v>
      </c>
      <c r="W31" s="115">
        <v>0</v>
      </c>
      <c r="X31" s="115">
        <v>0</v>
      </c>
      <c r="Y31" s="115">
        <v>0</v>
      </c>
      <c r="Z31" s="115">
        <v>0</v>
      </c>
      <c r="AA31" s="115">
        <v>15.166333705263501</v>
      </c>
      <c r="AB31" s="115">
        <v>0</v>
      </c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>
        <v>0</v>
      </c>
      <c r="AK31" s="115">
        <v>0</v>
      </c>
      <c r="AL31" s="115">
        <v>0</v>
      </c>
      <c r="AM31" s="115">
        <v>0</v>
      </c>
      <c r="AN31" s="115">
        <v>0</v>
      </c>
      <c r="AO31" s="115">
        <v>0</v>
      </c>
      <c r="AP31" s="115">
        <v>0</v>
      </c>
      <c r="AQ31" s="115">
        <v>0</v>
      </c>
      <c r="AR31" s="115">
        <v>0</v>
      </c>
      <c r="AS31" s="115">
        <v>0</v>
      </c>
      <c r="AT31" s="116">
        <v>0</v>
      </c>
    </row>
    <row r="32" spans="2:46" ht="12" customHeight="1" x14ac:dyDescent="0.3">
      <c r="B32" s="114" t="s">
        <v>39</v>
      </c>
      <c r="C32" s="115" t="s">
        <v>40</v>
      </c>
      <c r="D32" s="115" t="s">
        <v>25</v>
      </c>
      <c r="E32" s="115" t="s">
        <v>25</v>
      </c>
      <c r="F32" s="115" t="s">
        <v>87</v>
      </c>
      <c r="G32" s="115" t="s">
        <v>35</v>
      </c>
      <c r="H32" s="115" t="s">
        <v>79</v>
      </c>
      <c r="I32" s="115" t="s">
        <v>25</v>
      </c>
      <c r="J32" s="115">
        <v>13.82</v>
      </c>
      <c r="K32" s="115">
        <v>0</v>
      </c>
      <c r="L32" s="115">
        <v>0</v>
      </c>
      <c r="M32" s="115">
        <v>0.50067136987736305</v>
      </c>
      <c r="N32" s="115">
        <v>0.29935053968223102</v>
      </c>
      <c r="O32" s="115">
        <v>0</v>
      </c>
      <c r="P32" s="115">
        <v>0</v>
      </c>
      <c r="Q32" s="115">
        <v>0</v>
      </c>
      <c r="R32" s="115">
        <v>0</v>
      </c>
      <c r="S32" s="115">
        <v>0</v>
      </c>
      <c r="T32" s="115">
        <v>0</v>
      </c>
      <c r="U32" s="115">
        <v>0</v>
      </c>
      <c r="V32" s="115">
        <v>0</v>
      </c>
      <c r="W32" s="115">
        <v>0</v>
      </c>
      <c r="X32" s="115">
        <v>0</v>
      </c>
      <c r="Y32" s="115">
        <v>0</v>
      </c>
      <c r="Z32" s="115">
        <v>0</v>
      </c>
      <c r="AA32" s="115">
        <v>0</v>
      </c>
      <c r="AB32" s="115">
        <v>0</v>
      </c>
      <c r="AC32" s="115">
        <v>0</v>
      </c>
      <c r="AD32" s="115">
        <v>0</v>
      </c>
      <c r="AE32" s="115">
        <v>11.3878496177541</v>
      </c>
      <c r="AF32" s="115">
        <v>0.335102198855667</v>
      </c>
      <c r="AG32" s="115">
        <v>1.02571754663711</v>
      </c>
      <c r="AH32" s="115">
        <v>0.26725633743050697</v>
      </c>
      <c r="AI32" s="115">
        <v>0</v>
      </c>
      <c r="AJ32" s="115">
        <v>0</v>
      </c>
      <c r="AK32" s="115">
        <v>0</v>
      </c>
      <c r="AL32" s="115">
        <v>0</v>
      </c>
      <c r="AM32" s="115">
        <v>0</v>
      </c>
      <c r="AN32" s="115">
        <v>0</v>
      </c>
      <c r="AO32" s="115">
        <v>0</v>
      </c>
      <c r="AP32" s="115">
        <v>0</v>
      </c>
      <c r="AQ32" s="115">
        <v>0</v>
      </c>
      <c r="AR32" s="115">
        <v>0</v>
      </c>
      <c r="AS32" s="115">
        <v>0</v>
      </c>
      <c r="AT32" s="116">
        <v>0</v>
      </c>
    </row>
    <row r="33" spans="2:46" ht="12" customHeight="1" x14ac:dyDescent="0.3">
      <c r="B33" s="114" t="s">
        <v>39</v>
      </c>
      <c r="C33" s="115" t="s">
        <v>40</v>
      </c>
      <c r="D33" s="115" t="s">
        <v>25</v>
      </c>
      <c r="E33" s="115" t="s">
        <v>25</v>
      </c>
      <c r="F33" s="115" t="s">
        <v>25</v>
      </c>
      <c r="G33" s="115" t="s">
        <v>34</v>
      </c>
      <c r="H33" s="115" t="s">
        <v>79</v>
      </c>
      <c r="I33" s="115" t="s">
        <v>25</v>
      </c>
      <c r="J33" s="115">
        <v>1389.94</v>
      </c>
      <c r="K33" s="115">
        <v>363.93</v>
      </c>
      <c r="L33" s="115">
        <v>11.200185211008799</v>
      </c>
      <c r="M33" s="115">
        <v>0.50067136987736305</v>
      </c>
      <c r="N33" s="115">
        <v>13.142236260099001</v>
      </c>
      <c r="O33" s="115">
        <v>0</v>
      </c>
      <c r="P33" s="115">
        <v>0</v>
      </c>
      <c r="Q33" s="115">
        <v>78.531472519397795</v>
      </c>
      <c r="R33" s="115">
        <v>14.799409177241399</v>
      </c>
      <c r="S33" s="115">
        <v>0</v>
      </c>
      <c r="T33" s="115">
        <v>184.963312901601</v>
      </c>
      <c r="U33" s="115">
        <v>86.325134873329105</v>
      </c>
      <c r="V33" s="115">
        <v>0</v>
      </c>
      <c r="W33" s="115">
        <v>0</v>
      </c>
      <c r="X33" s="115">
        <v>0</v>
      </c>
      <c r="Y33" s="115">
        <v>0</v>
      </c>
      <c r="Z33" s="115">
        <v>0</v>
      </c>
      <c r="AA33" s="115">
        <v>987.45803265912105</v>
      </c>
      <c r="AB33" s="115">
        <v>0</v>
      </c>
      <c r="AC33" s="115">
        <v>0</v>
      </c>
      <c r="AD33" s="115">
        <v>0</v>
      </c>
      <c r="AE33" s="115">
        <v>11.3878496177541</v>
      </c>
      <c r="AF33" s="115">
        <v>0.335102198855667</v>
      </c>
      <c r="AG33" s="115">
        <v>1.02571754663711</v>
      </c>
      <c r="AH33" s="115">
        <v>0.26725633743050697</v>
      </c>
      <c r="AI33" s="115">
        <v>5.4675022620039604</v>
      </c>
      <c r="AJ33" s="115">
        <v>-17.459208153924099</v>
      </c>
      <c r="AK33" s="115">
        <v>2.4026594780442001</v>
      </c>
      <c r="AL33" s="115">
        <v>20.904860752770901</v>
      </c>
      <c r="AM33" s="115">
        <v>0</v>
      </c>
      <c r="AN33" s="115">
        <v>337.07711530988502</v>
      </c>
      <c r="AO33" s="115">
        <v>5.8254955890081401</v>
      </c>
      <c r="AP33" s="115">
        <v>4.0149929968843603</v>
      </c>
      <c r="AQ33" s="115">
        <v>0</v>
      </c>
      <c r="AR33" s="115">
        <v>0</v>
      </c>
      <c r="AS33" s="115">
        <v>0</v>
      </c>
      <c r="AT33" s="116">
        <v>5.6921512328017503</v>
      </c>
    </row>
    <row r="34" spans="2:46" ht="12" customHeight="1" x14ac:dyDescent="0.3">
      <c r="B34" s="114" t="s">
        <v>39</v>
      </c>
      <c r="C34" s="115" t="s">
        <v>40</v>
      </c>
      <c r="D34" s="115" t="s">
        <v>25</v>
      </c>
      <c r="E34" s="115" t="s">
        <v>25</v>
      </c>
      <c r="F34" s="115" t="s">
        <v>25</v>
      </c>
      <c r="G34" s="115" t="s">
        <v>25</v>
      </c>
      <c r="H34" s="115" t="s">
        <v>84</v>
      </c>
      <c r="I34" s="115" t="s">
        <v>25</v>
      </c>
      <c r="J34" s="115">
        <v>21.75</v>
      </c>
      <c r="K34" s="115">
        <v>0</v>
      </c>
      <c r="L34" s="115">
        <v>0</v>
      </c>
      <c r="M34" s="115">
        <v>0</v>
      </c>
      <c r="N34" s="115">
        <v>0</v>
      </c>
      <c r="O34" s="115">
        <v>0</v>
      </c>
      <c r="P34" s="115">
        <v>0</v>
      </c>
      <c r="Q34" s="115">
        <v>0</v>
      </c>
      <c r="R34" s="115">
        <v>0</v>
      </c>
      <c r="S34" s="115">
        <v>0</v>
      </c>
      <c r="T34" s="115">
        <v>4.4368207086634799</v>
      </c>
      <c r="U34" s="115">
        <v>2.1448823466959102</v>
      </c>
      <c r="V34" s="115">
        <v>0</v>
      </c>
      <c r="W34" s="115">
        <v>0</v>
      </c>
      <c r="X34" s="115">
        <v>0</v>
      </c>
      <c r="Y34" s="115">
        <v>0</v>
      </c>
      <c r="Z34" s="115">
        <v>0</v>
      </c>
      <c r="AA34" s="115">
        <v>15.166333705263501</v>
      </c>
      <c r="AB34" s="115">
        <v>0</v>
      </c>
      <c r="AC34" s="115">
        <v>0</v>
      </c>
      <c r="AD34" s="115">
        <v>0</v>
      </c>
      <c r="AE34" s="115">
        <v>0</v>
      </c>
      <c r="AF34" s="115">
        <v>0</v>
      </c>
      <c r="AG34" s="115">
        <v>0</v>
      </c>
      <c r="AH34" s="115">
        <v>0</v>
      </c>
      <c r="AI34" s="115">
        <v>0</v>
      </c>
      <c r="AJ34" s="115">
        <v>0</v>
      </c>
      <c r="AK34" s="115">
        <v>0</v>
      </c>
      <c r="AL34" s="115">
        <v>0</v>
      </c>
      <c r="AM34" s="115">
        <v>0</v>
      </c>
      <c r="AN34" s="115">
        <v>0</v>
      </c>
      <c r="AO34" s="115">
        <v>0</v>
      </c>
      <c r="AP34" s="115">
        <v>0</v>
      </c>
      <c r="AQ34" s="115">
        <v>0</v>
      </c>
      <c r="AR34" s="115">
        <v>0</v>
      </c>
      <c r="AS34" s="115">
        <v>0</v>
      </c>
      <c r="AT34" s="116">
        <v>0</v>
      </c>
    </row>
    <row r="35" spans="2:46" ht="12" customHeight="1" x14ac:dyDescent="0.3">
      <c r="B35" s="114" t="s">
        <v>39</v>
      </c>
      <c r="C35" s="115" t="s">
        <v>40</v>
      </c>
      <c r="D35" s="115" t="s">
        <v>25</v>
      </c>
      <c r="E35" s="115" t="s">
        <v>25</v>
      </c>
      <c r="F35" s="115" t="s">
        <v>25</v>
      </c>
      <c r="G35" s="115" t="s">
        <v>35</v>
      </c>
      <c r="H35" s="115" t="s">
        <v>79</v>
      </c>
      <c r="I35" s="115" t="s">
        <v>25</v>
      </c>
      <c r="J35" s="115">
        <v>118.36</v>
      </c>
      <c r="K35" s="115">
        <v>222.82</v>
      </c>
      <c r="L35" s="115">
        <v>11.200185211008799</v>
      </c>
      <c r="M35" s="115">
        <v>0.50067136987736305</v>
      </c>
      <c r="N35" s="115">
        <v>0.31108783583826699</v>
      </c>
      <c r="O35" s="115">
        <v>0</v>
      </c>
      <c r="P35" s="115">
        <v>0</v>
      </c>
      <c r="Q35" s="115">
        <v>78.531472519397795</v>
      </c>
      <c r="R35" s="115">
        <v>14.799409177241399</v>
      </c>
      <c r="S35" s="115">
        <v>0</v>
      </c>
      <c r="T35" s="115">
        <v>0</v>
      </c>
      <c r="U35" s="115">
        <v>0</v>
      </c>
      <c r="V35" s="115">
        <v>0</v>
      </c>
      <c r="W35" s="115">
        <v>0</v>
      </c>
      <c r="X35" s="115">
        <v>0</v>
      </c>
      <c r="Y35" s="115">
        <v>0</v>
      </c>
      <c r="Z35" s="115">
        <v>0</v>
      </c>
      <c r="AA35" s="115">
        <v>0</v>
      </c>
      <c r="AB35" s="115">
        <v>0</v>
      </c>
      <c r="AC35" s="115">
        <v>0</v>
      </c>
      <c r="AD35" s="115">
        <v>0</v>
      </c>
      <c r="AE35" s="115">
        <v>11.3878496177541</v>
      </c>
      <c r="AF35" s="115">
        <v>0.335102198855667</v>
      </c>
      <c r="AG35" s="115">
        <v>1.02571754663711</v>
      </c>
      <c r="AH35" s="115">
        <v>0.26725633743050697</v>
      </c>
      <c r="AI35" s="115">
        <v>5.4675022620039604</v>
      </c>
      <c r="AJ35" s="115">
        <v>-17.459208153924099</v>
      </c>
      <c r="AK35" s="115">
        <v>2.4026594780442001</v>
      </c>
      <c r="AL35" s="115">
        <v>20.904860752770901</v>
      </c>
      <c r="AM35" s="115">
        <v>0</v>
      </c>
      <c r="AN35" s="115">
        <v>195.97506704063099</v>
      </c>
      <c r="AO35" s="115">
        <v>5.8254955890081401</v>
      </c>
      <c r="AP35" s="115">
        <v>4.0149929968843603</v>
      </c>
      <c r="AQ35" s="115">
        <v>0</v>
      </c>
      <c r="AR35" s="115">
        <v>0</v>
      </c>
      <c r="AS35" s="115">
        <v>0</v>
      </c>
      <c r="AT35" s="116">
        <v>5.6921512328017503</v>
      </c>
    </row>
    <row r="36" spans="2:46" ht="12" customHeight="1" x14ac:dyDescent="0.3">
      <c r="B36" s="114" t="s">
        <v>88</v>
      </c>
      <c r="C36" s="115" t="s">
        <v>60</v>
      </c>
      <c r="D36" s="115" t="s">
        <v>25</v>
      </c>
      <c r="E36" s="115" t="s">
        <v>25</v>
      </c>
      <c r="F36" s="115" t="s">
        <v>89</v>
      </c>
      <c r="G36" s="115" t="s">
        <v>25</v>
      </c>
      <c r="H36" s="115" t="s">
        <v>84</v>
      </c>
      <c r="I36" s="115" t="s">
        <v>25</v>
      </c>
      <c r="J36" s="115">
        <v>5.96</v>
      </c>
      <c r="K36" s="115">
        <v>0</v>
      </c>
      <c r="L36" s="115">
        <v>0</v>
      </c>
      <c r="M36" s="115">
        <v>2.08691862654726E-2</v>
      </c>
      <c r="N36" s="115">
        <v>6.1386058896069698E-2</v>
      </c>
      <c r="O36" s="115">
        <v>0</v>
      </c>
      <c r="P36" s="115">
        <v>0</v>
      </c>
      <c r="Q36" s="115">
        <v>0</v>
      </c>
      <c r="R36" s="115">
        <v>0</v>
      </c>
      <c r="S36" s="115">
        <v>0</v>
      </c>
      <c r="T36" s="115">
        <v>0</v>
      </c>
      <c r="U36" s="115">
        <v>0</v>
      </c>
      <c r="V36" s="115">
        <v>0</v>
      </c>
      <c r="W36" s="115">
        <v>0</v>
      </c>
      <c r="X36" s="115">
        <v>0</v>
      </c>
      <c r="Y36" s="115">
        <v>0</v>
      </c>
      <c r="Z36" s="115">
        <v>0</v>
      </c>
      <c r="AA36" s="115">
        <v>5.8811781678055404</v>
      </c>
      <c r="AB36" s="115">
        <v>0</v>
      </c>
      <c r="AC36" s="115">
        <v>0</v>
      </c>
      <c r="AD36" s="115">
        <v>0</v>
      </c>
      <c r="AE36" s="115">
        <v>0</v>
      </c>
      <c r="AF36" s="115">
        <v>0</v>
      </c>
      <c r="AG36" s="115">
        <v>0</v>
      </c>
      <c r="AH36" s="115">
        <v>0</v>
      </c>
      <c r="AI36" s="115">
        <v>0</v>
      </c>
      <c r="AJ36" s="115">
        <v>0</v>
      </c>
      <c r="AK36" s="115">
        <v>0</v>
      </c>
      <c r="AL36" s="115">
        <v>0</v>
      </c>
      <c r="AM36" s="115">
        <v>0</v>
      </c>
      <c r="AN36" s="115">
        <v>0</v>
      </c>
      <c r="AO36" s="115">
        <v>0</v>
      </c>
      <c r="AP36" s="115">
        <v>0</v>
      </c>
      <c r="AQ36" s="115">
        <v>0</v>
      </c>
      <c r="AR36" s="115">
        <v>0</v>
      </c>
      <c r="AS36" s="115">
        <v>0</v>
      </c>
      <c r="AT36" s="116">
        <v>0</v>
      </c>
    </row>
    <row r="37" spans="2:46" ht="12" customHeight="1" x14ac:dyDescent="0.3">
      <c r="B37" s="114" t="s">
        <v>88</v>
      </c>
      <c r="C37" s="115" t="s">
        <v>60</v>
      </c>
      <c r="D37" s="115" t="s">
        <v>25</v>
      </c>
      <c r="E37" s="115" t="s">
        <v>25</v>
      </c>
      <c r="F37" s="115" t="s">
        <v>90</v>
      </c>
      <c r="G37" s="115" t="s">
        <v>25</v>
      </c>
      <c r="H37" s="115" t="s">
        <v>84</v>
      </c>
      <c r="I37" s="115" t="s">
        <v>25</v>
      </c>
      <c r="J37" s="115">
        <v>21.78</v>
      </c>
      <c r="K37" s="115">
        <v>0</v>
      </c>
      <c r="L37" s="115">
        <v>0</v>
      </c>
      <c r="M37" s="115">
        <v>2.08691862654726E-2</v>
      </c>
      <c r="N37" s="115">
        <v>6.1386058896069698E-2</v>
      </c>
      <c r="O37" s="115">
        <v>0</v>
      </c>
      <c r="P37" s="115">
        <v>0</v>
      </c>
      <c r="Q37" s="115">
        <v>0</v>
      </c>
      <c r="R37" s="115">
        <v>0</v>
      </c>
      <c r="S37" s="115">
        <v>0</v>
      </c>
      <c r="T37" s="115">
        <v>0</v>
      </c>
      <c r="U37" s="115">
        <v>0</v>
      </c>
      <c r="V37" s="115">
        <v>0</v>
      </c>
      <c r="W37" s="115">
        <v>0</v>
      </c>
      <c r="X37" s="115">
        <v>0</v>
      </c>
      <c r="Y37" s="115">
        <v>0</v>
      </c>
      <c r="Z37" s="115">
        <v>0</v>
      </c>
      <c r="AA37" s="115">
        <v>21.697173755018401</v>
      </c>
      <c r="AB37" s="115">
        <v>0</v>
      </c>
      <c r="AC37" s="115">
        <v>0</v>
      </c>
      <c r="AD37" s="115">
        <v>0</v>
      </c>
      <c r="AE37" s="115">
        <v>0</v>
      </c>
      <c r="AF37" s="115">
        <v>0</v>
      </c>
      <c r="AG37" s="115">
        <v>0</v>
      </c>
      <c r="AH37" s="115">
        <v>0</v>
      </c>
      <c r="AI37" s="115">
        <v>0</v>
      </c>
      <c r="AJ37" s="115">
        <v>0</v>
      </c>
      <c r="AK37" s="115">
        <v>0</v>
      </c>
      <c r="AL37" s="115">
        <v>0</v>
      </c>
      <c r="AM37" s="115">
        <v>0</v>
      </c>
      <c r="AN37" s="115">
        <v>0</v>
      </c>
      <c r="AO37" s="115">
        <v>0</v>
      </c>
      <c r="AP37" s="115">
        <v>0</v>
      </c>
      <c r="AQ37" s="115">
        <v>0</v>
      </c>
      <c r="AR37" s="115">
        <v>0</v>
      </c>
      <c r="AS37" s="115">
        <v>0</v>
      </c>
      <c r="AT37" s="116">
        <v>0</v>
      </c>
    </row>
    <row r="38" spans="2:46" ht="12" customHeight="1" x14ac:dyDescent="0.3">
      <c r="B38" s="114" t="s">
        <v>22</v>
      </c>
      <c r="C38" s="115" t="s">
        <v>33</v>
      </c>
      <c r="D38" s="115" t="s">
        <v>24</v>
      </c>
      <c r="E38" s="115" t="s">
        <v>24</v>
      </c>
      <c r="F38" s="115" t="s">
        <v>25</v>
      </c>
      <c r="G38" s="115" t="s">
        <v>34</v>
      </c>
      <c r="H38" s="115" t="s">
        <v>79</v>
      </c>
      <c r="I38" s="115" t="s">
        <v>25</v>
      </c>
      <c r="J38" s="115">
        <v>1155.98</v>
      </c>
      <c r="K38" s="115">
        <v>363.93</v>
      </c>
      <c r="L38" s="115">
        <v>13.3335538226296</v>
      </c>
      <c r="M38" s="115">
        <v>1.01547673063622</v>
      </c>
      <c r="N38" s="115">
        <v>10.792242893845801</v>
      </c>
      <c r="O38" s="115">
        <v>0</v>
      </c>
      <c r="P38" s="115">
        <v>0</v>
      </c>
      <c r="Q38" s="115">
        <v>93.489848237378396</v>
      </c>
      <c r="R38" s="115">
        <v>14.799409177241399</v>
      </c>
      <c r="S38" s="115">
        <v>0</v>
      </c>
      <c r="T38" s="115">
        <v>124.763883704949</v>
      </c>
      <c r="U38" s="115">
        <v>59.130423809698698</v>
      </c>
      <c r="V38" s="115">
        <v>0</v>
      </c>
      <c r="W38" s="115">
        <v>0</v>
      </c>
      <c r="X38" s="115">
        <v>0</v>
      </c>
      <c r="Y38" s="115">
        <v>0</v>
      </c>
      <c r="Z38" s="115">
        <v>0</v>
      </c>
      <c r="AA38" s="115">
        <v>812.43140989897699</v>
      </c>
      <c r="AB38" s="115">
        <v>0</v>
      </c>
      <c r="AC38" s="115">
        <v>0</v>
      </c>
      <c r="AD38" s="115">
        <v>0</v>
      </c>
      <c r="AE38" s="115">
        <v>23.535883456417601</v>
      </c>
      <c r="AF38" s="115">
        <v>0.69257380128731605</v>
      </c>
      <c r="AG38" s="115">
        <v>1.5791119310669399</v>
      </c>
      <c r="AH38" s="115">
        <v>0.41144628214016199</v>
      </c>
      <c r="AI38" s="115">
        <v>5.4675022620039604</v>
      </c>
      <c r="AJ38" s="115">
        <v>-17.459208153924099</v>
      </c>
      <c r="AK38" s="115">
        <v>2.4026594780442001</v>
      </c>
      <c r="AL38" s="115">
        <v>20.904860752770901</v>
      </c>
      <c r="AM38" s="115">
        <v>0</v>
      </c>
      <c r="AN38" s="115">
        <v>337.07711530988502</v>
      </c>
      <c r="AO38" s="115">
        <v>5.8254955890081401</v>
      </c>
      <c r="AP38" s="115">
        <v>4.0149929968843603</v>
      </c>
      <c r="AQ38" s="115">
        <v>0</v>
      </c>
      <c r="AR38" s="115">
        <v>0</v>
      </c>
      <c r="AS38" s="115">
        <v>0</v>
      </c>
      <c r="AT38" s="116">
        <v>5.6921512328017503</v>
      </c>
    </row>
    <row r="39" spans="2:46" ht="12" customHeight="1" x14ac:dyDescent="0.3">
      <c r="B39" s="114" t="s">
        <v>22</v>
      </c>
      <c r="C39" s="115" t="s">
        <v>33</v>
      </c>
      <c r="D39" s="115" t="s">
        <v>24</v>
      </c>
      <c r="E39" s="115" t="s">
        <v>24</v>
      </c>
      <c r="F39" s="115" t="s">
        <v>25</v>
      </c>
      <c r="G39" s="115" t="s">
        <v>36</v>
      </c>
      <c r="H39" s="115" t="s">
        <v>79</v>
      </c>
      <c r="I39" s="115" t="s">
        <v>25</v>
      </c>
      <c r="J39" s="115">
        <v>753.37</v>
      </c>
      <c r="K39" s="115">
        <v>222.82</v>
      </c>
      <c r="L39" s="115">
        <v>13.3335538226296</v>
      </c>
      <c r="M39" s="115">
        <v>1.01547673063622</v>
      </c>
      <c r="N39" s="115">
        <v>6.7174363043247096</v>
      </c>
      <c r="O39" s="115">
        <v>0</v>
      </c>
      <c r="P39" s="115">
        <v>0</v>
      </c>
      <c r="Q39" s="115">
        <v>93.489848237378396</v>
      </c>
      <c r="R39" s="115">
        <v>14.799409177241399</v>
      </c>
      <c r="S39" s="115">
        <v>0</v>
      </c>
      <c r="T39" s="115">
        <v>74.858304294693099</v>
      </c>
      <c r="U39" s="115">
        <v>35.478277244276001</v>
      </c>
      <c r="V39" s="115">
        <v>0</v>
      </c>
      <c r="W39" s="115">
        <v>0</v>
      </c>
      <c r="X39" s="115">
        <v>0</v>
      </c>
      <c r="Y39" s="115">
        <v>0</v>
      </c>
      <c r="Z39" s="115">
        <v>0</v>
      </c>
      <c r="AA39" s="115">
        <v>487.458891063804</v>
      </c>
      <c r="AB39" s="115">
        <v>0</v>
      </c>
      <c r="AC39" s="115">
        <v>0</v>
      </c>
      <c r="AD39" s="115">
        <v>0</v>
      </c>
      <c r="AE39" s="115">
        <v>23.535883456417601</v>
      </c>
      <c r="AF39" s="115">
        <v>0.69257380128731605</v>
      </c>
      <c r="AG39" s="115">
        <v>1.5791119310669399</v>
      </c>
      <c r="AH39" s="115">
        <v>0.41144628214016199</v>
      </c>
      <c r="AI39" s="115">
        <v>5.4675022620039604</v>
      </c>
      <c r="AJ39" s="115">
        <v>-17.459208153924099</v>
      </c>
      <c r="AK39" s="115">
        <v>2.4026594780442001</v>
      </c>
      <c r="AL39" s="115">
        <v>20.904860752770901</v>
      </c>
      <c r="AM39" s="115">
        <v>0</v>
      </c>
      <c r="AN39" s="115">
        <v>195.97506704063099</v>
      </c>
      <c r="AO39" s="115">
        <v>5.8254955890081401</v>
      </c>
      <c r="AP39" s="115">
        <v>4.0149929968843603</v>
      </c>
      <c r="AQ39" s="115">
        <v>0</v>
      </c>
      <c r="AR39" s="115">
        <v>0</v>
      </c>
      <c r="AS39" s="115">
        <v>0</v>
      </c>
      <c r="AT39" s="116">
        <v>5.6921512328017503</v>
      </c>
    </row>
    <row r="40" spans="2:46" ht="12" customHeight="1" x14ac:dyDescent="0.3">
      <c r="B40" s="114" t="s">
        <v>22</v>
      </c>
      <c r="C40" s="115" t="s">
        <v>33</v>
      </c>
      <c r="D40" s="115" t="s">
        <v>24</v>
      </c>
      <c r="E40" s="115" t="s">
        <v>24</v>
      </c>
      <c r="F40" s="115" t="s">
        <v>25</v>
      </c>
      <c r="G40" s="115" t="s">
        <v>35</v>
      </c>
      <c r="H40" s="115" t="s">
        <v>79</v>
      </c>
      <c r="I40" s="115" t="s">
        <v>25</v>
      </c>
      <c r="J40" s="115">
        <v>350.77</v>
      </c>
      <c r="K40" s="115">
        <v>222.82</v>
      </c>
      <c r="L40" s="115">
        <v>13.3335538226296</v>
      </c>
      <c r="M40" s="115">
        <v>1.01547673063622</v>
      </c>
      <c r="N40" s="115">
        <v>2.6426285410739898</v>
      </c>
      <c r="O40" s="115">
        <v>0</v>
      </c>
      <c r="P40" s="115">
        <v>0</v>
      </c>
      <c r="Q40" s="115">
        <v>93.489848237378396</v>
      </c>
      <c r="R40" s="115">
        <v>14.799409177241399</v>
      </c>
      <c r="S40" s="115">
        <v>0</v>
      </c>
      <c r="T40" s="115">
        <v>24.952724884437199</v>
      </c>
      <c r="U40" s="115">
        <v>11.8261306788533</v>
      </c>
      <c r="V40" s="115">
        <v>0</v>
      </c>
      <c r="W40" s="115">
        <v>0</v>
      </c>
      <c r="X40" s="115">
        <v>0</v>
      </c>
      <c r="Y40" s="115">
        <v>0</v>
      </c>
      <c r="Z40" s="115">
        <v>0</v>
      </c>
      <c r="AA40" s="115">
        <v>162.48625941758601</v>
      </c>
      <c r="AB40" s="115">
        <v>0</v>
      </c>
      <c r="AC40" s="115">
        <v>0</v>
      </c>
      <c r="AD40" s="115">
        <v>0</v>
      </c>
      <c r="AE40" s="115">
        <v>23.535883456417601</v>
      </c>
      <c r="AF40" s="115">
        <v>0.69257380128731605</v>
      </c>
      <c r="AG40" s="115">
        <v>1.5791119310669399</v>
      </c>
      <c r="AH40" s="115">
        <v>0.41144628214016199</v>
      </c>
      <c r="AI40" s="115">
        <v>5.4675022620039604</v>
      </c>
      <c r="AJ40" s="115">
        <v>-17.459208153924099</v>
      </c>
      <c r="AK40" s="115">
        <v>2.4026594780442001</v>
      </c>
      <c r="AL40" s="115">
        <v>20.904860752770901</v>
      </c>
      <c r="AM40" s="115">
        <v>0</v>
      </c>
      <c r="AN40" s="115">
        <v>195.97506704063099</v>
      </c>
      <c r="AO40" s="115">
        <v>5.8254955890081401</v>
      </c>
      <c r="AP40" s="115">
        <v>4.0149929968843603</v>
      </c>
      <c r="AQ40" s="115">
        <v>0</v>
      </c>
      <c r="AR40" s="115">
        <v>0</v>
      </c>
      <c r="AS40" s="115">
        <v>0</v>
      </c>
      <c r="AT40" s="116">
        <v>5.6921512328017503</v>
      </c>
    </row>
    <row r="41" spans="2:46" ht="12" customHeight="1" x14ac:dyDescent="0.3">
      <c r="B41" s="114" t="s">
        <v>22</v>
      </c>
      <c r="C41" s="115" t="s">
        <v>23</v>
      </c>
      <c r="D41" s="115" t="s">
        <v>24</v>
      </c>
      <c r="E41" s="115" t="s">
        <v>1430</v>
      </c>
      <c r="F41" s="115" t="s">
        <v>25</v>
      </c>
      <c r="G41" s="115" t="s">
        <v>25</v>
      </c>
      <c r="H41" s="115" t="s">
        <v>79</v>
      </c>
      <c r="I41" s="115" t="s">
        <v>25</v>
      </c>
      <c r="J41" s="115">
        <v>337.52</v>
      </c>
      <c r="K41" s="115">
        <v>234.58</v>
      </c>
      <c r="L41" s="115">
        <v>0</v>
      </c>
      <c r="M41" s="115">
        <v>1.01547673063622</v>
      </c>
      <c r="N41" s="115">
        <v>3.7279551894895802</v>
      </c>
      <c r="O41" s="115">
        <v>0</v>
      </c>
      <c r="P41" s="115">
        <v>0</v>
      </c>
      <c r="Q41" s="115">
        <v>0</v>
      </c>
      <c r="R41" s="115">
        <v>0</v>
      </c>
      <c r="S41" s="115">
        <v>0</v>
      </c>
      <c r="T41" s="115">
        <v>38.3888872938305</v>
      </c>
      <c r="U41" s="115">
        <v>18.194003047357398</v>
      </c>
      <c r="V41" s="115">
        <v>0</v>
      </c>
      <c r="W41" s="115">
        <v>0</v>
      </c>
      <c r="X41" s="115">
        <v>0</v>
      </c>
      <c r="Y41" s="115">
        <v>0</v>
      </c>
      <c r="Z41" s="115">
        <v>0</v>
      </c>
      <c r="AA41" s="115">
        <v>249.97889535353099</v>
      </c>
      <c r="AB41" s="115">
        <v>0</v>
      </c>
      <c r="AC41" s="115">
        <v>0</v>
      </c>
      <c r="AD41" s="115">
        <v>0</v>
      </c>
      <c r="AE41" s="115">
        <v>23.535883456417601</v>
      </c>
      <c r="AF41" s="115">
        <v>0.69257380128731605</v>
      </c>
      <c r="AG41" s="115">
        <v>1.5791119310669399</v>
      </c>
      <c r="AH41" s="115">
        <v>0.41144628214016199</v>
      </c>
      <c r="AI41" s="115">
        <v>5.4675022620039604</v>
      </c>
      <c r="AJ41" s="115">
        <v>-17.459208153924099</v>
      </c>
      <c r="AK41" s="115">
        <v>2.4026594780442001</v>
      </c>
      <c r="AL41" s="115">
        <v>20.904860752770901</v>
      </c>
      <c r="AM41" s="115">
        <v>0</v>
      </c>
      <c r="AN41" s="115">
        <v>207.73357106306901</v>
      </c>
      <c r="AO41" s="115">
        <v>5.8254955890081401</v>
      </c>
      <c r="AP41" s="115">
        <v>4.0149929968843603</v>
      </c>
      <c r="AQ41" s="115">
        <v>0</v>
      </c>
      <c r="AR41" s="115">
        <v>0</v>
      </c>
      <c r="AS41" s="115">
        <v>0</v>
      </c>
      <c r="AT41" s="116">
        <v>5.6921512328017503</v>
      </c>
    </row>
    <row r="42" spans="2:46" ht="12" customHeight="1" x14ac:dyDescent="0.3">
      <c r="B42" s="114" t="s">
        <v>22</v>
      </c>
      <c r="C42" s="115" t="s">
        <v>23</v>
      </c>
      <c r="D42" s="115" t="s">
        <v>24</v>
      </c>
      <c r="E42" s="115" t="s">
        <v>24</v>
      </c>
      <c r="F42" s="115" t="s">
        <v>25</v>
      </c>
      <c r="G42" s="115" t="s">
        <v>25</v>
      </c>
      <c r="H42" s="115" t="s">
        <v>79</v>
      </c>
      <c r="I42" s="115" t="s">
        <v>25</v>
      </c>
      <c r="J42" s="115">
        <v>459.16</v>
      </c>
      <c r="K42" s="115">
        <v>234.58</v>
      </c>
      <c r="L42" s="115">
        <v>13.3335538226296</v>
      </c>
      <c r="M42" s="115">
        <v>1.01547673063622</v>
      </c>
      <c r="N42" s="115">
        <v>3.73969248564562</v>
      </c>
      <c r="O42" s="115">
        <v>0</v>
      </c>
      <c r="P42" s="115">
        <v>0</v>
      </c>
      <c r="Q42" s="115">
        <v>93.489848237378396</v>
      </c>
      <c r="R42" s="115">
        <v>14.799409177241399</v>
      </c>
      <c r="S42" s="115">
        <v>0</v>
      </c>
      <c r="T42" s="115">
        <v>38.3888872938305</v>
      </c>
      <c r="U42" s="115">
        <v>18.194003047357398</v>
      </c>
      <c r="V42" s="115">
        <v>0</v>
      </c>
      <c r="W42" s="115">
        <v>0</v>
      </c>
      <c r="X42" s="115">
        <v>0</v>
      </c>
      <c r="Y42" s="115">
        <v>0</v>
      </c>
      <c r="Z42" s="115">
        <v>0</v>
      </c>
      <c r="AA42" s="115">
        <v>249.97889535353099</v>
      </c>
      <c r="AB42" s="115">
        <v>0</v>
      </c>
      <c r="AC42" s="115">
        <v>0</v>
      </c>
      <c r="AD42" s="115">
        <v>0</v>
      </c>
      <c r="AE42" s="115">
        <v>23.535883456417601</v>
      </c>
      <c r="AF42" s="115">
        <v>0.69257380128731605</v>
      </c>
      <c r="AG42" s="115">
        <v>1.5791119310669399</v>
      </c>
      <c r="AH42" s="115">
        <v>0.41144628214016199</v>
      </c>
      <c r="AI42" s="115">
        <v>5.4675022620039604</v>
      </c>
      <c r="AJ42" s="115">
        <v>-17.459208153924099</v>
      </c>
      <c r="AK42" s="115">
        <v>2.4026594780442001</v>
      </c>
      <c r="AL42" s="115">
        <v>20.904860752770901</v>
      </c>
      <c r="AM42" s="115">
        <v>0</v>
      </c>
      <c r="AN42" s="115">
        <v>207.73357106306901</v>
      </c>
      <c r="AO42" s="115">
        <v>5.8254955890081401</v>
      </c>
      <c r="AP42" s="115">
        <v>4.0149929968843603</v>
      </c>
      <c r="AQ42" s="115">
        <v>0</v>
      </c>
      <c r="AR42" s="115">
        <v>0</v>
      </c>
      <c r="AS42" s="115">
        <v>0</v>
      </c>
      <c r="AT42" s="116">
        <v>5.6921512328017503</v>
      </c>
    </row>
    <row r="43" spans="2:46" ht="12" customHeight="1" x14ac:dyDescent="0.3">
      <c r="B43" s="114" t="s">
        <v>22</v>
      </c>
      <c r="C43" s="115" t="s">
        <v>93</v>
      </c>
      <c r="D43" s="115" t="s">
        <v>24</v>
      </c>
      <c r="E43" s="115" t="s">
        <v>1430</v>
      </c>
      <c r="F43" s="115" t="s">
        <v>25</v>
      </c>
      <c r="G43" s="115" t="s">
        <v>25</v>
      </c>
      <c r="H43" s="115" t="s">
        <v>79</v>
      </c>
      <c r="I43" s="115" t="s">
        <v>25</v>
      </c>
      <c r="J43" s="115">
        <v>337.52</v>
      </c>
      <c r="K43" s="115">
        <v>234.58</v>
      </c>
      <c r="L43" s="115">
        <v>0</v>
      </c>
      <c r="M43" s="115">
        <v>1.01547673063622</v>
      </c>
      <c r="N43" s="115">
        <v>3.7279551894895802</v>
      </c>
      <c r="O43" s="115">
        <v>0</v>
      </c>
      <c r="P43" s="115">
        <v>0</v>
      </c>
      <c r="Q43" s="115">
        <v>0</v>
      </c>
      <c r="R43" s="115">
        <v>0</v>
      </c>
      <c r="S43" s="115">
        <v>0</v>
      </c>
      <c r="T43" s="115">
        <v>38.3888872938305</v>
      </c>
      <c r="U43" s="115">
        <v>18.194003047357398</v>
      </c>
      <c r="V43" s="115">
        <v>0</v>
      </c>
      <c r="W43" s="115">
        <v>0</v>
      </c>
      <c r="X43" s="115">
        <v>0</v>
      </c>
      <c r="Y43" s="115">
        <v>0</v>
      </c>
      <c r="Z43" s="115">
        <v>0</v>
      </c>
      <c r="AA43" s="115">
        <v>249.97889535353099</v>
      </c>
      <c r="AB43" s="115">
        <v>0</v>
      </c>
      <c r="AC43" s="115">
        <v>0</v>
      </c>
      <c r="AD43" s="115">
        <v>0</v>
      </c>
      <c r="AE43" s="115">
        <v>23.535883456417601</v>
      </c>
      <c r="AF43" s="115">
        <v>0.69257380128731605</v>
      </c>
      <c r="AG43" s="115">
        <v>1.5791119310669399</v>
      </c>
      <c r="AH43" s="115">
        <v>0.41144628214016199</v>
      </c>
      <c r="AI43" s="115">
        <v>5.4675022620039604</v>
      </c>
      <c r="AJ43" s="115">
        <v>-17.459208153924099</v>
      </c>
      <c r="AK43" s="115">
        <v>2.4026594780442001</v>
      </c>
      <c r="AL43" s="115">
        <v>20.904860752770901</v>
      </c>
      <c r="AM43" s="115">
        <v>0</v>
      </c>
      <c r="AN43" s="115">
        <v>207.73357106306901</v>
      </c>
      <c r="AO43" s="115">
        <v>5.8254955890081401</v>
      </c>
      <c r="AP43" s="115">
        <v>4.0149929968843603</v>
      </c>
      <c r="AQ43" s="115">
        <v>0</v>
      </c>
      <c r="AR43" s="115">
        <v>0</v>
      </c>
      <c r="AS43" s="115">
        <v>0</v>
      </c>
      <c r="AT43" s="116">
        <v>5.6921512328017503</v>
      </c>
    </row>
    <row r="44" spans="2:46" ht="12" customHeight="1" x14ac:dyDescent="0.3">
      <c r="B44" s="114" t="s">
        <v>22</v>
      </c>
      <c r="C44" s="115" t="s">
        <v>93</v>
      </c>
      <c r="D44" s="115" t="s">
        <v>24</v>
      </c>
      <c r="E44" s="115" t="s">
        <v>24</v>
      </c>
      <c r="F44" s="115" t="s">
        <v>25</v>
      </c>
      <c r="G44" s="115" t="s">
        <v>25</v>
      </c>
      <c r="H44" s="115" t="s">
        <v>79</v>
      </c>
      <c r="I44" s="115" t="s">
        <v>25</v>
      </c>
      <c r="J44" s="115">
        <v>459.16</v>
      </c>
      <c r="K44" s="115">
        <v>234.58</v>
      </c>
      <c r="L44" s="115">
        <v>13.3335538226296</v>
      </c>
      <c r="M44" s="115">
        <v>1.01547673063622</v>
      </c>
      <c r="N44" s="115">
        <v>3.73969248564562</v>
      </c>
      <c r="O44" s="115">
        <v>0</v>
      </c>
      <c r="P44" s="115">
        <v>0</v>
      </c>
      <c r="Q44" s="115">
        <v>93.489848237378396</v>
      </c>
      <c r="R44" s="115">
        <v>14.799409177241399</v>
      </c>
      <c r="S44" s="115">
        <v>0</v>
      </c>
      <c r="T44" s="115">
        <v>38.3888872938305</v>
      </c>
      <c r="U44" s="115">
        <v>18.194003047357398</v>
      </c>
      <c r="V44" s="115">
        <v>0</v>
      </c>
      <c r="W44" s="115">
        <v>0</v>
      </c>
      <c r="X44" s="115">
        <v>0</v>
      </c>
      <c r="Y44" s="115">
        <v>0</v>
      </c>
      <c r="Z44" s="115">
        <v>0</v>
      </c>
      <c r="AA44" s="115">
        <v>249.97889535353099</v>
      </c>
      <c r="AB44" s="115">
        <v>0</v>
      </c>
      <c r="AC44" s="115">
        <v>0</v>
      </c>
      <c r="AD44" s="115">
        <v>0</v>
      </c>
      <c r="AE44" s="115">
        <v>23.535883456417601</v>
      </c>
      <c r="AF44" s="115">
        <v>0.69257380128731605</v>
      </c>
      <c r="AG44" s="115">
        <v>1.5791119310669399</v>
      </c>
      <c r="AH44" s="115">
        <v>0.41144628214016199</v>
      </c>
      <c r="AI44" s="115">
        <v>5.4675022620039604</v>
      </c>
      <c r="AJ44" s="115">
        <v>-17.459208153924099</v>
      </c>
      <c r="AK44" s="115">
        <v>2.4026594780442001</v>
      </c>
      <c r="AL44" s="115">
        <v>20.904860752770901</v>
      </c>
      <c r="AM44" s="115">
        <v>0</v>
      </c>
      <c r="AN44" s="115">
        <v>207.73357106306901</v>
      </c>
      <c r="AO44" s="115">
        <v>5.8254955890081401</v>
      </c>
      <c r="AP44" s="115">
        <v>4.0149929968843603</v>
      </c>
      <c r="AQ44" s="115">
        <v>0</v>
      </c>
      <c r="AR44" s="115">
        <v>0</v>
      </c>
      <c r="AS44" s="115">
        <v>0</v>
      </c>
      <c r="AT44" s="116">
        <v>5.6921512328017503</v>
      </c>
    </row>
    <row r="45" spans="2:46" ht="12" customHeight="1" x14ac:dyDescent="0.3">
      <c r="B45" s="114" t="s">
        <v>43</v>
      </c>
      <c r="C45" s="115" t="s">
        <v>33</v>
      </c>
      <c r="D45" s="115" t="s">
        <v>44</v>
      </c>
      <c r="E45" s="115" t="s">
        <v>94</v>
      </c>
      <c r="F45" s="115" t="s">
        <v>25</v>
      </c>
      <c r="G45" s="115" t="s">
        <v>34</v>
      </c>
      <c r="H45" s="115" t="s">
        <v>79</v>
      </c>
      <c r="I45" s="115" t="s">
        <v>25</v>
      </c>
      <c r="J45" s="115">
        <v>1101.17</v>
      </c>
      <c r="K45" s="115">
        <v>342.09</v>
      </c>
      <c r="L45" s="115">
        <v>12.5335405932718</v>
      </c>
      <c r="M45" s="115">
        <v>0.95454812679805001</v>
      </c>
      <c r="N45" s="115">
        <v>10.292029438934801</v>
      </c>
      <c r="O45" s="115">
        <v>0</v>
      </c>
      <c r="P45" s="115">
        <v>0</v>
      </c>
      <c r="Q45" s="115">
        <v>87.880457343135703</v>
      </c>
      <c r="R45" s="115">
        <v>13.911444626606899</v>
      </c>
      <c r="S45" s="115">
        <v>0</v>
      </c>
      <c r="T45" s="115">
        <v>119.08235275804201</v>
      </c>
      <c r="U45" s="115">
        <v>56.437743500529301</v>
      </c>
      <c r="V45" s="115">
        <v>0</v>
      </c>
      <c r="W45" s="115">
        <v>0</v>
      </c>
      <c r="X45" s="115">
        <v>0</v>
      </c>
      <c r="Y45" s="115">
        <v>0</v>
      </c>
      <c r="Z45" s="115">
        <v>0</v>
      </c>
      <c r="AA45" s="115">
        <v>775.43459701208303</v>
      </c>
      <c r="AB45" s="115">
        <v>0</v>
      </c>
      <c r="AC45" s="115">
        <v>0</v>
      </c>
      <c r="AD45" s="115">
        <v>0</v>
      </c>
      <c r="AE45" s="115">
        <v>22.1237304490325</v>
      </c>
      <c r="AF45" s="115">
        <v>0.65101937321007697</v>
      </c>
      <c r="AG45" s="115">
        <v>1.4843652152029301</v>
      </c>
      <c r="AH45" s="115">
        <v>0.38675950521175301</v>
      </c>
      <c r="AI45" s="115">
        <v>5.1394521262837198</v>
      </c>
      <c r="AJ45" s="115">
        <v>-16.411655664688698</v>
      </c>
      <c r="AK45" s="115">
        <v>2.2584999093615501</v>
      </c>
      <c r="AL45" s="115">
        <v>19.6505691076046</v>
      </c>
      <c r="AM45" s="115">
        <v>0</v>
      </c>
      <c r="AN45" s="115">
        <v>316.85248839129201</v>
      </c>
      <c r="AO45" s="115">
        <v>5.4759658536676499</v>
      </c>
      <c r="AP45" s="115">
        <v>3.7740934170712999</v>
      </c>
      <c r="AQ45" s="115">
        <v>0</v>
      </c>
      <c r="AR45" s="115">
        <v>0</v>
      </c>
      <c r="AS45" s="115">
        <v>0</v>
      </c>
      <c r="AT45" s="116">
        <v>5.3506221588336498</v>
      </c>
    </row>
    <row r="46" spans="2:46" ht="12" customHeight="1" x14ac:dyDescent="0.3">
      <c r="B46" s="114" t="s">
        <v>43</v>
      </c>
      <c r="C46" s="115" t="s">
        <v>33</v>
      </c>
      <c r="D46" s="115" t="s">
        <v>44</v>
      </c>
      <c r="E46" s="115" t="s">
        <v>94</v>
      </c>
      <c r="F46" s="115" t="s">
        <v>25</v>
      </c>
      <c r="G46" s="115" t="s">
        <v>36</v>
      </c>
      <c r="H46" s="115" t="s">
        <v>79</v>
      </c>
      <c r="I46" s="115" t="s">
        <v>25</v>
      </c>
      <c r="J46" s="115">
        <v>716.9</v>
      </c>
      <c r="K46" s="115">
        <v>209.45</v>
      </c>
      <c r="L46" s="115">
        <v>12.5335405932718</v>
      </c>
      <c r="M46" s="115">
        <v>0.95454812679805001</v>
      </c>
      <c r="N46" s="115">
        <v>6.4027825766359001</v>
      </c>
      <c r="O46" s="115">
        <v>0</v>
      </c>
      <c r="P46" s="115">
        <v>0</v>
      </c>
      <c r="Q46" s="115">
        <v>87.880457343135703</v>
      </c>
      <c r="R46" s="115">
        <v>13.911444626606899</v>
      </c>
      <c r="S46" s="115">
        <v>0</v>
      </c>
      <c r="T46" s="115">
        <v>71.449436027404801</v>
      </c>
      <c r="U46" s="115">
        <v>33.862667681266998</v>
      </c>
      <c r="V46" s="115">
        <v>0</v>
      </c>
      <c r="W46" s="115">
        <v>0</v>
      </c>
      <c r="X46" s="115">
        <v>0</v>
      </c>
      <c r="Y46" s="115">
        <v>0</v>
      </c>
      <c r="Z46" s="115">
        <v>0</v>
      </c>
      <c r="AA46" s="115">
        <v>465.26073699877298</v>
      </c>
      <c r="AB46" s="115">
        <v>0</v>
      </c>
      <c r="AC46" s="115">
        <v>0</v>
      </c>
      <c r="AD46" s="115">
        <v>0</v>
      </c>
      <c r="AE46" s="115">
        <v>22.1237304490325</v>
      </c>
      <c r="AF46" s="115">
        <v>0.65101937321007697</v>
      </c>
      <c r="AG46" s="115">
        <v>1.4843652152029301</v>
      </c>
      <c r="AH46" s="115">
        <v>0.38675950521175301</v>
      </c>
      <c r="AI46" s="115">
        <v>5.1394521262837198</v>
      </c>
      <c r="AJ46" s="115">
        <v>-16.411655664688698</v>
      </c>
      <c r="AK46" s="115">
        <v>2.2584999093615501</v>
      </c>
      <c r="AL46" s="115">
        <v>19.6505691076046</v>
      </c>
      <c r="AM46" s="115">
        <v>0</v>
      </c>
      <c r="AN46" s="115">
        <v>184.216563018193</v>
      </c>
      <c r="AO46" s="115">
        <v>5.4759658536676499</v>
      </c>
      <c r="AP46" s="115">
        <v>3.7740934170712999</v>
      </c>
      <c r="AQ46" s="115">
        <v>0</v>
      </c>
      <c r="AR46" s="115">
        <v>0</v>
      </c>
      <c r="AS46" s="115">
        <v>0</v>
      </c>
      <c r="AT46" s="116">
        <v>5.3506221588336498</v>
      </c>
    </row>
    <row r="47" spans="2:46" ht="12" customHeight="1" x14ac:dyDescent="0.3">
      <c r="B47" s="114" t="s">
        <v>43</v>
      </c>
      <c r="C47" s="115" t="s">
        <v>33</v>
      </c>
      <c r="D47" s="115" t="s">
        <v>44</v>
      </c>
      <c r="E47" s="115" t="s">
        <v>94</v>
      </c>
      <c r="F47" s="115" t="s">
        <v>25</v>
      </c>
      <c r="G47" s="115" t="s">
        <v>35</v>
      </c>
      <c r="H47" s="115" t="s">
        <v>79</v>
      </c>
      <c r="I47" s="115" t="s">
        <v>25</v>
      </c>
      <c r="J47" s="115">
        <v>332.63</v>
      </c>
      <c r="K47" s="115">
        <v>209.45</v>
      </c>
      <c r="L47" s="115">
        <v>12.5335405932718</v>
      </c>
      <c r="M47" s="115">
        <v>0.95454812679805001</v>
      </c>
      <c r="N47" s="115">
        <v>2.5135357143369998</v>
      </c>
      <c r="O47" s="115">
        <v>0</v>
      </c>
      <c r="P47" s="115">
        <v>0</v>
      </c>
      <c r="Q47" s="115">
        <v>87.880457343135703</v>
      </c>
      <c r="R47" s="115">
        <v>13.911444626606899</v>
      </c>
      <c r="S47" s="115">
        <v>0</v>
      </c>
      <c r="T47" s="115">
        <v>23.816519296767801</v>
      </c>
      <c r="U47" s="115">
        <v>11.2875918620046</v>
      </c>
      <c r="V47" s="115">
        <v>0</v>
      </c>
      <c r="W47" s="115">
        <v>0</v>
      </c>
      <c r="X47" s="115">
        <v>0</v>
      </c>
      <c r="Y47" s="115">
        <v>0</v>
      </c>
      <c r="Z47" s="115">
        <v>0</v>
      </c>
      <c r="AA47" s="115">
        <v>155.08687698546399</v>
      </c>
      <c r="AB47" s="115">
        <v>0</v>
      </c>
      <c r="AC47" s="115">
        <v>0</v>
      </c>
      <c r="AD47" s="115">
        <v>0</v>
      </c>
      <c r="AE47" s="115">
        <v>22.1237304490325</v>
      </c>
      <c r="AF47" s="115">
        <v>0.65101937321007697</v>
      </c>
      <c r="AG47" s="115">
        <v>1.4843652152029301</v>
      </c>
      <c r="AH47" s="115">
        <v>0.38675950521175301</v>
      </c>
      <c r="AI47" s="115">
        <v>5.1394521262837198</v>
      </c>
      <c r="AJ47" s="115">
        <v>-16.411655664688698</v>
      </c>
      <c r="AK47" s="115">
        <v>2.2584999093615501</v>
      </c>
      <c r="AL47" s="115">
        <v>19.6505691076046</v>
      </c>
      <c r="AM47" s="115">
        <v>0</v>
      </c>
      <c r="AN47" s="115">
        <v>184.216563018193</v>
      </c>
      <c r="AO47" s="115">
        <v>5.4759658536676499</v>
      </c>
      <c r="AP47" s="115">
        <v>3.7740934170712999</v>
      </c>
      <c r="AQ47" s="115">
        <v>0</v>
      </c>
      <c r="AR47" s="115">
        <v>0</v>
      </c>
      <c r="AS47" s="115">
        <v>0</v>
      </c>
      <c r="AT47" s="116">
        <v>5.3506221588336498</v>
      </c>
    </row>
    <row r="48" spans="2:46" ht="12" customHeight="1" x14ac:dyDescent="0.3">
      <c r="B48" s="114" t="s">
        <v>43</v>
      </c>
      <c r="C48" s="115" t="s">
        <v>33</v>
      </c>
      <c r="D48" s="115" t="s">
        <v>44</v>
      </c>
      <c r="E48" s="115" t="s">
        <v>25</v>
      </c>
      <c r="F48" s="115" t="s">
        <v>25</v>
      </c>
      <c r="G48" s="115" t="s">
        <v>34</v>
      </c>
      <c r="H48" s="115" t="s">
        <v>79</v>
      </c>
      <c r="I48" s="115" t="s">
        <v>25</v>
      </c>
      <c r="J48" s="115">
        <v>1101.17</v>
      </c>
      <c r="K48" s="115">
        <v>342.09</v>
      </c>
      <c r="L48" s="115">
        <v>12.5335405932718</v>
      </c>
      <c r="M48" s="115">
        <v>0.95454812679805001</v>
      </c>
      <c r="N48" s="115">
        <v>10.292029438934801</v>
      </c>
      <c r="O48" s="115">
        <v>0</v>
      </c>
      <c r="P48" s="115">
        <v>0</v>
      </c>
      <c r="Q48" s="115">
        <v>87.880457343135703</v>
      </c>
      <c r="R48" s="115">
        <v>13.911444626606899</v>
      </c>
      <c r="S48" s="115">
        <v>0</v>
      </c>
      <c r="T48" s="115">
        <v>119.08235275804201</v>
      </c>
      <c r="U48" s="115">
        <v>56.437743500529301</v>
      </c>
      <c r="V48" s="115">
        <v>0</v>
      </c>
      <c r="W48" s="115">
        <v>0</v>
      </c>
      <c r="X48" s="115">
        <v>0</v>
      </c>
      <c r="Y48" s="115">
        <v>0</v>
      </c>
      <c r="Z48" s="115">
        <v>0</v>
      </c>
      <c r="AA48" s="115">
        <v>775.43459701208303</v>
      </c>
      <c r="AB48" s="115">
        <v>0</v>
      </c>
      <c r="AC48" s="115">
        <v>0</v>
      </c>
      <c r="AD48" s="115">
        <v>0</v>
      </c>
      <c r="AE48" s="115">
        <v>22.1237304490325</v>
      </c>
      <c r="AF48" s="115">
        <v>0.65101937321007697</v>
      </c>
      <c r="AG48" s="115">
        <v>1.4843652152029301</v>
      </c>
      <c r="AH48" s="115">
        <v>0.38675950521175301</v>
      </c>
      <c r="AI48" s="115">
        <v>5.1394521262837198</v>
      </c>
      <c r="AJ48" s="115">
        <v>-16.411655664688698</v>
      </c>
      <c r="AK48" s="115">
        <v>2.2584999093615501</v>
      </c>
      <c r="AL48" s="115">
        <v>19.6505691076046</v>
      </c>
      <c r="AM48" s="115">
        <v>0</v>
      </c>
      <c r="AN48" s="115">
        <v>316.85248839129201</v>
      </c>
      <c r="AO48" s="115">
        <v>5.4759658536676499</v>
      </c>
      <c r="AP48" s="115">
        <v>3.7740934170712999</v>
      </c>
      <c r="AQ48" s="115">
        <v>0</v>
      </c>
      <c r="AR48" s="115">
        <v>0</v>
      </c>
      <c r="AS48" s="115">
        <v>0</v>
      </c>
      <c r="AT48" s="116">
        <v>5.3506221588336498</v>
      </c>
    </row>
    <row r="49" spans="2:46" ht="12" customHeight="1" x14ac:dyDescent="0.3">
      <c r="B49" s="114" t="s">
        <v>43</v>
      </c>
      <c r="C49" s="115" t="s">
        <v>33</v>
      </c>
      <c r="D49" s="115" t="s">
        <v>44</v>
      </c>
      <c r="E49" s="115" t="s">
        <v>25</v>
      </c>
      <c r="F49" s="115" t="s">
        <v>25</v>
      </c>
      <c r="G49" s="115" t="s">
        <v>36</v>
      </c>
      <c r="H49" s="115" t="s">
        <v>79</v>
      </c>
      <c r="I49" s="115" t="s">
        <v>25</v>
      </c>
      <c r="J49" s="115">
        <v>716.9</v>
      </c>
      <c r="K49" s="115">
        <v>209.45</v>
      </c>
      <c r="L49" s="115">
        <v>12.5335405932718</v>
      </c>
      <c r="M49" s="115">
        <v>0.95454812679805001</v>
      </c>
      <c r="N49" s="115">
        <v>6.4027825766359001</v>
      </c>
      <c r="O49" s="115">
        <v>0</v>
      </c>
      <c r="P49" s="115">
        <v>0</v>
      </c>
      <c r="Q49" s="115">
        <v>87.880457343135703</v>
      </c>
      <c r="R49" s="115">
        <v>13.911444626606899</v>
      </c>
      <c r="S49" s="115">
        <v>0</v>
      </c>
      <c r="T49" s="115">
        <v>71.449436027404801</v>
      </c>
      <c r="U49" s="115">
        <v>33.862667681266998</v>
      </c>
      <c r="V49" s="115">
        <v>0</v>
      </c>
      <c r="W49" s="115">
        <v>0</v>
      </c>
      <c r="X49" s="115">
        <v>0</v>
      </c>
      <c r="Y49" s="115">
        <v>0</v>
      </c>
      <c r="Z49" s="115">
        <v>0</v>
      </c>
      <c r="AA49" s="115">
        <v>465.26073699877298</v>
      </c>
      <c r="AB49" s="115">
        <v>0</v>
      </c>
      <c r="AC49" s="115">
        <v>0</v>
      </c>
      <c r="AD49" s="115">
        <v>0</v>
      </c>
      <c r="AE49" s="115">
        <v>22.1237304490325</v>
      </c>
      <c r="AF49" s="115">
        <v>0.65101937321007697</v>
      </c>
      <c r="AG49" s="115">
        <v>1.4843652152029301</v>
      </c>
      <c r="AH49" s="115">
        <v>0.38675950521175301</v>
      </c>
      <c r="AI49" s="115">
        <v>5.1394521262837198</v>
      </c>
      <c r="AJ49" s="115">
        <v>-16.411655664688698</v>
      </c>
      <c r="AK49" s="115">
        <v>2.2584999093615501</v>
      </c>
      <c r="AL49" s="115">
        <v>19.6505691076046</v>
      </c>
      <c r="AM49" s="115">
        <v>0</v>
      </c>
      <c r="AN49" s="115">
        <v>184.216563018193</v>
      </c>
      <c r="AO49" s="115">
        <v>5.4759658536676499</v>
      </c>
      <c r="AP49" s="115">
        <v>3.7740934170712999</v>
      </c>
      <c r="AQ49" s="115">
        <v>0</v>
      </c>
      <c r="AR49" s="115">
        <v>0</v>
      </c>
      <c r="AS49" s="115">
        <v>0</v>
      </c>
      <c r="AT49" s="116">
        <v>5.3506221588336498</v>
      </c>
    </row>
    <row r="50" spans="2:46" ht="12" customHeight="1" x14ac:dyDescent="0.3">
      <c r="B50" s="114" t="s">
        <v>43</v>
      </c>
      <c r="C50" s="115" t="s">
        <v>33</v>
      </c>
      <c r="D50" s="115" t="s">
        <v>44</v>
      </c>
      <c r="E50" s="115" t="s">
        <v>25</v>
      </c>
      <c r="F50" s="115" t="s">
        <v>25</v>
      </c>
      <c r="G50" s="115" t="s">
        <v>35</v>
      </c>
      <c r="H50" s="115" t="s">
        <v>79</v>
      </c>
      <c r="I50" s="115" t="s">
        <v>25</v>
      </c>
      <c r="J50" s="115">
        <v>332.63</v>
      </c>
      <c r="K50" s="115">
        <v>209.45</v>
      </c>
      <c r="L50" s="115">
        <v>12.5335405932718</v>
      </c>
      <c r="M50" s="115">
        <v>0.95454812679805001</v>
      </c>
      <c r="N50" s="115">
        <v>2.5135357143369998</v>
      </c>
      <c r="O50" s="115">
        <v>0</v>
      </c>
      <c r="P50" s="115">
        <v>0</v>
      </c>
      <c r="Q50" s="115">
        <v>87.880457343135703</v>
      </c>
      <c r="R50" s="115">
        <v>13.911444626606899</v>
      </c>
      <c r="S50" s="115">
        <v>0</v>
      </c>
      <c r="T50" s="115">
        <v>23.816519296767801</v>
      </c>
      <c r="U50" s="115">
        <v>11.2875918620046</v>
      </c>
      <c r="V50" s="115">
        <v>0</v>
      </c>
      <c r="W50" s="115">
        <v>0</v>
      </c>
      <c r="X50" s="115">
        <v>0</v>
      </c>
      <c r="Y50" s="115">
        <v>0</v>
      </c>
      <c r="Z50" s="115">
        <v>0</v>
      </c>
      <c r="AA50" s="115">
        <v>155.08687698546399</v>
      </c>
      <c r="AB50" s="115">
        <v>0</v>
      </c>
      <c r="AC50" s="115">
        <v>0</v>
      </c>
      <c r="AD50" s="115">
        <v>0</v>
      </c>
      <c r="AE50" s="115">
        <v>22.1237304490325</v>
      </c>
      <c r="AF50" s="115">
        <v>0.65101937321007697</v>
      </c>
      <c r="AG50" s="115">
        <v>1.4843652152029301</v>
      </c>
      <c r="AH50" s="115">
        <v>0.38675950521175301</v>
      </c>
      <c r="AI50" s="115">
        <v>5.1394521262837198</v>
      </c>
      <c r="AJ50" s="115">
        <v>-16.411655664688698</v>
      </c>
      <c r="AK50" s="115">
        <v>2.2584999093615501</v>
      </c>
      <c r="AL50" s="115">
        <v>19.6505691076046</v>
      </c>
      <c r="AM50" s="115">
        <v>0</v>
      </c>
      <c r="AN50" s="115">
        <v>184.216563018193</v>
      </c>
      <c r="AO50" s="115">
        <v>5.4759658536676499</v>
      </c>
      <c r="AP50" s="115">
        <v>3.7740934170712999</v>
      </c>
      <c r="AQ50" s="115">
        <v>0</v>
      </c>
      <c r="AR50" s="115">
        <v>0</v>
      </c>
      <c r="AS50" s="115">
        <v>0</v>
      </c>
      <c r="AT50" s="116">
        <v>5.3506221588336498</v>
      </c>
    </row>
    <row r="51" spans="2:46" ht="12" customHeight="1" x14ac:dyDescent="0.3">
      <c r="B51" s="114" t="s">
        <v>43</v>
      </c>
      <c r="C51" s="115" t="s">
        <v>33</v>
      </c>
      <c r="D51" s="115" t="s">
        <v>44</v>
      </c>
      <c r="E51" s="115" t="s">
        <v>95</v>
      </c>
      <c r="F51" s="115" t="s">
        <v>25</v>
      </c>
      <c r="G51" s="115" t="s">
        <v>34</v>
      </c>
      <c r="H51" s="115" t="s">
        <v>79</v>
      </c>
      <c r="I51" s="115" t="s">
        <v>25</v>
      </c>
      <c r="J51" s="115">
        <v>1077.74</v>
      </c>
      <c r="K51" s="115">
        <v>334.81</v>
      </c>
      <c r="L51" s="115">
        <v>12.266869516819201</v>
      </c>
      <c r="M51" s="115">
        <v>0.93423859218532601</v>
      </c>
      <c r="N51" s="115">
        <v>10.0730500891702</v>
      </c>
      <c r="O51" s="115">
        <v>0</v>
      </c>
      <c r="P51" s="115">
        <v>0</v>
      </c>
      <c r="Q51" s="115">
        <v>86.010660378388096</v>
      </c>
      <c r="R51" s="115">
        <v>13.615456443062101</v>
      </c>
      <c r="S51" s="115">
        <v>0</v>
      </c>
      <c r="T51" s="115">
        <v>116.548685678083</v>
      </c>
      <c r="U51" s="115">
        <v>55.236940447326504</v>
      </c>
      <c r="V51" s="115">
        <v>0</v>
      </c>
      <c r="W51" s="115">
        <v>0</v>
      </c>
      <c r="X51" s="115">
        <v>0</v>
      </c>
      <c r="Y51" s="115">
        <v>0</v>
      </c>
      <c r="Z51" s="115">
        <v>0</v>
      </c>
      <c r="AA51" s="115">
        <v>758.93598856501706</v>
      </c>
      <c r="AB51" s="115">
        <v>0</v>
      </c>
      <c r="AC51" s="115">
        <v>0</v>
      </c>
      <c r="AD51" s="115">
        <v>0</v>
      </c>
      <c r="AE51" s="115">
        <v>21.653012779904198</v>
      </c>
      <c r="AF51" s="115">
        <v>0.63716789718433098</v>
      </c>
      <c r="AG51" s="115">
        <v>1.4527829765815901</v>
      </c>
      <c r="AH51" s="115">
        <v>0.37853057956894898</v>
      </c>
      <c r="AI51" s="115">
        <v>5.0301020810436397</v>
      </c>
      <c r="AJ51" s="115">
        <v>-16.062471501610201</v>
      </c>
      <c r="AK51" s="115">
        <v>2.2104467198006699</v>
      </c>
      <c r="AL51" s="115">
        <v>19.232471892549199</v>
      </c>
      <c r="AM51" s="115">
        <v>0</v>
      </c>
      <c r="AN51" s="115">
        <v>310.11094608509501</v>
      </c>
      <c r="AO51" s="115">
        <v>5.3594559418874903</v>
      </c>
      <c r="AP51" s="115">
        <v>3.6937935571336098</v>
      </c>
      <c r="AQ51" s="115">
        <v>0</v>
      </c>
      <c r="AR51" s="115">
        <v>0</v>
      </c>
      <c r="AS51" s="115">
        <v>0</v>
      </c>
      <c r="AT51" s="116">
        <v>5.2367791341776098</v>
      </c>
    </row>
    <row r="52" spans="2:46" ht="12" customHeight="1" x14ac:dyDescent="0.3">
      <c r="B52" s="114" t="s">
        <v>43</v>
      </c>
      <c r="C52" s="115" t="s">
        <v>33</v>
      </c>
      <c r="D52" s="115" t="s">
        <v>44</v>
      </c>
      <c r="E52" s="115" t="s">
        <v>95</v>
      </c>
      <c r="F52" s="115" t="s">
        <v>25</v>
      </c>
      <c r="G52" s="115" t="s">
        <v>36</v>
      </c>
      <c r="H52" s="115" t="s">
        <v>79</v>
      </c>
      <c r="I52" s="115" t="s">
        <v>25</v>
      </c>
      <c r="J52" s="115">
        <v>701.65</v>
      </c>
      <c r="K52" s="115">
        <v>205</v>
      </c>
      <c r="L52" s="115">
        <v>12.266869516819201</v>
      </c>
      <c r="M52" s="115">
        <v>0.93423859218532601</v>
      </c>
      <c r="N52" s="115">
        <v>6.2665531601117399</v>
      </c>
      <c r="O52" s="115">
        <v>0</v>
      </c>
      <c r="P52" s="115">
        <v>0</v>
      </c>
      <c r="Q52" s="115">
        <v>86.010660378388096</v>
      </c>
      <c r="R52" s="115">
        <v>13.615456443062101</v>
      </c>
      <c r="S52" s="115">
        <v>0</v>
      </c>
      <c r="T52" s="115">
        <v>69.929235260864203</v>
      </c>
      <c r="U52" s="115">
        <v>33.142185390176202</v>
      </c>
      <c r="V52" s="115">
        <v>0</v>
      </c>
      <c r="W52" s="115">
        <v>0</v>
      </c>
      <c r="X52" s="115">
        <v>0</v>
      </c>
      <c r="Y52" s="115">
        <v>0</v>
      </c>
      <c r="Z52" s="115">
        <v>0</v>
      </c>
      <c r="AA52" s="115">
        <v>455.36157238177799</v>
      </c>
      <c r="AB52" s="115">
        <v>0</v>
      </c>
      <c r="AC52" s="115">
        <v>0</v>
      </c>
      <c r="AD52" s="115">
        <v>0</v>
      </c>
      <c r="AE52" s="115">
        <v>21.653012779904198</v>
      </c>
      <c r="AF52" s="115">
        <v>0.63716789718433098</v>
      </c>
      <c r="AG52" s="115">
        <v>1.4527829765815901</v>
      </c>
      <c r="AH52" s="115">
        <v>0.37853057956894898</v>
      </c>
      <c r="AI52" s="115">
        <v>5.0301020810436397</v>
      </c>
      <c r="AJ52" s="115">
        <v>-16.062471501610201</v>
      </c>
      <c r="AK52" s="115">
        <v>2.2104467198006699</v>
      </c>
      <c r="AL52" s="115">
        <v>19.232471892549199</v>
      </c>
      <c r="AM52" s="115">
        <v>0</v>
      </c>
      <c r="AN52" s="115">
        <v>180.29706167738101</v>
      </c>
      <c r="AO52" s="115">
        <v>5.3594559418874903</v>
      </c>
      <c r="AP52" s="115">
        <v>3.6937935571336098</v>
      </c>
      <c r="AQ52" s="115">
        <v>0</v>
      </c>
      <c r="AR52" s="115">
        <v>0</v>
      </c>
      <c r="AS52" s="115">
        <v>0</v>
      </c>
      <c r="AT52" s="116">
        <v>5.2367791341776098</v>
      </c>
    </row>
    <row r="53" spans="2:46" ht="12" customHeight="1" x14ac:dyDescent="0.3">
      <c r="B53" s="114" t="s">
        <v>43</v>
      </c>
      <c r="C53" s="115" t="s">
        <v>33</v>
      </c>
      <c r="D53" s="115" t="s">
        <v>44</v>
      </c>
      <c r="E53" s="115" t="s">
        <v>95</v>
      </c>
      <c r="F53" s="115" t="s">
        <v>25</v>
      </c>
      <c r="G53" s="115" t="s">
        <v>35</v>
      </c>
      <c r="H53" s="115" t="s">
        <v>79</v>
      </c>
      <c r="I53" s="115" t="s">
        <v>25</v>
      </c>
      <c r="J53" s="115">
        <v>325.55</v>
      </c>
      <c r="K53" s="115">
        <v>205</v>
      </c>
      <c r="L53" s="115">
        <v>12.266869516819201</v>
      </c>
      <c r="M53" s="115">
        <v>0.93423859218532601</v>
      </c>
      <c r="N53" s="115">
        <v>2.4600562310532399</v>
      </c>
      <c r="O53" s="115">
        <v>0</v>
      </c>
      <c r="P53" s="115">
        <v>0</v>
      </c>
      <c r="Q53" s="115">
        <v>86.010660378388096</v>
      </c>
      <c r="R53" s="115">
        <v>13.615456443062101</v>
      </c>
      <c r="S53" s="115">
        <v>0</v>
      </c>
      <c r="T53" s="115">
        <v>23.309784843645001</v>
      </c>
      <c r="U53" s="115">
        <v>11.047430333025799</v>
      </c>
      <c r="V53" s="115">
        <v>0</v>
      </c>
      <c r="W53" s="115">
        <v>0</v>
      </c>
      <c r="X53" s="115">
        <v>0</v>
      </c>
      <c r="Y53" s="115">
        <v>0</v>
      </c>
      <c r="Z53" s="115">
        <v>0</v>
      </c>
      <c r="AA53" s="115">
        <v>151.78715619853901</v>
      </c>
      <c r="AB53" s="115">
        <v>0</v>
      </c>
      <c r="AC53" s="115">
        <v>0</v>
      </c>
      <c r="AD53" s="115">
        <v>0</v>
      </c>
      <c r="AE53" s="115">
        <v>21.653012779904198</v>
      </c>
      <c r="AF53" s="115">
        <v>0.63716789718433098</v>
      </c>
      <c r="AG53" s="115">
        <v>1.4527829765815901</v>
      </c>
      <c r="AH53" s="115">
        <v>0.37853057956894898</v>
      </c>
      <c r="AI53" s="115">
        <v>5.0301020810436397</v>
      </c>
      <c r="AJ53" s="115">
        <v>-16.062471501610201</v>
      </c>
      <c r="AK53" s="115">
        <v>2.2104467198006699</v>
      </c>
      <c r="AL53" s="115">
        <v>19.232471892549199</v>
      </c>
      <c r="AM53" s="115">
        <v>0</v>
      </c>
      <c r="AN53" s="115">
        <v>180.29706167738101</v>
      </c>
      <c r="AO53" s="115">
        <v>5.3594559418874903</v>
      </c>
      <c r="AP53" s="115">
        <v>3.6937935571336098</v>
      </c>
      <c r="AQ53" s="115">
        <v>0</v>
      </c>
      <c r="AR53" s="115">
        <v>0</v>
      </c>
      <c r="AS53" s="115">
        <v>0</v>
      </c>
      <c r="AT53" s="116">
        <v>5.2367791341776098</v>
      </c>
    </row>
    <row r="54" spans="2:46" ht="12" customHeight="1" x14ac:dyDescent="0.3">
      <c r="B54" s="114" t="s">
        <v>43</v>
      </c>
      <c r="C54" s="115" t="s">
        <v>23</v>
      </c>
      <c r="D54" s="115" t="s">
        <v>44</v>
      </c>
      <c r="E54" s="115" t="s">
        <v>94</v>
      </c>
      <c r="F54" s="115" t="s">
        <v>25</v>
      </c>
      <c r="G54" s="115" t="s">
        <v>25</v>
      </c>
      <c r="H54" s="115" t="s">
        <v>79</v>
      </c>
      <c r="I54" s="115" t="s">
        <v>25</v>
      </c>
      <c r="J54" s="115">
        <v>431.61</v>
      </c>
      <c r="K54" s="115">
        <v>220.51</v>
      </c>
      <c r="L54" s="115">
        <v>12.5335405932718</v>
      </c>
      <c r="M54" s="115">
        <v>0.95454812679805001</v>
      </c>
      <c r="N54" s="115">
        <v>3.51531093650688</v>
      </c>
      <c r="O54" s="115">
        <v>0</v>
      </c>
      <c r="P54" s="115">
        <v>0</v>
      </c>
      <c r="Q54" s="115">
        <v>87.880457343135703</v>
      </c>
      <c r="R54" s="115">
        <v>13.911444626606899</v>
      </c>
      <c r="S54" s="115">
        <v>0</v>
      </c>
      <c r="T54" s="115">
        <v>36.0855540562006</v>
      </c>
      <c r="U54" s="115">
        <v>17.102362864516</v>
      </c>
      <c r="V54" s="115">
        <v>0</v>
      </c>
      <c r="W54" s="115">
        <v>0</v>
      </c>
      <c r="X54" s="115">
        <v>0</v>
      </c>
      <c r="Y54" s="115">
        <v>0</v>
      </c>
      <c r="Z54" s="115">
        <v>0</v>
      </c>
      <c r="AA54" s="115">
        <v>234.98016163231901</v>
      </c>
      <c r="AB54" s="115">
        <v>0</v>
      </c>
      <c r="AC54" s="115">
        <v>0</v>
      </c>
      <c r="AD54" s="115">
        <v>0</v>
      </c>
      <c r="AE54" s="115">
        <v>22.1237304490325</v>
      </c>
      <c r="AF54" s="115">
        <v>0.65101937321007697</v>
      </c>
      <c r="AG54" s="115">
        <v>1.4843652152029301</v>
      </c>
      <c r="AH54" s="115">
        <v>0.38675950521175301</v>
      </c>
      <c r="AI54" s="115">
        <v>5.1394521262837198</v>
      </c>
      <c r="AJ54" s="115">
        <v>-16.411655664688698</v>
      </c>
      <c r="AK54" s="115">
        <v>2.2584999093615501</v>
      </c>
      <c r="AL54" s="115">
        <v>19.6505691076046</v>
      </c>
      <c r="AM54" s="115">
        <v>0</v>
      </c>
      <c r="AN54" s="115">
        <v>195.269556799285</v>
      </c>
      <c r="AO54" s="115">
        <v>5.4759658536676499</v>
      </c>
      <c r="AP54" s="115">
        <v>3.7740934170712999</v>
      </c>
      <c r="AQ54" s="115">
        <v>0</v>
      </c>
      <c r="AR54" s="115">
        <v>0</v>
      </c>
      <c r="AS54" s="115">
        <v>0</v>
      </c>
      <c r="AT54" s="116">
        <v>5.3506221588336498</v>
      </c>
    </row>
    <row r="55" spans="2:46" ht="12" customHeight="1" x14ac:dyDescent="0.3">
      <c r="B55" s="114" t="s">
        <v>43</v>
      </c>
      <c r="C55" s="115" t="s">
        <v>23</v>
      </c>
      <c r="D55" s="115" t="s">
        <v>44</v>
      </c>
      <c r="E55" s="115" t="s">
        <v>25</v>
      </c>
      <c r="F55" s="115" t="s">
        <v>25</v>
      </c>
      <c r="G55" s="115" t="s">
        <v>25</v>
      </c>
      <c r="H55" s="115" t="s">
        <v>79</v>
      </c>
      <c r="I55" s="115" t="s">
        <v>25</v>
      </c>
      <c r="J55" s="115">
        <v>431.61</v>
      </c>
      <c r="K55" s="115">
        <v>220.51</v>
      </c>
      <c r="L55" s="115">
        <v>12.5335405932718</v>
      </c>
      <c r="M55" s="115">
        <v>0.95454812679805001</v>
      </c>
      <c r="N55" s="115">
        <v>3.51531093650688</v>
      </c>
      <c r="O55" s="115">
        <v>0</v>
      </c>
      <c r="P55" s="115">
        <v>0</v>
      </c>
      <c r="Q55" s="115">
        <v>87.880457343135703</v>
      </c>
      <c r="R55" s="115">
        <v>13.911444626606899</v>
      </c>
      <c r="S55" s="115">
        <v>0</v>
      </c>
      <c r="T55" s="115">
        <v>36.0855540562006</v>
      </c>
      <c r="U55" s="115">
        <v>17.102362864516</v>
      </c>
      <c r="V55" s="115">
        <v>0</v>
      </c>
      <c r="W55" s="115">
        <v>0</v>
      </c>
      <c r="X55" s="115">
        <v>0</v>
      </c>
      <c r="Y55" s="115">
        <v>0</v>
      </c>
      <c r="Z55" s="115">
        <v>0</v>
      </c>
      <c r="AA55" s="115">
        <v>234.98016163231901</v>
      </c>
      <c r="AB55" s="115">
        <v>0</v>
      </c>
      <c r="AC55" s="115">
        <v>0</v>
      </c>
      <c r="AD55" s="115">
        <v>0</v>
      </c>
      <c r="AE55" s="115">
        <v>22.1237304490325</v>
      </c>
      <c r="AF55" s="115">
        <v>0.65101937321007697</v>
      </c>
      <c r="AG55" s="115">
        <v>1.4843652152029301</v>
      </c>
      <c r="AH55" s="115">
        <v>0.38675950521175301</v>
      </c>
      <c r="AI55" s="115">
        <v>5.1394521262837198</v>
      </c>
      <c r="AJ55" s="115">
        <v>-16.411655664688698</v>
      </c>
      <c r="AK55" s="115">
        <v>2.2584999093615501</v>
      </c>
      <c r="AL55" s="115">
        <v>19.6505691076046</v>
      </c>
      <c r="AM55" s="115">
        <v>0</v>
      </c>
      <c r="AN55" s="115">
        <v>195.269556799285</v>
      </c>
      <c r="AO55" s="115">
        <v>5.4759658536676499</v>
      </c>
      <c r="AP55" s="115">
        <v>3.7740934170712999</v>
      </c>
      <c r="AQ55" s="115">
        <v>0</v>
      </c>
      <c r="AR55" s="115">
        <v>0</v>
      </c>
      <c r="AS55" s="115">
        <v>0</v>
      </c>
      <c r="AT55" s="116">
        <v>5.3506221588336498</v>
      </c>
    </row>
    <row r="56" spans="2:46" ht="12" customHeight="1" x14ac:dyDescent="0.3">
      <c r="B56" s="114" t="s">
        <v>43</v>
      </c>
      <c r="C56" s="115" t="s">
        <v>23</v>
      </c>
      <c r="D56" s="115" t="s">
        <v>44</v>
      </c>
      <c r="E56" s="115" t="s">
        <v>95</v>
      </c>
      <c r="F56" s="115" t="s">
        <v>25</v>
      </c>
      <c r="G56" s="115" t="s">
        <v>25</v>
      </c>
      <c r="H56" s="115" t="s">
        <v>79</v>
      </c>
      <c r="I56" s="115" t="s">
        <v>25</v>
      </c>
      <c r="J56" s="115">
        <v>422.43</v>
      </c>
      <c r="K56" s="115">
        <v>215.82</v>
      </c>
      <c r="L56" s="115">
        <v>12.266869516819201</v>
      </c>
      <c r="M56" s="115">
        <v>0.93423859218532601</v>
      </c>
      <c r="N56" s="115">
        <v>3.4405170867939701</v>
      </c>
      <c r="O56" s="115">
        <v>0</v>
      </c>
      <c r="P56" s="115">
        <v>0</v>
      </c>
      <c r="Q56" s="115">
        <v>86.010660378388096</v>
      </c>
      <c r="R56" s="115">
        <v>13.615456443062101</v>
      </c>
      <c r="S56" s="115">
        <v>0</v>
      </c>
      <c r="T56" s="115">
        <v>35.317776310324</v>
      </c>
      <c r="U56" s="115">
        <v>16.7384828035688</v>
      </c>
      <c r="V56" s="115">
        <v>0</v>
      </c>
      <c r="W56" s="115">
        <v>0</v>
      </c>
      <c r="X56" s="115">
        <v>0</v>
      </c>
      <c r="Y56" s="115">
        <v>0</v>
      </c>
      <c r="Z56" s="115">
        <v>0</v>
      </c>
      <c r="AA56" s="115">
        <v>229.98058372524901</v>
      </c>
      <c r="AB56" s="115">
        <v>0</v>
      </c>
      <c r="AC56" s="115">
        <v>0</v>
      </c>
      <c r="AD56" s="115">
        <v>0</v>
      </c>
      <c r="AE56" s="115">
        <v>21.653012779904198</v>
      </c>
      <c r="AF56" s="115">
        <v>0.63716789718433098</v>
      </c>
      <c r="AG56" s="115">
        <v>1.4527829765815901</v>
      </c>
      <c r="AH56" s="115">
        <v>0.37853057956894898</v>
      </c>
      <c r="AI56" s="115">
        <v>5.0301020810436397</v>
      </c>
      <c r="AJ56" s="115">
        <v>-16.062471501610201</v>
      </c>
      <c r="AK56" s="115">
        <v>2.2104467198006699</v>
      </c>
      <c r="AL56" s="115">
        <v>19.232471892549199</v>
      </c>
      <c r="AM56" s="115">
        <v>0</v>
      </c>
      <c r="AN56" s="115">
        <v>191.11488537802299</v>
      </c>
      <c r="AO56" s="115">
        <v>5.3594559418874903</v>
      </c>
      <c r="AP56" s="115">
        <v>3.6937935571336098</v>
      </c>
      <c r="AQ56" s="115">
        <v>0</v>
      </c>
      <c r="AR56" s="115">
        <v>0</v>
      </c>
      <c r="AS56" s="115">
        <v>0</v>
      </c>
      <c r="AT56" s="116">
        <v>5.2367791341776098</v>
      </c>
    </row>
    <row r="57" spans="2:46" ht="12" customHeight="1" x14ac:dyDescent="0.3">
      <c r="B57" s="114" t="s">
        <v>43</v>
      </c>
      <c r="C57" s="115" t="s">
        <v>93</v>
      </c>
      <c r="D57" s="115" t="s">
        <v>44</v>
      </c>
      <c r="E57" s="115" t="s">
        <v>94</v>
      </c>
      <c r="F57" s="115" t="s">
        <v>25</v>
      </c>
      <c r="G57" s="115" t="s">
        <v>25</v>
      </c>
      <c r="H57" s="115" t="s">
        <v>79</v>
      </c>
      <c r="I57" s="115" t="s">
        <v>25</v>
      </c>
      <c r="J57" s="115">
        <v>431.61</v>
      </c>
      <c r="K57" s="115">
        <v>220.51</v>
      </c>
      <c r="L57" s="115">
        <v>12.5335405932718</v>
      </c>
      <c r="M57" s="115">
        <v>0.95454812679805001</v>
      </c>
      <c r="N57" s="115">
        <v>3.51531093650688</v>
      </c>
      <c r="O57" s="115">
        <v>0</v>
      </c>
      <c r="P57" s="115">
        <v>0</v>
      </c>
      <c r="Q57" s="115">
        <v>87.880457343135703</v>
      </c>
      <c r="R57" s="115">
        <v>13.911444626606899</v>
      </c>
      <c r="S57" s="115">
        <v>0</v>
      </c>
      <c r="T57" s="115">
        <v>36.0855540562006</v>
      </c>
      <c r="U57" s="115">
        <v>17.102362864516</v>
      </c>
      <c r="V57" s="115">
        <v>0</v>
      </c>
      <c r="W57" s="115">
        <v>0</v>
      </c>
      <c r="X57" s="115">
        <v>0</v>
      </c>
      <c r="Y57" s="115">
        <v>0</v>
      </c>
      <c r="Z57" s="115">
        <v>0</v>
      </c>
      <c r="AA57" s="115">
        <v>234.98016163231901</v>
      </c>
      <c r="AB57" s="115">
        <v>0</v>
      </c>
      <c r="AC57" s="115">
        <v>0</v>
      </c>
      <c r="AD57" s="115">
        <v>0</v>
      </c>
      <c r="AE57" s="115">
        <v>22.1237304490325</v>
      </c>
      <c r="AF57" s="115">
        <v>0.65101937321007697</v>
      </c>
      <c r="AG57" s="115">
        <v>1.4843652152029301</v>
      </c>
      <c r="AH57" s="115">
        <v>0.38675950521175301</v>
      </c>
      <c r="AI57" s="115">
        <v>5.1394521262837198</v>
      </c>
      <c r="AJ57" s="115">
        <v>-16.411655664688698</v>
      </c>
      <c r="AK57" s="115">
        <v>2.2584999093615501</v>
      </c>
      <c r="AL57" s="115">
        <v>19.6505691076046</v>
      </c>
      <c r="AM57" s="115">
        <v>0</v>
      </c>
      <c r="AN57" s="115">
        <v>195.269556799285</v>
      </c>
      <c r="AO57" s="115">
        <v>5.4759658536676499</v>
      </c>
      <c r="AP57" s="115">
        <v>3.7740934170712999</v>
      </c>
      <c r="AQ57" s="115">
        <v>0</v>
      </c>
      <c r="AR57" s="115">
        <v>0</v>
      </c>
      <c r="AS57" s="115">
        <v>0</v>
      </c>
      <c r="AT57" s="116">
        <v>5.3506221588336498</v>
      </c>
    </row>
    <row r="58" spans="2:46" ht="12" customHeight="1" x14ac:dyDescent="0.3">
      <c r="B58" s="114" t="s">
        <v>43</v>
      </c>
      <c r="C58" s="115" t="s">
        <v>93</v>
      </c>
      <c r="D58" s="115" t="s">
        <v>44</v>
      </c>
      <c r="E58" s="115" t="s">
        <v>25</v>
      </c>
      <c r="F58" s="115" t="s">
        <v>25</v>
      </c>
      <c r="G58" s="115" t="s">
        <v>25</v>
      </c>
      <c r="H58" s="115" t="s">
        <v>79</v>
      </c>
      <c r="I58" s="115" t="s">
        <v>25</v>
      </c>
      <c r="J58" s="115">
        <v>431.61</v>
      </c>
      <c r="K58" s="115">
        <v>220.51</v>
      </c>
      <c r="L58" s="115">
        <v>12.5335405932718</v>
      </c>
      <c r="M58" s="115">
        <v>0.95454812679805001</v>
      </c>
      <c r="N58" s="115">
        <v>3.51531093650688</v>
      </c>
      <c r="O58" s="115">
        <v>0</v>
      </c>
      <c r="P58" s="115">
        <v>0</v>
      </c>
      <c r="Q58" s="115">
        <v>87.880457343135703</v>
      </c>
      <c r="R58" s="115">
        <v>13.911444626606899</v>
      </c>
      <c r="S58" s="115">
        <v>0</v>
      </c>
      <c r="T58" s="115">
        <v>36.0855540562006</v>
      </c>
      <c r="U58" s="115">
        <v>17.102362864516</v>
      </c>
      <c r="V58" s="115">
        <v>0</v>
      </c>
      <c r="W58" s="115">
        <v>0</v>
      </c>
      <c r="X58" s="115">
        <v>0</v>
      </c>
      <c r="Y58" s="115">
        <v>0</v>
      </c>
      <c r="Z58" s="115">
        <v>0</v>
      </c>
      <c r="AA58" s="115">
        <v>234.98016163231901</v>
      </c>
      <c r="AB58" s="115">
        <v>0</v>
      </c>
      <c r="AC58" s="115">
        <v>0</v>
      </c>
      <c r="AD58" s="115">
        <v>0</v>
      </c>
      <c r="AE58" s="115">
        <v>22.1237304490325</v>
      </c>
      <c r="AF58" s="115">
        <v>0.65101937321007697</v>
      </c>
      <c r="AG58" s="115">
        <v>1.4843652152029301</v>
      </c>
      <c r="AH58" s="115">
        <v>0.38675950521175301</v>
      </c>
      <c r="AI58" s="115">
        <v>5.1394521262837198</v>
      </c>
      <c r="AJ58" s="115">
        <v>-16.411655664688698</v>
      </c>
      <c r="AK58" s="115">
        <v>2.2584999093615501</v>
      </c>
      <c r="AL58" s="115">
        <v>19.6505691076046</v>
      </c>
      <c r="AM58" s="115">
        <v>0</v>
      </c>
      <c r="AN58" s="115">
        <v>195.269556799285</v>
      </c>
      <c r="AO58" s="115">
        <v>5.4759658536676499</v>
      </c>
      <c r="AP58" s="115">
        <v>3.7740934170712999</v>
      </c>
      <c r="AQ58" s="115">
        <v>0</v>
      </c>
      <c r="AR58" s="115">
        <v>0</v>
      </c>
      <c r="AS58" s="115">
        <v>0</v>
      </c>
      <c r="AT58" s="116">
        <v>5.3506221588336498</v>
      </c>
    </row>
    <row r="59" spans="2:46" ht="12" customHeight="1" x14ac:dyDescent="0.3">
      <c r="B59" s="114" t="s">
        <v>43</v>
      </c>
      <c r="C59" s="115" t="s">
        <v>93</v>
      </c>
      <c r="D59" s="115" t="s">
        <v>44</v>
      </c>
      <c r="E59" s="115" t="s">
        <v>95</v>
      </c>
      <c r="F59" s="115" t="s">
        <v>25</v>
      </c>
      <c r="G59" s="115" t="s">
        <v>25</v>
      </c>
      <c r="H59" s="115" t="s">
        <v>79</v>
      </c>
      <c r="I59" s="115" t="s">
        <v>25</v>
      </c>
      <c r="J59" s="115">
        <v>422.43</v>
      </c>
      <c r="K59" s="115">
        <v>215.82</v>
      </c>
      <c r="L59" s="115">
        <v>12.266869516819201</v>
      </c>
      <c r="M59" s="115">
        <v>0.93423859218532601</v>
      </c>
      <c r="N59" s="115">
        <v>3.4405170867939701</v>
      </c>
      <c r="O59" s="115">
        <v>0</v>
      </c>
      <c r="P59" s="115">
        <v>0</v>
      </c>
      <c r="Q59" s="115">
        <v>86.010660378388096</v>
      </c>
      <c r="R59" s="115">
        <v>13.615456443062101</v>
      </c>
      <c r="S59" s="115">
        <v>0</v>
      </c>
      <c r="T59" s="115">
        <v>35.317776310324</v>
      </c>
      <c r="U59" s="115">
        <v>16.7384828035688</v>
      </c>
      <c r="V59" s="115">
        <v>0</v>
      </c>
      <c r="W59" s="115">
        <v>0</v>
      </c>
      <c r="X59" s="115">
        <v>0</v>
      </c>
      <c r="Y59" s="115">
        <v>0</v>
      </c>
      <c r="Z59" s="115">
        <v>0</v>
      </c>
      <c r="AA59" s="115">
        <v>229.98058372524901</v>
      </c>
      <c r="AB59" s="115">
        <v>0</v>
      </c>
      <c r="AC59" s="115">
        <v>0</v>
      </c>
      <c r="AD59" s="115">
        <v>0</v>
      </c>
      <c r="AE59" s="115">
        <v>21.653012779904198</v>
      </c>
      <c r="AF59" s="115">
        <v>0.63716789718433098</v>
      </c>
      <c r="AG59" s="115">
        <v>1.4527829765815901</v>
      </c>
      <c r="AH59" s="115">
        <v>0.37853057956894898</v>
      </c>
      <c r="AI59" s="115">
        <v>5.0301020810436397</v>
      </c>
      <c r="AJ59" s="115">
        <v>-16.062471501610201</v>
      </c>
      <c r="AK59" s="115">
        <v>2.2104467198006699</v>
      </c>
      <c r="AL59" s="115">
        <v>19.232471892549199</v>
      </c>
      <c r="AM59" s="115">
        <v>0</v>
      </c>
      <c r="AN59" s="115">
        <v>191.11488537802299</v>
      </c>
      <c r="AO59" s="115">
        <v>5.3594559418874903</v>
      </c>
      <c r="AP59" s="115">
        <v>3.6937935571336098</v>
      </c>
      <c r="AQ59" s="115">
        <v>0</v>
      </c>
      <c r="AR59" s="115">
        <v>0</v>
      </c>
      <c r="AS59" s="115">
        <v>0</v>
      </c>
      <c r="AT59" s="116">
        <v>5.2367791341776098</v>
      </c>
    </row>
    <row r="60" spans="2:46" ht="12" customHeight="1" x14ac:dyDescent="0.3">
      <c r="B60" s="114" t="s">
        <v>37</v>
      </c>
      <c r="C60" s="115" t="s">
        <v>33</v>
      </c>
      <c r="D60" s="115" t="s">
        <v>25</v>
      </c>
      <c r="E60" s="115" t="s">
        <v>25</v>
      </c>
      <c r="F60" s="115" t="s">
        <v>25</v>
      </c>
      <c r="G60" s="115" t="s">
        <v>34</v>
      </c>
      <c r="H60" s="115" t="s">
        <v>79</v>
      </c>
      <c r="I60" s="115" t="s">
        <v>25</v>
      </c>
      <c r="J60" s="115">
        <v>1217.9100000000001</v>
      </c>
      <c r="K60" s="115">
        <v>363.93</v>
      </c>
      <c r="L60" s="115">
        <v>13.3335538226296</v>
      </c>
      <c r="M60" s="115">
        <v>1.01547673063622</v>
      </c>
      <c r="N60" s="115">
        <v>11.419137750187801</v>
      </c>
      <c r="O60" s="115">
        <v>0</v>
      </c>
      <c r="P60" s="115">
        <v>0</v>
      </c>
      <c r="Q60" s="115">
        <v>93.489848237378396</v>
      </c>
      <c r="R60" s="115">
        <v>14.799409177241399</v>
      </c>
      <c r="S60" s="115">
        <v>0</v>
      </c>
      <c r="T60" s="115">
        <v>132.44176487682</v>
      </c>
      <c r="U60" s="115">
        <v>62.7692244191702</v>
      </c>
      <c r="V60" s="115">
        <v>0</v>
      </c>
      <c r="W60" s="115">
        <v>0</v>
      </c>
      <c r="X60" s="115">
        <v>0</v>
      </c>
      <c r="Y60" s="115">
        <v>0</v>
      </c>
      <c r="Z60" s="115">
        <v>0</v>
      </c>
      <c r="AA60" s="115">
        <v>862.42723409409996</v>
      </c>
      <c r="AB60" s="115">
        <v>0</v>
      </c>
      <c r="AC60" s="115">
        <v>0</v>
      </c>
      <c r="AD60" s="115">
        <v>0</v>
      </c>
      <c r="AE60" s="115">
        <v>23.535883456417601</v>
      </c>
      <c r="AF60" s="115">
        <v>0.69257380128731605</v>
      </c>
      <c r="AG60" s="115">
        <v>1.5791119310669399</v>
      </c>
      <c r="AH60" s="115">
        <v>0.41144628214016199</v>
      </c>
      <c r="AI60" s="115">
        <v>5.4675022620039604</v>
      </c>
      <c r="AJ60" s="115">
        <v>-17.459208153924099</v>
      </c>
      <c r="AK60" s="115">
        <v>2.4026594780442001</v>
      </c>
      <c r="AL60" s="115">
        <v>20.904860752770901</v>
      </c>
      <c r="AM60" s="115">
        <v>0</v>
      </c>
      <c r="AN60" s="115">
        <v>337.07711530988502</v>
      </c>
      <c r="AO60" s="115">
        <v>5.8254955890081401</v>
      </c>
      <c r="AP60" s="115">
        <v>4.0149929968843603</v>
      </c>
      <c r="AQ60" s="115">
        <v>0</v>
      </c>
      <c r="AR60" s="115">
        <v>0</v>
      </c>
      <c r="AS60" s="115">
        <v>0</v>
      </c>
      <c r="AT60" s="116">
        <v>5.6921512328017503</v>
      </c>
    </row>
    <row r="61" spans="2:46" ht="12" customHeight="1" x14ac:dyDescent="0.3">
      <c r="B61" s="114" t="s">
        <v>37</v>
      </c>
      <c r="C61" s="115" t="s">
        <v>33</v>
      </c>
      <c r="D61" s="115" t="s">
        <v>25</v>
      </c>
      <c r="E61" s="115" t="s">
        <v>25</v>
      </c>
      <c r="F61" s="115" t="s">
        <v>25</v>
      </c>
      <c r="G61" s="115" t="s">
        <v>36</v>
      </c>
      <c r="H61" s="115" t="s">
        <v>79</v>
      </c>
      <c r="I61" s="115" t="s">
        <v>25</v>
      </c>
      <c r="J61" s="115">
        <v>790.53</v>
      </c>
      <c r="K61" s="115">
        <v>222.82</v>
      </c>
      <c r="L61" s="115">
        <v>13.3335538226296</v>
      </c>
      <c r="M61" s="115">
        <v>1.01547673063622</v>
      </c>
      <c r="N61" s="115">
        <v>7.0935720444002799</v>
      </c>
      <c r="O61" s="115">
        <v>0</v>
      </c>
      <c r="P61" s="115">
        <v>0</v>
      </c>
      <c r="Q61" s="115">
        <v>93.489848237378396</v>
      </c>
      <c r="R61" s="115">
        <v>14.799409177241399</v>
      </c>
      <c r="S61" s="115">
        <v>0</v>
      </c>
      <c r="T61" s="115">
        <v>79.464981141263294</v>
      </c>
      <c r="U61" s="115">
        <v>37.661511693045298</v>
      </c>
      <c r="V61" s="115">
        <v>0</v>
      </c>
      <c r="W61" s="115">
        <v>0</v>
      </c>
      <c r="X61" s="115">
        <v>0</v>
      </c>
      <c r="Y61" s="115">
        <v>0</v>
      </c>
      <c r="Z61" s="115">
        <v>0</v>
      </c>
      <c r="AA61" s="115">
        <v>517.45636301866898</v>
      </c>
      <c r="AB61" s="115">
        <v>0</v>
      </c>
      <c r="AC61" s="115">
        <v>0</v>
      </c>
      <c r="AD61" s="115">
        <v>0</v>
      </c>
      <c r="AE61" s="115">
        <v>23.535883456417601</v>
      </c>
      <c r="AF61" s="115">
        <v>0.69257380128731605</v>
      </c>
      <c r="AG61" s="115">
        <v>1.5791119310669399</v>
      </c>
      <c r="AH61" s="115">
        <v>0.41144628214016199</v>
      </c>
      <c r="AI61" s="115">
        <v>5.4675022620039604</v>
      </c>
      <c r="AJ61" s="115">
        <v>-17.459208153924099</v>
      </c>
      <c r="AK61" s="115">
        <v>2.4026594780442001</v>
      </c>
      <c r="AL61" s="115">
        <v>20.904860752770901</v>
      </c>
      <c r="AM61" s="115">
        <v>0</v>
      </c>
      <c r="AN61" s="115">
        <v>195.97506704063099</v>
      </c>
      <c r="AO61" s="115">
        <v>5.8254955890081401</v>
      </c>
      <c r="AP61" s="115">
        <v>4.0149929968843603</v>
      </c>
      <c r="AQ61" s="115">
        <v>0</v>
      </c>
      <c r="AR61" s="115">
        <v>0</v>
      </c>
      <c r="AS61" s="115">
        <v>0</v>
      </c>
      <c r="AT61" s="116">
        <v>5.6921512328017503</v>
      </c>
    </row>
    <row r="62" spans="2:46" ht="12" customHeight="1" x14ac:dyDescent="0.3">
      <c r="B62" s="114" t="s">
        <v>37</v>
      </c>
      <c r="C62" s="115" t="s">
        <v>33</v>
      </c>
      <c r="D62" s="115" t="s">
        <v>25</v>
      </c>
      <c r="E62" s="115" t="s">
        <v>25</v>
      </c>
      <c r="F62" s="115" t="s">
        <v>25</v>
      </c>
      <c r="G62" s="115" t="s">
        <v>35</v>
      </c>
      <c r="H62" s="115" t="s">
        <v>79</v>
      </c>
      <c r="I62" s="115" t="s">
        <v>25</v>
      </c>
      <c r="J62" s="115">
        <v>363.15</v>
      </c>
      <c r="K62" s="115">
        <v>222.82</v>
      </c>
      <c r="L62" s="115">
        <v>13.3335538226296</v>
      </c>
      <c r="M62" s="115">
        <v>1.01547673063622</v>
      </c>
      <c r="N62" s="115">
        <v>2.76800751234238</v>
      </c>
      <c r="O62" s="115">
        <v>0</v>
      </c>
      <c r="P62" s="115">
        <v>0</v>
      </c>
      <c r="Q62" s="115">
        <v>93.489848237378396</v>
      </c>
      <c r="R62" s="115">
        <v>14.799409177241399</v>
      </c>
      <c r="S62" s="115">
        <v>0</v>
      </c>
      <c r="T62" s="115">
        <v>26.4883270470878</v>
      </c>
      <c r="U62" s="115">
        <v>12.5537989669204</v>
      </c>
      <c r="V62" s="115">
        <v>0</v>
      </c>
      <c r="W62" s="115">
        <v>0</v>
      </c>
      <c r="X62" s="115">
        <v>0</v>
      </c>
      <c r="Y62" s="115">
        <v>0</v>
      </c>
      <c r="Z62" s="115">
        <v>0</v>
      </c>
      <c r="AA62" s="115">
        <v>172.485491943238</v>
      </c>
      <c r="AB62" s="115">
        <v>0</v>
      </c>
      <c r="AC62" s="115">
        <v>0</v>
      </c>
      <c r="AD62" s="115">
        <v>0</v>
      </c>
      <c r="AE62" s="115">
        <v>23.535883456417601</v>
      </c>
      <c r="AF62" s="115">
        <v>0.69257380128731605</v>
      </c>
      <c r="AG62" s="115">
        <v>1.5791119310669399</v>
      </c>
      <c r="AH62" s="115">
        <v>0.41144628214016199</v>
      </c>
      <c r="AI62" s="115">
        <v>5.4675022620039604</v>
      </c>
      <c r="AJ62" s="115">
        <v>-17.459208153924099</v>
      </c>
      <c r="AK62" s="115">
        <v>2.4026594780442001</v>
      </c>
      <c r="AL62" s="115">
        <v>20.904860752770901</v>
      </c>
      <c r="AM62" s="115">
        <v>0</v>
      </c>
      <c r="AN62" s="115">
        <v>195.97506704063099</v>
      </c>
      <c r="AO62" s="115">
        <v>5.8254955890081401</v>
      </c>
      <c r="AP62" s="115">
        <v>4.0149929968843603</v>
      </c>
      <c r="AQ62" s="115">
        <v>0</v>
      </c>
      <c r="AR62" s="115">
        <v>0</v>
      </c>
      <c r="AS62" s="115">
        <v>0</v>
      </c>
      <c r="AT62" s="116">
        <v>5.6921512328017503</v>
      </c>
    </row>
    <row r="63" spans="2:46" ht="12" customHeight="1" x14ac:dyDescent="0.3">
      <c r="B63" s="114" t="s">
        <v>37</v>
      </c>
      <c r="C63" s="115" t="s">
        <v>23</v>
      </c>
      <c r="D63" s="115" t="s">
        <v>25</v>
      </c>
      <c r="E63" s="115" t="s">
        <v>25</v>
      </c>
      <c r="F63" s="115" t="s">
        <v>25</v>
      </c>
      <c r="G63" s="115" t="s">
        <v>25</v>
      </c>
      <c r="H63" s="115" t="s">
        <v>79</v>
      </c>
      <c r="I63" s="115" t="s">
        <v>25</v>
      </c>
      <c r="J63" s="115">
        <v>459.16</v>
      </c>
      <c r="K63" s="115">
        <v>234.58</v>
      </c>
      <c r="L63" s="115">
        <v>13.3335538226296</v>
      </c>
      <c r="M63" s="115">
        <v>1.01547673063622</v>
      </c>
      <c r="N63" s="115">
        <v>3.73969248564562</v>
      </c>
      <c r="O63" s="115">
        <v>0</v>
      </c>
      <c r="P63" s="115">
        <v>0</v>
      </c>
      <c r="Q63" s="115">
        <v>93.489848237378396</v>
      </c>
      <c r="R63" s="115">
        <v>14.799409177241399</v>
      </c>
      <c r="S63" s="115">
        <v>0</v>
      </c>
      <c r="T63" s="115">
        <v>38.3888872938305</v>
      </c>
      <c r="U63" s="115">
        <v>18.194003047357398</v>
      </c>
      <c r="V63" s="115">
        <v>0</v>
      </c>
      <c r="W63" s="115">
        <v>0</v>
      </c>
      <c r="X63" s="115">
        <v>0</v>
      </c>
      <c r="Y63" s="115">
        <v>0</v>
      </c>
      <c r="Z63" s="115">
        <v>0</v>
      </c>
      <c r="AA63" s="115">
        <v>249.97889535353099</v>
      </c>
      <c r="AB63" s="115">
        <v>0</v>
      </c>
      <c r="AC63" s="115">
        <v>0</v>
      </c>
      <c r="AD63" s="115">
        <v>0</v>
      </c>
      <c r="AE63" s="115">
        <v>23.535883456417601</v>
      </c>
      <c r="AF63" s="115">
        <v>0.69257380128731605</v>
      </c>
      <c r="AG63" s="115">
        <v>1.5791119310669399</v>
      </c>
      <c r="AH63" s="115">
        <v>0.41144628214016199</v>
      </c>
      <c r="AI63" s="115">
        <v>5.4675022620039604</v>
      </c>
      <c r="AJ63" s="115">
        <v>-17.459208153924099</v>
      </c>
      <c r="AK63" s="115">
        <v>2.4026594780442001</v>
      </c>
      <c r="AL63" s="115">
        <v>20.904860752770901</v>
      </c>
      <c r="AM63" s="115">
        <v>0</v>
      </c>
      <c r="AN63" s="115">
        <v>207.73357106306901</v>
      </c>
      <c r="AO63" s="115">
        <v>5.8254955890081401</v>
      </c>
      <c r="AP63" s="115">
        <v>4.0149929968843603</v>
      </c>
      <c r="AQ63" s="115">
        <v>0</v>
      </c>
      <c r="AR63" s="115">
        <v>0</v>
      </c>
      <c r="AS63" s="115">
        <v>0</v>
      </c>
      <c r="AT63" s="116">
        <v>5.6921512328017503</v>
      </c>
    </row>
    <row r="64" spans="2:46" ht="12" customHeight="1" x14ac:dyDescent="0.3">
      <c r="B64" s="114" t="s">
        <v>37</v>
      </c>
      <c r="C64" s="115" t="s">
        <v>93</v>
      </c>
      <c r="D64" s="115" t="s">
        <v>25</v>
      </c>
      <c r="E64" s="115" t="s">
        <v>25</v>
      </c>
      <c r="F64" s="115" t="s">
        <v>25</v>
      </c>
      <c r="G64" s="115" t="s">
        <v>25</v>
      </c>
      <c r="H64" s="115" t="s">
        <v>79</v>
      </c>
      <c r="I64" s="115" t="s">
        <v>25</v>
      </c>
      <c r="J64" s="115">
        <v>459.16</v>
      </c>
      <c r="K64" s="115">
        <v>234.58</v>
      </c>
      <c r="L64" s="115">
        <v>13.3335538226296</v>
      </c>
      <c r="M64" s="115">
        <v>1.01547673063622</v>
      </c>
      <c r="N64" s="115">
        <v>3.73969248564562</v>
      </c>
      <c r="O64" s="115">
        <v>0</v>
      </c>
      <c r="P64" s="115">
        <v>0</v>
      </c>
      <c r="Q64" s="115">
        <v>93.489848237378396</v>
      </c>
      <c r="R64" s="115">
        <v>14.799409177241399</v>
      </c>
      <c r="S64" s="115">
        <v>0</v>
      </c>
      <c r="T64" s="115">
        <v>38.3888872938305</v>
      </c>
      <c r="U64" s="115">
        <v>18.194003047357398</v>
      </c>
      <c r="V64" s="115">
        <v>0</v>
      </c>
      <c r="W64" s="115">
        <v>0</v>
      </c>
      <c r="X64" s="115">
        <v>0</v>
      </c>
      <c r="Y64" s="115">
        <v>0</v>
      </c>
      <c r="Z64" s="115">
        <v>0</v>
      </c>
      <c r="AA64" s="115">
        <v>249.97889535353099</v>
      </c>
      <c r="AB64" s="115">
        <v>0</v>
      </c>
      <c r="AC64" s="115">
        <v>0</v>
      </c>
      <c r="AD64" s="115">
        <v>0</v>
      </c>
      <c r="AE64" s="115">
        <v>23.535883456417601</v>
      </c>
      <c r="AF64" s="115">
        <v>0.69257380128731605</v>
      </c>
      <c r="AG64" s="115">
        <v>1.5791119310669399</v>
      </c>
      <c r="AH64" s="115">
        <v>0.41144628214016199</v>
      </c>
      <c r="AI64" s="115">
        <v>5.4675022620039604</v>
      </c>
      <c r="AJ64" s="115">
        <v>-17.459208153924099</v>
      </c>
      <c r="AK64" s="115">
        <v>2.4026594780442001</v>
      </c>
      <c r="AL64" s="115">
        <v>20.904860752770901</v>
      </c>
      <c r="AM64" s="115">
        <v>0</v>
      </c>
      <c r="AN64" s="115">
        <v>207.73357106306901</v>
      </c>
      <c r="AO64" s="115">
        <v>5.8254955890081401</v>
      </c>
      <c r="AP64" s="115">
        <v>4.0149929968843603</v>
      </c>
      <c r="AQ64" s="115">
        <v>0</v>
      </c>
      <c r="AR64" s="115">
        <v>0</v>
      </c>
      <c r="AS64" s="115">
        <v>0</v>
      </c>
      <c r="AT64" s="116">
        <v>5.6921512328017503</v>
      </c>
    </row>
    <row r="65" spans="2:46" ht="12" customHeight="1" x14ac:dyDescent="0.3">
      <c r="B65" s="114" t="s">
        <v>47</v>
      </c>
      <c r="C65" s="115" t="s">
        <v>23</v>
      </c>
      <c r="D65" s="115" t="s">
        <v>48</v>
      </c>
      <c r="E65" s="115" t="s">
        <v>49</v>
      </c>
      <c r="F65" s="115" t="s">
        <v>25</v>
      </c>
      <c r="G65" s="115" t="s">
        <v>25</v>
      </c>
      <c r="H65" s="115" t="s">
        <v>79</v>
      </c>
      <c r="I65" s="115" t="s">
        <v>25</v>
      </c>
      <c r="J65" s="115">
        <v>252.54</v>
      </c>
      <c r="K65" s="115">
        <v>129.02000000000001</v>
      </c>
      <c r="L65" s="115">
        <v>7.3334546024462703</v>
      </c>
      <c r="M65" s="115">
        <v>0.55851220184992301</v>
      </c>
      <c r="N65" s="115">
        <v>2.0568308671050901</v>
      </c>
      <c r="O65" s="115">
        <v>0</v>
      </c>
      <c r="P65" s="115">
        <v>0</v>
      </c>
      <c r="Q65" s="115">
        <v>51.419416530558102</v>
      </c>
      <c r="R65" s="115">
        <v>8.1396750474827506</v>
      </c>
      <c r="S65" s="115">
        <v>0</v>
      </c>
      <c r="T65" s="115">
        <v>21.1138880116068</v>
      </c>
      <c r="U65" s="115">
        <v>10.0067016760466</v>
      </c>
      <c r="V65" s="115">
        <v>0</v>
      </c>
      <c r="W65" s="115">
        <v>0</v>
      </c>
      <c r="X65" s="115">
        <v>0</v>
      </c>
      <c r="Y65" s="115">
        <v>0</v>
      </c>
      <c r="Z65" s="115">
        <v>0</v>
      </c>
      <c r="AA65" s="115">
        <v>137.48839244444201</v>
      </c>
      <c r="AB65" s="115">
        <v>0</v>
      </c>
      <c r="AC65" s="115">
        <v>0</v>
      </c>
      <c r="AD65" s="115">
        <v>0</v>
      </c>
      <c r="AE65" s="115">
        <v>12.9447359010297</v>
      </c>
      <c r="AF65" s="115">
        <v>0.380915590708024</v>
      </c>
      <c r="AG65" s="115">
        <v>0.86851156208681901</v>
      </c>
      <c r="AH65" s="115">
        <v>0.22629545517708899</v>
      </c>
      <c r="AI65" s="115">
        <v>3.0071262441021802</v>
      </c>
      <c r="AJ65" s="115">
        <v>-9.6025644846582594</v>
      </c>
      <c r="AK65" s="115">
        <v>1.3214627129243099</v>
      </c>
      <c r="AL65" s="115">
        <v>11.497673414024</v>
      </c>
      <c r="AM65" s="115">
        <v>0</v>
      </c>
      <c r="AN65" s="115">
        <v>114.25346408468801</v>
      </c>
      <c r="AO65" s="115">
        <v>3.2040225739544801</v>
      </c>
      <c r="AP65" s="115">
        <v>2.2082461482864</v>
      </c>
      <c r="AQ65" s="115">
        <v>0</v>
      </c>
      <c r="AR65" s="115">
        <v>0</v>
      </c>
      <c r="AS65" s="115">
        <v>0</v>
      </c>
      <c r="AT65" s="116">
        <v>3.1306831780409601</v>
      </c>
    </row>
    <row r="66" spans="2:46" ht="12" customHeight="1" x14ac:dyDescent="0.3">
      <c r="B66" s="117" t="s">
        <v>47</v>
      </c>
      <c r="C66" s="118" t="s">
        <v>23</v>
      </c>
      <c r="D66" s="118" t="s">
        <v>48</v>
      </c>
      <c r="E66" s="118" t="s">
        <v>96</v>
      </c>
      <c r="F66" s="118" t="s">
        <v>25</v>
      </c>
      <c r="G66" s="118" t="s">
        <v>25</v>
      </c>
      <c r="H66" s="118" t="s">
        <v>79</v>
      </c>
      <c r="I66" s="118" t="s">
        <v>25</v>
      </c>
      <c r="J66" s="118">
        <v>275.5</v>
      </c>
      <c r="K66" s="118">
        <v>140.75</v>
      </c>
      <c r="L66" s="118">
        <v>8.0001322935777495</v>
      </c>
      <c r="M66" s="118">
        <v>0.60928603838173401</v>
      </c>
      <c r="N66" s="118">
        <v>2.24381549138737</v>
      </c>
      <c r="O66" s="118">
        <v>0</v>
      </c>
      <c r="P66" s="118">
        <v>0</v>
      </c>
      <c r="Q66" s="118">
        <v>56.093908942426999</v>
      </c>
      <c r="R66" s="118">
        <v>8.8796455063448203</v>
      </c>
      <c r="S66" s="118">
        <v>0</v>
      </c>
      <c r="T66" s="118">
        <v>23.033332376298301</v>
      </c>
      <c r="U66" s="118">
        <v>10.9164018284145</v>
      </c>
      <c r="V66" s="118">
        <v>0</v>
      </c>
      <c r="W66" s="118">
        <v>0</v>
      </c>
      <c r="X66" s="118">
        <v>0</v>
      </c>
      <c r="Y66" s="118">
        <v>0</v>
      </c>
      <c r="Z66" s="118">
        <v>0</v>
      </c>
      <c r="AA66" s="118">
        <v>149.987337212119</v>
      </c>
      <c r="AB66" s="118">
        <v>0</v>
      </c>
      <c r="AC66" s="118">
        <v>0</v>
      </c>
      <c r="AD66" s="118">
        <v>0</v>
      </c>
      <c r="AE66" s="118">
        <v>14.1215300738506</v>
      </c>
      <c r="AF66" s="118">
        <v>0.41554428077238897</v>
      </c>
      <c r="AG66" s="118">
        <v>0.94746715864016695</v>
      </c>
      <c r="AH66" s="118">
        <v>0.24686776928409701</v>
      </c>
      <c r="AI66" s="118">
        <v>3.2805013572023798</v>
      </c>
      <c r="AJ66" s="118">
        <v>-10.4755248923545</v>
      </c>
      <c r="AK66" s="118">
        <v>1.4415956868265201</v>
      </c>
      <c r="AL66" s="118">
        <v>12.542916451662499</v>
      </c>
      <c r="AM66" s="118">
        <v>0</v>
      </c>
      <c r="AN66" s="118">
        <v>124.640142637841</v>
      </c>
      <c r="AO66" s="118">
        <v>3.4952973534048901</v>
      </c>
      <c r="AP66" s="118">
        <v>2.4089957981306198</v>
      </c>
      <c r="AQ66" s="118">
        <v>0</v>
      </c>
      <c r="AR66" s="118">
        <v>0</v>
      </c>
      <c r="AS66" s="118">
        <v>0</v>
      </c>
      <c r="AT66" s="119">
        <v>3.4152907396810499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7BF57-5E82-4005-A6BD-9650C33794E1}">
  <dimension ref="B1:AT66"/>
  <sheetViews>
    <sheetView showGridLines="0" workbookViewId="0">
      <selection activeCell="B4" sqref="B4"/>
    </sheetView>
  </sheetViews>
  <sheetFormatPr defaultRowHeight="14.4" x14ac:dyDescent="0.3"/>
  <cols>
    <col min="2" max="2" width="13" bestFit="1" customWidth="1"/>
    <col min="3" max="3" width="26.88671875" bestFit="1" customWidth="1"/>
    <col min="4" max="4" width="17.33203125" bestFit="1" customWidth="1"/>
    <col min="5" max="5" width="30.21875" bestFit="1" customWidth="1"/>
    <col min="6" max="6" width="12.21875" bestFit="1" customWidth="1"/>
    <col min="7" max="7" width="13" bestFit="1" customWidth="1"/>
    <col min="8" max="8" width="11.21875" bestFit="1" customWidth="1"/>
    <col min="9" max="9" width="13.109375" bestFit="1" customWidth="1"/>
    <col min="10" max="10" width="12.44140625" bestFit="1" customWidth="1"/>
    <col min="11" max="11" width="9.88671875" bestFit="1" customWidth="1"/>
    <col min="12" max="12" width="18.77734375" bestFit="1" customWidth="1"/>
    <col min="13" max="13" width="13.6640625" bestFit="1" customWidth="1"/>
    <col min="14" max="14" width="12.21875" bestFit="1" customWidth="1"/>
    <col min="15" max="15" width="12.44140625" bestFit="1" customWidth="1"/>
    <col min="16" max="17" width="12.109375" bestFit="1" customWidth="1"/>
    <col min="18" max="18" width="16.6640625" bestFit="1" customWidth="1"/>
    <col min="19" max="19" width="10.5546875" bestFit="1" customWidth="1"/>
    <col min="20" max="22" width="12" bestFit="1" customWidth="1"/>
    <col min="23" max="23" width="12.21875" bestFit="1" customWidth="1"/>
    <col min="24" max="24" width="13.44140625" bestFit="1" customWidth="1"/>
    <col min="25" max="25" width="11.109375" bestFit="1" customWidth="1"/>
    <col min="26" max="26" width="13.88671875" bestFit="1" customWidth="1"/>
    <col min="27" max="27" width="12.44140625" bestFit="1" customWidth="1"/>
    <col min="28" max="28" width="15.6640625" bestFit="1" customWidth="1"/>
    <col min="29" max="29" width="24.33203125" bestFit="1" customWidth="1"/>
    <col min="30" max="30" width="14" bestFit="1" customWidth="1"/>
    <col min="31" max="31" width="12.6640625" bestFit="1" customWidth="1"/>
    <col min="32" max="32" width="17.21875" bestFit="1" customWidth="1"/>
    <col min="33" max="33" width="12.6640625" bestFit="1" customWidth="1"/>
    <col min="34" max="34" width="10.44140625" bestFit="1" customWidth="1"/>
    <col min="35" max="35" width="16.109375" bestFit="1" customWidth="1"/>
    <col min="36" max="36" width="14.44140625" bestFit="1" customWidth="1"/>
    <col min="37" max="37" width="9.5546875" bestFit="1" customWidth="1"/>
    <col min="38" max="38" width="12.44140625" bestFit="1" customWidth="1"/>
    <col min="39" max="39" width="11.88671875" bestFit="1" customWidth="1"/>
    <col min="40" max="40" width="13.77734375" bestFit="1" customWidth="1"/>
    <col min="41" max="41" width="24.5546875" bestFit="1" customWidth="1"/>
    <col min="42" max="42" width="17.44140625" bestFit="1" customWidth="1"/>
    <col min="43" max="43" width="13.21875" bestFit="1" customWidth="1"/>
    <col min="44" max="44" width="12.88671875" bestFit="1" customWidth="1"/>
    <col min="45" max="45" width="21.6640625" bestFit="1" customWidth="1"/>
    <col min="46" max="46" width="12.6640625" bestFit="1" customWidth="1"/>
  </cols>
  <sheetData>
    <row r="1" spans="2:46" ht="12" customHeight="1" x14ac:dyDescent="0.3">
      <c r="L1" s="160" t="s">
        <v>1432</v>
      </c>
      <c r="M1" s="160"/>
      <c r="N1" s="160"/>
      <c r="O1" s="160"/>
      <c r="P1" s="160"/>
      <c r="Q1" s="160"/>
      <c r="R1" s="160"/>
      <c r="S1" s="160"/>
      <c r="T1" s="160"/>
      <c r="U1" s="160"/>
      <c r="V1" s="160"/>
      <c r="W1" s="160"/>
      <c r="X1" s="160"/>
      <c r="Y1" s="160"/>
      <c r="Z1" s="160"/>
      <c r="AA1" s="160"/>
      <c r="AB1" s="160"/>
      <c r="AC1" s="160"/>
      <c r="AD1" s="160"/>
      <c r="AE1" s="160"/>
      <c r="AF1" s="160"/>
      <c r="AG1" s="160"/>
      <c r="AH1" s="161"/>
      <c r="AI1" s="160" t="s">
        <v>1433</v>
      </c>
      <c r="AJ1" s="160"/>
      <c r="AK1" s="160"/>
      <c r="AL1" s="160"/>
      <c r="AM1" s="160"/>
      <c r="AN1" s="160"/>
      <c r="AO1" s="160"/>
      <c r="AP1" s="160"/>
      <c r="AQ1" s="160"/>
      <c r="AR1" s="160"/>
      <c r="AS1" s="160"/>
      <c r="AT1" s="160"/>
    </row>
    <row r="2" spans="2:46" ht="12" customHeight="1" x14ac:dyDescent="0.3">
      <c r="L2" s="162" t="s">
        <v>616</v>
      </c>
      <c r="M2" s="162"/>
      <c r="N2" s="162"/>
      <c r="O2" s="162"/>
      <c r="P2" s="162"/>
      <c r="Q2" s="162"/>
      <c r="R2" s="162"/>
      <c r="S2" s="163"/>
      <c r="T2" s="162" t="s">
        <v>625</v>
      </c>
      <c r="U2" s="162"/>
      <c r="V2" s="162"/>
      <c r="W2" s="162"/>
      <c r="X2" s="162"/>
      <c r="Y2" s="162"/>
      <c r="Z2" s="163"/>
      <c r="AA2" s="121" t="s">
        <v>633</v>
      </c>
      <c r="AB2" s="162" t="s">
        <v>25</v>
      </c>
      <c r="AC2" s="162"/>
      <c r="AD2" s="163"/>
      <c r="AE2" s="162" t="s">
        <v>1431</v>
      </c>
      <c r="AF2" s="162"/>
      <c r="AG2" s="162"/>
      <c r="AH2" s="163"/>
      <c r="AI2" s="162" t="s">
        <v>616</v>
      </c>
      <c r="AJ2" s="162"/>
      <c r="AK2" s="162"/>
      <c r="AL2" s="162"/>
      <c r="AM2" s="163"/>
      <c r="AN2" s="121" t="s">
        <v>647</v>
      </c>
      <c r="AO2" s="162" t="s">
        <v>625</v>
      </c>
      <c r="AP2" s="162"/>
      <c r="AQ2" s="162"/>
      <c r="AR2" s="162"/>
      <c r="AS2" s="163"/>
      <c r="AT2" s="120" t="s">
        <v>1431</v>
      </c>
    </row>
    <row r="3" spans="2:46" ht="12" customHeight="1" x14ac:dyDescent="0.3">
      <c r="B3" s="111" t="s">
        <v>69</v>
      </c>
      <c r="C3" s="112" t="s">
        <v>70</v>
      </c>
      <c r="D3" s="112" t="s">
        <v>71</v>
      </c>
      <c r="E3" s="112" t="s">
        <v>72</v>
      </c>
      <c r="F3" s="112" t="s">
        <v>73</v>
      </c>
      <c r="G3" s="112" t="s">
        <v>75</v>
      </c>
      <c r="H3" s="112" t="s">
        <v>76</v>
      </c>
      <c r="I3" s="112" t="s">
        <v>986</v>
      </c>
      <c r="J3" s="112" t="s">
        <v>1393</v>
      </c>
      <c r="K3" s="112" t="s">
        <v>1394</v>
      </c>
      <c r="L3" s="112" t="s">
        <v>1395</v>
      </c>
      <c r="M3" s="112" t="s">
        <v>1396</v>
      </c>
      <c r="N3" s="112" t="s">
        <v>1397</v>
      </c>
      <c r="O3" s="112" t="s">
        <v>1398</v>
      </c>
      <c r="P3" s="112" t="s">
        <v>1399</v>
      </c>
      <c r="Q3" s="112" t="s">
        <v>1400</v>
      </c>
      <c r="R3" s="112" t="s">
        <v>1401</v>
      </c>
      <c r="S3" s="112" t="s">
        <v>1402</v>
      </c>
      <c r="T3" s="112" t="s">
        <v>1403</v>
      </c>
      <c r="U3" s="112" t="s">
        <v>1404</v>
      </c>
      <c r="V3" s="112" t="s">
        <v>1405</v>
      </c>
      <c r="W3" s="112" t="s">
        <v>1406</v>
      </c>
      <c r="X3" s="112" t="s">
        <v>1407</v>
      </c>
      <c r="Y3" s="112" t="s">
        <v>1408</v>
      </c>
      <c r="Z3" s="112" t="s">
        <v>1409</v>
      </c>
      <c r="AA3" s="112" t="s">
        <v>1410</v>
      </c>
      <c r="AB3" s="112" t="s">
        <v>1411</v>
      </c>
      <c r="AC3" s="112" t="s">
        <v>1412</v>
      </c>
      <c r="AD3" s="112" t="s">
        <v>1413</v>
      </c>
      <c r="AE3" s="112" t="s">
        <v>1414</v>
      </c>
      <c r="AF3" s="112" t="s">
        <v>1415</v>
      </c>
      <c r="AG3" s="112" t="s">
        <v>1416</v>
      </c>
      <c r="AH3" s="112" t="s">
        <v>1417</v>
      </c>
      <c r="AI3" s="112" t="s">
        <v>1418</v>
      </c>
      <c r="AJ3" s="112" t="s">
        <v>1419</v>
      </c>
      <c r="AK3" s="112" t="s">
        <v>1420</v>
      </c>
      <c r="AL3" s="112" t="s">
        <v>1421</v>
      </c>
      <c r="AM3" s="112" t="s">
        <v>1422</v>
      </c>
      <c r="AN3" s="112" t="s">
        <v>1423</v>
      </c>
      <c r="AO3" s="112" t="s">
        <v>1424</v>
      </c>
      <c r="AP3" s="112" t="s">
        <v>1425</v>
      </c>
      <c r="AQ3" s="112" t="s">
        <v>1426</v>
      </c>
      <c r="AR3" s="112" t="s">
        <v>1427</v>
      </c>
      <c r="AS3" s="112" t="s">
        <v>1428</v>
      </c>
      <c r="AT3" s="113" t="s">
        <v>1429</v>
      </c>
    </row>
    <row r="4" spans="2:46" ht="12" customHeight="1" x14ac:dyDescent="0.3">
      <c r="B4" s="114" t="s">
        <v>45</v>
      </c>
      <c r="C4" s="115" t="s">
        <v>42</v>
      </c>
      <c r="D4" s="115" t="s">
        <v>25</v>
      </c>
      <c r="E4" s="115" t="s">
        <v>25</v>
      </c>
      <c r="F4" s="115" t="s">
        <v>87</v>
      </c>
      <c r="G4" s="115" t="s">
        <v>34</v>
      </c>
      <c r="H4" s="115" t="s">
        <v>79</v>
      </c>
      <c r="I4" s="115" t="s">
        <v>25</v>
      </c>
      <c r="J4" s="115">
        <v>-0.65</v>
      </c>
      <c r="K4" s="115">
        <v>0</v>
      </c>
      <c r="L4" s="115">
        <v>0</v>
      </c>
      <c r="M4" s="115">
        <v>0</v>
      </c>
      <c r="N4" s="115">
        <v>0</v>
      </c>
      <c r="O4" s="115">
        <v>0</v>
      </c>
      <c r="P4" s="115">
        <v>0</v>
      </c>
      <c r="Q4" s="115">
        <v>0</v>
      </c>
      <c r="R4" s="115">
        <v>0</v>
      </c>
      <c r="S4" s="115">
        <v>0</v>
      </c>
      <c r="T4" s="115">
        <v>0</v>
      </c>
      <c r="U4" s="115">
        <v>0</v>
      </c>
      <c r="V4" s="115">
        <v>0</v>
      </c>
      <c r="W4" s="115">
        <v>0</v>
      </c>
      <c r="X4" s="115">
        <v>0</v>
      </c>
      <c r="Y4" s="115">
        <v>0</v>
      </c>
      <c r="Z4" s="115">
        <v>0</v>
      </c>
      <c r="AA4" s="115">
        <v>0</v>
      </c>
      <c r="AB4" s="115">
        <v>0</v>
      </c>
      <c r="AC4" s="115">
        <v>0</v>
      </c>
      <c r="AD4" s="115">
        <v>0</v>
      </c>
      <c r="AE4" s="115">
        <v>-0.58087014473073795</v>
      </c>
      <c r="AF4" s="115">
        <v>-1.7092855041342701E-2</v>
      </c>
      <c r="AG4" s="115">
        <v>-5.2319684555639699E-2</v>
      </c>
      <c r="AH4" s="115">
        <v>0</v>
      </c>
      <c r="AI4" s="115">
        <v>0</v>
      </c>
      <c r="AJ4" s="115">
        <v>0</v>
      </c>
      <c r="AK4" s="115">
        <v>0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  <c r="AQ4" s="115">
        <v>0</v>
      </c>
      <c r="AR4" s="115">
        <v>0</v>
      </c>
      <c r="AS4" s="115">
        <v>0</v>
      </c>
      <c r="AT4" s="116">
        <v>0</v>
      </c>
    </row>
    <row r="5" spans="2:46" ht="12" customHeight="1" x14ac:dyDescent="0.3">
      <c r="B5" s="114" t="s">
        <v>45</v>
      </c>
      <c r="C5" s="115" t="s">
        <v>42</v>
      </c>
      <c r="D5" s="115" t="s">
        <v>25</v>
      </c>
      <c r="E5" s="115" t="s">
        <v>25</v>
      </c>
      <c r="F5" s="115" t="s">
        <v>87</v>
      </c>
      <c r="G5" s="115" t="s">
        <v>34</v>
      </c>
      <c r="H5" s="115" t="s">
        <v>84</v>
      </c>
      <c r="I5" s="115" t="s">
        <v>25</v>
      </c>
      <c r="J5" s="115">
        <v>1.06</v>
      </c>
      <c r="K5" s="115">
        <v>0</v>
      </c>
      <c r="L5" s="115">
        <v>0</v>
      </c>
      <c r="M5" s="115">
        <v>0</v>
      </c>
      <c r="N5" s="115">
        <v>0</v>
      </c>
      <c r="O5" s="115">
        <v>0</v>
      </c>
      <c r="P5" s="115">
        <v>0</v>
      </c>
      <c r="Q5" s="115">
        <v>0</v>
      </c>
      <c r="R5" s="115">
        <v>0</v>
      </c>
      <c r="S5" s="115">
        <v>0</v>
      </c>
      <c r="T5" s="115">
        <v>0.72307515834490599</v>
      </c>
      <c r="U5" s="115">
        <v>0.337472166783435</v>
      </c>
      <c r="V5" s="115">
        <v>0</v>
      </c>
      <c r="W5" s="115">
        <v>0</v>
      </c>
      <c r="X5" s="115">
        <v>0</v>
      </c>
      <c r="Y5" s="115">
        <v>0</v>
      </c>
      <c r="Z5" s="115">
        <v>0</v>
      </c>
      <c r="AA5" s="115">
        <v>0</v>
      </c>
      <c r="AB5" s="115">
        <v>0</v>
      </c>
      <c r="AC5" s="115">
        <v>0</v>
      </c>
      <c r="AD5" s="115">
        <v>0</v>
      </c>
      <c r="AE5" s="115">
        <v>0</v>
      </c>
      <c r="AF5" s="115">
        <v>0</v>
      </c>
      <c r="AG5" s="115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0</v>
      </c>
      <c r="AS5" s="115">
        <v>0</v>
      </c>
      <c r="AT5" s="116">
        <v>0</v>
      </c>
    </row>
    <row r="6" spans="2:46" ht="12" customHeight="1" x14ac:dyDescent="0.3">
      <c r="B6" s="114" t="s">
        <v>45</v>
      </c>
      <c r="C6" s="115" t="s">
        <v>42</v>
      </c>
      <c r="D6" s="115" t="s">
        <v>25</v>
      </c>
      <c r="E6" s="115" t="s">
        <v>25</v>
      </c>
      <c r="F6" s="115" t="s">
        <v>87</v>
      </c>
      <c r="G6" s="115" t="s">
        <v>35</v>
      </c>
      <c r="H6" s="115" t="s">
        <v>79</v>
      </c>
      <c r="I6" s="115" t="s">
        <v>25</v>
      </c>
      <c r="J6" s="115">
        <v>-0.65</v>
      </c>
      <c r="K6" s="115">
        <v>0</v>
      </c>
      <c r="L6" s="115">
        <v>0</v>
      </c>
      <c r="M6" s="115">
        <v>0</v>
      </c>
      <c r="N6" s="115">
        <v>0</v>
      </c>
      <c r="O6" s="115">
        <v>0</v>
      </c>
      <c r="P6" s="115">
        <v>0</v>
      </c>
      <c r="Q6" s="115">
        <v>0</v>
      </c>
      <c r="R6" s="115">
        <v>0</v>
      </c>
      <c r="S6" s="115">
        <v>0</v>
      </c>
      <c r="T6" s="115">
        <v>0</v>
      </c>
      <c r="U6" s="115">
        <v>0</v>
      </c>
      <c r="V6" s="115">
        <v>0</v>
      </c>
      <c r="W6" s="115">
        <v>0</v>
      </c>
      <c r="X6" s="115">
        <v>0</v>
      </c>
      <c r="Y6" s="115">
        <v>0</v>
      </c>
      <c r="Z6" s="115">
        <v>0</v>
      </c>
      <c r="AA6" s="115">
        <v>0</v>
      </c>
      <c r="AB6" s="115">
        <v>0</v>
      </c>
      <c r="AC6" s="115">
        <v>0</v>
      </c>
      <c r="AD6" s="115">
        <v>0</v>
      </c>
      <c r="AE6" s="115">
        <v>-0.58087014473073795</v>
      </c>
      <c r="AF6" s="115">
        <v>-1.7092855041342701E-2</v>
      </c>
      <c r="AG6" s="115">
        <v>-5.2319684555639699E-2</v>
      </c>
      <c r="AH6" s="115">
        <v>0</v>
      </c>
      <c r="AI6" s="115">
        <v>0</v>
      </c>
      <c r="AJ6" s="115">
        <v>0</v>
      </c>
      <c r="AK6" s="115">
        <v>0</v>
      </c>
      <c r="AL6" s="115">
        <v>0</v>
      </c>
      <c r="AM6" s="115">
        <v>0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6">
        <v>0</v>
      </c>
    </row>
    <row r="7" spans="2:46" ht="12" customHeight="1" x14ac:dyDescent="0.3">
      <c r="B7" s="114" t="s">
        <v>45</v>
      </c>
      <c r="C7" s="115" t="s">
        <v>42</v>
      </c>
      <c r="D7" s="115" t="s">
        <v>25</v>
      </c>
      <c r="E7" s="115" t="s">
        <v>25</v>
      </c>
      <c r="F7" s="115" t="s">
        <v>87</v>
      </c>
      <c r="G7" s="115" t="s">
        <v>35</v>
      </c>
      <c r="H7" s="115" t="s">
        <v>84</v>
      </c>
      <c r="I7" s="115" t="s">
        <v>25</v>
      </c>
      <c r="J7" s="115">
        <v>0.62</v>
      </c>
      <c r="K7" s="115">
        <v>0</v>
      </c>
      <c r="L7" s="115">
        <v>0</v>
      </c>
      <c r="M7" s="115">
        <v>0</v>
      </c>
      <c r="N7" s="115">
        <v>0</v>
      </c>
      <c r="O7" s="115">
        <v>0</v>
      </c>
      <c r="P7" s="115">
        <v>0</v>
      </c>
      <c r="Q7" s="115">
        <v>0</v>
      </c>
      <c r="R7" s="115">
        <v>0</v>
      </c>
      <c r="S7" s="115">
        <v>0</v>
      </c>
      <c r="T7" s="115">
        <v>0.41714259521158797</v>
      </c>
      <c r="U7" s="115">
        <v>0.201658315103243</v>
      </c>
      <c r="V7" s="115">
        <v>0</v>
      </c>
      <c r="W7" s="115">
        <v>0</v>
      </c>
      <c r="X7" s="115">
        <v>0</v>
      </c>
      <c r="Y7" s="115">
        <v>0</v>
      </c>
      <c r="Z7" s="115">
        <v>0</v>
      </c>
      <c r="AA7" s="115">
        <v>0</v>
      </c>
      <c r="AB7" s="115">
        <v>0</v>
      </c>
      <c r="AC7" s="115">
        <v>0</v>
      </c>
      <c r="AD7" s="115">
        <v>0</v>
      </c>
      <c r="AE7" s="115">
        <v>0</v>
      </c>
      <c r="AF7" s="115">
        <v>0</v>
      </c>
      <c r="AG7" s="115">
        <v>0</v>
      </c>
      <c r="AH7" s="115">
        <v>0</v>
      </c>
      <c r="AI7" s="115">
        <v>0</v>
      </c>
      <c r="AJ7" s="115">
        <v>0</v>
      </c>
      <c r="AK7" s="115">
        <v>0</v>
      </c>
      <c r="AL7" s="115">
        <v>0</v>
      </c>
      <c r="AM7" s="115">
        <v>0</v>
      </c>
      <c r="AN7" s="115">
        <v>0</v>
      </c>
      <c r="AO7" s="115">
        <v>0</v>
      </c>
      <c r="AP7" s="115">
        <v>0</v>
      </c>
      <c r="AQ7" s="115">
        <v>0</v>
      </c>
      <c r="AR7" s="115">
        <v>0</v>
      </c>
      <c r="AS7" s="115">
        <v>0</v>
      </c>
      <c r="AT7" s="116">
        <v>0</v>
      </c>
    </row>
    <row r="8" spans="2:46" ht="12" customHeight="1" x14ac:dyDescent="0.3">
      <c r="B8" s="114" t="s">
        <v>45</v>
      </c>
      <c r="C8" s="115" t="s">
        <v>42</v>
      </c>
      <c r="D8" s="115" t="s">
        <v>25</v>
      </c>
      <c r="E8" s="115" t="s">
        <v>25</v>
      </c>
      <c r="F8" s="115" t="s">
        <v>25</v>
      </c>
      <c r="G8" s="115" t="s">
        <v>34</v>
      </c>
      <c r="H8" s="115" t="s">
        <v>79</v>
      </c>
      <c r="I8" s="115" t="s">
        <v>25</v>
      </c>
      <c r="J8" s="115">
        <v>29.71</v>
      </c>
      <c r="K8" s="115">
        <v>-16.05</v>
      </c>
      <c r="L8" s="115">
        <v>0.77554598170252798</v>
      </c>
      <c r="M8" s="115">
        <v>0</v>
      </c>
      <c r="N8" s="115">
        <v>0</v>
      </c>
      <c r="O8" s="115">
        <v>0</v>
      </c>
      <c r="P8" s="115">
        <v>0</v>
      </c>
      <c r="Q8" s="115">
        <v>24.326122328355499</v>
      </c>
      <c r="R8" s="115">
        <v>5.2627822833457598</v>
      </c>
      <c r="S8" s="115">
        <v>0</v>
      </c>
      <c r="T8" s="115">
        <v>0</v>
      </c>
      <c r="U8" s="115">
        <v>0</v>
      </c>
      <c r="V8" s="115">
        <v>0</v>
      </c>
      <c r="W8" s="115">
        <v>0</v>
      </c>
      <c r="X8" s="115">
        <v>0</v>
      </c>
      <c r="Y8" s="115">
        <v>0</v>
      </c>
      <c r="Z8" s="115">
        <v>0</v>
      </c>
      <c r="AA8" s="115">
        <v>0</v>
      </c>
      <c r="AB8" s="115">
        <v>0</v>
      </c>
      <c r="AC8" s="115">
        <v>0</v>
      </c>
      <c r="AD8" s="115">
        <v>0</v>
      </c>
      <c r="AE8" s="115">
        <v>-0.58087014473073795</v>
      </c>
      <c r="AF8" s="115">
        <v>-1.7092855041342701E-2</v>
      </c>
      <c r="AG8" s="115">
        <v>-5.2319684555639699E-2</v>
      </c>
      <c r="AH8" s="115">
        <v>0</v>
      </c>
      <c r="AI8" s="115">
        <v>0.37859190088024602</v>
      </c>
      <c r="AJ8" s="115">
        <v>0</v>
      </c>
      <c r="AK8" s="115">
        <v>0</v>
      </c>
      <c r="AL8" s="115">
        <v>0.171665175851341</v>
      </c>
      <c r="AM8" s="115">
        <v>0</v>
      </c>
      <c r="AN8" s="115">
        <v>-17.1935913563713</v>
      </c>
      <c r="AO8" s="115">
        <v>0.50155835238889401</v>
      </c>
      <c r="AP8" s="115">
        <v>0.377483046634356</v>
      </c>
      <c r="AQ8" s="115">
        <v>0</v>
      </c>
      <c r="AR8" s="115">
        <v>0</v>
      </c>
      <c r="AS8" s="115">
        <v>0</v>
      </c>
      <c r="AT8" s="116">
        <v>-0.29034460599760598</v>
      </c>
    </row>
    <row r="9" spans="2:46" ht="12" customHeight="1" x14ac:dyDescent="0.3">
      <c r="B9" s="114" t="s">
        <v>45</v>
      </c>
      <c r="C9" s="115" t="s">
        <v>42</v>
      </c>
      <c r="D9" s="115" t="s">
        <v>25</v>
      </c>
      <c r="E9" s="115" t="s">
        <v>25</v>
      </c>
      <c r="F9" s="115" t="s">
        <v>25</v>
      </c>
      <c r="G9" s="115" t="s">
        <v>34</v>
      </c>
      <c r="H9" s="115" t="s">
        <v>84</v>
      </c>
      <c r="I9" s="115" t="s">
        <v>25</v>
      </c>
      <c r="J9" s="115">
        <v>1.06</v>
      </c>
      <c r="K9" s="115">
        <v>0</v>
      </c>
      <c r="L9" s="115">
        <v>0</v>
      </c>
      <c r="M9" s="115">
        <v>0</v>
      </c>
      <c r="N9" s="115">
        <v>0</v>
      </c>
      <c r="O9" s="115">
        <v>0</v>
      </c>
      <c r="P9" s="115">
        <v>0</v>
      </c>
      <c r="Q9" s="115">
        <v>0</v>
      </c>
      <c r="R9" s="115">
        <v>0</v>
      </c>
      <c r="S9" s="115">
        <v>0</v>
      </c>
      <c r="T9" s="115">
        <v>0.72307515834490599</v>
      </c>
      <c r="U9" s="115">
        <v>0.337472166783435</v>
      </c>
      <c r="V9" s="115">
        <v>0</v>
      </c>
      <c r="W9" s="115">
        <v>0</v>
      </c>
      <c r="X9" s="115">
        <v>0</v>
      </c>
      <c r="Y9" s="115">
        <v>0</v>
      </c>
      <c r="Z9" s="115">
        <v>0</v>
      </c>
      <c r="AA9" s="115">
        <v>0</v>
      </c>
      <c r="AB9" s="115">
        <v>0</v>
      </c>
      <c r="AC9" s="115">
        <v>0</v>
      </c>
      <c r="AD9" s="115">
        <v>0</v>
      </c>
      <c r="AE9" s="115">
        <v>0</v>
      </c>
      <c r="AF9" s="115">
        <v>0</v>
      </c>
      <c r="AG9" s="115">
        <v>0</v>
      </c>
      <c r="AH9" s="115">
        <v>0</v>
      </c>
      <c r="AI9" s="115">
        <v>0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6">
        <v>0</v>
      </c>
    </row>
    <row r="10" spans="2:46" ht="12" customHeight="1" x14ac:dyDescent="0.3">
      <c r="B10" s="114" t="s">
        <v>45</v>
      </c>
      <c r="C10" s="115" t="s">
        <v>42</v>
      </c>
      <c r="D10" s="115" t="s">
        <v>25</v>
      </c>
      <c r="E10" s="115" t="s">
        <v>25</v>
      </c>
      <c r="F10" s="115" t="s">
        <v>25</v>
      </c>
      <c r="G10" s="115" t="s">
        <v>35</v>
      </c>
      <c r="H10" s="115" t="s">
        <v>79</v>
      </c>
      <c r="I10" s="115" t="s">
        <v>25</v>
      </c>
      <c r="J10" s="115">
        <v>29.71</v>
      </c>
      <c r="K10" s="115">
        <v>-8.86</v>
      </c>
      <c r="L10" s="115">
        <v>0.77554598170252798</v>
      </c>
      <c r="M10" s="115">
        <v>0</v>
      </c>
      <c r="N10" s="115">
        <v>0</v>
      </c>
      <c r="O10" s="115">
        <v>0</v>
      </c>
      <c r="P10" s="115">
        <v>0</v>
      </c>
      <c r="Q10" s="115">
        <v>24.326122328355499</v>
      </c>
      <c r="R10" s="115">
        <v>5.2627822833457598</v>
      </c>
      <c r="S10" s="115">
        <v>0</v>
      </c>
      <c r="T10" s="115">
        <v>0</v>
      </c>
      <c r="U10" s="115">
        <v>0</v>
      </c>
      <c r="V10" s="115">
        <v>0</v>
      </c>
      <c r="W10" s="115">
        <v>0</v>
      </c>
      <c r="X10" s="115">
        <v>0</v>
      </c>
      <c r="Y10" s="115">
        <v>0</v>
      </c>
      <c r="Z10" s="115">
        <v>0</v>
      </c>
      <c r="AA10" s="115">
        <v>0</v>
      </c>
      <c r="AB10" s="115">
        <v>0</v>
      </c>
      <c r="AC10" s="115">
        <v>0</v>
      </c>
      <c r="AD10" s="115">
        <v>0</v>
      </c>
      <c r="AE10" s="115">
        <v>-0.58087014473073795</v>
      </c>
      <c r="AF10" s="115">
        <v>-1.7092855041342701E-2</v>
      </c>
      <c r="AG10" s="115">
        <v>-5.2319684555639699E-2</v>
      </c>
      <c r="AH10" s="115">
        <v>0</v>
      </c>
      <c r="AI10" s="115">
        <v>0.37859190088024602</v>
      </c>
      <c r="AJ10" s="115">
        <v>0</v>
      </c>
      <c r="AK10" s="115">
        <v>0</v>
      </c>
      <c r="AL10" s="115">
        <v>0.171665175851341</v>
      </c>
      <c r="AM10" s="115">
        <v>0</v>
      </c>
      <c r="AN10" s="115">
        <v>-9.99627404440192</v>
      </c>
      <c r="AO10" s="115">
        <v>0.50155835238889401</v>
      </c>
      <c r="AP10" s="115">
        <v>0.377483046634356</v>
      </c>
      <c r="AQ10" s="115">
        <v>0</v>
      </c>
      <c r="AR10" s="115">
        <v>0</v>
      </c>
      <c r="AS10" s="115">
        <v>0</v>
      </c>
      <c r="AT10" s="116">
        <v>-0.29034460599760598</v>
      </c>
    </row>
    <row r="11" spans="2:46" ht="12" customHeight="1" x14ac:dyDescent="0.3">
      <c r="B11" s="114" t="s">
        <v>45</v>
      </c>
      <c r="C11" s="115" t="s">
        <v>42</v>
      </c>
      <c r="D11" s="115" t="s">
        <v>25</v>
      </c>
      <c r="E11" s="115" t="s">
        <v>25</v>
      </c>
      <c r="F11" s="115" t="s">
        <v>25</v>
      </c>
      <c r="G11" s="115" t="s">
        <v>35</v>
      </c>
      <c r="H11" s="115" t="s">
        <v>84</v>
      </c>
      <c r="I11" s="115" t="s">
        <v>25</v>
      </c>
      <c r="J11" s="115">
        <v>0.62</v>
      </c>
      <c r="K11" s="115">
        <v>0</v>
      </c>
      <c r="L11" s="115">
        <v>0</v>
      </c>
      <c r="M11" s="115">
        <v>0</v>
      </c>
      <c r="N11" s="115">
        <v>0</v>
      </c>
      <c r="O11" s="115">
        <v>0</v>
      </c>
      <c r="P11" s="115">
        <v>0</v>
      </c>
      <c r="Q11" s="115">
        <v>0</v>
      </c>
      <c r="R11" s="115">
        <v>0</v>
      </c>
      <c r="S11" s="115">
        <v>0</v>
      </c>
      <c r="T11" s="115">
        <v>0.41714259521158797</v>
      </c>
      <c r="U11" s="115">
        <v>0.201658315103243</v>
      </c>
      <c r="V11" s="115">
        <v>0</v>
      </c>
      <c r="W11" s="115">
        <v>0</v>
      </c>
      <c r="X11" s="115">
        <v>0</v>
      </c>
      <c r="Y11" s="115">
        <v>0</v>
      </c>
      <c r="Z11" s="115">
        <v>0</v>
      </c>
      <c r="AA11" s="115">
        <v>0</v>
      </c>
      <c r="AB11" s="115">
        <v>0</v>
      </c>
      <c r="AC11" s="115">
        <v>0</v>
      </c>
      <c r="AD11" s="115">
        <v>0</v>
      </c>
      <c r="AE11" s="115">
        <v>0</v>
      </c>
      <c r="AF11" s="115">
        <v>0</v>
      </c>
      <c r="AG11" s="115">
        <v>0</v>
      </c>
      <c r="AH11" s="115">
        <v>0</v>
      </c>
      <c r="AI11" s="115">
        <v>0</v>
      </c>
      <c r="AJ11" s="115">
        <v>0</v>
      </c>
      <c r="AK11" s="115">
        <v>0</v>
      </c>
      <c r="AL11" s="115">
        <v>0</v>
      </c>
      <c r="AM11" s="115">
        <v>0</v>
      </c>
      <c r="AN11" s="115">
        <v>0</v>
      </c>
      <c r="AO11" s="115">
        <v>0</v>
      </c>
      <c r="AP11" s="115">
        <v>0</v>
      </c>
      <c r="AQ11" s="115">
        <v>0</v>
      </c>
      <c r="AR11" s="115">
        <v>0</v>
      </c>
      <c r="AS11" s="115">
        <v>0</v>
      </c>
      <c r="AT11" s="116">
        <v>0</v>
      </c>
    </row>
    <row r="12" spans="2:46" ht="12" customHeight="1" x14ac:dyDescent="0.3">
      <c r="B12" s="114" t="s">
        <v>45</v>
      </c>
      <c r="C12" s="115" t="s">
        <v>23</v>
      </c>
      <c r="D12" s="115" t="s">
        <v>25</v>
      </c>
      <c r="E12" s="115" t="s">
        <v>25</v>
      </c>
      <c r="F12" s="115" t="s">
        <v>25</v>
      </c>
      <c r="G12" s="115" t="s">
        <v>25</v>
      </c>
      <c r="H12" s="115" t="s">
        <v>79</v>
      </c>
      <c r="I12" s="115" t="s">
        <v>25</v>
      </c>
      <c r="J12" s="115">
        <v>29.71</v>
      </c>
      <c r="K12" s="115">
        <v>-9.4600000000000009</v>
      </c>
      <c r="L12" s="115">
        <v>0.77554598170252798</v>
      </c>
      <c r="M12" s="115">
        <v>0</v>
      </c>
      <c r="N12" s="115">
        <v>0</v>
      </c>
      <c r="O12" s="115">
        <v>0</v>
      </c>
      <c r="P12" s="115">
        <v>0</v>
      </c>
      <c r="Q12" s="115">
        <v>24.326122328355499</v>
      </c>
      <c r="R12" s="115">
        <v>5.2627822833457598</v>
      </c>
      <c r="S12" s="115">
        <v>0</v>
      </c>
      <c r="T12" s="115">
        <v>0</v>
      </c>
      <c r="U12" s="115">
        <v>0</v>
      </c>
      <c r="V12" s="115">
        <v>0</v>
      </c>
      <c r="W12" s="115">
        <v>0</v>
      </c>
      <c r="X12" s="115">
        <v>0</v>
      </c>
      <c r="Y12" s="115">
        <v>0</v>
      </c>
      <c r="Z12" s="115">
        <v>0</v>
      </c>
      <c r="AA12" s="115">
        <v>0</v>
      </c>
      <c r="AB12" s="115">
        <v>0</v>
      </c>
      <c r="AC12" s="115">
        <v>0</v>
      </c>
      <c r="AD12" s="115">
        <v>0</v>
      </c>
      <c r="AE12" s="115">
        <v>-0.58087014473073795</v>
      </c>
      <c r="AF12" s="115">
        <v>-1.7092855041342701E-2</v>
      </c>
      <c r="AG12" s="115">
        <v>-5.2319684555639699E-2</v>
      </c>
      <c r="AH12" s="115">
        <v>0</v>
      </c>
      <c r="AI12" s="115">
        <v>0.37859190088024602</v>
      </c>
      <c r="AJ12" s="115">
        <v>0</v>
      </c>
      <c r="AK12" s="115">
        <v>0</v>
      </c>
      <c r="AL12" s="115">
        <v>0.171665175851341</v>
      </c>
      <c r="AM12" s="115">
        <v>0</v>
      </c>
      <c r="AN12" s="115">
        <v>-10.596050487066</v>
      </c>
      <c r="AO12" s="115">
        <v>0.50155835238889401</v>
      </c>
      <c r="AP12" s="115">
        <v>0.377483046634356</v>
      </c>
      <c r="AQ12" s="115">
        <v>0</v>
      </c>
      <c r="AR12" s="115">
        <v>0</v>
      </c>
      <c r="AS12" s="115">
        <v>0</v>
      </c>
      <c r="AT12" s="116">
        <v>-0.29034460599760598</v>
      </c>
    </row>
    <row r="13" spans="2:46" ht="12" customHeight="1" x14ac:dyDescent="0.3">
      <c r="B13" s="114" t="s">
        <v>45</v>
      </c>
      <c r="C13" s="115" t="s">
        <v>23</v>
      </c>
      <c r="D13" s="115" t="s">
        <v>25</v>
      </c>
      <c r="E13" s="115" t="s">
        <v>25</v>
      </c>
      <c r="F13" s="115" t="s">
        <v>25</v>
      </c>
      <c r="G13" s="115" t="s">
        <v>25</v>
      </c>
      <c r="H13" s="115" t="s">
        <v>84</v>
      </c>
      <c r="I13" s="115" t="s">
        <v>25</v>
      </c>
      <c r="J13" s="115">
        <v>1.38</v>
      </c>
      <c r="K13" s="115">
        <v>0</v>
      </c>
      <c r="L13" s="115">
        <v>0</v>
      </c>
      <c r="M13" s="115">
        <v>0</v>
      </c>
      <c r="N13" s="115">
        <v>0</v>
      </c>
      <c r="O13" s="115">
        <v>0</v>
      </c>
      <c r="P13" s="115">
        <v>0</v>
      </c>
      <c r="Q13" s="115">
        <v>0</v>
      </c>
      <c r="R13" s="115">
        <v>0</v>
      </c>
      <c r="S13" s="115">
        <v>0</v>
      </c>
      <c r="T13" s="115">
        <v>0.93775480778744202</v>
      </c>
      <c r="U13" s="115">
        <v>0.444636030330263</v>
      </c>
      <c r="V13" s="115">
        <v>0</v>
      </c>
      <c r="W13" s="115">
        <v>0</v>
      </c>
      <c r="X13" s="115">
        <v>0</v>
      </c>
      <c r="Y13" s="115">
        <v>0</v>
      </c>
      <c r="Z13" s="115">
        <v>0</v>
      </c>
      <c r="AA13" s="115">
        <v>0</v>
      </c>
      <c r="AB13" s="115">
        <v>0</v>
      </c>
      <c r="AC13" s="115">
        <v>0</v>
      </c>
      <c r="AD13" s="115">
        <v>0</v>
      </c>
      <c r="AE13" s="115">
        <v>0</v>
      </c>
      <c r="AF13" s="115">
        <v>0</v>
      </c>
      <c r="AG13" s="115">
        <v>0</v>
      </c>
      <c r="AH13" s="115">
        <v>0</v>
      </c>
      <c r="AI13" s="115">
        <v>0</v>
      </c>
      <c r="AJ13" s="115">
        <v>0</v>
      </c>
      <c r="AK13" s="115">
        <v>0</v>
      </c>
      <c r="AL13" s="115">
        <v>0</v>
      </c>
      <c r="AM13" s="115">
        <v>0</v>
      </c>
      <c r="AN13" s="115">
        <v>0</v>
      </c>
      <c r="AO13" s="115">
        <v>0</v>
      </c>
      <c r="AP13" s="115">
        <v>0</v>
      </c>
      <c r="AQ13" s="115">
        <v>0</v>
      </c>
      <c r="AR13" s="115">
        <v>0</v>
      </c>
      <c r="AS13" s="115">
        <v>0</v>
      </c>
      <c r="AT13" s="116">
        <v>0</v>
      </c>
    </row>
    <row r="14" spans="2:46" ht="12" customHeight="1" x14ac:dyDescent="0.3">
      <c r="B14" s="114" t="s">
        <v>45</v>
      </c>
      <c r="C14" s="115" t="s">
        <v>60</v>
      </c>
      <c r="D14" s="115" t="s">
        <v>25</v>
      </c>
      <c r="E14" s="115" t="s">
        <v>25</v>
      </c>
      <c r="F14" s="115" t="s">
        <v>25</v>
      </c>
      <c r="G14" s="115" t="s">
        <v>25</v>
      </c>
      <c r="H14" s="115" t="s">
        <v>84</v>
      </c>
      <c r="I14" s="115" t="s">
        <v>25</v>
      </c>
      <c r="J14" s="115">
        <v>0</v>
      </c>
      <c r="K14" s="115">
        <v>0</v>
      </c>
      <c r="L14" s="115">
        <v>0</v>
      </c>
      <c r="M14" s="115">
        <v>0</v>
      </c>
      <c r="N14" s="115">
        <v>0</v>
      </c>
      <c r="O14" s="115">
        <v>0</v>
      </c>
      <c r="P14" s="115">
        <v>0</v>
      </c>
      <c r="Q14" s="115">
        <v>0</v>
      </c>
      <c r="R14" s="115">
        <v>0</v>
      </c>
      <c r="S14" s="115">
        <v>0</v>
      </c>
      <c r="T14" s="115">
        <v>0</v>
      </c>
      <c r="U14" s="115">
        <v>0</v>
      </c>
      <c r="V14" s="115">
        <v>0</v>
      </c>
      <c r="W14" s="115">
        <v>0</v>
      </c>
      <c r="X14" s="115">
        <v>0</v>
      </c>
      <c r="Y14" s="115">
        <v>0</v>
      </c>
      <c r="Z14" s="115">
        <v>0</v>
      </c>
      <c r="AA14" s="115">
        <v>0</v>
      </c>
      <c r="AB14" s="115">
        <v>0</v>
      </c>
      <c r="AC14" s="115">
        <v>0</v>
      </c>
      <c r="AD14" s="115">
        <v>0</v>
      </c>
      <c r="AE14" s="115">
        <v>-3.4337880067934398E-4</v>
      </c>
      <c r="AF14" s="115">
        <v>0</v>
      </c>
      <c r="AG14" s="115">
        <v>0</v>
      </c>
      <c r="AH14" s="115">
        <v>0</v>
      </c>
      <c r="AI14" s="115">
        <v>0</v>
      </c>
      <c r="AJ14" s="115">
        <v>0</v>
      </c>
      <c r="AK14" s="115">
        <v>0</v>
      </c>
      <c r="AL14" s="115">
        <v>0</v>
      </c>
      <c r="AM14" s="115">
        <v>0</v>
      </c>
      <c r="AN14" s="115">
        <v>0</v>
      </c>
      <c r="AO14" s="115">
        <v>0</v>
      </c>
      <c r="AP14" s="115">
        <v>0</v>
      </c>
      <c r="AQ14" s="115">
        <v>0</v>
      </c>
      <c r="AR14" s="115">
        <v>0</v>
      </c>
      <c r="AS14" s="115">
        <v>0</v>
      </c>
      <c r="AT14" s="116">
        <v>0</v>
      </c>
    </row>
    <row r="15" spans="2:46" ht="12" customHeight="1" x14ac:dyDescent="0.3">
      <c r="B15" s="114" t="s">
        <v>45</v>
      </c>
      <c r="C15" s="115" t="s">
        <v>40</v>
      </c>
      <c r="D15" s="115" t="s">
        <v>25</v>
      </c>
      <c r="E15" s="115" t="s">
        <v>25</v>
      </c>
      <c r="F15" s="115" t="s">
        <v>87</v>
      </c>
      <c r="G15" s="115" t="s">
        <v>34</v>
      </c>
      <c r="H15" s="115" t="s">
        <v>79</v>
      </c>
      <c r="I15" s="115" t="s">
        <v>25</v>
      </c>
      <c r="J15" s="115">
        <v>24.86</v>
      </c>
      <c r="K15" s="115">
        <v>0</v>
      </c>
      <c r="L15" s="115">
        <v>0</v>
      </c>
      <c r="M15" s="115">
        <v>0</v>
      </c>
      <c r="N15" s="115">
        <v>0</v>
      </c>
      <c r="O15" s="115">
        <v>0</v>
      </c>
      <c r="P15" s="115">
        <v>0</v>
      </c>
      <c r="Q15" s="115">
        <v>0</v>
      </c>
      <c r="R15" s="115">
        <v>0</v>
      </c>
      <c r="S15" s="115">
        <v>0</v>
      </c>
      <c r="T15" s="115">
        <v>17.389946862637299</v>
      </c>
      <c r="U15" s="115">
        <v>8.1161473851617991</v>
      </c>
      <c r="V15" s="115">
        <v>0</v>
      </c>
      <c r="W15" s="115">
        <v>0</v>
      </c>
      <c r="X15" s="115">
        <v>0</v>
      </c>
      <c r="Y15" s="115">
        <v>0</v>
      </c>
      <c r="Z15" s="115">
        <v>0</v>
      </c>
      <c r="AA15" s="115">
        <v>0</v>
      </c>
      <c r="AB15" s="115">
        <v>0</v>
      </c>
      <c r="AC15" s="115">
        <v>0</v>
      </c>
      <c r="AD15" s="115">
        <v>0</v>
      </c>
      <c r="AE15" s="115">
        <v>-0.58087014473073795</v>
      </c>
      <c r="AF15" s="115">
        <v>-1.7092855041342701E-2</v>
      </c>
      <c r="AG15" s="115">
        <v>-5.2319684555639699E-2</v>
      </c>
      <c r="AH15" s="115">
        <v>0</v>
      </c>
      <c r="AI15" s="115">
        <v>0</v>
      </c>
      <c r="AJ15" s="115">
        <v>0</v>
      </c>
      <c r="AK15" s="115">
        <v>0</v>
      </c>
      <c r="AL15" s="115">
        <v>0</v>
      </c>
      <c r="AM15" s="115">
        <v>0</v>
      </c>
      <c r="AN15" s="115">
        <v>0</v>
      </c>
      <c r="AO15" s="115">
        <v>0</v>
      </c>
      <c r="AP15" s="115">
        <v>0</v>
      </c>
      <c r="AQ15" s="115">
        <v>0</v>
      </c>
      <c r="AR15" s="115">
        <v>0</v>
      </c>
      <c r="AS15" s="115">
        <v>0</v>
      </c>
      <c r="AT15" s="116">
        <v>0</v>
      </c>
    </row>
    <row r="16" spans="2:46" ht="12" customHeight="1" x14ac:dyDescent="0.3">
      <c r="B16" s="114" t="s">
        <v>45</v>
      </c>
      <c r="C16" s="115" t="s">
        <v>40</v>
      </c>
      <c r="D16" s="115" t="s">
        <v>25</v>
      </c>
      <c r="E16" s="115" t="s">
        <v>25</v>
      </c>
      <c r="F16" s="115" t="s">
        <v>87</v>
      </c>
      <c r="G16" s="115" t="s">
        <v>25</v>
      </c>
      <c r="H16" s="115" t="s">
        <v>84</v>
      </c>
      <c r="I16" s="115" t="s">
        <v>25</v>
      </c>
      <c r="J16" s="115">
        <v>0.62</v>
      </c>
      <c r="K16" s="115">
        <v>0</v>
      </c>
      <c r="L16" s="115">
        <v>0</v>
      </c>
      <c r="M16" s="115">
        <v>0</v>
      </c>
      <c r="N16" s="115">
        <v>0</v>
      </c>
      <c r="O16" s="115">
        <v>0</v>
      </c>
      <c r="P16" s="115">
        <v>0</v>
      </c>
      <c r="Q16" s="115">
        <v>0</v>
      </c>
      <c r="R16" s="115">
        <v>0</v>
      </c>
      <c r="S16" s="115">
        <v>0</v>
      </c>
      <c r="T16" s="115">
        <v>0.41714259521158797</v>
      </c>
      <c r="U16" s="115">
        <v>0.201658315103243</v>
      </c>
      <c r="V16" s="115">
        <v>0</v>
      </c>
      <c r="W16" s="115">
        <v>0</v>
      </c>
      <c r="X16" s="115">
        <v>0</v>
      </c>
      <c r="Y16" s="115">
        <v>0</v>
      </c>
      <c r="Z16" s="115">
        <v>0</v>
      </c>
      <c r="AA16" s="115">
        <v>0</v>
      </c>
      <c r="AB16" s="115">
        <v>0</v>
      </c>
      <c r="AC16" s="115">
        <v>0</v>
      </c>
      <c r="AD16" s="115">
        <v>0</v>
      </c>
      <c r="AE16" s="115">
        <v>0</v>
      </c>
      <c r="AF16" s="115">
        <v>0</v>
      </c>
      <c r="AG16" s="115">
        <v>0</v>
      </c>
      <c r="AH16" s="115">
        <v>0</v>
      </c>
      <c r="AI16" s="115">
        <v>0</v>
      </c>
      <c r="AJ16" s="115">
        <v>0</v>
      </c>
      <c r="AK16" s="115">
        <v>0</v>
      </c>
      <c r="AL16" s="115">
        <v>0</v>
      </c>
      <c r="AM16" s="115">
        <v>0</v>
      </c>
      <c r="AN16" s="115">
        <v>0</v>
      </c>
      <c r="AO16" s="115">
        <v>0</v>
      </c>
      <c r="AP16" s="115">
        <v>0</v>
      </c>
      <c r="AQ16" s="115">
        <v>0</v>
      </c>
      <c r="AR16" s="115">
        <v>0</v>
      </c>
      <c r="AS16" s="115">
        <v>0</v>
      </c>
      <c r="AT16" s="116">
        <v>0</v>
      </c>
    </row>
    <row r="17" spans="2:46" ht="12" customHeight="1" x14ac:dyDescent="0.3">
      <c r="B17" s="114" t="s">
        <v>45</v>
      </c>
      <c r="C17" s="115" t="s">
        <v>40</v>
      </c>
      <c r="D17" s="115" t="s">
        <v>25</v>
      </c>
      <c r="E17" s="115" t="s">
        <v>25</v>
      </c>
      <c r="F17" s="115" t="s">
        <v>87</v>
      </c>
      <c r="G17" s="115" t="s">
        <v>35</v>
      </c>
      <c r="H17" s="115" t="s">
        <v>79</v>
      </c>
      <c r="I17" s="115" t="s">
        <v>25</v>
      </c>
      <c r="J17" s="115">
        <v>-0.65</v>
      </c>
      <c r="K17" s="115">
        <v>0</v>
      </c>
      <c r="L17" s="115">
        <v>0</v>
      </c>
      <c r="M17" s="115">
        <v>0</v>
      </c>
      <c r="N17" s="115">
        <v>0</v>
      </c>
      <c r="O17" s="115">
        <v>0</v>
      </c>
      <c r="P17" s="115">
        <v>0</v>
      </c>
      <c r="Q17" s="115">
        <v>0</v>
      </c>
      <c r="R17" s="115">
        <v>0</v>
      </c>
      <c r="S17" s="115">
        <v>0</v>
      </c>
      <c r="T17" s="115">
        <v>0</v>
      </c>
      <c r="U17" s="115">
        <v>0</v>
      </c>
      <c r="V17" s="115">
        <v>0</v>
      </c>
      <c r="W17" s="115">
        <v>0</v>
      </c>
      <c r="X17" s="115">
        <v>0</v>
      </c>
      <c r="Y17" s="115">
        <v>0</v>
      </c>
      <c r="Z17" s="115">
        <v>0</v>
      </c>
      <c r="AA17" s="115">
        <v>0</v>
      </c>
      <c r="AB17" s="115">
        <v>0</v>
      </c>
      <c r="AC17" s="115">
        <v>0</v>
      </c>
      <c r="AD17" s="115">
        <v>0</v>
      </c>
      <c r="AE17" s="115">
        <v>-0.58087014473073795</v>
      </c>
      <c r="AF17" s="115">
        <v>-1.7092855041342701E-2</v>
      </c>
      <c r="AG17" s="115">
        <v>-5.2319684555639699E-2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0</v>
      </c>
      <c r="AO17" s="115">
        <v>0</v>
      </c>
      <c r="AP17" s="115">
        <v>0</v>
      </c>
      <c r="AQ17" s="115">
        <v>0</v>
      </c>
      <c r="AR17" s="115">
        <v>0</v>
      </c>
      <c r="AS17" s="115">
        <v>0</v>
      </c>
      <c r="AT17" s="116">
        <v>0</v>
      </c>
    </row>
    <row r="18" spans="2:46" ht="12" customHeight="1" x14ac:dyDescent="0.3">
      <c r="B18" s="114" t="s">
        <v>45</v>
      </c>
      <c r="C18" s="115" t="s">
        <v>40</v>
      </c>
      <c r="D18" s="115" t="s">
        <v>25</v>
      </c>
      <c r="E18" s="115" t="s">
        <v>25</v>
      </c>
      <c r="F18" s="115" t="s">
        <v>25</v>
      </c>
      <c r="G18" s="115" t="s">
        <v>34</v>
      </c>
      <c r="H18" s="115" t="s">
        <v>79</v>
      </c>
      <c r="I18" s="115" t="s">
        <v>25</v>
      </c>
      <c r="J18" s="115">
        <v>55.22</v>
      </c>
      <c r="K18" s="115">
        <v>-16.05</v>
      </c>
      <c r="L18" s="115">
        <v>0.77554598170252798</v>
      </c>
      <c r="M18" s="115">
        <v>0</v>
      </c>
      <c r="N18" s="115">
        <v>0</v>
      </c>
      <c r="O18" s="115">
        <v>0</v>
      </c>
      <c r="P18" s="115">
        <v>0</v>
      </c>
      <c r="Q18" s="115">
        <v>24.326122328355499</v>
      </c>
      <c r="R18" s="115">
        <v>5.2627822833457598</v>
      </c>
      <c r="S18" s="115">
        <v>0</v>
      </c>
      <c r="T18" s="115">
        <v>17.389946862637299</v>
      </c>
      <c r="U18" s="115">
        <v>8.1161473851617991</v>
      </c>
      <c r="V18" s="115">
        <v>0</v>
      </c>
      <c r="W18" s="115">
        <v>0</v>
      </c>
      <c r="X18" s="115">
        <v>0</v>
      </c>
      <c r="Y18" s="115">
        <v>0</v>
      </c>
      <c r="Z18" s="115">
        <v>0</v>
      </c>
      <c r="AA18" s="115">
        <v>0</v>
      </c>
      <c r="AB18" s="115">
        <v>0</v>
      </c>
      <c r="AC18" s="115">
        <v>0</v>
      </c>
      <c r="AD18" s="115">
        <v>0</v>
      </c>
      <c r="AE18" s="115">
        <v>-0.58087014473073795</v>
      </c>
      <c r="AF18" s="115">
        <v>-1.7092855041342701E-2</v>
      </c>
      <c r="AG18" s="115">
        <v>-5.2319684555639699E-2</v>
      </c>
      <c r="AH18" s="115">
        <v>0</v>
      </c>
      <c r="AI18" s="115">
        <v>0.37859190088024602</v>
      </c>
      <c r="AJ18" s="115">
        <v>0</v>
      </c>
      <c r="AK18" s="115">
        <v>0</v>
      </c>
      <c r="AL18" s="115">
        <v>0.171665175851341</v>
      </c>
      <c r="AM18" s="115">
        <v>0</v>
      </c>
      <c r="AN18" s="115">
        <v>-17.1935913563713</v>
      </c>
      <c r="AO18" s="115">
        <v>0.50155835238889401</v>
      </c>
      <c r="AP18" s="115">
        <v>0.377483046634356</v>
      </c>
      <c r="AQ18" s="115">
        <v>0</v>
      </c>
      <c r="AR18" s="115">
        <v>0</v>
      </c>
      <c r="AS18" s="115">
        <v>0</v>
      </c>
      <c r="AT18" s="116">
        <v>-0.29034460599760598</v>
      </c>
    </row>
    <row r="19" spans="2:46" ht="12" customHeight="1" x14ac:dyDescent="0.3">
      <c r="B19" s="114" t="s">
        <v>45</v>
      </c>
      <c r="C19" s="115" t="s">
        <v>40</v>
      </c>
      <c r="D19" s="115" t="s">
        <v>25</v>
      </c>
      <c r="E19" s="115" t="s">
        <v>25</v>
      </c>
      <c r="F19" s="115" t="s">
        <v>25</v>
      </c>
      <c r="G19" s="115" t="s">
        <v>25</v>
      </c>
      <c r="H19" s="115" t="s">
        <v>84</v>
      </c>
      <c r="I19" s="115" t="s">
        <v>25</v>
      </c>
      <c r="J19" s="115">
        <v>0.62</v>
      </c>
      <c r="K19" s="115">
        <v>0</v>
      </c>
      <c r="L19" s="115">
        <v>0</v>
      </c>
      <c r="M19" s="115">
        <v>0</v>
      </c>
      <c r="N19" s="115">
        <v>0</v>
      </c>
      <c r="O19" s="115">
        <v>0</v>
      </c>
      <c r="P19" s="115">
        <v>0</v>
      </c>
      <c r="Q19" s="115">
        <v>0</v>
      </c>
      <c r="R19" s="115">
        <v>0</v>
      </c>
      <c r="S19" s="115">
        <v>0</v>
      </c>
      <c r="T19" s="115">
        <v>0.41714259521158797</v>
      </c>
      <c r="U19" s="115">
        <v>0.201658315103243</v>
      </c>
      <c r="V19" s="115">
        <v>0</v>
      </c>
      <c r="W19" s="115">
        <v>0</v>
      </c>
      <c r="X19" s="115">
        <v>0</v>
      </c>
      <c r="Y19" s="115">
        <v>0</v>
      </c>
      <c r="Z19" s="115">
        <v>0</v>
      </c>
      <c r="AA19" s="115">
        <v>0</v>
      </c>
      <c r="AB19" s="115">
        <v>0</v>
      </c>
      <c r="AC19" s="115">
        <v>0</v>
      </c>
      <c r="AD19" s="115">
        <v>0</v>
      </c>
      <c r="AE19" s="115">
        <v>0</v>
      </c>
      <c r="AF19" s="115">
        <v>0</v>
      </c>
      <c r="AG19" s="115">
        <v>0</v>
      </c>
      <c r="AH19" s="115">
        <v>0</v>
      </c>
      <c r="AI19" s="115">
        <v>0</v>
      </c>
      <c r="AJ19" s="115">
        <v>0</v>
      </c>
      <c r="AK19" s="115">
        <v>0</v>
      </c>
      <c r="AL19" s="115">
        <v>0</v>
      </c>
      <c r="AM19" s="115">
        <v>0</v>
      </c>
      <c r="AN19" s="115">
        <v>0</v>
      </c>
      <c r="AO19" s="115">
        <v>0</v>
      </c>
      <c r="AP19" s="115">
        <v>0</v>
      </c>
      <c r="AQ19" s="115">
        <v>0</v>
      </c>
      <c r="AR19" s="115">
        <v>0</v>
      </c>
      <c r="AS19" s="115">
        <v>0</v>
      </c>
      <c r="AT19" s="116">
        <v>0</v>
      </c>
    </row>
    <row r="20" spans="2:46" ht="12" customHeight="1" x14ac:dyDescent="0.3">
      <c r="B20" s="114" t="s">
        <v>45</v>
      </c>
      <c r="C20" s="115" t="s">
        <v>40</v>
      </c>
      <c r="D20" s="115" t="s">
        <v>25</v>
      </c>
      <c r="E20" s="115" t="s">
        <v>25</v>
      </c>
      <c r="F20" s="115" t="s">
        <v>25</v>
      </c>
      <c r="G20" s="115" t="s">
        <v>35</v>
      </c>
      <c r="H20" s="115" t="s">
        <v>79</v>
      </c>
      <c r="I20" s="115" t="s">
        <v>25</v>
      </c>
      <c r="J20" s="115">
        <v>29.71</v>
      </c>
      <c r="K20" s="115">
        <v>-8.86</v>
      </c>
      <c r="L20" s="115">
        <v>0.77554598170252798</v>
      </c>
      <c r="M20" s="115">
        <v>0</v>
      </c>
      <c r="N20" s="115">
        <v>0</v>
      </c>
      <c r="O20" s="115">
        <v>0</v>
      </c>
      <c r="P20" s="115">
        <v>0</v>
      </c>
      <c r="Q20" s="115">
        <v>24.326122328355499</v>
      </c>
      <c r="R20" s="115">
        <v>5.2627822833457598</v>
      </c>
      <c r="S20" s="115">
        <v>0</v>
      </c>
      <c r="T20" s="115">
        <v>0</v>
      </c>
      <c r="U20" s="115">
        <v>0</v>
      </c>
      <c r="V20" s="115">
        <v>0</v>
      </c>
      <c r="W20" s="115">
        <v>0</v>
      </c>
      <c r="X20" s="115">
        <v>0</v>
      </c>
      <c r="Y20" s="115">
        <v>0</v>
      </c>
      <c r="Z20" s="115">
        <v>0</v>
      </c>
      <c r="AA20" s="115">
        <v>0</v>
      </c>
      <c r="AB20" s="115">
        <v>0</v>
      </c>
      <c r="AC20" s="115">
        <v>0</v>
      </c>
      <c r="AD20" s="115">
        <v>0</v>
      </c>
      <c r="AE20" s="115">
        <v>-0.58087014473073795</v>
      </c>
      <c r="AF20" s="115">
        <v>-1.7092855041342701E-2</v>
      </c>
      <c r="AG20" s="115">
        <v>-5.2319684555639699E-2</v>
      </c>
      <c r="AH20" s="115">
        <v>0</v>
      </c>
      <c r="AI20" s="115">
        <v>0.37859190088024602</v>
      </c>
      <c r="AJ20" s="115">
        <v>0</v>
      </c>
      <c r="AK20" s="115">
        <v>0</v>
      </c>
      <c r="AL20" s="115">
        <v>0.171665175851341</v>
      </c>
      <c r="AM20" s="115">
        <v>0</v>
      </c>
      <c r="AN20" s="115">
        <v>-9.99627404440192</v>
      </c>
      <c r="AO20" s="115">
        <v>0.50155835238889401</v>
      </c>
      <c r="AP20" s="115">
        <v>0.377483046634356</v>
      </c>
      <c r="AQ20" s="115">
        <v>0</v>
      </c>
      <c r="AR20" s="115">
        <v>0</v>
      </c>
      <c r="AS20" s="115">
        <v>0</v>
      </c>
      <c r="AT20" s="116">
        <v>-0.29034460599760598</v>
      </c>
    </row>
    <row r="21" spans="2:46" ht="12" customHeight="1" x14ac:dyDescent="0.3">
      <c r="B21" s="114" t="s">
        <v>39</v>
      </c>
      <c r="C21" s="115" t="s">
        <v>42</v>
      </c>
      <c r="D21" s="115" t="s">
        <v>25</v>
      </c>
      <c r="E21" s="115" t="s">
        <v>25</v>
      </c>
      <c r="F21" s="115" t="s">
        <v>87</v>
      </c>
      <c r="G21" s="115" t="s">
        <v>34</v>
      </c>
      <c r="H21" s="115" t="s">
        <v>79</v>
      </c>
      <c r="I21" s="115" t="s">
        <v>25</v>
      </c>
      <c r="J21" s="115">
        <v>-0.65</v>
      </c>
      <c r="K21" s="115">
        <v>0</v>
      </c>
      <c r="L21" s="115">
        <v>0</v>
      </c>
      <c r="M21" s="115">
        <v>0</v>
      </c>
      <c r="N21" s="115">
        <v>0</v>
      </c>
      <c r="O21" s="115">
        <v>0</v>
      </c>
      <c r="P21" s="115">
        <v>0</v>
      </c>
      <c r="Q21" s="115">
        <v>0</v>
      </c>
      <c r="R21" s="115">
        <v>0</v>
      </c>
      <c r="S21" s="115">
        <v>0</v>
      </c>
      <c r="T21" s="115">
        <v>0</v>
      </c>
      <c r="U21" s="115">
        <v>0</v>
      </c>
      <c r="V21" s="115">
        <v>0</v>
      </c>
      <c r="W21" s="115">
        <v>0</v>
      </c>
      <c r="X21" s="115">
        <v>0</v>
      </c>
      <c r="Y21" s="115">
        <v>0</v>
      </c>
      <c r="Z21" s="115">
        <v>0</v>
      </c>
      <c r="AA21" s="115">
        <v>0</v>
      </c>
      <c r="AB21" s="115">
        <v>0</v>
      </c>
      <c r="AC21" s="115">
        <v>0</v>
      </c>
      <c r="AD21" s="115">
        <v>0</v>
      </c>
      <c r="AE21" s="115">
        <v>-0.58087014473073795</v>
      </c>
      <c r="AF21" s="115">
        <v>-1.7092855041342701E-2</v>
      </c>
      <c r="AG21" s="115">
        <v>-5.2319684555639699E-2</v>
      </c>
      <c r="AH21" s="115">
        <v>0</v>
      </c>
      <c r="AI21" s="115">
        <v>0</v>
      </c>
      <c r="AJ21" s="115">
        <v>0</v>
      </c>
      <c r="AK21" s="115">
        <v>0</v>
      </c>
      <c r="AL21" s="115">
        <v>0</v>
      </c>
      <c r="AM21" s="115">
        <v>0</v>
      </c>
      <c r="AN21" s="115">
        <v>0</v>
      </c>
      <c r="AO21" s="115">
        <v>0</v>
      </c>
      <c r="AP21" s="115">
        <v>0</v>
      </c>
      <c r="AQ21" s="115">
        <v>0</v>
      </c>
      <c r="AR21" s="115">
        <v>0</v>
      </c>
      <c r="AS21" s="115">
        <v>0</v>
      </c>
      <c r="AT21" s="116">
        <v>0</v>
      </c>
    </row>
    <row r="22" spans="2:46" ht="12" customHeight="1" x14ac:dyDescent="0.3">
      <c r="B22" s="114" t="s">
        <v>39</v>
      </c>
      <c r="C22" s="115" t="s">
        <v>42</v>
      </c>
      <c r="D22" s="115" t="s">
        <v>25</v>
      </c>
      <c r="E22" s="115" t="s">
        <v>25</v>
      </c>
      <c r="F22" s="115" t="s">
        <v>87</v>
      </c>
      <c r="G22" s="115" t="s">
        <v>34</v>
      </c>
      <c r="H22" s="115" t="s">
        <v>84</v>
      </c>
      <c r="I22" s="115" t="s">
        <v>25</v>
      </c>
      <c r="J22" s="115">
        <v>1.06</v>
      </c>
      <c r="K22" s="115">
        <v>0</v>
      </c>
      <c r="L22" s="115">
        <v>0</v>
      </c>
      <c r="M22" s="115">
        <v>0</v>
      </c>
      <c r="N22" s="115">
        <v>0</v>
      </c>
      <c r="O22" s="115">
        <v>0</v>
      </c>
      <c r="P22" s="115">
        <v>0</v>
      </c>
      <c r="Q22" s="115">
        <v>0</v>
      </c>
      <c r="R22" s="115">
        <v>0</v>
      </c>
      <c r="S22" s="115">
        <v>0</v>
      </c>
      <c r="T22" s="115">
        <v>0.72307515834490599</v>
      </c>
      <c r="U22" s="115">
        <v>0.337472166783435</v>
      </c>
      <c r="V22" s="115">
        <v>0</v>
      </c>
      <c r="W22" s="115">
        <v>0</v>
      </c>
      <c r="X22" s="115">
        <v>0</v>
      </c>
      <c r="Y22" s="115">
        <v>0</v>
      </c>
      <c r="Z22" s="115">
        <v>0</v>
      </c>
      <c r="AA22" s="115">
        <v>0</v>
      </c>
      <c r="AB22" s="115">
        <v>0</v>
      </c>
      <c r="AC22" s="115">
        <v>0</v>
      </c>
      <c r="AD22" s="115">
        <v>0</v>
      </c>
      <c r="AE22" s="115">
        <v>0</v>
      </c>
      <c r="AF22" s="115">
        <v>0</v>
      </c>
      <c r="AG22" s="115">
        <v>0</v>
      </c>
      <c r="AH22" s="115">
        <v>0</v>
      </c>
      <c r="AI22" s="115">
        <v>0</v>
      </c>
      <c r="AJ22" s="115">
        <v>0</v>
      </c>
      <c r="AK22" s="115">
        <v>0</v>
      </c>
      <c r="AL22" s="115">
        <v>0</v>
      </c>
      <c r="AM22" s="115">
        <v>0</v>
      </c>
      <c r="AN22" s="115">
        <v>0</v>
      </c>
      <c r="AO22" s="115">
        <v>0</v>
      </c>
      <c r="AP22" s="115">
        <v>0</v>
      </c>
      <c r="AQ22" s="115">
        <v>0</v>
      </c>
      <c r="AR22" s="115">
        <v>0</v>
      </c>
      <c r="AS22" s="115">
        <v>0</v>
      </c>
      <c r="AT22" s="116">
        <v>0</v>
      </c>
    </row>
    <row r="23" spans="2:46" ht="12" customHeight="1" x14ac:dyDescent="0.3">
      <c r="B23" s="114" t="s">
        <v>39</v>
      </c>
      <c r="C23" s="115" t="s">
        <v>42</v>
      </c>
      <c r="D23" s="115" t="s">
        <v>25</v>
      </c>
      <c r="E23" s="115" t="s">
        <v>25</v>
      </c>
      <c r="F23" s="115" t="s">
        <v>87</v>
      </c>
      <c r="G23" s="115" t="s">
        <v>35</v>
      </c>
      <c r="H23" s="115" t="s">
        <v>79</v>
      </c>
      <c r="I23" s="115" t="s">
        <v>25</v>
      </c>
      <c r="J23" s="115">
        <v>-0.65</v>
      </c>
      <c r="K23" s="115">
        <v>0</v>
      </c>
      <c r="L23" s="115">
        <v>0</v>
      </c>
      <c r="M23" s="115">
        <v>0</v>
      </c>
      <c r="N23" s="115">
        <v>0</v>
      </c>
      <c r="O23" s="115">
        <v>0</v>
      </c>
      <c r="P23" s="115">
        <v>0</v>
      </c>
      <c r="Q23" s="115">
        <v>0</v>
      </c>
      <c r="R23" s="115">
        <v>0</v>
      </c>
      <c r="S23" s="115">
        <v>0</v>
      </c>
      <c r="T23" s="115">
        <v>0</v>
      </c>
      <c r="U23" s="115">
        <v>0</v>
      </c>
      <c r="V23" s="115">
        <v>0</v>
      </c>
      <c r="W23" s="115">
        <v>0</v>
      </c>
      <c r="X23" s="115">
        <v>0</v>
      </c>
      <c r="Y23" s="115">
        <v>0</v>
      </c>
      <c r="Z23" s="115">
        <v>0</v>
      </c>
      <c r="AA23" s="115">
        <v>0</v>
      </c>
      <c r="AB23" s="115">
        <v>0</v>
      </c>
      <c r="AC23" s="115">
        <v>0</v>
      </c>
      <c r="AD23" s="115">
        <v>0</v>
      </c>
      <c r="AE23" s="115">
        <v>-0.58087014473073795</v>
      </c>
      <c r="AF23" s="115">
        <v>-1.7092855041342701E-2</v>
      </c>
      <c r="AG23" s="115">
        <v>-5.2319684555639699E-2</v>
      </c>
      <c r="AH23" s="115">
        <v>0</v>
      </c>
      <c r="AI23" s="115">
        <v>0</v>
      </c>
      <c r="AJ23" s="115">
        <v>0</v>
      </c>
      <c r="AK23" s="115">
        <v>0</v>
      </c>
      <c r="AL23" s="115">
        <v>0</v>
      </c>
      <c r="AM23" s="115">
        <v>0</v>
      </c>
      <c r="AN23" s="115">
        <v>0</v>
      </c>
      <c r="AO23" s="115">
        <v>0</v>
      </c>
      <c r="AP23" s="115">
        <v>0</v>
      </c>
      <c r="AQ23" s="115">
        <v>0</v>
      </c>
      <c r="AR23" s="115">
        <v>0</v>
      </c>
      <c r="AS23" s="115">
        <v>0</v>
      </c>
      <c r="AT23" s="116">
        <v>0</v>
      </c>
    </row>
    <row r="24" spans="2:46" ht="12" customHeight="1" x14ac:dyDescent="0.3">
      <c r="B24" s="114" t="s">
        <v>39</v>
      </c>
      <c r="C24" s="115" t="s">
        <v>42</v>
      </c>
      <c r="D24" s="115" t="s">
        <v>25</v>
      </c>
      <c r="E24" s="115" t="s">
        <v>25</v>
      </c>
      <c r="F24" s="115" t="s">
        <v>87</v>
      </c>
      <c r="G24" s="115" t="s">
        <v>35</v>
      </c>
      <c r="H24" s="115" t="s">
        <v>84</v>
      </c>
      <c r="I24" s="115" t="s">
        <v>25</v>
      </c>
      <c r="J24" s="115">
        <v>0.62</v>
      </c>
      <c r="K24" s="115">
        <v>0</v>
      </c>
      <c r="L24" s="115">
        <v>0</v>
      </c>
      <c r="M24" s="115">
        <v>0</v>
      </c>
      <c r="N24" s="115">
        <v>0</v>
      </c>
      <c r="O24" s="115">
        <v>0</v>
      </c>
      <c r="P24" s="115">
        <v>0</v>
      </c>
      <c r="Q24" s="115">
        <v>0</v>
      </c>
      <c r="R24" s="115">
        <v>0</v>
      </c>
      <c r="S24" s="115">
        <v>0</v>
      </c>
      <c r="T24" s="115">
        <v>0.41714259521158797</v>
      </c>
      <c r="U24" s="115">
        <v>0.201658315103243</v>
      </c>
      <c r="V24" s="115">
        <v>0</v>
      </c>
      <c r="W24" s="115">
        <v>0</v>
      </c>
      <c r="X24" s="115">
        <v>0</v>
      </c>
      <c r="Y24" s="115">
        <v>0</v>
      </c>
      <c r="Z24" s="115">
        <v>0</v>
      </c>
      <c r="AA24" s="115">
        <v>0</v>
      </c>
      <c r="AB24" s="115">
        <v>0</v>
      </c>
      <c r="AC24" s="115">
        <v>0</v>
      </c>
      <c r="AD24" s="115">
        <v>0</v>
      </c>
      <c r="AE24" s="115">
        <v>0</v>
      </c>
      <c r="AF24" s="115">
        <v>0</v>
      </c>
      <c r="AG24" s="115">
        <v>0</v>
      </c>
      <c r="AH24" s="115">
        <v>0</v>
      </c>
      <c r="AI24" s="115">
        <v>0</v>
      </c>
      <c r="AJ24" s="115">
        <v>0</v>
      </c>
      <c r="AK24" s="115">
        <v>0</v>
      </c>
      <c r="AL24" s="115">
        <v>0</v>
      </c>
      <c r="AM24" s="115">
        <v>0</v>
      </c>
      <c r="AN24" s="115">
        <v>0</v>
      </c>
      <c r="AO24" s="115">
        <v>0</v>
      </c>
      <c r="AP24" s="115">
        <v>0</v>
      </c>
      <c r="AQ24" s="115">
        <v>0</v>
      </c>
      <c r="AR24" s="115">
        <v>0</v>
      </c>
      <c r="AS24" s="115">
        <v>0</v>
      </c>
      <c r="AT24" s="116">
        <v>0</v>
      </c>
    </row>
    <row r="25" spans="2:46" ht="12" customHeight="1" x14ac:dyDescent="0.3">
      <c r="B25" s="114" t="s">
        <v>39</v>
      </c>
      <c r="C25" s="115" t="s">
        <v>42</v>
      </c>
      <c r="D25" s="115" t="s">
        <v>25</v>
      </c>
      <c r="E25" s="115" t="s">
        <v>25</v>
      </c>
      <c r="F25" s="115" t="s">
        <v>25</v>
      </c>
      <c r="G25" s="115" t="s">
        <v>34</v>
      </c>
      <c r="H25" s="115" t="s">
        <v>79</v>
      </c>
      <c r="I25" s="115" t="s">
        <v>25</v>
      </c>
      <c r="J25" s="115">
        <v>29.71</v>
      </c>
      <c r="K25" s="115">
        <v>-16.05</v>
      </c>
      <c r="L25" s="115">
        <v>0.77554598170252798</v>
      </c>
      <c r="M25" s="115">
        <v>0</v>
      </c>
      <c r="N25" s="115">
        <v>0</v>
      </c>
      <c r="O25" s="115">
        <v>0</v>
      </c>
      <c r="P25" s="115">
        <v>0</v>
      </c>
      <c r="Q25" s="115">
        <v>24.326122328355499</v>
      </c>
      <c r="R25" s="115">
        <v>5.2627822833457598</v>
      </c>
      <c r="S25" s="115">
        <v>0</v>
      </c>
      <c r="T25" s="115">
        <v>0</v>
      </c>
      <c r="U25" s="115">
        <v>0</v>
      </c>
      <c r="V25" s="115">
        <v>0</v>
      </c>
      <c r="W25" s="115">
        <v>0</v>
      </c>
      <c r="X25" s="115">
        <v>0</v>
      </c>
      <c r="Y25" s="115">
        <v>0</v>
      </c>
      <c r="Z25" s="115">
        <v>0</v>
      </c>
      <c r="AA25" s="115">
        <v>0</v>
      </c>
      <c r="AB25" s="115">
        <v>0</v>
      </c>
      <c r="AC25" s="115">
        <v>0</v>
      </c>
      <c r="AD25" s="115">
        <v>0</v>
      </c>
      <c r="AE25" s="115">
        <v>-0.58087014473073795</v>
      </c>
      <c r="AF25" s="115">
        <v>-1.7092855041342701E-2</v>
      </c>
      <c r="AG25" s="115">
        <v>-5.2319684555639699E-2</v>
      </c>
      <c r="AH25" s="115">
        <v>0</v>
      </c>
      <c r="AI25" s="115">
        <v>0.37859190088024602</v>
      </c>
      <c r="AJ25" s="115">
        <v>0</v>
      </c>
      <c r="AK25" s="115">
        <v>0</v>
      </c>
      <c r="AL25" s="115">
        <v>0.171665175851341</v>
      </c>
      <c r="AM25" s="115">
        <v>0</v>
      </c>
      <c r="AN25" s="115">
        <v>-17.1935913563713</v>
      </c>
      <c r="AO25" s="115">
        <v>0.50155835238889401</v>
      </c>
      <c r="AP25" s="115">
        <v>0.377483046634356</v>
      </c>
      <c r="AQ25" s="115">
        <v>0</v>
      </c>
      <c r="AR25" s="115">
        <v>0</v>
      </c>
      <c r="AS25" s="115">
        <v>0</v>
      </c>
      <c r="AT25" s="116">
        <v>-0.29034460599760598</v>
      </c>
    </row>
    <row r="26" spans="2:46" ht="12" customHeight="1" x14ac:dyDescent="0.3">
      <c r="B26" s="114" t="s">
        <v>39</v>
      </c>
      <c r="C26" s="115" t="s">
        <v>42</v>
      </c>
      <c r="D26" s="115" t="s">
        <v>25</v>
      </c>
      <c r="E26" s="115" t="s">
        <v>25</v>
      </c>
      <c r="F26" s="115" t="s">
        <v>25</v>
      </c>
      <c r="G26" s="115" t="s">
        <v>34</v>
      </c>
      <c r="H26" s="115" t="s">
        <v>84</v>
      </c>
      <c r="I26" s="115" t="s">
        <v>25</v>
      </c>
      <c r="J26" s="115">
        <v>1.06</v>
      </c>
      <c r="K26" s="115">
        <v>0</v>
      </c>
      <c r="L26" s="115">
        <v>0</v>
      </c>
      <c r="M26" s="115">
        <v>0</v>
      </c>
      <c r="N26" s="115">
        <v>0</v>
      </c>
      <c r="O26" s="115">
        <v>0</v>
      </c>
      <c r="P26" s="115">
        <v>0</v>
      </c>
      <c r="Q26" s="115">
        <v>0</v>
      </c>
      <c r="R26" s="115">
        <v>0</v>
      </c>
      <c r="S26" s="115">
        <v>0</v>
      </c>
      <c r="T26" s="115">
        <v>0.72307515834490599</v>
      </c>
      <c r="U26" s="115">
        <v>0.337472166783435</v>
      </c>
      <c r="V26" s="115">
        <v>0</v>
      </c>
      <c r="W26" s="115">
        <v>0</v>
      </c>
      <c r="X26" s="115">
        <v>0</v>
      </c>
      <c r="Y26" s="115">
        <v>0</v>
      </c>
      <c r="Z26" s="115">
        <v>0</v>
      </c>
      <c r="AA26" s="115">
        <v>0</v>
      </c>
      <c r="AB26" s="115">
        <v>0</v>
      </c>
      <c r="AC26" s="115">
        <v>0</v>
      </c>
      <c r="AD26" s="115">
        <v>0</v>
      </c>
      <c r="AE26" s="115">
        <v>0</v>
      </c>
      <c r="AF26" s="115">
        <v>0</v>
      </c>
      <c r="AG26" s="115">
        <v>0</v>
      </c>
      <c r="AH26" s="115">
        <v>0</v>
      </c>
      <c r="AI26" s="115">
        <v>0</v>
      </c>
      <c r="AJ26" s="115">
        <v>0</v>
      </c>
      <c r="AK26" s="115">
        <v>0</v>
      </c>
      <c r="AL26" s="115">
        <v>0</v>
      </c>
      <c r="AM26" s="115">
        <v>0</v>
      </c>
      <c r="AN26" s="115">
        <v>0</v>
      </c>
      <c r="AO26" s="115">
        <v>0</v>
      </c>
      <c r="AP26" s="115">
        <v>0</v>
      </c>
      <c r="AQ26" s="115">
        <v>0</v>
      </c>
      <c r="AR26" s="115">
        <v>0</v>
      </c>
      <c r="AS26" s="115">
        <v>0</v>
      </c>
      <c r="AT26" s="116">
        <v>0</v>
      </c>
    </row>
    <row r="27" spans="2:46" ht="12" customHeight="1" x14ac:dyDescent="0.3">
      <c r="B27" s="114" t="s">
        <v>39</v>
      </c>
      <c r="C27" s="115" t="s">
        <v>42</v>
      </c>
      <c r="D27" s="115" t="s">
        <v>25</v>
      </c>
      <c r="E27" s="115" t="s">
        <v>25</v>
      </c>
      <c r="F27" s="115" t="s">
        <v>25</v>
      </c>
      <c r="G27" s="115" t="s">
        <v>35</v>
      </c>
      <c r="H27" s="115" t="s">
        <v>79</v>
      </c>
      <c r="I27" s="115" t="s">
        <v>25</v>
      </c>
      <c r="J27" s="115">
        <v>29.71</v>
      </c>
      <c r="K27" s="115">
        <v>-8.86</v>
      </c>
      <c r="L27" s="115">
        <v>0.77554598170252798</v>
      </c>
      <c r="M27" s="115">
        <v>0</v>
      </c>
      <c r="N27" s="115">
        <v>0</v>
      </c>
      <c r="O27" s="115">
        <v>0</v>
      </c>
      <c r="P27" s="115">
        <v>0</v>
      </c>
      <c r="Q27" s="115">
        <v>24.326122328355499</v>
      </c>
      <c r="R27" s="115">
        <v>5.2627822833457598</v>
      </c>
      <c r="S27" s="115">
        <v>0</v>
      </c>
      <c r="T27" s="115">
        <v>0</v>
      </c>
      <c r="U27" s="115">
        <v>0</v>
      </c>
      <c r="V27" s="115">
        <v>0</v>
      </c>
      <c r="W27" s="115">
        <v>0</v>
      </c>
      <c r="X27" s="115">
        <v>0</v>
      </c>
      <c r="Y27" s="115">
        <v>0</v>
      </c>
      <c r="Z27" s="115">
        <v>0</v>
      </c>
      <c r="AA27" s="115">
        <v>0</v>
      </c>
      <c r="AB27" s="115">
        <v>0</v>
      </c>
      <c r="AC27" s="115">
        <v>0</v>
      </c>
      <c r="AD27" s="115">
        <v>0</v>
      </c>
      <c r="AE27" s="115">
        <v>-0.58087014473073795</v>
      </c>
      <c r="AF27" s="115">
        <v>-1.7092855041342701E-2</v>
      </c>
      <c r="AG27" s="115">
        <v>-5.2319684555639699E-2</v>
      </c>
      <c r="AH27" s="115">
        <v>0</v>
      </c>
      <c r="AI27" s="115">
        <v>0.37859190088024602</v>
      </c>
      <c r="AJ27" s="115">
        <v>0</v>
      </c>
      <c r="AK27" s="115">
        <v>0</v>
      </c>
      <c r="AL27" s="115">
        <v>0.171665175851341</v>
      </c>
      <c r="AM27" s="115">
        <v>0</v>
      </c>
      <c r="AN27" s="115">
        <v>-9.99627404440192</v>
      </c>
      <c r="AO27" s="115">
        <v>0.50155835238889401</v>
      </c>
      <c r="AP27" s="115">
        <v>0.377483046634356</v>
      </c>
      <c r="AQ27" s="115">
        <v>0</v>
      </c>
      <c r="AR27" s="115">
        <v>0</v>
      </c>
      <c r="AS27" s="115">
        <v>0</v>
      </c>
      <c r="AT27" s="116">
        <v>-0.29034460599760598</v>
      </c>
    </row>
    <row r="28" spans="2:46" ht="12" customHeight="1" x14ac:dyDescent="0.3">
      <c r="B28" s="114" t="s">
        <v>39</v>
      </c>
      <c r="C28" s="115" t="s">
        <v>42</v>
      </c>
      <c r="D28" s="115" t="s">
        <v>25</v>
      </c>
      <c r="E28" s="115" t="s">
        <v>25</v>
      </c>
      <c r="F28" s="115" t="s">
        <v>25</v>
      </c>
      <c r="G28" s="115" t="s">
        <v>35</v>
      </c>
      <c r="H28" s="115" t="s">
        <v>84</v>
      </c>
      <c r="I28" s="115" t="s">
        <v>25</v>
      </c>
      <c r="J28" s="115">
        <v>0.62</v>
      </c>
      <c r="K28" s="115">
        <v>0</v>
      </c>
      <c r="L28" s="115">
        <v>0</v>
      </c>
      <c r="M28" s="115">
        <v>0</v>
      </c>
      <c r="N28" s="115">
        <v>0</v>
      </c>
      <c r="O28" s="115">
        <v>0</v>
      </c>
      <c r="P28" s="115">
        <v>0</v>
      </c>
      <c r="Q28" s="115">
        <v>0</v>
      </c>
      <c r="R28" s="115">
        <v>0</v>
      </c>
      <c r="S28" s="115">
        <v>0</v>
      </c>
      <c r="T28" s="115">
        <v>0.41714259521158797</v>
      </c>
      <c r="U28" s="115">
        <v>0.201658315103243</v>
      </c>
      <c r="V28" s="115">
        <v>0</v>
      </c>
      <c r="W28" s="115">
        <v>0</v>
      </c>
      <c r="X28" s="115">
        <v>0</v>
      </c>
      <c r="Y28" s="115">
        <v>0</v>
      </c>
      <c r="Z28" s="115">
        <v>0</v>
      </c>
      <c r="AA28" s="115">
        <v>0</v>
      </c>
      <c r="AB28" s="115">
        <v>0</v>
      </c>
      <c r="AC28" s="115">
        <v>0</v>
      </c>
      <c r="AD28" s="115">
        <v>0</v>
      </c>
      <c r="AE28" s="115">
        <v>0</v>
      </c>
      <c r="AF28" s="115">
        <v>0</v>
      </c>
      <c r="AG28" s="115">
        <v>0</v>
      </c>
      <c r="AH28" s="115">
        <v>0</v>
      </c>
      <c r="AI28" s="115">
        <v>0</v>
      </c>
      <c r="AJ28" s="115">
        <v>0</v>
      </c>
      <c r="AK28" s="115">
        <v>0</v>
      </c>
      <c r="AL28" s="115">
        <v>0</v>
      </c>
      <c r="AM28" s="115">
        <v>0</v>
      </c>
      <c r="AN28" s="115">
        <v>0</v>
      </c>
      <c r="AO28" s="115">
        <v>0</v>
      </c>
      <c r="AP28" s="115">
        <v>0</v>
      </c>
      <c r="AQ28" s="115">
        <v>0</v>
      </c>
      <c r="AR28" s="115">
        <v>0</v>
      </c>
      <c r="AS28" s="115">
        <v>0</v>
      </c>
      <c r="AT28" s="116">
        <v>0</v>
      </c>
    </row>
    <row r="29" spans="2:46" ht="12" customHeight="1" x14ac:dyDescent="0.3">
      <c r="B29" s="114" t="s">
        <v>39</v>
      </c>
      <c r="C29" s="115" t="s">
        <v>60</v>
      </c>
      <c r="D29" s="115" t="s">
        <v>25</v>
      </c>
      <c r="E29" s="115" t="s">
        <v>25</v>
      </c>
      <c r="F29" s="115" t="s">
        <v>25</v>
      </c>
      <c r="G29" s="115" t="s">
        <v>25</v>
      </c>
      <c r="H29" s="115" t="s">
        <v>84</v>
      </c>
      <c r="I29" s="115" t="s">
        <v>25</v>
      </c>
      <c r="J29" s="115">
        <v>0</v>
      </c>
      <c r="K29" s="115">
        <v>0</v>
      </c>
      <c r="L29" s="115">
        <v>0</v>
      </c>
      <c r="M29" s="115">
        <v>0</v>
      </c>
      <c r="N29" s="115">
        <v>0</v>
      </c>
      <c r="O29" s="115">
        <v>0</v>
      </c>
      <c r="P29" s="115">
        <v>0</v>
      </c>
      <c r="Q29" s="115">
        <v>0</v>
      </c>
      <c r="R29" s="115">
        <v>0</v>
      </c>
      <c r="S29" s="115">
        <v>0</v>
      </c>
      <c r="T29" s="115">
        <v>0</v>
      </c>
      <c r="U29" s="115">
        <v>0</v>
      </c>
      <c r="V29" s="115">
        <v>0</v>
      </c>
      <c r="W29" s="115">
        <v>0</v>
      </c>
      <c r="X29" s="115">
        <v>0</v>
      </c>
      <c r="Y29" s="115">
        <v>0</v>
      </c>
      <c r="Z29" s="115">
        <v>0</v>
      </c>
      <c r="AA29" s="115">
        <v>0</v>
      </c>
      <c r="AB29" s="115">
        <v>0</v>
      </c>
      <c r="AC29" s="115">
        <v>0</v>
      </c>
      <c r="AD29" s="115">
        <v>0</v>
      </c>
      <c r="AE29" s="115">
        <v>-3.4337880067934398E-4</v>
      </c>
      <c r="AF29" s="115">
        <v>0</v>
      </c>
      <c r="AG29" s="115">
        <v>0</v>
      </c>
      <c r="AH29" s="115">
        <v>0</v>
      </c>
      <c r="AI29" s="115">
        <v>0</v>
      </c>
      <c r="AJ29" s="115">
        <v>0</v>
      </c>
      <c r="AK29" s="115">
        <v>0</v>
      </c>
      <c r="AL29" s="115">
        <v>0</v>
      </c>
      <c r="AM29" s="115">
        <v>0</v>
      </c>
      <c r="AN29" s="115">
        <v>0</v>
      </c>
      <c r="AO29" s="115">
        <v>0</v>
      </c>
      <c r="AP29" s="115">
        <v>0</v>
      </c>
      <c r="AQ29" s="115">
        <v>0</v>
      </c>
      <c r="AR29" s="115">
        <v>0</v>
      </c>
      <c r="AS29" s="115">
        <v>0</v>
      </c>
      <c r="AT29" s="116">
        <v>0</v>
      </c>
    </row>
    <row r="30" spans="2:46" ht="12" customHeight="1" x14ac:dyDescent="0.3">
      <c r="B30" s="114" t="s">
        <v>39</v>
      </c>
      <c r="C30" s="115" t="s">
        <v>40</v>
      </c>
      <c r="D30" s="115" t="s">
        <v>25</v>
      </c>
      <c r="E30" s="115" t="s">
        <v>25</v>
      </c>
      <c r="F30" s="115" t="s">
        <v>87</v>
      </c>
      <c r="G30" s="115" t="s">
        <v>34</v>
      </c>
      <c r="H30" s="115" t="s">
        <v>79</v>
      </c>
      <c r="I30" s="115" t="s">
        <v>25</v>
      </c>
      <c r="J30" s="115">
        <v>24.86</v>
      </c>
      <c r="K30" s="115">
        <v>0</v>
      </c>
      <c r="L30" s="115">
        <v>0</v>
      </c>
      <c r="M30" s="115">
        <v>0</v>
      </c>
      <c r="N30" s="115">
        <v>0</v>
      </c>
      <c r="O30" s="115">
        <v>0</v>
      </c>
      <c r="P30" s="115">
        <v>0</v>
      </c>
      <c r="Q30" s="115">
        <v>0</v>
      </c>
      <c r="R30" s="115">
        <v>0</v>
      </c>
      <c r="S30" s="115">
        <v>0</v>
      </c>
      <c r="T30" s="115">
        <v>17.389946862637299</v>
      </c>
      <c r="U30" s="115">
        <v>8.1161473851617991</v>
      </c>
      <c r="V30" s="115">
        <v>0</v>
      </c>
      <c r="W30" s="115">
        <v>0</v>
      </c>
      <c r="X30" s="115">
        <v>0</v>
      </c>
      <c r="Y30" s="115">
        <v>0</v>
      </c>
      <c r="Z30" s="115">
        <v>0</v>
      </c>
      <c r="AA30" s="115">
        <v>0</v>
      </c>
      <c r="AB30" s="115">
        <v>0</v>
      </c>
      <c r="AC30" s="115">
        <v>0</v>
      </c>
      <c r="AD30" s="115">
        <v>0</v>
      </c>
      <c r="AE30" s="115">
        <v>-0.58087014473073795</v>
      </c>
      <c r="AF30" s="115">
        <v>-1.7092855041342701E-2</v>
      </c>
      <c r="AG30" s="115">
        <v>-5.2319684555639699E-2</v>
      </c>
      <c r="AH30" s="115">
        <v>0</v>
      </c>
      <c r="AI30" s="115">
        <v>0</v>
      </c>
      <c r="AJ30" s="115">
        <v>0</v>
      </c>
      <c r="AK30" s="115">
        <v>0</v>
      </c>
      <c r="AL30" s="115">
        <v>0</v>
      </c>
      <c r="AM30" s="115">
        <v>0</v>
      </c>
      <c r="AN30" s="115">
        <v>0</v>
      </c>
      <c r="AO30" s="115">
        <v>0</v>
      </c>
      <c r="AP30" s="115">
        <v>0</v>
      </c>
      <c r="AQ30" s="115">
        <v>0</v>
      </c>
      <c r="AR30" s="115">
        <v>0</v>
      </c>
      <c r="AS30" s="115">
        <v>0</v>
      </c>
      <c r="AT30" s="116">
        <v>0</v>
      </c>
    </row>
    <row r="31" spans="2:46" ht="12" customHeight="1" x14ac:dyDescent="0.3">
      <c r="B31" s="114" t="s">
        <v>39</v>
      </c>
      <c r="C31" s="115" t="s">
        <v>40</v>
      </c>
      <c r="D31" s="115" t="s">
        <v>25</v>
      </c>
      <c r="E31" s="115" t="s">
        <v>25</v>
      </c>
      <c r="F31" s="115" t="s">
        <v>87</v>
      </c>
      <c r="G31" s="115" t="s">
        <v>25</v>
      </c>
      <c r="H31" s="115" t="s">
        <v>84</v>
      </c>
      <c r="I31" s="115" t="s">
        <v>25</v>
      </c>
      <c r="J31" s="115">
        <v>0.62</v>
      </c>
      <c r="K31" s="115">
        <v>0</v>
      </c>
      <c r="L31" s="115">
        <v>0</v>
      </c>
      <c r="M31" s="115">
        <v>0</v>
      </c>
      <c r="N31" s="115">
        <v>0</v>
      </c>
      <c r="O31" s="115">
        <v>0</v>
      </c>
      <c r="P31" s="115">
        <v>0</v>
      </c>
      <c r="Q31" s="115">
        <v>0</v>
      </c>
      <c r="R31" s="115">
        <v>0</v>
      </c>
      <c r="S31" s="115">
        <v>0</v>
      </c>
      <c r="T31" s="115">
        <v>0.41714259521158797</v>
      </c>
      <c r="U31" s="115">
        <v>0.201658315103243</v>
      </c>
      <c r="V31" s="115">
        <v>0</v>
      </c>
      <c r="W31" s="115">
        <v>0</v>
      </c>
      <c r="X31" s="115">
        <v>0</v>
      </c>
      <c r="Y31" s="115">
        <v>0</v>
      </c>
      <c r="Z31" s="115">
        <v>0</v>
      </c>
      <c r="AA31" s="115">
        <v>0</v>
      </c>
      <c r="AB31" s="115">
        <v>0</v>
      </c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>
        <v>0</v>
      </c>
      <c r="AK31" s="115">
        <v>0</v>
      </c>
      <c r="AL31" s="115">
        <v>0</v>
      </c>
      <c r="AM31" s="115">
        <v>0</v>
      </c>
      <c r="AN31" s="115">
        <v>0</v>
      </c>
      <c r="AO31" s="115">
        <v>0</v>
      </c>
      <c r="AP31" s="115">
        <v>0</v>
      </c>
      <c r="AQ31" s="115">
        <v>0</v>
      </c>
      <c r="AR31" s="115">
        <v>0</v>
      </c>
      <c r="AS31" s="115">
        <v>0</v>
      </c>
      <c r="AT31" s="116">
        <v>0</v>
      </c>
    </row>
    <row r="32" spans="2:46" ht="12" customHeight="1" x14ac:dyDescent="0.3">
      <c r="B32" s="114" t="s">
        <v>39</v>
      </c>
      <c r="C32" s="115" t="s">
        <v>40</v>
      </c>
      <c r="D32" s="115" t="s">
        <v>25</v>
      </c>
      <c r="E32" s="115" t="s">
        <v>25</v>
      </c>
      <c r="F32" s="115" t="s">
        <v>87</v>
      </c>
      <c r="G32" s="115" t="s">
        <v>35</v>
      </c>
      <c r="H32" s="115" t="s">
        <v>79</v>
      </c>
      <c r="I32" s="115" t="s">
        <v>25</v>
      </c>
      <c r="J32" s="115">
        <v>-0.65</v>
      </c>
      <c r="K32" s="115">
        <v>0</v>
      </c>
      <c r="L32" s="115">
        <v>0</v>
      </c>
      <c r="M32" s="115">
        <v>0</v>
      </c>
      <c r="N32" s="115">
        <v>0</v>
      </c>
      <c r="O32" s="115">
        <v>0</v>
      </c>
      <c r="P32" s="115">
        <v>0</v>
      </c>
      <c r="Q32" s="115">
        <v>0</v>
      </c>
      <c r="R32" s="115">
        <v>0</v>
      </c>
      <c r="S32" s="115">
        <v>0</v>
      </c>
      <c r="T32" s="115">
        <v>0</v>
      </c>
      <c r="U32" s="115">
        <v>0</v>
      </c>
      <c r="V32" s="115">
        <v>0</v>
      </c>
      <c r="W32" s="115">
        <v>0</v>
      </c>
      <c r="X32" s="115">
        <v>0</v>
      </c>
      <c r="Y32" s="115">
        <v>0</v>
      </c>
      <c r="Z32" s="115">
        <v>0</v>
      </c>
      <c r="AA32" s="115">
        <v>0</v>
      </c>
      <c r="AB32" s="115">
        <v>0</v>
      </c>
      <c r="AC32" s="115">
        <v>0</v>
      </c>
      <c r="AD32" s="115">
        <v>0</v>
      </c>
      <c r="AE32" s="115">
        <v>-0.58087014473073795</v>
      </c>
      <c r="AF32" s="115">
        <v>-1.7092855041342701E-2</v>
      </c>
      <c r="AG32" s="115">
        <v>-5.2319684555639699E-2</v>
      </c>
      <c r="AH32" s="115">
        <v>0</v>
      </c>
      <c r="AI32" s="115">
        <v>0</v>
      </c>
      <c r="AJ32" s="115">
        <v>0</v>
      </c>
      <c r="AK32" s="115">
        <v>0</v>
      </c>
      <c r="AL32" s="115">
        <v>0</v>
      </c>
      <c r="AM32" s="115">
        <v>0</v>
      </c>
      <c r="AN32" s="115">
        <v>0</v>
      </c>
      <c r="AO32" s="115">
        <v>0</v>
      </c>
      <c r="AP32" s="115">
        <v>0</v>
      </c>
      <c r="AQ32" s="115">
        <v>0</v>
      </c>
      <c r="AR32" s="115">
        <v>0</v>
      </c>
      <c r="AS32" s="115">
        <v>0</v>
      </c>
      <c r="AT32" s="116">
        <v>0</v>
      </c>
    </row>
    <row r="33" spans="2:46" ht="12" customHeight="1" x14ac:dyDescent="0.3">
      <c r="B33" s="114" t="s">
        <v>39</v>
      </c>
      <c r="C33" s="115" t="s">
        <v>40</v>
      </c>
      <c r="D33" s="115" t="s">
        <v>25</v>
      </c>
      <c r="E33" s="115" t="s">
        <v>25</v>
      </c>
      <c r="F33" s="115" t="s">
        <v>25</v>
      </c>
      <c r="G33" s="115" t="s">
        <v>34</v>
      </c>
      <c r="H33" s="115" t="s">
        <v>79</v>
      </c>
      <c r="I33" s="115" t="s">
        <v>25</v>
      </c>
      <c r="J33" s="115">
        <v>55.22</v>
      </c>
      <c r="K33" s="115">
        <v>-16.05</v>
      </c>
      <c r="L33" s="115">
        <v>0.77554598170252798</v>
      </c>
      <c r="M33" s="115">
        <v>0</v>
      </c>
      <c r="N33" s="115">
        <v>0</v>
      </c>
      <c r="O33" s="115">
        <v>0</v>
      </c>
      <c r="P33" s="115">
        <v>0</v>
      </c>
      <c r="Q33" s="115">
        <v>24.326122328355499</v>
      </c>
      <c r="R33" s="115">
        <v>5.2627822833457598</v>
      </c>
      <c r="S33" s="115">
        <v>0</v>
      </c>
      <c r="T33" s="115">
        <v>17.389946862637299</v>
      </c>
      <c r="U33" s="115">
        <v>8.1161473851617991</v>
      </c>
      <c r="V33" s="115">
        <v>0</v>
      </c>
      <c r="W33" s="115">
        <v>0</v>
      </c>
      <c r="X33" s="115">
        <v>0</v>
      </c>
      <c r="Y33" s="115">
        <v>0</v>
      </c>
      <c r="Z33" s="115">
        <v>0</v>
      </c>
      <c r="AA33" s="115">
        <v>0</v>
      </c>
      <c r="AB33" s="115">
        <v>0</v>
      </c>
      <c r="AC33" s="115">
        <v>0</v>
      </c>
      <c r="AD33" s="115">
        <v>0</v>
      </c>
      <c r="AE33" s="115">
        <v>-0.58087014473073795</v>
      </c>
      <c r="AF33" s="115">
        <v>-1.7092855041342701E-2</v>
      </c>
      <c r="AG33" s="115">
        <v>-5.2319684555639699E-2</v>
      </c>
      <c r="AH33" s="115">
        <v>0</v>
      </c>
      <c r="AI33" s="115">
        <v>0.37859190088024602</v>
      </c>
      <c r="AJ33" s="115">
        <v>0</v>
      </c>
      <c r="AK33" s="115">
        <v>0</v>
      </c>
      <c r="AL33" s="115">
        <v>0.171665175851341</v>
      </c>
      <c r="AM33" s="115">
        <v>0</v>
      </c>
      <c r="AN33" s="115">
        <v>-17.1935913563713</v>
      </c>
      <c r="AO33" s="115">
        <v>0.50155835238889401</v>
      </c>
      <c r="AP33" s="115">
        <v>0.377483046634356</v>
      </c>
      <c r="AQ33" s="115">
        <v>0</v>
      </c>
      <c r="AR33" s="115">
        <v>0</v>
      </c>
      <c r="AS33" s="115">
        <v>0</v>
      </c>
      <c r="AT33" s="116">
        <v>-0.29034460599760598</v>
      </c>
    </row>
    <row r="34" spans="2:46" ht="12" customHeight="1" x14ac:dyDescent="0.3">
      <c r="B34" s="114" t="s">
        <v>39</v>
      </c>
      <c r="C34" s="115" t="s">
        <v>40</v>
      </c>
      <c r="D34" s="115" t="s">
        <v>25</v>
      </c>
      <c r="E34" s="115" t="s">
        <v>25</v>
      </c>
      <c r="F34" s="115" t="s">
        <v>25</v>
      </c>
      <c r="G34" s="115" t="s">
        <v>25</v>
      </c>
      <c r="H34" s="115" t="s">
        <v>84</v>
      </c>
      <c r="I34" s="115" t="s">
        <v>25</v>
      </c>
      <c r="J34" s="115">
        <v>0.62</v>
      </c>
      <c r="K34" s="115">
        <v>0</v>
      </c>
      <c r="L34" s="115">
        <v>0</v>
      </c>
      <c r="M34" s="115">
        <v>0</v>
      </c>
      <c r="N34" s="115">
        <v>0</v>
      </c>
      <c r="O34" s="115">
        <v>0</v>
      </c>
      <c r="P34" s="115">
        <v>0</v>
      </c>
      <c r="Q34" s="115">
        <v>0</v>
      </c>
      <c r="R34" s="115">
        <v>0</v>
      </c>
      <c r="S34" s="115">
        <v>0</v>
      </c>
      <c r="T34" s="115">
        <v>0.41714259521158797</v>
      </c>
      <c r="U34" s="115">
        <v>0.201658315103243</v>
      </c>
      <c r="V34" s="115">
        <v>0</v>
      </c>
      <c r="W34" s="115">
        <v>0</v>
      </c>
      <c r="X34" s="115">
        <v>0</v>
      </c>
      <c r="Y34" s="115">
        <v>0</v>
      </c>
      <c r="Z34" s="115">
        <v>0</v>
      </c>
      <c r="AA34" s="115">
        <v>0</v>
      </c>
      <c r="AB34" s="115">
        <v>0</v>
      </c>
      <c r="AC34" s="115">
        <v>0</v>
      </c>
      <c r="AD34" s="115">
        <v>0</v>
      </c>
      <c r="AE34" s="115">
        <v>0</v>
      </c>
      <c r="AF34" s="115">
        <v>0</v>
      </c>
      <c r="AG34" s="115">
        <v>0</v>
      </c>
      <c r="AH34" s="115">
        <v>0</v>
      </c>
      <c r="AI34" s="115">
        <v>0</v>
      </c>
      <c r="AJ34" s="115">
        <v>0</v>
      </c>
      <c r="AK34" s="115">
        <v>0</v>
      </c>
      <c r="AL34" s="115">
        <v>0</v>
      </c>
      <c r="AM34" s="115">
        <v>0</v>
      </c>
      <c r="AN34" s="115">
        <v>0</v>
      </c>
      <c r="AO34" s="115">
        <v>0</v>
      </c>
      <c r="AP34" s="115">
        <v>0</v>
      </c>
      <c r="AQ34" s="115">
        <v>0</v>
      </c>
      <c r="AR34" s="115">
        <v>0</v>
      </c>
      <c r="AS34" s="115">
        <v>0</v>
      </c>
      <c r="AT34" s="116">
        <v>0</v>
      </c>
    </row>
    <row r="35" spans="2:46" ht="12" customHeight="1" x14ac:dyDescent="0.3">
      <c r="B35" s="114" t="s">
        <v>39</v>
      </c>
      <c r="C35" s="115" t="s">
        <v>40</v>
      </c>
      <c r="D35" s="115" t="s">
        <v>25</v>
      </c>
      <c r="E35" s="115" t="s">
        <v>25</v>
      </c>
      <c r="F35" s="115" t="s">
        <v>25</v>
      </c>
      <c r="G35" s="115" t="s">
        <v>35</v>
      </c>
      <c r="H35" s="115" t="s">
        <v>79</v>
      </c>
      <c r="I35" s="115" t="s">
        <v>25</v>
      </c>
      <c r="J35" s="115">
        <v>29.71</v>
      </c>
      <c r="K35" s="115">
        <v>-8.86</v>
      </c>
      <c r="L35" s="115">
        <v>0.77554598170252798</v>
      </c>
      <c r="M35" s="115">
        <v>0</v>
      </c>
      <c r="N35" s="115">
        <v>0</v>
      </c>
      <c r="O35" s="115">
        <v>0</v>
      </c>
      <c r="P35" s="115">
        <v>0</v>
      </c>
      <c r="Q35" s="115">
        <v>24.326122328355499</v>
      </c>
      <c r="R35" s="115">
        <v>5.2627822833457598</v>
      </c>
      <c r="S35" s="115">
        <v>0</v>
      </c>
      <c r="T35" s="115">
        <v>0</v>
      </c>
      <c r="U35" s="115">
        <v>0</v>
      </c>
      <c r="V35" s="115">
        <v>0</v>
      </c>
      <c r="W35" s="115">
        <v>0</v>
      </c>
      <c r="X35" s="115">
        <v>0</v>
      </c>
      <c r="Y35" s="115">
        <v>0</v>
      </c>
      <c r="Z35" s="115">
        <v>0</v>
      </c>
      <c r="AA35" s="115">
        <v>0</v>
      </c>
      <c r="AB35" s="115">
        <v>0</v>
      </c>
      <c r="AC35" s="115">
        <v>0</v>
      </c>
      <c r="AD35" s="115">
        <v>0</v>
      </c>
      <c r="AE35" s="115">
        <v>-0.58087014473073795</v>
      </c>
      <c r="AF35" s="115">
        <v>-1.7092855041342701E-2</v>
      </c>
      <c r="AG35" s="115">
        <v>-5.2319684555639699E-2</v>
      </c>
      <c r="AH35" s="115">
        <v>0</v>
      </c>
      <c r="AI35" s="115">
        <v>0.37859190088024602</v>
      </c>
      <c r="AJ35" s="115">
        <v>0</v>
      </c>
      <c r="AK35" s="115">
        <v>0</v>
      </c>
      <c r="AL35" s="115">
        <v>0.171665175851341</v>
      </c>
      <c r="AM35" s="115">
        <v>0</v>
      </c>
      <c r="AN35" s="115">
        <v>-9.99627404440192</v>
      </c>
      <c r="AO35" s="115">
        <v>0.50155835238889401</v>
      </c>
      <c r="AP35" s="115">
        <v>0.377483046634356</v>
      </c>
      <c r="AQ35" s="115">
        <v>0</v>
      </c>
      <c r="AR35" s="115">
        <v>0</v>
      </c>
      <c r="AS35" s="115">
        <v>0</v>
      </c>
      <c r="AT35" s="116">
        <v>-0.29034460599760598</v>
      </c>
    </row>
    <row r="36" spans="2:46" ht="12" customHeight="1" x14ac:dyDescent="0.3">
      <c r="B36" s="114" t="s">
        <v>88</v>
      </c>
      <c r="C36" s="115" t="s">
        <v>60</v>
      </c>
      <c r="D36" s="115" t="s">
        <v>25</v>
      </c>
      <c r="E36" s="115" t="s">
        <v>25</v>
      </c>
      <c r="F36" s="115" t="s">
        <v>89</v>
      </c>
      <c r="G36" s="115" t="s">
        <v>25</v>
      </c>
      <c r="H36" s="115" t="s">
        <v>84</v>
      </c>
      <c r="I36" s="115" t="s">
        <v>25</v>
      </c>
      <c r="J36" s="115">
        <v>0</v>
      </c>
      <c r="K36" s="115">
        <v>0</v>
      </c>
      <c r="L36" s="115">
        <v>0</v>
      </c>
      <c r="M36" s="115">
        <v>0</v>
      </c>
      <c r="N36" s="115">
        <v>0</v>
      </c>
      <c r="O36" s="115">
        <v>0</v>
      </c>
      <c r="P36" s="115">
        <v>0</v>
      </c>
      <c r="Q36" s="115">
        <v>0</v>
      </c>
      <c r="R36" s="115">
        <v>0</v>
      </c>
      <c r="S36" s="115">
        <v>0</v>
      </c>
      <c r="T36" s="115">
        <v>0</v>
      </c>
      <c r="U36" s="115">
        <v>0</v>
      </c>
      <c r="V36" s="115">
        <v>0</v>
      </c>
      <c r="W36" s="115">
        <v>0</v>
      </c>
      <c r="X36" s="115">
        <v>0</v>
      </c>
      <c r="Y36" s="115">
        <v>0</v>
      </c>
      <c r="Z36" s="115">
        <v>0</v>
      </c>
      <c r="AA36" s="115">
        <v>0</v>
      </c>
      <c r="AB36" s="115">
        <v>0</v>
      </c>
      <c r="AC36" s="115">
        <v>0</v>
      </c>
      <c r="AD36" s="115">
        <v>0</v>
      </c>
      <c r="AE36" s="115">
        <v>0</v>
      </c>
      <c r="AF36" s="115">
        <v>0</v>
      </c>
      <c r="AG36" s="115">
        <v>0</v>
      </c>
      <c r="AH36" s="115">
        <v>0</v>
      </c>
      <c r="AI36" s="115">
        <v>0</v>
      </c>
      <c r="AJ36" s="115">
        <v>0</v>
      </c>
      <c r="AK36" s="115">
        <v>0</v>
      </c>
      <c r="AL36" s="115">
        <v>0</v>
      </c>
      <c r="AM36" s="115">
        <v>0</v>
      </c>
      <c r="AN36" s="115">
        <v>0</v>
      </c>
      <c r="AO36" s="115">
        <v>0</v>
      </c>
      <c r="AP36" s="115">
        <v>0</v>
      </c>
      <c r="AQ36" s="115">
        <v>0</v>
      </c>
      <c r="AR36" s="115">
        <v>0</v>
      </c>
      <c r="AS36" s="115">
        <v>0</v>
      </c>
      <c r="AT36" s="116">
        <v>0</v>
      </c>
    </row>
    <row r="37" spans="2:46" ht="12" customHeight="1" x14ac:dyDescent="0.3">
      <c r="B37" s="114" t="s">
        <v>88</v>
      </c>
      <c r="C37" s="115" t="s">
        <v>60</v>
      </c>
      <c r="D37" s="115" t="s">
        <v>25</v>
      </c>
      <c r="E37" s="115" t="s">
        <v>25</v>
      </c>
      <c r="F37" s="115" t="s">
        <v>90</v>
      </c>
      <c r="G37" s="115" t="s">
        <v>25</v>
      </c>
      <c r="H37" s="115" t="s">
        <v>84</v>
      </c>
      <c r="I37" s="115" t="s">
        <v>25</v>
      </c>
      <c r="J37" s="115">
        <v>0</v>
      </c>
      <c r="K37" s="115">
        <v>0</v>
      </c>
      <c r="L37" s="115">
        <v>0</v>
      </c>
      <c r="M37" s="115">
        <v>0</v>
      </c>
      <c r="N37" s="115">
        <v>0</v>
      </c>
      <c r="O37" s="115">
        <v>0</v>
      </c>
      <c r="P37" s="115">
        <v>0</v>
      </c>
      <c r="Q37" s="115">
        <v>0</v>
      </c>
      <c r="R37" s="115">
        <v>0</v>
      </c>
      <c r="S37" s="115">
        <v>0</v>
      </c>
      <c r="T37" s="115">
        <v>0</v>
      </c>
      <c r="U37" s="115">
        <v>0</v>
      </c>
      <c r="V37" s="115">
        <v>0</v>
      </c>
      <c r="W37" s="115">
        <v>0</v>
      </c>
      <c r="X37" s="115">
        <v>0</v>
      </c>
      <c r="Y37" s="115">
        <v>0</v>
      </c>
      <c r="Z37" s="115">
        <v>0</v>
      </c>
      <c r="AA37" s="115">
        <v>0</v>
      </c>
      <c r="AB37" s="115">
        <v>0</v>
      </c>
      <c r="AC37" s="115">
        <v>0</v>
      </c>
      <c r="AD37" s="115">
        <v>0</v>
      </c>
      <c r="AE37" s="115">
        <v>0</v>
      </c>
      <c r="AF37" s="115">
        <v>0</v>
      </c>
      <c r="AG37" s="115">
        <v>0</v>
      </c>
      <c r="AH37" s="115">
        <v>0</v>
      </c>
      <c r="AI37" s="115">
        <v>0</v>
      </c>
      <c r="AJ37" s="115">
        <v>0</v>
      </c>
      <c r="AK37" s="115">
        <v>0</v>
      </c>
      <c r="AL37" s="115">
        <v>0</v>
      </c>
      <c r="AM37" s="115">
        <v>0</v>
      </c>
      <c r="AN37" s="115">
        <v>0</v>
      </c>
      <c r="AO37" s="115">
        <v>0</v>
      </c>
      <c r="AP37" s="115">
        <v>0</v>
      </c>
      <c r="AQ37" s="115">
        <v>0</v>
      </c>
      <c r="AR37" s="115">
        <v>0</v>
      </c>
      <c r="AS37" s="115">
        <v>0</v>
      </c>
      <c r="AT37" s="116">
        <v>0</v>
      </c>
    </row>
    <row r="38" spans="2:46" ht="12" customHeight="1" x14ac:dyDescent="0.3">
      <c r="B38" s="114" t="s">
        <v>22</v>
      </c>
      <c r="C38" s="115" t="s">
        <v>33</v>
      </c>
      <c r="D38" s="115" t="s">
        <v>24</v>
      </c>
      <c r="E38" s="115" t="s">
        <v>24</v>
      </c>
      <c r="F38" s="115" t="s">
        <v>25</v>
      </c>
      <c r="G38" s="115" t="s">
        <v>34</v>
      </c>
      <c r="H38" s="115" t="s">
        <v>79</v>
      </c>
      <c r="I38" s="115" t="s">
        <v>25</v>
      </c>
      <c r="J38" s="115">
        <v>51.12</v>
      </c>
      <c r="K38" s="115">
        <v>-16.05</v>
      </c>
      <c r="L38" s="115">
        <v>0.92326902583634196</v>
      </c>
      <c r="M38" s="115">
        <v>0</v>
      </c>
      <c r="N38" s="115">
        <v>0</v>
      </c>
      <c r="O38" s="115">
        <v>0</v>
      </c>
      <c r="P38" s="115">
        <v>0</v>
      </c>
      <c r="Q38" s="115">
        <v>28.9596694385185</v>
      </c>
      <c r="R38" s="115">
        <v>5.2627822833457598</v>
      </c>
      <c r="S38" s="115">
        <v>0</v>
      </c>
      <c r="T38" s="115">
        <v>11.7300954117293</v>
      </c>
      <c r="U38" s="115">
        <v>5.5593453203496601</v>
      </c>
      <c r="V38" s="115">
        <v>0</v>
      </c>
      <c r="W38" s="115">
        <v>0</v>
      </c>
      <c r="X38" s="115">
        <v>0</v>
      </c>
      <c r="Y38" s="115">
        <v>0</v>
      </c>
      <c r="Z38" s="115">
        <v>0</v>
      </c>
      <c r="AA38" s="115">
        <v>0</v>
      </c>
      <c r="AB38" s="115">
        <v>0</v>
      </c>
      <c r="AC38" s="115">
        <v>0</v>
      </c>
      <c r="AD38" s="115">
        <v>0</v>
      </c>
      <c r="AE38" s="115">
        <v>-1.20051568018434</v>
      </c>
      <c r="AF38" s="115">
        <v>-3.5326726089119298E-2</v>
      </c>
      <c r="AG38" s="115">
        <v>-8.0547162698289404E-2</v>
      </c>
      <c r="AH38" s="115">
        <v>0</v>
      </c>
      <c r="AI38" s="115">
        <v>0.37859190088024602</v>
      </c>
      <c r="AJ38" s="115">
        <v>0</v>
      </c>
      <c r="AK38" s="115">
        <v>0</v>
      </c>
      <c r="AL38" s="115">
        <v>0.171665175851341</v>
      </c>
      <c r="AM38" s="115">
        <v>0</v>
      </c>
      <c r="AN38" s="115">
        <v>-17.1935913563713</v>
      </c>
      <c r="AO38" s="115">
        <v>0.50155835238889401</v>
      </c>
      <c r="AP38" s="115">
        <v>0.377483046634356</v>
      </c>
      <c r="AQ38" s="115">
        <v>0</v>
      </c>
      <c r="AR38" s="115">
        <v>0</v>
      </c>
      <c r="AS38" s="115">
        <v>0</v>
      </c>
      <c r="AT38" s="116">
        <v>-0.29034460599760598</v>
      </c>
    </row>
    <row r="39" spans="2:46" ht="12" customHeight="1" x14ac:dyDescent="0.3">
      <c r="B39" s="114" t="s">
        <v>22</v>
      </c>
      <c r="C39" s="115" t="s">
        <v>33</v>
      </c>
      <c r="D39" s="115" t="s">
        <v>24</v>
      </c>
      <c r="E39" s="115" t="s">
        <v>24</v>
      </c>
      <c r="F39" s="115" t="s">
        <v>25</v>
      </c>
      <c r="G39" s="115" t="s">
        <v>36</v>
      </c>
      <c r="H39" s="115" t="s">
        <v>79</v>
      </c>
      <c r="I39" s="115" t="s">
        <v>25</v>
      </c>
      <c r="J39" s="115">
        <v>44.2</v>
      </c>
      <c r="K39" s="115">
        <v>-8.86</v>
      </c>
      <c r="L39" s="115">
        <v>0.92326902583634196</v>
      </c>
      <c r="M39" s="115">
        <v>0</v>
      </c>
      <c r="N39" s="115">
        <v>0</v>
      </c>
      <c r="O39" s="115">
        <v>0</v>
      </c>
      <c r="P39" s="115">
        <v>0</v>
      </c>
      <c r="Q39" s="115">
        <v>28.9596694385185</v>
      </c>
      <c r="R39" s="115">
        <v>5.2627822833457598</v>
      </c>
      <c r="S39" s="115">
        <v>0</v>
      </c>
      <c r="T39" s="115">
        <v>7.0380548093036497</v>
      </c>
      <c r="U39" s="115">
        <v>3.3356093507261901</v>
      </c>
      <c r="V39" s="115">
        <v>0</v>
      </c>
      <c r="W39" s="115">
        <v>0</v>
      </c>
      <c r="X39" s="115">
        <v>0</v>
      </c>
      <c r="Y39" s="115">
        <v>0</v>
      </c>
      <c r="Z39" s="115">
        <v>0</v>
      </c>
      <c r="AA39" s="115">
        <v>0</v>
      </c>
      <c r="AB39" s="115">
        <v>0</v>
      </c>
      <c r="AC39" s="115">
        <v>0</v>
      </c>
      <c r="AD39" s="115">
        <v>0</v>
      </c>
      <c r="AE39" s="115">
        <v>-1.20051568018434</v>
      </c>
      <c r="AF39" s="115">
        <v>-3.5326726089119298E-2</v>
      </c>
      <c r="AG39" s="115">
        <v>-8.0547162698289404E-2</v>
      </c>
      <c r="AH39" s="115">
        <v>0</v>
      </c>
      <c r="AI39" s="115">
        <v>0.37859190088024602</v>
      </c>
      <c r="AJ39" s="115">
        <v>0</v>
      </c>
      <c r="AK39" s="115">
        <v>0</v>
      </c>
      <c r="AL39" s="115">
        <v>0.171665175851341</v>
      </c>
      <c r="AM39" s="115">
        <v>0</v>
      </c>
      <c r="AN39" s="115">
        <v>-9.99627404440192</v>
      </c>
      <c r="AO39" s="115">
        <v>0.50155835238889401</v>
      </c>
      <c r="AP39" s="115">
        <v>0.377483046634356</v>
      </c>
      <c r="AQ39" s="115">
        <v>0</v>
      </c>
      <c r="AR39" s="115">
        <v>0</v>
      </c>
      <c r="AS39" s="115">
        <v>0</v>
      </c>
      <c r="AT39" s="116">
        <v>-0.29034460599760598</v>
      </c>
    </row>
    <row r="40" spans="2:46" ht="12" customHeight="1" x14ac:dyDescent="0.3">
      <c r="B40" s="114" t="s">
        <v>22</v>
      </c>
      <c r="C40" s="115" t="s">
        <v>33</v>
      </c>
      <c r="D40" s="115" t="s">
        <v>24</v>
      </c>
      <c r="E40" s="115" t="s">
        <v>24</v>
      </c>
      <c r="F40" s="115" t="s">
        <v>25</v>
      </c>
      <c r="G40" s="115" t="s">
        <v>35</v>
      </c>
      <c r="H40" s="115" t="s">
        <v>79</v>
      </c>
      <c r="I40" s="115" t="s">
        <v>25</v>
      </c>
      <c r="J40" s="115">
        <v>37.29</v>
      </c>
      <c r="K40" s="115">
        <v>-8.86</v>
      </c>
      <c r="L40" s="115">
        <v>0.92326902583634196</v>
      </c>
      <c r="M40" s="115">
        <v>0</v>
      </c>
      <c r="N40" s="115">
        <v>0</v>
      </c>
      <c r="O40" s="115">
        <v>0</v>
      </c>
      <c r="P40" s="115">
        <v>0</v>
      </c>
      <c r="Q40" s="115">
        <v>28.9596694385185</v>
      </c>
      <c r="R40" s="115">
        <v>5.2627822833457598</v>
      </c>
      <c r="S40" s="115">
        <v>0</v>
      </c>
      <c r="T40" s="115">
        <v>2.3460142068779701</v>
      </c>
      <c r="U40" s="115">
        <v>1.1118733811027199</v>
      </c>
      <c r="V40" s="115">
        <v>0</v>
      </c>
      <c r="W40" s="115">
        <v>0</v>
      </c>
      <c r="X40" s="115">
        <v>0</v>
      </c>
      <c r="Y40" s="115">
        <v>0</v>
      </c>
      <c r="Z40" s="115">
        <v>0</v>
      </c>
      <c r="AA40" s="115">
        <v>0</v>
      </c>
      <c r="AB40" s="115">
        <v>0</v>
      </c>
      <c r="AC40" s="115">
        <v>0</v>
      </c>
      <c r="AD40" s="115">
        <v>0</v>
      </c>
      <c r="AE40" s="115">
        <v>-1.20051568018434</v>
      </c>
      <c r="AF40" s="115">
        <v>-3.5326726089119298E-2</v>
      </c>
      <c r="AG40" s="115">
        <v>-8.0547162698289404E-2</v>
      </c>
      <c r="AH40" s="115">
        <v>0</v>
      </c>
      <c r="AI40" s="115">
        <v>0.37859190088024602</v>
      </c>
      <c r="AJ40" s="115">
        <v>0</v>
      </c>
      <c r="AK40" s="115">
        <v>0</v>
      </c>
      <c r="AL40" s="115">
        <v>0.171665175851341</v>
      </c>
      <c r="AM40" s="115">
        <v>0</v>
      </c>
      <c r="AN40" s="115">
        <v>-9.99627404440192</v>
      </c>
      <c r="AO40" s="115">
        <v>0.50155835238889401</v>
      </c>
      <c r="AP40" s="115">
        <v>0.377483046634356</v>
      </c>
      <c r="AQ40" s="115">
        <v>0</v>
      </c>
      <c r="AR40" s="115">
        <v>0</v>
      </c>
      <c r="AS40" s="115">
        <v>0</v>
      </c>
      <c r="AT40" s="116">
        <v>-0.29034460599760598</v>
      </c>
    </row>
    <row r="41" spans="2:46" ht="12" customHeight="1" x14ac:dyDescent="0.3">
      <c r="B41" s="114" t="s">
        <v>22</v>
      </c>
      <c r="C41" s="115" t="s">
        <v>23</v>
      </c>
      <c r="D41" s="115" t="s">
        <v>24</v>
      </c>
      <c r="E41" s="115" t="s">
        <v>1430</v>
      </c>
      <c r="F41" s="115" t="s">
        <v>25</v>
      </c>
      <c r="G41" s="115" t="s">
        <v>25</v>
      </c>
      <c r="H41" s="115" t="s">
        <v>79</v>
      </c>
      <c r="I41" s="115" t="s">
        <v>25</v>
      </c>
      <c r="J41" s="115">
        <v>4</v>
      </c>
      <c r="K41" s="115">
        <v>-9.4600000000000009</v>
      </c>
      <c r="L41" s="115">
        <v>0</v>
      </c>
      <c r="M41" s="115">
        <v>0</v>
      </c>
      <c r="N41" s="115">
        <v>0</v>
      </c>
      <c r="O41" s="115">
        <v>0</v>
      </c>
      <c r="P41" s="115">
        <v>0</v>
      </c>
      <c r="Q41" s="115">
        <v>0</v>
      </c>
      <c r="R41" s="115">
        <v>0</v>
      </c>
      <c r="S41" s="115">
        <v>0</v>
      </c>
      <c r="T41" s="115">
        <v>3.6092601266859501</v>
      </c>
      <c r="U41" s="115">
        <v>1.71057028147266</v>
      </c>
      <c r="V41" s="115">
        <v>0</v>
      </c>
      <c r="W41" s="115">
        <v>0</v>
      </c>
      <c r="X41" s="115">
        <v>0</v>
      </c>
      <c r="Y41" s="115">
        <v>0</v>
      </c>
      <c r="Z41" s="115">
        <v>0</v>
      </c>
      <c r="AA41" s="115">
        <v>0</v>
      </c>
      <c r="AB41" s="115">
        <v>0</v>
      </c>
      <c r="AC41" s="115">
        <v>0</v>
      </c>
      <c r="AD41" s="115">
        <v>0</v>
      </c>
      <c r="AE41" s="115">
        <v>-1.20051568018434</v>
      </c>
      <c r="AF41" s="115">
        <v>-3.5326726089119298E-2</v>
      </c>
      <c r="AG41" s="115">
        <v>-8.0547162698289404E-2</v>
      </c>
      <c r="AH41" s="115">
        <v>0</v>
      </c>
      <c r="AI41" s="115">
        <v>0.37859190088024602</v>
      </c>
      <c r="AJ41" s="115">
        <v>0</v>
      </c>
      <c r="AK41" s="115">
        <v>0</v>
      </c>
      <c r="AL41" s="115">
        <v>0.171665175851341</v>
      </c>
      <c r="AM41" s="115">
        <v>0</v>
      </c>
      <c r="AN41" s="115">
        <v>-10.596050487066</v>
      </c>
      <c r="AO41" s="115">
        <v>0.50155835238889401</v>
      </c>
      <c r="AP41" s="115">
        <v>0.377483046634356</v>
      </c>
      <c r="AQ41" s="115">
        <v>0</v>
      </c>
      <c r="AR41" s="115">
        <v>0</v>
      </c>
      <c r="AS41" s="115">
        <v>0</v>
      </c>
      <c r="AT41" s="116">
        <v>-0.29034460599760598</v>
      </c>
    </row>
    <row r="42" spans="2:46" ht="12" customHeight="1" x14ac:dyDescent="0.3">
      <c r="B42" s="114" t="s">
        <v>22</v>
      </c>
      <c r="C42" s="115" t="s">
        <v>23</v>
      </c>
      <c r="D42" s="115" t="s">
        <v>24</v>
      </c>
      <c r="E42" s="115" t="s">
        <v>24</v>
      </c>
      <c r="F42" s="115" t="s">
        <v>25</v>
      </c>
      <c r="G42" s="115" t="s">
        <v>25</v>
      </c>
      <c r="H42" s="115" t="s">
        <v>79</v>
      </c>
      <c r="I42" s="115" t="s">
        <v>25</v>
      </c>
      <c r="J42" s="115">
        <v>39.15</v>
      </c>
      <c r="K42" s="115">
        <v>-9.4600000000000009</v>
      </c>
      <c r="L42" s="115">
        <v>0.92326902583634196</v>
      </c>
      <c r="M42" s="115">
        <v>0</v>
      </c>
      <c r="N42" s="115">
        <v>0</v>
      </c>
      <c r="O42" s="115">
        <v>0</v>
      </c>
      <c r="P42" s="115">
        <v>0</v>
      </c>
      <c r="Q42" s="115">
        <v>28.9596694385185</v>
      </c>
      <c r="R42" s="115">
        <v>5.2627822833457598</v>
      </c>
      <c r="S42" s="115">
        <v>0</v>
      </c>
      <c r="T42" s="115">
        <v>3.6092601266859501</v>
      </c>
      <c r="U42" s="115">
        <v>1.71057028147266</v>
      </c>
      <c r="V42" s="115">
        <v>0</v>
      </c>
      <c r="W42" s="115">
        <v>0</v>
      </c>
      <c r="X42" s="115">
        <v>0</v>
      </c>
      <c r="Y42" s="115">
        <v>0</v>
      </c>
      <c r="Z42" s="115">
        <v>0</v>
      </c>
      <c r="AA42" s="115">
        <v>0</v>
      </c>
      <c r="AB42" s="115">
        <v>0</v>
      </c>
      <c r="AC42" s="115">
        <v>0</v>
      </c>
      <c r="AD42" s="115">
        <v>0</v>
      </c>
      <c r="AE42" s="115">
        <v>-1.20051568018434</v>
      </c>
      <c r="AF42" s="115">
        <v>-3.5326726089119298E-2</v>
      </c>
      <c r="AG42" s="115">
        <v>-8.0547162698289404E-2</v>
      </c>
      <c r="AH42" s="115">
        <v>0</v>
      </c>
      <c r="AI42" s="115">
        <v>0.37859190088024602</v>
      </c>
      <c r="AJ42" s="115">
        <v>0</v>
      </c>
      <c r="AK42" s="115">
        <v>0</v>
      </c>
      <c r="AL42" s="115">
        <v>0.171665175851341</v>
      </c>
      <c r="AM42" s="115">
        <v>0</v>
      </c>
      <c r="AN42" s="115">
        <v>-10.596050487066</v>
      </c>
      <c r="AO42" s="115">
        <v>0.50155835238889401</v>
      </c>
      <c r="AP42" s="115">
        <v>0.377483046634356</v>
      </c>
      <c r="AQ42" s="115">
        <v>0</v>
      </c>
      <c r="AR42" s="115">
        <v>0</v>
      </c>
      <c r="AS42" s="115">
        <v>0</v>
      </c>
      <c r="AT42" s="116">
        <v>-0.29034460599760598</v>
      </c>
    </row>
    <row r="43" spans="2:46" ht="12" customHeight="1" x14ac:dyDescent="0.3">
      <c r="B43" s="114" t="s">
        <v>22</v>
      </c>
      <c r="C43" s="115" t="s">
        <v>93</v>
      </c>
      <c r="D43" s="115" t="s">
        <v>24</v>
      </c>
      <c r="E43" s="115" t="s">
        <v>1430</v>
      </c>
      <c r="F43" s="115" t="s">
        <v>25</v>
      </c>
      <c r="G43" s="115" t="s">
        <v>25</v>
      </c>
      <c r="H43" s="115" t="s">
        <v>79</v>
      </c>
      <c r="I43" s="115" t="s">
        <v>25</v>
      </c>
      <c r="J43" s="115">
        <v>4</v>
      </c>
      <c r="K43" s="115">
        <v>-9.4600000000000009</v>
      </c>
      <c r="L43" s="115">
        <v>0</v>
      </c>
      <c r="M43" s="115">
        <v>0</v>
      </c>
      <c r="N43" s="115">
        <v>0</v>
      </c>
      <c r="O43" s="115">
        <v>0</v>
      </c>
      <c r="P43" s="115">
        <v>0</v>
      </c>
      <c r="Q43" s="115">
        <v>0</v>
      </c>
      <c r="R43" s="115">
        <v>0</v>
      </c>
      <c r="S43" s="115">
        <v>0</v>
      </c>
      <c r="T43" s="115">
        <v>3.6092601266859501</v>
      </c>
      <c r="U43" s="115">
        <v>1.71057028147266</v>
      </c>
      <c r="V43" s="115">
        <v>0</v>
      </c>
      <c r="W43" s="115">
        <v>0</v>
      </c>
      <c r="X43" s="115">
        <v>0</v>
      </c>
      <c r="Y43" s="115">
        <v>0</v>
      </c>
      <c r="Z43" s="115">
        <v>0</v>
      </c>
      <c r="AA43" s="115">
        <v>0</v>
      </c>
      <c r="AB43" s="115">
        <v>0</v>
      </c>
      <c r="AC43" s="115">
        <v>0</v>
      </c>
      <c r="AD43" s="115">
        <v>0</v>
      </c>
      <c r="AE43" s="115">
        <v>-1.20051568018434</v>
      </c>
      <c r="AF43" s="115">
        <v>-3.5326726089119298E-2</v>
      </c>
      <c r="AG43" s="115">
        <v>-8.0547162698289404E-2</v>
      </c>
      <c r="AH43" s="115">
        <v>0</v>
      </c>
      <c r="AI43" s="115">
        <v>0.37859190088024602</v>
      </c>
      <c r="AJ43" s="115">
        <v>0</v>
      </c>
      <c r="AK43" s="115">
        <v>0</v>
      </c>
      <c r="AL43" s="115">
        <v>0.171665175851341</v>
      </c>
      <c r="AM43" s="115">
        <v>0</v>
      </c>
      <c r="AN43" s="115">
        <v>-10.596050487066</v>
      </c>
      <c r="AO43" s="115">
        <v>0.50155835238889401</v>
      </c>
      <c r="AP43" s="115">
        <v>0.377483046634356</v>
      </c>
      <c r="AQ43" s="115">
        <v>0</v>
      </c>
      <c r="AR43" s="115">
        <v>0</v>
      </c>
      <c r="AS43" s="115">
        <v>0</v>
      </c>
      <c r="AT43" s="116">
        <v>-0.29034460599760598</v>
      </c>
    </row>
    <row r="44" spans="2:46" ht="12" customHeight="1" x14ac:dyDescent="0.3">
      <c r="B44" s="114" t="s">
        <v>22</v>
      </c>
      <c r="C44" s="115" t="s">
        <v>93</v>
      </c>
      <c r="D44" s="115" t="s">
        <v>24</v>
      </c>
      <c r="E44" s="115" t="s">
        <v>24</v>
      </c>
      <c r="F44" s="115" t="s">
        <v>25</v>
      </c>
      <c r="G44" s="115" t="s">
        <v>25</v>
      </c>
      <c r="H44" s="115" t="s">
        <v>79</v>
      </c>
      <c r="I44" s="115" t="s">
        <v>25</v>
      </c>
      <c r="J44" s="115">
        <v>39.15</v>
      </c>
      <c r="K44" s="115">
        <v>-9.4600000000000009</v>
      </c>
      <c r="L44" s="115">
        <v>0.92326902583634196</v>
      </c>
      <c r="M44" s="115">
        <v>0</v>
      </c>
      <c r="N44" s="115">
        <v>0</v>
      </c>
      <c r="O44" s="115">
        <v>0</v>
      </c>
      <c r="P44" s="115">
        <v>0</v>
      </c>
      <c r="Q44" s="115">
        <v>28.9596694385185</v>
      </c>
      <c r="R44" s="115">
        <v>5.2627822833457598</v>
      </c>
      <c r="S44" s="115">
        <v>0</v>
      </c>
      <c r="T44" s="115">
        <v>3.6092601266859501</v>
      </c>
      <c r="U44" s="115">
        <v>1.71057028147266</v>
      </c>
      <c r="V44" s="115">
        <v>0</v>
      </c>
      <c r="W44" s="115">
        <v>0</v>
      </c>
      <c r="X44" s="115">
        <v>0</v>
      </c>
      <c r="Y44" s="115">
        <v>0</v>
      </c>
      <c r="Z44" s="115">
        <v>0</v>
      </c>
      <c r="AA44" s="115">
        <v>0</v>
      </c>
      <c r="AB44" s="115">
        <v>0</v>
      </c>
      <c r="AC44" s="115">
        <v>0</v>
      </c>
      <c r="AD44" s="115">
        <v>0</v>
      </c>
      <c r="AE44" s="115">
        <v>-1.20051568018434</v>
      </c>
      <c r="AF44" s="115">
        <v>-3.5326726089119298E-2</v>
      </c>
      <c r="AG44" s="115">
        <v>-8.0547162698289404E-2</v>
      </c>
      <c r="AH44" s="115">
        <v>0</v>
      </c>
      <c r="AI44" s="115">
        <v>0.37859190088024602</v>
      </c>
      <c r="AJ44" s="115">
        <v>0</v>
      </c>
      <c r="AK44" s="115">
        <v>0</v>
      </c>
      <c r="AL44" s="115">
        <v>0.171665175851341</v>
      </c>
      <c r="AM44" s="115">
        <v>0</v>
      </c>
      <c r="AN44" s="115">
        <v>-10.596050487066</v>
      </c>
      <c r="AO44" s="115">
        <v>0.50155835238889401</v>
      </c>
      <c r="AP44" s="115">
        <v>0.377483046634356</v>
      </c>
      <c r="AQ44" s="115">
        <v>0</v>
      </c>
      <c r="AR44" s="115">
        <v>0</v>
      </c>
      <c r="AS44" s="115">
        <v>0</v>
      </c>
      <c r="AT44" s="116">
        <v>-0.29034460599760598</v>
      </c>
    </row>
    <row r="45" spans="2:46" ht="12" customHeight="1" x14ac:dyDescent="0.3">
      <c r="B45" s="114" t="s">
        <v>43</v>
      </c>
      <c r="C45" s="115" t="s">
        <v>33</v>
      </c>
      <c r="D45" s="115" t="s">
        <v>44</v>
      </c>
      <c r="E45" s="115" t="s">
        <v>94</v>
      </c>
      <c r="F45" s="115" t="s">
        <v>25</v>
      </c>
      <c r="G45" s="115" t="s">
        <v>34</v>
      </c>
      <c r="H45" s="115" t="s">
        <v>79</v>
      </c>
      <c r="I45" s="115" t="s">
        <v>25</v>
      </c>
      <c r="J45" s="115">
        <v>48.3</v>
      </c>
      <c r="K45" s="115">
        <v>-15.09</v>
      </c>
      <c r="L45" s="115">
        <v>0.86787288428616205</v>
      </c>
      <c r="M45" s="115">
        <v>0</v>
      </c>
      <c r="N45" s="115">
        <v>0</v>
      </c>
      <c r="O45" s="115">
        <v>0</v>
      </c>
      <c r="P45" s="115">
        <v>0</v>
      </c>
      <c r="Q45" s="115">
        <v>27.222089272207398</v>
      </c>
      <c r="R45" s="115">
        <v>4.9470153463450197</v>
      </c>
      <c r="S45" s="115">
        <v>0</v>
      </c>
      <c r="T45" s="115">
        <v>11.195927204449699</v>
      </c>
      <c r="U45" s="115">
        <v>5.3061839406146598</v>
      </c>
      <c r="V45" s="115">
        <v>0</v>
      </c>
      <c r="W45" s="115">
        <v>0</v>
      </c>
      <c r="X45" s="115">
        <v>0</v>
      </c>
      <c r="Y45" s="115">
        <v>0</v>
      </c>
      <c r="Z45" s="115">
        <v>0</v>
      </c>
      <c r="AA45" s="115">
        <v>0</v>
      </c>
      <c r="AB45" s="115">
        <v>0</v>
      </c>
      <c r="AC45" s="115">
        <v>0</v>
      </c>
      <c r="AD45" s="115">
        <v>0</v>
      </c>
      <c r="AE45" s="115">
        <v>-1.12848473937328</v>
      </c>
      <c r="AF45" s="115">
        <v>-3.3207122523772101E-2</v>
      </c>
      <c r="AG45" s="115">
        <v>-7.5714332936392001E-2</v>
      </c>
      <c r="AH45" s="115">
        <v>0</v>
      </c>
      <c r="AI45" s="115">
        <v>0.355876386827431</v>
      </c>
      <c r="AJ45" s="115">
        <v>0</v>
      </c>
      <c r="AK45" s="115">
        <v>0</v>
      </c>
      <c r="AL45" s="115">
        <v>0.16136526530025999</v>
      </c>
      <c r="AM45" s="115">
        <v>0</v>
      </c>
      <c r="AN45" s="115">
        <v>-16.161975874989</v>
      </c>
      <c r="AO45" s="115">
        <v>0.47146485124555998</v>
      </c>
      <c r="AP45" s="115">
        <v>0.35483406383629501</v>
      </c>
      <c r="AQ45" s="115">
        <v>0</v>
      </c>
      <c r="AR45" s="115">
        <v>0</v>
      </c>
      <c r="AS45" s="115">
        <v>0</v>
      </c>
      <c r="AT45" s="116">
        <v>-0.27292392963774997</v>
      </c>
    </row>
    <row r="46" spans="2:46" ht="12" customHeight="1" x14ac:dyDescent="0.3">
      <c r="B46" s="114" t="s">
        <v>43</v>
      </c>
      <c r="C46" s="115" t="s">
        <v>33</v>
      </c>
      <c r="D46" s="115" t="s">
        <v>44</v>
      </c>
      <c r="E46" s="115" t="s">
        <v>94</v>
      </c>
      <c r="F46" s="115" t="s">
        <v>25</v>
      </c>
      <c r="G46" s="115" t="s">
        <v>36</v>
      </c>
      <c r="H46" s="115" t="s">
        <v>79</v>
      </c>
      <c r="I46" s="115" t="s">
        <v>25</v>
      </c>
      <c r="J46" s="115">
        <v>41.7</v>
      </c>
      <c r="K46" s="115">
        <v>-8.33</v>
      </c>
      <c r="L46" s="115">
        <v>0.86787288428616205</v>
      </c>
      <c r="M46" s="115">
        <v>0</v>
      </c>
      <c r="N46" s="115">
        <v>0</v>
      </c>
      <c r="O46" s="115">
        <v>0</v>
      </c>
      <c r="P46" s="115">
        <v>0</v>
      </c>
      <c r="Q46" s="115">
        <v>27.222089272207398</v>
      </c>
      <c r="R46" s="115">
        <v>4.9470153463450197</v>
      </c>
      <c r="S46" s="115">
        <v>0</v>
      </c>
      <c r="T46" s="115">
        <v>6.7175586141397403</v>
      </c>
      <c r="U46" s="115">
        <v>3.18371239337421</v>
      </c>
      <c r="V46" s="115">
        <v>0</v>
      </c>
      <c r="W46" s="115">
        <v>0</v>
      </c>
      <c r="X46" s="115">
        <v>0</v>
      </c>
      <c r="Y46" s="115">
        <v>0</v>
      </c>
      <c r="Z46" s="115">
        <v>0</v>
      </c>
      <c r="AA46" s="115">
        <v>0</v>
      </c>
      <c r="AB46" s="115">
        <v>0</v>
      </c>
      <c r="AC46" s="115">
        <v>0</v>
      </c>
      <c r="AD46" s="115">
        <v>0</v>
      </c>
      <c r="AE46" s="115">
        <v>-1.12848473937328</v>
      </c>
      <c r="AF46" s="115">
        <v>-3.3207122523772101E-2</v>
      </c>
      <c r="AG46" s="115">
        <v>-7.5714332936392001E-2</v>
      </c>
      <c r="AH46" s="115">
        <v>0</v>
      </c>
      <c r="AI46" s="115">
        <v>0.355876386827431</v>
      </c>
      <c r="AJ46" s="115">
        <v>0</v>
      </c>
      <c r="AK46" s="115">
        <v>0</v>
      </c>
      <c r="AL46" s="115">
        <v>0.16136526530025999</v>
      </c>
      <c r="AM46" s="115">
        <v>0</v>
      </c>
      <c r="AN46" s="115">
        <v>-9.3964976017377992</v>
      </c>
      <c r="AO46" s="115">
        <v>0.47146485124555998</v>
      </c>
      <c r="AP46" s="115">
        <v>0.35483406383629501</v>
      </c>
      <c r="AQ46" s="115">
        <v>0</v>
      </c>
      <c r="AR46" s="115">
        <v>0</v>
      </c>
      <c r="AS46" s="115">
        <v>0</v>
      </c>
      <c r="AT46" s="116">
        <v>-0.27292392963774997</v>
      </c>
    </row>
    <row r="47" spans="2:46" ht="12" customHeight="1" x14ac:dyDescent="0.3">
      <c r="B47" s="114" t="s">
        <v>43</v>
      </c>
      <c r="C47" s="115" t="s">
        <v>33</v>
      </c>
      <c r="D47" s="115" t="s">
        <v>44</v>
      </c>
      <c r="E47" s="115" t="s">
        <v>94</v>
      </c>
      <c r="F47" s="115" t="s">
        <v>25</v>
      </c>
      <c r="G47" s="115" t="s">
        <v>35</v>
      </c>
      <c r="H47" s="115" t="s">
        <v>79</v>
      </c>
      <c r="I47" s="115" t="s">
        <v>25</v>
      </c>
      <c r="J47" s="115">
        <v>35.1</v>
      </c>
      <c r="K47" s="115">
        <v>-8.33</v>
      </c>
      <c r="L47" s="115">
        <v>0.86787288428616205</v>
      </c>
      <c r="M47" s="115">
        <v>0</v>
      </c>
      <c r="N47" s="115">
        <v>0</v>
      </c>
      <c r="O47" s="115">
        <v>0</v>
      </c>
      <c r="P47" s="115">
        <v>0</v>
      </c>
      <c r="Q47" s="115">
        <v>27.222089272207398</v>
      </c>
      <c r="R47" s="115">
        <v>4.9470153463450197</v>
      </c>
      <c r="S47" s="115">
        <v>0</v>
      </c>
      <c r="T47" s="115">
        <v>2.2391900238297602</v>
      </c>
      <c r="U47" s="115">
        <v>1.0612408461337599</v>
      </c>
      <c r="V47" s="115">
        <v>0</v>
      </c>
      <c r="W47" s="115">
        <v>0</v>
      </c>
      <c r="X47" s="115">
        <v>0</v>
      </c>
      <c r="Y47" s="115">
        <v>0</v>
      </c>
      <c r="Z47" s="115">
        <v>0</v>
      </c>
      <c r="AA47" s="115">
        <v>0</v>
      </c>
      <c r="AB47" s="115">
        <v>0</v>
      </c>
      <c r="AC47" s="115">
        <v>0</v>
      </c>
      <c r="AD47" s="115">
        <v>0</v>
      </c>
      <c r="AE47" s="115">
        <v>-1.12848473937328</v>
      </c>
      <c r="AF47" s="115">
        <v>-3.3207122523772101E-2</v>
      </c>
      <c r="AG47" s="115">
        <v>-7.5714332936392001E-2</v>
      </c>
      <c r="AH47" s="115">
        <v>0</v>
      </c>
      <c r="AI47" s="115">
        <v>0.355876386827431</v>
      </c>
      <c r="AJ47" s="115">
        <v>0</v>
      </c>
      <c r="AK47" s="115">
        <v>0</v>
      </c>
      <c r="AL47" s="115">
        <v>0.16136526530025999</v>
      </c>
      <c r="AM47" s="115">
        <v>0</v>
      </c>
      <c r="AN47" s="115">
        <v>-9.3964976017377992</v>
      </c>
      <c r="AO47" s="115">
        <v>0.47146485124555998</v>
      </c>
      <c r="AP47" s="115">
        <v>0.35483406383629501</v>
      </c>
      <c r="AQ47" s="115">
        <v>0</v>
      </c>
      <c r="AR47" s="115">
        <v>0</v>
      </c>
      <c r="AS47" s="115">
        <v>0</v>
      </c>
      <c r="AT47" s="116">
        <v>-0.27292392963774997</v>
      </c>
    </row>
    <row r="48" spans="2:46" ht="12" customHeight="1" x14ac:dyDescent="0.3">
      <c r="B48" s="114" t="s">
        <v>43</v>
      </c>
      <c r="C48" s="115" t="s">
        <v>33</v>
      </c>
      <c r="D48" s="115" t="s">
        <v>44</v>
      </c>
      <c r="E48" s="115" t="s">
        <v>25</v>
      </c>
      <c r="F48" s="115" t="s">
        <v>25</v>
      </c>
      <c r="G48" s="115" t="s">
        <v>34</v>
      </c>
      <c r="H48" s="115" t="s">
        <v>79</v>
      </c>
      <c r="I48" s="115" t="s">
        <v>25</v>
      </c>
      <c r="J48" s="115">
        <v>48.3</v>
      </c>
      <c r="K48" s="115">
        <v>-15.09</v>
      </c>
      <c r="L48" s="115">
        <v>0.86787288428616205</v>
      </c>
      <c r="M48" s="115">
        <v>0</v>
      </c>
      <c r="N48" s="115">
        <v>0</v>
      </c>
      <c r="O48" s="115">
        <v>0</v>
      </c>
      <c r="P48" s="115">
        <v>0</v>
      </c>
      <c r="Q48" s="115">
        <v>27.222089272207398</v>
      </c>
      <c r="R48" s="115">
        <v>4.9470153463450197</v>
      </c>
      <c r="S48" s="115">
        <v>0</v>
      </c>
      <c r="T48" s="115">
        <v>11.195927204449699</v>
      </c>
      <c r="U48" s="115">
        <v>5.3061839406146598</v>
      </c>
      <c r="V48" s="115">
        <v>0</v>
      </c>
      <c r="W48" s="115">
        <v>0</v>
      </c>
      <c r="X48" s="115">
        <v>0</v>
      </c>
      <c r="Y48" s="115">
        <v>0</v>
      </c>
      <c r="Z48" s="115">
        <v>0</v>
      </c>
      <c r="AA48" s="115">
        <v>0</v>
      </c>
      <c r="AB48" s="115">
        <v>0</v>
      </c>
      <c r="AC48" s="115">
        <v>0</v>
      </c>
      <c r="AD48" s="115">
        <v>0</v>
      </c>
      <c r="AE48" s="115">
        <v>-1.12848473937328</v>
      </c>
      <c r="AF48" s="115">
        <v>-3.3207122523772101E-2</v>
      </c>
      <c r="AG48" s="115">
        <v>-7.5714332936392001E-2</v>
      </c>
      <c r="AH48" s="115">
        <v>0</v>
      </c>
      <c r="AI48" s="115">
        <v>0.355876386827431</v>
      </c>
      <c r="AJ48" s="115">
        <v>0</v>
      </c>
      <c r="AK48" s="115">
        <v>0</v>
      </c>
      <c r="AL48" s="115">
        <v>0.16136526530025999</v>
      </c>
      <c r="AM48" s="115">
        <v>0</v>
      </c>
      <c r="AN48" s="115">
        <v>-16.161975874989</v>
      </c>
      <c r="AO48" s="115">
        <v>0.47146485124555998</v>
      </c>
      <c r="AP48" s="115">
        <v>0.35483406383629501</v>
      </c>
      <c r="AQ48" s="115">
        <v>0</v>
      </c>
      <c r="AR48" s="115">
        <v>0</v>
      </c>
      <c r="AS48" s="115">
        <v>0</v>
      </c>
      <c r="AT48" s="116">
        <v>-0.27292392963774997</v>
      </c>
    </row>
    <row r="49" spans="2:46" ht="12" customHeight="1" x14ac:dyDescent="0.3">
      <c r="B49" s="114" t="s">
        <v>43</v>
      </c>
      <c r="C49" s="115" t="s">
        <v>33</v>
      </c>
      <c r="D49" s="115" t="s">
        <v>44</v>
      </c>
      <c r="E49" s="115" t="s">
        <v>25</v>
      </c>
      <c r="F49" s="115" t="s">
        <v>25</v>
      </c>
      <c r="G49" s="115" t="s">
        <v>36</v>
      </c>
      <c r="H49" s="115" t="s">
        <v>79</v>
      </c>
      <c r="I49" s="115" t="s">
        <v>25</v>
      </c>
      <c r="J49" s="115">
        <v>41.7</v>
      </c>
      <c r="K49" s="115">
        <v>-8.33</v>
      </c>
      <c r="L49" s="115">
        <v>0.86787288428616205</v>
      </c>
      <c r="M49" s="115">
        <v>0</v>
      </c>
      <c r="N49" s="115">
        <v>0</v>
      </c>
      <c r="O49" s="115">
        <v>0</v>
      </c>
      <c r="P49" s="115">
        <v>0</v>
      </c>
      <c r="Q49" s="115">
        <v>27.222089272207398</v>
      </c>
      <c r="R49" s="115">
        <v>4.9470153463450197</v>
      </c>
      <c r="S49" s="115">
        <v>0</v>
      </c>
      <c r="T49" s="115">
        <v>6.7175586141397403</v>
      </c>
      <c r="U49" s="115">
        <v>3.18371239337421</v>
      </c>
      <c r="V49" s="115">
        <v>0</v>
      </c>
      <c r="W49" s="115">
        <v>0</v>
      </c>
      <c r="X49" s="115">
        <v>0</v>
      </c>
      <c r="Y49" s="115">
        <v>0</v>
      </c>
      <c r="Z49" s="115">
        <v>0</v>
      </c>
      <c r="AA49" s="115">
        <v>0</v>
      </c>
      <c r="AB49" s="115">
        <v>0</v>
      </c>
      <c r="AC49" s="115">
        <v>0</v>
      </c>
      <c r="AD49" s="115">
        <v>0</v>
      </c>
      <c r="AE49" s="115">
        <v>-1.12848473937328</v>
      </c>
      <c r="AF49" s="115">
        <v>-3.3207122523772101E-2</v>
      </c>
      <c r="AG49" s="115">
        <v>-7.5714332936392001E-2</v>
      </c>
      <c r="AH49" s="115">
        <v>0</v>
      </c>
      <c r="AI49" s="115">
        <v>0.355876386827431</v>
      </c>
      <c r="AJ49" s="115">
        <v>0</v>
      </c>
      <c r="AK49" s="115">
        <v>0</v>
      </c>
      <c r="AL49" s="115">
        <v>0.16136526530025999</v>
      </c>
      <c r="AM49" s="115">
        <v>0</v>
      </c>
      <c r="AN49" s="115">
        <v>-9.3964976017377992</v>
      </c>
      <c r="AO49" s="115">
        <v>0.47146485124555998</v>
      </c>
      <c r="AP49" s="115">
        <v>0.35483406383629501</v>
      </c>
      <c r="AQ49" s="115">
        <v>0</v>
      </c>
      <c r="AR49" s="115">
        <v>0</v>
      </c>
      <c r="AS49" s="115">
        <v>0</v>
      </c>
      <c r="AT49" s="116">
        <v>-0.27292392963774997</v>
      </c>
    </row>
    <row r="50" spans="2:46" ht="12" customHeight="1" x14ac:dyDescent="0.3">
      <c r="B50" s="114" t="s">
        <v>43</v>
      </c>
      <c r="C50" s="115" t="s">
        <v>33</v>
      </c>
      <c r="D50" s="115" t="s">
        <v>44</v>
      </c>
      <c r="E50" s="115" t="s">
        <v>25</v>
      </c>
      <c r="F50" s="115" t="s">
        <v>25</v>
      </c>
      <c r="G50" s="115" t="s">
        <v>35</v>
      </c>
      <c r="H50" s="115" t="s">
        <v>79</v>
      </c>
      <c r="I50" s="115" t="s">
        <v>25</v>
      </c>
      <c r="J50" s="115">
        <v>35.1</v>
      </c>
      <c r="K50" s="115">
        <v>-8.33</v>
      </c>
      <c r="L50" s="115">
        <v>0.86787288428616205</v>
      </c>
      <c r="M50" s="115">
        <v>0</v>
      </c>
      <c r="N50" s="115">
        <v>0</v>
      </c>
      <c r="O50" s="115">
        <v>0</v>
      </c>
      <c r="P50" s="115">
        <v>0</v>
      </c>
      <c r="Q50" s="115">
        <v>27.222089272207398</v>
      </c>
      <c r="R50" s="115">
        <v>4.9470153463450197</v>
      </c>
      <c r="S50" s="115">
        <v>0</v>
      </c>
      <c r="T50" s="115">
        <v>2.2391900238297602</v>
      </c>
      <c r="U50" s="115">
        <v>1.0612408461337599</v>
      </c>
      <c r="V50" s="115">
        <v>0</v>
      </c>
      <c r="W50" s="115">
        <v>0</v>
      </c>
      <c r="X50" s="115">
        <v>0</v>
      </c>
      <c r="Y50" s="115">
        <v>0</v>
      </c>
      <c r="Z50" s="115">
        <v>0</v>
      </c>
      <c r="AA50" s="115">
        <v>0</v>
      </c>
      <c r="AB50" s="115">
        <v>0</v>
      </c>
      <c r="AC50" s="115">
        <v>0</v>
      </c>
      <c r="AD50" s="115">
        <v>0</v>
      </c>
      <c r="AE50" s="115">
        <v>-1.12848473937328</v>
      </c>
      <c r="AF50" s="115">
        <v>-3.3207122523772101E-2</v>
      </c>
      <c r="AG50" s="115">
        <v>-7.5714332936392001E-2</v>
      </c>
      <c r="AH50" s="115">
        <v>0</v>
      </c>
      <c r="AI50" s="115">
        <v>0.355876386827431</v>
      </c>
      <c r="AJ50" s="115">
        <v>0</v>
      </c>
      <c r="AK50" s="115">
        <v>0</v>
      </c>
      <c r="AL50" s="115">
        <v>0.16136526530025999</v>
      </c>
      <c r="AM50" s="115">
        <v>0</v>
      </c>
      <c r="AN50" s="115">
        <v>-9.3964976017377992</v>
      </c>
      <c r="AO50" s="115">
        <v>0.47146485124555998</v>
      </c>
      <c r="AP50" s="115">
        <v>0.35483406383629501</v>
      </c>
      <c r="AQ50" s="115">
        <v>0</v>
      </c>
      <c r="AR50" s="115">
        <v>0</v>
      </c>
      <c r="AS50" s="115">
        <v>0</v>
      </c>
      <c r="AT50" s="116">
        <v>-0.27292392963774997</v>
      </c>
    </row>
    <row r="51" spans="2:46" ht="12" customHeight="1" x14ac:dyDescent="0.3">
      <c r="B51" s="114" t="s">
        <v>43</v>
      </c>
      <c r="C51" s="115" t="s">
        <v>33</v>
      </c>
      <c r="D51" s="115" t="s">
        <v>44</v>
      </c>
      <c r="E51" s="115" t="s">
        <v>95</v>
      </c>
      <c r="F51" s="115" t="s">
        <v>25</v>
      </c>
      <c r="G51" s="115" t="s">
        <v>34</v>
      </c>
      <c r="H51" s="115" t="s">
        <v>79</v>
      </c>
      <c r="I51" s="115" t="s">
        <v>25</v>
      </c>
      <c r="J51" s="115">
        <v>47.27</v>
      </c>
      <c r="K51" s="115">
        <v>-14.77</v>
      </c>
      <c r="L51" s="115">
        <v>0.84940750376943497</v>
      </c>
      <c r="M51" s="115">
        <v>0</v>
      </c>
      <c r="N51" s="115">
        <v>0</v>
      </c>
      <c r="O51" s="115">
        <v>0</v>
      </c>
      <c r="P51" s="115">
        <v>0</v>
      </c>
      <c r="Q51" s="115">
        <v>26.642895883436999</v>
      </c>
      <c r="R51" s="115">
        <v>4.8417597006781001</v>
      </c>
      <c r="S51" s="115">
        <v>0</v>
      </c>
      <c r="T51" s="115">
        <v>10.957715987333801</v>
      </c>
      <c r="U51" s="115">
        <v>5.1932864099632798</v>
      </c>
      <c r="V51" s="115">
        <v>0</v>
      </c>
      <c r="W51" s="115">
        <v>0</v>
      </c>
      <c r="X51" s="115">
        <v>0</v>
      </c>
      <c r="Y51" s="115">
        <v>0</v>
      </c>
      <c r="Z51" s="115">
        <v>0</v>
      </c>
      <c r="AA51" s="115">
        <v>0</v>
      </c>
      <c r="AB51" s="115">
        <v>0</v>
      </c>
      <c r="AC51" s="115">
        <v>0</v>
      </c>
      <c r="AD51" s="115">
        <v>0</v>
      </c>
      <c r="AE51" s="115">
        <v>-1.1044744257696</v>
      </c>
      <c r="AF51" s="115">
        <v>-3.2500588001989801E-2</v>
      </c>
      <c r="AG51" s="115">
        <v>-7.4103389682426302E-2</v>
      </c>
      <c r="AH51" s="115">
        <v>0</v>
      </c>
      <c r="AI51" s="115">
        <v>0.34830454880982598</v>
      </c>
      <c r="AJ51" s="115">
        <v>0</v>
      </c>
      <c r="AK51" s="115">
        <v>0</v>
      </c>
      <c r="AL51" s="115">
        <v>0.15793196178323299</v>
      </c>
      <c r="AM51" s="115">
        <v>0</v>
      </c>
      <c r="AN51" s="115">
        <v>-15.818104047861601</v>
      </c>
      <c r="AO51" s="115">
        <v>0.46143368419778202</v>
      </c>
      <c r="AP51" s="115">
        <v>0.34728440290360801</v>
      </c>
      <c r="AQ51" s="115">
        <v>0</v>
      </c>
      <c r="AR51" s="115">
        <v>0</v>
      </c>
      <c r="AS51" s="115">
        <v>0</v>
      </c>
      <c r="AT51" s="116">
        <v>-0.26711703751779797</v>
      </c>
    </row>
    <row r="52" spans="2:46" ht="12" customHeight="1" x14ac:dyDescent="0.3">
      <c r="B52" s="114" t="s">
        <v>43</v>
      </c>
      <c r="C52" s="115" t="s">
        <v>33</v>
      </c>
      <c r="D52" s="115" t="s">
        <v>44</v>
      </c>
      <c r="E52" s="115" t="s">
        <v>95</v>
      </c>
      <c r="F52" s="115" t="s">
        <v>25</v>
      </c>
      <c r="G52" s="115" t="s">
        <v>36</v>
      </c>
      <c r="H52" s="115" t="s">
        <v>79</v>
      </c>
      <c r="I52" s="115" t="s">
        <v>25</v>
      </c>
      <c r="J52" s="115">
        <v>40.81</v>
      </c>
      <c r="K52" s="115">
        <v>-8.15</v>
      </c>
      <c r="L52" s="115">
        <v>0.84940750376943497</v>
      </c>
      <c r="M52" s="115">
        <v>0</v>
      </c>
      <c r="N52" s="115">
        <v>0</v>
      </c>
      <c r="O52" s="115">
        <v>0</v>
      </c>
      <c r="P52" s="115">
        <v>0</v>
      </c>
      <c r="Q52" s="115">
        <v>26.642895883436999</v>
      </c>
      <c r="R52" s="115">
        <v>4.8417597006781001</v>
      </c>
      <c r="S52" s="115">
        <v>0</v>
      </c>
      <c r="T52" s="115">
        <v>6.5746318351154898</v>
      </c>
      <c r="U52" s="115">
        <v>3.1159738318130601</v>
      </c>
      <c r="V52" s="115">
        <v>0</v>
      </c>
      <c r="W52" s="115">
        <v>0</v>
      </c>
      <c r="X52" s="115">
        <v>0</v>
      </c>
      <c r="Y52" s="115">
        <v>0</v>
      </c>
      <c r="Z52" s="115">
        <v>0</v>
      </c>
      <c r="AA52" s="115">
        <v>0</v>
      </c>
      <c r="AB52" s="115">
        <v>0</v>
      </c>
      <c r="AC52" s="115">
        <v>0</v>
      </c>
      <c r="AD52" s="115">
        <v>0</v>
      </c>
      <c r="AE52" s="115">
        <v>-1.1044744257696</v>
      </c>
      <c r="AF52" s="115">
        <v>-3.2500588001989801E-2</v>
      </c>
      <c r="AG52" s="115">
        <v>-7.4103389682426302E-2</v>
      </c>
      <c r="AH52" s="115">
        <v>0</v>
      </c>
      <c r="AI52" s="115">
        <v>0.34830454880982598</v>
      </c>
      <c r="AJ52" s="115">
        <v>0</v>
      </c>
      <c r="AK52" s="115">
        <v>0</v>
      </c>
      <c r="AL52" s="115">
        <v>0.15793196178323299</v>
      </c>
      <c r="AM52" s="115">
        <v>0</v>
      </c>
      <c r="AN52" s="115">
        <v>-9.1965721208497708</v>
      </c>
      <c r="AO52" s="115">
        <v>0.46143368419778202</v>
      </c>
      <c r="AP52" s="115">
        <v>0.34728440290360801</v>
      </c>
      <c r="AQ52" s="115">
        <v>0</v>
      </c>
      <c r="AR52" s="115">
        <v>0</v>
      </c>
      <c r="AS52" s="115">
        <v>0</v>
      </c>
      <c r="AT52" s="116">
        <v>-0.26711703751779797</v>
      </c>
    </row>
    <row r="53" spans="2:46" ht="12" customHeight="1" x14ac:dyDescent="0.3">
      <c r="B53" s="114" t="s">
        <v>43</v>
      </c>
      <c r="C53" s="115" t="s">
        <v>33</v>
      </c>
      <c r="D53" s="115" t="s">
        <v>44</v>
      </c>
      <c r="E53" s="115" t="s">
        <v>95</v>
      </c>
      <c r="F53" s="115" t="s">
        <v>25</v>
      </c>
      <c r="G53" s="115" t="s">
        <v>35</v>
      </c>
      <c r="H53" s="115" t="s">
        <v>79</v>
      </c>
      <c r="I53" s="115" t="s">
        <v>25</v>
      </c>
      <c r="J53" s="115">
        <v>34.35</v>
      </c>
      <c r="K53" s="115">
        <v>-8.15</v>
      </c>
      <c r="L53" s="115">
        <v>0.84940750376943497</v>
      </c>
      <c r="M53" s="115">
        <v>0</v>
      </c>
      <c r="N53" s="115">
        <v>0</v>
      </c>
      <c r="O53" s="115">
        <v>0</v>
      </c>
      <c r="P53" s="115">
        <v>0</v>
      </c>
      <c r="Q53" s="115">
        <v>26.642895883436999</v>
      </c>
      <c r="R53" s="115">
        <v>4.8417597006781001</v>
      </c>
      <c r="S53" s="115">
        <v>0</v>
      </c>
      <c r="T53" s="115">
        <v>2.19154768289722</v>
      </c>
      <c r="U53" s="115">
        <v>1.0386612536628299</v>
      </c>
      <c r="V53" s="115">
        <v>0</v>
      </c>
      <c r="W53" s="115">
        <v>0</v>
      </c>
      <c r="X53" s="115">
        <v>0</v>
      </c>
      <c r="Y53" s="115">
        <v>0</v>
      </c>
      <c r="Z53" s="115">
        <v>0</v>
      </c>
      <c r="AA53" s="115">
        <v>0</v>
      </c>
      <c r="AB53" s="115">
        <v>0</v>
      </c>
      <c r="AC53" s="115">
        <v>0</v>
      </c>
      <c r="AD53" s="115">
        <v>0</v>
      </c>
      <c r="AE53" s="115">
        <v>-1.1044744257696</v>
      </c>
      <c r="AF53" s="115">
        <v>-3.2500588001989801E-2</v>
      </c>
      <c r="AG53" s="115">
        <v>-7.4103389682426302E-2</v>
      </c>
      <c r="AH53" s="115">
        <v>0</v>
      </c>
      <c r="AI53" s="115">
        <v>0.34830454880982598</v>
      </c>
      <c r="AJ53" s="115">
        <v>0</v>
      </c>
      <c r="AK53" s="115">
        <v>0</v>
      </c>
      <c r="AL53" s="115">
        <v>0.15793196178323299</v>
      </c>
      <c r="AM53" s="115">
        <v>0</v>
      </c>
      <c r="AN53" s="115">
        <v>-9.1965721208497708</v>
      </c>
      <c r="AO53" s="115">
        <v>0.46143368419778202</v>
      </c>
      <c r="AP53" s="115">
        <v>0.34728440290360801</v>
      </c>
      <c r="AQ53" s="115">
        <v>0</v>
      </c>
      <c r="AR53" s="115">
        <v>0</v>
      </c>
      <c r="AS53" s="115">
        <v>0</v>
      </c>
      <c r="AT53" s="116">
        <v>-0.26711703751779797</v>
      </c>
    </row>
    <row r="54" spans="2:46" ht="12" customHeight="1" x14ac:dyDescent="0.3">
      <c r="B54" s="114" t="s">
        <v>43</v>
      </c>
      <c r="C54" s="115" t="s">
        <v>23</v>
      </c>
      <c r="D54" s="115" t="s">
        <v>44</v>
      </c>
      <c r="E54" s="115" t="s">
        <v>94</v>
      </c>
      <c r="F54" s="115" t="s">
        <v>25</v>
      </c>
      <c r="G54" s="115" t="s">
        <v>25</v>
      </c>
      <c r="H54" s="115" t="s">
        <v>79</v>
      </c>
      <c r="I54" s="115" t="s">
        <v>25</v>
      </c>
      <c r="J54" s="115">
        <v>36.799999999999997</v>
      </c>
      <c r="K54" s="115">
        <v>-8.89</v>
      </c>
      <c r="L54" s="115">
        <v>0.86787288428616205</v>
      </c>
      <c r="M54" s="115">
        <v>0</v>
      </c>
      <c r="N54" s="115">
        <v>0</v>
      </c>
      <c r="O54" s="115">
        <v>0</v>
      </c>
      <c r="P54" s="115">
        <v>0</v>
      </c>
      <c r="Q54" s="115">
        <v>27.222089272207398</v>
      </c>
      <c r="R54" s="115">
        <v>4.9470153463450197</v>
      </c>
      <c r="S54" s="115">
        <v>0</v>
      </c>
      <c r="T54" s="115">
        <v>3.39270451908479</v>
      </c>
      <c r="U54" s="115">
        <v>1.6079360645842999</v>
      </c>
      <c r="V54" s="115">
        <v>0</v>
      </c>
      <c r="W54" s="115">
        <v>0</v>
      </c>
      <c r="X54" s="115">
        <v>0</v>
      </c>
      <c r="Y54" s="115">
        <v>0</v>
      </c>
      <c r="Z54" s="115">
        <v>0</v>
      </c>
      <c r="AA54" s="115">
        <v>0</v>
      </c>
      <c r="AB54" s="115">
        <v>0</v>
      </c>
      <c r="AC54" s="115">
        <v>0</v>
      </c>
      <c r="AD54" s="115">
        <v>0</v>
      </c>
      <c r="AE54" s="115">
        <v>-1.12848473937328</v>
      </c>
      <c r="AF54" s="115">
        <v>-3.3207122523772101E-2</v>
      </c>
      <c r="AG54" s="115">
        <v>-7.5714332936392001E-2</v>
      </c>
      <c r="AH54" s="115">
        <v>0</v>
      </c>
      <c r="AI54" s="115">
        <v>0.355876386827431</v>
      </c>
      <c r="AJ54" s="115">
        <v>0</v>
      </c>
      <c r="AK54" s="115">
        <v>0</v>
      </c>
      <c r="AL54" s="115">
        <v>0.16136526530025999</v>
      </c>
      <c r="AM54" s="115">
        <v>0</v>
      </c>
      <c r="AN54" s="115">
        <v>-9.9602874578420693</v>
      </c>
      <c r="AO54" s="115">
        <v>0.47146485124555998</v>
      </c>
      <c r="AP54" s="115">
        <v>0.35483406383629501</v>
      </c>
      <c r="AQ54" s="115">
        <v>0</v>
      </c>
      <c r="AR54" s="115">
        <v>0</v>
      </c>
      <c r="AS54" s="115">
        <v>0</v>
      </c>
      <c r="AT54" s="116">
        <v>-0.27292392963774997</v>
      </c>
    </row>
    <row r="55" spans="2:46" ht="12" customHeight="1" x14ac:dyDescent="0.3">
      <c r="B55" s="114" t="s">
        <v>43</v>
      </c>
      <c r="C55" s="115" t="s">
        <v>23</v>
      </c>
      <c r="D55" s="115" t="s">
        <v>44</v>
      </c>
      <c r="E55" s="115" t="s">
        <v>25</v>
      </c>
      <c r="F55" s="115" t="s">
        <v>25</v>
      </c>
      <c r="G55" s="115" t="s">
        <v>25</v>
      </c>
      <c r="H55" s="115" t="s">
        <v>79</v>
      </c>
      <c r="I55" s="115" t="s">
        <v>25</v>
      </c>
      <c r="J55" s="115">
        <v>36.799999999999997</v>
      </c>
      <c r="K55" s="115">
        <v>-8.89</v>
      </c>
      <c r="L55" s="115">
        <v>0.86787288428616205</v>
      </c>
      <c r="M55" s="115">
        <v>0</v>
      </c>
      <c r="N55" s="115">
        <v>0</v>
      </c>
      <c r="O55" s="115">
        <v>0</v>
      </c>
      <c r="P55" s="115">
        <v>0</v>
      </c>
      <c r="Q55" s="115">
        <v>27.222089272207398</v>
      </c>
      <c r="R55" s="115">
        <v>4.9470153463450197</v>
      </c>
      <c r="S55" s="115">
        <v>0</v>
      </c>
      <c r="T55" s="115">
        <v>3.39270451908479</v>
      </c>
      <c r="U55" s="115">
        <v>1.6079360645842999</v>
      </c>
      <c r="V55" s="115">
        <v>0</v>
      </c>
      <c r="W55" s="115">
        <v>0</v>
      </c>
      <c r="X55" s="115">
        <v>0</v>
      </c>
      <c r="Y55" s="115">
        <v>0</v>
      </c>
      <c r="Z55" s="115">
        <v>0</v>
      </c>
      <c r="AA55" s="115">
        <v>0</v>
      </c>
      <c r="AB55" s="115">
        <v>0</v>
      </c>
      <c r="AC55" s="115">
        <v>0</v>
      </c>
      <c r="AD55" s="115">
        <v>0</v>
      </c>
      <c r="AE55" s="115">
        <v>-1.12848473937328</v>
      </c>
      <c r="AF55" s="115">
        <v>-3.3207122523772101E-2</v>
      </c>
      <c r="AG55" s="115">
        <v>-7.5714332936392001E-2</v>
      </c>
      <c r="AH55" s="115">
        <v>0</v>
      </c>
      <c r="AI55" s="115">
        <v>0.355876386827431</v>
      </c>
      <c r="AJ55" s="115">
        <v>0</v>
      </c>
      <c r="AK55" s="115">
        <v>0</v>
      </c>
      <c r="AL55" s="115">
        <v>0.16136526530025999</v>
      </c>
      <c r="AM55" s="115">
        <v>0</v>
      </c>
      <c r="AN55" s="115">
        <v>-9.9602874578420693</v>
      </c>
      <c r="AO55" s="115">
        <v>0.47146485124555998</v>
      </c>
      <c r="AP55" s="115">
        <v>0.35483406383629501</v>
      </c>
      <c r="AQ55" s="115">
        <v>0</v>
      </c>
      <c r="AR55" s="115">
        <v>0</v>
      </c>
      <c r="AS55" s="115">
        <v>0</v>
      </c>
      <c r="AT55" s="116">
        <v>-0.27292392963774997</v>
      </c>
    </row>
    <row r="56" spans="2:46" ht="12" customHeight="1" x14ac:dyDescent="0.3">
      <c r="B56" s="114" t="s">
        <v>43</v>
      </c>
      <c r="C56" s="115" t="s">
        <v>23</v>
      </c>
      <c r="D56" s="115" t="s">
        <v>44</v>
      </c>
      <c r="E56" s="115" t="s">
        <v>95</v>
      </c>
      <c r="F56" s="115" t="s">
        <v>25</v>
      </c>
      <c r="G56" s="115" t="s">
        <v>25</v>
      </c>
      <c r="H56" s="115" t="s">
        <v>79</v>
      </c>
      <c r="I56" s="115" t="s">
        <v>25</v>
      </c>
      <c r="J56" s="115">
        <v>36.020000000000003</v>
      </c>
      <c r="K56" s="115">
        <v>-8.6999999999999993</v>
      </c>
      <c r="L56" s="115">
        <v>0.84940750376943497</v>
      </c>
      <c r="M56" s="115">
        <v>0</v>
      </c>
      <c r="N56" s="115">
        <v>0</v>
      </c>
      <c r="O56" s="115">
        <v>0</v>
      </c>
      <c r="P56" s="115">
        <v>0</v>
      </c>
      <c r="Q56" s="115">
        <v>26.642895883436999</v>
      </c>
      <c r="R56" s="115">
        <v>4.8417597006781001</v>
      </c>
      <c r="S56" s="115">
        <v>0</v>
      </c>
      <c r="T56" s="115">
        <v>3.3205193165510698</v>
      </c>
      <c r="U56" s="115">
        <v>1.5737246589548499</v>
      </c>
      <c r="V56" s="115">
        <v>0</v>
      </c>
      <c r="W56" s="115">
        <v>0</v>
      </c>
      <c r="X56" s="115">
        <v>0</v>
      </c>
      <c r="Y56" s="115">
        <v>0</v>
      </c>
      <c r="Z56" s="115">
        <v>0</v>
      </c>
      <c r="AA56" s="115">
        <v>0</v>
      </c>
      <c r="AB56" s="115">
        <v>0</v>
      </c>
      <c r="AC56" s="115">
        <v>0</v>
      </c>
      <c r="AD56" s="115">
        <v>0</v>
      </c>
      <c r="AE56" s="115">
        <v>-1.1044744257696</v>
      </c>
      <c r="AF56" s="115">
        <v>-3.2500588001989801E-2</v>
      </c>
      <c r="AG56" s="115">
        <v>-7.4103389682426302E-2</v>
      </c>
      <c r="AH56" s="115">
        <v>0</v>
      </c>
      <c r="AI56" s="115">
        <v>0.34830454880982598</v>
      </c>
      <c r="AJ56" s="115">
        <v>0</v>
      </c>
      <c r="AK56" s="115">
        <v>0</v>
      </c>
      <c r="AL56" s="115">
        <v>0.15793196178323299</v>
      </c>
      <c r="AM56" s="115">
        <v>0</v>
      </c>
      <c r="AN56" s="115">
        <v>-9.7483664481007501</v>
      </c>
      <c r="AO56" s="115">
        <v>0.46143368419778202</v>
      </c>
      <c r="AP56" s="115">
        <v>0.34728440290360801</v>
      </c>
      <c r="AQ56" s="115">
        <v>0</v>
      </c>
      <c r="AR56" s="115">
        <v>0</v>
      </c>
      <c r="AS56" s="115">
        <v>0</v>
      </c>
      <c r="AT56" s="116">
        <v>-0.26711703751779797</v>
      </c>
    </row>
    <row r="57" spans="2:46" ht="12" customHeight="1" x14ac:dyDescent="0.3">
      <c r="B57" s="114" t="s">
        <v>43</v>
      </c>
      <c r="C57" s="115" t="s">
        <v>93</v>
      </c>
      <c r="D57" s="115" t="s">
        <v>44</v>
      </c>
      <c r="E57" s="115" t="s">
        <v>94</v>
      </c>
      <c r="F57" s="115" t="s">
        <v>25</v>
      </c>
      <c r="G57" s="115" t="s">
        <v>25</v>
      </c>
      <c r="H57" s="115" t="s">
        <v>79</v>
      </c>
      <c r="I57" s="115" t="s">
        <v>25</v>
      </c>
      <c r="J57" s="115">
        <v>36.799999999999997</v>
      </c>
      <c r="K57" s="115">
        <v>-8.89</v>
      </c>
      <c r="L57" s="115">
        <v>0.86787288428616205</v>
      </c>
      <c r="M57" s="115">
        <v>0</v>
      </c>
      <c r="N57" s="115">
        <v>0</v>
      </c>
      <c r="O57" s="115">
        <v>0</v>
      </c>
      <c r="P57" s="115">
        <v>0</v>
      </c>
      <c r="Q57" s="115">
        <v>27.222089272207398</v>
      </c>
      <c r="R57" s="115">
        <v>4.9470153463450197</v>
      </c>
      <c r="S57" s="115">
        <v>0</v>
      </c>
      <c r="T57" s="115">
        <v>3.39270451908479</v>
      </c>
      <c r="U57" s="115">
        <v>1.6079360645842999</v>
      </c>
      <c r="V57" s="115">
        <v>0</v>
      </c>
      <c r="W57" s="115">
        <v>0</v>
      </c>
      <c r="X57" s="115">
        <v>0</v>
      </c>
      <c r="Y57" s="115">
        <v>0</v>
      </c>
      <c r="Z57" s="115">
        <v>0</v>
      </c>
      <c r="AA57" s="115">
        <v>0</v>
      </c>
      <c r="AB57" s="115">
        <v>0</v>
      </c>
      <c r="AC57" s="115">
        <v>0</v>
      </c>
      <c r="AD57" s="115">
        <v>0</v>
      </c>
      <c r="AE57" s="115">
        <v>-1.12848473937328</v>
      </c>
      <c r="AF57" s="115">
        <v>-3.3207122523772101E-2</v>
      </c>
      <c r="AG57" s="115">
        <v>-7.5714332936392001E-2</v>
      </c>
      <c r="AH57" s="115">
        <v>0</v>
      </c>
      <c r="AI57" s="115">
        <v>0.355876386827431</v>
      </c>
      <c r="AJ57" s="115">
        <v>0</v>
      </c>
      <c r="AK57" s="115">
        <v>0</v>
      </c>
      <c r="AL57" s="115">
        <v>0.16136526530025999</v>
      </c>
      <c r="AM57" s="115">
        <v>0</v>
      </c>
      <c r="AN57" s="115">
        <v>-9.9602874578420693</v>
      </c>
      <c r="AO57" s="115">
        <v>0.47146485124555998</v>
      </c>
      <c r="AP57" s="115">
        <v>0.35483406383629501</v>
      </c>
      <c r="AQ57" s="115">
        <v>0</v>
      </c>
      <c r="AR57" s="115">
        <v>0</v>
      </c>
      <c r="AS57" s="115">
        <v>0</v>
      </c>
      <c r="AT57" s="116">
        <v>-0.27292392963774997</v>
      </c>
    </row>
    <row r="58" spans="2:46" ht="12" customHeight="1" x14ac:dyDescent="0.3">
      <c r="B58" s="114" t="s">
        <v>43</v>
      </c>
      <c r="C58" s="115" t="s">
        <v>93</v>
      </c>
      <c r="D58" s="115" t="s">
        <v>44</v>
      </c>
      <c r="E58" s="115" t="s">
        <v>25</v>
      </c>
      <c r="F58" s="115" t="s">
        <v>25</v>
      </c>
      <c r="G58" s="115" t="s">
        <v>25</v>
      </c>
      <c r="H58" s="115" t="s">
        <v>79</v>
      </c>
      <c r="I58" s="115" t="s">
        <v>25</v>
      </c>
      <c r="J58" s="115">
        <v>36.799999999999997</v>
      </c>
      <c r="K58" s="115">
        <v>-8.89</v>
      </c>
      <c r="L58" s="115">
        <v>0.86787288428616205</v>
      </c>
      <c r="M58" s="115">
        <v>0</v>
      </c>
      <c r="N58" s="115">
        <v>0</v>
      </c>
      <c r="O58" s="115">
        <v>0</v>
      </c>
      <c r="P58" s="115">
        <v>0</v>
      </c>
      <c r="Q58" s="115">
        <v>27.222089272207398</v>
      </c>
      <c r="R58" s="115">
        <v>4.9470153463450197</v>
      </c>
      <c r="S58" s="115">
        <v>0</v>
      </c>
      <c r="T58" s="115">
        <v>3.39270451908479</v>
      </c>
      <c r="U58" s="115">
        <v>1.6079360645842999</v>
      </c>
      <c r="V58" s="115">
        <v>0</v>
      </c>
      <c r="W58" s="115">
        <v>0</v>
      </c>
      <c r="X58" s="115">
        <v>0</v>
      </c>
      <c r="Y58" s="115">
        <v>0</v>
      </c>
      <c r="Z58" s="115">
        <v>0</v>
      </c>
      <c r="AA58" s="115">
        <v>0</v>
      </c>
      <c r="AB58" s="115">
        <v>0</v>
      </c>
      <c r="AC58" s="115">
        <v>0</v>
      </c>
      <c r="AD58" s="115">
        <v>0</v>
      </c>
      <c r="AE58" s="115">
        <v>-1.12848473937328</v>
      </c>
      <c r="AF58" s="115">
        <v>-3.3207122523772101E-2</v>
      </c>
      <c r="AG58" s="115">
        <v>-7.5714332936392001E-2</v>
      </c>
      <c r="AH58" s="115">
        <v>0</v>
      </c>
      <c r="AI58" s="115">
        <v>0.355876386827431</v>
      </c>
      <c r="AJ58" s="115">
        <v>0</v>
      </c>
      <c r="AK58" s="115">
        <v>0</v>
      </c>
      <c r="AL58" s="115">
        <v>0.16136526530025999</v>
      </c>
      <c r="AM58" s="115">
        <v>0</v>
      </c>
      <c r="AN58" s="115">
        <v>-9.9602874578420693</v>
      </c>
      <c r="AO58" s="115">
        <v>0.47146485124555998</v>
      </c>
      <c r="AP58" s="115">
        <v>0.35483406383629501</v>
      </c>
      <c r="AQ58" s="115">
        <v>0</v>
      </c>
      <c r="AR58" s="115">
        <v>0</v>
      </c>
      <c r="AS58" s="115">
        <v>0</v>
      </c>
      <c r="AT58" s="116">
        <v>-0.27292392963774997</v>
      </c>
    </row>
    <row r="59" spans="2:46" ht="12" customHeight="1" x14ac:dyDescent="0.3">
      <c r="B59" s="114" t="s">
        <v>43</v>
      </c>
      <c r="C59" s="115" t="s">
        <v>93</v>
      </c>
      <c r="D59" s="115" t="s">
        <v>44</v>
      </c>
      <c r="E59" s="115" t="s">
        <v>95</v>
      </c>
      <c r="F59" s="115" t="s">
        <v>25</v>
      </c>
      <c r="G59" s="115" t="s">
        <v>25</v>
      </c>
      <c r="H59" s="115" t="s">
        <v>79</v>
      </c>
      <c r="I59" s="115" t="s">
        <v>25</v>
      </c>
      <c r="J59" s="115">
        <v>36.020000000000003</v>
      </c>
      <c r="K59" s="115">
        <v>-8.6999999999999993</v>
      </c>
      <c r="L59" s="115">
        <v>0.84940750376943497</v>
      </c>
      <c r="M59" s="115">
        <v>0</v>
      </c>
      <c r="N59" s="115">
        <v>0</v>
      </c>
      <c r="O59" s="115">
        <v>0</v>
      </c>
      <c r="P59" s="115">
        <v>0</v>
      </c>
      <c r="Q59" s="115">
        <v>26.642895883436999</v>
      </c>
      <c r="R59" s="115">
        <v>4.8417597006781001</v>
      </c>
      <c r="S59" s="115">
        <v>0</v>
      </c>
      <c r="T59" s="115">
        <v>3.3205193165510698</v>
      </c>
      <c r="U59" s="115">
        <v>1.5737246589548499</v>
      </c>
      <c r="V59" s="115">
        <v>0</v>
      </c>
      <c r="W59" s="115">
        <v>0</v>
      </c>
      <c r="X59" s="115">
        <v>0</v>
      </c>
      <c r="Y59" s="115">
        <v>0</v>
      </c>
      <c r="Z59" s="115">
        <v>0</v>
      </c>
      <c r="AA59" s="115">
        <v>0</v>
      </c>
      <c r="AB59" s="115">
        <v>0</v>
      </c>
      <c r="AC59" s="115">
        <v>0</v>
      </c>
      <c r="AD59" s="115">
        <v>0</v>
      </c>
      <c r="AE59" s="115">
        <v>-1.1044744257696</v>
      </c>
      <c r="AF59" s="115">
        <v>-3.2500588001989801E-2</v>
      </c>
      <c r="AG59" s="115">
        <v>-7.4103389682426302E-2</v>
      </c>
      <c r="AH59" s="115">
        <v>0</v>
      </c>
      <c r="AI59" s="115">
        <v>0.34830454880982598</v>
      </c>
      <c r="AJ59" s="115">
        <v>0</v>
      </c>
      <c r="AK59" s="115">
        <v>0</v>
      </c>
      <c r="AL59" s="115">
        <v>0.15793196178323299</v>
      </c>
      <c r="AM59" s="115">
        <v>0</v>
      </c>
      <c r="AN59" s="115">
        <v>-9.7483664481007501</v>
      </c>
      <c r="AO59" s="115">
        <v>0.46143368419778202</v>
      </c>
      <c r="AP59" s="115">
        <v>0.34728440290360801</v>
      </c>
      <c r="AQ59" s="115">
        <v>0</v>
      </c>
      <c r="AR59" s="115">
        <v>0</v>
      </c>
      <c r="AS59" s="115">
        <v>0</v>
      </c>
      <c r="AT59" s="116">
        <v>-0.26711703751779797</v>
      </c>
    </row>
    <row r="60" spans="2:46" ht="12" customHeight="1" x14ac:dyDescent="0.3">
      <c r="B60" s="114" t="s">
        <v>37</v>
      </c>
      <c r="C60" s="115" t="s">
        <v>33</v>
      </c>
      <c r="D60" s="115" t="s">
        <v>25</v>
      </c>
      <c r="E60" s="115" t="s">
        <v>25</v>
      </c>
      <c r="F60" s="115" t="s">
        <v>25</v>
      </c>
      <c r="G60" s="115" t="s">
        <v>34</v>
      </c>
      <c r="H60" s="115" t="s">
        <v>79</v>
      </c>
      <c r="I60" s="115" t="s">
        <v>25</v>
      </c>
      <c r="J60" s="115">
        <v>52.18</v>
      </c>
      <c r="K60" s="115">
        <v>-16.05</v>
      </c>
      <c r="L60" s="115">
        <v>0.92326902583634196</v>
      </c>
      <c r="M60" s="115">
        <v>0</v>
      </c>
      <c r="N60" s="115">
        <v>0</v>
      </c>
      <c r="O60" s="115">
        <v>0</v>
      </c>
      <c r="P60" s="115">
        <v>0</v>
      </c>
      <c r="Q60" s="115">
        <v>28.9596694385185</v>
      </c>
      <c r="R60" s="115">
        <v>5.2627822833457598</v>
      </c>
      <c r="S60" s="115">
        <v>0</v>
      </c>
      <c r="T60" s="115">
        <v>12.4519571880023</v>
      </c>
      <c r="U60" s="115">
        <v>5.9014593766441896</v>
      </c>
      <c r="V60" s="115">
        <v>0</v>
      </c>
      <c r="W60" s="115">
        <v>0</v>
      </c>
      <c r="X60" s="115">
        <v>0</v>
      </c>
      <c r="Y60" s="115">
        <v>0</v>
      </c>
      <c r="Z60" s="115">
        <v>0</v>
      </c>
      <c r="AA60" s="115">
        <v>0</v>
      </c>
      <c r="AB60" s="115">
        <v>0</v>
      </c>
      <c r="AC60" s="115">
        <v>0</v>
      </c>
      <c r="AD60" s="115">
        <v>0</v>
      </c>
      <c r="AE60" s="115">
        <v>-1.20051568018434</v>
      </c>
      <c r="AF60" s="115">
        <v>-3.5326726089119298E-2</v>
      </c>
      <c r="AG60" s="115">
        <v>-8.0547162698289404E-2</v>
      </c>
      <c r="AH60" s="115">
        <v>0</v>
      </c>
      <c r="AI60" s="115">
        <v>0.37859190088024602</v>
      </c>
      <c r="AJ60" s="115">
        <v>0</v>
      </c>
      <c r="AK60" s="115">
        <v>0</v>
      </c>
      <c r="AL60" s="115">
        <v>0.171665175851341</v>
      </c>
      <c r="AM60" s="115">
        <v>0</v>
      </c>
      <c r="AN60" s="115">
        <v>-17.1935913563713</v>
      </c>
      <c r="AO60" s="115">
        <v>0.50155835238889401</v>
      </c>
      <c r="AP60" s="115">
        <v>0.377483046634356</v>
      </c>
      <c r="AQ60" s="115">
        <v>0</v>
      </c>
      <c r="AR60" s="115">
        <v>0</v>
      </c>
      <c r="AS60" s="115">
        <v>0</v>
      </c>
      <c r="AT60" s="116">
        <v>-0.29034460599760598</v>
      </c>
    </row>
    <row r="61" spans="2:46" ht="12" customHeight="1" x14ac:dyDescent="0.3">
      <c r="B61" s="114" t="s">
        <v>37</v>
      </c>
      <c r="C61" s="115" t="s">
        <v>33</v>
      </c>
      <c r="D61" s="115" t="s">
        <v>25</v>
      </c>
      <c r="E61" s="115" t="s">
        <v>25</v>
      </c>
      <c r="F61" s="115" t="s">
        <v>25</v>
      </c>
      <c r="G61" s="115" t="s">
        <v>36</v>
      </c>
      <c r="H61" s="115" t="s">
        <v>79</v>
      </c>
      <c r="I61" s="115" t="s">
        <v>25</v>
      </c>
      <c r="J61" s="115">
        <v>44.84</v>
      </c>
      <c r="K61" s="115">
        <v>-8.86</v>
      </c>
      <c r="L61" s="115">
        <v>0.92326902583634196</v>
      </c>
      <c r="M61" s="115">
        <v>0</v>
      </c>
      <c r="N61" s="115">
        <v>0</v>
      </c>
      <c r="O61" s="115">
        <v>0</v>
      </c>
      <c r="P61" s="115">
        <v>0</v>
      </c>
      <c r="Q61" s="115">
        <v>28.9596694385185</v>
      </c>
      <c r="R61" s="115">
        <v>5.2627822833457598</v>
      </c>
      <c r="S61" s="115">
        <v>0</v>
      </c>
      <c r="T61" s="115">
        <v>7.47116699959955</v>
      </c>
      <c r="U61" s="115">
        <v>3.5408734674701199</v>
      </c>
      <c r="V61" s="115">
        <v>0</v>
      </c>
      <c r="W61" s="115">
        <v>0</v>
      </c>
      <c r="X61" s="115">
        <v>0</v>
      </c>
      <c r="Y61" s="115">
        <v>0</v>
      </c>
      <c r="Z61" s="115">
        <v>0</v>
      </c>
      <c r="AA61" s="115">
        <v>0</v>
      </c>
      <c r="AB61" s="115">
        <v>0</v>
      </c>
      <c r="AC61" s="115">
        <v>0</v>
      </c>
      <c r="AD61" s="115">
        <v>0</v>
      </c>
      <c r="AE61" s="115">
        <v>-1.20051568018434</v>
      </c>
      <c r="AF61" s="115">
        <v>-3.5326726089119298E-2</v>
      </c>
      <c r="AG61" s="115">
        <v>-8.0547162698289404E-2</v>
      </c>
      <c r="AH61" s="115">
        <v>0</v>
      </c>
      <c r="AI61" s="115">
        <v>0.37859190088024602</v>
      </c>
      <c r="AJ61" s="115">
        <v>0</v>
      </c>
      <c r="AK61" s="115">
        <v>0</v>
      </c>
      <c r="AL61" s="115">
        <v>0.171665175851341</v>
      </c>
      <c r="AM61" s="115">
        <v>0</v>
      </c>
      <c r="AN61" s="115">
        <v>-9.99627404440192</v>
      </c>
      <c r="AO61" s="115">
        <v>0.50155835238889401</v>
      </c>
      <c r="AP61" s="115">
        <v>0.377483046634356</v>
      </c>
      <c r="AQ61" s="115">
        <v>0</v>
      </c>
      <c r="AR61" s="115">
        <v>0</v>
      </c>
      <c r="AS61" s="115">
        <v>0</v>
      </c>
      <c r="AT61" s="116">
        <v>-0.29034460599760598</v>
      </c>
    </row>
    <row r="62" spans="2:46" ht="12" customHeight="1" x14ac:dyDescent="0.3">
      <c r="B62" s="114" t="s">
        <v>37</v>
      </c>
      <c r="C62" s="115" t="s">
        <v>33</v>
      </c>
      <c r="D62" s="115" t="s">
        <v>25</v>
      </c>
      <c r="E62" s="115" t="s">
        <v>25</v>
      </c>
      <c r="F62" s="115" t="s">
        <v>25</v>
      </c>
      <c r="G62" s="115" t="s">
        <v>35</v>
      </c>
      <c r="H62" s="115" t="s">
        <v>79</v>
      </c>
      <c r="I62" s="115" t="s">
        <v>25</v>
      </c>
      <c r="J62" s="115">
        <v>37.5</v>
      </c>
      <c r="K62" s="115">
        <v>-8.86</v>
      </c>
      <c r="L62" s="115">
        <v>0.92326902583634196</v>
      </c>
      <c r="M62" s="115">
        <v>0</v>
      </c>
      <c r="N62" s="115">
        <v>0</v>
      </c>
      <c r="O62" s="115">
        <v>0</v>
      </c>
      <c r="P62" s="115">
        <v>0</v>
      </c>
      <c r="Q62" s="115">
        <v>28.9596694385185</v>
      </c>
      <c r="R62" s="115">
        <v>5.2627822833457598</v>
      </c>
      <c r="S62" s="115">
        <v>0</v>
      </c>
      <c r="T62" s="115">
        <v>2.4903889998665099</v>
      </c>
      <c r="U62" s="115">
        <v>1.1802875582960399</v>
      </c>
      <c r="V62" s="115">
        <v>0</v>
      </c>
      <c r="W62" s="115">
        <v>0</v>
      </c>
      <c r="X62" s="115">
        <v>0</v>
      </c>
      <c r="Y62" s="115">
        <v>0</v>
      </c>
      <c r="Z62" s="115">
        <v>0</v>
      </c>
      <c r="AA62" s="115">
        <v>0</v>
      </c>
      <c r="AB62" s="115">
        <v>0</v>
      </c>
      <c r="AC62" s="115">
        <v>0</v>
      </c>
      <c r="AD62" s="115">
        <v>0</v>
      </c>
      <c r="AE62" s="115">
        <v>-1.20051568018434</v>
      </c>
      <c r="AF62" s="115">
        <v>-3.5326726089119298E-2</v>
      </c>
      <c r="AG62" s="115">
        <v>-8.0547162698289404E-2</v>
      </c>
      <c r="AH62" s="115">
        <v>0</v>
      </c>
      <c r="AI62" s="115">
        <v>0.37859190088024602</v>
      </c>
      <c r="AJ62" s="115">
        <v>0</v>
      </c>
      <c r="AK62" s="115">
        <v>0</v>
      </c>
      <c r="AL62" s="115">
        <v>0.171665175851341</v>
      </c>
      <c r="AM62" s="115">
        <v>0</v>
      </c>
      <c r="AN62" s="115">
        <v>-9.99627404440192</v>
      </c>
      <c r="AO62" s="115">
        <v>0.50155835238889401</v>
      </c>
      <c r="AP62" s="115">
        <v>0.377483046634356</v>
      </c>
      <c r="AQ62" s="115">
        <v>0</v>
      </c>
      <c r="AR62" s="115">
        <v>0</v>
      </c>
      <c r="AS62" s="115">
        <v>0</v>
      </c>
      <c r="AT62" s="116">
        <v>-0.29034460599760598</v>
      </c>
    </row>
    <row r="63" spans="2:46" ht="12" customHeight="1" x14ac:dyDescent="0.3">
      <c r="B63" s="114" t="s">
        <v>37</v>
      </c>
      <c r="C63" s="115" t="s">
        <v>23</v>
      </c>
      <c r="D63" s="115" t="s">
        <v>25</v>
      </c>
      <c r="E63" s="115" t="s">
        <v>25</v>
      </c>
      <c r="F63" s="115" t="s">
        <v>25</v>
      </c>
      <c r="G63" s="115" t="s">
        <v>25</v>
      </c>
      <c r="H63" s="115" t="s">
        <v>79</v>
      </c>
      <c r="I63" s="115" t="s">
        <v>25</v>
      </c>
      <c r="J63" s="115">
        <v>39.15</v>
      </c>
      <c r="K63" s="115">
        <v>-9.4600000000000009</v>
      </c>
      <c r="L63" s="115">
        <v>0.92326902583634196</v>
      </c>
      <c r="M63" s="115">
        <v>0</v>
      </c>
      <c r="N63" s="115">
        <v>0</v>
      </c>
      <c r="O63" s="115">
        <v>0</v>
      </c>
      <c r="P63" s="115">
        <v>0</v>
      </c>
      <c r="Q63" s="115">
        <v>28.9596694385185</v>
      </c>
      <c r="R63" s="115">
        <v>5.2627822833457598</v>
      </c>
      <c r="S63" s="115">
        <v>0</v>
      </c>
      <c r="T63" s="115">
        <v>3.6092601266859501</v>
      </c>
      <c r="U63" s="115">
        <v>1.71057028147266</v>
      </c>
      <c r="V63" s="115">
        <v>0</v>
      </c>
      <c r="W63" s="115">
        <v>0</v>
      </c>
      <c r="X63" s="115">
        <v>0</v>
      </c>
      <c r="Y63" s="115">
        <v>0</v>
      </c>
      <c r="Z63" s="115">
        <v>0</v>
      </c>
      <c r="AA63" s="115">
        <v>0</v>
      </c>
      <c r="AB63" s="115">
        <v>0</v>
      </c>
      <c r="AC63" s="115">
        <v>0</v>
      </c>
      <c r="AD63" s="115">
        <v>0</v>
      </c>
      <c r="AE63" s="115">
        <v>-1.20051568018434</v>
      </c>
      <c r="AF63" s="115">
        <v>-3.5326726089119298E-2</v>
      </c>
      <c r="AG63" s="115">
        <v>-8.0547162698289404E-2</v>
      </c>
      <c r="AH63" s="115">
        <v>0</v>
      </c>
      <c r="AI63" s="115">
        <v>0.37859190088024602</v>
      </c>
      <c r="AJ63" s="115">
        <v>0</v>
      </c>
      <c r="AK63" s="115">
        <v>0</v>
      </c>
      <c r="AL63" s="115">
        <v>0.171665175851341</v>
      </c>
      <c r="AM63" s="115">
        <v>0</v>
      </c>
      <c r="AN63" s="115">
        <v>-10.596050487066</v>
      </c>
      <c r="AO63" s="115">
        <v>0.50155835238889401</v>
      </c>
      <c r="AP63" s="115">
        <v>0.377483046634356</v>
      </c>
      <c r="AQ63" s="115">
        <v>0</v>
      </c>
      <c r="AR63" s="115">
        <v>0</v>
      </c>
      <c r="AS63" s="115">
        <v>0</v>
      </c>
      <c r="AT63" s="116">
        <v>-0.29034460599760598</v>
      </c>
    </row>
    <row r="64" spans="2:46" ht="12" customHeight="1" x14ac:dyDescent="0.3">
      <c r="B64" s="114" t="s">
        <v>37</v>
      </c>
      <c r="C64" s="115" t="s">
        <v>93</v>
      </c>
      <c r="D64" s="115" t="s">
        <v>25</v>
      </c>
      <c r="E64" s="115" t="s">
        <v>25</v>
      </c>
      <c r="F64" s="115" t="s">
        <v>25</v>
      </c>
      <c r="G64" s="115" t="s">
        <v>25</v>
      </c>
      <c r="H64" s="115" t="s">
        <v>79</v>
      </c>
      <c r="I64" s="115" t="s">
        <v>25</v>
      </c>
      <c r="J64" s="115">
        <v>39.15</v>
      </c>
      <c r="K64" s="115">
        <v>-9.4600000000000009</v>
      </c>
      <c r="L64" s="115">
        <v>0.92326902583634196</v>
      </c>
      <c r="M64" s="115">
        <v>0</v>
      </c>
      <c r="N64" s="115">
        <v>0</v>
      </c>
      <c r="O64" s="115">
        <v>0</v>
      </c>
      <c r="P64" s="115">
        <v>0</v>
      </c>
      <c r="Q64" s="115">
        <v>28.9596694385185</v>
      </c>
      <c r="R64" s="115">
        <v>5.2627822833457598</v>
      </c>
      <c r="S64" s="115">
        <v>0</v>
      </c>
      <c r="T64" s="115">
        <v>3.6092601266859501</v>
      </c>
      <c r="U64" s="115">
        <v>1.71057028147266</v>
      </c>
      <c r="V64" s="115">
        <v>0</v>
      </c>
      <c r="W64" s="115">
        <v>0</v>
      </c>
      <c r="X64" s="115">
        <v>0</v>
      </c>
      <c r="Y64" s="115">
        <v>0</v>
      </c>
      <c r="Z64" s="115">
        <v>0</v>
      </c>
      <c r="AA64" s="115">
        <v>0</v>
      </c>
      <c r="AB64" s="115">
        <v>0</v>
      </c>
      <c r="AC64" s="115">
        <v>0</v>
      </c>
      <c r="AD64" s="115">
        <v>0</v>
      </c>
      <c r="AE64" s="115">
        <v>-1.20051568018434</v>
      </c>
      <c r="AF64" s="115">
        <v>-3.5326726089119298E-2</v>
      </c>
      <c r="AG64" s="115">
        <v>-8.0547162698289404E-2</v>
      </c>
      <c r="AH64" s="115">
        <v>0</v>
      </c>
      <c r="AI64" s="115">
        <v>0.37859190088024602</v>
      </c>
      <c r="AJ64" s="115">
        <v>0</v>
      </c>
      <c r="AK64" s="115">
        <v>0</v>
      </c>
      <c r="AL64" s="115">
        <v>0.171665175851341</v>
      </c>
      <c r="AM64" s="115">
        <v>0</v>
      </c>
      <c r="AN64" s="115">
        <v>-10.596050487066</v>
      </c>
      <c r="AO64" s="115">
        <v>0.50155835238889401</v>
      </c>
      <c r="AP64" s="115">
        <v>0.377483046634356</v>
      </c>
      <c r="AQ64" s="115">
        <v>0</v>
      </c>
      <c r="AR64" s="115">
        <v>0</v>
      </c>
      <c r="AS64" s="115">
        <v>0</v>
      </c>
      <c r="AT64" s="116">
        <v>-0.29034460599760598</v>
      </c>
    </row>
    <row r="65" spans="2:46" ht="12" customHeight="1" x14ac:dyDescent="0.3">
      <c r="B65" s="114" t="s">
        <v>47</v>
      </c>
      <c r="C65" s="115" t="s">
        <v>23</v>
      </c>
      <c r="D65" s="115" t="s">
        <v>48</v>
      </c>
      <c r="E65" s="115" t="s">
        <v>49</v>
      </c>
      <c r="F65" s="115" t="s">
        <v>25</v>
      </c>
      <c r="G65" s="115" t="s">
        <v>25</v>
      </c>
      <c r="H65" s="115" t="s">
        <v>79</v>
      </c>
      <c r="I65" s="115" t="s">
        <v>25</v>
      </c>
      <c r="J65" s="115">
        <v>21.53</v>
      </c>
      <c r="K65" s="115">
        <v>-5.2</v>
      </c>
      <c r="L65" s="115">
        <v>0.50779796420998802</v>
      </c>
      <c r="M65" s="115">
        <v>0</v>
      </c>
      <c r="N65" s="115">
        <v>0</v>
      </c>
      <c r="O65" s="115">
        <v>0</v>
      </c>
      <c r="P65" s="115">
        <v>0</v>
      </c>
      <c r="Q65" s="115">
        <v>15.927818191185199</v>
      </c>
      <c r="R65" s="115">
        <v>2.89453025584017</v>
      </c>
      <c r="S65" s="115">
        <v>0</v>
      </c>
      <c r="T65" s="115">
        <v>1.98509306967727</v>
      </c>
      <c r="U65" s="115">
        <v>0.94081365480996304</v>
      </c>
      <c r="V65" s="115">
        <v>0</v>
      </c>
      <c r="W65" s="115">
        <v>0</v>
      </c>
      <c r="X65" s="115">
        <v>0</v>
      </c>
      <c r="Y65" s="115">
        <v>0</v>
      </c>
      <c r="Z65" s="115">
        <v>0</v>
      </c>
      <c r="AA65" s="115">
        <v>0</v>
      </c>
      <c r="AB65" s="115">
        <v>0</v>
      </c>
      <c r="AC65" s="115">
        <v>0</v>
      </c>
      <c r="AD65" s="115">
        <v>0</v>
      </c>
      <c r="AE65" s="115">
        <v>-0.66028362410138897</v>
      </c>
      <c r="AF65" s="115">
        <v>-1.9429699349015599E-2</v>
      </c>
      <c r="AG65" s="115">
        <v>-4.43009394840592E-2</v>
      </c>
      <c r="AH65" s="115">
        <v>0</v>
      </c>
      <c r="AI65" s="115">
        <v>0.20822554548413499</v>
      </c>
      <c r="AJ65" s="115">
        <v>0</v>
      </c>
      <c r="AK65" s="115">
        <v>0</v>
      </c>
      <c r="AL65" s="115">
        <v>9.4415846718237301E-2</v>
      </c>
      <c r="AM65" s="115">
        <v>0</v>
      </c>
      <c r="AN65" s="115">
        <v>-5.82782776788632</v>
      </c>
      <c r="AO65" s="115">
        <v>0.27585709381389201</v>
      </c>
      <c r="AP65" s="115">
        <v>0.20761567564889599</v>
      </c>
      <c r="AQ65" s="115">
        <v>0</v>
      </c>
      <c r="AR65" s="115">
        <v>0</v>
      </c>
      <c r="AS65" s="115">
        <v>0</v>
      </c>
      <c r="AT65" s="116">
        <v>-0.15968953329868299</v>
      </c>
    </row>
    <row r="66" spans="2:46" ht="12" customHeight="1" x14ac:dyDescent="0.3">
      <c r="B66" s="117" t="s">
        <v>47</v>
      </c>
      <c r="C66" s="118" t="s">
        <v>23</v>
      </c>
      <c r="D66" s="118" t="s">
        <v>48</v>
      </c>
      <c r="E66" s="118" t="s">
        <v>96</v>
      </c>
      <c r="F66" s="118" t="s">
        <v>25</v>
      </c>
      <c r="G66" s="118" t="s">
        <v>25</v>
      </c>
      <c r="H66" s="118" t="s">
        <v>79</v>
      </c>
      <c r="I66" s="118" t="s">
        <v>25</v>
      </c>
      <c r="J66" s="118">
        <v>23.49</v>
      </c>
      <c r="K66" s="118">
        <v>-5.67</v>
      </c>
      <c r="L66" s="118">
        <v>0.553961415501805</v>
      </c>
      <c r="M66" s="118">
        <v>0</v>
      </c>
      <c r="N66" s="118">
        <v>0</v>
      </c>
      <c r="O66" s="118">
        <v>0</v>
      </c>
      <c r="P66" s="118">
        <v>0</v>
      </c>
      <c r="Q66" s="118">
        <v>17.375801663111101</v>
      </c>
      <c r="R66" s="118">
        <v>3.1576693700074601</v>
      </c>
      <c r="S66" s="118">
        <v>0</v>
      </c>
      <c r="T66" s="118">
        <v>2.16555607601157</v>
      </c>
      <c r="U66" s="118">
        <v>1.0263421688836001</v>
      </c>
      <c r="V66" s="118">
        <v>0</v>
      </c>
      <c r="W66" s="118">
        <v>0</v>
      </c>
      <c r="X66" s="118">
        <v>0</v>
      </c>
      <c r="Y66" s="118">
        <v>0</v>
      </c>
      <c r="Z66" s="118">
        <v>0</v>
      </c>
      <c r="AA66" s="118">
        <v>0</v>
      </c>
      <c r="AB66" s="118">
        <v>0</v>
      </c>
      <c r="AC66" s="118">
        <v>0</v>
      </c>
      <c r="AD66" s="118">
        <v>0</v>
      </c>
      <c r="AE66" s="118">
        <v>-0.72030940811060695</v>
      </c>
      <c r="AF66" s="118">
        <v>-2.1196035653471602E-2</v>
      </c>
      <c r="AG66" s="118">
        <v>-4.8328297618973601E-2</v>
      </c>
      <c r="AH66" s="118">
        <v>0</v>
      </c>
      <c r="AI66" s="118">
        <v>0.227155140528147</v>
      </c>
      <c r="AJ66" s="118">
        <v>0</v>
      </c>
      <c r="AK66" s="118">
        <v>0</v>
      </c>
      <c r="AL66" s="118">
        <v>0.102999105510804</v>
      </c>
      <c r="AM66" s="118">
        <v>0</v>
      </c>
      <c r="AN66" s="118">
        <v>-6.3576302922396204</v>
      </c>
      <c r="AO66" s="118">
        <v>0.30093501143333601</v>
      </c>
      <c r="AP66" s="118">
        <v>0.22648982798061401</v>
      </c>
      <c r="AQ66" s="118">
        <v>0</v>
      </c>
      <c r="AR66" s="118">
        <v>0</v>
      </c>
      <c r="AS66" s="118">
        <v>0</v>
      </c>
      <c r="AT66" s="119">
        <v>-0.17420676359856399</v>
      </c>
    </row>
  </sheetData>
  <mergeCells count="8">
    <mergeCell ref="L1:AH1"/>
    <mergeCell ref="AI1:AT1"/>
    <mergeCell ref="L2:S2"/>
    <mergeCell ref="T2:Z2"/>
    <mergeCell ref="AB2:AD2"/>
    <mergeCell ref="AE2:AH2"/>
    <mergeCell ref="AI2:AM2"/>
    <mergeCell ref="AO2:AS2"/>
  </mergeCells>
  <phoneticPr fontId="1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35</vt:i4>
      </vt:variant>
    </vt:vector>
  </HeadingPairs>
  <TitlesOfParts>
    <vt:vector size="35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TUSD BF_350</vt:lpstr>
      <vt:lpstr>TE BF_350</vt:lpstr>
      <vt:lpstr>TabDinEfeito_350</vt:lpstr>
      <vt:lpstr>EFEITO_350</vt:lpstr>
      <vt:lpstr>TarifaMedia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2022-10-18T13:26:29Z</dcterms:created>
  <dcterms:modified xsi:type="dcterms:W3CDTF">2022-11-10T18:41:02Z</dcterms:modified>
</cp:coreProperties>
</file>